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120" windowWidth="23715" windowHeight="9270"/>
  </bookViews>
  <sheets>
    <sheet name="Planilla_General_03-12-2012_9_3" sheetId="1" r:id="rId1"/>
    <sheet name="Eventos en ensayos por ID" sheetId="2" r:id="rId2"/>
    <sheet name="DV-IDENTITY-0" sheetId="3" state="veryHidden" r:id="rId3"/>
  </sheets>
  <definedNames>
    <definedName name="_xlnm._FilterDatabase" localSheetId="1" hidden="1">'Eventos en ensayos por ID'!$A$9:$G$118</definedName>
    <definedName name="_xlnm._FilterDatabase" localSheetId="0" hidden="1">'Planilla_General_03-12-2012_9_3'!$A$6:$O$3382</definedName>
  </definedNames>
  <calcPr calcId="145621"/>
</workbook>
</file>

<file path=xl/calcChain.xml><?xml version="1.0" encoding="utf-8"?>
<calcChain xmlns="http://schemas.openxmlformats.org/spreadsheetml/2006/main">
  <c r="A216" i="3" l="1"/>
  <c r="B216" i="3"/>
  <c r="C216" i="3"/>
  <c r="D216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R216" i="3"/>
  <c r="S216" i="3"/>
  <c r="T216" i="3"/>
  <c r="U216" i="3"/>
  <c r="V216" i="3"/>
  <c r="W216" i="3"/>
  <c r="X216" i="3"/>
  <c r="Y216" i="3"/>
  <c r="Z216" i="3"/>
  <c r="AA216" i="3"/>
  <c r="AB216" i="3"/>
  <c r="AC216" i="3"/>
  <c r="AD216" i="3"/>
  <c r="AE216" i="3"/>
  <c r="AF216" i="3"/>
  <c r="AG216" i="3"/>
  <c r="AH216" i="3"/>
  <c r="AI216" i="3"/>
  <c r="AJ216" i="3"/>
  <c r="AK216" i="3"/>
  <c r="AL216" i="3"/>
  <c r="AN216" i="3"/>
  <c r="AO216" i="3"/>
  <c r="A215" i="3"/>
  <c r="B215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AH215" i="3"/>
  <c r="AI215" i="3"/>
  <c r="AJ215" i="3"/>
  <c r="AK215" i="3"/>
  <c r="AL215" i="3"/>
  <c r="AM215" i="3"/>
  <c r="AN215" i="3"/>
  <c r="AO215" i="3"/>
  <c r="AP215" i="3"/>
  <c r="AQ215" i="3"/>
  <c r="AR215" i="3"/>
  <c r="AS215" i="3"/>
  <c r="AT215" i="3"/>
  <c r="AU215" i="3"/>
  <c r="AV215" i="3"/>
  <c r="AW215" i="3"/>
  <c r="AX215" i="3"/>
  <c r="AY215" i="3"/>
  <c r="AZ215" i="3"/>
  <c r="BA215" i="3"/>
  <c r="BB215" i="3"/>
  <c r="BC215" i="3"/>
  <c r="BD215" i="3"/>
  <c r="BE215" i="3"/>
  <c r="BF215" i="3"/>
  <c r="BG215" i="3"/>
  <c r="BH215" i="3"/>
  <c r="BI215" i="3"/>
  <c r="BJ215" i="3"/>
  <c r="BK215" i="3"/>
  <c r="BL215" i="3"/>
  <c r="BM215" i="3"/>
  <c r="BN215" i="3"/>
  <c r="BO215" i="3"/>
  <c r="BP215" i="3"/>
  <c r="BQ215" i="3"/>
  <c r="BR215" i="3"/>
  <c r="BS215" i="3"/>
  <c r="BT215" i="3"/>
  <c r="BU215" i="3"/>
  <c r="BV215" i="3"/>
  <c r="BW215" i="3"/>
  <c r="BX215" i="3"/>
  <c r="BY215" i="3"/>
  <c r="BZ215" i="3"/>
  <c r="CA215" i="3"/>
  <c r="CB215" i="3"/>
  <c r="CC215" i="3"/>
  <c r="CD215" i="3"/>
  <c r="CE215" i="3"/>
  <c r="CF215" i="3"/>
  <c r="CG215" i="3"/>
  <c r="CH215" i="3"/>
  <c r="CI215" i="3"/>
  <c r="CJ215" i="3"/>
  <c r="CK215" i="3"/>
  <c r="CL215" i="3"/>
  <c r="CM215" i="3"/>
  <c r="CN215" i="3"/>
  <c r="CO215" i="3"/>
  <c r="CP215" i="3"/>
  <c r="CQ215" i="3"/>
  <c r="CR215" i="3"/>
  <c r="CS215" i="3"/>
  <c r="CT215" i="3"/>
  <c r="CU215" i="3"/>
  <c r="CV215" i="3"/>
  <c r="CW215" i="3"/>
  <c r="CX215" i="3"/>
  <c r="CY215" i="3"/>
  <c r="CZ215" i="3"/>
  <c r="DA215" i="3"/>
  <c r="DB215" i="3"/>
  <c r="DC215" i="3"/>
  <c r="DD215" i="3"/>
  <c r="DE215" i="3"/>
  <c r="DF215" i="3"/>
  <c r="DG215" i="3"/>
  <c r="DH215" i="3"/>
  <c r="DI215" i="3"/>
  <c r="DJ215" i="3"/>
  <c r="DK215" i="3"/>
  <c r="DL215" i="3"/>
  <c r="DM215" i="3"/>
  <c r="DN215" i="3"/>
  <c r="DO215" i="3"/>
  <c r="DP215" i="3"/>
  <c r="DQ215" i="3"/>
  <c r="DR215" i="3"/>
  <c r="DS215" i="3"/>
  <c r="DT215" i="3"/>
  <c r="DU215" i="3"/>
  <c r="DV215" i="3"/>
  <c r="DW215" i="3"/>
  <c r="DX215" i="3"/>
  <c r="DY215" i="3"/>
  <c r="DZ215" i="3"/>
  <c r="EA215" i="3"/>
  <c r="EB215" i="3"/>
  <c r="EC215" i="3"/>
  <c r="ED215" i="3"/>
  <c r="EE215" i="3"/>
  <c r="EF215" i="3"/>
  <c r="EG215" i="3"/>
  <c r="EH215" i="3"/>
  <c r="EI215" i="3"/>
  <c r="EJ215" i="3"/>
  <c r="EK215" i="3"/>
  <c r="EL215" i="3"/>
  <c r="EM215" i="3"/>
  <c r="EN215" i="3"/>
  <c r="EO215" i="3"/>
  <c r="EP215" i="3"/>
  <c r="EQ215" i="3"/>
  <c r="ER215" i="3"/>
  <c r="ES215" i="3"/>
  <c r="ET215" i="3"/>
  <c r="EU215" i="3"/>
  <c r="EV215" i="3"/>
  <c r="EW215" i="3"/>
  <c r="EX215" i="3"/>
  <c r="EY215" i="3"/>
  <c r="EZ215" i="3"/>
  <c r="FA215" i="3"/>
  <c r="FB215" i="3"/>
  <c r="FC215" i="3"/>
  <c r="FD215" i="3"/>
  <c r="FE215" i="3"/>
  <c r="FF215" i="3"/>
  <c r="FG215" i="3"/>
  <c r="FH215" i="3"/>
  <c r="FI215" i="3"/>
  <c r="FJ215" i="3"/>
  <c r="FK215" i="3"/>
  <c r="FL215" i="3"/>
  <c r="FM215" i="3"/>
  <c r="FN215" i="3"/>
  <c r="FO215" i="3"/>
  <c r="FP215" i="3"/>
  <c r="FQ215" i="3"/>
  <c r="FR215" i="3"/>
  <c r="FS215" i="3"/>
  <c r="FT215" i="3"/>
  <c r="FU215" i="3"/>
  <c r="FV215" i="3"/>
  <c r="FW215" i="3"/>
  <c r="FX215" i="3"/>
  <c r="FY215" i="3"/>
  <c r="FZ215" i="3"/>
  <c r="GA215" i="3"/>
  <c r="GB215" i="3"/>
  <c r="GC215" i="3"/>
  <c r="GD215" i="3"/>
  <c r="GE215" i="3"/>
  <c r="GF215" i="3"/>
  <c r="GG215" i="3"/>
  <c r="GH215" i="3"/>
  <c r="GI215" i="3"/>
  <c r="GJ215" i="3"/>
  <c r="GK215" i="3"/>
  <c r="GL215" i="3"/>
  <c r="GM215" i="3"/>
  <c r="GN215" i="3"/>
  <c r="GO215" i="3"/>
  <c r="GP215" i="3"/>
  <c r="GQ215" i="3"/>
  <c r="GR215" i="3"/>
  <c r="GS215" i="3"/>
  <c r="GT215" i="3"/>
  <c r="GU215" i="3"/>
  <c r="GV215" i="3"/>
  <c r="GW215" i="3"/>
  <c r="GX215" i="3"/>
  <c r="GY215" i="3"/>
  <c r="GZ215" i="3"/>
  <c r="HA215" i="3"/>
  <c r="HB215" i="3"/>
  <c r="HC215" i="3"/>
  <c r="HD215" i="3"/>
  <c r="HE215" i="3"/>
  <c r="HF215" i="3"/>
  <c r="HG215" i="3"/>
  <c r="HH215" i="3"/>
  <c r="HI215" i="3"/>
  <c r="HJ215" i="3"/>
  <c r="HK215" i="3"/>
  <c r="HL215" i="3"/>
  <c r="HM215" i="3"/>
  <c r="HN215" i="3"/>
  <c r="HO215" i="3"/>
  <c r="HP215" i="3"/>
  <c r="HQ215" i="3"/>
  <c r="HR215" i="3"/>
  <c r="HS215" i="3"/>
  <c r="HT215" i="3"/>
  <c r="HU215" i="3"/>
  <c r="HV215" i="3"/>
  <c r="HW215" i="3"/>
  <c r="HX215" i="3"/>
  <c r="HY215" i="3"/>
  <c r="HZ215" i="3"/>
  <c r="IA215" i="3"/>
  <c r="IB215" i="3"/>
  <c r="IC215" i="3"/>
  <c r="ID215" i="3"/>
  <c r="IE215" i="3"/>
  <c r="IF215" i="3"/>
  <c r="IG215" i="3"/>
  <c r="IH215" i="3"/>
  <c r="II215" i="3"/>
  <c r="IJ215" i="3"/>
  <c r="IK215" i="3"/>
  <c r="IL215" i="3"/>
  <c r="IM215" i="3"/>
  <c r="IN215" i="3"/>
  <c r="IO215" i="3"/>
  <c r="IP215" i="3"/>
  <c r="IQ215" i="3"/>
  <c r="IR215" i="3"/>
  <c r="IS215" i="3"/>
  <c r="IT215" i="3"/>
  <c r="IU215" i="3"/>
  <c r="IV215" i="3"/>
  <c r="A214" i="3"/>
  <c r="B214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AH214" i="3"/>
  <c r="AI214" i="3"/>
  <c r="AJ214" i="3"/>
  <c r="AK214" i="3"/>
  <c r="AL214" i="3"/>
  <c r="AM214" i="3"/>
  <c r="AN214" i="3"/>
  <c r="AO214" i="3"/>
  <c r="AP214" i="3"/>
  <c r="AQ214" i="3"/>
  <c r="AR214" i="3"/>
  <c r="AS214" i="3"/>
  <c r="AT214" i="3"/>
  <c r="AU214" i="3"/>
  <c r="AV214" i="3"/>
  <c r="AW214" i="3"/>
  <c r="AX214" i="3"/>
  <c r="AY214" i="3"/>
  <c r="AZ214" i="3"/>
  <c r="BA214" i="3"/>
  <c r="BB214" i="3"/>
  <c r="BC214" i="3"/>
  <c r="BD214" i="3"/>
  <c r="BE214" i="3"/>
  <c r="BF214" i="3"/>
  <c r="BG214" i="3"/>
  <c r="BH214" i="3"/>
  <c r="BI214" i="3"/>
  <c r="BJ214" i="3"/>
  <c r="BK214" i="3"/>
  <c r="BL214" i="3"/>
  <c r="BM214" i="3"/>
  <c r="BN214" i="3"/>
  <c r="BO214" i="3"/>
  <c r="BP214" i="3"/>
  <c r="BQ214" i="3"/>
  <c r="BR214" i="3"/>
  <c r="BS214" i="3"/>
  <c r="BT214" i="3"/>
  <c r="BU214" i="3"/>
  <c r="BV214" i="3"/>
  <c r="BW214" i="3"/>
  <c r="BX214" i="3"/>
  <c r="BY214" i="3"/>
  <c r="BZ214" i="3"/>
  <c r="CA214" i="3"/>
  <c r="CB214" i="3"/>
  <c r="CC214" i="3"/>
  <c r="CD214" i="3"/>
  <c r="CE214" i="3"/>
  <c r="CF214" i="3"/>
  <c r="CG214" i="3"/>
  <c r="CH214" i="3"/>
  <c r="CI214" i="3"/>
  <c r="CJ214" i="3"/>
  <c r="CK214" i="3"/>
  <c r="CL214" i="3"/>
  <c r="CM214" i="3"/>
  <c r="CN214" i="3"/>
  <c r="CO214" i="3"/>
  <c r="CP214" i="3"/>
  <c r="CQ214" i="3"/>
  <c r="CR214" i="3"/>
  <c r="CS214" i="3"/>
  <c r="CT214" i="3"/>
  <c r="CU214" i="3"/>
  <c r="CV214" i="3"/>
  <c r="CW214" i="3"/>
  <c r="CX214" i="3"/>
  <c r="CY214" i="3"/>
  <c r="CZ214" i="3"/>
  <c r="DA214" i="3"/>
  <c r="DB214" i="3"/>
  <c r="DC214" i="3"/>
  <c r="DD214" i="3"/>
  <c r="DE214" i="3"/>
  <c r="DF214" i="3"/>
  <c r="DG214" i="3"/>
  <c r="DH214" i="3"/>
  <c r="DI214" i="3"/>
  <c r="DJ214" i="3"/>
  <c r="DK214" i="3"/>
  <c r="DL214" i="3"/>
  <c r="DM214" i="3"/>
  <c r="DN214" i="3"/>
  <c r="DO214" i="3"/>
  <c r="DP214" i="3"/>
  <c r="DQ214" i="3"/>
  <c r="DR214" i="3"/>
  <c r="DS214" i="3"/>
  <c r="DT214" i="3"/>
  <c r="DU214" i="3"/>
  <c r="DV214" i="3"/>
  <c r="DW214" i="3"/>
  <c r="DX214" i="3"/>
  <c r="DY214" i="3"/>
  <c r="DZ214" i="3"/>
  <c r="EA214" i="3"/>
  <c r="EB214" i="3"/>
  <c r="EC214" i="3"/>
  <c r="ED214" i="3"/>
  <c r="EE214" i="3"/>
  <c r="EF214" i="3"/>
  <c r="EG214" i="3"/>
  <c r="EH214" i="3"/>
  <c r="EI214" i="3"/>
  <c r="EJ214" i="3"/>
  <c r="EK214" i="3"/>
  <c r="EL214" i="3"/>
  <c r="EM214" i="3"/>
  <c r="EN214" i="3"/>
  <c r="EO214" i="3"/>
  <c r="EP214" i="3"/>
  <c r="EQ214" i="3"/>
  <c r="ER214" i="3"/>
  <c r="ES214" i="3"/>
  <c r="ET214" i="3"/>
  <c r="EU214" i="3"/>
  <c r="EV214" i="3"/>
  <c r="EW214" i="3"/>
  <c r="EX214" i="3"/>
  <c r="EY214" i="3"/>
  <c r="EZ214" i="3"/>
  <c r="FA214" i="3"/>
  <c r="FB214" i="3"/>
  <c r="FC214" i="3"/>
  <c r="FD214" i="3"/>
  <c r="FE214" i="3"/>
  <c r="FF214" i="3"/>
  <c r="FG214" i="3"/>
  <c r="FH214" i="3"/>
  <c r="FI214" i="3"/>
  <c r="FJ214" i="3"/>
  <c r="FK214" i="3"/>
  <c r="FL214" i="3"/>
  <c r="FM214" i="3"/>
  <c r="FN214" i="3"/>
  <c r="FO214" i="3"/>
  <c r="FP214" i="3"/>
  <c r="FQ214" i="3"/>
  <c r="FR214" i="3"/>
  <c r="FS214" i="3"/>
  <c r="FT214" i="3"/>
  <c r="FU214" i="3"/>
  <c r="FV214" i="3"/>
  <c r="FW214" i="3"/>
  <c r="FX214" i="3"/>
  <c r="FY214" i="3"/>
  <c r="FZ214" i="3"/>
  <c r="GA214" i="3"/>
  <c r="GB214" i="3"/>
  <c r="GC214" i="3"/>
  <c r="GD214" i="3"/>
  <c r="GE214" i="3"/>
  <c r="GF214" i="3"/>
  <c r="GG214" i="3"/>
  <c r="GH214" i="3"/>
  <c r="GI214" i="3"/>
  <c r="GJ214" i="3"/>
  <c r="GK214" i="3"/>
  <c r="GL214" i="3"/>
  <c r="GM214" i="3"/>
  <c r="GN214" i="3"/>
  <c r="GO214" i="3"/>
  <c r="GP214" i="3"/>
  <c r="GQ214" i="3"/>
  <c r="GR214" i="3"/>
  <c r="GS214" i="3"/>
  <c r="GT214" i="3"/>
  <c r="GU214" i="3"/>
  <c r="GV214" i="3"/>
  <c r="GW214" i="3"/>
  <c r="GX214" i="3"/>
  <c r="GY214" i="3"/>
  <c r="GZ214" i="3"/>
  <c r="HA214" i="3"/>
  <c r="HB214" i="3"/>
  <c r="HC214" i="3"/>
  <c r="HD214" i="3"/>
  <c r="HE214" i="3"/>
  <c r="HF214" i="3"/>
  <c r="HG214" i="3"/>
  <c r="HH214" i="3"/>
  <c r="HI214" i="3"/>
  <c r="HJ214" i="3"/>
  <c r="HK214" i="3"/>
  <c r="HL214" i="3"/>
  <c r="HM214" i="3"/>
  <c r="HN214" i="3"/>
  <c r="HO214" i="3"/>
  <c r="HP214" i="3"/>
  <c r="HQ214" i="3"/>
  <c r="HR214" i="3"/>
  <c r="HS214" i="3"/>
  <c r="HT214" i="3"/>
  <c r="HU214" i="3"/>
  <c r="HV214" i="3"/>
  <c r="HW214" i="3"/>
  <c r="HX214" i="3"/>
  <c r="HY214" i="3"/>
  <c r="HZ214" i="3"/>
  <c r="IA214" i="3"/>
  <c r="IB214" i="3"/>
  <c r="IC214" i="3"/>
  <c r="ID214" i="3"/>
  <c r="IE214" i="3"/>
  <c r="IF214" i="3"/>
  <c r="IG214" i="3"/>
  <c r="IH214" i="3"/>
  <c r="II214" i="3"/>
  <c r="IJ214" i="3"/>
  <c r="IK214" i="3"/>
  <c r="IL214" i="3"/>
  <c r="IM214" i="3"/>
  <c r="IN214" i="3"/>
  <c r="IO214" i="3"/>
  <c r="IP214" i="3"/>
  <c r="IQ214" i="3"/>
  <c r="IR214" i="3"/>
  <c r="IS214" i="3"/>
  <c r="IT214" i="3"/>
  <c r="IU214" i="3"/>
  <c r="IV214" i="3"/>
  <c r="A213" i="3"/>
  <c r="B213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Y213" i="3"/>
  <c r="Z213" i="3"/>
  <c r="AA213" i="3"/>
  <c r="AB213" i="3"/>
  <c r="AC213" i="3"/>
  <c r="AD213" i="3"/>
  <c r="AE213" i="3"/>
  <c r="AF213" i="3"/>
  <c r="AG213" i="3"/>
  <c r="AH213" i="3"/>
  <c r="AI213" i="3"/>
  <c r="AJ213" i="3"/>
  <c r="AK213" i="3"/>
  <c r="AL213" i="3"/>
  <c r="AM213" i="3"/>
  <c r="AN213" i="3"/>
  <c r="AO213" i="3"/>
  <c r="AP213" i="3"/>
  <c r="AQ213" i="3"/>
  <c r="AR213" i="3"/>
  <c r="AS213" i="3"/>
  <c r="AT213" i="3"/>
  <c r="AU213" i="3"/>
  <c r="AV213" i="3"/>
  <c r="AW213" i="3"/>
  <c r="AX213" i="3"/>
  <c r="AY213" i="3"/>
  <c r="AZ213" i="3"/>
  <c r="BA213" i="3"/>
  <c r="BB213" i="3"/>
  <c r="BC213" i="3"/>
  <c r="BD213" i="3"/>
  <c r="BE213" i="3"/>
  <c r="BF213" i="3"/>
  <c r="BG213" i="3"/>
  <c r="BH213" i="3"/>
  <c r="BI213" i="3"/>
  <c r="BJ213" i="3"/>
  <c r="BK213" i="3"/>
  <c r="BL213" i="3"/>
  <c r="BM213" i="3"/>
  <c r="BN213" i="3"/>
  <c r="BO213" i="3"/>
  <c r="BP213" i="3"/>
  <c r="BQ213" i="3"/>
  <c r="BR213" i="3"/>
  <c r="BS213" i="3"/>
  <c r="BT213" i="3"/>
  <c r="BU213" i="3"/>
  <c r="BV213" i="3"/>
  <c r="BW213" i="3"/>
  <c r="BX213" i="3"/>
  <c r="BY213" i="3"/>
  <c r="BZ213" i="3"/>
  <c r="CA213" i="3"/>
  <c r="CB213" i="3"/>
  <c r="CC213" i="3"/>
  <c r="CD213" i="3"/>
  <c r="CE213" i="3"/>
  <c r="CF213" i="3"/>
  <c r="CG213" i="3"/>
  <c r="CH213" i="3"/>
  <c r="CI213" i="3"/>
  <c r="CJ213" i="3"/>
  <c r="CK213" i="3"/>
  <c r="CL213" i="3"/>
  <c r="CM213" i="3"/>
  <c r="CN213" i="3"/>
  <c r="CO213" i="3"/>
  <c r="CP213" i="3"/>
  <c r="CQ213" i="3"/>
  <c r="CR213" i="3"/>
  <c r="CS213" i="3"/>
  <c r="CT213" i="3"/>
  <c r="CU213" i="3"/>
  <c r="CV213" i="3"/>
  <c r="CW213" i="3"/>
  <c r="CX213" i="3"/>
  <c r="CY213" i="3"/>
  <c r="CZ213" i="3"/>
  <c r="DA213" i="3"/>
  <c r="DB213" i="3"/>
  <c r="DC213" i="3"/>
  <c r="DD213" i="3"/>
  <c r="DE213" i="3"/>
  <c r="DF213" i="3"/>
  <c r="DG213" i="3"/>
  <c r="DH213" i="3"/>
  <c r="DI213" i="3"/>
  <c r="DJ213" i="3"/>
  <c r="DK213" i="3"/>
  <c r="DL213" i="3"/>
  <c r="DM213" i="3"/>
  <c r="DN213" i="3"/>
  <c r="DO213" i="3"/>
  <c r="DP213" i="3"/>
  <c r="DQ213" i="3"/>
  <c r="DR213" i="3"/>
  <c r="DS213" i="3"/>
  <c r="DT213" i="3"/>
  <c r="DU213" i="3"/>
  <c r="DV213" i="3"/>
  <c r="DW213" i="3"/>
  <c r="DX213" i="3"/>
  <c r="DY213" i="3"/>
  <c r="DZ213" i="3"/>
  <c r="EA213" i="3"/>
  <c r="EB213" i="3"/>
  <c r="EC213" i="3"/>
  <c r="ED213" i="3"/>
  <c r="EE213" i="3"/>
  <c r="EF213" i="3"/>
  <c r="EG213" i="3"/>
  <c r="EH213" i="3"/>
  <c r="EI213" i="3"/>
  <c r="EJ213" i="3"/>
  <c r="EK213" i="3"/>
  <c r="EL213" i="3"/>
  <c r="EM213" i="3"/>
  <c r="EN213" i="3"/>
  <c r="EO213" i="3"/>
  <c r="EP213" i="3"/>
  <c r="EQ213" i="3"/>
  <c r="ER213" i="3"/>
  <c r="ES213" i="3"/>
  <c r="ET213" i="3"/>
  <c r="EU213" i="3"/>
  <c r="EV213" i="3"/>
  <c r="EW213" i="3"/>
  <c r="EX213" i="3"/>
  <c r="EY213" i="3"/>
  <c r="EZ213" i="3"/>
  <c r="FA213" i="3"/>
  <c r="FB213" i="3"/>
  <c r="FC213" i="3"/>
  <c r="FD213" i="3"/>
  <c r="FE213" i="3"/>
  <c r="FF213" i="3"/>
  <c r="FG213" i="3"/>
  <c r="FH213" i="3"/>
  <c r="FI213" i="3"/>
  <c r="FJ213" i="3"/>
  <c r="FK213" i="3"/>
  <c r="FL213" i="3"/>
  <c r="FM213" i="3"/>
  <c r="FN213" i="3"/>
  <c r="FO213" i="3"/>
  <c r="FP213" i="3"/>
  <c r="FQ213" i="3"/>
  <c r="FR213" i="3"/>
  <c r="FS213" i="3"/>
  <c r="FT213" i="3"/>
  <c r="FU213" i="3"/>
  <c r="FV213" i="3"/>
  <c r="FW213" i="3"/>
  <c r="FX213" i="3"/>
  <c r="FY213" i="3"/>
  <c r="FZ213" i="3"/>
  <c r="GA213" i="3"/>
  <c r="GB213" i="3"/>
  <c r="GC213" i="3"/>
  <c r="GD213" i="3"/>
  <c r="GE213" i="3"/>
  <c r="GF213" i="3"/>
  <c r="GG213" i="3"/>
  <c r="GH213" i="3"/>
  <c r="GI213" i="3"/>
  <c r="GJ213" i="3"/>
  <c r="GK213" i="3"/>
  <c r="GL213" i="3"/>
  <c r="GM213" i="3"/>
  <c r="GN213" i="3"/>
  <c r="GO213" i="3"/>
  <c r="GP213" i="3"/>
  <c r="GQ213" i="3"/>
  <c r="GR213" i="3"/>
  <c r="GS213" i="3"/>
  <c r="GT213" i="3"/>
  <c r="GU213" i="3"/>
  <c r="GV213" i="3"/>
  <c r="GW213" i="3"/>
  <c r="GX213" i="3"/>
  <c r="GY213" i="3"/>
  <c r="GZ213" i="3"/>
  <c r="HA213" i="3"/>
  <c r="HB213" i="3"/>
  <c r="HC213" i="3"/>
  <c r="HD213" i="3"/>
  <c r="HE213" i="3"/>
  <c r="HF213" i="3"/>
  <c r="HG213" i="3"/>
  <c r="HH213" i="3"/>
  <c r="HI213" i="3"/>
  <c r="HJ213" i="3"/>
  <c r="HK213" i="3"/>
  <c r="HL213" i="3"/>
  <c r="HM213" i="3"/>
  <c r="HN213" i="3"/>
  <c r="HO213" i="3"/>
  <c r="HP213" i="3"/>
  <c r="HQ213" i="3"/>
  <c r="HR213" i="3"/>
  <c r="HS213" i="3"/>
  <c r="HT213" i="3"/>
  <c r="HU213" i="3"/>
  <c r="HV213" i="3"/>
  <c r="HW213" i="3"/>
  <c r="HX213" i="3"/>
  <c r="HY213" i="3"/>
  <c r="HZ213" i="3"/>
  <c r="IA213" i="3"/>
  <c r="IB213" i="3"/>
  <c r="IC213" i="3"/>
  <c r="ID213" i="3"/>
  <c r="IE213" i="3"/>
  <c r="IF213" i="3"/>
  <c r="IG213" i="3"/>
  <c r="IH213" i="3"/>
  <c r="II213" i="3"/>
  <c r="IJ213" i="3"/>
  <c r="IK213" i="3"/>
  <c r="IL213" i="3"/>
  <c r="IM213" i="3"/>
  <c r="IN213" i="3"/>
  <c r="IO213" i="3"/>
  <c r="IP213" i="3"/>
  <c r="IQ213" i="3"/>
  <c r="IR213" i="3"/>
  <c r="IS213" i="3"/>
  <c r="IT213" i="3"/>
  <c r="IU213" i="3"/>
  <c r="IV213" i="3"/>
  <c r="A212" i="3"/>
  <c r="B212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Y212" i="3"/>
  <c r="Z212" i="3"/>
  <c r="AA212" i="3"/>
  <c r="AB212" i="3"/>
  <c r="AC212" i="3"/>
  <c r="AD212" i="3"/>
  <c r="AE212" i="3"/>
  <c r="AF212" i="3"/>
  <c r="AG212" i="3"/>
  <c r="AH212" i="3"/>
  <c r="AI212" i="3"/>
  <c r="AJ212" i="3"/>
  <c r="AK212" i="3"/>
  <c r="AL212" i="3"/>
  <c r="AM212" i="3"/>
  <c r="AN212" i="3"/>
  <c r="AO212" i="3"/>
  <c r="AP212" i="3"/>
  <c r="AQ212" i="3"/>
  <c r="AR212" i="3"/>
  <c r="AS212" i="3"/>
  <c r="AT212" i="3"/>
  <c r="AU212" i="3"/>
  <c r="AV212" i="3"/>
  <c r="AW212" i="3"/>
  <c r="AX212" i="3"/>
  <c r="AY212" i="3"/>
  <c r="AZ212" i="3"/>
  <c r="BA212" i="3"/>
  <c r="BB212" i="3"/>
  <c r="BC212" i="3"/>
  <c r="BD212" i="3"/>
  <c r="BE212" i="3"/>
  <c r="BF212" i="3"/>
  <c r="BG212" i="3"/>
  <c r="BH212" i="3"/>
  <c r="BI212" i="3"/>
  <c r="BJ212" i="3"/>
  <c r="BK212" i="3"/>
  <c r="BL212" i="3"/>
  <c r="BM212" i="3"/>
  <c r="BN212" i="3"/>
  <c r="BO212" i="3"/>
  <c r="BP212" i="3"/>
  <c r="BQ212" i="3"/>
  <c r="BR212" i="3"/>
  <c r="BS212" i="3"/>
  <c r="BT212" i="3"/>
  <c r="BU212" i="3"/>
  <c r="BV212" i="3"/>
  <c r="BW212" i="3"/>
  <c r="BX212" i="3"/>
  <c r="BY212" i="3"/>
  <c r="BZ212" i="3"/>
  <c r="CA212" i="3"/>
  <c r="CB212" i="3"/>
  <c r="CC212" i="3"/>
  <c r="CD212" i="3"/>
  <c r="CE212" i="3"/>
  <c r="CF212" i="3"/>
  <c r="CG212" i="3"/>
  <c r="CH212" i="3"/>
  <c r="CI212" i="3"/>
  <c r="CJ212" i="3"/>
  <c r="CK212" i="3"/>
  <c r="CL212" i="3"/>
  <c r="CM212" i="3"/>
  <c r="CN212" i="3"/>
  <c r="CO212" i="3"/>
  <c r="CP212" i="3"/>
  <c r="CQ212" i="3"/>
  <c r="CR212" i="3"/>
  <c r="CS212" i="3"/>
  <c r="CT212" i="3"/>
  <c r="CU212" i="3"/>
  <c r="CV212" i="3"/>
  <c r="CW212" i="3"/>
  <c r="CX212" i="3"/>
  <c r="CY212" i="3"/>
  <c r="CZ212" i="3"/>
  <c r="DA212" i="3"/>
  <c r="DB212" i="3"/>
  <c r="DC212" i="3"/>
  <c r="DD212" i="3"/>
  <c r="DE212" i="3"/>
  <c r="DF212" i="3"/>
  <c r="DG212" i="3"/>
  <c r="DH212" i="3"/>
  <c r="DI212" i="3"/>
  <c r="DJ212" i="3"/>
  <c r="DK212" i="3"/>
  <c r="DL212" i="3"/>
  <c r="DM212" i="3"/>
  <c r="DN212" i="3"/>
  <c r="DO212" i="3"/>
  <c r="DP212" i="3"/>
  <c r="DQ212" i="3"/>
  <c r="DR212" i="3"/>
  <c r="DS212" i="3"/>
  <c r="DT212" i="3"/>
  <c r="DU212" i="3"/>
  <c r="DV212" i="3"/>
  <c r="DW212" i="3"/>
  <c r="DX212" i="3"/>
  <c r="DY212" i="3"/>
  <c r="DZ212" i="3"/>
  <c r="EA212" i="3"/>
  <c r="EB212" i="3"/>
  <c r="EC212" i="3"/>
  <c r="ED212" i="3"/>
  <c r="EE212" i="3"/>
  <c r="EF212" i="3"/>
  <c r="EG212" i="3"/>
  <c r="EH212" i="3"/>
  <c r="EI212" i="3"/>
  <c r="EJ212" i="3"/>
  <c r="EK212" i="3"/>
  <c r="EL212" i="3"/>
  <c r="EM212" i="3"/>
  <c r="EN212" i="3"/>
  <c r="EO212" i="3"/>
  <c r="EP212" i="3"/>
  <c r="EQ212" i="3"/>
  <c r="ER212" i="3"/>
  <c r="ES212" i="3"/>
  <c r="ET212" i="3"/>
  <c r="EU212" i="3"/>
  <c r="EV212" i="3"/>
  <c r="EW212" i="3"/>
  <c r="EX212" i="3"/>
  <c r="EY212" i="3"/>
  <c r="EZ212" i="3"/>
  <c r="FA212" i="3"/>
  <c r="FB212" i="3"/>
  <c r="FC212" i="3"/>
  <c r="FD212" i="3"/>
  <c r="FE212" i="3"/>
  <c r="FF212" i="3"/>
  <c r="FG212" i="3"/>
  <c r="FH212" i="3"/>
  <c r="FI212" i="3"/>
  <c r="FJ212" i="3"/>
  <c r="FK212" i="3"/>
  <c r="FL212" i="3"/>
  <c r="FM212" i="3"/>
  <c r="FN212" i="3"/>
  <c r="FO212" i="3"/>
  <c r="FP212" i="3"/>
  <c r="FQ212" i="3"/>
  <c r="FR212" i="3"/>
  <c r="FS212" i="3"/>
  <c r="FT212" i="3"/>
  <c r="FU212" i="3"/>
  <c r="FV212" i="3"/>
  <c r="FW212" i="3"/>
  <c r="FX212" i="3"/>
  <c r="FY212" i="3"/>
  <c r="FZ212" i="3"/>
  <c r="GA212" i="3"/>
  <c r="GB212" i="3"/>
  <c r="GC212" i="3"/>
  <c r="GD212" i="3"/>
  <c r="GE212" i="3"/>
  <c r="GF212" i="3"/>
  <c r="GG212" i="3"/>
  <c r="GH212" i="3"/>
  <c r="GI212" i="3"/>
  <c r="GJ212" i="3"/>
  <c r="GK212" i="3"/>
  <c r="GL212" i="3"/>
  <c r="GM212" i="3"/>
  <c r="GN212" i="3"/>
  <c r="GO212" i="3"/>
  <c r="GP212" i="3"/>
  <c r="GQ212" i="3"/>
  <c r="GR212" i="3"/>
  <c r="GS212" i="3"/>
  <c r="GT212" i="3"/>
  <c r="GU212" i="3"/>
  <c r="GV212" i="3"/>
  <c r="GW212" i="3"/>
  <c r="GX212" i="3"/>
  <c r="GY212" i="3"/>
  <c r="GZ212" i="3"/>
  <c r="HA212" i="3"/>
  <c r="HB212" i="3"/>
  <c r="HC212" i="3"/>
  <c r="HD212" i="3"/>
  <c r="HE212" i="3"/>
  <c r="HF212" i="3"/>
  <c r="HG212" i="3"/>
  <c r="HH212" i="3"/>
  <c r="HI212" i="3"/>
  <c r="HJ212" i="3"/>
  <c r="HK212" i="3"/>
  <c r="HL212" i="3"/>
  <c r="HM212" i="3"/>
  <c r="HN212" i="3"/>
  <c r="HO212" i="3"/>
  <c r="HP212" i="3"/>
  <c r="HQ212" i="3"/>
  <c r="HR212" i="3"/>
  <c r="HS212" i="3"/>
  <c r="HT212" i="3"/>
  <c r="HU212" i="3"/>
  <c r="HV212" i="3"/>
  <c r="HW212" i="3"/>
  <c r="HX212" i="3"/>
  <c r="HY212" i="3"/>
  <c r="HZ212" i="3"/>
  <c r="IA212" i="3"/>
  <c r="IB212" i="3"/>
  <c r="IC212" i="3"/>
  <c r="ID212" i="3"/>
  <c r="IE212" i="3"/>
  <c r="IF212" i="3"/>
  <c r="IG212" i="3"/>
  <c r="IH212" i="3"/>
  <c r="II212" i="3"/>
  <c r="IJ212" i="3"/>
  <c r="IK212" i="3"/>
  <c r="IL212" i="3"/>
  <c r="IM212" i="3"/>
  <c r="IN212" i="3"/>
  <c r="IO212" i="3"/>
  <c r="IP212" i="3"/>
  <c r="IQ212" i="3"/>
  <c r="IR212" i="3"/>
  <c r="IS212" i="3"/>
  <c r="IT212" i="3"/>
  <c r="IU212" i="3"/>
  <c r="IV212" i="3"/>
  <c r="A211" i="3"/>
  <c r="B211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Y211" i="3"/>
  <c r="Z211" i="3"/>
  <c r="AA211" i="3"/>
  <c r="AB211" i="3"/>
  <c r="AC211" i="3"/>
  <c r="AD211" i="3"/>
  <c r="AE211" i="3"/>
  <c r="AF211" i="3"/>
  <c r="AG211" i="3"/>
  <c r="AH211" i="3"/>
  <c r="AI211" i="3"/>
  <c r="AJ211" i="3"/>
  <c r="AK211" i="3"/>
  <c r="AL211" i="3"/>
  <c r="AM211" i="3"/>
  <c r="AN211" i="3"/>
  <c r="AO211" i="3"/>
  <c r="AP211" i="3"/>
  <c r="AQ211" i="3"/>
  <c r="AR211" i="3"/>
  <c r="AS211" i="3"/>
  <c r="AT211" i="3"/>
  <c r="AU211" i="3"/>
  <c r="AV211" i="3"/>
  <c r="AW211" i="3"/>
  <c r="AX211" i="3"/>
  <c r="AY211" i="3"/>
  <c r="AZ211" i="3"/>
  <c r="BA211" i="3"/>
  <c r="BB211" i="3"/>
  <c r="BC211" i="3"/>
  <c r="BD211" i="3"/>
  <c r="BE211" i="3"/>
  <c r="BF211" i="3"/>
  <c r="BG211" i="3"/>
  <c r="BH211" i="3"/>
  <c r="BI211" i="3"/>
  <c r="BJ211" i="3"/>
  <c r="BK211" i="3"/>
  <c r="BL211" i="3"/>
  <c r="BM211" i="3"/>
  <c r="BN211" i="3"/>
  <c r="BO211" i="3"/>
  <c r="BP211" i="3"/>
  <c r="BQ211" i="3"/>
  <c r="BR211" i="3"/>
  <c r="BS211" i="3"/>
  <c r="BT211" i="3"/>
  <c r="BU211" i="3"/>
  <c r="BV211" i="3"/>
  <c r="BW211" i="3"/>
  <c r="BX211" i="3"/>
  <c r="BY211" i="3"/>
  <c r="BZ211" i="3"/>
  <c r="CA211" i="3"/>
  <c r="CB211" i="3"/>
  <c r="CC211" i="3"/>
  <c r="CD211" i="3"/>
  <c r="CE211" i="3"/>
  <c r="CF211" i="3"/>
  <c r="CG211" i="3"/>
  <c r="CH211" i="3"/>
  <c r="CI211" i="3"/>
  <c r="CJ211" i="3"/>
  <c r="CK211" i="3"/>
  <c r="CL211" i="3"/>
  <c r="CM211" i="3"/>
  <c r="CN211" i="3"/>
  <c r="CO211" i="3"/>
  <c r="CP211" i="3"/>
  <c r="CQ211" i="3"/>
  <c r="CR211" i="3"/>
  <c r="CS211" i="3"/>
  <c r="CT211" i="3"/>
  <c r="CU211" i="3"/>
  <c r="CV211" i="3"/>
  <c r="CW211" i="3"/>
  <c r="CX211" i="3"/>
  <c r="CY211" i="3"/>
  <c r="CZ211" i="3"/>
  <c r="DA211" i="3"/>
  <c r="DB211" i="3"/>
  <c r="DC211" i="3"/>
  <c r="DD211" i="3"/>
  <c r="DE211" i="3"/>
  <c r="DF211" i="3"/>
  <c r="DG211" i="3"/>
  <c r="DH211" i="3"/>
  <c r="DI211" i="3"/>
  <c r="DJ211" i="3"/>
  <c r="DK211" i="3"/>
  <c r="DL211" i="3"/>
  <c r="DM211" i="3"/>
  <c r="DN211" i="3"/>
  <c r="DO211" i="3"/>
  <c r="DP211" i="3"/>
  <c r="DQ211" i="3"/>
  <c r="DR211" i="3"/>
  <c r="DS211" i="3"/>
  <c r="DT211" i="3"/>
  <c r="DU211" i="3"/>
  <c r="DV211" i="3"/>
  <c r="DW211" i="3"/>
  <c r="DX211" i="3"/>
  <c r="DY211" i="3"/>
  <c r="DZ211" i="3"/>
  <c r="EA211" i="3"/>
  <c r="EB211" i="3"/>
  <c r="EC211" i="3"/>
  <c r="ED211" i="3"/>
  <c r="EE211" i="3"/>
  <c r="EF211" i="3"/>
  <c r="EG211" i="3"/>
  <c r="EH211" i="3"/>
  <c r="EI211" i="3"/>
  <c r="EJ211" i="3"/>
  <c r="EK211" i="3"/>
  <c r="EL211" i="3"/>
  <c r="EM211" i="3"/>
  <c r="EN211" i="3"/>
  <c r="EO211" i="3"/>
  <c r="EP211" i="3"/>
  <c r="EQ211" i="3"/>
  <c r="ER211" i="3"/>
  <c r="ES211" i="3"/>
  <c r="ET211" i="3"/>
  <c r="EU211" i="3"/>
  <c r="EV211" i="3"/>
  <c r="EW211" i="3"/>
  <c r="EX211" i="3"/>
  <c r="EY211" i="3"/>
  <c r="EZ211" i="3"/>
  <c r="FA211" i="3"/>
  <c r="FB211" i="3"/>
  <c r="FC211" i="3"/>
  <c r="FD211" i="3"/>
  <c r="FE211" i="3"/>
  <c r="FF211" i="3"/>
  <c r="FG211" i="3"/>
  <c r="FH211" i="3"/>
  <c r="FI211" i="3"/>
  <c r="FJ211" i="3"/>
  <c r="FK211" i="3"/>
  <c r="FL211" i="3"/>
  <c r="FM211" i="3"/>
  <c r="FN211" i="3"/>
  <c r="FO211" i="3"/>
  <c r="FP211" i="3"/>
  <c r="FQ211" i="3"/>
  <c r="FR211" i="3"/>
  <c r="FS211" i="3"/>
  <c r="FT211" i="3"/>
  <c r="FU211" i="3"/>
  <c r="FV211" i="3"/>
  <c r="FW211" i="3"/>
  <c r="FX211" i="3"/>
  <c r="FY211" i="3"/>
  <c r="FZ211" i="3"/>
  <c r="GA211" i="3"/>
  <c r="GB211" i="3"/>
  <c r="GC211" i="3"/>
  <c r="GD211" i="3"/>
  <c r="GE211" i="3"/>
  <c r="GF211" i="3"/>
  <c r="GG211" i="3"/>
  <c r="GH211" i="3"/>
  <c r="GI211" i="3"/>
  <c r="GJ211" i="3"/>
  <c r="GK211" i="3"/>
  <c r="GL211" i="3"/>
  <c r="GM211" i="3"/>
  <c r="GN211" i="3"/>
  <c r="GO211" i="3"/>
  <c r="GP211" i="3"/>
  <c r="GQ211" i="3"/>
  <c r="GR211" i="3"/>
  <c r="GS211" i="3"/>
  <c r="GT211" i="3"/>
  <c r="GU211" i="3"/>
  <c r="GV211" i="3"/>
  <c r="GW211" i="3"/>
  <c r="GX211" i="3"/>
  <c r="GY211" i="3"/>
  <c r="GZ211" i="3"/>
  <c r="HA211" i="3"/>
  <c r="HB211" i="3"/>
  <c r="HC211" i="3"/>
  <c r="HD211" i="3"/>
  <c r="HE211" i="3"/>
  <c r="HF211" i="3"/>
  <c r="HG211" i="3"/>
  <c r="HH211" i="3"/>
  <c r="HI211" i="3"/>
  <c r="HJ211" i="3"/>
  <c r="HK211" i="3"/>
  <c r="HL211" i="3"/>
  <c r="HM211" i="3"/>
  <c r="HN211" i="3"/>
  <c r="HO211" i="3"/>
  <c r="HP211" i="3"/>
  <c r="HQ211" i="3"/>
  <c r="HR211" i="3"/>
  <c r="HS211" i="3"/>
  <c r="HT211" i="3"/>
  <c r="HU211" i="3"/>
  <c r="HV211" i="3"/>
  <c r="HW211" i="3"/>
  <c r="HX211" i="3"/>
  <c r="HY211" i="3"/>
  <c r="HZ211" i="3"/>
  <c r="IA211" i="3"/>
  <c r="IB211" i="3"/>
  <c r="IC211" i="3"/>
  <c r="ID211" i="3"/>
  <c r="IE211" i="3"/>
  <c r="IF211" i="3"/>
  <c r="IG211" i="3"/>
  <c r="IH211" i="3"/>
  <c r="II211" i="3"/>
  <c r="IJ211" i="3"/>
  <c r="IK211" i="3"/>
  <c r="IL211" i="3"/>
  <c r="IM211" i="3"/>
  <c r="IN211" i="3"/>
  <c r="IO211" i="3"/>
  <c r="IP211" i="3"/>
  <c r="IQ211" i="3"/>
  <c r="IR211" i="3"/>
  <c r="IS211" i="3"/>
  <c r="IT211" i="3"/>
  <c r="IU211" i="3"/>
  <c r="IV211" i="3"/>
  <c r="A210" i="3"/>
  <c r="B210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Y210" i="3"/>
  <c r="Z210" i="3"/>
  <c r="AA210" i="3"/>
  <c r="AB210" i="3"/>
  <c r="AC210" i="3"/>
  <c r="AD210" i="3"/>
  <c r="AE210" i="3"/>
  <c r="AF210" i="3"/>
  <c r="AG210" i="3"/>
  <c r="AH210" i="3"/>
  <c r="AI210" i="3"/>
  <c r="AJ210" i="3"/>
  <c r="AK210" i="3"/>
  <c r="AL210" i="3"/>
  <c r="AM210" i="3"/>
  <c r="AN210" i="3"/>
  <c r="AO210" i="3"/>
  <c r="AP210" i="3"/>
  <c r="AQ210" i="3"/>
  <c r="AR210" i="3"/>
  <c r="AS210" i="3"/>
  <c r="AT210" i="3"/>
  <c r="AU210" i="3"/>
  <c r="AV210" i="3"/>
  <c r="AW210" i="3"/>
  <c r="AX210" i="3"/>
  <c r="AY210" i="3"/>
  <c r="AZ210" i="3"/>
  <c r="BA210" i="3"/>
  <c r="BB210" i="3"/>
  <c r="BC210" i="3"/>
  <c r="BD210" i="3"/>
  <c r="BE210" i="3"/>
  <c r="BF210" i="3"/>
  <c r="BG210" i="3"/>
  <c r="BH210" i="3"/>
  <c r="BI210" i="3"/>
  <c r="BJ210" i="3"/>
  <c r="BK210" i="3"/>
  <c r="BL210" i="3"/>
  <c r="BM210" i="3"/>
  <c r="BN210" i="3"/>
  <c r="BO210" i="3"/>
  <c r="BP210" i="3"/>
  <c r="BQ210" i="3"/>
  <c r="BR210" i="3"/>
  <c r="BS210" i="3"/>
  <c r="BT210" i="3"/>
  <c r="BU210" i="3"/>
  <c r="BV210" i="3"/>
  <c r="BW210" i="3"/>
  <c r="BX210" i="3"/>
  <c r="BY210" i="3"/>
  <c r="BZ210" i="3"/>
  <c r="CA210" i="3"/>
  <c r="CB210" i="3"/>
  <c r="CC210" i="3"/>
  <c r="CD210" i="3"/>
  <c r="CE210" i="3"/>
  <c r="CF210" i="3"/>
  <c r="CG210" i="3"/>
  <c r="CH210" i="3"/>
  <c r="CI210" i="3"/>
  <c r="CJ210" i="3"/>
  <c r="CK210" i="3"/>
  <c r="CL210" i="3"/>
  <c r="CM210" i="3"/>
  <c r="CN210" i="3"/>
  <c r="CO210" i="3"/>
  <c r="CP210" i="3"/>
  <c r="CQ210" i="3"/>
  <c r="CR210" i="3"/>
  <c r="CS210" i="3"/>
  <c r="CT210" i="3"/>
  <c r="CU210" i="3"/>
  <c r="CV210" i="3"/>
  <c r="CW210" i="3"/>
  <c r="CX210" i="3"/>
  <c r="CY210" i="3"/>
  <c r="CZ210" i="3"/>
  <c r="DA210" i="3"/>
  <c r="DB210" i="3"/>
  <c r="DC210" i="3"/>
  <c r="DD210" i="3"/>
  <c r="DE210" i="3"/>
  <c r="DF210" i="3"/>
  <c r="DG210" i="3"/>
  <c r="DH210" i="3"/>
  <c r="DI210" i="3"/>
  <c r="DJ210" i="3"/>
  <c r="DK210" i="3"/>
  <c r="DL210" i="3"/>
  <c r="DM210" i="3"/>
  <c r="DN210" i="3"/>
  <c r="DO210" i="3"/>
  <c r="DP210" i="3"/>
  <c r="DQ210" i="3"/>
  <c r="DR210" i="3"/>
  <c r="DS210" i="3"/>
  <c r="DT210" i="3"/>
  <c r="DU210" i="3"/>
  <c r="DV210" i="3"/>
  <c r="DW210" i="3"/>
  <c r="DX210" i="3"/>
  <c r="DY210" i="3"/>
  <c r="DZ210" i="3"/>
  <c r="EA210" i="3"/>
  <c r="EB210" i="3"/>
  <c r="EC210" i="3"/>
  <c r="ED210" i="3"/>
  <c r="EE210" i="3"/>
  <c r="EF210" i="3"/>
  <c r="EG210" i="3"/>
  <c r="EH210" i="3"/>
  <c r="EI210" i="3"/>
  <c r="EJ210" i="3"/>
  <c r="EK210" i="3"/>
  <c r="EL210" i="3"/>
  <c r="EM210" i="3"/>
  <c r="EN210" i="3"/>
  <c r="EO210" i="3"/>
  <c r="EP210" i="3"/>
  <c r="EQ210" i="3"/>
  <c r="ER210" i="3"/>
  <c r="ES210" i="3"/>
  <c r="ET210" i="3"/>
  <c r="EU210" i="3"/>
  <c r="EV210" i="3"/>
  <c r="EW210" i="3"/>
  <c r="EX210" i="3"/>
  <c r="EY210" i="3"/>
  <c r="EZ210" i="3"/>
  <c r="FA210" i="3"/>
  <c r="FB210" i="3"/>
  <c r="FC210" i="3"/>
  <c r="FD210" i="3"/>
  <c r="FE210" i="3"/>
  <c r="FF210" i="3"/>
  <c r="FG210" i="3"/>
  <c r="FH210" i="3"/>
  <c r="FI210" i="3"/>
  <c r="FJ210" i="3"/>
  <c r="FK210" i="3"/>
  <c r="FL210" i="3"/>
  <c r="FM210" i="3"/>
  <c r="FN210" i="3"/>
  <c r="FO210" i="3"/>
  <c r="FP210" i="3"/>
  <c r="FQ210" i="3"/>
  <c r="FR210" i="3"/>
  <c r="FS210" i="3"/>
  <c r="FT210" i="3"/>
  <c r="FU210" i="3"/>
  <c r="FV210" i="3"/>
  <c r="FW210" i="3"/>
  <c r="FX210" i="3"/>
  <c r="FY210" i="3"/>
  <c r="FZ210" i="3"/>
  <c r="GA210" i="3"/>
  <c r="GB210" i="3"/>
  <c r="GC210" i="3"/>
  <c r="GD210" i="3"/>
  <c r="GE210" i="3"/>
  <c r="GF210" i="3"/>
  <c r="GG210" i="3"/>
  <c r="GH210" i="3"/>
  <c r="GI210" i="3"/>
  <c r="GJ210" i="3"/>
  <c r="GK210" i="3"/>
  <c r="GL210" i="3"/>
  <c r="GM210" i="3"/>
  <c r="GN210" i="3"/>
  <c r="GO210" i="3"/>
  <c r="GP210" i="3"/>
  <c r="GQ210" i="3"/>
  <c r="GR210" i="3"/>
  <c r="GS210" i="3"/>
  <c r="GT210" i="3"/>
  <c r="GU210" i="3"/>
  <c r="GV210" i="3"/>
  <c r="GW210" i="3"/>
  <c r="GX210" i="3"/>
  <c r="GY210" i="3"/>
  <c r="GZ210" i="3"/>
  <c r="HA210" i="3"/>
  <c r="HB210" i="3"/>
  <c r="HC210" i="3"/>
  <c r="HD210" i="3"/>
  <c r="HE210" i="3"/>
  <c r="HF210" i="3"/>
  <c r="HG210" i="3"/>
  <c r="HH210" i="3"/>
  <c r="HI210" i="3"/>
  <c r="HJ210" i="3"/>
  <c r="HK210" i="3"/>
  <c r="HL210" i="3"/>
  <c r="HM210" i="3"/>
  <c r="HN210" i="3"/>
  <c r="HO210" i="3"/>
  <c r="HP210" i="3"/>
  <c r="HQ210" i="3"/>
  <c r="HR210" i="3"/>
  <c r="HS210" i="3"/>
  <c r="HT210" i="3"/>
  <c r="HU210" i="3"/>
  <c r="HV210" i="3"/>
  <c r="HW210" i="3"/>
  <c r="HX210" i="3"/>
  <c r="HY210" i="3"/>
  <c r="HZ210" i="3"/>
  <c r="IA210" i="3"/>
  <c r="IB210" i="3"/>
  <c r="IC210" i="3"/>
  <c r="ID210" i="3"/>
  <c r="IE210" i="3"/>
  <c r="IF210" i="3"/>
  <c r="IG210" i="3"/>
  <c r="IH210" i="3"/>
  <c r="II210" i="3"/>
  <c r="IJ210" i="3"/>
  <c r="IK210" i="3"/>
  <c r="IL210" i="3"/>
  <c r="IM210" i="3"/>
  <c r="IN210" i="3"/>
  <c r="IO210" i="3"/>
  <c r="IP210" i="3"/>
  <c r="IQ210" i="3"/>
  <c r="IR210" i="3"/>
  <c r="IS210" i="3"/>
  <c r="IT210" i="3"/>
  <c r="IU210" i="3"/>
  <c r="IV210" i="3"/>
  <c r="A209" i="3"/>
  <c r="B209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Y209" i="3"/>
  <c r="Z209" i="3"/>
  <c r="AA209" i="3"/>
  <c r="AB209" i="3"/>
  <c r="AC209" i="3"/>
  <c r="AD209" i="3"/>
  <c r="AE209" i="3"/>
  <c r="AF209" i="3"/>
  <c r="AG209" i="3"/>
  <c r="AH209" i="3"/>
  <c r="AI209" i="3"/>
  <c r="AJ209" i="3"/>
  <c r="AK209" i="3"/>
  <c r="AL209" i="3"/>
  <c r="AM209" i="3"/>
  <c r="AN209" i="3"/>
  <c r="AO209" i="3"/>
  <c r="AP209" i="3"/>
  <c r="AQ209" i="3"/>
  <c r="AR209" i="3"/>
  <c r="AS209" i="3"/>
  <c r="AT209" i="3"/>
  <c r="AU209" i="3"/>
  <c r="AV209" i="3"/>
  <c r="AW209" i="3"/>
  <c r="AX209" i="3"/>
  <c r="AY209" i="3"/>
  <c r="AZ209" i="3"/>
  <c r="BA209" i="3"/>
  <c r="BB209" i="3"/>
  <c r="BC209" i="3"/>
  <c r="BD209" i="3"/>
  <c r="BE209" i="3"/>
  <c r="BF209" i="3"/>
  <c r="BG209" i="3"/>
  <c r="BH209" i="3"/>
  <c r="BI209" i="3"/>
  <c r="BJ209" i="3"/>
  <c r="BK209" i="3"/>
  <c r="BL209" i="3"/>
  <c r="BM209" i="3"/>
  <c r="BN209" i="3"/>
  <c r="BO209" i="3"/>
  <c r="BP209" i="3"/>
  <c r="BQ209" i="3"/>
  <c r="BR209" i="3"/>
  <c r="BS209" i="3"/>
  <c r="BT209" i="3"/>
  <c r="BU209" i="3"/>
  <c r="BV209" i="3"/>
  <c r="BW209" i="3"/>
  <c r="BX209" i="3"/>
  <c r="BY209" i="3"/>
  <c r="BZ209" i="3"/>
  <c r="CA209" i="3"/>
  <c r="CB209" i="3"/>
  <c r="CC209" i="3"/>
  <c r="CD209" i="3"/>
  <c r="CE209" i="3"/>
  <c r="CF209" i="3"/>
  <c r="CG209" i="3"/>
  <c r="CH209" i="3"/>
  <c r="CI209" i="3"/>
  <c r="CJ209" i="3"/>
  <c r="CK209" i="3"/>
  <c r="CL209" i="3"/>
  <c r="CM209" i="3"/>
  <c r="CN209" i="3"/>
  <c r="CO209" i="3"/>
  <c r="CP209" i="3"/>
  <c r="CQ209" i="3"/>
  <c r="CR209" i="3"/>
  <c r="CS209" i="3"/>
  <c r="CT209" i="3"/>
  <c r="CU209" i="3"/>
  <c r="CV209" i="3"/>
  <c r="CW209" i="3"/>
  <c r="CX209" i="3"/>
  <c r="CY209" i="3"/>
  <c r="CZ209" i="3"/>
  <c r="DA209" i="3"/>
  <c r="DB209" i="3"/>
  <c r="DC209" i="3"/>
  <c r="DD209" i="3"/>
  <c r="DE209" i="3"/>
  <c r="DF209" i="3"/>
  <c r="DG209" i="3"/>
  <c r="DH209" i="3"/>
  <c r="DI209" i="3"/>
  <c r="DJ209" i="3"/>
  <c r="DK209" i="3"/>
  <c r="DL209" i="3"/>
  <c r="DM209" i="3"/>
  <c r="DN209" i="3"/>
  <c r="DO209" i="3"/>
  <c r="DP209" i="3"/>
  <c r="DQ209" i="3"/>
  <c r="DR209" i="3"/>
  <c r="DS209" i="3"/>
  <c r="DT209" i="3"/>
  <c r="DU209" i="3"/>
  <c r="DV209" i="3"/>
  <c r="DW209" i="3"/>
  <c r="DX209" i="3"/>
  <c r="DY209" i="3"/>
  <c r="DZ209" i="3"/>
  <c r="EA209" i="3"/>
  <c r="EB209" i="3"/>
  <c r="EC209" i="3"/>
  <c r="ED209" i="3"/>
  <c r="EE209" i="3"/>
  <c r="EF209" i="3"/>
  <c r="EG209" i="3"/>
  <c r="EH209" i="3"/>
  <c r="EI209" i="3"/>
  <c r="EJ209" i="3"/>
  <c r="EK209" i="3"/>
  <c r="EL209" i="3"/>
  <c r="EM209" i="3"/>
  <c r="EN209" i="3"/>
  <c r="EO209" i="3"/>
  <c r="EP209" i="3"/>
  <c r="EQ209" i="3"/>
  <c r="ER209" i="3"/>
  <c r="ES209" i="3"/>
  <c r="ET209" i="3"/>
  <c r="EU209" i="3"/>
  <c r="EV209" i="3"/>
  <c r="EW209" i="3"/>
  <c r="EX209" i="3"/>
  <c r="EY209" i="3"/>
  <c r="EZ209" i="3"/>
  <c r="FA209" i="3"/>
  <c r="FB209" i="3"/>
  <c r="FC209" i="3"/>
  <c r="FD209" i="3"/>
  <c r="FE209" i="3"/>
  <c r="FF209" i="3"/>
  <c r="FG209" i="3"/>
  <c r="FH209" i="3"/>
  <c r="FI209" i="3"/>
  <c r="FJ209" i="3"/>
  <c r="FK209" i="3"/>
  <c r="FL209" i="3"/>
  <c r="FM209" i="3"/>
  <c r="FN209" i="3"/>
  <c r="FO209" i="3"/>
  <c r="FP209" i="3"/>
  <c r="FQ209" i="3"/>
  <c r="FR209" i="3"/>
  <c r="FS209" i="3"/>
  <c r="FT209" i="3"/>
  <c r="FU209" i="3"/>
  <c r="FV209" i="3"/>
  <c r="FW209" i="3"/>
  <c r="FX209" i="3"/>
  <c r="FY209" i="3"/>
  <c r="FZ209" i="3"/>
  <c r="GA209" i="3"/>
  <c r="GB209" i="3"/>
  <c r="GC209" i="3"/>
  <c r="GD209" i="3"/>
  <c r="GE209" i="3"/>
  <c r="GF209" i="3"/>
  <c r="GG209" i="3"/>
  <c r="GH209" i="3"/>
  <c r="GI209" i="3"/>
  <c r="GJ209" i="3"/>
  <c r="GK209" i="3"/>
  <c r="GL209" i="3"/>
  <c r="GM209" i="3"/>
  <c r="GN209" i="3"/>
  <c r="GO209" i="3"/>
  <c r="GP209" i="3"/>
  <c r="GQ209" i="3"/>
  <c r="GR209" i="3"/>
  <c r="GS209" i="3"/>
  <c r="GT209" i="3"/>
  <c r="GU209" i="3"/>
  <c r="GV209" i="3"/>
  <c r="GW209" i="3"/>
  <c r="GX209" i="3"/>
  <c r="GY209" i="3"/>
  <c r="GZ209" i="3"/>
  <c r="HA209" i="3"/>
  <c r="HB209" i="3"/>
  <c r="HC209" i="3"/>
  <c r="HD209" i="3"/>
  <c r="HE209" i="3"/>
  <c r="HF209" i="3"/>
  <c r="HG209" i="3"/>
  <c r="HH209" i="3"/>
  <c r="HI209" i="3"/>
  <c r="HJ209" i="3"/>
  <c r="HK209" i="3"/>
  <c r="HL209" i="3"/>
  <c r="HM209" i="3"/>
  <c r="HN209" i="3"/>
  <c r="HO209" i="3"/>
  <c r="HP209" i="3"/>
  <c r="HQ209" i="3"/>
  <c r="HR209" i="3"/>
  <c r="HS209" i="3"/>
  <c r="HT209" i="3"/>
  <c r="HU209" i="3"/>
  <c r="HV209" i="3"/>
  <c r="HW209" i="3"/>
  <c r="HX209" i="3"/>
  <c r="HY209" i="3"/>
  <c r="HZ209" i="3"/>
  <c r="IA209" i="3"/>
  <c r="IB209" i="3"/>
  <c r="IC209" i="3"/>
  <c r="ID209" i="3"/>
  <c r="IE209" i="3"/>
  <c r="IF209" i="3"/>
  <c r="IG209" i="3"/>
  <c r="IH209" i="3"/>
  <c r="II209" i="3"/>
  <c r="IJ209" i="3"/>
  <c r="IK209" i="3"/>
  <c r="IL209" i="3"/>
  <c r="IM209" i="3"/>
  <c r="IN209" i="3"/>
  <c r="IO209" i="3"/>
  <c r="IP209" i="3"/>
  <c r="IQ209" i="3"/>
  <c r="IR209" i="3"/>
  <c r="IS209" i="3"/>
  <c r="IT209" i="3"/>
  <c r="IU209" i="3"/>
  <c r="IV209" i="3"/>
  <c r="A208" i="3"/>
  <c r="B208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Y208" i="3"/>
  <c r="Z208" i="3"/>
  <c r="AA208" i="3"/>
  <c r="AB208" i="3"/>
  <c r="AC208" i="3"/>
  <c r="AD208" i="3"/>
  <c r="AE208" i="3"/>
  <c r="AF208" i="3"/>
  <c r="AG208" i="3"/>
  <c r="AH208" i="3"/>
  <c r="AI208" i="3"/>
  <c r="AJ208" i="3"/>
  <c r="AK208" i="3"/>
  <c r="AL208" i="3"/>
  <c r="AM208" i="3"/>
  <c r="AN208" i="3"/>
  <c r="AO208" i="3"/>
  <c r="AP208" i="3"/>
  <c r="AQ208" i="3"/>
  <c r="AR208" i="3"/>
  <c r="AS208" i="3"/>
  <c r="AT208" i="3"/>
  <c r="AU208" i="3"/>
  <c r="AV208" i="3"/>
  <c r="AW208" i="3"/>
  <c r="AX208" i="3"/>
  <c r="AY208" i="3"/>
  <c r="AZ208" i="3"/>
  <c r="BA208" i="3"/>
  <c r="BB208" i="3"/>
  <c r="BC208" i="3"/>
  <c r="BD208" i="3"/>
  <c r="BE208" i="3"/>
  <c r="BF208" i="3"/>
  <c r="BG208" i="3"/>
  <c r="BH208" i="3"/>
  <c r="BI208" i="3"/>
  <c r="BJ208" i="3"/>
  <c r="BK208" i="3"/>
  <c r="BL208" i="3"/>
  <c r="BM208" i="3"/>
  <c r="BN208" i="3"/>
  <c r="BO208" i="3"/>
  <c r="BP208" i="3"/>
  <c r="BQ208" i="3"/>
  <c r="BR208" i="3"/>
  <c r="BS208" i="3"/>
  <c r="BT208" i="3"/>
  <c r="BU208" i="3"/>
  <c r="BV208" i="3"/>
  <c r="BW208" i="3"/>
  <c r="BX208" i="3"/>
  <c r="BY208" i="3"/>
  <c r="BZ208" i="3"/>
  <c r="CA208" i="3"/>
  <c r="CB208" i="3"/>
  <c r="CC208" i="3"/>
  <c r="CD208" i="3"/>
  <c r="CE208" i="3"/>
  <c r="CF208" i="3"/>
  <c r="CG208" i="3"/>
  <c r="CH208" i="3"/>
  <c r="CI208" i="3"/>
  <c r="CJ208" i="3"/>
  <c r="CK208" i="3"/>
  <c r="CL208" i="3"/>
  <c r="CM208" i="3"/>
  <c r="CN208" i="3"/>
  <c r="CO208" i="3"/>
  <c r="CP208" i="3"/>
  <c r="CQ208" i="3"/>
  <c r="CR208" i="3"/>
  <c r="CS208" i="3"/>
  <c r="CT208" i="3"/>
  <c r="CU208" i="3"/>
  <c r="CV208" i="3"/>
  <c r="CW208" i="3"/>
  <c r="CX208" i="3"/>
  <c r="CY208" i="3"/>
  <c r="CZ208" i="3"/>
  <c r="DA208" i="3"/>
  <c r="DB208" i="3"/>
  <c r="DC208" i="3"/>
  <c r="DD208" i="3"/>
  <c r="DE208" i="3"/>
  <c r="DF208" i="3"/>
  <c r="DG208" i="3"/>
  <c r="DH208" i="3"/>
  <c r="DI208" i="3"/>
  <c r="DJ208" i="3"/>
  <c r="DK208" i="3"/>
  <c r="DL208" i="3"/>
  <c r="DM208" i="3"/>
  <c r="DN208" i="3"/>
  <c r="DO208" i="3"/>
  <c r="DP208" i="3"/>
  <c r="DQ208" i="3"/>
  <c r="DR208" i="3"/>
  <c r="DS208" i="3"/>
  <c r="DT208" i="3"/>
  <c r="DU208" i="3"/>
  <c r="DV208" i="3"/>
  <c r="DW208" i="3"/>
  <c r="DX208" i="3"/>
  <c r="DY208" i="3"/>
  <c r="DZ208" i="3"/>
  <c r="EA208" i="3"/>
  <c r="EB208" i="3"/>
  <c r="EC208" i="3"/>
  <c r="ED208" i="3"/>
  <c r="EE208" i="3"/>
  <c r="EF208" i="3"/>
  <c r="EG208" i="3"/>
  <c r="EH208" i="3"/>
  <c r="EI208" i="3"/>
  <c r="EJ208" i="3"/>
  <c r="EK208" i="3"/>
  <c r="EL208" i="3"/>
  <c r="EM208" i="3"/>
  <c r="EN208" i="3"/>
  <c r="EO208" i="3"/>
  <c r="EP208" i="3"/>
  <c r="EQ208" i="3"/>
  <c r="ER208" i="3"/>
  <c r="ES208" i="3"/>
  <c r="ET208" i="3"/>
  <c r="EU208" i="3"/>
  <c r="EV208" i="3"/>
  <c r="EW208" i="3"/>
  <c r="EX208" i="3"/>
  <c r="EY208" i="3"/>
  <c r="EZ208" i="3"/>
  <c r="FA208" i="3"/>
  <c r="FB208" i="3"/>
  <c r="FC208" i="3"/>
  <c r="FD208" i="3"/>
  <c r="FE208" i="3"/>
  <c r="FF208" i="3"/>
  <c r="FG208" i="3"/>
  <c r="FH208" i="3"/>
  <c r="FI208" i="3"/>
  <c r="FJ208" i="3"/>
  <c r="FK208" i="3"/>
  <c r="FL208" i="3"/>
  <c r="FM208" i="3"/>
  <c r="FN208" i="3"/>
  <c r="FO208" i="3"/>
  <c r="FP208" i="3"/>
  <c r="FQ208" i="3"/>
  <c r="FR208" i="3"/>
  <c r="FS208" i="3"/>
  <c r="FT208" i="3"/>
  <c r="FU208" i="3"/>
  <c r="FV208" i="3"/>
  <c r="FW208" i="3"/>
  <c r="FX208" i="3"/>
  <c r="FY208" i="3"/>
  <c r="FZ208" i="3"/>
  <c r="GA208" i="3"/>
  <c r="GB208" i="3"/>
  <c r="GC208" i="3"/>
  <c r="GD208" i="3"/>
  <c r="GE208" i="3"/>
  <c r="GF208" i="3"/>
  <c r="GG208" i="3"/>
  <c r="GH208" i="3"/>
  <c r="GI208" i="3"/>
  <c r="GJ208" i="3"/>
  <c r="GK208" i="3"/>
  <c r="GL208" i="3"/>
  <c r="GM208" i="3"/>
  <c r="GN208" i="3"/>
  <c r="GO208" i="3"/>
  <c r="GP208" i="3"/>
  <c r="GQ208" i="3"/>
  <c r="GR208" i="3"/>
  <c r="GS208" i="3"/>
  <c r="GT208" i="3"/>
  <c r="GU208" i="3"/>
  <c r="GV208" i="3"/>
  <c r="GW208" i="3"/>
  <c r="GX208" i="3"/>
  <c r="GY208" i="3"/>
  <c r="GZ208" i="3"/>
  <c r="HA208" i="3"/>
  <c r="HB208" i="3"/>
  <c r="HC208" i="3"/>
  <c r="HD208" i="3"/>
  <c r="HE208" i="3"/>
  <c r="HF208" i="3"/>
  <c r="HG208" i="3"/>
  <c r="HH208" i="3"/>
  <c r="HI208" i="3"/>
  <c r="HJ208" i="3"/>
  <c r="HK208" i="3"/>
  <c r="HL208" i="3"/>
  <c r="HM208" i="3"/>
  <c r="HN208" i="3"/>
  <c r="HO208" i="3"/>
  <c r="HP208" i="3"/>
  <c r="HQ208" i="3"/>
  <c r="HR208" i="3"/>
  <c r="HS208" i="3"/>
  <c r="HT208" i="3"/>
  <c r="HU208" i="3"/>
  <c r="HV208" i="3"/>
  <c r="HW208" i="3"/>
  <c r="HX208" i="3"/>
  <c r="HY208" i="3"/>
  <c r="HZ208" i="3"/>
  <c r="IA208" i="3"/>
  <c r="IB208" i="3"/>
  <c r="IC208" i="3"/>
  <c r="ID208" i="3"/>
  <c r="IE208" i="3"/>
  <c r="IF208" i="3"/>
  <c r="IG208" i="3"/>
  <c r="IH208" i="3"/>
  <c r="II208" i="3"/>
  <c r="IJ208" i="3"/>
  <c r="IK208" i="3"/>
  <c r="IL208" i="3"/>
  <c r="IM208" i="3"/>
  <c r="IN208" i="3"/>
  <c r="IO208" i="3"/>
  <c r="IP208" i="3"/>
  <c r="IQ208" i="3"/>
  <c r="IR208" i="3"/>
  <c r="IS208" i="3"/>
  <c r="IT208" i="3"/>
  <c r="IU208" i="3"/>
  <c r="IV208" i="3"/>
  <c r="A207" i="3"/>
  <c r="B207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AH207" i="3"/>
  <c r="AI207" i="3"/>
  <c r="AJ207" i="3"/>
  <c r="AK207" i="3"/>
  <c r="AL207" i="3"/>
  <c r="AM207" i="3"/>
  <c r="AN207" i="3"/>
  <c r="AO207" i="3"/>
  <c r="AP207" i="3"/>
  <c r="AQ207" i="3"/>
  <c r="AR207" i="3"/>
  <c r="AS207" i="3"/>
  <c r="AT207" i="3"/>
  <c r="AU207" i="3"/>
  <c r="AV207" i="3"/>
  <c r="AW207" i="3"/>
  <c r="AX207" i="3"/>
  <c r="AY207" i="3"/>
  <c r="AZ207" i="3"/>
  <c r="BA207" i="3"/>
  <c r="BB207" i="3"/>
  <c r="BC207" i="3"/>
  <c r="BD207" i="3"/>
  <c r="BE207" i="3"/>
  <c r="BF207" i="3"/>
  <c r="BG207" i="3"/>
  <c r="BH207" i="3"/>
  <c r="BI207" i="3"/>
  <c r="BJ207" i="3"/>
  <c r="BK207" i="3"/>
  <c r="BL207" i="3"/>
  <c r="BM207" i="3"/>
  <c r="BN207" i="3"/>
  <c r="BO207" i="3"/>
  <c r="BP207" i="3"/>
  <c r="BQ207" i="3"/>
  <c r="BR207" i="3"/>
  <c r="BS207" i="3"/>
  <c r="BT207" i="3"/>
  <c r="BU207" i="3"/>
  <c r="BV207" i="3"/>
  <c r="BW207" i="3"/>
  <c r="BX207" i="3"/>
  <c r="BY207" i="3"/>
  <c r="BZ207" i="3"/>
  <c r="CA207" i="3"/>
  <c r="CB207" i="3"/>
  <c r="CC207" i="3"/>
  <c r="CD207" i="3"/>
  <c r="CE207" i="3"/>
  <c r="CF207" i="3"/>
  <c r="CG207" i="3"/>
  <c r="CH207" i="3"/>
  <c r="CI207" i="3"/>
  <c r="CJ207" i="3"/>
  <c r="CK207" i="3"/>
  <c r="CL207" i="3"/>
  <c r="CM207" i="3"/>
  <c r="CN207" i="3"/>
  <c r="CO207" i="3"/>
  <c r="CP207" i="3"/>
  <c r="CQ207" i="3"/>
  <c r="CR207" i="3"/>
  <c r="CS207" i="3"/>
  <c r="CT207" i="3"/>
  <c r="CU207" i="3"/>
  <c r="CV207" i="3"/>
  <c r="CW207" i="3"/>
  <c r="CX207" i="3"/>
  <c r="CY207" i="3"/>
  <c r="CZ207" i="3"/>
  <c r="DA207" i="3"/>
  <c r="DB207" i="3"/>
  <c r="DC207" i="3"/>
  <c r="DD207" i="3"/>
  <c r="DE207" i="3"/>
  <c r="DF207" i="3"/>
  <c r="DG207" i="3"/>
  <c r="DH207" i="3"/>
  <c r="DI207" i="3"/>
  <c r="DJ207" i="3"/>
  <c r="DK207" i="3"/>
  <c r="DL207" i="3"/>
  <c r="DM207" i="3"/>
  <c r="DN207" i="3"/>
  <c r="DO207" i="3"/>
  <c r="DP207" i="3"/>
  <c r="DQ207" i="3"/>
  <c r="DR207" i="3"/>
  <c r="DS207" i="3"/>
  <c r="DT207" i="3"/>
  <c r="DU207" i="3"/>
  <c r="DV207" i="3"/>
  <c r="DW207" i="3"/>
  <c r="DX207" i="3"/>
  <c r="DY207" i="3"/>
  <c r="DZ207" i="3"/>
  <c r="EA207" i="3"/>
  <c r="EB207" i="3"/>
  <c r="EC207" i="3"/>
  <c r="ED207" i="3"/>
  <c r="EE207" i="3"/>
  <c r="EF207" i="3"/>
  <c r="EG207" i="3"/>
  <c r="EH207" i="3"/>
  <c r="EI207" i="3"/>
  <c r="EJ207" i="3"/>
  <c r="EK207" i="3"/>
  <c r="EL207" i="3"/>
  <c r="EM207" i="3"/>
  <c r="EN207" i="3"/>
  <c r="EO207" i="3"/>
  <c r="EP207" i="3"/>
  <c r="EQ207" i="3"/>
  <c r="ER207" i="3"/>
  <c r="ES207" i="3"/>
  <c r="ET207" i="3"/>
  <c r="EU207" i="3"/>
  <c r="EV207" i="3"/>
  <c r="EW207" i="3"/>
  <c r="EX207" i="3"/>
  <c r="EY207" i="3"/>
  <c r="EZ207" i="3"/>
  <c r="FA207" i="3"/>
  <c r="FB207" i="3"/>
  <c r="FC207" i="3"/>
  <c r="FD207" i="3"/>
  <c r="FE207" i="3"/>
  <c r="FF207" i="3"/>
  <c r="FG207" i="3"/>
  <c r="FH207" i="3"/>
  <c r="FI207" i="3"/>
  <c r="FJ207" i="3"/>
  <c r="FK207" i="3"/>
  <c r="FL207" i="3"/>
  <c r="FM207" i="3"/>
  <c r="FN207" i="3"/>
  <c r="FO207" i="3"/>
  <c r="FP207" i="3"/>
  <c r="FQ207" i="3"/>
  <c r="FR207" i="3"/>
  <c r="FS207" i="3"/>
  <c r="FT207" i="3"/>
  <c r="FU207" i="3"/>
  <c r="FV207" i="3"/>
  <c r="FW207" i="3"/>
  <c r="FX207" i="3"/>
  <c r="FY207" i="3"/>
  <c r="FZ207" i="3"/>
  <c r="GA207" i="3"/>
  <c r="GB207" i="3"/>
  <c r="GC207" i="3"/>
  <c r="GD207" i="3"/>
  <c r="GE207" i="3"/>
  <c r="GF207" i="3"/>
  <c r="GG207" i="3"/>
  <c r="GH207" i="3"/>
  <c r="GI207" i="3"/>
  <c r="GJ207" i="3"/>
  <c r="GK207" i="3"/>
  <c r="GL207" i="3"/>
  <c r="GM207" i="3"/>
  <c r="GN207" i="3"/>
  <c r="GO207" i="3"/>
  <c r="GP207" i="3"/>
  <c r="GQ207" i="3"/>
  <c r="GR207" i="3"/>
  <c r="GS207" i="3"/>
  <c r="GT207" i="3"/>
  <c r="GU207" i="3"/>
  <c r="GV207" i="3"/>
  <c r="GW207" i="3"/>
  <c r="GX207" i="3"/>
  <c r="GY207" i="3"/>
  <c r="GZ207" i="3"/>
  <c r="HA207" i="3"/>
  <c r="HB207" i="3"/>
  <c r="HC207" i="3"/>
  <c r="HD207" i="3"/>
  <c r="HE207" i="3"/>
  <c r="HF207" i="3"/>
  <c r="HG207" i="3"/>
  <c r="HH207" i="3"/>
  <c r="HI207" i="3"/>
  <c r="HJ207" i="3"/>
  <c r="HK207" i="3"/>
  <c r="HL207" i="3"/>
  <c r="HM207" i="3"/>
  <c r="HN207" i="3"/>
  <c r="HO207" i="3"/>
  <c r="HP207" i="3"/>
  <c r="HQ207" i="3"/>
  <c r="HR207" i="3"/>
  <c r="HS207" i="3"/>
  <c r="HT207" i="3"/>
  <c r="HU207" i="3"/>
  <c r="HV207" i="3"/>
  <c r="HW207" i="3"/>
  <c r="HX207" i="3"/>
  <c r="HY207" i="3"/>
  <c r="HZ207" i="3"/>
  <c r="IA207" i="3"/>
  <c r="IB207" i="3"/>
  <c r="IC207" i="3"/>
  <c r="ID207" i="3"/>
  <c r="IE207" i="3"/>
  <c r="IF207" i="3"/>
  <c r="IG207" i="3"/>
  <c r="IH207" i="3"/>
  <c r="II207" i="3"/>
  <c r="IJ207" i="3"/>
  <c r="IK207" i="3"/>
  <c r="IL207" i="3"/>
  <c r="IM207" i="3"/>
  <c r="IN207" i="3"/>
  <c r="IO207" i="3"/>
  <c r="IP207" i="3"/>
  <c r="IQ207" i="3"/>
  <c r="IR207" i="3"/>
  <c r="IS207" i="3"/>
  <c r="IT207" i="3"/>
  <c r="IU207" i="3"/>
  <c r="IV207" i="3"/>
  <c r="A206" i="3"/>
  <c r="B206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AH206" i="3"/>
  <c r="AI206" i="3"/>
  <c r="AJ206" i="3"/>
  <c r="AK206" i="3"/>
  <c r="AL206" i="3"/>
  <c r="AM206" i="3"/>
  <c r="AN206" i="3"/>
  <c r="AO206" i="3"/>
  <c r="AP206" i="3"/>
  <c r="AQ206" i="3"/>
  <c r="AR206" i="3"/>
  <c r="AS206" i="3"/>
  <c r="AT206" i="3"/>
  <c r="AU206" i="3"/>
  <c r="AV206" i="3"/>
  <c r="AW206" i="3"/>
  <c r="AX206" i="3"/>
  <c r="AY206" i="3"/>
  <c r="AZ206" i="3"/>
  <c r="BA206" i="3"/>
  <c r="BB206" i="3"/>
  <c r="BC206" i="3"/>
  <c r="BD206" i="3"/>
  <c r="BE206" i="3"/>
  <c r="BF206" i="3"/>
  <c r="BG206" i="3"/>
  <c r="BH206" i="3"/>
  <c r="BI206" i="3"/>
  <c r="BJ206" i="3"/>
  <c r="BK206" i="3"/>
  <c r="BL206" i="3"/>
  <c r="BM206" i="3"/>
  <c r="BN206" i="3"/>
  <c r="BO206" i="3"/>
  <c r="BP206" i="3"/>
  <c r="BQ206" i="3"/>
  <c r="BR206" i="3"/>
  <c r="BS206" i="3"/>
  <c r="BT206" i="3"/>
  <c r="BU206" i="3"/>
  <c r="BV206" i="3"/>
  <c r="BW206" i="3"/>
  <c r="BX206" i="3"/>
  <c r="BY206" i="3"/>
  <c r="BZ206" i="3"/>
  <c r="CA206" i="3"/>
  <c r="CB206" i="3"/>
  <c r="CC206" i="3"/>
  <c r="CD206" i="3"/>
  <c r="CE206" i="3"/>
  <c r="CF206" i="3"/>
  <c r="CG206" i="3"/>
  <c r="CH206" i="3"/>
  <c r="CI206" i="3"/>
  <c r="CJ206" i="3"/>
  <c r="CK206" i="3"/>
  <c r="CL206" i="3"/>
  <c r="CM206" i="3"/>
  <c r="CN206" i="3"/>
  <c r="CO206" i="3"/>
  <c r="CP206" i="3"/>
  <c r="CQ206" i="3"/>
  <c r="CR206" i="3"/>
  <c r="CS206" i="3"/>
  <c r="CT206" i="3"/>
  <c r="CU206" i="3"/>
  <c r="CV206" i="3"/>
  <c r="CW206" i="3"/>
  <c r="CX206" i="3"/>
  <c r="CY206" i="3"/>
  <c r="CZ206" i="3"/>
  <c r="DA206" i="3"/>
  <c r="DB206" i="3"/>
  <c r="DC206" i="3"/>
  <c r="DD206" i="3"/>
  <c r="DE206" i="3"/>
  <c r="DF206" i="3"/>
  <c r="DG206" i="3"/>
  <c r="DH206" i="3"/>
  <c r="DI206" i="3"/>
  <c r="DJ206" i="3"/>
  <c r="DK206" i="3"/>
  <c r="DL206" i="3"/>
  <c r="DM206" i="3"/>
  <c r="DN206" i="3"/>
  <c r="DO206" i="3"/>
  <c r="DP206" i="3"/>
  <c r="DQ206" i="3"/>
  <c r="DR206" i="3"/>
  <c r="DS206" i="3"/>
  <c r="DT206" i="3"/>
  <c r="DU206" i="3"/>
  <c r="DV206" i="3"/>
  <c r="DW206" i="3"/>
  <c r="DX206" i="3"/>
  <c r="DY206" i="3"/>
  <c r="DZ206" i="3"/>
  <c r="EA206" i="3"/>
  <c r="EB206" i="3"/>
  <c r="EC206" i="3"/>
  <c r="ED206" i="3"/>
  <c r="EE206" i="3"/>
  <c r="EF206" i="3"/>
  <c r="EG206" i="3"/>
  <c r="EH206" i="3"/>
  <c r="EI206" i="3"/>
  <c r="EJ206" i="3"/>
  <c r="EK206" i="3"/>
  <c r="EL206" i="3"/>
  <c r="EM206" i="3"/>
  <c r="EN206" i="3"/>
  <c r="EO206" i="3"/>
  <c r="EP206" i="3"/>
  <c r="EQ206" i="3"/>
  <c r="ER206" i="3"/>
  <c r="ES206" i="3"/>
  <c r="ET206" i="3"/>
  <c r="EU206" i="3"/>
  <c r="EV206" i="3"/>
  <c r="EW206" i="3"/>
  <c r="EX206" i="3"/>
  <c r="EY206" i="3"/>
  <c r="EZ206" i="3"/>
  <c r="FA206" i="3"/>
  <c r="FB206" i="3"/>
  <c r="FC206" i="3"/>
  <c r="FD206" i="3"/>
  <c r="FE206" i="3"/>
  <c r="FF206" i="3"/>
  <c r="FG206" i="3"/>
  <c r="FH206" i="3"/>
  <c r="FI206" i="3"/>
  <c r="FJ206" i="3"/>
  <c r="FK206" i="3"/>
  <c r="FL206" i="3"/>
  <c r="FM206" i="3"/>
  <c r="FN206" i="3"/>
  <c r="FO206" i="3"/>
  <c r="FP206" i="3"/>
  <c r="FQ206" i="3"/>
  <c r="FR206" i="3"/>
  <c r="FS206" i="3"/>
  <c r="FT206" i="3"/>
  <c r="FU206" i="3"/>
  <c r="FV206" i="3"/>
  <c r="FW206" i="3"/>
  <c r="FX206" i="3"/>
  <c r="FY206" i="3"/>
  <c r="FZ206" i="3"/>
  <c r="GA206" i="3"/>
  <c r="GB206" i="3"/>
  <c r="GC206" i="3"/>
  <c r="GD206" i="3"/>
  <c r="GE206" i="3"/>
  <c r="GF206" i="3"/>
  <c r="GG206" i="3"/>
  <c r="GH206" i="3"/>
  <c r="GI206" i="3"/>
  <c r="GJ206" i="3"/>
  <c r="GK206" i="3"/>
  <c r="GL206" i="3"/>
  <c r="GM206" i="3"/>
  <c r="GN206" i="3"/>
  <c r="GO206" i="3"/>
  <c r="GP206" i="3"/>
  <c r="GQ206" i="3"/>
  <c r="GR206" i="3"/>
  <c r="GS206" i="3"/>
  <c r="GT206" i="3"/>
  <c r="GU206" i="3"/>
  <c r="GV206" i="3"/>
  <c r="GW206" i="3"/>
  <c r="GX206" i="3"/>
  <c r="GY206" i="3"/>
  <c r="GZ206" i="3"/>
  <c r="HA206" i="3"/>
  <c r="HB206" i="3"/>
  <c r="HC206" i="3"/>
  <c r="HD206" i="3"/>
  <c r="HE206" i="3"/>
  <c r="HF206" i="3"/>
  <c r="HG206" i="3"/>
  <c r="HH206" i="3"/>
  <c r="HI206" i="3"/>
  <c r="HJ206" i="3"/>
  <c r="HK206" i="3"/>
  <c r="HL206" i="3"/>
  <c r="HM206" i="3"/>
  <c r="HN206" i="3"/>
  <c r="HO206" i="3"/>
  <c r="HP206" i="3"/>
  <c r="HQ206" i="3"/>
  <c r="HR206" i="3"/>
  <c r="HS206" i="3"/>
  <c r="HT206" i="3"/>
  <c r="HU206" i="3"/>
  <c r="HV206" i="3"/>
  <c r="HW206" i="3"/>
  <c r="HX206" i="3"/>
  <c r="HY206" i="3"/>
  <c r="HZ206" i="3"/>
  <c r="IA206" i="3"/>
  <c r="IB206" i="3"/>
  <c r="IC206" i="3"/>
  <c r="ID206" i="3"/>
  <c r="IE206" i="3"/>
  <c r="IF206" i="3"/>
  <c r="IG206" i="3"/>
  <c r="IH206" i="3"/>
  <c r="II206" i="3"/>
  <c r="IJ206" i="3"/>
  <c r="IK206" i="3"/>
  <c r="IL206" i="3"/>
  <c r="IM206" i="3"/>
  <c r="IN206" i="3"/>
  <c r="IO206" i="3"/>
  <c r="IP206" i="3"/>
  <c r="IQ206" i="3"/>
  <c r="IR206" i="3"/>
  <c r="IS206" i="3"/>
  <c r="IT206" i="3"/>
  <c r="IU206" i="3"/>
  <c r="IV206" i="3"/>
  <c r="A205" i="3"/>
  <c r="B205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Y205" i="3"/>
  <c r="Z205" i="3"/>
  <c r="AA205" i="3"/>
  <c r="AB205" i="3"/>
  <c r="AC205" i="3"/>
  <c r="AD205" i="3"/>
  <c r="AE205" i="3"/>
  <c r="AF205" i="3"/>
  <c r="AG205" i="3"/>
  <c r="AH205" i="3"/>
  <c r="AI205" i="3"/>
  <c r="AJ205" i="3"/>
  <c r="AK205" i="3"/>
  <c r="AL205" i="3"/>
  <c r="AM205" i="3"/>
  <c r="AN205" i="3"/>
  <c r="AO205" i="3"/>
  <c r="AP205" i="3"/>
  <c r="AQ205" i="3"/>
  <c r="AR205" i="3"/>
  <c r="AS205" i="3"/>
  <c r="AT205" i="3"/>
  <c r="AU205" i="3"/>
  <c r="AV205" i="3"/>
  <c r="AW205" i="3"/>
  <c r="AX205" i="3"/>
  <c r="AY205" i="3"/>
  <c r="AZ205" i="3"/>
  <c r="BA205" i="3"/>
  <c r="BB205" i="3"/>
  <c r="BC205" i="3"/>
  <c r="BD205" i="3"/>
  <c r="BE205" i="3"/>
  <c r="BF205" i="3"/>
  <c r="BG205" i="3"/>
  <c r="BH205" i="3"/>
  <c r="BI205" i="3"/>
  <c r="BJ205" i="3"/>
  <c r="BK205" i="3"/>
  <c r="BL205" i="3"/>
  <c r="BM205" i="3"/>
  <c r="BN205" i="3"/>
  <c r="BO205" i="3"/>
  <c r="BP205" i="3"/>
  <c r="BQ205" i="3"/>
  <c r="BR205" i="3"/>
  <c r="BS205" i="3"/>
  <c r="BT205" i="3"/>
  <c r="BU205" i="3"/>
  <c r="BV205" i="3"/>
  <c r="BW205" i="3"/>
  <c r="BX205" i="3"/>
  <c r="BY205" i="3"/>
  <c r="BZ205" i="3"/>
  <c r="CA205" i="3"/>
  <c r="CB205" i="3"/>
  <c r="CC205" i="3"/>
  <c r="CD205" i="3"/>
  <c r="CE205" i="3"/>
  <c r="CF205" i="3"/>
  <c r="CG205" i="3"/>
  <c r="CH205" i="3"/>
  <c r="CI205" i="3"/>
  <c r="CJ205" i="3"/>
  <c r="CK205" i="3"/>
  <c r="CL205" i="3"/>
  <c r="CM205" i="3"/>
  <c r="CN205" i="3"/>
  <c r="CO205" i="3"/>
  <c r="CP205" i="3"/>
  <c r="CQ205" i="3"/>
  <c r="CR205" i="3"/>
  <c r="CS205" i="3"/>
  <c r="CT205" i="3"/>
  <c r="CU205" i="3"/>
  <c r="CV205" i="3"/>
  <c r="CW205" i="3"/>
  <c r="CX205" i="3"/>
  <c r="CY205" i="3"/>
  <c r="CZ205" i="3"/>
  <c r="DA205" i="3"/>
  <c r="DB205" i="3"/>
  <c r="DC205" i="3"/>
  <c r="DD205" i="3"/>
  <c r="DE205" i="3"/>
  <c r="DF205" i="3"/>
  <c r="DG205" i="3"/>
  <c r="DH205" i="3"/>
  <c r="DI205" i="3"/>
  <c r="DJ205" i="3"/>
  <c r="DK205" i="3"/>
  <c r="DL205" i="3"/>
  <c r="DM205" i="3"/>
  <c r="DN205" i="3"/>
  <c r="DO205" i="3"/>
  <c r="DP205" i="3"/>
  <c r="DQ205" i="3"/>
  <c r="DR205" i="3"/>
  <c r="DS205" i="3"/>
  <c r="DT205" i="3"/>
  <c r="DU205" i="3"/>
  <c r="DV205" i="3"/>
  <c r="DW205" i="3"/>
  <c r="DX205" i="3"/>
  <c r="DY205" i="3"/>
  <c r="DZ205" i="3"/>
  <c r="EA205" i="3"/>
  <c r="EB205" i="3"/>
  <c r="EC205" i="3"/>
  <c r="ED205" i="3"/>
  <c r="EE205" i="3"/>
  <c r="EF205" i="3"/>
  <c r="EG205" i="3"/>
  <c r="EH205" i="3"/>
  <c r="EI205" i="3"/>
  <c r="EJ205" i="3"/>
  <c r="EK205" i="3"/>
  <c r="EL205" i="3"/>
  <c r="EM205" i="3"/>
  <c r="EN205" i="3"/>
  <c r="EO205" i="3"/>
  <c r="EP205" i="3"/>
  <c r="EQ205" i="3"/>
  <c r="ER205" i="3"/>
  <c r="ES205" i="3"/>
  <c r="ET205" i="3"/>
  <c r="EU205" i="3"/>
  <c r="EV205" i="3"/>
  <c r="EW205" i="3"/>
  <c r="EX205" i="3"/>
  <c r="EY205" i="3"/>
  <c r="EZ205" i="3"/>
  <c r="FA205" i="3"/>
  <c r="FB205" i="3"/>
  <c r="FC205" i="3"/>
  <c r="FD205" i="3"/>
  <c r="FE205" i="3"/>
  <c r="FF205" i="3"/>
  <c r="FG205" i="3"/>
  <c r="FH205" i="3"/>
  <c r="FI205" i="3"/>
  <c r="FJ205" i="3"/>
  <c r="FK205" i="3"/>
  <c r="FL205" i="3"/>
  <c r="FM205" i="3"/>
  <c r="FN205" i="3"/>
  <c r="FO205" i="3"/>
  <c r="FP205" i="3"/>
  <c r="FQ205" i="3"/>
  <c r="FR205" i="3"/>
  <c r="FS205" i="3"/>
  <c r="FT205" i="3"/>
  <c r="FU205" i="3"/>
  <c r="FV205" i="3"/>
  <c r="FW205" i="3"/>
  <c r="FX205" i="3"/>
  <c r="FY205" i="3"/>
  <c r="FZ205" i="3"/>
  <c r="GA205" i="3"/>
  <c r="GB205" i="3"/>
  <c r="GC205" i="3"/>
  <c r="GD205" i="3"/>
  <c r="GE205" i="3"/>
  <c r="GF205" i="3"/>
  <c r="GG205" i="3"/>
  <c r="GH205" i="3"/>
  <c r="GI205" i="3"/>
  <c r="GJ205" i="3"/>
  <c r="GK205" i="3"/>
  <c r="GL205" i="3"/>
  <c r="GM205" i="3"/>
  <c r="GN205" i="3"/>
  <c r="GO205" i="3"/>
  <c r="GP205" i="3"/>
  <c r="GQ205" i="3"/>
  <c r="GR205" i="3"/>
  <c r="GS205" i="3"/>
  <c r="GT205" i="3"/>
  <c r="GU205" i="3"/>
  <c r="GV205" i="3"/>
  <c r="GW205" i="3"/>
  <c r="GX205" i="3"/>
  <c r="GY205" i="3"/>
  <c r="GZ205" i="3"/>
  <c r="HA205" i="3"/>
  <c r="HB205" i="3"/>
  <c r="HC205" i="3"/>
  <c r="HD205" i="3"/>
  <c r="HE205" i="3"/>
  <c r="HF205" i="3"/>
  <c r="HG205" i="3"/>
  <c r="HH205" i="3"/>
  <c r="HI205" i="3"/>
  <c r="HJ205" i="3"/>
  <c r="HK205" i="3"/>
  <c r="HL205" i="3"/>
  <c r="HM205" i="3"/>
  <c r="HN205" i="3"/>
  <c r="HO205" i="3"/>
  <c r="HP205" i="3"/>
  <c r="HQ205" i="3"/>
  <c r="HR205" i="3"/>
  <c r="HS205" i="3"/>
  <c r="HT205" i="3"/>
  <c r="HU205" i="3"/>
  <c r="HV205" i="3"/>
  <c r="HW205" i="3"/>
  <c r="HX205" i="3"/>
  <c r="HY205" i="3"/>
  <c r="HZ205" i="3"/>
  <c r="IA205" i="3"/>
  <c r="IB205" i="3"/>
  <c r="IC205" i="3"/>
  <c r="ID205" i="3"/>
  <c r="IE205" i="3"/>
  <c r="IF205" i="3"/>
  <c r="IG205" i="3"/>
  <c r="IH205" i="3"/>
  <c r="II205" i="3"/>
  <c r="IJ205" i="3"/>
  <c r="IK205" i="3"/>
  <c r="IL205" i="3"/>
  <c r="IM205" i="3"/>
  <c r="IN205" i="3"/>
  <c r="IO205" i="3"/>
  <c r="IP205" i="3"/>
  <c r="IQ205" i="3"/>
  <c r="IR205" i="3"/>
  <c r="IS205" i="3"/>
  <c r="IT205" i="3"/>
  <c r="IU205" i="3"/>
  <c r="IV205" i="3"/>
  <c r="A204" i="3"/>
  <c r="B204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Y204" i="3"/>
  <c r="Z204" i="3"/>
  <c r="AA204" i="3"/>
  <c r="AB204" i="3"/>
  <c r="AC204" i="3"/>
  <c r="AD204" i="3"/>
  <c r="AE204" i="3"/>
  <c r="AF204" i="3"/>
  <c r="AG204" i="3"/>
  <c r="AH204" i="3"/>
  <c r="AI204" i="3"/>
  <c r="AJ204" i="3"/>
  <c r="AK204" i="3"/>
  <c r="AL204" i="3"/>
  <c r="AM204" i="3"/>
  <c r="AN204" i="3"/>
  <c r="AO204" i="3"/>
  <c r="AP204" i="3"/>
  <c r="AQ204" i="3"/>
  <c r="AR204" i="3"/>
  <c r="AS204" i="3"/>
  <c r="AT204" i="3"/>
  <c r="AU204" i="3"/>
  <c r="AV204" i="3"/>
  <c r="AW204" i="3"/>
  <c r="AX204" i="3"/>
  <c r="AY204" i="3"/>
  <c r="AZ204" i="3"/>
  <c r="BA204" i="3"/>
  <c r="BB204" i="3"/>
  <c r="BC204" i="3"/>
  <c r="BD204" i="3"/>
  <c r="BE204" i="3"/>
  <c r="BF204" i="3"/>
  <c r="BG204" i="3"/>
  <c r="BH204" i="3"/>
  <c r="BI204" i="3"/>
  <c r="BJ204" i="3"/>
  <c r="BK204" i="3"/>
  <c r="BL204" i="3"/>
  <c r="BM204" i="3"/>
  <c r="BN204" i="3"/>
  <c r="BO204" i="3"/>
  <c r="BP204" i="3"/>
  <c r="BQ204" i="3"/>
  <c r="BR204" i="3"/>
  <c r="BS204" i="3"/>
  <c r="BT204" i="3"/>
  <c r="BU204" i="3"/>
  <c r="BV204" i="3"/>
  <c r="BW204" i="3"/>
  <c r="BX204" i="3"/>
  <c r="BY204" i="3"/>
  <c r="BZ204" i="3"/>
  <c r="CA204" i="3"/>
  <c r="CB204" i="3"/>
  <c r="CC204" i="3"/>
  <c r="CD204" i="3"/>
  <c r="CE204" i="3"/>
  <c r="CF204" i="3"/>
  <c r="CG204" i="3"/>
  <c r="CH204" i="3"/>
  <c r="CI204" i="3"/>
  <c r="CJ204" i="3"/>
  <c r="CK204" i="3"/>
  <c r="CL204" i="3"/>
  <c r="CM204" i="3"/>
  <c r="CN204" i="3"/>
  <c r="CO204" i="3"/>
  <c r="CP204" i="3"/>
  <c r="CQ204" i="3"/>
  <c r="CR204" i="3"/>
  <c r="CS204" i="3"/>
  <c r="CT204" i="3"/>
  <c r="CU204" i="3"/>
  <c r="CV204" i="3"/>
  <c r="CW204" i="3"/>
  <c r="CX204" i="3"/>
  <c r="CY204" i="3"/>
  <c r="CZ204" i="3"/>
  <c r="DA204" i="3"/>
  <c r="DB204" i="3"/>
  <c r="DC204" i="3"/>
  <c r="DD204" i="3"/>
  <c r="DE204" i="3"/>
  <c r="DF204" i="3"/>
  <c r="DG204" i="3"/>
  <c r="DH204" i="3"/>
  <c r="DI204" i="3"/>
  <c r="DJ204" i="3"/>
  <c r="DK204" i="3"/>
  <c r="DL204" i="3"/>
  <c r="DM204" i="3"/>
  <c r="DN204" i="3"/>
  <c r="DO204" i="3"/>
  <c r="DP204" i="3"/>
  <c r="DQ204" i="3"/>
  <c r="DR204" i="3"/>
  <c r="DS204" i="3"/>
  <c r="DT204" i="3"/>
  <c r="DU204" i="3"/>
  <c r="DV204" i="3"/>
  <c r="DW204" i="3"/>
  <c r="DX204" i="3"/>
  <c r="DY204" i="3"/>
  <c r="DZ204" i="3"/>
  <c r="EA204" i="3"/>
  <c r="EB204" i="3"/>
  <c r="EC204" i="3"/>
  <c r="ED204" i="3"/>
  <c r="EE204" i="3"/>
  <c r="EF204" i="3"/>
  <c r="EG204" i="3"/>
  <c r="EH204" i="3"/>
  <c r="EI204" i="3"/>
  <c r="EJ204" i="3"/>
  <c r="EK204" i="3"/>
  <c r="EL204" i="3"/>
  <c r="EM204" i="3"/>
  <c r="EN204" i="3"/>
  <c r="EO204" i="3"/>
  <c r="EP204" i="3"/>
  <c r="EQ204" i="3"/>
  <c r="ER204" i="3"/>
  <c r="ES204" i="3"/>
  <c r="ET204" i="3"/>
  <c r="EU204" i="3"/>
  <c r="EV204" i="3"/>
  <c r="EW204" i="3"/>
  <c r="EX204" i="3"/>
  <c r="EY204" i="3"/>
  <c r="EZ204" i="3"/>
  <c r="FA204" i="3"/>
  <c r="FB204" i="3"/>
  <c r="FC204" i="3"/>
  <c r="FD204" i="3"/>
  <c r="FE204" i="3"/>
  <c r="FF204" i="3"/>
  <c r="FG204" i="3"/>
  <c r="FH204" i="3"/>
  <c r="FI204" i="3"/>
  <c r="FJ204" i="3"/>
  <c r="FK204" i="3"/>
  <c r="FL204" i="3"/>
  <c r="FM204" i="3"/>
  <c r="FN204" i="3"/>
  <c r="FO204" i="3"/>
  <c r="FP204" i="3"/>
  <c r="FQ204" i="3"/>
  <c r="FR204" i="3"/>
  <c r="FS204" i="3"/>
  <c r="FT204" i="3"/>
  <c r="FU204" i="3"/>
  <c r="FV204" i="3"/>
  <c r="FW204" i="3"/>
  <c r="FX204" i="3"/>
  <c r="FY204" i="3"/>
  <c r="FZ204" i="3"/>
  <c r="GA204" i="3"/>
  <c r="GB204" i="3"/>
  <c r="GC204" i="3"/>
  <c r="GD204" i="3"/>
  <c r="GE204" i="3"/>
  <c r="GF204" i="3"/>
  <c r="GG204" i="3"/>
  <c r="GH204" i="3"/>
  <c r="GI204" i="3"/>
  <c r="GJ204" i="3"/>
  <c r="GK204" i="3"/>
  <c r="GL204" i="3"/>
  <c r="GM204" i="3"/>
  <c r="GN204" i="3"/>
  <c r="GO204" i="3"/>
  <c r="GP204" i="3"/>
  <c r="GQ204" i="3"/>
  <c r="GR204" i="3"/>
  <c r="GS204" i="3"/>
  <c r="GT204" i="3"/>
  <c r="GU204" i="3"/>
  <c r="GV204" i="3"/>
  <c r="GW204" i="3"/>
  <c r="GX204" i="3"/>
  <c r="GY204" i="3"/>
  <c r="GZ204" i="3"/>
  <c r="HA204" i="3"/>
  <c r="HB204" i="3"/>
  <c r="HC204" i="3"/>
  <c r="HD204" i="3"/>
  <c r="HE204" i="3"/>
  <c r="HF204" i="3"/>
  <c r="HG204" i="3"/>
  <c r="HH204" i="3"/>
  <c r="HI204" i="3"/>
  <c r="HJ204" i="3"/>
  <c r="HK204" i="3"/>
  <c r="HL204" i="3"/>
  <c r="HM204" i="3"/>
  <c r="HN204" i="3"/>
  <c r="HO204" i="3"/>
  <c r="HP204" i="3"/>
  <c r="HQ204" i="3"/>
  <c r="HR204" i="3"/>
  <c r="HS204" i="3"/>
  <c r="HT204" i="3"/>
  <c r="HU204" i="3"/>
  <c r="HV204" i="3"/>
  <c r="HW204" i="3"/>
  <c r="HX204" i="3"/>
  <c r="HY204" i="3"/>
  <c r="HZ204" i="3"/>
  <c r="IA204" i="3"/>
  <c r="IB204" i="3"/>
  <c r="IC204" i="3"/>
  <c r="ID204" i="3"/>
  <c r="IE204" i="3"/>
  <c r="IF204" i="3"/>
  <c r="IG204" i="3"/>
  <c r="IH204" i="3"/>
  <c r="II204" i="3"/>
  <c r="IJ204" i="3"/>
  <c r="IK204" i="3"/>
  <c r="IL204" i="3"/>
  <c r="IM204" i="3"/>
  <c r="IN204" i="3"/>
  <c r="IO204" i="3"/>
  <c r="IP204" i="3"/>
  <c r="IQ204" i="3"/>
  <c r="IR204" i="3"/>
  <c r="IS204" i="3"/>
  <c r="IT204" i="3"/>
  <c r="IU204" i="3"/>
  <c r="IV204" i="3"/>
  <c r="A203" i="3"/>
  <c r="B203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A203" i="3"/>
  <c r="AB203" i="3"/>
  <c r="AC203" i="3"/>
  <c r="AD203" i="3"/>
  <c r="AE203" i="3"/>
  <c r="AF203" i="3"/>
  <c r="AG203" i="3"/>
  <c r="AH203" i="3"/>
  <c r="AI203" i="3"/>
  <c r="AJ203" i="3"/>
  <c r="AK203" i="3"/>
  <c r="AL203" i="3"/>
  <c r="AM203" i="3"/>
  <c r="AN203" i="3"/>
  <c r="AO203" i="3"/>
  <c r="AP203" i="3"/>
  <c r="AQ203" i="3"/>
  <c r="AR203" i="3"/>
  <c r="AS203" i="3"/>
  <c r="AT203" i="3"/>
  <c r="AU203" i="3"/>
  <c r="AV203" i="3"/>
  <c r="AW203" i="3"/>
  <c r="AX203" i="3"/>
  <c r="AY203" i="3"/>
  <c r="AZ203" i="3"/>
  <c r="BA203" i="3"/>
  <c r="BB203" i="3"/>
  <c r="BC203" i="3"/>
  <c r="BD203" i="3"/>
  <c r="BE203" i="3"/>
  <c r="BF203" i="3"/>
  <c r="BG203" i="3"/>
  <c r="BH203" i="3"/>
  <c r="BI203" i="3"/>
  <c r="BJ203" i="3"/>
  <c r="BK203" i="3"/>
  <c r="BL203" i="3"/>
  <c r="BM203" i="3"/>
  <c r="BN203" i="3"/>
  <c r="BO203" i="3"/>
  <c r="BP203" i="3"/>
  <c r="BQ203" i="3"/>
  <c r="BR203" i="3"/>
  <c r="BS203" i="3"/>
  <c r="BT203" i="3"/>
  <c r="BU203" i="3"/>
  <c r="BV203" i="3"/>
  <c r="BW203" i="3"/>
  <c r="BX203" i="3"/>
  <c r="BY203" i="3"/>
  <c r="BZ203" i="3"/>
  <c r="CA203" i="3"/>
  <c r="CB203" i="3"/>
  <c r="CC203" i="3"/>
  <c r="CD203" i="3"/>
  <c r="CE203" i="3"/>
  <c r="CF203" i="3"/>
  <c r="CG203" i="3"/>
  <c r="CH203" i="3"/>
  <c r="CI203" i="3"/>
  <c r="CJ203" i="3"/>
  <c r="CK203" i="3"/>
  <c r="CL203" i="3"/>
  <c r="CM203" i="3"/>
  <c r="CN203" i="3"/>
  <c r="CO203" i="3"/>
  <c r="CP203" i="3"/>
  <c r="CQ203" i="3"/>
  <c r="CR203" i="3"/>
  <c r="CS203" i="3"/>
  <c r="CT203" i="3"/>
  <c r="CU203" i="3"/>
  <c r="CV203" i="3"/>
  <c r="CW203" i="3"/>
  <c r="CX203" i="3"/>
  <c r="CY203" i="3"/>
  <c r="CZ203" i="3"/>
  <c r="DA203" i="3"/>
  <c r="DB203" i="3"/>
  <c r="DC203" i="3"/>
  <c r="DD203" i="3"/>
  <c r="DE203" i="3"/>
  <c r="DF203" i="3"/>
  <c r="DG203" i="3"/>
  <c r="DH203" i="3"/>
  <c r="DI203" i="3"/>
  <c r="DJ203" i="3"/>
  <c r="DK203" i="3"/>
  <c r="DL203" i="3"/>
  <c r="DM203" i="3"/>
  <c r="DN203" i="3"/>
  <c r="DO203" i="3"/>
  <c r="DP203" i="3"/>
  <c r="DQ203" i="3"/>
  <c r="DR203" i="3"/>
  <c r="DS203" i="3"/>
  <c r="DT203" i="3"/>
  <c r="DU203" i="3"/>
  <c r="DV203" i="3"/>
  <c r="DW203" i="3"/>
  <c r="DX203" i="3"/>
  <c r="DY203" i="3"/>
  <c r="DZ203" i="3"/>
  <c r="EA203" i="3"/>
  <c r="EB203" i="3"/>
  <c r="EC203" i="3"/>
  <c r="ED203" i="3"/>
  <c r="EE203" i="3"/>
  <c r="EF203" i="3"/>
  <c r="EG203" i="3"/>
  <c r="EH203" i="3"/>
  <c r="EI203" i="3"/>
  <c r="EJ203" i="3"/>
  <c r="EK203" i="3"/>
  <c r="EL203" i="3"/>
  <c r="EM203" i="3"/>
  <c r="EN203" i="3"/>
  <c r="EO203" i="3"/>
  <c r="EP203" i="3"/>
  <c r="EQ203" i="3"/>
  <c r="ER203" i="3"/>
  <c r="ES203" i="3"/>
  <c r="ET203" i="3"/>
  <c r="EU203" i="3"/>
  <c r="EV203" i="3"/>
  <c r="EW203" i="3"/>
  <c r="EX203" i="3"/>
  <c r="EY203" i="3"/>
  <c r="EZ203" i="3"/>
  <c r="FA203" i="3"/>
  <c r="FB203" i="3"/>
  <c r="FC203" i="3"/>
  <c r="FD203" i="3"/>
  <c r="FE203" i="3"/>
  <c r="FF203" i="3"/>
  <c r="FG203" i="3"/>
  <c r="FH203" i="3"/>
  <c r="FI203" i="3"/>
  <c r="FJ203" i="3"/>
  <c r="FK203" i="3"/>
  <c r="FL203" i="3"/>
  <c r="FM203" i="3"/>
  <c r="FN203" i="3"/>
  <c r="FO203" i="3"/>
  <c r="FP203" i="3"/>
  <c r="FQ203" i="3"/>
  <c r="FR203" i="3"/>
  <c r="FS203" i="3"/>
  <c r="FT203" i="3"/>
  <c r="FU203" i="3"/>
  <c r="FV203" i="3"/>
  <c r="FW203" i="3"/>
  <c r="FX203" i="3"/>
  <c r="FY203" i="3"/>
  <c r="FZ203" i="3"/>
  <c r="GA203" i="3"/>
  <c r="GB203" i="3"/>
  <c r="GC203" i="3"/>
  <c r="GD203" i="3"/>
  <c r="GE203" i="3"/>
  <c r="GF203" i="3"/>
  <c r="GG203" i="3"/>
  <c r="GH203" i="3"/>
  <c r="GI203" i="3"/>
  <c r="GJ203" i="3"/>
  <c r="GK203" i="3"/>
  <c r="GL203" i="3"/>
  <c r="GM203" i="3"/>
  <c r="GN203" i="3"/>
  <c r="GO203" i="3"/>
  <c r="GP203" i="3"/>
  <c r="GQ203" i="3"/>
  <c r="GR203" i="3"/>
  <c r="GS203" i="3"/>
  <c r="GT203" i="3"/>
  <c r="GU203" i="3"/>
  <c r="GV203" i="3"/>
  <c r="GW203" i="3"/>
  <c r="GX203" i="3"/>
  <c r="GY203" i="3"/>
  <c r="GZ203" i="3"/>
  <c r="HA203" i="3"/>
  <c r="HB203" i="3"/>
  <c r="HC203" i="3"/>
  <c r="HD203" i="3"/>
  <c r="HE203" i="3"/>
  <c r="HF203" i="3"/>
  <c r="HG203" i="3"/>
  <c r="HH203" i="3"/>
  <c r="HI203" i="3"/>
  <c r="HJ203" i="3"/>
  <c r="HK203" i="3"/>
  <c r="HL203" i="3"/>
  <c r="HM203" i="3"/>
  <c r="HN203" i="3"/>
  <c r="HO203" i="3"/>
  <c r="HP203" i="3"/>
  <c r="HQ203" i="3"/>
  <c r="HR203" i="3"/>
  <c r="HS203" i="3"/>
  <c r="HT203" i="3"/>
  <c r="HU203" i="3"/>
  <c r="HV203" i="3"/>
  <c r="HW203" i="3"/>
  <c r="HX203" i="3"/>
  <c r="HY203" i="3"/>
  <c r="HZ203" i="3"/>
  <c r="IA203" i="3"/>
  <c r="IB203" i="3"/>
  <c r="IC203" i="3"/>
  <c r="ID203" i="3"/>
  <c r="IE203" i="3"/>
  <c r="IF203" i="3"/>
  <c r="IG203" i="3"/>
  <c r="IH203" i="3"/>
  <c r="II203" i="3"/>
  <c r="IJ203" i="3"/>
  <c r="IK203" i="3"/>
  <c r="IL203" i="3"/>
  <c r="IM203" i="3"/>
  <c r="IN203" i="3"/>
  <c r="IO203" i="3"/>
  <c r="IP203" i="3"/>
  <c r="IQ203" i="3"/>
  <c r="IR203" i="3"/>
  <c r="IS203" i="3"/>
  <c r="IT203" i="3"/>
  <c r="IU203" i="3"/>
  <c r="IV203" i="3"/>
  <c r="A202" i="3"/>
  <c r="B202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AH202" i="3"/>
  <c r="AI202" i="3"/>
  <c r="AJ202" i="3"/>
  <c r="AK202" i="3"/>
  <c r="AL202" i="3"/>
  <c r="AM202" i="3"/>
  <c r="AN202" i="3"/>
  <c r="AO202" i="3"/>
  <c r="AP202" i="3"/>
  <c r="AQ202" i="3"/>
  <c r="AR202" i="3"/>
  <c r="AS202" i="3"/>
  <c r="AT202" i="3"/>
  <c r="AU202" i="3"/>
  <c r="AV202" i="3"/>
  <c r="AW202" i="3"/>
  <c r="AX202" i="3"/>
  <c r="AY202" i="3"/>
  <c r="AZ202" i="3"/>
  <c r="BA202" i="3"/>
  <c r="BB202" i="3"/>
  <c r="BC202" i="3"/>
  <c r="BD202" i="3"/>
  <c r="BE202" i="3"/>
  <c r="BF202" i="3"/>
  <c r="BG202" i="3"/>
  <c r="BH202" i="3"/>
  <c r="BI202" i="3"/>
  <c r="BJ202" i="3"/>
  <c r="BK202" i="3"/>
  <c r="BL202" i="3"/>
  <c r="BM202" i="3"/>
  <c r="BN202" i="3"/>
  <c r="BO202" i="3"/>
  <c r="BP202" i="3"/>
  <c r="BQ202" i="3"/>
  <c r="BR202" i="3"/>
  <c r="BS202" i="3"/>
  <c r="BT202" i="3"/>
  <c r="BU202" i="3"/>
  <c r="BV202" i="3"/>
  <c r="BW202" i="3"/>
  <c r="BX202" i="3"/>
  <c r="BY202" i="3"/>
  <c r="BZ202" i="3"/>
  <c r="CA202" i="3"/>
  <c r="CB202" i="3"/>
  <c r="CC202" i="3"/>
  <c r="CD202" i="3"/>
  <c r="CE202" i="3"/>
  <c r="CF202" i="3"/>
  <c r="CG202" i="3"/>
  <c r="CH202" i="3"/>
  <c r="CI202" i="3"/>
  <c r="CJ202" i="3"/>
  <c r="CK202" i="3"/>
  <c r="CL202" i="3"/>
  <c r="CM202" i="3"/>
  <c r="CN202" i="3"/>
  <c r="CO202" i="3"/>
  <c r="CP202" i="3"/>
  <c r="CQ202" i="3"/>
  <c r="CR202" i="3"/>
  <c r="CS202" i="3"/>
  <c r="CT202" i="3"/>
  <c r="CU202" i="3"/>
  <c r="CV202" i="3"/>
  <c r="CW202" i="3"/>
  <c r="CX202" i="3"/>
  <c r="CY202" i="3"/>
  <c r="CZ202" i="3"/>
  <c r="DA202" i="3"/>
  <c r="DB202" i="3"/>
  <c r="DC202" i="3"/>
  <c r="DD202" i="3"/>
  <c r="DE202" i="3"/>
  <c r="DF202" i="3"/>
  <c r="DG202" i="3"/>
  <c r="DH202" i="3"/>
  <c r="DI202" i="3"/>
  <c r="DJ202" i="3"/>
  <c r="DK202" i="3"/>
  <c r="DL202" i="3"/>
  <c r="DM202" i="3"/>
  <c r="DN202" i="3"/>
  <c r="DO202" i="3"/>
  <c r="DP202" i="3"/>
  <c r="DQ202" i="3"/>
  <c r="DR202" i="3"/>
  <c r="DS202" i="3"/>
  <c r="DT202" i="3"/>
  <c r="DU202" i="3"/>
  <c r="DV202" i="3"/>
  <c r="DW202" i="3"/>
  <c r="DX202" i="3"/>
  <c r="DY202" i="3"/>
  <c r="DZ202" i="3"/>
  <c r="EA202" i="3"/>
  <c r="EB202" i="3"/>
  <c r="EC202" i="3"/>
  <c r="ED202" i="3"/>
  <c r="EE202" i="3"/>
  <c r="EF202" i="3"/>
  <c r="EG202" i="3"/>
  <c r="EH202" i="3"/>
  <c r="EI202" i="3"/>
  <c r="EJ202" i="3"/>
  <c r="EK202" i="3"/>
  <c r="EL202" i="3"/>
  <c r="EM202" i="3"/>
  <c r="EN202" i="3"/>
  <c r="EO202" i="3"/>
  <c r="EP202" i="3"/>
  <c r="EQ202" i="3"/>
  <c r="ER202" i="3"/>
  <c r="ES202" i="3"/>
  <c r="ET202" i="3"/>
  <c r="EU202" i="3"/>
  <c r="EV202" i="3"/>
  <c r="EW202" i="3"/>
  <c r="EX202" i="3"/>
  <c r="EY202" i="3"/>
  <c r="EZ202" i="3"/>
  <c r="FA202" i="3"/>
  <c r="FB202" i="3"/>
  <c r="FC202" i="3"/>
  <c r="FD202" i="3"/>
  <c r="FE202" i="3"/>
  <c r="FF202" i="3"/>
  <c r="FG202" i="3"/>
  <c r="FH202" i="3"/>
  <c r="FI202" i="3"/>
  <c r="FJ202" i="3"/>
  <c r="FK202" i="3"/>
  <c r="FL202" i="3"/>
  <c r="FM202" i="3"/>
  <c r="FN202" i="3"/>
  <c r="FO202" i="3"/>
  <c r="FP202" i="3"/>
  <c r="FQ202" i="3"/>
  <c r="FR202" i="3"/>
  <c r="FS202" i="3"/>
  <c r="FT202" i="3"/>
  <c r="FU202" i="3"/>
  <c r="FV202" i="3"/>
  <c r="FW202" i="3"/>
  <c r="FX202" i="3"/>
  <c r="FY202" i="3"/>
  <c r="FZ202" i="3"/>
  <c r="GA202" i="3"/>
  <c r="GB202" i="3"/>
  <c r="GC202" i="3"/>
  <c r="GD202" i="3"/>
  <c r="GE202" i="3"/>
  <c r="GF202" i="3"/>
  <c r="GG202" i="3"/>
  <c r="GH202" i="3"/>
  <c r="GI202" i="3"/>
  <c r="GJ202" i="3"/>
  <c r="GK202" i="3"/>
  <c r="GL202" i="3"/>
  <c r="GM202" i="3"/>
  <c r="GN202" i="3"/>
  <c r="GO202" i="3"/>
  <c r="GP202" i="3"/>
  <c r="GQ202" i="3"/>
  <c r="GR202" i="3"/>
  <c r="GS202" i="3"/>
  <c r="GT202" i="3"/>
  <c r="GU202" i="3"/>
  <c r="GV202" i="3"/>
  <c r="GW202" i="3"/>
  <c r="GX202" i="3"/>
  <c r="GY202" i="3"/>
  <c r="GZ202" i="3"/>
  <c r="HA202" i="3"/>
  <c r="HB202" i="3"/>
  <c r="HC202" i="3"/>
  <c r="HD202" i="3"/>
  <c r="HE202" i="3"/>
  <c r="HF202" i="3"/>
  <c r="HG202" i="3"/>
  <c r="HH202" i="3"/>
  <c r="HI202" i="3"/>
  <c r="HJ202" i="3"/>
  <c r="HK202" i="3"/>
  <c r="HL202" i="3"/>
  <c r="HM202" i="3"/>
  <c r="HN202" i="3"/>
  <c r="HO202" i="3"/>
  <c r="HP202" i="3"/>
  <c r="HQ202" i="3"/>
  <c r="HR202" i="3"/>
  <c r="HS202" i="3"/>
  <c r="HT202" i="3"/>
  <c r="HU202" i="3"/>
  <c r="HV202" i="3"/>
  <c r="HW202" i="3"/>
  <c r="HX202" i="3"/>
  <c r="HY202" i="3"/>
  <c r="HZ202" i="3"/>
  <c r="IA202" i="3"/>
  <c r="IB202" i="3"/>
  <c r="IC202" i="3"/>
  <c r="ID202" i="3"/>
  <c r="IE202" i="3"/>
  <c r="IF202" i="3"/>
  <c r="IG202" i="3"/>
  <c r="IH202" i="3"/>
  <c r="II202" i="3"/>
  <c r="IJ202" i="3"/>
  <c r="IK202" i="3"/>
  <c r="IL202" i="3"/>
  <c r="IM202" i="3"/>
  <c r="IN202" i="3"/>
  <c r="IO202" i="3"/>
  <c r="IP202" i="3"/>
  <c r="IQ202" i="3"/>
  <c r="IR202" i="3"/>
  <c r="IS202" i="3"/>
  <c r="IT202" i="3"/>
  <c r="IU202" i="3"/>
  <c r="IV202" i="3"/>
  <c r="A201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AH201" i="3"/>
  <c r="AI201" i="3"/>
  <c r="AJ201" i="3"/>
  <c r="AK201" i="3"/>
  <c r="AL201" i="3"/>
  <c r="AM201" i="3"/>
  <c r="AN201" i="3"/>
  <c r="AO201" i="3"/>
  <c r="AP201" i="3"/>
  <c r="AQ201" i="3"/>
  <c r="AR201" i="3"/>
  <c r="AS201" i="3"/>
  <c r="AT201" i="3"/>
  <c r="AU201" i="3"/>
  <c r="AV201" i="3"/>
  <c r="AW201" i="3"/>
  <c r="AX201" i="3"/>
  <c r="AY201" i="3"/>
  <c r="AZ201" i="3"/>
  <c r="BA201" i="3"/>
  <c r="BB201" i="3"/>
  <c r="BC201" i="3"/>
  <c r="BD201" i="3"/>
  <c r="BE201" i="3"/>
  <c r="BF201" i="3"/>
  <c r="BG201" i="3"/>
  <c r="BH201" i="3"/>
  <c r="BI201" i="3"/>
  <c r="BJ201" i="3"/>
  <c r="BK201" i="3"/>
  <c r="BL201" i="3"/>
  <c r="BM201" i="3"/>
  <c r="BN201" i="3"/>
  <c r="BO201" i="3"/>
  <c r="BP201" i="3"/>
  <c r="BQ201" i="3"/>
  <c r="BR201" i="3"/>
  <c r="BS201" i="3"/>
  <c r="BT201" i="3"/>
  <c r="BU201" i="3"/>
  <c r="BV201" i="3"/>
  <c r="BW201" i="3"/>
  <c r="BX201" i="3"/>
  <c r="BY201" i="3"/>
  <c r="BZ201" i="3"/>
  <c r="CA201" i="3"/>
  <c r="CB201" i="3"/>
  <c r="CC201" i="3"/>
  <c r="CD201" i="3"/>
  <c r="CE201" i="3"/>
  <c r="CF201" i="3"/>
  <c r="CG201" i="3"/>
  <c r="CH201" i="3"/>
  <c r="CI201" i="3"/>
  <c r="CJ201" i="3"/>
  <c r="CK201" i="3"/>
  <c r="CL201" i="3"/>
  <c r="CM201" i="3"/>
  <c r="CN201" i="3"/>
  <c r="CO201" i="3"/>
  <c r="CP201" i="3"/>
  <c r="CQ201" i="3"/>
  <c r="CR201" i="3"/>
  <c r="CS201" i="3"/>
  <c r="CT201" i="3"/>
  <c r="CU201" i="3"/>
  <c r="CV201" i="3"/>
  <c r="CW201" i="3"/>
  <c r="CX201" i="3"/>
  <c r="CY201" i="3"/>
  <c r="CZ201" i="3"/>
  <c r="DA201" i="3"/>
  <c r="DB201" i="3"/>
  <c r="DC201" i="3"/>
  <c r="DD201" i="3"/>
  <c r="DE201" i="3"/>
  <c r="DF201" i="3"/>
  <c r="DG201" i="3"/>
  <c r="DH201" i="3"/>
  <c r="DI201" i="3"/>
  <c r="DJ201" i="3"/>
  <c r="DK201" i="3"/>
  <c r="DL201" i="3"/>
  <c r="DM201" i="3"/>
  <c r="DN201" i="3"/>
  <c r="DO201" i="3"/>
  <c r="DP201" i="3"/>
  <c r="DQ201" i="3"/>
  <c r="DR201" i="3"/>
  <c r="DS201" i="3"/>
  <c r="DT201" i="3"/>
  <c r="DU201" i="3"/>
  <c r="DV201" i="3"/>
  <c r="DW201" i="3"/>
  <c r="DX201" i="3"/>
  <c r="DY201" i="3"/>
  <c r="DZ201" i="3"/>
  <c r="EA201" i="3"/>
  <c r="EB201" i="3"/>
  <c r="EC201" i="3"/>
  <c r="ED201" i="3"/>
  <c r="EE201" i="3"/>
  <c r="EF201" i="3"/>
  <c r="EG201" i="3"/>
  <c r="EH201" i="3"/>
  <c r="EI201" i="3"/>
  <c r="EJ201" i="3"/>
  <c r="EK201" i="3"/>
  <c r="EL201" i="3"/>
  <c r="EM201" i="3"/>
  <c r="EN201" i="3"/>
  <c r="EO201" i="3"/>
  <c r="EP201" i="3"/>
  <c r="EQ201" i="3"/>
  <c r="ER201" i="3"/>
  <c r="ES201" i="3"/>
  <c r="ET201" i="3"/>
  <c r="EU201" i="3"/>
  <c r="EV201" i="3"/>
  <c r="EW201" i="3"/>
  <c r="EX201" i="3"/>
  <c r="EY201" i="3"/>
  <c r="EZ201" i="3"/>
  <c r="FA201" i="3"/>
  <c r="FB201" i="3"/>
  <c r="FC201" i="3"/>
  <c r="FD201" i="3"/>
  <c r="FE201" i="3"/>
  <c r="FF201" i="3"/>
  <c r="FG201" i="3"/>
  <c r="FH201" i="3"/>
  <c r="FI201" i="3"/>
  <c r="FJ201" i="3"/>
  <c r="FK201" i="3"/>
  <c r="FL201" i="3"/>
  <c r="FM201" i="3"/>
  <c r="FN201" i="3"/>
  <c r="FO201" i="3"/>
  <c r="FP201" i="3"/>
  <c r="FQ201" i="3"/>
  <c r="FR201" i="3"/>
  <c r="FS201" i="3"/>
  <c r="FT201" i="3"/>
  <c r="FU201" i="3"/>
  <c r="FV201" i="3"/>
  <c r="FW201" i="3"/>
  <c r="FX201" i="3"/>
  <c r="FY201" i="3"/>
  <c r="FZ201" i="3"/>
  <c r="GA201" i="3"/>
  <c r="GB201" i="3"/>
  <c r="GC201" i="3"/>
  <c r="GD201" i="3"/>
  <c r="GE201" i="3"/>
  <c r="GF201" i="3"/>
  <c r="GG201" i="3"/>
  <c r="GH201" i="3"/>
  <c r="GI201" i="3"/>
  <c r="GJ201" i="3"/>
  <c r="GK201" i="3"/>
  <c r="GL201" i="3"/>
  <c r="GM201" i="3"/>
  <c r="GN201" i="3"/>
  <c r="GO201" i="3"/>
  <c r="GP201" i="3"/>
  <c r="GQ201" i="3"/>
  <c r="GR201" i="3"/>
  <c r="GS201" i="3"/>
  <c r="GT201" i="3"/>
  <c r="GU201" i="3"/>
  <c r="GV201" i="3"/>
  <c r="GW201" i="3"/>
  <c r="GX201" i="3"/>
  <c r="GY201" i="3"/>
  <c r="GZ201" i="3"/>
  <c r="HA201" i="3"/>
  <c r="HB201" i="3"/>
  <c r="HC201" i="3"/>
  <c r="HD201" i="3"/>
  <c r="HE201" i="3"/>
  <c r="HF201" i="3"/>
  <c r="HG201" i="3"/>
  <c r="HH201" i="3"/>
  <c r="HI201" i="3"/>
  <c r="HJ201" i="3"/>
  <c r="HK201" i="3"/>
  <c r="HL201" i="3"/>
  <c r="HM201" i="3"/>
  <c r="HN201" i="3"/>
  <c r="HO201" i="3"/>
  <c r="HP201" i="3"/>
  <c r="HQ201" i="3"/>
  <c r="HR201" i="3"/>
  <c r="HS201" i="3"/>
  <c r="HT201" i="3"/>
  <c r="HU201" i="3"/>
  <c r="HV201" i="3"/>
  <c r="HW201" i="3"/>
  <c r="HX201" i="3"/>
  <c r="HY201" i="3"/>
  <c r="HZ201" i="3"/>
  <c r="IA201" i="3"/>
  <c r="IB201" i="3"/>
  <c r="IC201" i="3"/>
  <c r="ID201" i="3"/>
  <c r="IE201" i="3"/>
  <c r="IF201" i="3"/>
  <c r="IG201" i="3"/>
  <c r="IH201" i="3"/>
  <c r="II201" i="3"/>
  <c r="IJ201" i="3"/>
  <c r="IK201" i="3"/>
  <c r="IL201" i="3"/>
  <c r="IM201" i="3"/>
  <c r="IN201" i="3"/>
  <c r="IO201" i="3"/>
  <c r="IP201" i="3"/>
  <c r="IQ201" i="3"/>
  <c r="IR201" i="3"/>
  <c r="IS201" i="3"/>
  <c r="IT201" i="3"/>
  <c r="IU201" i="3"/>
  <c r="IV201" i="3"/>
  <c r="A200" i="3"/>
  <c r="B200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AP200" i="3"/>
  <c r="AQ200" i="3"/>
  <c r="AR200" i="3"/>
  <c r="AS200" i="3"/>
  <c r="AT200" i="3"/>
  <c r="AU200" i="3"/>
  <c r="AV200" i="3"/>
  <c r="AW200" i="3"/>
  <c r="AX200" i="3"/>
  <c r="AY200" i="3"/>
  <c r="AZ200" i="3"/>
  <c r="BA200" i="3"/>
  <c r="BB200" i="3"/>
  <c r="BC200" i="3"/>
  <c r="BD200" i="3"/>
  <c r="BE200" i="3"/>
  <c r="BF200" i="3"/>
  <c r="BG200" i="3"/>
  <c r="BH200" i="3"/>
  <c r="BI200" i="3"/>
  <c r="BJ200" i="3"/>
  <c r="BK200" i="3"/>
  <c r="BL200" i="3"/>
  <c r="BM200" i="3"/>
  <c r="BN200" i="3"/>
  <c r="BO200" i="3"/>
  <c r="BP200" i="3"/>
  <c r="BQ200" i="3"/>
  <c r="BR200" i="3"/>
  <c r="BS200" i="3"/>
  <c r="BT200" i="3"/>
  <c r="BU200" i="3"/>
  <c r="BV200" i="3"/>
  <c r="BW200" i="3"/>
  <c r="BX200" i="3"/>
  <c r="BY200" i="3"/>
  <c r="BZ200" i="3"/>
  <c r="CA200" i="3"/>
  <c r="CB200" i="3"/>
  <c r="CC200" i="3"/>
  <c r="CD200" i="3"/>
  <c r="CE200" i="3"/>
  <c r="CF200" i="3"/>
  <c r="CG200" i="3"/>
  <c r="CH200" i="3"/>
  <c r="CI200" i="3"/>
  <c r="CJ200" i="3"/>
  <c r="CK200" i="3"/>
  <c r="CL200" i="3"/>
  <c r="CM200" i="3"/>
  <c r="CN200" i="3"/>
  <c r="CO200" i="3"/>
  <c r="CP200" i="3"/>
  <c r="CQ200" i="3"/>
  <c r="CR200" i="3"/>
  <c r="CS200" i="3"/>
  <c r="CT200" i="3"/>
  <c r="CU200" i="3"/>
  <c r="CV200" i="3"/>
  <c r="CW200" i="3"/>
  <c r="CX200" i="3"/>
  <c r="CY200" i="3"/>
  <c r="CZ200" i="3"/>
  <c r="DA200" i="3"/>
  <c r="DB200" i="3"/>
  <c r="DC200" i="3"/>
  <c r="DD200" i="3"/>
  <c r="DE200" i="3"/>
  <c r="DF200" i="3"/>
  <c r="DG200" i="3"/>
  <c r="DH200" i="3"/>
  <c r="DI200" i="3"/>
  <c r="DJ200" i="3"/>
  <c r="DK200" i="3"/>
  <c r="DL200" i="3"/>
  <c r="DM200" i="3"/>
  <c r="DN200" i="3"/>
  <c r="DO200" i="3"/>
  <c r="DP200" i="3"/>
  <c r="DQ200" i="3"/>
  <c r="DR200" i="3"/>
  <c r="DS200" i="3"/>
  <c r="DT200" i="3"/>
  <c r="DU200" i="3"/>
  <c r="DV200" i="3"/>
  <c r="DW200" i="3"/>
  <c r="DX200" i="3"/>
  <c r="DY200" i="3"/>
  <c r="DZ200" i="3"/>
  <c r="EA200" i="3"/>
  <c r="EB200" i="3"/>
  <c r="EC200" i="3"/>
  <c r="ED200" i="3"/>
  <c r="EE200" i="3"/>
  <c r="EF200" i="3"/>
  <c r="EG200" i="3"/>
  <c r="EH200" i="3"/>
  <c r="EI200" i="3"/>
  <c r="EJ200" i="3"/>
  <c r="EK200" i="3"/>
  <c r="EL200" i="3"/>
  <c r="EM200" i="3"/>
  <c r="EN200" i="3"/>
  <c r="EO200" i="3"/>
  <c r="EP200" i="3"/>
  <c r="EQ200" i="3"/>
  <c r="ER200" i="3"/>
  <c r="ES200" i="3"/>
  <c r="ET200" i="3"/>
  <c r="EU200" i="3"/>
  <c r="EV200" i="3"/>
  <c r="EW200" i="3"/>
  <c r="EX200" i="3"/>
  <c r="EY200" i="3"/>
  <c r="EZ200" i="3"/>
  <c r="FA200" i="3"/>
  <c r="FB200" i="3"/>
  <c r="FC200" i="3"/>
  <c r="FD200" i="3"/>
  <c r="FE200" i="3"/>
  <c r="FF200" i="3"/>
  <c r="FG200" i="3"/>
  <c r="FH200" i="3"/>
  <c r="FI200" i="3"/>
  <c r="FJ200" i="3"/>
  <c r="FK200" i="3"/>
  <c r="FL200" i="3"/>
  <c r="FM200" i="3"/>
  <c r="FN200" i="3"/>
  <c r="FO200" i="3"/>
  <c r="FP200" i="3"/>
  <c r="FQ200" i="3"/>
  <c r="FR200" i="3"/>
  <c r="FS200" i="3"/>
  <c r="FT200" i="3"/>
  <c r="FU200" i="3"/>
  <c r="FV200" i="3"/>
  <c r="FW200" i="3"/>
  <c r="FX200" i="3"/>
  <c r="FY200" i="3"/>
  <c r="FZ200" i="3"/>
  <c r="GA200" i="3"/>
  <c r="GB200" i="3"/>
  <c r="GC200" i="3"/>
  <c r="GD200" i="3"/>
  <c r="GE200" i="3"/>
  <c r="GF200" i="3"/>
  <c r="GG200" i="3"/>
  <c r="GH200" i="3"/>
  <c r="GI200" i="3"/>
  <c r="GJ200" i="3"/>
  <c r="GK200" i="3"/>
  <c r="GL200" i="3"/>
  <c r="GM200" i="3"/>
  <c r="GN200" i="3"/>
  <c r="GO200" i="3"/>
  <c r="GP200" i="3"/>
  <c r="GQ200" i="3"/>
  <c r="GR200" i="3"/>
  <c r="GS200" i="3"/>
  <c r="GT200" i="3"/>
  <c r="GU200" i="3"/>
  <c r="GV200" i="3"/>
  <c r="GW200" i="3"/>
  <c r="GX200" i="3"/>
  <c r="GY200" i="3"/>
  <c r="GZ200" i="3"/>
  <c r="HA200" i="3"/>
  <c r="HB200" i="3"/>
  <c r="HC200" i="3"/>
  <c r="HD200" i="3"/>
  <c r="HE200" i="3"/>
  <c r="HF200" i="3"/>
  <c r="HG200" i="3"/>
  <c r="HH200" i="3"/>
  <c r="HI200" i="3"/>
  <c r="HJ200" i="3"/>
  <c r="HK200" i="3"/>
  <c r="HL200" i="3"/>
  <c r="HM200" i="3"/>
  <c r="HN200" i="3"/>
  <c r="HO200" i="3"/>
  <c r="HP200" i="3"/>
  <c r="HQ200" i="3"/>
  <c r="HR200" i="3"/>
  <c r="HS200" i="3"/>
  <c r="HT200" i="3"/>
  <c r="HU200" i="3"/>
  <c r="HV200" i="3"/>
  <c r="HW200" i="3"/>
  <c r="HX200" i="3"/>
  <c r="HY200" i="3"/>
  <c r="HZ200" i="3"/>
  <c r="IA200" i="3"/>
  <c r="IB200" i="3"/>
  <c r="IC200" i="3"/>
  <c r="ID200" i="3"/>
  <c r="IE200" i="3"/>
  <c r="IF200" i="3"/>
  <c r="IG200" i="3"/>
  <c r="IH200" i="3"/>
  <c r="II200" i="3"/>
  <c r="IJ200" i="3"/>
  <c r="IK200" i="3"/>
  <c r="IL200" i="3"/>
  <c r="IM200" i="3"/>
  <c r="IN200" i="3"/>
  <c r="IO200" i="3"/>
  <c r="IP200" i="3"/>
  <c r="IQ200" i="3"/>
  <c r="IR200" i="3"/>
  <c r="IS200" i="3"/>
  <c r="IT200" i="3"/>
  <c r="IU200" i="3"/>
  <c r="IV200" i="3"/>
  <c r="A199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AP199" i="3"/>
  <c r="AQ199" i="3"/>
  <c r="AR199" i="3"/>
  <c r="AS199" i="3"/>
  <c r="AT199" i="3"/>
  <c r="AU199" i="3"/>
  <c r="AV199" i="3"/>
  <c r="AW199" i="3"/>
  <c r="AX199" i="3"/>
  <c r="AY199" i="3"/>
  <c r="AZ199" i="3"/>
  <c r="BA199" i="3"/>
  <c r="BB199" i="3"/>
  <c r="BC199" i="3"/>
  <c r="BD199" i="3"/>
  <c r="BE199" i="3"/>
  <c r="BF199" i="3"/>
  <c r="BG199" i="3"/>
  <c r="BH199" i="3"/>
  <c r="BI199" i="3"/>
  <c r="BJ199" i="3"/>
  <c r="BK199" i="3"/>
  <c r="BL199" i="3"/>
  <c r="BM199" i="3"/>
  <c r="BN199" i="3"/>
  <c r="BO199" i="3"/>
  <c r="BP199" i="3"/>
  <c r="BQ199" i="3"/>
  <c r="BR199" i="3"/>
  <c r="BS199" i="3"/>
  <c r="BT199" i="3"/>
  <c r="BU199" i="3"/>
  <c r="BV199" i="3"/>
  <c r="BW199" i="3"/>
  <c r="BX199" i="3"/>
  <c r="BY199" i="3"/>
  <c r="BZ199" i="3"/>
  <c r="CA199" i="3"/>
  <c r="CB199" i="3"/>
  <c r="CC199" i="3"/>
  <c r="CD199" i="3"/>
  <c r="CE199" i="3"/>
  <c r="CF199" i="3"/>
  <c r="CG199" i="3"/>
  <c r="CH199" i="3"/>
  <c r="CI199" i="3"/>
  <c r="CJ199" i="3"/>
  <c r="CK199" i="3"/>
  <c r="CL199" i="3"/>
  <c r="CM199" i="3"/>
  <c r="CN199" i="3"/>
  <c r="CO199" i="3"/>
  <c r="CP199" i="3"/>
  <c r="CQ199" i="3"/>
  <c r="CR199" i="3"/>
  <c r="CS199" i="3"/>
  <c r="CT199" i="3"/>
  <c r="CU199" i="3"/>
  <c r="CV199" i="3"/>
  <c r="CW199" i="3"/>
  <c r="CX199" i="3"/>
  <c r="CY199" i="3"/>
  <c r="CZ199" i="3"/>
  <c r="DA199" i="3"/>
  <c r="DB199" i="3"/>
  <c r="DC199" i="3"/>
  <c r="DD199" i="3"/>
  <c r="DE199" i="3"/>
  <c r="DF199" i="3"/>
  <c r="DG199" i="3"/>
  <c r="DH199" i="3"/>
  <c r="DI199" i="3"/>
  <c r="DJ199" i="3"/>
  <c r="DK199" i="3"/>
  <c r="DL199" i="3"/>
  <c r="DM199" i="3"/>
  <c r="DN199" i="3"/>
  <c r="DO199" i="3"/>
  <c r="DP199" i="3"/>
  <c r="DQ199" i="3"/>
  <c r="DR199" i="3"/>
  <c r="DS199" i="3"/>
  <c r="DT199" i="3"/>
  <c r="DU199" i="3"/>
  <c r="DV199" i="3"/>
  <c r="DW199" i="3"/>
  <c r="DX199" i="3"/>
  <c r="DY199" i="3"/>
  <c r="DZ199" i="3"/>
  <c r="EA199" i="3"/>
  <c r="EB199" i="3"/>
  <c r="EC199" i="3"/>
  <c r="ED199" i="3"/>
  <c r="EE199" i="3"/>
  <c r="EF199" i="3"/>
  <c r="EG199" i="3"/>
  <c r="EH199" i="3"/>
  <c r="EI199" i="3"/>
  <c r="EJ199" i="3"/>
  <c r="EK199" i="3"/>
  <c r="EL199" i="3"/>
  <c r="EM199" i="3"/>
  <c r="EN199" i="3"/>
  <c r="EO199" i="3"/>
  <c r="EP199" i="3"/>
  <c r="EQ199" i="3"/>
  <c r="ER199" i="3"/>
  <c r="ES199" i="3"/>
  <c r="ET199" i="3"/>
  <c r="EU199" i="3"/>
  <c r="EV199" i="3"/>
  <c r="EW199" i="3"/>
  <c r="EX199" i="3"/>
  <c r="EY199" i="3"/>
  <c r="EZ199" i="3"/>
  <c r="FA199" i="3"/>
  <c r="FB199" i="3"/>
  <c r="FC199" i="3"/>
  <c r="FD199" i="3"/>
  <c r="FE199" i="3"/>
  <c r="FF199" i="3"/>
  <c r="FG199" i="3"/>
  <c r="FH199" i="3"/>
  <c r="FI199" i="3"/>
  <c r="FJ199" i="3"/>
  <c r="FK199" i="3"/>
  <c r="FL199" i="3"/>
  <c r="FM199" i="3"/>
  <c r="FN199" i="3"/>
  <c r="FO199" i="3"/>
  <c r="FP199" i="3"/>
  <c r="FQ199" i="3"/>
  <c r="FR199" i="3"/>
  <c r="FS199" i="3"/>
  <c r="FT199" i="3"/>
  <c r="FU199" i="3"/>
  <c r="FV199" i="3"/>
  <c r="FW199" i="3"/>
  <c r="FX199" i="3"/>
  <c r="FY199" i="3"/>
  <c r="FZ199" i="3"/>
  <c r="GA199" i="3"/>
  <c r="GB199" i="3"/>
  <c r="GC199" i="3"/>
  <c r="GD199" i="3"/>
  <c r="GE199" i="3"/>
  <c r="GF199" i="3"/>
  <c r="GG199" i="3"/>
  <c r="GH199" i="3"/>
  <c r="GI199" i="3"/>
  <c r="GJ199" i="3"/>
  <c r="GK199" i="3"/>
  <c r="GL199" i="3"/>
  <c r="GM199" i="3"/>
  <c r="GN199" i="3"/>
  <c r="GO199" i="3"/>
  <c r="GP199" i="3"/>
  <c r="GQ199" i="3"/>
  <c r="GR199" i="3"/>
  <c r="GS199" i="3"/>
  <c r="GT199" i="3"/>
  <c r="GU199" i="3"/>
  <c r="GV199" i="3"/>
  <c r="GW199" i="3"/>
  <c r="GX199" i="3"/>
  <c r="GY199" i="3"/>
  <c r="GZ199" i="3"/>
  <c r="HA199" i="3"/>
  <c r="HB199" i="3"/>
  <c r="HC199" i="3"/>
  <c r="HD199" i="3"/>
  <c r="HE199" i="3"/>
  <c r="HF199" i="3"/>
  <c r="HG199" i="3"/>
  <c r="HH199" i="3"/>
  <c r="HI199" i="3"/>
  <c r="HJ199" i="3"/>
  <c r="HK199" i="3"/>
  <c r="HL199" i="3"/>
  <c r="HM199" i="3"/>
  <c r="HN199" i="3"/>
  <c r="HO199" i="3"/>
  <c r="HP199" i="3"/>
  <c r="HQ199" i="3"/>
  <c r="HR199" i="3"/>
  <c r="HS199" i="3"/>
  <c r="HT199" i="3"/>
  <c r="HU199" i="3"/>
  <c r="HV199" i="3"/>
  <c r="HW199" i="3"/>
  <c r="HX199" i="3"/>
  <c r="HY199" i="3"/>
  <c r="HZ199" i="3"/>
  <c r="IA199" i="3"/>
  <c r="IB199" i="3"/>
  <c r="IC199" i="3"/>
  <c r="ID199" i="3"/>
  <c r="IE199" i="3"/>
  <c r="IF199" i="3"/>
  <c r="IG199" i="3"/>
  <c r="IH199" i="3"/>
  <c r="II199" i="3"/>
  <c r="IJ199" i="3"/>
  <c r="IK199" i="3"/>
  <c r="IL199" i="3"/>
  <c r="IM199" i="3"/>
  <c r="IN199" i="3"/>
  <c r="IO199" i="3"/>
  <c r="IP199" i="3"/>
  <c r="IQ199" i="3"/>
  <c r="IR199" i="3"/>
  <c r="IS199" i="3"/>
  <c r="IT199" i="3"/>
  <c r="IU199" i="3"/>
  <c r="IV199" i="3"/>
  <c r="A198" i="3"/>
  <c r="B198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AC198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AP198" i="3"/>
  <c r="AQ198" i="3"/>
  <c r="AR198" i="3"/>
  <c r="AS198" i="3"/>
  <c r="AT198" i="3"/>
  <c r="AU198" i="3"/>
  <c r="AV198" i="3"/>
  <c r="AW198" i="3"/>
  <c r="AX198" i="3"/>
  <c r="AY198" i="3"/>
  <c r="AZ198" i="3"/>
  <c r="BA198" i="3"/>
  <c r="BB198" i="3"/>
  <c r="BC198" i="3"/>
  <c r="BD198" i="3"/>
  <c r="BE198" i="3"/>
  <c r="BF198" i="3"/>
  <c r="BG198" i="3"/>
  <c r="BH198" i="3"/>
  <c r="BI198" i="3"/>
  <c r="BJ198" i="3"/>
  <c r="BK198" i="3"/>
  <c r="BL198" i="3"/>
  <c r="BM198" i="3"/>
  <c r="BN198" i="3"/>
  <c r="BO198" i="3"/>
  <c r="BP198" i="3"/>
  <c r="BQ198" i="3"/>
  <c r="BR198" i="3"/>
  <c r="BS198" i="3"/>
  <c r="BT198" i="3"/>
  <c r="BU198" i="3"/>
  <c r="BV198" i="3"/>
  <c r="BW198" i="3"/>
  <c r="BX198" i="3"/>
  <c r="BY198" i="3"/>
  <c r="BZ198" i="3"/>
  <c r="CA198" i="3"/>
  <c r="CB198" i="3"/>
  <c r="CC198" i="3"/>
  <c r="CD198" i="3"/>
  <c r="CE198" i="3"/>
  <c r="CF198" i="3"/>
  <c r="CG198" i="3"/>
  <c r="CH198" i="3"/>
  <c r="CI198" i="3"/>
  <c r="CJ198" i="3"/>
  <c r="CK198" i="3"/>
  <c r="CL198" i="3"/>
  <c r="CM198" i="3"/>
  <c r="CN198" i="3"/>
  <c r="CO198" i="3"/>
  <c r="CP198" i="3"/>
  <c r="CQ198" i="3"/>
  <c r="CR198" i="3"/>
  <c r="CS198" i="3"/>
  <c r="CT198" i="3"/>
  <c r="CU198" i="3"/>
  <c r="CV198" i="3"/>
  <c r="CW198" i="3"/>
  <c r="CX198" i="3"/>
  <c r="CY198" i="3"/>
  <c r="CZ198" i="3"/>
  <c r="DA198" i="3"/>
  <c r="DB198" i="3"/>
  <c r="DC198" i="3"/>
  <c r="DD198" i="3"/>
  <c r="DE198" i="3"/>
  <c r="DF198" i="3"/>
  <c r="DG198" i="3"/>
  <c r="DH198" i="3"/>
  <c r="DI198" i="3"/>
  <c r="DJ198" i="3"/>
  <c r="DK198" i="3"/>
  <c r="DL198" i="3"/>
  <c r="DM198" i="3"/>
  <c r="DN198" i="3"/>
  <c r="DO198" i="3"/>
  <c r="DP198" i="3"/>
  <c r="DQ198" i="3"/>
  <c r="DR198" i="3"/>
  <c r="DS198" i="3"/>
  <c r="DT198" i="3"/>
  <c r="DU198" i="3"/>
  <c r="DV198" i="3"/>
  <c r="DW198" i="3"/>
  <c r="DX198" i="3"/>
  <c r="DY198" i="3"/>
  <c r="DZ198" i="3"/>
  <c r="EA198" i="3"/>
  <c r="EB198" i="3"/>
  <c r="EC198" i="3"/>
  <c r="ED198" i="3"/>
  <c r="EE198" i="3"/>
  <c r="EF198" i="3"/>
  <c r="EG198" i="3"/>
  <c r="EH198" i="3"/>
  <c r="EI198" i="3"/>
  <c r="EJ198" i="3"/>
  <c r="EK198" i="3"/>
  <c r="EL198" i="3"/>
  <c r="EM198" i="3"/>
  <c r="EN198" i="3"/>
  <c r="EO198" i="3"/>
  <c r="EP198" i="3"/>
  <c r="EQ198" i="3"/>
  <c r="ER198" i="3"/>
  <c r="ES198" i="3"/>
  <c r="ET198" i="3"/>
  <c r="EU198" i="3"/>
  <c r="EV198" i="3"/>
  <c r="EW198" i="3"/>
  <c r="EX198" i="3"/>
  <c r="EY198" i="3"/>
  <c r="EZ198" i="3"/>
  <c r="FA198" i="3"/>
  <c r="FB198" i="3"/>
  <c r="FC198" i="3"/>
  <c r="FD198" i="3"/>
  <c r="FE198" i="3"/>
  <c r="FF198" i="3"/>
  <c r="FG198" i="3"/>
  <c r="FH198" i="3"/>
  <c r="FI198" i="3"/>
  <c r="FJ198" i="3"/>
  <c r="FK198" i="3"/>
  <c r="FL198" i="3"/>
  <c r="FM198" i="3"/>
  <c r="FN198" i="3"/>
  <c r="FO198" i="3"/>
  <c r="FP198" i="3"/>
  <c r="FQ198" i="3"/>
  <c r="FR198" i="3"/>
  <c r="FS198" i="3"/>
  <c r="FT198" i="3"/>
  <c r="FU198" i="3"/>
  <c r="FV198" i="3"/>
  <c r="FW198" i="3"/>
  <c r="FX198" i="3"/>
  <c r="FY198" i="3"/>
  <c r="FZ198" i="3"/>
  <c r="GA198" i="3"/>
  <c r="GB198" i="3"/>
  <c r="GC198" i="3"/>
  <c r="GD198" i="3"/>
  <c r="GE198" i="3"/>
  <c r="GF198" i="3"/>
  <c r="GG198" i="3"/>
  <c r="GH198" i="3"/>
  <c r="GI198" i="3"/>
  <c r="GJ198" i="3"/>
  <c r="GK198" i="3"/>
  <c r="GL198" i="3"/>
  <c r="GM198" i="3"/>
  <c r="GN198" i="3"/>
  <c r="GO198" i="3"/>
  <c r="GP198" i="3"/>
  <c r="GQ198" i="3"/>
  <c r="GR198" i="3"/>
  <c r="GS198" i="3"/>
  <c r="GT198" i="3"/>
  <c r="GU198" i="3"/>
  <c r="GV198" i="3"/>
  <c r="GW198" i="3"/>
  <c r="GX198" i="3"/>
  <c r="GY198" i="3"/>
  <c r="GZ198" i="3"/>
  <c r="HA198" i="3"/>
  <c r="HB198" i="3"/>
  <c r="HC198" i="3"/>
  <c r="HD198" i="3"/>
  <c r="HE198" i="3"/>
  <c r="HF198" i="3"/>
  <c r="HG198" i="3"/>
  <c r="HH198" i="3"/>
  <c r="HI198" i="3"/>
  <c r="HJ198" i="3"/>
  <c r="HK198" i="3"/>
  <c r="HL198" i="3"/>
  <c r="HM198" i="3"/>
  <c r="HN198" i="3"/>
  <c r="HO198" i="3"/>
  <c r="HP198" i="3"/>
  <c r="HQ198" i="3"/>
  <c r="HR198" i="3"/>
  <c r="HS198" i="3"/>
  <c r="HT198" i="3"/>
  <c r="HU198" i="3"/>
  <c r="HV198" i="3"/>
  <c r="HW198" i="3"/>
  <c r="HX198" i="3"/>
  <c r="HY198" i="3"/>
  <c r="HZ198" i="3"/>
  <c r="IA198" i="3"/>
  <c r="IB198" i="3"/>
  <c r="IC198" i="3"/>
  <c r="ID198" i="3"/>
  <c r="IE198" i="3"/>
  <c r="IF198" i="3"/>
  <c r="IG198" i="3"/>
  <c r="IH198" i="3"/>
  <c r="II198" i="3"/>
  <c r="IJ198" i="3"/>
  <c r="IK198" i="3"/>
  <c r="IL198" i="3"/>
  <c r="IM198" i="3"/>
  <c r="IN198" i="3"/>
  <c r="IO198" i="3"/>
  <c r="IP198" i="3"/>
  <c r="IQ198" i="3"/>
  <c r="IR198" i="3"/>
  <c r="IS198" i="3"/>
  <c r="IT198" i="3"/>
  <c r="IU198" i="3"/>
  <c r="IV198" i="3"/>
  <c r="A197" i="3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AP197" i="3"/>
  <c r="AQ197" i="3"/>
  <c r="AR197" i="3"/>
  <c r="AS197" i="3"/>
  <c r="AT197" i="3"/>
  <c r="AU197" i="3"/>
  <c r="AV197" i="3"/>
  <c r="AW197" i="3"/>
  <c r="AX197" i="3"/>
  <c r="AY197" i="3"/>
  <c r="AZ197" i="3"/>
  <c r="BA197" i="3"/>
  <c r="BB197" i="3"/>
  <c r="BC197" i="3"/>
  <c r="BD197" i="3"/>
  <c r="BE197" i="3"/>
  <c r="BF197" i="3"/>
  <c r="BG197" i="3"/>
  <c r="BH197" i="3"/>
  <c r="BI197" i="3"/>
  <c r="BJ197" i="3"/>
  <c r="BK197" i="3"/>
  <c r="BL197" i="3"/>
  <c r="BM197" i="3"/>
  <c r="BN197" i="3"/>
  <c r="BO197" i="3"/>
  <c r="BP197" i="3"/>
  <c r="BQ197" i="3"/>
  <c r="BR197" i="3"/>
  <c r="BS197" i="3"/>
  <c r="BT197" i="3"/>
  <c r="BU197" i="3"/>
  <c r="BV197" i="3"/>
  <c r="BW197" i="3"/>
  <c r="BX197" i="3"/>
  <c r="BY197" i="3"/>
  <c r="BZ197" i="3"/>
  <c r="CA197" i="3"/>
  <c r="CB197" i="3"/>
  <c r="CC197" i="3"/>
  <c r="CD197" i="3"/>
  <c r="CE197" i="3"/>
  <c r="CF197" i="3"/>
  <c r="CG197" i="3"/>
  <c r="CH197" i="3"/>
  <c r="CI197" i="3"/>
  <c r="CJ197" i="3"/>
  <c r="CK197" i="3"/>
  <c r="CL197" i="3"/>
  <c r="CM197" i="3"/>
  <c r="CN197" i="3"/>
  <c r="CO197" i="3"/>
  <c r="CP197" i="3"/>
  <c r="CQ197" i="3"/>
  <c r="CR197" i="3"/>
  <c r="CS197" i="3"/>
  <c r="CT197" i="3"/>
  <c r="CU197" i="3"/>
  <c r="CV197" i="3"/>
  <c r="CW197" i="3"/>
  <c r="CX197" i="3"/>
  <c r="CY197" i="3"/>
  <c r="CZ197" i="3"/>
  <c r="DA197" i="3"/>
  <c r="DB197" i="3"/>
  <c r="DC197" i="3"/>
  <c r="DD197" i="3"/>
  <c r="DE197" i="3"/>
  <c r="DF197" i="3"/>
  <c r="DG197" i="3"/>
  <c r="DH197" i="3"/>
  <c r="DI197" i="3"/>
  <c r="DJ197" i="3"/>
  <c r="DK197" i="3"/>
  <c r="DL197" i="3"/>
  <c r="DM197" i="3"/>
  <c r="DN197" i="3"/>
  <c r="DO197" i="3"/>
  <c r="DP197" i="3"/>
  <c r="DQ197" i="3"/>
  <c r="DR197" i="3"/>
  <c r="DS197" i="3"/>
  <c r="DT197" i="3"/>
  <c r="DU197" i="3"/>
  <c r="DV197" i="3"/>
  <c r="DW197" i="3"/>
  <c r="DX197" i="3"/>
  <c r="DY197" i="3"/>
  <c r="DZ197" i="3"/>
  <c r="EA197" i="3"/>
  <c r="EB197" i="3"/>
  <c r="EC197" i="3"/>
  <c r="ED197" i="3"/>
  <c r="EE197" i="3"/>
  <c r="EF197" i="3"/>
  <c r="EG197" i="3"/>
  <c r="EH197" i="3"/>
  <c r="EI197" i="3"/>
  <c r="EJ197" i="3"/>
  <c r="EK197" i="3"/>
  <c r="EL197" i="3"/>
  <c r="EM197" i="3"/>
  <c r="EN197" i="3"/>
  <c r="EO197" i="3"/>
  <c r="EP197" i="3"/>
  <c r="EQ197" i="3"/>
  <c r="ER197" i="3"/>
  <c r="ES197" i="3"/>
  <c r="ET197" i="3"/>
  <c r="EU197" i="3"/>
  <c r="EV197" i="3"/>
  <c r="EW197" i="3"/>
  <c r="EX197" i="3"/>
  <c r="EY197" i="3"/>
  <c r="EZ197" i="3"/>
  <c r="FA197" i="3"/>
  <c r="FB197" i="3"/>
  <c r="FC197" i="3"/>
  <c r="FD197" i="3"/>
  <c r="FE197" i="3"/>
  <c r="FF197" i="3"/>
  <c r="FG197" i="3"/>
  <c r="FH197" i="3"/>
  <c r="FI197" i="3"/>
  <c r="FJ197" i="3"/>
  <c r="FK197" i="3"/>
  <c r="FL197" i="3"/>
  <c r="FM197" i="3"/>
  <c r="FN197" i="3"/>
  <c r="FO197" i="3"/>
  <c r="FP197" i="3"/>
  <c r="FQ197" i="3"/>
  <c r="FR197" i="3"/>
  <c r="FS197" i="3"/>
  <c r="FT197" i="3"/>
  <c r="FU197" i="3"/>
  <c r="FV197" i="3"/>
  <c r="FW197" i="3"/>
  <c r="FX197" i="3"/>
  <c r="FY197" i="3"/>
  <c r="FZ197" i="3"/>
  <c r="GA197" i="3"/>
  <c r="GB197" i="3"/>
  <c r="GC197" i="3"/>
  <c r="GD197" i="3"/>
  <c r="GE197" i="3"/>
  <c r="GF197" i="3"/>
  <c r="GG197" i="3"/>
  <c r="GH197" i="3"/>
  <c r="GI197" i="3"/>
  <c r="GJ197" i="3"/>
  <c r="GK197" i="3"/>
  <c r="GL197" i="3"/>
  <c r="GM197" i="3"/>
  <c r="GN197" i="3"/>
  <c r="GO197" i="3"/>
  <c r="GP197" i="3"/>
  <c r="GQ197" i="3"/>
  <c r="GR197" i="3"/>
  <c r="GS197" i="3"/>
  <c r="GT197" i="3"/>
  <c r="GU197" i="3"/>
  <c r="GV197" i="3"/>
  <c r="GW197" i="3"/>
  <c r="GX197" i="3"/>
  <c r="GY197" i="3"/>
  <c r="GZ197" i="3"/>
  <c r="HA197" i="3"/>
  <c r="HB197" i="3"/>
  <c r="HC197" i="3"/>
  <c r="HD197" i="3"/>
  <c r="HE197" i="3"/>
  <c r="HF197" i="3"/>
  <c r="HG197" i="3"/>
  <c r="HH197" i="3"/>
  <c r="HI197" i="3"/>
  <c r="HJ197" i="3"/>
  <c r="HK197" i="3"/>
  <c r="HL197" i="3"/>
  <c r="HM197" i="3"/>
  <c r="HN197" i="3"/>
  <c r="HO197" i="3"/>
  <c r="HP197" i="3"/>
  <c r="HQ197" i="3"/>
  <c r="HR197" i="3"/>
  <c r="HS197" i="3"/>
  <c r="HT197" i="3"/>
  <c r="HU197" i="3"/>
  <c r="HV197" i="3"/>
  <c r="HW197" i="3"/>
  <c r="HX197" i="3"/>
  <c r="HY197" i="3"/>
  <c r="HZ197" i="3"/>
  <c r="IA197" i="3"/>
  <c r="IB197" i="3"/>
  <c r="IC197" i="3"/>
  <c r="ID197" i="3"/>
  <c r="IE197" i="3"/>
  <c r="IF197" i="3"/>
  <c r="IG197" i="3"/>
  <c r="IH197" i="3"/>
  <c r="II197" i="3"/>
  <c r="IJ197" i="3"/>
  <c r="IK197" i="3"/>
  <c r="IL197" i="3"/>
  <c r="IM197" i="3"/>
  <c r="IN197" i="3"/>
  <c r="IO197" i="3"/>
  <c r="IP197" i="3"/>
  <c r="IQ197" i="3"/>
  <c r="IR197" i="3"/>
  <c r="IS197" i="3"/>
  <c r="IT197" i="3"/>
  <c r="IU197" i="3"/>
  <c r="IV197" i="3"/>
  <c r="A196" i="3"/>
  <c r="B196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AP196" i="3"/>
  <c r="AQ196" i="3"/>
  <c r="AR196" i="3"/>
  <c r="AS196" i="3"/>
  <c r="AT196" i="3"/>
  <c r="AU196" i="3"/>
  <c r="AV196" i="3"/>
  <c r="AW196" i="3"/>
  <c r="AX196" i="3"/>
  <c r="AY196" i="3"/>
  <c r="AZ196" i="3"/>
  <c r="BA196" i="3"/>
  <c r="BB196" i="3"/>
  <c r="BC196" i="3"/>
  <c r="BD196" i="3"/>
  <c r="BE196" i="3"/>
  <c r="BF196" i="3"/>
  <c r="BG196" i="3"/>
  <c r="BH196" i="3"/>
  <c r="BI196" i="3"/>
  <c r="BJ196" i="3"/>
  <c r="BK196" i="3"/>
  <c r="BL196" i="3"/>
  <c r="BM196" i="3"/>
  <c r="BN196" i="3"/>
  <c r="BO196" i="3"/>
  <c r="BP196" i="3"/>
  <c r="BQ196" i="3"/>
  <c r="BR196" i="3"/>
  <c r="BS196" i="3"/>
  <c r="BT196" i="3"/>
  <c r="BU196" i="3"/>
  <c r="BV196" i="3"/>
  <c r="BW196" i="3"/>
  <c r="BX196" i="3"/>
  <c r="BY196" i="3"/>
  <c r="BZ196" i="3"/>
  <c r="CA196" i="3"/>
  <c r="CB196" i="3"/>
  <c r="CC196" i="3"/>
  <c r="CD196" i="3"/>
  <c r="CE196" i="3"/>
  <c r="CF196" i="3"/>
  <c r="CG196" i="3"/>
  <c r="CH196" i="3"/>
  <c r="CI196" i="3"/>
  <c r="CJ196" i="3"/>
  <c r="CK196" i="3"/>
  <c r="CL196" i="3"/>
  <c r="CM196" i="3"/>
  <c r="CN196" i="3"/>
  <c r="CO196" i="3"/>
  <c r="CP196" i="3"/>
  <c r="CQ196" i="3"/>
  <c r="CR196" i="3"/>
  <c r="CS196" i="3"/>
  <c r="CT196" i="3"/>
  <c r="CU196" i="3"/>
  <c r="CV196" i="3"/>
  <c r="CW196" i="3"/>
  <c r="CX196" i="3"/>
  <c r="CY196" i="3"/>
  <c r="CZ196" i="3"/>
  <c r="DA196" i="3"/>
  <c r="DB196" i="3"/>
  <c r="DC196" i="3"/>
  <c r="DD196" i="3"/>
  <c r="DE196" i="3"/>
  <c r="DF196" i="3"/>
  <c r="DG196" i="3"/>
  <c r="DH196" i="3"/>
  <c r="DI196" i="3"/>
  <c r="DJ196" i="3"/>
  <c r="DK196" i="3"/>
  <c r="DL196" i="3"/>
  <c r="DM196" i="3"/>
  <c r="DN196" i="3"/>
  <c r="DO196" i="3"/>
  <c r="DP196" i="3"/>
  <c r="DQ196" i="3"/>
  <c r="DR196" i="3"/>
  <c r="DS196" i="3"/>
  <c r="DT196" i="3"/>
  <c r="DU196" i="3"/>
  <c r="DV196" i="3"/>
  <c r="DW196" i="3"/>
  <c r="DX196" i="3"/>
  <c r="DY196" i="3"/>
  <c r="DZ196" i="3"/>
  <c r="EA196" i="3"/>
  <c r="EB196" i="3"/>
  <c r="EC196" i="3"/>
  <c r="ED196" i="3"/>
  <c r="EE196" i="3"/>
  <c r="EF196" i="3"/>
  <c r="EG196" i="3"/>
  <c r="EH196" i="3"/>
  <c r="EI196" i="3"/>
  <c r="EJ196" i="3"/>
  <c r="EK196" i="3"/>
  <c r="EL196" i="3"/>
  <c r="EM196" i="3"/>
  <c r="EN196" i="3"/>
  <c r="EO196" i="3"/>
  <c r="EP196" i="3"/>
  <c r="EQ196" i="3"/>
  <c r="ER196" i="3"/>
  <c r="ES196" i="3"/>
  <c r="ET196" i="3"/>
  <c r="EU196" i="3"/>
  <c r="EV196" i="3"/>
  <c r="EW196" i="3"/>
  <c r="EX196" i="3"/>
  <c r="EY196" i="3"/>
  <c r="EZ196" i="3"/>
  <c r="FA196" i="3"/>
  <c r="FB196" i="3"/>
  <c r="FC196" i="3"/>
  <c r="FD196" i="3"/>
  <c r="FE196" i="3"/>
  <c r="FF196" i="3"/>
  <c r="FG196" i="3"/>
  <c r="FH196" i="3"/>
  <c r="FI196" i="3"/>
  <c r="FJ196" i="3"/>
  <c r="FK196" i="3"/>
  <c r="FL196" i="3"/>
  <c r="FM196" i="3"/>
  <c r="FN196" i="3"/>
  <c r="FO196" i="3"/>
  <c r="FP196" i="3"/>
  <c r="FQ196" i="3"/>
  <c r="FR196" i="3"/>
  <c r="FS196" i="3"/>
  <c r="FT196" i="3"/>
  <c r="FU196" i="3"/>
  <c r="FV196" i="3"/>
  <c r="FW196" i="3"/>
  <c r="FX196" i="3"/>
  <c r="FY196" i="3"/>
  <c r="FZ196" i="3"/>
  <c r="GA196" i="3"/>
  <c r="GB196" i="3"/>
  <c r="GC196" i="3"/>
  <c r="GD196" i="3"/>
  <c r="GE196" i="3"/>
  <c r="GF196" i="3"/>
  <c r="GG196" i="3"/>
  <c r="GH196" i="3"/>
  <c r="GI196" i="3"/>
  <c r="GJ196" i="3"/>
  <c r="GK196" i="3"/>
  <c r="GL196" i="3"/>
  <c r="GM196" i="3"/>
  <c r="GN196" i="3"/>
  <c r="GO196" i="3"/>
  <c r="GP196" i="3"/>
  <c r="GQ196" i="3"/>
  <c r="GR196" i="3"/>
  <c r="GS196" i="3"/>
  <c r="GT196" i="3"/>
  <c r="GU196" i="3"/>
  <c r="GV196" i="3"/>
  <c r="GW196" i="3"/>
  <c r="GX196" i="3"/>
  <c r="GY196" i="3"/>
  <c r="GZ196" i="3"/>
  <c r="HA196" i="3"/>
  <c r="HB196" i="3"/>
  <c r="HC196" i="3"/>
  <c r="HD196" i="3"/>
  <c r="HE196" i="3"/>
  <c r="HF196" i="3"/>
  <c r="HG196" i="3"/>
  <c r="HH196" i="3"/>
  <c r="HI196" i="3"/>
  <c r="HJ196" i="3"/>
  <c r="HK196" i="3"/>
  <c r="HL196" i="3"/>
  <c r="HM196" i="3"/>
  <c r="HN196" i="3"/>
  <c r="HO196" i="3"/>
  <c r="HP196" i="3"/>
  <c r="HQ196" i="3"/>
  <c r="HR196" i="3"/>
  <c r="HS196" i="3"/>
  <c r="HT196" i="3"/>
  <c r="HU196" i="3"/>
  <c r="HV196" i="3"/>
  <c r="HW196" i="3"/>
  <c r="HX196" i="3"/>
  <c r="HY196" i="3"/>
  <c r="HZ196" i="3"/>
  <c r="IA196" i="3"/>
  <c r="IB196" i="3"/>
  <c r="IC196" i="3"/>
  <c r="ID196" i="3"/>
  <c r="IE196" i="3"/>
  <c r="IF196" i="3"/>
  <c r="IG196" i="3"/>
  <c r="IH196" i="3"/>
  <c r="II196" i="3"/>
  <c r="IJ196" i="3"/>
  <c r="IK196" i="3"/>
  <c r="IL196" i="3"/>
  <c r="IM196" i="3"/>
  <c r="IN196" i="3"/>
  <c r="IO196" i="3"/>
  <c r="IP196" i="3"/>
  <c r="IQ196" i="3"/>
  <c r="IR196" i="3"/>
  <c r="IS196" i="3"/>
  <c r="IT196" i="3"/>
  <c r="IU196" i="3"/>
  <c r="IV196" i="3"/>
  <c r="A195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AQ195" i="3"/>
  <c r="AR195" i="3"/>
  <c r="AS195" i="3"/>
  <c r="AT195" i="3"/>
  <c r="AU195" i="3"/>
  <c r="AV195" i="3"/>
  <c r="AW195" i="3"/>
  <c r="AX195" i="3"/>
  <c r="AY195" i="3"/>
  <c r="AZ195" i="3"/>
  <c r="BA195" i="3"/>
  <c r="BB195" i="3"/>
  <c r="BC195" i="3"/>
  <c r="BD195" i="3"/>
  <c r="BE195" i="3"/>
  <c r="BF195" i="3"/>
  <c r="BG195" i="3"/>
  <c r="BH195" i="3"/>
  <c r="BI195" i="3"/>
  <c r="BJ195" i="3"/>
  <c r="BK195" i="3"/>
  <c r="BL195" i="3"/>
  <c r="BM195" i="3"/>
  <c r="BN195" i="3"/>
  <c r="BO195" i="3"/>
  <c r="BP195" i="3"/>
  <c r="BQ195" i="3"/>
  <c r="BR195" i="3"/>
  <c r="BS195" i="3"/>
  <c r="BT195" i="3"/>
  <c r="BU195" i="3"/>
  <c r="BV195" i="3"/>
  <c r="BW195" i="3"/>
  <c r="BX195" i="3"/>
  <c r="BY195" i="3"/>
  <c r="BZ195" i="3"/>
  <c r="CA195" i="3"/>
  <c r="CB195" i="3"/>
  <c r="CC195" i="3"/>
  <c r="CD195" i="3"/>
  <c r="CE195" i="3"/>
  <c r="CF195" i="3"/>
  <c r="CG195" i="3"/>
  <c r="CH195" i="3"/>
  <c r="CI195" i="3"/>
  <c r="CJ195" i="3"/>
  <c r="CK195" i="3"/>
  <c r="CL195" i="3"/>
  <c r="CM195" i="3"/>
  <c r="CN195" i="3"/>
  <c r="CO195" i="3"/>
  <c r="CP195" i="3"/>
  <c r="CQ195" i="3"/>
  <c r="CR195" i="3"/>
  <c r="CS195" i="3"/>
  <c r="CT195" i="3"/>
  <c r="CU195" i="3"/>
  <c r="CV195" i="3"/>
  <c r="CW195" i="3"/>
  <c r="CX195" i="3"/>
  <c r="CY195" i="3"/>
  <c r="CZ195" i="3"/>
  <c r="DA195" i="3"/>
  <c r="DB195" i="3"/>
  <c r="DC195" i="3"/>
  <c r="DD195" i="3"/>
  <c r="DE195" i="3"/>
  <c r="DF195" i="3"/>
  <c r="DG195" i="3"/>
  <c r="DH195" i="3"/>
  <c r="DI195" i="3"/>
  <c r="DJ195" i="3"/>
  <c r="DK195" i="3"/>
  <c r="DL195" i="3"/>
  <c r="DM195" i="3"/>
  <c r="DN195" i="3"/>
  <c r="DO195" i="3"/>
  <c r="DP195" i="3"/>
  <c r="DQ195" i="3"/>
  <c r="DR195" i="3"/>
  <c r="DS195" i="3"/>
  <c r="DT195" i="3"/>
  <c r="DU195" i="3"/>
  <c r="DV195" i="3"/>
  <c r="DW195" i="3"/>
  <c r="DX195" i="3"/>
  <c r="DY195" i="3"/>
  <c r="DZ195" i="3"/>
  <c r="EA195" i="3"/>
  <c r="EB195" i="3"/>
  <c r="EC195" i="3"/>
  <c r="ED195" i="3"/>
  <c r="EE195" i="3"/>
  <c r="EF195" i="3"/>
  <c r="EG195" i="3"/>
  <c r="EH195" i="3"/>
  <c r="EI195" i="3"/>
  <c r="EJ195" i="3"/>
  <c r="EK195" i="3"/>
  <c r="EL195" i="3"/>
  <c r="EM195" i="3"/>
  <c r="EN195" i="3"/>
  <c r="EO195" i="3"/>
  <c r="EP195" i="3"/>
  <c r="EQ195" i="3"/>
  <c r="ER195" i="3"/>
  <c r="ES195" i="3"/>
  <c r="ET195" i="3"/>
  <c r="EU195" i="3"/>
  <c r="EV195" i="3"/>
  <c r="EW195" i="3"/>
  <c r="EX195" i="3"/>
  <c r="EY195" i="3"/>
  <c r="EZ195" i="3"/>
  <c r="FA195" i="3"/>
  <c r="FB195" i="3"/>
  <c r="FC195" i="3"/>
  <c r="FD195" i="3"/>
  <c r="FE195" i="3"/>
  <c r="FF195" i="3"/>
  <c r="FG195" i="3"/>
  <c r="FH195" i="3"/>
  <c r="FI195" i="3"/>
  <c r="FJ195" i="3"/>
  <c r="FK195" i="3"/>
  <c r="FL195" i="3"/>
  <c r="FM195" i="3"/>
  <c r="FN195" i="3"/>
  <c r="FO195" i="3"/>
  <c r="FP195" i="3"/>
  <c r="FQ195" i="3"/>
  <c r="FR195" i="3"/>
  <c r="FS195" i="3"/>
  <c r="FT195" i="3"/>
  <c r="FU195" i="3"/>
  <c r="FV195" i="3"/>
  <c r="FW195" i="3"/>
  <c r="FX195" i="3"/>
  <c r="FY195" i="3"/>
  <c r="FZ195" i="3"/>
  <c r="GA195" i="3"/>
  <c r="GB195" i="3"/>
  <c r="GC195" i="3"/>
  <c r="GD195" i="3"/>
  <c r="GE195" i="3"/>
  <c r="GF195" i="3"/>
  <c r="GG195" i="3"/>
  <c r="GH195" i="3"/>
  <c r="GI195" i="3"/>
  <c r="GJ195" i="3"/>
  <c r="GK195" i="3"/>
  <c r="GL195" i="3"/>
  <c r="GM195" i="3"/>
  <c r="GN195" i="3"/>
  <c r="GO195" i="3"/>
  <c r="GP195" i="3"/>
  <c r="GQ195" i="3"/>
  <c r="GR195" i="3"/>
  <c r="GS195" i="3"/>
  <c r="GT195" i="3"/>
  <c r="GU195" i="3"/>
  <c r="GV195" i="3"/>
  <c r="GW195" i="3"/>
  <c r="GX195" i="3"/>
  <c r="GY195" i="3"/>
  <c r="GZ195" i="3"/>
  <c r="HA195" i="3"/>
  <c r="HB195" i="3"/>
  <c r="HC195" i="3"/>
  <c r="HD195" i="3"/>
  <c r="HE195" i="3"/>
  <c r="HF195" i="3"/>
  <c r="HG195" i="3"/>
  <c r="HH195" i="3"/>
  <c r="HI195" i="3"/>
  <c r="HJ195" i="3"/>
  <c r="HK195" i="3"/>
  <c r="HL195" i="3"/>
  <c r="HM195" i="3"/>
  <c r="HN195" i="3"/>
  <c r="HO195" i="3"/>
  <c r="HP195" i="3"/>
  <c r="HQ195" i="3"/>
  <c r="HR195" i="3"/>
  <c r="HS195" i="3"/>
  <c r="HT195" i="3"/>
  <c r="HU195" i="3"/>
  <c r="HV195" i="3"/>
  <c r="HW195" i="3"/>
  <c r="HX195" i="3"/>
  <c r="HY195" i="3"/>
  <c r="HZ195" i="3"/>
  <c r="IA195" i="3"/>
  <c r="IB195" i="3"/>
  <c r="IC195" i="3"/>
  <c r="ID195" i="3"/>
  <c r="IE195" i="3"/>
  <c r="IF195" i="3"/>
  <c r="IG195" i="3"/>
  <c r="IH195" i="3"/>
  <c r="II195" i="3"/>
  <c r="IJ195" i="3"/>
  <c r="IK195" i="3"/>
  <c r="IL195" i="3"/>
  <c r="IM195" i="3"/>
  <c r="IN195" i="3"/>
  <c r="IO195" i="3"/>
  <c r="IP195" i="3"/>
  <c r="IQ195" i="3"/>
  <c r="IR195" i="3"/>
  <c r="IS195" i="3"/>
  <c r="IT195" i="3"/>
  <c r="IU195" i="3"/>
  <c r="IV195" i="3"/>
  <c r="A194" i="3"/>
  <c r="B194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AP194" i="3"/>
  <c r="AQ194" i="3"/>
  <c r="AR194" i="3"/>
  <c r="AS194" i="3"/>
  <c r="AT194" i="3"/>
  <c r="AU194" i="3"/>
  <c r="AV194" i="3"/>
  <c r="AW194" i="3"/>
  <c r="AX194" i="3"/>
  <c r="AY194" i="3"/>
  <c r="AZ194" i="3"/>
  <c r="BA194" i="3"/>
  <c r="BB194" i="3"/>
  <c r="BC194" i="3"/>
  <c r="BD194" i="3"/>
  <c r="BE194" i="3"/>
  <c r="BF194" i="3"/>
  <c r="BG194" i="3"/>
  <c r="BH194" i="3"/>
  <c r="BI194" i="3"/>
  <c r="BJ194" i="3"/>
  <c r="BK194" i="3"/>
  <c r="BL194" i="3"/>
  <c r="BM194" i="3"/>
  <c r="BN194" i="3"/>
  <c r="BO194" i="3"/>
  <c r="BP194" i="3"/>
  <c r="BQ194" i="3"/>
  <c r="BR194" i="3"/>
  <c r="BS194" i="3"/>
  <c r="BT194" i="3"/>
  <c r="BU194" i="3"/>
  <c r="BV194" i="3"/>
  <c r="BW194" i="3"/>
  <c r="BX194" i="3"/>
  <c r="BY194" i="3"/>
  <c r="BZ194" i="3"/>
  <c r="CA194" i="3"/>
  <c r="CB194" i="3"/>
  <c r="CC194" i="3"/>
  <c r="CD194" i="3"/>
  <c r="CE194" i="3"/>
  <c r="CF194" i="3"/>
  <c r="CG194" i="3"/>
  <c r="CH194" i="3"/>
  <c r="CI194" i="3"/>
  <c r="CJ194" i="3"/>
  <c r="CK194" i="3"/>
  <c r="CL194" i="3"/>
  <c r="CM194" i="3"/>
  <c r="CN194" i="3"/>
  <c r="CO194" i="3"/>
  <c r="CP194" i="3"/>
  <c r="CQ194" i="3"/>
  <c r="CR194" i="3"/>
  <c r="CS194" i="3"/>
  <c r="CT194" i="3"/>
  <c r="CU194" i="3"/>
  <c r="CV194" i="3"/>
  <c r="CW194" i="3"/>
  <c r="CX194" i="3"/>
  <c r="CY194" i="3"/>
  <c r="CZ194" i="3"/>
  <c r="DA194" i="3"/>
  <c r="DB194" i="3"/>
  <c r="DC194" i="3"/>
  <c r="DD194" i="3"/>
  <c r="DE194" i="3"/>
  <c r="DF194" i="3"/>
  <c r="DG194" i="3"/>
  <c r="DH194" i="3"/>
  <c r="DI194" i="3"/>
  <c r="DJ194" i="3"/>
  <c r="DK194" i="3"/>
  <c r="DL194" i="3"/>
  <c r="DM194" i="3"/>
  <c r="DN194" i="3"/>
  <c r="DO194" i="3"/>
  <c r="DP194" i="3"/>
  <c r="DQ194" i="3"/>
  <c r="DR194" i="3"/>
  <c r="DS194" i="3"/>
  <c r="DT194" i="3"/>
  <c r="DU194" i="3"/>
  <c r="DV194" i="3"/>
  <c r="DW194" i="3"/>
  <c r="DX194" i="3"/>
  <c r="DY194" i="3"/>
  <c r="DZ194" i="3"/>
  <c r="EA194" i="3"/>
  <c r="EB194" i="3"/>
  <c r="EC194" i="3"/>
  <c r="ED194" i="3"/>
  <c r="EE194" i="3"/>
  <c r="EF194" i="3"/>
  <c r="EG194" i="3"/>
  <c r="EH194" i="3"/>
  <c r="EI194" i="3"/>
  <c r="EJ194" i="3"/>
  <c r="EK194" i="3"/>
  <c r="EL194" i="3"/>
  <c r="EM194" i="3"/>
  <c r="EN194" i="3"/>
  <c r="EO194" i="3"/>
  <c r="EP194" i="3"/>
  <c r="EQ194" i="3"/>
  <c r="ER194" i="3"/>
  <c r="ES194" i="3"/>
  <c r="ET194" i="3"/>
  <c r="EU194" i="3"/>
  <c r="EV194" i="3"/>
  <c r="EW194" i="3"/>
  <c r="EX194" i="3"/>
  <c r="EY194" i="3"/>
  <c r="EZ194" i="3"/>
  <c r="FA194" i="3"/>
  <c r="FB194" i="3"/>
  <c r="FC194" i="3"/>
  <c r="FD194" i="3"/>
  <c r="FE194" i="3"/>
  <c r="FF194" i="3"/>
  <c r="FG194" i="3"/>
  <c r="FH194" i="3"/>
  <c r="FI194" i="3"/>
  <c r="FJ194" i="3"/>
  <c r="FK194" i="3"/>
  <c r="FL194" i="3"/>
  <c r="FM194" i="3"/>
  <c r="FN194" i="3"/>
  <c r="FO194" i="3"/>
  <c r="FP194" i="3"/>
  <c r="FQ194" i="3"/>
  <c r="FR194" i="3"/>
  <c r="FS194" i="3"/>
  <c r="FT194" i="3"/>
  <c r="FU194" i="3"/>
  <c r="FV194" i="3"/>
  <c r="FW194" i="3"/>
  <c r="FX194" i="3"/>
  <c r="FY194" i="3"/>
  <c r="FZ194" i="3"/>
  <c r="GA194" i="3"/>
  <c r="GB194" i="3"/>
  <c r="GC194" i="3"/>
  <c r="GD194" i="3"/>
  <c r="GE194" i="3"/>
  <c r="GF194" i="3"/>
  <c r="GG194" i="3"/>
  <c r="GH194" i="3"/>
  <c r="GI194" i="3"/>
  <c r="GJ194" i="3"/>
  <c r="GK194" i="3"/>
  <c r="GL194" i="3"/>
  <c r="GM194" i="3"/>
  <c r="GN194" i="3"/>
  <c r="GO194" i="3"/>
  <c r="GP194" i="3"/>
  <c r="GQ194" i="3"/>
  <c r="GR194" i="3"/>
  <c r="GS194" i="3"/>
  <c r="GT194" i="3"/>
  <c r="GU194" i="3"/>
  <c r="GV194" i="3"/>
  <c r="GW194" i="3"/>
  <c r="GX194" i="3"/>
  <c r="GY194" i="3"/>
  <c r="GZ194" i="3"/>
  <c r="HA194" i="3"/>
  <c r="HB194" i="3"/>
  <c r="HC194" i="3"/>
  <c r="HD194" i="3"/>
  <c r="HE194" i="3"/>
  <c r="HF194" i="3"/>
  <c r="HG194" i="3"/>
  <c r="HH194" i="3"/>
  <c r="HI194" i="3"/>
  <c r="HJ194" i="3"/>
  <c r="HK194" i="3"/>
  <c r="HL194" i="3"/>
  <c r="HM194" i="3"/>
  <c r="HN194" i="3"/>
  <c r="HO194" i="3"/>
  <c r="HP194" i="3"/>
  <c r="HQ194" i="3"/>
  <c r="HR194" i="3"/>
  <c r="HS194" i="3"/>
  <c r="HT194" i="3"/>
  <c r="HU194" i="3"/>
  <c r="HV194" i="3"/>
  <c r="HW194" i="3"/>
  <c r="HX194" i="3"/>
  <c r="HY194" i="3"/>
  <c r="HZ194" i="3"/>
  <c r="IA194" i="3"/>
  <c r="IB194" i="3"/>
  <c r="IC194" i="3"/>
  <c r="ID194" i="3"/>
  <c r="IE194" i="3"/>
  <c r="IF194" i="3"/>
  <c r="IG194" i="3"/>
  <c r="IH194" i="3"/>
  <c r="II194" i="3"/>
  <c r="IJ194" i="3"/>
  <c r="IK194" i="3"/>
  <c r="IL194" i="3"/>
  <c r="IM194" i="3"/>
  <c r="IN194" i="3"/>
  <c r="IO194" i="3"/>
  <c r="IP194" i="3"/>
  <c r="IQ194" i="3"/>
  <c r="IR194" i="3"/>
  <c r="IS194" i="3"/>
  <c r="IT194" i="3"/>
  <c r="IU194" i="3"/>
  <c r="IV194" i="3"/>
  <c r="A193" i="3"/>
  <c r="B193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Q193" i="3"/>
  <c r="AR193" i="3"/>
  <c r="AS193" i="3"/>
  <c r="AT193" i="3"/>
  <c r="AU193" i="3"/>
  <c r="AV193" i="3"/>
  <c r="AW193" i="3"/>
  <c r="AX193" i="3"/>
  <c r="AY193" i="3"/>
  <c r="AZ193" i="3"/>
  <c r="BA193" i="3"/>
  <c r="BB193" i="3"/>
  <c r="BC193" i="3"/>
  <c r="BD193" i="3"/>
  <c r="BE193" i="3"/>
  <c r="BF193" i="3"/>
  <c r="BG193" i="3"/>
  <c r="BH193" i="3"/>
  <c r="BI193" i="3"/>
  <c r="BJ193" i="3"/>
  <c r="BK193" i="3"/>
  <c r="BL193" i="3"/>
  <c r="BM193" i="3"/>
  <c r="BN193" i="3"/>
  <c r="BO193" i="3"/>
  <c r="BP193" i="3"/>
  <c r="BQ193" i="3"/>
  <c r="BR193" i="3"/>
  <c r="BS193" i="3"/>
  <c r="BT193" i="3"/>
  <c r="BU193" i="3"/>
  <c r="BV193" i="3"/>
  <c r="BW193" i="3"/>
  <c r="BX193" i="3"/>
  <c r="BY193" i="3"/>
  <c r="BZ193" i="3"/>
  <c r="CA193" i="3"/>
  <c r="CB193" i="3"/>
  <c r="CC193" i="3"/>
  <c r="CD193" i="3"/>
  <c r="CE193" i="3"/>
  <c r="CF193" i="3"/>
  <c r="CG193" i="3"/>
  <c r="CH193" i="3"/>
  <c r="CI193" i="3"/>
  <c r="CJ193" i="3"/>
  <c r="CK193" i="3"/>
  <c r="CL193" i="3"/>
  <c r="CM193" i="3"/>
  <c r="CN193" i="3"/>
  <c r="CO193" i="3"/>
  <c r="CP193" i="3"/>
  <c r="CQ193" i="3"/>
  <c r="CR193" i="3"/>
  <c r="CS193" i="3"/>
  <c r="CT193" i="3"/>
  <c r="CU193" i="3"/>
  <c r="CV193" i="3"/>
  <c r="CW193" i="3"/>
  <c r="CX193" i="3"/>
  <c r="CY193" i="3"/>
  <c r="CZ193" i="3"/>
  <c r="DA193" i="3"/>
  <c r="DB193" i="3"/>
  <c r="DC193" i="3"/>
  <c r="DD193" i="3"/>
  <c r="DE193" i="3"/>
  <c r="DF193" i="3"/>
  <c r="DG193" i="3"/>
  <c r="DH193" i="3"/>
  <c r="DI193" i="3"/>
  <c r="DJ193" i="3"/>
  <c r="DK193" i="3"/>
  <c r="DL193" i="3"/>
  <c r="DM193" i="3"/>
  <c r="DN193" i="3"/>
  <c r="DO193" i="3"/>
  <c r="DP193" i="3"/>
  <c r="DQ193" i="3"/>
  <c r="DR193" i="3"/>
  <c r="DS193" i="3"/>
  <c r="DT193" i="3"/>
  <c r="DU193" i="3"/>
  <c r="DV193" i="3"/>
  <c r="DW193" i="3"/>
  <c r="DX193" i="3"/>
  <c r="DY193" i="3"/>
  <c r="DZ193" i="3"/>
  <c r="EA193" i="3"/>
  <c r="EB193" i="3"/>
  <c r="EC193" i="3"/>
  <c r="ED193" i="3"/>
  <c r="EE193" i="3"/>
  <c r="EF193" i="3"/>
  <c r="EG193" i="3"/>
  <c r="EH193" i="3"/>
  <c r="EI193" i="3"/>
  <c r="EJ193" i="3"/>
  <c r="EK193" i="3"/>
  <c r="EL193" i="3"/>
  <c r="EM193" i="3"/>
  <c r="EN193" i="3"/>
  <c r="EO193" i="3"/>
  <c r="EP193" i="3"/>
  <c r="EQ193" i="3"/>
  <c r="ER193" i="3"/>
  <c r="ES193" i="3"/>
  <c r="ET193" i="3"/>
  <c r="EU193" i="3"/>
  <c r="EV193" i="3"/>
  <c r="EW193" i="3"/>
  <c r="EX193" i="3"/>
  <c r="EY193" i="3"/>
  <c r="EZ193" i="3"/>
  <c r="FA193" i="3"/>
  <c r="FB193" i="3"/>
  <c r="FC193" i="3"/>
  <c r="FD193" i="3"/>
  <c r="FE193" i="3"/>
  <c r="FF193" i="3"/>
  <c r="FG193" i="3"/>
  <c r="FH193" i="3"/>
  <c r="FI193" i="3"/>
  <c r="FJ193" i="3"/>
  <c r="FK193" i="3"/>
  <c r="FL193" i="3"/>
  <c r="FM193" i="3"/>
  <c r="FN193" i="3"/>
  <c r="FO193" i="3"/>
  <c r="FP193" i="3"/>
  <c r="FQ193" i="3"/>
  <c r="FR193" i="3"/>
  <c r="FS193" i="3"/>
  <c r="FT193" i="3"/>
  <c r="FU193" i="3"/>
  <c r="FV193" i="3"/>
  <c r="FW193" i="3"/>
  <c r="FX193" i="3"/>
  <c r="FY193" i="3"/>
  <c r="FZ193" i="3"/>
  <c r="GA193" i="3"/>
  <c r="GB193" i="3"/>
  <c r="GC193" i="3"/>
  <c r="GD193" i="3"/>
  <c r="GE193" i="3"/>
  <c r="GF193" i="3"/>
  <c r="GG193" i="3"/>
  <c r="GH193" i="3"/>
  <c r="GI193" i="3"/>
  <c r="GJ193" i="3"/>
  <c r="GK193" i="3"/>
  <c r="GL193" i="3"/>
  <c r="GM193" i="3"/>
  <c r="GN193" i="3"/>
  <c r="GO193" i="3"/>
  <c r="GP193" i="3"/>
  <c r="GQ193" i="3"/>
  <c r="GR193" i="3"/>
  <c r="GS193" i="3"/>
  <c r="GT193" i="3"/>
  <c r="GU193" i="3"/>
  <c r="GV193" i="3"/>
  <c r="GW193" i="3"/>
  <c r="GX193" i="3"/>
  <c r="GY193" i="3"/>
  <c r="GZ193" i="3"/>
  <c r="HA193" i="3"/>
  <c r="HB193" i="3"/>
  <c r="HC193" i="3"/>
  <c r="HD193" i="3"/>
  <c r="HE193" i="3"/>
  <c r="HF193" i="3"/>
  <c r="HG193" i="3"/>
  <c r="HH193" i="3"/>
  <c r="HI193" i="3"/>
  <c r="HJ193" i="3"/>
  <c r="HK193" i="3"/>
  <c r="HL193" i="3"/>
  <c r="HM193" i="3"/>
  <c r="HN193" i="3"/>
  <c r="HO193" i="3"/>
  <c r="HP193" i="3"/>
  <c r="HQ193" i="3"/>
  <c r="HR193" i="3"/>
  <c r="HS193" i="3"/>
  <c r="HT193" i="3"/>
  <c r="HU193" i="3"/>
  <c r="HV193" i="3"/>
  <c r="HW193" i="3"/>
  <c r="HX193" i="3"/>
  <c r="HY193" i="3"/>
  <c r="HZ193" i="3"/>
  <c r="IA193" i="3"/>
  <c r="IB193" i="3"/>
  <c r="IC193" i="3"/>
  <c r="ID193" i="3"/>
  <c r="IE193" i="3"/>
  <c r="IF193" i="3"/>
  <c r="IG193" i="3"/>
  <c r="IH193" i="3"/>
  <c r="II193" i="3"/>
  <c r="IJ193" i="3"/>
  <c r="IK193" i="3"/>
  <c r="IL193" i="3"/>
  <c r="IM193" i="3"/>
  <c r="IN193" i="3"/>
  <c r="IO193" i="3"/>
  <c r="IP193" i="3"/>
  <c r="IQ193" i="3"/>
  <c r="IR193" i="3"/>
  <c r="IS193" i="3"/>
  <c r="IT193" i="3"/>
  <c r="IU193" i="3"/>
  <c r="IV193" i="3"/>
  <c r="A192" i="3"/>
  <c r="B192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AR192" i="3"/>
  <c r="AS192" i="3"/>
  <c r="AT192" i="3"/>
  <c r="AU192" i="3"/>
  <c r="AV192" i="3"/>
  <c r="AW192" i="3"/>
  <c r="AX192" i="3"/>
  <c r="AY192" i="3"/>
  <c r="AZ192" i="3"/>
  <c r="BA192" i="3"/>
  <c r="BB192" i="3"/>
  <c r="BC192" i="3"/>
  <c r="BD192" i="3"/>
  <c r="BE192" i="3"/>
  <c r="BF192" i="3"/>
  <c r="BG192" i="3"/>
  <c r="BH192" i="3"/>
  <c r="BI192" i="3"/>
  <c r="BJ192" i="3"/>
  <c r="BK192" i="3"/>
  <c r="BL192" i="3"/>
  <c r="BM192" i="3"/>
  <c r="BN192" i="3"/>
  <c r="BO192" i="3"/>
  <c r="BP192" i="3"/>
  <c r="BQ192" i="3"/>
  <c r="BR192" i="3"/>
  <c r="BS192" i="3"/>
  <c r="BT192" i="3"/>
  <c r="BU192" i="3"/>
  <c r="BV192" i="3"/>
  <c r="BW192" i="3"/>
  <c r="BX192" i="3"/>
  <c r="BY192" i="3"/>
  <c r="BZ192" i="3"/>
  <c r="CA192" i="3"/>
  <c r="CB192" i="3"/>
  <c r="CC192" i="3"/>
  <c r="CD192" i="3"/>
  <c r="CE192" i="3"/>
  <c r="CF192" i="3"/>
  <c r="CG192" i="3"/>
  <c r="CH192" i="3"/>
  <c r="CI192" i="3"/>
  <c r="CJ192" i="3"/>
  <c r="CK192" i="3"/>
  <c r="CL192" i="3"/>
  <c r="CM192" i="3"/>
  <c r="CN192" i="3"/>
  <c r="CO192" i="3"/>
  <c r="CP192" i="3"/>
  <c r="CQ192" i="3"/>
  <c r="CR192" i="3"/>
  <c r="CS192" i="3"/>
  <c r="CT192" i="3"/>
  <c r="CU192" i="3"/>
  <c r="CV192" i="3"/>
  <c r="CW192" i="3"/>
  <c r="CX192" i="3"/>
  <c r="CY192" i="3"/>
  <c r="CZ192" i="3"/>
  <c r="DA192" i="3"/>
  <c r="DB192" i="3"/>
  <c r="DC192" i="3"/>
  <c r="DD192" i="3"/>
  <c r="DE192" i="3"/>
  <c r="DF192" i="3"/>
  <c r="DG192" i="3"/>
  <c r="DH192" i="3"/>
  <c r="DI192" i="3"/>
  <c r="DJ192" i="3"/>
  <c r="DK192" i="3"/>
  <c r="DL192" i="3"/>
  <c r="DM192" i="3"/>
  <c r="DN192" i="3"/>
  <c r="DO192" i="3"/>
  <c r="DP192" i="3"/>
  <c r="DQ192" i="3"/>
  <c r="DR192" i="3"/>
  <c r="DS192" i="3"/>
  <c r="DT192" i="3"/>
  <c r="DU192" i="3"/>
  <c r="DV192" i="3"/>
  <c r="DW192" i="3"/>
  <c r="DX192" i="3"/>
  <c r="DY192" i="3"/>
  <c r="DZ192" i="3"/>
  <c r="EA192" i="3"/>
  <c r="EB192" i="3"/>
  <c r="EC192" i="3"/>
  <c r="ED192" i="3"/>
  <c r="EE192" i="3"/>
  <c r="EF192" i="3"/>
  <c r="EG192" i="3"/>
  <c r="EH192" i="3"/>
  <c r="EI192" i="3"/>
  <c r="EJ192" i="3"/>
  <c r="EK192" i="3"/>
  <c r="EL192" i="3"/>
  <c r="EM192" i="3"/>
  <c r="EN192" i="3"/>
  <c r="EO192" i="3"/>
  <c r="EP192" i="3"/>
  <c r="EQ192" i="3"/>
  <c r="ER192" i="3"/>
  <c r="ES192" i="3"/>
  <c r="ET192" i="3"/>
  <c r="EU192" i="3"/>
  <c r="EV192" i="3"/>
  <c r="EW192" i="3"/>
  <c r="EX192" i="3"/>
  <c r="EY192" i="3"/>
  <c r="EZ192" i="3"/>
  <c r="FA192" i="3"/>
  <c r="FB192" i="3"/>
  <c r="FC192" i="3"/>
  <c r="FD192" i="3"/>
  <c r="FE192" i="3"/>
  <c r="FF192" i="3"/>
  <c r="FG192" i="3"/>
  <c r="FH192" i="3"/>
  <c r="FI192" i="3"/>
  <c r="FJ192" i="3"/>
  <c r="FK192" i="3"/>
  <c r="FL192" i="3"/>
  <c r="FM192" i="3"/>
  <c r="FN192" i="3"/>
  <c r="FO192" i="3"/>
  <c r="FP192" i="3"/>
  <c r="FQ192" i="3"/>
  <c r="FR192" i="3"/>
  <c r="FS192" i="3"/>
  <c r="FT192" i="3"/>
  <c r="FU192" i="3"/>
  <c r="FV192" i="3"/>
  <c r="FW192" i="3"/>
  <c r="FX192" i="3"/>
  <c r="FY192" i="3"/>
  <c r="FZ192" i="3"/>
  <c r="GA192" i="3"/>
  <c r="GB192" i="3"/>
  <c r="GC192" i="3"/>
  <c r="GD192" i="3"/>
  <c r="GE192" i="3"/>
  <c r="GF192" i="3"/>
  <c r="GG192" i="3"/>
  <c r="GH192" i="3"/>
  <c r="GI192" i="3"/>
  <c r="GJ192" i="3"/>
  <c r="GK192" i="3"/>
  <c r="GL192" i="3"/>
  <c r="GM192" i="3"/>
  <c r="GN192" i="3"/>
  <c r="GO192" i="3"/>
  <c r="GP192" i="3"/>
  <c r="GQ192" i="3"/>
  <c r="GR192" i="3"/>
  <c r="GS192" i="3"/>
  <c r="GT192" i="3"/>
  <c r="GU192" i="3"/>
  <c r="GV192" i="3"/>
  <c r="GW192" i="3"/>
  <c r="GX192" i="3"/>
  <c r="GY192" i="3"/>
  <c r="GZ192" i="3"/>
  <c r="HA192" i="3"/>
  <c r="HB192" i="3"/>
  <c r="HC192" i="3"/>
  <c r="HD192" i="3"/>
  <c r="HE192" i="3"/>
  <c r="HF192" i="3"/>
  <c r="HG192" i="3"/>
  <c r="HH192" i="3"/>
  <c r="HI192" i="3"/>
  <c r="HJ192" i="3"/>
  <c r="HK192" i="3"/>
  <c r="HL192" i="3"/>
  <c r="HM192" i="3"/>
  <c r="HN192" i="3"/>
  <c r="HO192" i="3"/>
  <c r="HP192" i="3"/>
  <c r="HQ192" i="3"/>
  <c r="HR192" i="3"/>
  <c r="HS192" i="3"/>
  <c r="HT192" i="3"/>
  <c r="HU192" i="3"/>
  <c r="HV192" i="3"/>
  <c r="HW192" i="3"/>
  <c r="HX192" i="3"/>
  <c r="HY192" i="3"/>
  <c r="HZ192" i="3"/>
  <c r="IA192" i="3"/>
  <c r="IB192" i="3"/>
  <c r="IC192" i="3"/>
  <c r="ID192" i="3"/>
  <c r="IE192" i="3"/>
  <c r="IF192" i="3"/>
  <c r="IG192" i="3"/>
  <c r="IH192" i="3"/>
  <c r="II192" i="3"/>
  <c r="IJ192" i="3"/>
  <c r="IK192" i="3"/>
  <c r="IL192" i="3"/>
  <c r="IM192" i="3"/>
  <c r="IN192" i="3"/>
  <c r="IO192" i="3"/>
  <c r="IP192" i="3"/>
  <c r="IQ192" i="3"/>
  <c r="IR192" i="3"/>
  <c r="IS192" i="3"/>
  <c r="IT192" i="3"/>
  <c r="IU192" i="3"/>
  <c r="IV192" i="3"/>
  <c r="A191" i="3"/>
  <c r="B191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AP191" i="3"/>
  <c r="AQ191" i="3"/>
  <c r="AR191" i="3"/>
  <c r="AS191" i="3"/>
  <c r="AT191" i="3"/>
  <c r="AU191" i="3"/>
  <c r="AV191" i="3"/>
  <c r="AW191" i="3"/>
  <c r="AX191" i="3"/>
  <c r="AY191" i="3"/>
  <c r="AZ191" i="3"/>
  <c r="BA191" i="3"/>
  <c r="BB191" i="3"/>
  <c r="BC191" i="3"/>
  <c r="BD191" i="3"/>
  <c r="BE191" i="3"/>
  <c r="BF191" i="3"/>
  <c r="BG191" i="3"/>
  <c r="BH191" i="3"/>
  <c r="BI191" i="3"/>
  <c r="BJ191" i="3"/>
  <c r="BK191" i="3"/>
  <c r="BL191" i="3"/>
  <c r="BM191" i="3"/>
  <c r="BN191" i="3"/>
  <c r="BO191" i="3"/>
  <c r="BP191" i="3"/>
  <c r="BQ191" i="3"/>
  <c r="BR191" i="3"/>
  <c r="BS191" i="3"/>
  <c r="BT191" i="3"/>
  <c r="BU191" i="3"/>
  <c r="BV191" i="3"/>
  <c r="BW191" i="3"/>
  <c r="BX191" i="3"/>
  <c r="BY191" i="3"/>
  <c r="BZ191" i="3"/>
  <c r="CA191" i="3"/>
  <c r="CB191" i="3"/>
  <c r="CC191" i="3"/>
  <c r="CD191" i="3"/>
  <c r="CE191" i="3"/>
  <c r="CF191" i="3"/>
  <c r="CG191" i="3"/>
  <c r="CH191" i="3"/>
  <c r="CI191" i="3"/>
  <c r="CJ191" i="3"/>
  <c r="CK191" i="3"/>
  <c r="CL191" i="3"/>
  <c r="CM191" i="3"/>
  <c r="CN191" i="3"/>
  <c r="CO191" i="3"/>
  <c r="CP191" i="3"/>
  <c r="CQ191" i="3"/>
  <c r="CR191" i="3"/>
  <c r="CS191" i="3"/>
  <c r="CT191" i="3"/>
  <c r="CU191" i="3"/>
  <c r="CV191" i="3"/>
  <c r="CW191" i="3"/>
  <c r="CX191" i="3"/>
  <c r="CY191" i="3"/>
  <c r="CZ191" i="3"/>
  <c r="DA191" i="3"/>
  <c r="DB191" i="3"/>
  <c r="DC191" i="3"/>
  <c r="DD191" i="3"/>
  <c r="DE191" i="3"/>
  <c r="DF191" i="3"/>
  <c r="DG191" i="3"/>
  <c r="DH191" i="3"/>
  <c r="DI191" i="3"/>
  <c r="DJ191" i="3"/>
  <c r="DK191" i="3"/>
  <c r="DL191" i="3"/>
  <c r="DM191" i="3"/>
  <c r="DN191" i="3"/>
  <c r="DO191" i="3"/>
  <c r="DP191" i="3"/>
  <c r="DQ191" i="3"/>
  <c r="DR191" i="3"/>
  <c r="DS191" i="3"/>
  <c r="DT191" i="3"/>
  <c r="DU191" i="3"/>
  <c r="DV191" i="3"/>
  <c r="DW191" i="3"/>
  <c r="DX191" i="3"/>
  <c r="DY191" i="3"/>
  <c r="DZ191" i="3"/>
  <c r="EA191" i="3"/>
  <c r="EB191" i="3"/>
  <c r="EC191" i="3"/>
  <c r="ED191" i="3"/>
  <c r="EE191" i="3"/>
  <c r="EF191" i="3"/>
  <c r="EG191" i="3"/>
  <c r="EH191" i="3"/>
  <c r="EI191" i="3"/>
  <c r="EJ191" i="3"/>
  <c r="EK191" i="3"/>
  <c r="EL191" i="3"/>
  <c r="EM191" i="3"/>
  <c r="EN191" i="3"/>
  <c r="EO191" i="3"/>
  <c r="EP191" i="3"/>
  <c r="EQ191" i="3"/>
  <c r="ER191" i="3"/>
  <c r="ES191" i="3"/>
  <c r="ET191" i="3"/>
  <c r="EU191" i="3"/>
  <c r="EV191" i="3"/>
  <c r="EW191" i="3"/>
  <c r="EX191" i="3"/>
  <c r="EY191" i="3"/>
  <c r="EZ191" i="3"/>
  <c r="FA191" i="3"/>
  <c r="FB191" i="3"/>
  <c r="FC191" i="3"/>
  <c r="FD191" i="3"/>
  <c r="FE191" i="3"/>
  <c r="FF191" i="3"/>
  <c r="FG191" i="3"/>
  <c r="FH191" i="3"/>
  <c r="FI191" i="3"/>
  <c r="FJ191" i="3"/>
  <c r="FK191" i="3"/>
  <c r="FL191" i="3"/>
  <c r="FM191" i="3"/>
  <c r="FN191" i="3"/>
  <c r="FO191" i="3"/>
  <c r="FP191" i="3"/>
  <c r="FQ191" i="3"/>
  <c r="FR191" i="3"/>
  <c r="FS191" i="3"/>
  <c r="FT191" i="3"/>
  <c r="FU191" i="3"/>
  <c r="FV191" i="3"/>
  <c r="FW191" i="3"/>
  <c r="FX191" i="3"/>
  <c r="FY191" i="3"/>
  <c r="FZ191" i="3"/>
  <c r="GA191" i="3"/>
  <c r="GB191" i="3"/>
  <c r="GC191" i="3"/>
  <c r="GD191" i="3"/>
  <c r="GE191" i="3"/>
  <c r="GF191" i="3"/>
  <c r="GG191" i="3"/>
  <c r="GH191" i="3"/>
  <c r="GI191" i="3"/>
  <c r="GJ191" i="3"/>
  <c r="GK191" i="3"/>
  <c r="GL191" i="3"/>
  <c r="GM191" i="3"/>
  <c r="GN191" i="3"/>
  <c r="GO191" i="3"/>
  <c r="GP191" i="3"/>
  <c r="GQ191" i="3"/>
  <c r="GR191" i="3"/>
  <c r="GS191" i="3"/>
  <c r="GT191" i="3"/>
  <c r="GU191" i="3"/>
  <c r="GV191" i="3"/>
  <c r="GW191" i="3"/>
  <c r="GX191" i="3"/>
  <c r="GY191" i="3"/>
  <c r="GZ191" i="3"/>
  <c r="HA191" i="3"/>
  <c r="HB191" i="3"/>
  <c r="HC191" i="3"/>
  <c r="HD191" i="3"/>
  <c r="HE191" i="3"/>
  <c r="HF191" i="3"/>
  <c r="HG191" i="3"/>
  <c r="HH191" i="3"/>
  <c r="HI191" i="3"/>
  <c r="HJ191" i="3"/>
  <c r="HK191" i="3"/>
  <c r="HL191" i="3"/>
  <c r="HM191" i="3"/>
  <c r="HN191" i="3"/>
  <c r="HO191" i="3"/>
  <c r="HP191" i="3"/>
  <c r="HQ191" i="3"/>
  <c r="HR191" i="3"/>
  <c r="HS191" i="3"/>
  <c r="HT191" i="3"/>
  <c r="HU191" i="3"/>
  <c r="HV191" i="3"/>
  <c r="HW191" i="3"/>
  <c r="HX191" i="3"/>
  <c r="HY191" i="3"/>
  <c r="HZ191" i="3"/>
  <c r="IA191" i="3"/>
  <c r="IB191" i="3"/>
  <c r="IC191" i="3"/>
  <c r="ID191" i="3"/>
  <c r="IE191" i="3"/>
  <c r="IF191" i="3"/>
  <c r="IG191" i="3"/>
  <c r="IH191" i="3"/>
  <c r="II191" i="3"/>
  <c r="IJ191" i="3"/>
  <c r="IK191" i="3"/>
  <c r="IL191" i="3"/>
  <c r="IM191" i="3"/>
  <c r="IN191" i="3"/>
  <c r="IO191" i="3"/>
  <c r="IP191" i="3"/>
  <c r="IQ191" i="3"/>
  <c r="IR191" i="3"/>
  <c r="IS191" i="3"/>
  <c r="IT191" i="3"/>
  <c r="IU191" i="3"/>
  <c r="IV191" i="3"/>
  <c r="A190" i="3"/>
  <c r="B190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AP190" i="3"/>
  <c r="AQ190" i="3"/>
  <c r="AR190" i="3"/>
  <c r="AS190" i="3"/>
  <c r="AT190" i="3"/>
  <c r="AU190" i="3"/>
  <c r="AV190" i="3"/>
  <c r="AW190" i="3"/>
  <c r="AX190" i="3"/>
  <c r="AY190" i="3"/>
  <c r="AZ190" i="3"/>
  <c r="BA190" i="3"/>
  <c r="BB190" i="3"/>
  <c r="BC190" i="3"/>
  <c r="BD190" i="3"/>
  <c r="BE190" i="3"/>
  <c r="BF190" i="3"/>
  <c r="BG190" i="3"/>
  <c r="BH190" i="3"/>
  <c r="BI190" i="3"/>
  <c r="BJ190" i="3"/>
  <c r="BK190" i="3"/>
  <c r="BL190" i="3"/>
  <c r="BM190" i="3"/>
  <c r="BN190" i="3"/>
  <c r="BO190" i="3"/>
  <c r="BP190" i="3"/>
  <c r="BQ190" i="3"/>
  <c r="BR190" i="3"/>
  <c r="BS190" i="3"/>
  <c r="BT190" i="3"/>
  <c r="BU190" i="3"/>
  <c r="BV190" i="3"/>
  <c r="BW190" i="3"/>
  <c r="BX190" i="3"/>
  <c r="BY190" i="3"/>
  <c r="BZ190" i="3"/>
  <c r="CA190" i="3"/>
  <c r="CB190" i="3"/>
  <c r="CC190" i="3"/>
  <c r="CD190" i="3"/>
  <c r="CE190" i="3"/>
  <c r="CF190" i="3"/>
  <c r="CG190" i="3"/>
  <c r="CH190" i="3"/>
  <c r="CI190" i="3"/>
  <c r="CJ190" i="3"/>
  <c r="CK190" i="3"/>
  <c r="CL190" i="3"/>
  <c r="CM190" i="3"/>
  <c r="CN190" i="3"/>
  <c r="CO190" i="3"/>
  <c r="CP190" i="3"/>
  <c r="CQ190" i="3"/>
  <c r="CR190" i="3"/>
  <c r="CS190" i="3"/>
  <c r="CT190" i="3"/>
  <c r="CU190" i="3"/>
  <c r="CV190" i="3"/>
  <c r="CW190" i="3"/>
  <c r="CX190" i="3"/>
  <c r="CY190" i="3"/>
  <c r="CZ190" i="3"/>
  <c r="DA190" i="3"/>
  <c r="DB190" i="3"/>
  <c r="DC190" i="3"/>
  <c r="DD190" i="3"/>
  <c r="DE190" i="3"/>
  <c r="DF190" i="3"/>
  <c r="DG190" i="3"/>
  <c r="DH190" i="3"/>
  <c r="DI190" i="3"/>
  <c r="DJ190" i="3"/>
  <c r="DK190" i="3"/>
  <c r="DL190" i="3"/>
  <c r="DM190" i="3"/>
  <c r="DN190" i="3"/>
  <c r="DO190" i="3"/>
  <c r="DP190" i="3"/>
  <c r="DQ190" i="3"/>
  <c r="DR190" i="3"/>
  <c r="DS190" i="3"/>
  <c r="DT190" i="3"/>
  <c r="DU190" i="3"/>
  <c r="DV190" i="3"/>
  <c r="DW190" i="3"/>
  <c r="DX190" i="3"/>
  <c r="DY190" i="3"/>
  <c r="DZ190" i="3"/>
  <c r="EA190" i="3"/>
  <c r="EB190" i="3"/>
  <c r="EC190" i="3"/>
  <c r="ED190" i="3"/>
  <c r="EE190" i="3"/>
  <c r="EF190" i="3"/>
  <c r="EG190" i="3"/>
  <c r="EH190" i="3"/>
  <c r="EI190" i="3"/>
  <c r="EJ190" i="3"/>
  <c r="EK190" i="3"/>
  <c r="EL190" i="3"/>
  <c r="EM190" i="3"/>
  <c r="EN190" i="3"/>
  <c r="EO190" i="3"/>
  <c r="EP190" i="3"/>
  <c r="EQ190" i="3"/>
  <c r="ER190" i="3"/>
  <c r="ES190" i="3"/>
  <c r="ET190" i="3"/>
  <c r="EU190" i="3"/>
  <c r="EV190" i="3"/>
  <c r="EW190" i="3"/>
  <c r="EX190" i="3"/>
  <c r="EY190" i="3"/>
  <c r="EZ190" i="3"/>
  <c r="FA190" i="3"/>
  <c r="FB190" i="3"/>
  <c r="FC190" i="3"/>
  <c r="FD190" i="3"/>
  <c r="FE190" i="3"/>
  <c r="FF190" i="3"/>
  <c r="FG190" i="3"/>
  <c r="FH190" i="3"/>
  <c r="FI190" i="3"/>
  <c r="FJ190" i="3"/>
  <c r="FK190" i="3"/>
  <c r="FL190" i="3"/>
  <c r="FM190" i="3"/>
  <c r="FN190" i="3"/>
  <c r="FO190" i="3"/>
  <c r="FP190" i="3"/>
  <c r="FQ190" i="3"/>
  <c r="FR190" i="3"/>
  <c r="FS190" i="3"/>
  <c r="FT190" i="3"/>
  <c r="FU190" i="3"/>
  <c r="FV190" i="3"/>
  <c r="FW190" i="3"/>
  <c r="FX190" i="3"/>
  <c r="FY190" i="3"/>
  <c r="FZ190" i="3"/>
  <c r="GA190" i="3"/>
  <c r="GB190" i="3"/>
  <c r="GC190" i="3"/>
  <c r="GD190" i="3"/>
  <c r="GE190" i="3"/>
  <c r="GF190" i="3"/>
  <c r="GG190" i="3"/>
  <c r="GH190" i="3"/>
  <c r="GI190" i="3"/>
  <c r="GJ190" i="3"/>
  <c r="GK190" i="3"/>
  <c r="GL190" i="3"/>
  <c r="GM190" i="3"/>
  <c r="GN190" i="3"/>
  <c r="GO190" i="3"/>
  <c r="GP190" i="3"/>
  <c r="GQ190" i="3"/>
  <c r="GR190" i="3"/>
  <c r="GS190" i="3"/>
  <c r="GT190" i="3"/>
  <c r="GU190" i="3"/>
  <c r="GV190" i="3"/>
  <c r="GW190" i="3"/>
  <c r="GX190" i="3"/>
  <c r="GY190" i="3"/>
  <c r="GZ190" i="3"/>
  <c r="HA190" i="3"/>
  <c r="HB190" i="3"/>
  <c r="HC190" i="3"/>
  <c r="HD190" i="3"/>
  <c r="HE190" i="3"/>
  <c r="HF190" i="3"/>
  <c r="HG190" i="3"/>
  <c r="HH190" i="3"/>
  <c r="HI190" i="3"/>
  <c r="HJ190" i="3"/>
  <c r="HK190" i="3"/>
  <c r="HL190" i="3"/>
  <c r="HM190" i="3"/>
  <c r="HN190" i="3"/>
  <c r="HO190" i="3"/>
  <c r="HP190" i="3"/>
  <c r="HQ190" i="3"/>
  <c r="HR190" i="3"/>
  <c r="HS190" i="3"/>
  <c r="HT190" i="3"/>
  <c r="HU190" i="3"/>
  <c r="HV190" i="3"/>
  <c r="HW190" i="3"/>
  <c r="HX190" i="3"/>
  <c r="HY190" i="3"/>
  <c r="HZ190" i="3"/>
  <c r="IA190" i="3"/>
  <c r="IB190" i="3"/>
  <c r="IC190" i="3"/>
  <c r="ID190" i="3"/>
  <c r="IE190" i="3"/>
  <c r="IF190" i="3"/>
  <c r="IG190" i="3"/>
  <c r="IH190" i="3"/>
  <c r="II190" i="3"/>
  <c r="IJ190" i="3"/>
  <c r="IK190" i="3"/>
  <c r="IL190" i="3"/>
  <c r="IM190" i="3"/>
  <c r="IN190" i="3"/>
  <c r="IO190" i="3"/>
  <c r="IP190" i="3"/>
  <c r="IQ190" i="3"/>
  <c r="IR190" i="3"/>
  <c r="IS190" i="3"/>
  <c r="IT190" i="3"/>
  <c r="IU190" i="3"/>
  <c r="IV190" i="3"/>
  <c r="A189" i="3"/>
  <c r="B189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AP189" i="3"/>
  <c r="AQ189" i="3"/>
  <c r="AR189" i="3"/>
  <c r="AS189" i="3"/>
  <c r="AT189" i="3"/>
  <c r="AU189" i="3"/>
  <c r="AV189" i="3"/>
  <c r="AW189" i="3"/>
  <c r="AX189" i="3"/>
  <c r="AY189" i="3"/>
  <c r="AZ189" i="3"/>
  <c r="BA189" i="3"/>
  <c r="BB189" i="3"/>
  <c r="BC189" i="3"/>
  <c r="BD189" i="3"/>
  <c r="BE189" i="3"/>
  <c r="BF189" i="3"/>
  <c r="BG189" i="3"/>
  <c r="BH189" i="3"/>
  <c r="BI189" i="3"/>
  <c r="BJ189" i="3"/>
  <c r="BK189" i="3"/>
  <c r="BL189" i="3"/>
  <c r="BM189" i="3"/>
  <c r="BN189" i="3"/>
  <c r="BO189" i="3"/>
  <c r="BP189" i="3"/>
  <c r="BQ189" i="3"/>
  <c r="BR189" i="3"/>
  <c r="BS189" i="3"/>
  <c r="BT189" i="3"/>
  <c r="BU189" i="3"/>
  <c r="BV189" i="3"/>
  <c r="BW189" i="3"/>
  <c r="BX189" i="3"/>
  <c r="BY189" i="3"/>
  <c r="BZ189" i="3"/>
  <c r="CA189" i="3"/>
  <c r="CB189" i="3"/>
  <c r="CC189" i="3"/>
  <c r="CD189" i="3"/>
  <c r="CE189" i="3"/>
  <c r="CF189" i="3"/>
  <c r="CG189" i="3"/>
  <c r="CH189" i="3"/>
  <c r="CI189" i="3"/>
  <c r="CJ189" i="3"/>
  <c r="CK189" i="3"/>
  <c r="CL189" i="3"/>
  <c r="CM189" i="3"/>
  <c r="CN189" i="3"/>
  <c r="CO189" i="3"/>
  <c r="CP189" i="3"/>
  <c r="CQ189" i="3"/>
  <c r="CR189" i="3"/>
  <c r="CS189" i="3"/>
  <c r="CT189" i="3"/>
  <c r="CU189" i="3"/>
  <c r="CV189" i="3"/>
  <c r="CW189" i="3"/>
  <c r="CX189" i="3"/>
  <c r="CY189" i="3"/>
  <c r="CZ189" i="3"/>
  <c r="DA189" i="3"/>
  <c r="DB189" i="3"/>
  <c r="DC189" i="3"/>
  <c r="DD189" i="3"/>
  <c r="DE189" i="3"/>
  <c r="DF189" i="3"/>
  <c r="DG189" i="3"/>
  <c r="DH189" i="3"/>
  <c r="DI189" i="3"/>
  <c r="DJ189" i="3"/>
  <c r="DK189" i="3"/>
  <c r="DL189" i="3"/>
  <c r="DM189" i="3"/>
  <c r="DN189" i="3"/>
  <c r="DO189" i="3"/>
  <c r="DP189" i="3"/>
  <c r="DQ189" i="3"/>
  <c r="DR189" i="3"/>
  <c r="DS189" i="3"/>
  <c r="DT189" i="3"/>
  <c r="DU189" i="3"/>
  <c r="DV189" i="3"/>
  <c r="DW189" i="3"/>
  <c r="DX189" i="3"/>
  <c r="DY189" i="3"/>
  <c r="DZ189" i="3"/>
  <c r="EA189" i="3"/>
  <c r="EB189" i="3"/>
  <c r="EC189" i="3"/>
  <c r="ED189" i="3"/>
  <c r="EE189" i="3"/>
  <c r="EF189" i="3"/>
  <c r="EG189" i="3"/>
  <c r="EH189" i="3"/>
  <c r="EI189" i="3"/>
  <c r="EJ189" i="3"/>
  <c r="EK189" i="3"/>
  <c r="EL189" i="3"/>
  <c r="EM189" i="3"/>
  <c r="EN189" i="3"/>
  <c r="EO189" i="3"/>
  <c r="EP189" i="3"/>
  <c r="EQ189" i="3"/>
  <c r="ER189" i="3"/>
  <c r="ES189" i="3"/>
  <c r="ET189" i="3"/>
  <c r="EU189" i="3"/>
  <c r="EV189" i="3"/>
  <c r="EW189" i="3"/>
  <c r="EX189" i="3"/>
  <c r="EY189" i="3"/>
  <c r="EZ189" i="3"/>
  <c r="FA189" i="3"/>
  <c r="FB189" i="3"/>
  <c r="FC189" i="3"/>
  <c r="FD189" i="3"/>
  <c r="FE189" i="3"/>
  <c r="FF189" i="3"/>
  <c r="FG189" i="3"/>
  <c r="FH189" i="3"/>
  <c r="FI189" i="3"/>
  <c r="FJ189" i="3"/>
  <c r="FK189" i="3"/>
  <c r="FL189" i="3"/>
  <c r="FM189" i="3"/>
  <c r="FN189" i="3"/>
  <c r="FO189" i="3"/>
  <c r="FP189" i="3"/>
  <c r="FQ189" i="3"/>
  <c r="FR189" i="3"/>
  <c r="FS189" i="3"/>
  <c r="FT189" i="3"/>
  <c r="FU189" i="3"/>
  <c r="FV189" i="3"/>
  <c r="FW189" i="3"/>
  <c r="FX189" i="3"/>
  <c r="FY189" i="3"/>
  <c r="FZ189" i="3"/>
  <c r="GA189" i="3"/>
  <c r="GB189" i="3"/>
  <c r="GC189" i="3"/>
  <c r="GD189" i="3"/>
  <c r="GE189" i="3"/>
  <c r="GF189" i="3"/>
  <c r="GG189" i="3"/>
  <c r="GH189" i="3"/>
  <c r="GI189" i="3"/>
  <c r="GJ189" i="3"/>
  <c r="GK189" i="3"/>
  <c r="GL189" i="3"/>
  <c r="GM189" i="3"/>
  <c r="GN189" i="3"/>
  <c r="GO189" i="3"/>
  <c r="GP189" i="3"/>
  <c r="GQ189" i="3"/>
  <c r="GR189" i="3"/>
  <c r="GS189" i="3"/>
  <c r="GT189" i="3"/>
  <c r="GU189" i="3"/>
  <c r="GV189" i="3"/>
  <c r="GW189" i="3"/>
  <c r="GX189" i="3"/>
  <c r="GY189" i="3"/>
  <c r="GZ189" i="3"/>
  <c r="HA189" i="3"/>
  <c r="HB189" i="3"/>
  <c r="HC189" i="3"/>
  <c r="HD189" i="3"/>
  <c r="HE189" i="3"/>
  <c r="HF189" i="3"/>
  <c r="HG189" i="3"/>
  <c r="HH189" i="3"/>
  <c r="HI189" i="3"/>
  <c r="HJ189" i="3"/>
  <c r="HK189" i="3"/>
  <c r="HL189" i="3"/>
  <c r="HM189" i="3"/>
  <c r="HN189" i="3"/>
  <c r="HO189" i="3"/>
  <c r="HP189" i="3"/>
  <c r="HQ189" i="3"/>
  <c r="HR189" i="3"/>
  <c r="HS189" i="3"/>
  <c r="HT189" i="3"/>
  <c r="HU189" i="3"/>
  <c r="HV189" i="3"/>
  <c r="HW189" i="3"/>
  <c r="HX189" i="3"/>
  <c r="HY189" i="3"/>
  <c r="HZ189" i="3"/>
  <c r="IA189" i="3"/>
  <c r="IB189" i="3"/>
  <c r="IC189" i="3"/>
  <c r="ID189" i="3"/>
  <c r="IE189" i="3"/>
  <c r="IF189" i="3"/>
  <c r="IG189" i="3"/>
  <c r="IH189" i="3"/>
  <c r="II189" i="3"/>
  <c r="IJ189" i="3"/>
  <c r="IK189" i="3"/>
  <c r="IL189" i="3"/>
  <c r="IM189" i="3"/>
  <c r="IN189" i="3"/>
  <c r="IO189" i="3"/>
  <c r="IP189" i="3"/>
  <c r="IQ189" i="3"/>
  <c r="IR189" i="3"/>
  <c r="IS189" i="3"/>
  <c r="IT189" i="3"/>
  <c r="IU189" i="3"/>
  <c r="IV189" i="3"/>
  <c r="A188" i="3"/>
  <c r="B188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AP188" i="3"/>
  <c r="AQ188" i="3"/>
  <c r="AR188" i="3"/>
  <c r="AS188" i="3"/>
  <c r="AT188" i="3"/>
  <c r="AU188" i="3"/>
  <c r="AV188" i="3"/>
  <c r="AW188" i="3"/>
  <c r="AX188" i="3"/>
  <c r="AY188" i="3"/>
  <c r="AZ188" i="3"/>
  <c r="BA188" i="3"/>
  <c r="BB188" i="3"/>
  <c r="BC188" i="3"/>
  <c r="BD188" i="3"/>
  <c r="BE188" i="3"/>
  <c r="BF188" i="3"/>
  <c r="BG188" i="3"/>
  <c r="BH188" i="3"/>
  <c r="BI188" i="3"/>
  <c r="BJ188" i="3"/>
  <c r="BK188" i="3"/>
  <c r="BL188" i="3"/>
  <c r="BM188" i="3"/>
  <c r="BN188" i="3"/>
  <c r="BO188" i="3"/>
  <c r="BP188" i="3"/>
  <c r="BQ188" i="3"/>
  <c r="BR188" i="3"/>
  <c r="BS188" i="3"/>
  <c r="BT188" i="3"/>
  <c r="BU188" i="3"/>
  <c r="BV188" i="3"/>
  <c r="BW188" i="3"/>
  <c r="BX188" i="3"/>
  <c r="BY188" i="3"/>
  <c r="BZ188" i="3"/>
  <c r="CA188" i="3"/>
  <c r="CB188" i="3"/>
  <c r="CC188" i="3"/>
  <c r="CD188" i="3"/>
  <c r="CE188" i="3"/>
  <c r="CF188" i="3"/>
  <c r="CG188" i="3"/>
  <c r="CH188" i="3"/>
  <c r="CI188" i="3"/>
  <c r="CJ188" i="3"/>
  <c r="CK188" i="3"/>
  <c r="CL188" i="3"/>
  <c r="CM188" i="3"/>
  <c r="CN188" i="3"/>
  <c r="CO188" i="3"/>
  <c r="CP188" i="3"/>
  <c r="CQ188" i="3"/>
  <c r="CR188" i="3"/>
  <c r="CS188" i="3"/>
  <c r="CT188" i="3"/>
  <c r="CU188" i="3"/>
  <c r="CV188" i="3"/>
  <c r="CW188" i="3"/>
  <c r="CX188" i="3"/>
  <c r="CY188" i="3"/>
  <c r="CZ188" i="3"/>
  <c r="DA188" i="3"/>
  <c r="DB188" i="3"/>
  <c r="DC188" i="3"/>
  <c r="DD188" i="3"/>
  <c r="DE188" i="3"/>
  <c r="DF188" i="3"/>
  <c r="DG188" i="3"/>
  <c r="DH188" i="3"/>
  <c r="DI188" i="3"/>
  <c r="DJ188" i="3"/>
  <c r="DK188" i="3"/>
  <c r="DL188" i="3"/>
  <c r="DM188" i="3"/>
  <c r="DN188" i="3"/>
  <c r="DO188" i="3"/>
  <c r="DP188" i="3"/>
  <c r="DQ188" i="3"/>
  <c r="DR188" i="3"/>
  <c r="DS188" i="3"/>
  <c r="DT188" i="3"/>
  <c r="DU188" i="3"/>
  <c r="DV188" i="3"/>
  <c r="DW188" i="3"/>
  <c r="DX188" i="3"/>
  <c r="DY188" i="3"/>
  <c r="DZ188" i="3"/>
  <c r="EA188" i="3"/>
  <c r="EB188" i="3"/>
  <c r="EC188" i="3"/>
  <c r="ED188" i="3"/>
  <c r="EE188" i="3"/>
  <c r="EF188" i="3"/>
  <c r="EG188" i="3"/>
  <c r="EH188" i="3"/>
  <c r="EI188" i="3"/>
  <c r="EJ188" i="3"/>
  <c r="EK188" i="3"/>
  <c r="EL188" i="3"/>
  <c r="EM188" i="3"/>
  <c r="EN188" i="3"/>
  <c r="EO188" i="3"/>
  <c r="EP188" i="3"/>
  <c r="EQ188" i="3"/>
  <c r="ER188" i="3"/>
  <c r="ES188" i="3"/>
  <c r="ET188" i="3"/>
  <c r="EU188" i="3"/>
  <c r="EV188" i="3"/>
  <c r="EW188" i="3"/>
  <c r="EX188" i="3"/>
  <c r="EY188" i="3"/>
  <c r="EZ188" i="3"/>
  <c r="FA188" i="3"/>
  <c r="FB188" i="3"/>
  <c r="FC188" i="3"/>
  <c r="FD188" i="3"/>
  <c r="FE188" i="3"/>
  <c r="FF188" i="3"/>
  <c r="FG188" i="3"/>
  <c r="FH188" i="3"/>
  <c r="FI188" i="3"/>
  <c r="FJ188" i="3"/>
  <c r="FK188" i="3"/>
  <c r="FL188" i="3"/>
  <c r="FM188" i="3"/>
  <c r="FN188" i="3"/>
  <c r="FO188" i="3"/>
  <c r="FP188" i="3"/>
  <c r="FQ188" i="3"/>
  <c r="FR188" i="3"/>
  <c r="FS188" i="3"/>
  <c r="FT188" i="3"/>
  <c r="FU188" i="3"/>
  <c r="FV188" i="3"/>
  <c r="FW188" i="3"/>
  <c r="FX188" i="3"/>
  <c r="FY188" i="3"/>
  <c r="FZ188" i="3"/>
  <c r="GA188" i="3"/>
  <c r="GB188" i="3"/>
  <c r="GC188" i="3"/>
  <c r="GD188" i="3"/>
  <c r="GE188" i="3"/>
  <c r="GF188" i="3"/>
  <c r="GG188" i="3"/>
  <c r="GH188" i="3"/>
  <c r="GI188" i="3"/>
  <c r="GJ188" i="3"/>
  <c r="GK188" i="3"/>
  <c r="GL188" i="3"/>
  <c r="GM188" i="3"/>
  <c r="GN188" i="3"/>
  <c r="GO188" i="3"/>
  <c r="GP188" i="3"/>
  <c r="GQ188" i="3"/>
  <c r="GR188" i="3"/>
  <c r="GS188" i="3"/>
  <c r="GT188" i="3"/>
  <c r="GU188" i="3"/>
  <c r="GV188" i="3"/>
  <c r="GW188" i="3"/>
  <c r="GX188" i="3"/>
  <c r="GY188" i="3"/>
  <c r="GZ188" i="3"/>
  <c r="HA188" i="3"/>
  <c r="HB188" i="3"/>
  <c r="HC188" i="3"/>
  <c r="HD188" i="3"/>
  <c r="HE188" i="3"/>
  <c r="HF188" i="3"/>
  <c r="HG188" i="3"/>
  <c r="HH188" i="3"/>
  <c r="HI188" i="3"/>
  <c r="HJ188" i="3"/>
  <c r="HK188" i="3"/>
  <c r="HL188" i="3"/>
  <c r="HM188" i="3"/>
  <c r="HN188" i="3"/>
  <c r="HO188" i="3"/>
  <c r="HP188" i="3"/>
  <c r="HQ188" i="3"/>
  <c r="HR188" i="3"/>
  <c r="HS188" i="3"/>
  <c r="HT188" i="3"/>
  <c r="HU188" i="3"/>
  <c r="HV188" i="3"/>
  <c r="HW188" i="3"/>
  <c r="HX188" i="3"/>
  <c r="HY188" i="3"/>
  <c r="HZ188" i="3"/>
  <c r="IA188" i="3"/>
  <c r="IB188" i="3"/>
  <c r="IC188" i="3"/>
  <c r="ID188" i="3"/>
  <c r="IE188" i="3"/>
  <c r="IF188" i="3"/>
  <c r="IG188" i="3"/>
  <c r="IH188" i="3"/>
  <c r="II188" i="3"/>
  <c r="IJ188" i="3"/>
  <c r="IK188" i="3"/>
  <c r="IL188" i="3"/>
  <c r="IM188" i="3"/>
  <c r="IN188" i="3"/>
  <c r="IO188" i="3"/>
  <c r="IP188" i="3"/>
  <c r="IQ188" i="3"/>
  <c r="IR188" i="3"/>
  <c r="IS188" i="3"/>
  <c r="IT188" i="3"/>
  <c r="IU188" i="3"/>
  <c r="IV188" i="3"/>
  <c r="A187" i="3"/>
  <c r="B187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AP187" i="3"/>
  <c r="AQ187" i="3"/>
  <c r="AR187" i="3"/>
  <c r="AS187" i="3"/>
  <c r="AT187" i="3"/>
  <c r="AU187" i="3"/>
  <c r="AV187" i="3"/>
  <c r="AW187" i="3"/>
  <c r="AX187" i="3"/>
  <c r="AY187" i="3"/>
  <c r="AZ187" i="3"/>
  <c r="BA187" i="3"/>
  <c r="BB187" i="3"/>
  <c r="BC187" i="3"/>
  <c r="BD187" i="3"/>
  <c r="BE187" i="3"/>
  <c r="BF187" i="3"/>
  <c r="BG187" i="3"/>
  <c r="BH187" i="3"/>
  <c r="BI187" i="3"/>
  <c r="BJ187" i="3"/>
  <c r="BK187" i="3"/>
  <c r="BL187" i="3"/>
  <c r="BM187" i="3"/>
  <c r="BN187" i="3"/>
  <c r="BO187" i="3"/>
  <c r="BP187" i="3"/>
  <c r="BQ187" i="3"/>
  <c r="BR187" i="3"/>
  <c r="BS187" i="3"/>
  <c r="BT187" i="3"/>
  <c r="BU187" i="3"/>
  <c r="BV187" i="3"/>
  <c r="BW187" i="3"/>
  <c r="BX187" i="3"/>
  <c r="BY187" i="3"/>
  <c r="BZ187" i="3"/>
  <c r="CA187" i="3"/>
  <c r="CB187" i="3"/>
  <c r="CC187" i="3"/>
  <c r="CD187" i="3"/>
  <c r="CE187" i="3"/>
  <c r="CF187" i="3"/>
  <c r="CG187" i="3"/>
  <c r="CH187" i="3"/>
  <c r="CI187" i="3"/>
  <c r="CJ187" i="3"/>
  <c r="CK187" i="3"/>
  <c r="CL187" i="3"/>
  <c r="CM187" i="3"/>
  <c r="CN187" i="3"/>
  <c r="CO187" i="3"/>
  <c r="CP187" i="3"/>
  <c r="CQ187" i="3"/>
  <c r="CR187" i="3"/>
  <c r="CS187" i="3"/>
  <c r="CT187" i="3"/>
  <c r="CU187" i="3"/>
  <c r="CV187" i="3"/>
  <c r="CW187" i="3"/>
  <c r="CX187" i="3"/>
  <c r="CY187" i="3"/>
  <c r="CZ187" i="3"/>
  <c r="DA187" i="3"/>
  <c r="DB187" i="3"/>
  <c r="DC187" i="3"/>
  <c r="DD187" i="3"/>
  <c r="DE187" i="3"/>
  <c r="DF187" i="3"/>
  <c r="DG187" i="3"/>
  <c r="DH187" i="3"/>
  <c r="DI187" i="3"/>
  <c r="DJ187" i="3"/>
  <c r="DK187" i="3"/>
  <c r="DL187" i="3"/>
  <c r="DM187" i="3"/>
  <c r="DN187" i="3"/>
  <c r="DO187" i="3"/>
  <c r="DP187" i="3"/>
  <c r="DQ187" i="3"/>
  <c r="DR187" i="3"/>
  <c r="DS187" i="3"/>
  <c r="DT187" i="3"/>
  <c r="DU187" i="3"/>
  <c r="DV187" i="3"/>
  <c r="DW187" i="3"/>
  <c r="DX187" i="3"/>
  <c r="DY187" i="3"/>
  <c r="DZ187" i="3"/>
  <c r="EA187" i="3"/>
  <c r="EB187" i="3"/>
  <c r="EC187" i="3"/>
  <c r="ED187" i="3"/>
  <c r="EE187" i="3"/>
  <c r="EF187" i="3"/>
  <c r="EG187" i="3"/>
  <c r="EH187" i="3"/>
  <c r="EI187" i="3"/>
  <c r="EJ187" i="3"/>
  <c r="EK187" i="3"/>
  <c r="EL187" i="3"/>
  <c r="EM187" i="3"/>
  <c r="EN187" i="3"/>
  <c r="EO187" i="3"/>
  <c r="EP187" i="3"/>
  <c r="EQ187" i="3"/>
  <c r="ER187" i="3"/>
  <c r="ES187" i="3"/>
  <c r="ET187" i="3"/>
  <c r="EU187" i="3"/>
  <c r="EV187" i="3"/>
  <c r="EW187" i="3"/>
  <c r="EX187" i="3"/>
  <c r="EY187" i="3"/>
  <c r="EZ187" i="3"/>
  <c r="FA187" i="3"/>
  <c r="FB187" i="3"/>
  <c r="FC187" i="3"/>
  <c r="FD187" i="3"/>
  <c r="FE187" i="3"/>
  <c r="FF187" i="3"/>
  <c r="FG187" i="3"/>
  <c r="FH187" i="3"/>
  <c r="FI187" i="3"/>
  <c r="FJ187" i="3"/>
  <c r="FK187" i="3"/>
  <c r="FL187" i="3"/>
  <c r="FM187" i="3"/>
  <c r="FN187" i="3"/>
  <c r="FO187" i="3"/>
  <c r="FP187" i="3"/>
  <c r="FQ187" i="3"/>
  <c r="FR187" i="3"/>
  <c r="FS187" i="3"/>
  <c r="FT187" i="3"/>
  <c r="FU187" i="3"/>
  <c r="FV187" i="3"/>
  <c r="FW187" i="3"/>
  <c r="FX187" i="3"/>
  <c r="FY187" i="3"/>
  <c r="FZ187" i="3"/>
  <c r="GA187" i="3"/>
  <c r="GB187" i="3"/>
  <c r="GC187" i="3"/>
  <c r="GD187" i="3"/>
  <c r="GE187" i="3"/>
  <c r="GF187" i="3"/>
  <c r="GG187" i="3"/>
  <c r="GH187" i="3"/>
  <c r="GI187" i="3"/>
  <c r="GJ187" i="3"/>
  <c r="GK187" i="3"/>
  <c r="GL187" i="3"/>
  <c r="GM187" i="3"/>
  <c r="GN187" i="3"/>
  <c r="GO187" i="3"/>
  <c r="GP187" i="3"/>
  <c r="GQ187" i="3"/>
  <c r="GR187" i="3"/>
  <c r="GS187" i="3"/>
  <c r="GT187" i="3"/>
  <c r="GU187" i="3"/>
  <c r="GV187" i="3"/>
  <c r="GW187" i="3"/>
  <c r="GX187" i="3"/>
  <c r="GY187" i="3"/>
  <c r="GZ187" i="3"/>
  <c r="HA187" i="3"/>
  <c r="HB187" i="3"/>
  <c r="HC187" i="3"/>
  <c r="HD187" i="3"/>
  <c r="HE187" i="3"/>
  <c r="HF187" i="3"/>
  <c r="HG187" i="3"/>
  <c r="HH187" i="3"/>
  <c r="HI187" i="3"/>
  <c r="HJ187" i="3"/>
  <c r="HK187" i="3"/>
  <c r="HL187" i="3"/>
  <c r="HM187" i="3"/>
  <c r="HN187" i="3"/>
  <c r="HO187" i="3"/>
  <c r="HP187" i="3"/>
  <c r="HQ187" i="3"/>
  <c r="HR187" i="3"/>
  <c r="HS187" i="3"/>
  <c r="HT187" i="3"/>
  <c r="HU187" i="3"/>
  <c r="HV187" i="3"/>
  <c r="HW187" i="3"/>
  <c r="HX187" i="3"/>
  <c r="HY187" i="3"/>
  <c r="HZ187" i="3"/>
  <c r="IA187" i="3"/>
  <c r="IB187" i="3"/>
  <c r="IC187" i="3"/>
  <c r="ID187" i="3"/>
  <c r="IE187" i="3"/>
  <c r="IF187" i="3"/>
  <c r="IG187" i="3"/>
  <c r="IH187" i="3"/>
  <c r="II187" i="3"/>
  <c r="IJ187" i="3"/>
  <c r="IK187" i="3"/>
  <c r="IL187" i="3"/>
  <c r="IM187" i="3"/>
  <c r="IN187" i="3"/>
  <c r="IO187" i="3"/>
  <c r="IP187" i="3"/>
  <c r="IQ187" i="3"/>
  <c r="IR187" i="3"/>
  <c r="IS187" i="3"/>
  <c r="IT187" i="3"/>
  <c r="IU187" i="3"/>
  <c r="IV187" i="3"/>
  <c r="A186" i="3"/>
  <c r="B186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AP186" i="3"/>
  <c r="AQ186" i="3"/>
  <c r="AR186" i="3"/>
  <c r="AS186" i="3"/>
  <c r="AT186" i="3"/>
  <c r="AU186" i="3"/>
  <c r="AV186" i="3"/>
  <c r="AW186" i="3"/>
  <c r="AX186" i="3"/>
  <c r="AY186" i="3"/>
  <c r="AZ186" i="3"/>
  <c r="BA186" i="3"/>
  <c r="BB186" i="3"/>
  <c r="BC186" i="3"/>
  <c r="BD186" i="3"/>
  <c r="BE186" i="3"/>
  <c r="BF186" i="3"/>
  <c r="BG186" i="3"/>
  <c r="BH186" i="3"/>
  <c r="BI186" i="3"/>
  <c r="BJ186" i="3"/>
  <c r="BK186" i="3"/>
  <c r="BL186" i="3"/>
  <c r="BM186" i="3"/>
  <c r="BN186" i="3"/>
  <c r="BO186" i="3"/>
  <c r="BP186" i="3"/>
  <c r="BQ186" i="3"/>
  <c r="BR186" i="3"/>
  <c r="BS186" i="3"/>
  <c r="BT186" i="3"/>
  <c r="BU186" i="3"/>
  <c r="BV186" i="3"/>
  <c r="BW186" i="3"/>
  <c r="BX186" i="3"/>
  <c r="BY186" i="3"/>
  <c r="BZ186" i="3"/>
  <c r="CA186" i="3"/>
  <c r="CB186" i="3"/>
  <c r="CC186" i="3"/>
  <c r="CD186" i="3"/>
  <c r="CE186" i="3"/>
  <c r="CF186" i="3"/>
  <c r="CG186" i="3"/>
  <c r="CH186" i="3"/>
  <c r="CI186" i="3"/>
  <c r="CJ186" i="3"/>
  <c r="CK186" i="3"/>
  <c r="CL186" i="3"/>
  <c r="CM186" i="3"/>
  <c r="CN186" i="3"/>
  <c r="CO186" i="3"/>
  <c r="CP186" i="3"/>
  <c r="CQ186" i="3"/>
  <c r="CR186" i="3"/>
  <c r="CS186" i="3"/>
  <c r="CT186" i="3"/>
  <c r="CU186" i="3"/>
  <c r="CV186" i="3"/>
  <c r="CW186" i="3"/>
  <c r="CX186" i="3"/>
  <c r="CY186" i="3"/>
  <c r="CZ186" i="3"/>
  <c r="DA186" i="3"/>
  <c r="DB186" i="3"/>
  <c r="DC186" i="3"/>
  <c r="DD186" i="3"/>
  <c r="DE186" i="3"/>
  <c r="DF186" i="3"/>
  <c r="DG186" i="3"/>
  <c r="DH186" i="3"/>
  <c r="DI186" i="3"/>
  <c r="DJ186" i="3"/>
  <c r="DK186" i="3"/>
  <c r="DL186" i="3"/>
  <c r="DM186" i="3"/>
  <c r="DN186" i="3"/>
  <c r="DO186" i="3"/>
  <c r="DP186" i="3"/>
  <c r="DQ186" i="3"/>
  <c r="DR186" i="3"/>
  <c r="DS186" i="3"/>
  <c r="DT186" i="3"/>
  <c r="DU186" i="3"/>
  <c r="DV186" i="3"/>
  <c r="DW186" i="3"/>
  <c r="DX186" i="3"/>
  <c r="DY186" i="3"/>
  <c r="DZ186" i="3"/>
  <c r="EA186" i="3"/>
  <c r="EB186" i="3"/>
  <c r="EC186" i="3"/>
  <c r="ED186" i="3"/>
  <c r="EE186" i="3"/>
  <c r="EF186" i="3"/>
  <c r="EG186" i="3"/>
  <c r="EH186" i="3"/>
  <c r="EI186" i="3"/>
  <c r="EJ186" i="3"/>
  <c r="EK186" i="3"/>
  <c r="EL186" i="3"/>
  <c r="EM186" i="3"/>
  <c r="EN186" i="3"/>
  <c r="EO186" i="3"/>
  <c r="EP186" i="3"/>
  <c r="EQ186" i="3"/>
  <c r="ER186" i="3"/>
  <c r="ES186" i="3"/>
  <c r="ET186" i="3"/>
  <c r="EU186" i="3"/>
  <c r="EV186" i="3"/>
  <c r="EW186" i="3"/>
  <c r="EX186" i="3"/>
  <c r="EY186" i="3"/>
  <c r="EZ186" i="3"/>
  <c r="FA186" i="3"/>
  <c r="FB186" i="3"/>
  <c r="FC186" i="3"/>
  <c r="FD186" i="3"/>
  <c r="FE186" i="3"/>
  <c r="FF186" i="3"/>
  <c r="FG186" i="3"/>
  <c r="FH186" i="3"/>
  <c r="FI186" i="3"/>
  <c r="FJ186" i="3"/>
  <c r="FK186" i="3"/>
  <c r="FL186" i="3"/>
  <c r="FM186" i="3"/>
  <c r="FN186" i="3"/>
  <c r="FO186" i="3"/>
  <c r="FP186" i="3"/>
  <c r="FQ186" i="3"/>
  <c r="FR186" i="3"/>
  <c r="FS186" i="3"/>
  <c r="FT186" i="3"/>
  <c r="FU186" i="3"/>
  <c r="FV186" i="3"/>
  <c r="FW186" i="3"/>
  <c r="FX186" i="3"/>
  <c r="FY186" i="3"/>
  <c r="FZ186" i="3"/>
  <c r="GA186" i="3"/>
  <c r="GB186" i="3"/>
  <c r="GC186" i="3"/>
  <c r="GD186" i="3"/>
  <c r="GE186" i="3"/>
  <c r="GF186" i="3"/>
  <c r="GG186" i="3"/>
  <c r="GH186" i="3"/>
  <c r="GI186" i="3"/>
  <c r="GJ186" i="3"/>
  <c r="GK186" i="3"/>
  <c r="GL186" i="3"/>
  <c r="GM186" i="3"/>
  <c r="GN186" i="3"/>
  <c r="GO186" i="3"/>
  <c r="GP186" i="3"/>
  <c r="GQ186" i="3"/>
  <c r="GR186" i="3"/>
  <c r="GS186" i="3"/>
  <c r="GT186" i="3"/>
  <c r="GU186" i="3"/>
  <c r="GV186" i="3"/>
  <c r="GW186" i="3"/>
  <c r="GX186" i="3"/>
  <c r="GY186" i="3"/>
  <c r="GZ186" i="3"/>
  <c r="HA186" i="3"/>
  <c r="HB186" i="3"/>
  <c r="HC186" i="3"/>
  <c r="HD186" i="3"/>
  <c r="HE186" i="3"/>
  <c r="HF186" i="3"/>
  <c r="HG186" i="3"/>
  <c r="HH186" i="3"/>
  <c r="HI186" i="3"/>
  <c r="HJ186" i="3"/>
  <c r="HK186" i="3"/>
  <c r="HL186" i="3"/>
  <c r="HM186" i="3"/>
  <c r="HN186" i="3"/>
  <c r="HO186" i="3"/>
  <c r="HP186" i="3"/>
  <c r="HQ186" i="3"/>
  <c r="HR186" i="3"/>
  <c r="HS186" i="3"/>
  <c r="HT186" i="3"/>
  <c r="HU186" i="3"/>
  <c r="HV186" i="3"/>
  <c r="HW186" i="3"/>
  <c r="HX186" i="3"/>
  <c r="HY186" i="3"/>
  <c r="HZ186" i="3"/>
  <c r="IA186" i="3"/>
  <c r="IB186" i="3"/>
  <c r="IC186" i="3"/>
  <c r="ID186" i="3"/>
  <c r="IE186" i="3"/>
  <c r="IF186" i="3"/>
  <c r="IG186" i="3"/>
  <c r="IH186" i="3"/>
  <c r="II186" i="3"/>
  <c r="IJ186" i="3"/>
  <c r="IK186" i="3"/>
  <c r="IL186" i="3"/>
  <c r="IM186" i="3"/>
  <c r="IN186" i="3"/>
  <c r="IO186" i="3"/>
  <c r="IP186" i="3"/>
  <c r="IQ186" i="3"/>
  <c r="IR186" i="3"/>
  <c r="IS186" i="3"/>
  <c r="IT186" i="3"/>
  <c r="IU186" i="3"/>
  <c r="IV186" i="3"/>
  <c r="A185" i="3"/>
  <c r="B185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AP185" i="3"/>
  <c r="AQ185" i="3"/>
  <c r="AR185" i="3"/>
  <c r="AS185" i="3"/>
  <c r="AT185" i="3"/>
  <c r="AU185" i="3"/>
  <c r="AV185" i="3"/>
  <c r="AW185" i="3"/>
  <c r="AX185" i="3"/>
  <c r="AY185" i="3"/>
  <c r="AZ185" i="3"/>
  <c r="BA185" i="3"/>
  <c r="BB185" i="3"/>
  <c r="BC185" i="3"/>
  <c r="BD185" i="3"/>
  <c r="BE185" i="3"/>
  <c r="BF185" i="3"/>
  <c r="BG185" i="3"/>
  <c r="BH185" i="3"/>
  <c r="BI185" i="3"/>
  <c r="BJ185" i="3"/>
  <c r="BK185" i="3"/>
  <c r="BL185" i="3"/>
  <c r="BM185" i="3"/>
  <c r="BN185" i="3"/>
  <c r="BO185" i="3"/>
  <c r="BP185" i="3"/>
  <c r="BQ185" i="3"/>
  <c r="BR185" i="3"/>
  <c r="BS185" i="3"/>
  <c r="BT185" i="3"/>
  <c r="BU185" i="3"/>
  <c r="BV185" i="3"/>
  <c r="BW185" i="3"/>
  <c r="BX185" i="3"/>
  <c r="BY185" i="3"/>
  <c r="BZ185" i="3"/>
  <c r="CA185" i="3"/>
  <c r="CB185" i="3"/>
  <c r="CC185" i="3"/>
  <c r="CD185" i="3"/>
  <c r="CE185" i="3"/>
  <c r="CF185" i="3"/>
  <c r="CG185" i="3"/>
  <c r="CH185" i="3"/>
  <c r="CI185" i="3"/>
  <c r="CJ185" i="3"/>
  <c r="CK185" i="3"/>
  <c r="CL185" i="3"/>
  <c r="CM185" i="3"/>
  <c r="CN185" i="3"/>
  <c r="CO185" i="3"/>
  <c r="CP185" i="3"/>
  <c r="CQ185" i="3"/>
  <c r="CR185" i="3"/>
  <c r="CS185" i="3"/>
  <c r="CT185" i="3"/>
  <c r="CU185" i="3"/>
  <c r="CV185" i="3"/>
  <c r="CW185" i="3"/>
  <c r="CX185" i="3"/>
  <c r="CY185" i="3"/>
  <c r="CZ185" i="3"/>
  <c r="DA185" i="3"/>
  <c r="DB185" i="3"/>
  <c r="DC185" i="3"/>
  <c r="DD185" i="3"/>
  <c r="DE185" i="3"/>
  <c r="DF185" i="3"/>
  <c r="DG185" i="3"/>
  <c r="DH185" i="3"/>
  <c r="DI185" i="3"/>
  <c r="DJ185" i="3"/>
  <c r="DK185" i="3"/>
  <c r="DL185" i="3"/>
  <c r="DM185" i="3"/>
  <c r="DN185" i="3"/>
  <c r="DO185" i="3"/>
  <c r="DP185" i="3"/>
  <c r="DQ185" i="3"/>
  <c r="DR185" i="3"/>
  <c r="DS185" i="3"/>
  <c r="DT185" i="3"/>
  <c r="DU185" i="3"/>
  <c r="DV185" i="3"/>
  <c r="DW185" i="3"/>
  <c r="DX185" i="3"/>
  <c r="DY185" i="3"/>
  <c r="DZ185" i="3"/>
  <c r="EA185" i="3"/>
  <c r="EB185" i="3"/>
  <c r="EC185" i="3"/>
  <c r="ED185" i="3"/>
  <c r="EE185" i="3"/>
  <c r="EF185" i="3"/>
  <c r="EG185" i="3"/>
  <c r="EH185" i="3"/>
  <c r="EI185" i="3"/>
  <c r="EJ185" i="3"/>
  <c r="EK185" i="3"/>
  <c r="EL185" i="3"/>
  <c r="EM185" i="3"/>
  <c r="EN185" i="3"/>
  <c r="EO185" i="3"/>
  <c r="EP185" i="3"/>
  <c r="EQ185" i="3"/>
  <c r="ER185" i="3"/>
  <c r="ES185" i="3"/>
  <c r="ET185" i="3"/>
  <c r="EU185" i="3"/>
  <c r="EV185" i="3"/>
  <c r="EW185" i="3"/>
  <c r="EX185" i="3"/>
  <c r="EY185" i="3"/>
  <c r="EZ185" i="3"/>
  <c r="FA185" i="3"/>
  <c r="FB185" i="3"/>
  <c r="FC185" i="3"/>
  <c r="FD185" i="3"/>
  <c r="FE185" i="3"/>
  <c r="FF185" i="3"/>
  <c r="FG185" i="3"/>
  <c r="FH185" i="3"/>
  <c r="FI185" i="3"/>
  <c r="FJ185" i="3"/>
  <c r="FK185" i="3"/>
  <c r="FL185" i="3"/>
  <c r="FM185" i="3"/>
  <c r="FN185" i="3"/>
  <c r="FO185" i="3"/>
  <c r="FP185" i="3"/>
  <c r="FQ185" i="3"/>
  <c r="FR185" i="3"/>
  <c r="FS185" i="3"/>
  <c r="FT185" i="3"/>
  <c r="FU185" i="3"/>
  <c r="FV185" i="3"/>
  <c r="FW185" i="3"/>
  <c r="FX185" i="3"/>
  <c r="FY185" i="3"/>
  <c r="FZ185" i="3"/>
  <c r="GA185" i="3"/>
  <c r="GB185" i="3"/>
  <c r="GC185" i="3"/>
  <c r="GD185" i="3"/>
  <c r="GE185" i="3"/>
  <c r="GF185" i="3"/>
  <c r="GG185" i="3"/>
  <c r="GH185" i="3"/>
  <c r="GI185" i="3"/>
  <c r="GJ185" i="3"/>
  <c r="GK185" i="3"/>
  <c r="GL185" i="3"/>
  <c r="GM185" i="3"/>
  <c r="GN185" i="3"/>
  <c r="GO185" i="3"/>
  <c r="GP185" i="3"/>
  <c r="GQ185" i="3"/>
  <c r="GR185" i="3"/>
  <c r="GS185" i="3"/>
  <c r="GT185" i="3"/>
  <c r="GU185" i="3"/>
  <c r="GV185" i="3"/>
  <c r="GW185" i="3"/>
  <c r="GX185" i="3"/>
  <c r="GY185" i="3"/>
  <c r="GZ185" i="3"/>
  <c r="HA185" i="3"/>
  <c r="HB185" i="3"/>
  <c r="HC185" i="3"/>
  <c r="HD185" i="3"/>
  <c r="HE185" i="3"/>
  <c r="HF185" i="3"/>
  <c r="HG185" i="3"/>
  <c r="HH185" i="3"/>
  <c r="HI185" i="3"/>
  <c r="HJ185" i="3"/>
  <c r="HK185" i="3"/>
  <c r="HL185" i="3"/>
  <c r="HM185" i="3"/>
  <c r="HN185" i="3"/>
  <c r="HO185" i="3"/>
  <c r="HP185" i="3"/>
  <c r="HQ185" i="3"/>
  <c r="HR185" i="3"/>
  <c r="HS185" i="3"/>
  <c r="HT185" i="3"/>
  <c r="HU185" i="3"/>
  <c r="HV185" i="3"/>
  <c r="HW185" i="3"/>
  <c r="HX185" i="3"/>
  <c r="HY185" i="3"/>
  <c r="HZ185" i="3"/>
  <c r="IA185" i="3"/>
  <c r="IB185" i="3"/>
  <c r="IC185" i="3"/>
  <c r="ID185" i="3"/>
  <c r="IE185" i="3"/>
  <c r="IF185" i="3"/>
  <c r="IG185" i="3"/>
  <c r="IH185" i="3"/>
  <c r="II185" i="3"/>
  <c r="IJ185" i="3"/>
  <c r="IK185" i="3"/>
  <c r="IL185" i="3"/>
  <c r="IM185" i="3"/>
  <c r="IN185" i="3"/>
  <c r="IO185" i="3"/>
  <c r="IP185" i="3"/>
  <c r="IQ185" i="3"/>
  <c r="IR185" i="3"/>
  <c r="IS185" i="3"/>
  <c r="IT185" i="3"/>
  <c r="IU185" i="3"/>
  <c r="IV185" i="3"/>
  <c r="A184" i="3"/>
  <c r="B184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AP184" i="3"/>
  <c r="AQ184" i="3"/>
  <c r="AR184" i="3"/>
  <c r="AS184" i="3"/>
  <c r="AT184" i="3"/>
  <c r="AU184" i="3"/>
  <c r="AV184" i="3"/>
  <c r="AW184" i="3"/>
  <c r="AX184" i="3"/>
  <c r="AY184" i="3"/>
  <c r="AZ184" i="3"/>
  <c r="BA184" i="3"/>
  <c r="BB184" i="3"/>
  <c r="BC184" i="3"/>
  <c r="BD184" i="3"/>
  <c r="BE184" i="3"/>
  <c r="BF184" i="3"/>
  <c r="BG184" i="3"/>
  <c r="BH184" i="3"/>
  <c r="BI184" i="3"/>
  <c r="BJ184" i="3"/>
  <c r="BK184" i="3"/>
  <c r="BL184" i="3"/>
  <c r="BM184" i="3"/>
  <c r="BN184" i="3"/>
  <c r="BO184" i="3"/>
  <c r="BP184" i="3"/>
  <c r="BQ184" i="3"/>
  <c r="BR184" i="3"/>
  <c r="BS184" i="3"/>
  <c r="BT184" i="3"/>
  <c r="BU184" i="3"/>
  <c r="BV184" i="3"/>
  <c r="BW184" i="3"/>
  <c r="BX184" i="3"/>
  <c r="BY184" i="3"/>
  <c r="BZ184" i="3"/>
  <c r="CA184" i="3"/>
  <c r="CB184" i="3"/>
  <c r="CC184" i="3"/>
  <c r="CD184" i="3"/>
  <c r="CE184" i="3"/>
  <c r="CF184" i="3"/>
  <c r="CG184" i="3"/>
  <c r="CH184" i="3"/>
  <c r="CI184" i="3"/>
  <c r="CJ184" i="3"/>
  <c r="CK184" i="3"/>
  <c r="CL184" i="3"/>
  <c r="CM184" i="3"/>
  <c r="CN184" i="3"/>
  <c r="CO184" i="3"/>
  <c r="CP184" i="3"/>
  <c r="CQ184" i="3"/>
  <c r="CR184" i="3"/>
  <c r="CS184" i="3"/>
  <c r="CT184" i="3"/>
  <c r="CU184" i="3"/>
  <c r="CV184" i="3"/>
  <c r="CW184" i="3"/>
  <c r="CX184" i="3"/>
  <c r="CY184" i="3"/>
  <c r="CZ184" i="3"/>
  <c r="DA184" i="3"/>
  <c r="DB184" i="3"/>
  <c r="DC184" i="3"/>
  <c r="DD184" i="3"/>
  <c r="DE184" i="3"/>
  <c r="DF184" i="3"/>
  <c r="DG184" i="3"/>
  <c r="DH184" i="3"/>
  <c r="DI184" i="3"/>
  <c r="DJ184" i="3"/>
  <c r="DK184" i="3"/>
  <c r="DL184" i="3"/>
  <c r="DM184" i="3"/>
  <c r="DN184" i="3"/>
  <c r="DO184" i="3"/>
  <c r="DP184" i="3"/>
  <c r="DQ184" i="3"/>
  <c r="DR184" i="3"/>
  <c r="DS184" i="3"/>
  <c r="DT184" i="3"/>
  <c r="DU184" i="3"/>
  <c r="DV184" i="3"/>
  <c r="DW184" i="3"/>
  <c r="DX184" i="3"/>
  <c r="DY184" i="3"/>
  <c r="DZ184" i="3"/>
  <c r="EA184" i="3"/>
  <c r="EB184" i="3"/>
  <c r="EC184" i="3"/>
  <c r="ED184" i="3"/>
  <c r="EE184" i="3"/>
  <c r="EF184" i="3"/>
  <c r="EG184" i="3"/>
  <c r="EH184" i="3"/>
  <c r="EI184" i="3"/>
  <c r="EJ184" i="3"/>
  <c r="EK184" i="3"/>
  <c r="EL184" i="3"/>
  <c r="EM184" i="3"/>
  <c r="EN184" i="3"/>
  <c r="EO184" i="3"/>
  <c r="EP184" i="3"/>
  <c r="EQ184" i="3"/>
  <c r="ER184" i="3"/>
  <c r="ES184" i="3"/>
  <c r="ET184" i="3"/>
  <c r="EU184" i="3"/>
  <c r="EV184" i="3"/>
  <c r="EW184" i="3"/>
  <c r="EX184" i="3"/>
  <c r="EY184" i="3"/>
  <c r="EZ184" i="3"/>
  <c r="FA184" i="3"/>
  <c r="FB184" i="3"/>
  <c r="FC184" i="3"/>
  <c r="FD184" i="3"/>
  <c r="FE184" i="3"/>
  <c r="FF184" i="3"/>
  <c r="FG184" i="3"/>
  <c r="FH184" i="3"/>
  <c r="FI184" i="3"/>
  <c r="FJ184" i="3"/>
  <c r="FK184" i="3"/>
  <c r="FL184" i="3"/>
  <c r="FM184" i="3"/>
  <c r="FN184" i="3"/>
  <c r="FO184" i="3"/>
  <c r="FP184" i="3"/>
  <c r="FQ184" i="3"/>
  <c r="FR184" i="3"/>
  <c r="FS184" i="3"/>
  <c r="FT184" i="3"/>
  <c r="FU184" i="3"/>
  <c r="FV184" i="3"/>
  <c r="FW184" i="3"/>
  <c r="FX184" i="3"/>
  <c r="FY184" i="3"/>
  <c r="FZ184" i="3"/>
  <c r="GA184" i="3"/>
  <c r="GB184" i="3"/>
  <c r="GC184" i="3"/>
  <c r="GD184" i="3"/>
  <c r="GE184" i="3"/>
  <c r="GF184" i="3"/>
  <c r="GG184" i="3"/>
  <c r="GH184" i="3"/>
  <c r="GI184" i="3"/>
  <c r="GJ184" i="3"/>
  <c r="GK184" i="3"/>
  <c r="GL184" i="3"/>
  <c r="GM184" i="3"/>
  <c r="GN184" i="3"/>
  <c r="GO184" i="3"/>
  <c r="GP184" i="3"/>
  <c r="GQ184" i="3"/>
  <c r="GR184" i="3"/>
  <c r="GS184" i="3"/>
  <c r="GT184" i="3"/>
  <c r="GU184" i="3"/>
  <c r="GV184" i="3"/>
  <c r="GW184" i="3"/>
  <c r="GX184" i="3"/>
  <c r="GY184" i="3"/>
  <c r="GZ184" i="3"/>
  <c r="HA184" i="3"/>
  <c r="HB184" i="3"/>
  <c r="HC184" i="3"/>
  <c r="HD184" i="3"/>
  <c r="HE184" i="3"/>
  <c r="HF184" i="3"/>
  <c r="HG184" i="3"/>
  <c r="HH184" i="3"/>
  <c r="HI184" i="3"/>
  <c r="HJ184" i="3"/>
  <c r="HK184" i="3"/>
  <c r="HL184" i="3"/>
  <c r="HM184" i="3"/>
  <c r="HN184" i="3"/>
  <c r="HO184" i="3"/>
  <c r="HP184" i="3"/>
  <c r="HQ184" i="3"/>
  <c r="HR184" i="3"/>
  <c r="HS184" i="3"/>
  <c r="HT184" i="3"/>
  <c r="HU184" i="3"/>
  <c r="HV184" i="3"/>
  <c r="HW184" i="3"/>
  <c r="HX184" i="3"/>
  <c r="HY184" i="3"/>
  <c r="HZ184" i="3"/>
  <c r="IA184" i="3"/>
  <c r="IB184" i="3"/>
  <c r="IC184" i="3"/>
  <c r="ID184" i="3"/>
  <c r="IE184" i="3"/>
  <c r="IF184" i="3"/>
  <c r="IG184" i="3"/>
  <c r="IH184" i="3"/>
  <c r="II184" i="3"/>
  <c r="IJ184" i="3"/>
  <c r="IK184" i="3"/>
  <c r="IL184" i="3"/>
  <c r="IM184" i="3"/>
  <c r="IN184" i="3"/>
  <c r="IO184" i="3"/>
  <c r="IP184" i="3"/>
  <c r="IQ184" i="3"/>
  <c r="IR184" i="3"/>
  <c r="IS184" i="3"/>
  <c r="IT184" i="3"/>
  <c r="IU184" i="3"/>
  <c r="IV184" i="3"/>
  <c r="A183" i="3"/>
  <c r="B183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AP183" i="3"/>
  <c r="AQ183" i="3"/>
  <c r="AR183" i="3"/>
  <c r="AS183" i="3"/>
  <c r="AT183" i="3"/>
  <c r="AU183" i="3"/>
  <c r="AV183" i="3"/>
  <c r="AW183" i="3"/>
  <c r="AX183" i="3"/>
  <c r="AY183" i="3"/>
  <c r="AZ183" i="3"/>
  <c r="BA183" i="3"/>
  <c r="BB183" i="3"/>
  <c r="BC183" i="3"/>
  <c r="BD183" i="3"/>
  <c r="BE183" i="3"/>
  <c r="BF183" i="3"/>
  <c r="BG183" i="3"/>
  <c r="BH183" i="3"/>
  <c r="BI183" i="3"/>
  <c r="BJ183" i="3"/>
  <c r="BK183" i="3"/>
  <c r="BL183" i="3"/>
  <c r="BM183" i="3"/>
  <c r="BN183" i="3"/>
  <c r="BO183" i="3"/>
  <c r="BP183" i="3"/>
  <c r="BQ183" i="3"/>
  <c r="BR183" i="3"/>
  <c r="BS183" i="3"/>
  <c r="BT183" i="3"/>
  <c r="BU183" i="3"/>
  <c r="BV183" i="3"/>
  <c r="BW183" i="3"/>
  <c r="BX183" i="3"/>
  <c r="BY183" i="3"/>
  <c r="BZ183" i="3"/>
  <c r="CA183" i="3"/>
  <c r="CB183" i="3"/>
  <c r="CC183" i="3"/>
  <c r="CD183" i="3"/>
  <c r="CE183" i="3"/>
  <c r="CF183" i="3"/>
  <c r="CG183" i="3"/>
  <c r="CH183" i="3"/>
  <c r="CI183" i="3"/>
  <c r="CJ183" i="3"/>
  <c r="CK183" i="3"/>
  <c r="CL183" i="3"/>
  <c r="CM183" i="3"/>
  <c r="CN183" i="3"/>
  <c r="CO183" i="3"/>
  <c r="CP183" i="3"/>
  <c r="CQ183" i="3"/>
  <c r="CR183" i="3"/>
  <c r="CS183" i="3"/>
  <c r="CT183" i="3"/>
  <c r="CU183" i="3"/>
  <c r="CV183" i="3"/>
  <c r="CW183" i="3"/>
  <c r="CX183" i="3"/>
  <c r="CY183" i="3"/>
  <c r="CZ183" i="3"/>
  <c r="DA183" i="3"/>
  <c r="DB183" i="3"/>
  <c r="DC183" i="3"/>
  <c r="DD183" i="3"/>
  <c r="DE183" i="3"/>
  <c r="DF183" i="3"/>
  <c r="DG183" i="3"/>
  <c r="DH183" i="3"/>
  <c r="DI183" i="3"/>
  <c r="DJ183" i="3"/>
  <c r="DK183" i="3"/>
  <c r="DL183" i="3"/>
  <c r="DM183" i="3"/>
  <c r="DN183" i="3"/>
  <c r="DO183" i="3"/>
  <c r="DP183" i="3"/>
  <c r="DQ183" i="3"/>
  <c r="DR183" i="3"/>
  <c r="DS183" i="3"/>
  <c r="DT183" i="3"/>
  <c r="DU183" i="3"/>
  <c r="DV183" i="3"/>
  <c r="DW183" i="3"/>
  <c r="DX183" i="3"/>
  <c r="DY183" i="3"/>
  <c r="DZ183" i="3"/>
  <c r="EA183" i="3"/>
  <c r="EB183" i="3"/>
  <c r="EC183" i="3"/>
  <c r="ED183" i="3"/>
  <c r="EE183" i="3"/>
  <c r="EF183" i="3"/>
  <c r="EG183" i="3"/>
  <c r="EH183" i="3"/>
  <c r="EI183" i="3"/>
  <c r="EJ183" i="3"/>
  <c r="EK183" i="3"/>
  <c r="EL183" i="3"/>
  <c r="EM183" i="3"/>
  <c r="EN183" i="3"/>
  <c r="EO183" i="3"/>
  <c r="EP183" i="3"/>
  <c r="EQ183" i="3"/>
  <c r="ER183" i="3"/>
  <c r="ES183" i="3"/>
  <c r="ET183" i="3"/>
  <c r="EU183" i="3"/>
  <c r="EV183" i="3"/>
  <c r="EW183" i="3"/>
  <c r="EX183" i="3"/>
  <c r="EY183" i="3"/>
  <c r="EZ183" i="3"/>
  <c r="FA183" i="3"/>
  <c r="FB183" i="3"/>
  <c r="FC183" i="3"/>
  <c r="FD183" i="3"/>
  <c r="FE183" i="3"/>
  <c r="FF183" i="3"/>
  <c r="FG183" i="3"/>
  <c r="FH183" i="3"/>
  <c r="FI183" i="3"/>
  <c r="FJ183" i="3"/>
  <c r="FK183" i="3"/>
  <c r="FL183" i="3"/>
  <c r="FM183" i="3"/>
  <c r="FN183" i="3"/>
  <c r="FO183" i="3"/>
  <c r="FP183" i="3"/>
  <c r="FQ183" i="3"/>
  <c r="FR183" i="3"/>
  <c r="FS183" i="3"/>
  <c r="FT183" i="3"/>
  <c r="FU183" i="3"/>
  <c r="FV183" i="3"/>
  <c r="FW183" i="3"/>
  <c r="FX183" i="3"/>
  <c r="FY183" i="3"/>
  <c r="FZ183" i="3"/>
  <c r="GA183" i="3"/>
  <c r="GB183" i="3"/>
  <c r="GC183" i="3"/>
  <c r="GD183" i="3"/>
  <c r="GE183" i="3"/>
  <c r="GF183" i="3"/>
  <c r="GG183" i="3"/>
  <c r="GH183" i="3"/>
  <c r="GI183" i="3"/>
  <c r="GJ183" i="3"/>
  <c r="GK183" i="3"/>
  <c r="GL183" i="3"/>
  <c r="GM183" i="3"/>
  <c r="GN183" i="3"/>
  <c r="GO183" i="3"/>
  <c r="GP183" i="3"/>
  <c r="GQ183" i="3"/>
  <c r="GR183" i="3"/>
  <c r="GS183" i="3"/>
  <c r="GT183" i="3"/>
  <c r="GU183" i="3"/>
  <c r="GV183" i="3"/>
  <c r="GW183" i="3"/>
  <c r="GX183" i="3"/>
  <c r="GY183" i="3"/>
  <c r="GZ183" i="3"/>
  <c r="HA183" i="3"/>
  <c r="HB183" i="3"/>
  <c r="HC183" i="3"/>
  <c r="HD183" i="3"/>
  <c r="HE183" i="3"/>
  <c r="HF183" i="3"/>
  <c r="HG183" i="3"/>
  <c r="HH183" i="3"/>
  <c r="HI183" i="3"/>
  <c r="HJ183" i="3"/>
  <c r="HK183" i="3"/>
  <c r="HL183" i="3"/>
  <c r="HM183" i="3"/>
  <c r="HN183" i="3"/>
  <c r="HO183" i="3"/>
  <c r="HP183" i="3"/>
  <c r="HQ183" i="3"/>
  <c r="HR183" i="3"/>
  <c r="HS183" i="3"/>
  <c r="HT183" i="3"/>
  <c r="HU183" i="3"/>
  <c r="HV183" i="3"/>
  <c r="HW183" i="3"/>
  <c r="HX183" i="3"/>
  <c r="HY183" i="3"/>
  <c r="HZ183" i="3"/>
  <c r="IA183" i="3"/>
  <c r="IB183" i="3"/>
  <c r="IC183" i="3"/>
  <c r="ID183" i="3"/>
  <c r="IE183" i="3"/>
  <c r="IF183" i="3"/>
  <c r="IG183" i="3"/>
  <c r="IH183" i="3"/>
  <c r="II183" i="3"/>
  <c r="IJ183" i="3"/>
  <c r="IK183" i="3"/>
  <c r="IL183" i="3"/>
  <c r="IM183" i="3"/>
  <c r="IN183" i="3"/>
  <c r="IO183" i="3"/>
  <c r="IP183" i="3"/>
  <c r="IQ183" i="3"/>
  <c r="IR183" i="3"/>
  <c r="IS183" i="3"/>
  <c r="IT183" i="3"/>
  <c r="IU183" i="3"/>
  <c r="IV183" i="3"/>
  <c r="A182" i="3"/>
  <c r="B182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AQ182" i="3"/>
  <c r="AR182" i="3"/>
  <c r="AS182" i="3"/>
  <c r="AT182" i="3"/>
  <c r="AU182" i="3"/>
  <c r="AV182" i="3"/>
  <c r="AW182" i="3"/>
  <c r="AX182" i="3"/>
  <c r="AY182" i="3"/>
  <c r="AZ182" i="3"/>
  <c r="BA182" i="3"/>
  <c r="BB182" i="3"/>
  <c r="BC182" i="3"/>
  <c r="BD182" i="3"/>
  <c r="BE182" i="3"/>
  <c r="BF182" i="3"/>
  <c r="BG182" i="3"/>
  <c r="BH182" i="3"/>
  <c r="BI182" i="3"/>
  <c r="BJ182" i="3"/>
  <c r="BK182" i="3"/>
  <c r="BL182" i="3"/>
  <c r="BM182" i="3"/>
  <c r="BN182" i="3"/>
  <c r="BO182" i="3"/>
  <c r="BP182" i="3"/>
  <c r="BQ182" i="3"/>
  <c r="BR182" i="3"/>
  <c r="BS182" i="3"/>
  <c r="BT182" i="3"/>
  <c r="BU182" i="3"/>
  <c r="BV182" i="3"/>
  <c r="BW182" i="3"/>
  <c r="BX182" i="3"/>
  <c r="BY182" i="3"/>
  <c r="BZ182" i="3"/>
  <c r="CA182" i="3"/>
  <c r="CB182" i="3"/>
  <c r="CC182" i="3"/>
  <c r="CD182" i="3"/>
  <c r="CE182" i="3"/>
  <c r="CF182" i="3"/>
  <c r="CG182" i="3"/>
  <c r="CH182" i="3"/>
  <c r="CI182" i="3"/>
  <c r="CJ182" i="3"/>
  <c r="CK182" i="3"/>
  <c r="CL182" i="3"/>
  <c r="CM182" i="3"/>
  <c r="CN182" i="3"/>
  <c r="CO182" i="3"/>
  <c r="CP182" i="3"/>
  <c r="CQ182" i="3"/>
  <c r="CR182" i="3"/>
  <c r="CS182" i="3"/>
  <c r="CT182" i="3"/>
  <c r="CU182" i="3"/>
  <c r="CV182" i="3"/>
  <c r="CW182" i="3"/>
  <c r="CX182" i="3"/>
  <c r="CY182" i="3"/>
  <c r="CZ182" i="3"/>
  <c r="DA182" i="3"/>
  <c r="DB182" i="3"/>
  <c r="DC182" i="3"/>
  <c r="DD182" i="3"/>
  <c r="DE182" i="3"/>
  <c r="DF182" i="3"/>
  <c r="DG182" i="3"/>
  <c r="DH182" i="3"/>
  <c r="DI182" i="3"/>
  <c r="DJ182" i="3"/>
  <c r="DK182" i="3"/>
  <c r="DL182" i="3"/>
  <c r="DM182" i="3"/>
  <c r="DN182" i="3"/>
  <c r="DO182" i="3"/>
  <c r="DP182" i="3"/>
  <c r="DQ182" i="3"/>
  <c r="DR182" i="3"/>
  <c r="DS182" i="3"/>
  <c r="DT182" i="3"/>
  <c r="DU182" i="3"/>
  <c r="DV182" i="3"/>
  <c r="DW182" i="3"/>
  <c r="DX182" i="3"/>
  <c r="DY182" i="3"/>
  <c r="DZ182" i="3"/>
  <c r="EA182" i="3"/>
  <c r="EB182" i="3"/>
  <c r="EC182" i="3"/>
  <c r="ED182" i="3"/>
  <c r="EE182" i="3"/>
  <c r="EF182" i="3"/>
  <c r="EG182" i="3"/>
  <c r="EH182" i="3"/>
  <c r="EI182" i="3"/>
  <c r="EJ182" i="3"/>
  <c r="EK182" i="3"/>
  <c r="EL182" i="3"/>
  <c r="EM182" i="3"/>
  <c r="EN182" i="3"/>
  <c r="EO182" i="3"/>
  <c r="EP182" i="3"/>
  <c r="EQ182" i="3"/>
  <c r="ER182" i="3"/>
  <c r="ES182" i="3"/>
  <c r="ET182" i="3"/>
  <c r="EU182" i="3"/>
  <c r="EV182" i="3"/>
  <c r="EW182" i="3"/>
  <c r="EX182" i="3"/>
  <c r="EY182" i="3"/>
  <c r="EZ182" i="3"/>
  <c r="FA182" i="3"/>
  <c r="FB182" i="3"/>
  <c r="FC182" i="3"/>
  <c r="FD182" i="3"/>
  <c r="FE182" i="3"/>
  <c r="FF182" i="3"/>
  <c r="FG182" i="3"/>
  <c r="FH182" i="3"/>
  <c r="FI182" i="3"/>
  <c r="FJ182" i="3"/>
  <c r="FK182" i="3"/>
  <c r="FL182" i="3"/>
  <c r="FM182" i="3"/>
  <c r="FN182" i="3"/>
  <c r="FO182" i="3"/>
  <c r="FP182" i="3"/>
  <c r="FQ182" i="3"/>
  <c r="FR182" i="3"/>
  <c r="FS182" i="3"/>
  <c r="FT182" i="3"/>
  <c r="FU182" i="3"/>
  <c r="FV182" i="3"/>
  <c r="FW182" i="3"/>
  <c r="FX182" i="3"/>
  <c r="FY182" i="3"/>
  <c r="FZ182" i="3"/>
  <c r="GA182" i="3"/>
  <c r="GB182" i="3"/>
  <c r="GC182" i="3"/>
  <c r="GD182" i="3"/>
  <c r="GE182" i="3"/>
  <c r="GF182" i="3"/>
  <c r="GG182" i="3"/>
  <c r="GH182" i="3"/>
  <c r="GI182" i="3"/>
  <c r="GJ182" i="3"/>
  <c r="GK182" i="3"/>
  <c r="GL182" i="3"/>
  <c r="GM182" i="3"/>
  <c r="GN182" i="3"/>
  <c r="GO182" i="3"/>
  <c r="GP182" i="3"/>
  <c r="GQ182" i="3"/>
  <c r="GR182" i="3"/>
  <c r="GS182" i="3"/>
  <c r="GT182" i="3"/>
  <c r="GU182" i="3"/>
  <c r="GV182" i="3"/>
  <c r="GW182" i="3"/>
  <c r="GX182" i="3"/>
  <c r="GY182" i="3"/>
  <c r="GZ182" i="3"/>
  <c r="HA182" i="3"/>
  <c r="HB182" i="3"/>
  <c r="HC182" i="3"/>
  <c r="HD182" i="3"/>
  <c r="HE182" i="3"/>
  <c r="HF182" i="3"/>
  <c r="HG182" i="3"/>
  <c r="HH182" i="3"/>
  <c r="HI182" i="3"/>
  <c r="HJ182" i="3"/>
  <c r="HK182" i="3"/>
  <c r="HL182" i="3"/>
  <c r="HM182" i="3"/>
  <c r="HN182" i="3"/>
  <c r="HO182" i="3"/>
  <c r="HP182" i="3"/>
  <c r="HQ182" i="3"/>
  <c r="HR182" i="3"/>
  <c r="HS182" i="3"/>
  <c r="HT182" i="3"/>
  <c r="HU182" i="3"/>
  <c r="HV182" i="3"/>
  <c r="HW182" i="3"/>
  <c r="HX182" i="3"/>
  <c r="HY182" i="3"/>
  <c r="HZ182" i="3"/>
  <c r="IA182" i="3"/>
  <c r="IB182" i="3"/>
  <c r="IC182" i="3"/>
  <c r="ID182" i="3"/>
  <c r="IE182" i="3"/>
  <c r="IF182" i="3"/>
  <c r="IG182" i="3"/>
  <c r="IH182" i="3"/>
  <c r="II182" i="3"/>
  <c r="IJ182" i="3"/>
  <c r="IK182" i="3"/>
  <c r="IL182" i="3"/>
  <c r="IM182" i="3"/>
  <c r="IN182" i="3"/>
  <c r="IO182" i="3"/>
  <c r="IP182" i="3"/>
  <c r="IQ182" i="3"/>
  <c r="IR182" i="3"/>
  <c r="IS182" i="3"/>
  <c r="IT182" i="3"/>
  <c r="IU182" i="3"/>
  <c r="IV182" i="3"/>
  <c r="A181" i="3"/>
  <c r="B181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AP181" i="3"/>
  <c r="AQ181" i="3"/>
  <c r="AR181" i="3"/>
  <c r="AS181" i="3"/>
  <c r="AT181" i="3"/>
  <c r="AU181" i="3"/>
  <c r="AV181" i="3"/>
  <c r="AW181" i="3"/>
  <c r="AX181" i="3"/>
  <c r="AY181" i="3"/>
  <c r="AZ181" i="3"/>
  <c r="BA181" i="3"/>
  <c r="BB181" i="3"/>
  <c r="BC181" i="3"/>
  <c r="BD181" i="3"/>
  <c r="BE181" i="3"/>
  <c r="BF181" i="3"/>
  <c r="BG181" i="3"/>
  <c r="BH181" i="3"/>
  <c r="BI181" i="3"/>
  <c r="BJ181" i="3"/>
  <c r="BK181" i="3"/>
  <c r="BL181" i="3"/>
  <c r="BM181" i="3"/>
  <c r="BN181" i="3"/>
  <c r="BO181" i="3"/>
  <c r="BP181" i="3"/>
  <c r="BQ181" i="3"/>
  <c r="BR181" i="3"/>
  <c r="BS181" i="3"/>
  <c r="BT181" i="3"/>
  <c r="BU181" i="3"/>
  <c r="BV181" i="3"/>
  <c r="BW181" i="3"/>
  <c r="BX181" i="3"/>
  <c r="BY181" i="3"/>
  <c r="BZ181" i="3"/>
  <c r="CA181" i="3"/>
  <c r="CB181" i="3"/>
  <c r="CC181" i="3"/>
  <c r="CD181" i="3"/>
  <c r="CE181" i="3"/>
  <c r="CF181" i="3"/>
  <c r="CG181" i="3"/>
  <c r="CH181" i="3"/>
  <c r="CI181" i="3"/>
  <c r="CJ181" i="3"/>
  <c r="CK181" i="3"/>
  <c r="CL181" i="3"/>
  <c r="CM181" i="3"/>
  <c r="CN181" i="3"/>
  <c r="CO181" i="3"/>
  <c r="CP181" i="3"/>
  <c r="CQ181" i="3"/>
  <c r="CR181" i="3"/>
  <c r="CS181" i="3"/>
  <c r="CT181" i="3"/>
  <c r="CU181" i="3"/>
  <c r="CV181" i="3"/>
  <c r="CW181" i="3"/>
  <c r="CX181" i="3"/>
  <c r="CY181" i="3"/>
  <c r="CZ181" i="3"/>
  <c r="DA181" i="3"/>
  <c r="DB181" i="3"/>
  <c r="DC181" i="3"/>
  <c r="DD181" i="3"/>
  <c r="DE181" i="3"/>
  <c r="DF181" i="3"/>
  <c r="DG181" i="3"/>
  <c r="DH181" i="3"/>
  <c r="DI181" i="3"/>
  <c r="DJ181" i="3"/>
  <c r="DK181" i="3"/>
  <c r="DL181" i="3"/>
  <c r="DM181" i="3"/>
  <c r="DN181" i="3"/>
  <c r="DO181" i="3"/>
  <c r="DP181" i="3"/>
  <c r="DQ181" i="3"/>
  <c r="DR181" i="3"/>
  <c r="DS181" i="3"/>
  <c r="DT181" i="3"/>
  <c r="DU181" i="3"/>
  <c r="DV181" i="3"/>
  <c r="DW181" i="3"/>
  <c r="DX181" i="3"/>
  <c r="DY181" i="3"/>
  <c r="DZ181" i="3"/>
  <c r="EA181" i="3"/>
  <c r="EB181" i="3"/>
  <c r="EC181" i="3"/>
  <c r="ED181" i="3"/>
  <c r="EE181" i="3"/>
  <c r="EF181" i="3"/>
  <c r="EG181" i="3"/>
  <c r="EH181" i="3"/>
  <c r="EI181" i="3"/>
  <c r="EJ181" i="3"/>
  <c r="EK181" i="3"/>
  <c r="EL181" i="3"/>
  <c r="EM181" i="3"/>
  <c r="EN181" i="3"/>
  <c r="EO181" i="3"/>
  <c r="EP181" i="3"/>
  <c r="EQ181" i="3"/>
  <c r="ER181" i="3"/>
  <c r="ES181" i="3"/>
  <c r="ET181" i="3"/>
  <c r="EU181" i="3"/>
  <c r="EV181" i="3"/>
  <c r="EW181" i="3"/>
  <c r="EX181" i="3"/>
  <c r="EY181" i="3"/>
  <c r="EZ181" i="3"/>
  <c r="FA181" i="3"/>
  <c r="FB181" i="3"/>
  <c r="FC181" i="3"/>
  <c r="FD181" i="3"/>
  <c r="FE181" i="3"/>
  <c r="FF181" i="3"/>
  <c r="FG181" i="3"/>
  <c r="FH181" i="3"/>
  <c r="FI181" i="3"/>
  <c r="FJ181" i="3"/>
  <c r="FK181" i="3"/>
  <c r="FL181" i="3"/>
  <c r="FM181" i="3"/>
  <c r="FN181" i="3"/>
  <c r="FO181" i="3"/>
  <c r="FP181" i="3"/>
  <c r="FQ181" i="3"/>
  <c r="FR181" i="3"/>
  <c r="FS181" i="3"/>
  <c r="FT181" i="3"/>
  <c r="FU181" i="3"/>
  <c r="FV181" i="3"/>
  <c r="FW181" i="3"/>
  <c r="FX181" i="3"/>
  <c r="FY181" i="3"/>
  <c r="FZ181" i="3"/>
  <c r="GA181" i="3"/>
  <c r="GB181" i="3"/>
  <c r="GC181" i="3"/>
  <c r="GD181" i="3"/>
  <c r="GE181" i="3"/>
  <c r="GF181" i="3"/>
  <c r="GG181" i="3"/>
  <c r="GH181" i="3"/>
  <c r="GI181" i="3"/>
  <c r="GJ181" i="3"/>
  <c r="GK181" i="3"/>
  <c r="GL181" i="3"/>
  <c r="GM181" i="3"/>
  <c r="GN181" i="3"/>
  <c r="GO181" i="3"/>
  <c r="GP181" i="3"/>
  <c r="GQ181" i="3"/>
  <c r="GR181" i="3"/>
  <c r="GS181" i="3"/>
  <c r="GT181" i="3"/>
  <c r="GU181" i="3"/>
  <c r="GV181" i="3"/>
  <c r="GW181" i="3"/>
  <c r="GX181" i="3"/>
  <c r="GY181" i="3"/>
  <c r="GZ181" i="3"/>
  <c r="HA181" i="3"/>
  <c r="HB181" i="3"/>
  <c r="HC181" i="3"/>
  <c r="HD181" i="3"/>
  <c r="HE181" i="3"/>
  <c r="HF181" i="3"/>
  <c r="HG181" i="3"/>
  <c r="HH181" i="3"/>
  <c r="HI181" i="3"/>
  <c r="HJ181" i="3"/>
  <c r="HK181" i="3"/>
  <c r="HL181" i="3"/>
  <c r="HM181" i="3"/>
  <c r="HN181" i="3"/>
  <c r="HO181" i="3"/>
  <c r="HP181" i="3"/>
  <c r="HQ181" i="3"/>
  <c r="HR181" i="3"/>
  <c r="HS181" i="3"/>
  <c r="HT181" i="3"/>
  <c r="HU181" i="3"/>
  <c r="HV181" i="3"/>
  <c r="HW181" i="3"/>
  <c r="HX181" i="3"/>
  <c r="HY181" i="3"/>
  <c r="HZ181" i="3"/>
  <c r="IA181" i="3"/>
  <c r="IB181" i="3"/>
  <c r="IC181" i="3"/>
  <c r="ID181" i="3"/>
  <c r="IE181" i="3"/>
  <c r="IF181" i="3"/>
  <c r="IG181" i="3"/>
  <c r="IH181" i="3"/>
  <c r="II181" i="3"/>
  <c r="IJ181" i="3"/>
  <c r="IK181" i="3"/>
  <c r="IL181" i="3"/>
  <c r="IM181" i="3"/>
  <c r="IN181" i="3"/>
  <c r="IO181" i="3"/>
  <c r="IP181" i="3"/>
  <c r="IQ181" i="3"/>
  <c r="IR181" i="3"/>
  <c r="IS181" i="3"/>
  <c r="IT181" i="3"/>
  <c r="IU181" i="3"/>
  <c r="IV181" i="3"/>
  <c r="A180" i="3"/>
  <c r="B180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AQ180" i="3"/>
  <c r="AR180" i="3"/>
  <c r="AS180" i="3"/>
  <c r="AT180" i="3"/>
  <c r="AU180" i="3"/>
  <c r="AV180" i="3"/>
  <c r="AW180" i="3"/>
  <c r="AX180" i="3"/>
  <c r="AY180" i="3"/>
  <c r="AZ180" i="3"/>
  <c r="BA180" i="3"/>
  <c r="BB180" i="3"/>
  <c r="BC180" i="3"/>
  <c r="BD180" i="3"/>
  <c r="BE180" i="3"/>
  <c r="BF180" i="3"/>
  <c r="BG180" i="3"/>
  <c r="BH180" i="3"/>
  <c r="BI180" i="3"/>
  <c r="BJ180" i="3"/>
  <c r="BK180" i="3"/>
  <c r="BL180" i="3"/>
  <c r="BM180" i="3"/>
  <c r="BN180" i="3"/>
  <c r="BO180" i="3"/>
  <c r="BP180" i="3"/>
  <c r="BQ180" i="3"/>
  <c r="BR180" i="3"/>
  <c r="BS180" i="3"/>
  <c r="BT180" i="3"/>
  <c r="BU180" i="3"/>
  <c r="BV180" i="3"/>
  <c r="BW180" i="3"/>
  <c r="BX180" i="3"/>
  <c r="BY180" i="3"/>
  <c r="BZ180" i="3"/>
  <c r="CA180" i="3"/>
  <c r="CB180" i="3"/>
  <c r="CC180" i="3"/>
  <c r="CD180" i="3"/>
  <c r="CE180" i="3"/>
  <c r="CF180" i="3"/>
  <c r="CG180" i="3"/>
  <c r="CH180" i="3"/>
  <c r="CI180" i="3"/>
  <c r="CJ180" i="3"/>
  <c r="CK180" i="3"/>
  <c r="CL180" i="3"/>
  <c r="CM180" i="3"/>
  <c r="CN180" i="3"/>
  <c r="CO180" i="3"/>
  <c r="CP180" i="3"/>
  <c r="CQ180" i="3"/>
  <c r="CR180" i="3"/>
  <c r="CS180" i="3"/>
  <c r="CT180" i="3"/>
  <c r="CU180" i="3"/>
  <c r="CV180" i="3"/>
  <c r="CW180" i="3"/>
  <c r="CX180" i="3"/>
  <c r="CY180" i="3"/>
  <c r="CZ180" i="3"/>
  <c r="DA180" i="3"/>
  <c r="DB180" i="3"/>
  <c r="DC180" i="3"/>
  <c r="DD180" i="3"/>
  <c r="DE180" i="3"/>
  <c r="DF180" i="3"/>
  <c r="DG180" i="3"/>
  <c r="DH180" i="3"/>
  <c r="DI180" i="3"/>
  <c r="DJ180" i="3"/>
  <c r="DK180" i="3"/>
  <c r="DL180" i="3"/>
  <c r="DM180" i="3"/>
  <c r="DN180" i="3"/>
  <c r="DO180" i="3"/>
  <c r="DP180" i="3"/>
  <c r="DQ180" i="3"/>
  <c r="DR180" i="3"/>
  <c r="DS180" i="3"/>
  <c r="DT180" i="3"/>
  <c r="DU180" i="3"/>
  <c r="DV180" i="3"/>
  <c r="DW180" i="3"/>
  <c r="DX180" i="3"/>
  <c r="DY180" i="3"/>
  <c r="DZ180" i="3"/>
  <c r="EA180" i="3"/>
  <c r="EB180" i="3"/>
  <c r="EC180" i="3"/>
  <c r="ED180" i="3"/>
  <c r="EE180" i="3"/>
  <c r="EF180" i="3"/>
  <c r="EG180" i="3"/>
  <c r="EH180" i="3"/>
  <c r="EI180" i="3"/>
  <c r="EJ180" i="3"/>
  <c r="EK180" i="3"/>
  <c r="EL180" i="3"/>
  <c r="EM180" i="3"/>
  <c r="EN180" i="3"/>
  <c r="EO180" i="3"/>
  <c r="EP180" i="3"/>
  <c r="EQ180" i="3"/>
  <c r="ER180" i="3"/>
  <c r="ES180" i="3"/>
  <c r="ET180" i="3"/>
  <c r="EU180" i="3"/>
  <c r="EV180" i="3"/>
  <c r="EW180" i="3"/>
  <c r="EX180" i="3"/>
  <c r="EY180" i="3"/>
  <c r="EZ180" i="3"/>
  <c r="FA180" i="3"/>
  <c r="FB180" i="3"/>
  <c r="FC180" i="3"/>
  <c r="FD180" i="3"/>
  <c r="FE180" i="3"/>
  <c r="FF180" i="3"/>
  <c r="FG180" i="3"/>
  <c r="FH180" i="3"/>
  <c r="FI180" i="3"/>
  <c r="FJ180" i="3"/>
  <c r="FK180" i="3"/>
  <c r="FL180" i="3"/>
  <c r="FM180" i="3"/>
  <c r="FN180" i="3"/>
  <c r="FO180" i="3"/>
  <c r="FP180" i="3"/>
  <c r="FQ180" i="3"/>
  <c r="FR180" i="3"/>
  <c r="FS180" i="3"/>
  <c r="FT180" i="3"/>
  <c r="FU180" i="3"/>
  <c r="FV180" i="3"/>
  <c r="FW180" i="3"/>
  <c r="FX180" i="3"/>
  <c r="FY180" i="3"/>
  <c r="FZ180" i="3"/>
  <c r="GA180" i="3"/>
  <c r="GB180" i="3"/>
  <c r="GC180" i="3"/>
  <c r="GD180" i="3"/>
  <c r="GE180" i="3"/>
  <c r="GF180" i="3"/>
  <c r="GG180" i="3"/>
  <c r="GH180" i="3"/>
  <c r="GI180" i="3"/>
  <c r="GJ180" i="3"/>
  <c r="GK180" i="3"/>
  <c r="GL180" i="3"/>
  <c r="GM180" i="3"/>
  <c r="GN180" i="3"/>
  <c r="GO180" i="3"/>
  <c r="GP180" i="3"/>
  <c r="GQ180" i="3"/>
  <c r="GR180" i="3"/>
  <c r="GS180" i="3"/>
  <c r="GT180" i="3"/>
  <c r="GU180" i="3"/>
  <c r="GV180" i="3"/>
  <c r="GW180" i="3"/>
  <c r="GX180" i="3"/>
  <c r="GY180" i="3"/>
  <c r="GZ180" i="3"/>
  <c r="HA180" i="3"/>
  <c r="HB180" i="3"/>
  <c r="HC180" i="3"/>
  <c r="HD180" i="3"/>
  <c r="HE180" i="3"/>
  <c r="HF180" i="3"/>
  <c r="HG180" i="3"/>
  <c r="HH180" i="3"/>
  <c r="HI180" i="3"/>
  <c r="HJ180" i="3"/>
  <c r="HK180" i="3"/>
  <c r="HL180" i="3"/>
  <c r="HM180" i="3"/>
  <c r="HN180" i="3"/>
  <c r="HO180" i="3"/>
  <c r="HP180" i="3"/>
  <c r="HQ180" i="3"/>
  <c r="HR180" i="3"/>
  <c r="HS180" i="3"/>
  <c r="HT180" i="3"/>
  <c r="HU180" i="3"/>
  <c r="HV180" i="3"/>
  <c r="HW180" i="3"/>
  <c r="HX180" i="3"/>
  <c r="HY180" i="3"/>
  <c r="HZ180" i="3"/>
  <c r="IA180" i="3"/>
  <c r="IB180" i="3"/>
  <c r="IC180" i="3"/>
  <c r="ID180" i="3"/>
  <c r="IE180" i="3"/>
  <c r="IF180" i="3"/>
  <c r="IG180" i="3"/>
  <c r="IH180" i="3"/>
  <c r="II180" i="3"/>
  <c r="IJ180" i="3"/>
  <c r="IK180" i="3"/>
  <c r="IL180" i="3"/>
  <c r="IM180" i="3"/>
  <c r="IN180" i="3"/>
  <c r="IO180" i="3"/>
  <c r="IP180" i="3"/>
  <c r="IQ180" i="3"/>
  <c r="IR180" i="3"/>
  <c r="IS180" i="3"/>
  <c r="IT180" i="3"/>
  <c r="IU180" i="3"/>
  <c r="IV180" i="3"/>
  <c r="A179" i="3"/>
  <c r="B179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AP179" i="3"/>
  <c r="AQ179" i="3"/>
  <c r="AR179" i="3"/>
  <c r="AS179" i="3"/>
  <c r="AT179" i="3"/>
  <c r="AU179" i="3"/>
  <c r="AV179" i="3"/>
  <c r="AW179" i="3"/>
  <c r="AX179" i="3"/>
  <c r="AY179" i="3"/>
  <c r="AZ179" i="3"/>
  <c r="BA179" i="3"/>
  <c r="BB179" i="3"/>
  <c r="BC179" i="3"/>
  <c r="BD179" i="3"/>
  <c r="BE179" i="3"/>
  <c r="BF179" i="3"/>
  <c r="BG179" i="3"/>
  <c r="BH179" i="3"/>
  <c r="BI179" i="3"/>
  <c r="BJ179" i="3"/>
  <c r="BK179" i="3"/>
  <c r="BL179" i="3"/>
  <c r="BM179" i="3"/>
  <c r="BN179" i="3"/>
  <c r="BO179" i="3"/>
  <c r="BP179" i="3"/>
  <c r="BQ179" i="3"/>
  <c r="BR179" i="3"/>
  <c r="BS179" i="3"/>
  <c r="BT179" i="3"/>
  <c r="BU179" i="3"/>
  <c r="BV179" i="3"/>
  <c r="BW179" i="3"/>
  <c r="BX179" i="3"/>
  <c r="BY179" i="3"/>
  <c r="BZ179" i="3"/>
  <c r="CA179" i="3"/>
  <c r="CB179" i="3"/>
  <c r="CC179" i="3"/>
  <c r="CD179" i="3"/>
  <c r="CE179" i="3"/>
  <c r="CF179" i="3"/>
  <c r="CG179" i="3"/>
  <c r="CH179" i="3"/>
  <c r="CI179" i="3"/>
  <c r="CJ179" i="3"/>
  <c r="CK179" i="3"/>
  <c r="CL179" i="3"/>
  <c r="CM179" i="3"/>
  <c r="CN179" i="3"/>
  <c r="CO179" i="3"/>
  <c r="CP179" i="3"/>
  <c r="CQ179" i="3"/>
  <c r="CR179" i="3"/>
  <c r="CS179" i="3"/>
  <c r="CT179" i="3"/>
  <c r="CU179" i="3"/>
  <c r="CV179" i="3"/>
  <c r="CW179" i="3"/>
  <c r="CX179" i="3"/>
  <c r="CY179" i="3"/>
  <c r="CZ179" i="3"/>
  <c r="DA179" i="3"/>
  <c r="DB179" i="3"/>
  <c r="DC179" i="3"/>
  <c r="DD179" i="3"/>
  <c r="DE179" i="3"/>
  <c r="DF179" i="3"/>
  <c r="DG179" i="3"/>
  <c r="DH179" i="3"/>
  <c r="DI179" i="3"/>
  <c r="DJ179" i="3"/>
  <c r="DK179" i="3"/>
  <c r="DL179" i="3"/>
  <c r="DM179" i="3"/>
  <c r="DN179" i="3"/>
  <c r="DO179" i="3"/>
  <c r="DP179" i="3"/>
  <c r="DQ179" i="3"/>
  <c r="DR179" i="3"/>
  <c r="DS179" i="3"/>
  <c r="DT179" i="3"/>
  <c r="DU179" i="3"/>
  <c r="DV179" i="3"/>
  <c r="DW179" i="3"/>
  <c r="DX179" i="3"/>
  <c r="DY179" i="3"/>
  <c r="DZ179" i="3"/>
  <c r="EA179" i="3"/>
  <c r="EB179" i="3"/>
  <c r="EC179" i="3"/>
  <c r="ED179" i="3"/>
  <c r="EE179" i="3"/>
  <c r="EF179" i="3"/>
  <c r="EG179" i="3"/>
  <c r="EH179" i="3"/>
  <c r="EI179" i="3"/>
  <c r="EJ179" i="3"/>
  <c r="EK179" i="3"/>
  <c r="EL179" i="3"/>
  <c r="EM179" i="3"/>
  <c r="EN179" i="3"/>
  <c r="EO179" i="3"/>
  <c r="EP179" i="3"/>
  <c r="EQ179" i="3"/>
  <c r="ER179" i="3"/>
  <c r="ES179" i="3"/>
  <c r="ET179" i="3"/>
  <c r="EU179" i="3"/>
  <c r="EV179" i="3"/>
  <c r="EW179" i="3"/>
  <c r="EX179" i="3"/>
  <c r="EY179" i="3"/>
  <c r="EZ179" i="3"/>
  <c r="FA179" i="3"/>
  <c r="FB179" i="3"/>
  <c r="FC179" i="3"/>
  <c r="FD179" i="3"/>
  <c r="FE179" i="3"/>
  <c r="FF179" i="3"/>
  <c r="FG179" i="3"/>
  <c r="FH179" i="3"/>
  <c r="FI179" i="3"/>
  <c r="FJ179" i="3"/>
  <c r="FK179" i="3"/>
  <c r="FL179" i="3"/>
  <c r="FM179" i="3"/>
  <c r="FN179" i="3"/>
  <c r="FO179" i="3"/>
  <c r="FP179" i="3"/>
  <c r="FQ179" i="3"/>
  <c r="FR179" i="3"/>
  <c r="FS179" i="3"/>
  <c r="FT179" i="3"/>
  <c r="FU179" i="3"/>
  <c r="FV179" i="3"/>
  <c r="FW179" i="3"/>
  <c r="FX179" i="3"/>
  <c r="FY179" i="3"/>
  <c r="FZ179" i="3"/>
  <c r="GA179" i="3"/>
  <c r="GB179" i="3"/>
  <c r="GC179" i="3"/>
  <c r="GD179" i="3"/>
  <c r="GE179" i="3"/>
  <c r="GF179" i="3"/>
  <c r="GG179" i="3"/>
  <c r="GH179" i="3"/>
  <c r="GI179" i="3"/>
  <c r="GJ179" i="3"/>
  <c r="GK179" i="3"/>
  <c r="GL179" i="3"/>
  <c r="GM179" i="3"/>
  <c r="GN179" i="3"/>
  <c r="GO179" i="3"/>
  <c r="GP179" i="3"/>
  <c r="GQ179" i="3"/>
  <c r="GR179" i="3"/>
  <c r="GS179" i="3"/>
  <c r="GT179" i="3"/>
  <c r="GU179" i="3"/>
  <c r="GV179" i="3"/>
  <c r="GW179" i="3"/>
  <c r="GX179" i="3"/>
  <c r="GY179" i="3"/>
  <c r="GZ179" i="3"/>
  <c r="HA179" i="3"/>
  <c r="HB179" i="3"/>
  <c r="HC179" i="3"/>
  <c r="HD179" i="3"/>
  <c r="HE179" i="3"/>
  <c r="HF179" i="3"/>
  <c r="HG179" i="3"/>
  <c r="HH179" i="3"/>
  <c r="HI179" i="3"/>
  <c r="HJ179" i="3"/>
  <c r="HK179" i="3"/>
  <c r="HL179" i="3"/>
  <c r="HM179" i="3"/>
  <c r="HN179" i="3"/>
  <c r="HO179" i="3"/>
  <c r="HP179" i="3"/>
  <c r="HQ179" i="3"/>
  <c r="HR179" i="3"/>
  <c r="HS179" i="3"/>
  <c r="HT179" i="3"/>
  <c r="HU179" i="3"/>
  <c r="HV179" i="3"/>
  <c r="HW179" i="3"/>
  <c r="HX179" i="3"/>
  <c r="HY179" i="3"/>
  <c r="HZ179" i="3"/>
  <c r="IA179" i="3"/>
  <c r="IB179" i="3"/>
  <c r="IC179" i="3"/>
  <c r="ID179" i="3"/>
  <c r="IE179" i="3"/>
  <c r="IF179" i="3"/>
  <c r="IG179" i="3"/>
  <c r="IH179" i="3"/>
  <c r="II179" i="3"/>
  <c r="IJ179" i="3"/>
  <c r="IK179" i="3"/>
  <c r="IL179" i="3"/>
  <c r="IM179" i="3"/>
  <c r="IN179" i="3"/>
  <c r="IO179" i="3"/>
  <c r="IP179" i="3"/>
  <c r="IQ179" i="3"/>
  <c r="IR179" i="3"/>
  <c r="IS179" i="3"/>
  <c r="IT179" i="3"/>
  <c r="IU179" i="3"/>
  <c r="IV179" i="3"/>
  <c r="A178" i="3"/>
  <c r="B178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AP178" i="3"/>
  <c r="AQ178" i="3"/>
  <c r="AR178" i="3"/>
  <c r="AS178" i="3"/>
  <c r="AT178" i="3"/>
  <c r="AU178" i="3"/>
  <c r="AV178" i="3"/>
  <c r="AW178" i="3"/>
  <c r="AX178" i="3"/>
  <c r="AY178" i="3"/>
  <c r="AZ178" i="3"/>
  <c r="BA178" i="3"/>
  <c r="BB178" i="3"/>
  <c r="BC178" i="3"/>
  <c r="BD178" i="3"/>
  <c r="BE178" i="3"/>
  <c r="BF178" i="3"/>
  <c r="BG178" i="3"/>
  <c r="BH178" i="3"/>
  <c r="BI178" i="3"/>
  <c r="BJ178" i="3"/>
  <c r="BK178" i="3"/>
  <c r="BL178" i="3"/>
  <c r="BM178" i="3"/>
  <c r="BN178" i="3"/>
  <c r="BO178" i="3"/>
  <c r="BP178" i="3"/>
  <c r="BQ178" i="3"/>
  <c r="BR178" i="3"/>
  <c r="BS178" i="3"/>
  <c r="BT178" i="3"/>
  <c r="BU178" i="3"/>
  <c r="BV178" i="3"/>
  <c r="BW178" i="3"/>
  <c r="BX178" i="3"/>
  <c r="BY178" i="3"/>
  <c r="BZ178" i="3"/>
  <c r="CA178" i="3"/>
  <c r="CB178" i="3"/>
  <c r="CC178" i="3"/>
  <c r="CD178" i="3"/>
  <c r="CE178" i="3"/>
  <c r="CF178" i="3"/>
  <c r="CG178" i="3"/>
  <c r="CH178" i="3"/>
  <c r="CI178" i="3"/>
  <c r="CJ178" i="3"/>
  <c r="CK178" i="3"/>
  <c r="CL178" i="3"/>
  <c r="CM178" i="3"/>
  <c r="CN178" i="3"/>
  <c r="CO178" i="3"/>
  <c r="CP178" i="3"/>
  <c r="CQ178" i="3"/>
  <c r="CR178" i="3"/>
  <c r="CS178" i="3"/>
  <c r="CT178" i="3"/>
  <c r="CU178" i="3"/>
  <c r="CV178" i="3"/>
  <c r="CW178" i="3"/>
  <c r="CX178" i="3"/>
  <c r="CY178" i="3"/>
  <c r="CZ178" i="3"/>
  <c r="DA178" i="3"/>
  <c r="DB178" i="3"/>
  <c r="DC178" i="3"/>
  <c r="DD178" i="3"/>
  <c r="DE178" i="3"/>
  <c r="DF178" i="3"/>
  <c r="DG178" i="3"/>
  <c r="DH178" i="3"/>
  <c r="DI178" i="3"/>
  <c r="DJ178" i="3"/>
  <c r="DK178" i="3"/>
  <c r="DL178" i="3"/>
  <c r="DM178" i="3"/>
  <c r="DN178" i="3"/>
  <c r="DO178" i="3"/>
  <c r="DP178" i="3"/>
  <c r="DQ178" i="3"/>
  <c r="DR178" i="3"/>
  <c r="DS178" i="3"/>
  <c r="DT178" i="3"/>
  <c r="DU178" i="3"/>
  <c r="DV178" i="3"/>
  <c r="DW178" i="3"/>
  <c r="DX178" i="3"/>
  <c r="DY178" i="3"/>
  <c r="DZ178" i="3"/>
  <c r="EA178" i="3"/>
  <c r="EB178" i="3"/>
  <c r="EC178" i="3"/>
  <c r="ED178" i="3"/>
  <c r="EE178" i="3"/>
  <c r="EF178" i="3"/>
  <c r="EG178" i="3"/>
  <c r="EH178" i="3"/>
  <c r="EI178" i="3"/>
  <c r="EJ178" i="3"/>
  <c r="EK178" i="3"/>
  <c r="EL178" i="3"/>
  <c r="EM178" i="3"/>
  <c r="EN178" i="3"/>
  <c r="EO178" i="3"/>
  <c r="EP178" i="3"/>
  <c r="EQ178" i="3"/>
  <c r="ER178" i="3"/>
  <c r="ES178" i="3"/>
  <c r="ET178" i="3"/>
  <c r="EU178" i="3"/>
  <c r="EV178" i="3"/>
  <c r="EW178" i="3"/>
  <c r="EX178" i="3"/>
  <c r="EY178" i="3"/>
  <c r="EZ178" i="3"/>
  <c r="FA178" i="3"/>
  <c r="FB178" i="3"/>
  <c r="FC178" i="3"/>
  <c r="FD178" i="3"/>
  <c r="FE178" i="3"/>
  <c r="FF178" i="3"/>
  <c r="FG178" i="3"/>
  <c r="FH178" i="3"/>
  <c r="FI178" i="3"/>
  <c r="FJ178" i="3"/>
  <c r="FK178" i="3"/>
  <c r="FL178" i="3"/>
  <c r="FM178" i="3"/>
  <c r="FN178" i="3"/>
  <c r="FO178" i="3"/>
  <c r="FP178" i="3"/>
  <c r="FQ178" i="3"/>
  <c r="FR178" i="3"/>
  <c r="FS178" i="3"/>
  <c r="FT178" i="3"/>
  <c r="FU178" i="3"/>
  <c r="FV178" i="3"/>
  <c r="FW178" i="3"/>
  <c r="FX178" i="3"/>
  <c r="FY178" i="3"/>
  <c r="FZ178" i="3"/>
  <c r="GA178" i="3"/>
  <c r="GB178" i="3"/>
  <c r="GC178" i="3"/>
  <c r="GD178" i="3"/>
  <c r="GE178" i="3"/>
  <c r="GF178" i="3"/>
  <c r="GG178" i="3"/>
  <c r="GH178" i="3"/>
  <c r="GI178" i="3"/>
  <c r="GJ178" i="3"/>
  <c r="GK178" i="3"/>
  <c r="GL178" i="3"/>
  <c r="GM178" i="3"/>
  <c r="GN178" i="3"/>
  <c r="GO178" i="3"/>
  <c r="GP178" i="3"/>
  <c r="GQ178" i="3"/>
  <c r="GR178" i="3"/>
  <c r="GS178" i="3"/>
  <c r="GT178" i="3"/>
  <c r="GU178" i="3"/>
  <c r="GV178" i="3"/>
  <c r="GW178" i="3"/>
  <c r="GX178" i="3"/>
  <c r="GY178" i="3"/>
  <c r="GZ178" i="3"/>
  <c r="HA178" i="3"/>
  <c r="HB178" i="3"/>
  <c r="HC178" i="3"/>
  <c r="HD178" i="3"/>
  <c r="HE178" i="3"/>
  <c r="HF178" i="3"/>
  <c r="HG178" i="3"/>
  <c r="HH178" i="3"/>
  <c r="HI178" i="3"/>
  <c r="HJ178" i="3"/>
  <c r="HK178" i="3"/>
  <c r="HL178" i="3"/>
  <c r="HM178" i="3"/>
  <c r="HN178" i="3"/>
  <c r="HO178" i="3"/>
  <c r="HP178" i="3"/>
  <c r="HQ178" i="3"/>
  <c r="HR178" i="3"/>
  <c r="HS178" i="3"/>
  <c r="HT178" i="3"/>
  <c r="HU178" i="3"/>
  <c r="HV178" i="3"/>
  <c r="HW178" i="3"/>
  <c r="HX178" i="3"/>
  <c r="HY178" i="3"/>
  <c r="HZ178" i="3"/>
  <c r="IA178" i="3"/>
  <c r="IB178" i="3"/>
  <c r="IC178" i="3"/>
  <c r="ID178" i="3"/>
  <c r="IE178" i="3"/>
  <c r="IF178" i="3"/>
  <c r="IG178" i="3"/>
  <c r="IH178" i="3"/>
  <c r="II178" i="3"/>
  <c r="IJ178" i="3"/>
  <c r="IK178" i="3"/>
  <c r="IL178" i="3"/>
  <c r="IM178" i="3"/>
  <c r="IN178" i="3"/>
  <c r="IO178" i="3"/>
  <c r="IP178" i="3"/>
  <c r="IQ178" i="3"/>
  <c r="IR178" i="3"/>
  <c r="IS178" i="3"/>
  <c r="IT178" i="3"/>
  <c r="IU178" i="3"/>
  <c r="IV178" i="3"/>
  <c r="A177" i="3"/>
  <c r="B177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AP177" i="3"/>
  <c r="AQ177" i="3"/>
  <c r="AR177" i="3"/>
  <c r="AS177" i="3"/>
  <c r="AT177" i="3"/>
  <c r="AU177" i="3"/>
  <c r="AV177" i="3"/>
  <c r="AW177" i="3"/>
  <c r="AX177" i="3"/>
  <c r="AY177" i="3"/>
  <c r="AZ177" i="3"/>
  <c r="BA177" i="3"/>
  <c r="BB177" i="3"/>
  <c r="BC177" i="3"/>
  <c r="BD177" i="3"/>
  <c r="BE177" i="3"/>
  <c r="BF177" i="3"/>
  <c r="BG177" i="3"/>
  <c r="BH177" i="3"/>
  <c r="BI177" i="3"/>
  <c r="BJ177" i="3"/>
  <c r="BK177" i="3"/>
  <c r="BL177" i="3"/>
  <c r="BM177" i="3"/>
  <c r="BN177" i="3"/>
  <c r="BO177" i="3"/>
  <c r="BP177" i="3"/>
  <c r="BQ177" i="3"/>
  <c r="BR177" i="3"/>
  <c r="BS177" i="3"/>
  <c r="BT177" i="3"/>
  <c r="BU177" i="3"/>
  <c r="BV177" i="3"/>
  <c r="BW177" i="3"/>
  <c r="BX177" i="3"/>
  <c r="BY177" i="3"/>
  <c r="BZ177" i="3"/>
  <c r="CA177" i="3"/>
  <c r="CB177" i="3"/>
  <c r="CC177" i="3"/>
  <c r="CD177" i="3"/>
  <c r="CE177" i="3"/>
  <c r="CF177" i="3"/>
  <c r="CG177" i="3"/>
  <c r="CH177" i="3"/>
  <c r="CI177" i="3"/>
  <c r="CJ177" i="3"/>
  <c r="CK177" i="3"/>
  <c r="CL177" i="3"/>
  <c r="CM177" i="3"/>
  <c r="CN177" i="3"/>
  <c r="CO177" i="3"/>
  <c r="CP177" i="3"/>
  <c r="CQ177" i="3"/>
  <c r="CR177" i="3"/>
  <c r="CS177" i="3"/>
  <c r="CT177" i="3"/>
  <c r="CU177" i="3"/>
  <c r="CV177" i="3"/>
  <c r="CW177" i="3"/>
  <c r="CX177" i="3"/>
  <c r="CY177" i="3"/>
  <c r="CZ177" i="3"/>
  <c r="DA177" i="3"/>
  <c r="DB177" i="3"/>
  <c r="DC177" i="3"/>
  <c r="DD177" i="3"/>
  <c r="DE177" i="3"/>
  <c r="DF177" i="3"/>
  <c r="DG177" i="3"/>
  <c r="DH177" i="3"/>
  <c r="DI177" i="3"/>
  <c r="DJ177" i="3"/>
  <c r="DK177" i="3"/>
  <c r="DL177" i="3"/>
  <c r="DM177" i="3"/>
  <c r="DN177" i="3"/>
  <c r="DO177" i="3"/>
  <c r="DP177" i="3"/>
  <c r="DQ177" i="3"/>
  <c r="DR177" i="3"/>
  <c r="DS177" i="3"/>
  <c r="DT177" i="3"/>
  <c r="DU177" i="3"/>
  <c r="DV177" i="3"/>
  <c r="DW177" i="3"/>
  <c r="DX177" i="3"/>
  <c r="DY177" i="3"/>
  <c r="DZ177" i="3"/>
  <c r="EA177" i="3"/>
  <c r="EB177" i="3"/>
  <c r="EC177" i="3"/>
  <c r="ED177" i="3"/>
  <c r="EE177" i="3"/>
  <c r="EF177" i="3"/>
  <c r="EG177" i="3"/>
  <c r="EH177" i="3"/>
  <c r="EI177" i="3"/>
  <c r="EJ177" i="3"/>
  <c r="EK177" i="3"/>
  <c r="EL177" i="3"/>
  <c r="EM177" i="3"/>
  <c r="EN177" i="3"/>
  <c r="EO177" i="3"/>
  <c r="EP177" i="3"/>
  <c r="EQ177" i="3"/>
  <c r="ER177" i="3"/>
  <c r="ES177" i="3"/>
  <c r="ET177" i="3"/>
  <c r="EU177" i="3"/>
  <c r="EV177" i="3"/>
  <c r="EW177" i="3"/>
  <c r="EX177" i="3"/>
  <c r="EY177" i="3"/>
  <c r="EZ177" i="3"/>
  <c r="FA177" i="3"/>
  <c r="FB177" i="3"/>
  <c r="FC177" i="3"/>
  <c r="FD177" i="3"/>
  <c r="FE177" i="3"/>
  <c r="FF177" i="3"/>
  <c r="FG177" i="3"/>
  <c r="FH177" i="3"/>
  <c r="FI177" i="3"/>
  <c r="FJ177" i="3"/>
  <c r="FK177" i="3"/>
  <c r="FL177" i="3"/>
  <c r="FM177" i="3"/>
  <c r="FN177" i="3"/>
  <c r="FO177" i="3"/>
  <c r="FP177" i="3"/>
  <c r="FQ177" i="3"/>
  <c r="FR177" i="3"/>
  <c r="FS177" i="3"/>
  <c r="FT177" i="3"/>
  <c r="FU177" i="3"/>
  <c r="FV177" i="3"/>
  <c r="FW177" i="3"/>
  <c r="FX177" i="3"/>
  <c r="FY177" i="3"/>
  <c r="FZ177" i="3"/>
  <c r="GA177" i="3"/>
  <c r="GB177" i="3"/>
  <c r="GC177" i="3"/>
  <c r="GD177" i="3"/>
  <c r="GE177" i="3"/>
  <c r="GF177" i="3"/>
  <c r="GG177" i="3"/>
  <c r="GH177" i="3"/>
  <c r="GI177" i="3"/>
  <c r="GJ177" i="3"/>
  <c r="GK177" i="3"/>
  <c r="GL177" i="3"/>
  <c r="GM177" i="3"/>
  <c r="GN177" i="3"/>
  <c r="GO177" i="3"/>
  <c r="GP177" i="3"/>
  <c r="GQ177" i="3"/>
  <c r="GR177" i="3"/>
  <c r="GS177" i="3"/>
  <c r="GT177" i="3"/>
  <c r="GU177" i="3"/>
  <c r="GV177" i="3"/>
  <c r="GW177" i="3"/>
  <c r="GX177" i="3"/>
  <c r="GY177" i="3"/>
  <c r="GZ177" i="3"/>
  <c r="HA177" i="3"/>
  <c r="HB177" i="3"/>
  <c r="HC177" i="3"/>
  <c r="HD177" i="3"/>
  <c r="HE177" i="3"/>
  <c r="HF177" i="3"/>
  <c r="HG177" i="3"/>
  <c r="HH177" i="3"/>
  <c r="HI177" i="3"/>
  <c r="HJ177" i="3"/>
  <c r="HK177" i="3"/>
  <c r="HL177" i="3"/>
  <c r="HM177" i="3"/>
  <c r="HN177" i="3"/>
  <c r="HO177" i="3"/>
  <c r="HP177" i="3"/>
  <c r="HQ177" i="3"/>
  <c r="HR177" i="3"/>
  <c r="HS177" i="3"/>
  <c r="HT177" i="3"/>
  <c r="HU177" i="3"/>
  <c r="HV177" i="3"/>
  <c r="HW177" i="3"/>
  <c r="HX177" i="3"/>
  <c r="HY177" i="3"/>
  <c r="HZ177" i="3"/>
  <c r="IA177" i="3"/>
  <c r="IB177" i="3"/>
  <c r="IC177" i="3"/>
  <c r="ID177" i="3"/>
  <c r="IE177" i="3"/>
  <c r="IF177" i="3"/>
  <c r="IG177" i="3"/>
  <c r="IH177" i="3"/>
  <c r="II177" i="3"/>
  <c r="IJ177" i="3"/>
  <c r="IK177" i="3"/>
  <c r="IL177" i="3"/>
  <c r="IM177" i="3"/>
  <c r="IN177" i="3"/>
  <c r="IO177" i="3"/>
  <c r="IP177" i="3"/>
  <c r="IQ177" i="3"/>
  <c r="IR177" i="3"/>
  <c r="IS177" i="3"/>
  <c r="IT177" i="3"/>
  <c r="IU177" i="3"/>
  <c r="IV177" i="3"/>
  <c r="A176" i="3"/>
  <c r="B176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AP176" i="3"/>
  <c r="AQ176" i="3"/>
  <c r="AR176" i="3"/>
  <c r="AS176" i="3"/>
  <c r="AT176" i="3"/>
  <c r="AU176" i="3"/>
  <c r="AV176" i="3"/>
  <c r="AW176" i="3"/>
  <c r="AX176" i="3"/>
  <c r="AY176" i="3"/>
  <c r="AZ176" i="3"/>
  <c r="BA176" i="3"/>
  <c r="BB176" i="3"/>
  <c r="BC176" i="3"/>
  <c r="BD176" i="3"/>
  <c r="BE176" i="3"/>
  <c r="BF176" i="3"/>
  <c r="BG176" i="3"/>
  <c r="BH176" i="3"/>
  <c r="BI176" i="3"/>
  <c r="BJ176" i="3"/>
  <c r="BK176" i="3"/>
  <c r="BL176" i="3"/>
  <c r="BM176" i="3"/>
  <c r="BN176" i="3"/>
  <c r="BO176" i="3"/>
  <c r="BP176" i="3"/>
  <c r="BQ176" i="3"/>
  <c r="BR176" i="3"/>
  <c r="BS176" i="3"/>
  <c r="BT176" i="3"/>
  <c r="BU176" i="3"/>
  <c r="BV176" i="3"/>
  <c r="BW176" i="3"/>
  <c r="BX176" i="3"/>
  <c r="BY176" i="3"/>
  <c r="BZ176" i="3"/>
  <c r="CA176" i="3"/>
  <c r="CB176" i="3"/>
  <c r="CC176" i="3"/>
  <c r="CD176" i="3"/>
  <c r="CE176" i="3"/>
  <c r="CF176" i="3"/>
  <c r="CG176" i="3"/>
  <c r="CH176" i="3"/>
  <c r="CI176" i="3"/>
  <c r="CJ176" i="3"/>
  <c r="CK176" i="3"/>
  <c r="CL176" i="3"/>
  <c r="CM176" i="3"/>
  <c r="CN176" i="3"/>
  <c r="CO176" i="3"/>
  <c r="CP176" i="3"/>
  <c r="CQ176" i="3"/>
  <c r="CR176" i="3"/>
  <c r="CS176" i="3"/>
  <c r="CT176" i="3"/>
  <c r="CU176" i="3"/>
  <c r="CV176" i="3"/>
  <c r="CW176" i="3"/>
  <c r="CX176" i="3"/>
  <c r="CY176" i="3"/>
  <c r="CZ176" i="3"/>
  <c r="DA176" i="3"/>
  <c r="DB176" i="3"/>
  <c r="DC176" i="3"/>
  <c r="DD176" i="3"/>
  <c r="DE176" i="3"/>
  <c r="DF176" i="3"/>
  <c r="DG176" i="3"/>
  <c r="DH176" i="3"/>
  <c r="DI176" i="3"/>
  <c r="DJ176" i="3"/>
  <c r="DK176" i="3"/>
  <c r="DL176" i="3"/>
  <c r="DM176" i="3"/>
  <c r="DN176" i="3"/>
  <c r="DO176" i="3"/>
  <c r="DP176" i="3"/>
  <c r="DQ176" i="3"/>
  <c r="DR176" i="3"/>
  <c r="DS176" i="3"/>
  <c r="DT176" i="3"/>
  <c r="DU176" i="3"/>
  <c r="DV176" i="3"/>
  <c r="DW176" i="3"/>
  <c r="DX176" i="3"/>
  <c r="DY176" i="3"/>
  <c r="DZ176" i="3"/>
  <c r="EA176" i="3"/>
  <c r="EB176" i="3"/>
  <c r="EC176" i="3"/>
  <c r="ED176" i="3"/>
  <c r="EE176" i="3"/>
  <c r="EF176" i="3"/>
  <c r="EG176" i="3"/>
  <c r="EH176" i="3"/>
  <c r="EI176" i="3"/>
  <c r="EJ176" i="3"/>
  <c r="EK176" i="3"/>
  <c r="EL176" i="3"/>
  <c r="EM176" i="3"/>
  <c r="EN176" i="3"/>
  <c r="EO176" i="3"/>
  <c r="EP176" i="3"/>
  <c r="EQ176" i="3"/>
  <c r="ER176" i="3"/>
  <c r="ES176" i="3"/>
  <c r="ET176" i="3"/>
  <c r="EU176" i="3"/>
  <c r="EV176" i="3"/>
  <c r="EW176" i="3"/>
  <c r="EX176" i="3"/>
  <c r="EY176" i="3"/>
  <c r="EZ176" i="3"/>
  <c r="FA176" i="3"/>
  <c r="FB176" i="3"/>
  <c r="FC176" i="3"/>
  <c r="FD176" i="3"/>
  <c r="FE176" i="3"/>
  <c r="FF176" i="3"/>
  <c r="FG176" i="3"/>
  <c r="FH176" i="3"/>
  <c r="FI176" i="3"/>
  <c r="FJ176" i="3"/>
  <c r="FK176" i="3"/>
  <c r="FL176" i="3"/>
  <c r="FM176" i="3"/>
  <c r="FN176" i="3"/>
  <c r="FO176" i="3"/>
  <c r="FP176" i="3"/>
  <c r="FQ176" i="3"/>
  <c r="FR176" i="3"/>
  <c r="FS176" i="3"/>
  <c r="FT176" i="3"/>
  <c r="FU176" i="3"/>
  <c r="FV176" i="3"/>
  <c r="FW176" i="3"/>
  <c r="FX176" i="3"/>
  <c r="FY176" i="3"/>
  <c r="FZ176" i="3"/>
  <c r="GA176" i="3"/>
  <c r="GB176" i="3"/>
  <c r="GC176" i="3"/>
  <c r="GD176" i="3"/>
  <c r="GE176" i="3"/>
  <c r="GF176" i="3"/>
  <c r="GG176" i="3"/>
  <c r="GH176" i="3"/>
  <c r="GI176" i="3"/>
  <c r="GJ176" i="3"/>
  <c r="GK176" i="3"/>
  <c r="GL176" i="3"/>
  <c r="GM176" i="3"/>
  <c r="GN176" i="3"/>
  <c r="GO176" i="3"/>
  <c r="GP176" i="3"/>
  <c r="GQ176" i="3"/>
  <c r="GR176" i="3"/>
  <c r="GS176" i="3"/>
  <c r="GT176" i="3"/>
  <c r="GU176" i="3"/>
  <c r="GV176" i="3"/>
  <c r="GW176" i="3"/>
  <c r="GX176" i="3"/>
  <c r="GY176" i="3"/>
  <c r="GZ176" i="3"/>
  <c r="HA176" i="3"/>
  <c r="HB176" i="3"/>
  <c r="HC176" i="3"/>
  <c r="HD176" i="3"/>
  <c r="HE176" i="3"/>
  <c r="HF176" i="3"/>
  <c r="HG176" i="3"/>
  <c r="HH176" i="3"/>
  <c r="HI176" i="3"/>
  <c r="HJ176" i="3"/>
  <c r="HK176" i="3"/>
  <c r="HL176" i="3"/>
  <c r="HM176" i="3"/>
  <c r="HN176" i="3"/>
  <c r="HO176" i="3"/>
  <c r="HP176" i="3"/>
  <c r="HQ176" i="3"/>
  <c r="HR176" i="3"/>
  <c r="HS176" i="3"/>
  <c r="HT176" i="3"/>
  <c r="HU176" i="3"/>
  <c r="HV176" i="3"/>
  <c r="HW176" i="3"/>
  <c r="HX176" i="3"/>
  <c r="HY176" i="3"/>
  <c r="HZ176" i="3"/>
  <c r="IA176" i="3"/>
  <c r="IB176" i="3"/>
  <c r="IC176" i="3"/>
  <c r="ID176" i="3"/>
  <c r="IE176" i="3"/>
  <c r="IF176" i="3"/>
  <c r="IG176" i="3"/>
  <c r="IH176" i="3"/>
  <c r="II176" i="3"/>
  <c r="IJ176" i="3"/>
  <c r="IK176" i="3"/>
  <c r="IL176" i="3"/>
  <c r="IM176" i="3"/>
  <c r="IN176" i="3"/>
  <c r="IO176" i="3"/>
  <c r="IP176" i="3"/>
  <c r="IQ176" i="3"/>
  <c r="IR176" i="3"/>
  <c r="IS176" i="3"/>
  <c r="IT176" i="3"/>
  <c r="IU176" i="3"/>
  <c r="IV176" i="3"/>
  <c r="A175" i="3"/>
  <c r="B175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AP175" i="3"/>
  <c r="AQ175" i="3"/>
  <c r="AR175" i="3"/>
  <c r="AS175" i="3"/>
  <c r="AT175" i="3"/>
  <c r="AU175" i="3"/>
  <c r="AV175" i="3"/>
  <c r="AW175" i="3"/>
  <c r="AX175" i="3"/>
  <c r="AY175" i="3"/>
  <c r="AZ175" i="3"/>
  <c r="BA175" i="3"/>
  <c r="BB175" i="3"/>
  <c r="BC175" i="3"/>
  <c r="BD175" i="3"/>
  <c r="BE175" i="3"/>
  <c r="BF175" i="3"/>
  <c r="BG175" i="3"/>
  <c r="BH175" i="3"/>
  <c r="BI175" i="3"/>
  <c r="BJ175" i="3"/>
  <c r="BK175" i="3"/>
  <c r="BL175" i="3"/>
  <c r="BM175" i="3"/>
  <c r="BN175" i="3"/>
  <c r="BO175" i="3"/>
  <c r="BP175" i="3"/>
  <c r="BQ175" i="3"/>
  <c r="BR175" i="3"/>
  <c r="BS175" i="3"/>
  <c r="BT175" i="3"/>
  <c r="BU175" i="3"/>
  <c r="BV175" i="3"/>
  <c r="BW175" i="3"/>
  <c r="BX175" i="3"/>
  <c r="BY175" i="3"/>
  <c r="BZ175" i="3"/>
  <c r="CA175" i="3"/>
  <c r="CB175" i="3"/>
  <c r="CC175" i="3"/>
  <c r="CD175" i="3"/>
  <c r="CE175" i="3"/>
  <c r="CF175" i="3"/>
  <c r="CG175" i="3"/>
  <c r="CH175" i="3"/>
  <c r="CI175" i="3"/>
  <c r="CJ175" i="3"/>
  <c r="CK175" i="3"/>
  <c r="CL175" i="3"/>
  <c r="CM175" i="3"/>
  <c r="CN175" i="3"/>
  <c r="CO175" i="3"/>
  <c r="CP175" i="3"/>
  <c r="CQ175" i="3"/>
  <c r="CR175" i="3"/>
  <c r="CS175" i="3"/>
  <c r="CT175" i="3"/>
  <c r="CU175" i="3"/>
  <c r="CV175" i="3"/>
  <c r="CW175" i="3"/>
  <c r="CX175" i="3"/>
  <c r="CY175" i="3"/>
  <c r="CZ175" i="3"/>
  <c r="DA175" i="3"/>
  <c r="DB175" i="3"/>
  <c r="DC175" i="3"/>
  <c r="DD175" i="3"/>
  <c r="DE175" i="3"/>
  <c r="DF175" i="3"/>
  <c r="DG175" i="3"/>
  <c r="DH175" i="3"/>
  <c r="DI175" i="3"/>
  <c r="DJ175" i="3"/>
  <c r="DK175" i="3"/>
  <c r="DL175" i="3"/>
  <c r="DM175" i="3"/>
  <c r="DN175" i="3"/>
  <c r="DO175" i="3"/>
  <c r="DP175" i="3"/>
  <c r="DQ175" i="3"/>
  <c r="DR175" i="3"/>
  <c r="DS175" i="3"/>
  <c r="DT175" i="3"/>
  <c r="DU175" i="3"/>
  <c r="DV175" i="3"/>
  <c r="DW175" i="3"/>
  <c r="DX175" i="3"/>
  <c r="DY175" i="3"/>
  <c r="DZ175" i="3"/>
  <c r="EA175" i="3"/>
  <c r="EB175" i="3"/>
  <c r="EC175" i="3"/>
  <c r="ED175" i="3"/>
  <c r="EE175" i="3"/>
  <c r="EF175" i="3"/>
  <c r="EG175" i="3"/>
  <c r="EH175" i="3"/>
  <c r="EI175" i="3"/>
  <c r="EJ175" i="3"/>
  <c r="EK175" i="3"/>
  <c r="EL175" i="3"/>
  <c r="EM175" i="3"/>
  <c r="EN175" i="3"/>
  <c r="EO175" i="3"/>
  <c r="EP175" i="3"/>
  <c r="EQ175" i="3"/>
  <c r="ER175" i="3"/>
  <c r="ES175" i="3"/>
  <c r="ET175" i="3"/>
  <c r="EU175" i="3"/>
  <c r="EV175" i="3"/>
  <c r="EW175" i="3"/>
  <c r="EX175" i="3"/>
  <c r="EY175" i="3"/>
  <c r="EZ175" i="3"/>
  <c r="FA175" i="3"/>
  <c r="FB175" i="3"/>
  <c r="FC175" i="3"/>
  <c r="FD175" i="3"/>
  <c r="FE175" i="3"/>
  <c r="FF175" i="3"/>
  <c r="FG175" i="3"/>
  <c r="FH175" i="3"/>
  <c r="FI175" i="3"/>
  <c r="FJ175" i="3"/>
  <c r="FK175" i="3"/>
  <c r="FL175" i="3"/>
  <c r="FM175" i="3"/>
  <c r="FN175" i="3"/>
  <c r="FO175" i="3"/>
  <c r="FP175" i="3"/>
  <c r="FQ175" i="3"/>
  <c r="FR175" i="3"/>
  <c r="FS175" i="3"/>
  <c r="FT175" i="3"/>
  <c r="FU175" i="3"/>
  <c r="FV175" i="3"/>
  <c r="FW175" i="3"/>
  <c r="FX175" i="3"/>
  <c r="FY175" i="3"/>
  <c r="FZ175" i="3"/>
  <c r="GA175" i="3"/>
  <c r="GB175" i="3"/>
  <c r="GC175" i="3"/>
  <c r="GD175" i="3"/>
  <c r="GE175" i="3"/>
  <c r="GF175" i="3"/>
  <c r="GG175" i="3"/>
  <c r="GH175" i="3"/>
  <c r="GI175" i="3"/>
  <c r="GJ175" i="3"/>
  <c r="GK175" i="3"/>
  <c r="GL175" i="3"/>
  <c r="GM175" i="3"/>
  <c r="GN175" i="3"/>
  <c r="GO175" i="3"/>
  <c r="GP175" i="3"/>
  <c r="GQ175" i="3"/>
  <c r="GR175" i="3"/>
  <c r="GS175" i="3"/>
  <c r="GT175" i="3"/>
  <c r="GU175" i="3"/>
  <c r="GV175" i="3"/>
  <c r="GW175" i="3"/>
  <c r="GX175" i="3"/>
  <c r="GY175" i="3"/>
  <c r="GZ175" i="3"/>
  <c r="HA175" i="3"/>
  <c r="HB175" i="3"/>
  <c r="HC175" i="3"/>
  <c r="HD175" i="3"/>
  <c r="HE175" i="3"/>
  <c r="HF175" i="3"/>
  <c r="HG175" i="3"/>
  <c r="HH175" i="3"/>
  <c r="HI175" i="3"/>
  <c r="HJ175" i="3"/>
  <c r="HK175" i="3"/>
  <c r="HL175" i="3"/>
  <c r="HM175" i="3"/>
  <c r="HN175" i="3"/>
  <c r="HO175" i="3"/>
  <c r="HP175" i="3"/>
  <c r="HQ175" i="3"/>
  <c r="HR175" i="3"/>
  <c r="HS175" i="3"/>
  <c r="HT175" i="3"/>
  <c r="HU175" i="3"/>
  <c r="HV175" i="3"/>
  <c r="HW175" i="3"/>
  <c r="HX175" i="3"/>
  <c r="HY175" i="3"/>
  <c r="HZ175" i="3"/>
  <c r="IA175" i="3"/>
  <c r="IB175" i="3"/>
  <c r="IC175" i="3"/>
  <c r="ID175" i="3"/>
  <c r="IE175" i="3"/>
  <c r="IF175" i="3"/>
  <c r="IG175" i="3"/>
  <c r="IH175" i="3"/>
  <c r="II175" i="3"/>
  <c r="IJ175" i="3"/>
  <c r="IK175" i="3"/>
  <c r="IL175" i="3"/>
  <c r="IM175" i="3"/>
  <c r="IN175" i="3"/>
  <c r="IO175" i="3"/>
  <c r="IP175" i="3"/>
  <c r="IQ175" i="3"/>
  <c r="IR175" i="3"/>
  <c r="IS175" i="3"/>
  <c r="IT175" i="3"/>
  <c r="IU175" i="3"/>
  <c r="IV175" i="3"/>
  <c r="A174" i="3"/>
  <c r="B174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AP174" i="3"/>
  <c r="AQ174" i="3"/>
  <c r="AR174" i="3"/>
  <c r="AS174" i="3"/>
  <c r="AT174" i="3"/>
  <c r="AU174" i="3"/>
  <c r="AV174" i="3"/>
  <c r="AW174" i="3"/>
  <c r="AX174" i="3"/>
  <c r="AY174" i="3"/>
  <c r="AZ174" i="3"/>
  <c r="BA174" i="3"/>
  <c r="BB174" i="3"/>
  <c r="BC174" i="3"/>
  <c r="BD174" i="3"/>
  <c r="BE174" i="3"/>
  <c r="BF174" i="3"/>
  <c r="BG174" i="3"/>
  <c r="BH174" i="3"/>
  <c r="BI174" i="3"/>
  <c r="BJ174" i="3"/>
  <c r="BK174" i="3"/>
  <c r="BL174" i="3"/>
  <c r="BM174" i="3"/>
  <c r="BN174" i="3"/>
  <c r="BO174" i="3"/>
  <c r="BP174" i="3"/>
  <c r="BQ174" i="3"/>
  <c r="BR174" i="3"/>
  <c r="BS174" i="3"/>
  <c r="BT174" i="3"/>
  <c r="BU174" i="3"/>
  <c r="BV174" i="3"/>
  <c r="BW174" i="3"/>
  <c r="BX174" i="3"/>
  <c r="BY174" i="3"/>
  <c r="BZ174" i="3"/>
  <c r="CA174" i="3"/>
  <c r="CB174" i="3"/>
  <c r="CC174" i="3"/>
  <c r="CD174" i="3"/>
  <c r="CE174" i="3"/>
  <c r="CF174" i="3"/>
  <c r="CG174" i="3"/>
  <c r="CH174" i="3"/>
  <c r="CI174" i="3"/>
  <c r="CJ174" i="3"/>
  <c r="CK174" i="3"/>
  <c r="CL174" i="3"/>
  <c r="CM174" i="3"/>
  <c r="CN174" i="3"/>
  <c r="CO174" i="3"/>
  <c r="CP174" i="3"/>
  <c r="CQ174" i="3"/>
  <c r="CR174" i="3"/>
  <c r="CS174" i="3"/>
  <c r="CT174" i="3"/>
  <c r="CU174" i="3"/>
  <c r="CV174" i="3"/>
  <c r="CW174" i="3"/>
  <c r="CX174" i="3"/>
  <c r="CY174" i="3"/>
  <c r="CZ174" i="3"/>
  <c r="DA174" i="3"/>
  <c r="DB174" i="3"/>
  <c r="DC174" i="3"/>
  <c r="DD174" i="3"/>
  <c r="DE174" i="3"/>
  <c r="DF174" i="3"/>
  <c r="DG174" i="3"/>
  <c r="DH174" i="3"/>
  <c r="DI174" i="3"/>
  <c r="DJ174" i="3"/>
  <c r="DK174" i="3"/>
  <c r="DL174" i="3"/>
  <c r="DM174" i="3"/>
  <c r="DN174" i="3"/>
  <c r="DO174" i="3"/>
  <c r="DP174" i="3"/>
  <c r="DQ174" i="3"/>
  <c r="DR174" i="3"/>
  <c r="DS174" i="3"/>
  <c r="DT174" i="3"/>
  <c r="DU174" i="3"/>
  <c r="DV174" i="3"/>
  <c r="DW174" i="3"/>
  <c r="DX174" i="3"/>
  <c r="DY174" i="3"/>
  <c r="DZ174" i="3"/>
  <c r="EA174" i="3"/>
  <c r="EB174" i="3"/>
  <c r="EC174" i="3"/>
  <c r="ED174" i="3"/>
  <c r="EE174" i="3"/>
  <c r="EF174" i="3"/>
  <c r="EG174" i="3"/>
  <c r="EH174" i="3"/>
  <c r="EI174" i="3"/>
  <c r="EJ174" i="3"/>
  <c r="EK174" i="3"/>
  <c r="EL174" i="3"/>
  <c r="EM174" i="3"/>
  <c r="EN174" i="3"/>
  <c r="EO174" i="3"/>
  <c r="EP174" i="3"/>
  <c r="EQ174" i="3"/>
  <c r="ER174" i="3"/>
  <c r="ES174" i="3"/>
  <c r="ET174" i="3"/>
  <c r="EU174" i="3"/>
  <c r="EV174" i="3"/>
  <c r="EW174" i="3"/>
  <c r="EX174" i="3"/>
  <c r="EY174" i="3"/>
  <c r="EZ174" i="3"/>
  <c r="FA174" i="3"/>
  <c r="FB174" i="3"/>
  <c r="FC174" i="3"/>
  <c r="FD174" i="3"/>
  <c r="FE174" i="3"/>
  <c r="FF174" i="3"/>
  <c r="FG174" i="3"/>
  <c r="FH174" i="3"/>
  <c r="FI174" i="3"/>
  <c r="FJ174" i="3"/>
  <c r="FK174" i="3"/>
  <c r="FL174" i="3"/>
  <c r="FM174" i="3"/>
  <c r="FN174" i="3"/>
  <c r="FO174" i="3"/>
  <c r="FP174" i="3"/>
  <c r="FQ174" i="3"/>
  <c r="FR174" i="3"/>
  <c r="FS174" i="3"/>
  <c r="FT174" i="3"/>
  <c r="FU174" i="3"/>
  <c r="FV174" i="3"/>
  <c r="FW174" i="3"/>
  <c r="FX174" i="3"/>
  <c r="FY174" i="3"/>
  <c r="FZ174" i="3"/>
  <c r="GA174" i="3"/>
  <c r="GB174" i="3"/>
  <c r="GC174" i="3"/>
  <c r="GD174" i="3"/>
  <c r="GE174" i="3"/>
  <c r="GF174" i="3"/>
  <c r="GG174" i="3"/>
  <c r="GH174" i="3"/>
  <c r="GI174" i="3"/>
  <c r="GJ174" i="3"/>
  <c r="GK174" i="3"/>
  <c r="GL174" i="3"/>
  <c r="GM174" i="3"/>
  <c r="GN174" i="3"/>
  <c r="GO174" i="3"/>
  <c r="GP174" i="3"/>
  <c r="GQ174" i="3"/>
  <c r="GR174" i="3"/>
  <c r="GS174" i="3"/>
  <c r="GT174" i="3"/>
  <c r="GU174" i="3"/>
  <c r="GV174" i="3"/>
  <c r="GW174" i="3"/>
  <c r="GX174" i="3"/>
  <c r="GY174" i="3"/>
  <c r="GZ174" i="3"/>
  <c r="HA174" i="3"/>
  <c r="HB174" i="3"/>
  <c r="HC174" i="3"/>
  <c r="HD174" i="3"/>
  <c r="HE174" i="3"/>
  <c r="HF174" i="3"/>
  <c r="HG174" i="3"/>
  <c r="HH174" i="3"/>
  <c r="HI174" i="3"/>
  <c r="HJ174" i="3"/>
  <c r="HK174" i="3"/>
  <c r="HL174" i="3"/>
  <c r="HM174" i="3"/>
  <c r="HN174" i="3"/>
  <c r="HO174" i="3"/>
  <c r="HP174" i="3"/>
  <c r="HQ174" i="3"/>
  <c r="HR174" i="3"/>
  <c r="HS174" i="3"/>
  <c r="HT174" i="3"/>
  <c r="HU174" i="3"/>
  <c r="HV174" i="3"/>
  <c r="HW174" i="3"/>
  <c r="HX174" i="3"/>
  <c r="HY174" i="3"/>
  <c r="HZ174" i="3"/>
  <c r="IA174" i="3"/>
  <c r="IB174" i="3"/>
  <c r="IC174" i="3"/>
  <c r="ID174" i="3"/>
  <c r="IE174" i="3"/>
  <c r="IF174" i="3"/>
  <c r="IG174" i="3"/>
  <c r="IH174" i="3"/>
  <c r="II174" i="3"/>
  <c r="IJ174" i="3"/>
  <c r="IK174" i="3"/>
  <c r="IL174" i="3"/>
  <c r="IM174" i="3"/>
  <c r="IN174" i="3"/>
  <c r="IO174" i="3"/>
  <c r="IP174" i="3"/>
  <c r="IQ174" i="3"/>
  <c r="IR174" i="3"/>
  <c r="IS174" i="3"/>
  <c r="IT174" i="3"/>
  <c r="IU174" i="3"/>
  <c r="IV174" i="3"/>
  <c r="A173" i="3"/>
  <c r="B173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AQ173" i="3"/>
  <c r="AR173" i="3"/>
  <c r="AS173" i="3"/>
  <c r="AT173" i="3"/>
  <c r="AU173" i="3"/>
  <c r="AV173" i="3"/>
  <c r="AW173" i="3"/>
  <c r="AX173" i="3"/>
  <c r="AY173" i="3"/>
  <c r="AZ173" i="3"/>
  <c r="BA173" i="3"/>
  <c r="BB173" i="3"/>
  <c r="BC173" i="3"/>
  <c r="BD173" i="3"/>
  <c r="BE173" i="3"/>
  <c r="BF173" i="3"/>
  <c r="BG173" i="3"/>
  <c r="BH173" i="3"/>
  <c r="BI173" i="3"/>
  <c r="BJ173" i="3"/>
  <c r="BK173" i="3"/>
  <c r="BL173" i="3"/>
  <c r="BM173" i="3"/>
  <c r="BN173" i="3"/>
  <c r="BO173" i="3"/>
  <c r="BP173" i="3"/>
  <c r="BQ173" i="3"/>
  <c r="BR173" i="3"/>
  <c r="BS173" i="3"/>
  <c r="BT173" i="3"/>
  <c r="BU173" i="3"/>
  <c r="BV173" i="3"/>
  <c r="BW173" i="3"/>
  <c r="BX173" i="3"/>
  <c r="BY173" i="3"/>
  <c r="BZ173" i="3"/>
  <c r="CA173" i="3"/>
  <c r="CB173" i="3"/>
  <c r="CC173" i="3"/>
  <c r="CD173" i="3"/>
  <c r="CE173" i="3"/>
  <c r="CF173" i="3"/>
  <c r="CG173" i="3"/>
  <c r="CH173" i="3"/>
  <c r="CI173" i="3"/>
  <c r="CJ173" i="3"/>
  <c r="CK173" i="3"/>
  <c r="CL173" i="3"/>
  <c r="CM173" i="3"/>
  <c r="CN173" i="3"/>
  <c r="CO173" i="3"/>
  <c r="CP173" i="3"/>
  <c r="CQ173" i="3"/>
  <c r="CR173" i="3"/>
  <c r="CS173" i="3"/>
  <c r="CT173" i="3"/>
  <c r="CU173" i="3"/>
  <c r="CV173" i="3"/>
  <c r="CW173" i="3"/>
  <c r="CX173" i="3"/>
  <c r="CY173" i="3"/>
  <c r="CZ173" i="3"/>
  <c r="DA173" i="3"/>
  <c r="DB173" i="3"/>
  <c r="DC173" i="3"/>
  <c r="DD173" i="3"/>
  <c r="DE173" i="3"/>
  <c r="DF173" i="3"/>
  <c r="DG173" i="3"/>
  <c r="DH173" i="3"/>
  <c r="DI173" i="3"/>
  <c r="DJ173" i="3"/>
  <c r="DK173" i="3"/>
  <c r="DL173" i="3"/>
  <c r="DM173" i="3"/>
  <c r="DN173" i="3"/>
  <c r="DO173" i="3"/>
  <c r="DP173" i="3"/>
  <c r="DQ173" i="3"/>
  <c r="DR173" i="3"/>
  <c r="DS173" i="3"/>
  <c r="DT173" i="3"/>
  <c r="DU173" i="3"/>
  <c r="DV173" i="3"/>
  <c r="DW173" i="3"/>
  <c r="DX173" i="3"/>
  <c r="DY173" i="3"/>
  <c r="DZ173" i="3"/>
  <c r="EA173" i="3"/>
  <c r="EB173" i="3"/>
  <c r="EC173" i="3"/>
  <c r="ED173" i="3"/>
  <c r="EE173" i="3"/>
  <c r="EF173" i="3"/>
  <c r="EG173" i="3"/>
  <c r="EH173" i="3"/>
  <c r="EI173" i="3"/>
  <c r="EJ173" i="3"/>
  <c r="EK173" i="3"/>
  <c r="EL173" i="3"/>
  <c r="EM173" i="3"/>
  <c r="EN173" i="3"/>
  <c r="EO173" i="3"/>
  <c r="EP173" i="3"/>
  <c r="EQ173" i="3"/>
  <c r="ER173" i="3"/>
  <c r="ES173" i="3"/>
  <c r="ET173" i="3"/>
  <c r="EU173" i="3"/>
  <c r="EV173" i="3"/>
  <c r="EW173" i="3"/>
  <c r="EX173" i="3"/>
  <c r="EY173" i="3"/>
  <c r="EZ173" i="3"/>
  <c r="FA173" i="3"/>
  <c r="FB173" i="3"/>
  <c r="FC173" i="3"/>
  <c r="FD173" i="3"/>
  <c r="FE173" i="3"/>
  <c r="FF173" i="3"/>
  <c r="FG173" i="3"/>
  <c r="FH173" i="3"/>
  <c r="FI173" i="3"/>
  <c r="FJ173" i="3"/>
  <c r="FK173" i="3"/>
  <c r="FL173" i="3"/>
  <c r="FM173" i="3"/>
  <c r="FN173" i="3"/>
  <c r="FO173" i="3"/>
  <c r="FP173" i="3"/>
  <c r="FQ173" i="3"/>
  <c r="FR173" i="3"/>
  <c r="FS173" i="3"/>
  <c r="FT173" i="3"/>
  <c r="FU173" i="3"/>
  <c r="FV173" i="3"/>
  <c r="FW173" i="3"/>
  <c r="FX173" i="3"/>
  <c r="FY173" i="3"/>
  <c r="FZ173" i="3"/>
  <c r="GA173" i="3"/>
  <c r="GB173" i="3"/>
  <c r="GC173" i="3"/>
  <c r="GD173" i="3"/>
  <c r="GE173" i="3"/>
  <c r="GF173" i="3"/>
  <c r="GG173" i="3"/>
  <c r="GH173" i="3"/>
  <c r="GI173" i="3"/>
  <c r="GJ173" i="3"/>
  <c r="GK173" i="3"/>
  <c r="GL173" i="3"/>
  <c r="GM173" i="3"/>
  <c r="GN173" i="3"/>
  <c r="GO173" i="3"/>
  <c r="GP173" i="3"/>
  <c r="GQ173" i="3"/>
  <c r="GR173" i="3"/>
  <c r="GS173" i="3"/>
  <c r="GT173" i="3"/>
  <c r="GU173" i="3"/>
  <c r="GV173" i="3"/>
  <c r="GW173" i="3"/>
  <c r="GX173" i="3"/>
  <c r="GY173" i="3"/>
  <c r="GZ173" i="3"/>
  <c r="HA173" i="3"/>
  <c r="HB173" i="3"/>
  <c r="HC173" i="3"/>
  <c r="HD173" i="3"/>
  <c r="HE173" i="3"/>
  <c r="HF173" i="3"/>
  <c r="HG173" i="3"/>
  <c r="HH173" i="3"/>
  <c r="HI173" i="3"/>
  <c r="HJ173" i="3"/>
  <c r="HK173" i="3"/>
  <c r="HL173" i="3"/>
  <c r="HM173" i="3"/>
  <c r="HN173" i="3"/>
  <c r="HO173" i="3"/>
  <c r="HP173" i="3"/>
  <c r="HQ173" i="3"/>
  <c r="HR173" i="3"/>
  <c r="HS173" i="3"/>
  <c r="HT173" i="3"/>
  <c r="HU173" i="3"/>
  <c r="HV173" i="3"/>
  <c r="HW173" i="3"/>
  <c r="HX173" i="3"/>
  <c r="HY173" i="3"/>
  <c r="HZ173" i="3"/>
  <c r="IA173" i="3"/>
  <c r="IB173" i="3"/>
  <c r="IC173" i="3"/>
  <c r="ID173" i="3"/>
  <c r="IE173" i="3"/>
  <c r="IF173" i="3"/>
  <c r="IG173" i="3"/>
  <c r="IH173" i="3"/>
  <c r="II173" i="3"/>
  <c r="IJ173" i="3"/>
  <c r="IK173" i="3"/>
  <c r="IL173" i="3"/>
  <c r="IM173" i="3"/>
  <c r="IN173" i="3"/>
  <c r="IO173" i="3"/>
  <c r="IP173" i="3"/>
  <c r="IQ173" i="3"/>
  <c r="IR173" i="3"/>
  <c r="IS173" i="3"/>
  <c r="IT173" i="3"/>
  <c r="IU173" i="3"/>
  <c r="IV173" i="3"/>
  <c r="A172" i="3"/>
  <c r="B172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Q172" i="3"/>
  <c r="AR172" i="3"/>
  <c r="AS172" i="3"/>
  <c r="AT172" i="3"/>
  <c r="AU172" i="3"/>
  <c r="AV172" i="3"/>
  <c r="AW172" i="3"/>
  <c r="AX172" i="3"/>
  <c r="AY172" i="3"/>
  <c r="AZ172" i="3"/>
  <c r="BA172" i="3"/>
  <c r="BB172" i="3"/>
  <c r="BC172" i="3"/>
  <c r="BD172" i="3"/>
  <c r="BE172" i="3"/>
  <c r="BF172" i="3"/>
  <c r="BG172" i="3"/>
  <c r="BH172" i="3"/>
  <c r="BI172" i="3"/>
  <c r="BJ172" i="3"/>
  <c r="BK172" i="3"/>
  <c r="BL172" i="3"/>
  <c r="BM172" i="3"/>
  <c r="BN172" i="3"/>
  <c r="BO172" i="3"/>
  <c r="BP172" i="3"/>
  <c r="BQ172" i="3"/>
  <c r="BR172" i="3"/>
  <c r="BS172" i="3"/>
  <c r="BT172" i="3"/>
  <c r="BU172" i="3"/>
  <c r="BV172" i="3"/>
  <c r="BW172" i="3"/>
  <c r="BX172" i="3"/>
  <c r="BY172" i="3"/>
  <c r="BZ172" i="3"/>
  <c r="CA172" i="3"/>
  <c r="CB172" i="3"/>
  <c r="CC172" i="3"/>
  <c r="CD172" i="3"/>
  <c r="CE172" i="3"/>
  <c r="CF172" i="3"/>
  <c r="CG172" i="3"/>
  <c r="CH172" i="3"/>
  <c r="CI172" i="3"/>
  <c r="CJ172" i="3"/>
  <c r="CK172" i="3"/>
  <c r="CL172" i="3"/>
  <c r="CM172" i="3"/>
  <c r="CN172" i="3"/>
  <c r="CO172" i="3"/>
  <c r="CP172" i="3"/>
  <c r="CQ172" i="3"/>
  <c r="CR172" i="3"/>
  <c r="CS172" i="3"/>
  <c r="CT172" i="3"/>
  <c r="CU172" i="3"/>
  <c r="CV172" i="3"/>
  <c r="CW172" i="3"/>
  <c r="CX172" i="3"/>
  <c r="CY172" i="3"/>
  <c r="CZ172" i="3"/>
  <c r="DA172" i="3"/>
  <c r="DB172" i="3"/>
  <c r="DC172" i="3"/>
  <c r="DD172" i="3"/>
  <c r="DE172" i="3"/>
  <c r="DF172" i="3"/>
  <c r="DG172" i="3"/>
  <c r="DH172" i="3"/>
  <c r="DI172" i="3"/>
  <c r="DJ172" i="3"/>
  <c r="DK172" i="3"/>
  <c r="DL172" i="3"/>
  <c r="DM172" i="3"/>
  <c r="DN172" i="3"/>
  <c r="DO172" i="3"/>
  <c r="DP172" i="3"/>
  <c r="DQ172" i="3"/>
  <c r="DR172" i="3"/>
  <c r="DS172" i="3"/>
  <c r="DT172" i="3"/>
  <c r="DU172" i="3"/>
  <c r="DV172" i="3"/>
  <c r="DW172" i="3"/>
  <c r="DX172" i="3"/>
  <c r="DY172" i="3"/>
  <c r="DZ172" i="3"/>
  <c r="EA172" i="3"/>
  <c r="EB172" i="3"/>
  <c r="EC172" i="3"/>
  <c r="ED172" i="3"/>
  <c r="EE172" i="3"/>
  <c r="EF172" i="3"/>
  <c r="EG172" i="3"/>
  <c r="EH172" i="3"/>
  <c r="EI172" i="3"/>
  <c r="EJ172" i="3"/>
  <c r="EK172" i="3"/>
  <c r="EL172" i="3"/>
  <c r="EM172" i="3"/>
  <c r="EN172" i="3"/>
  <c r="EO172" i="3"/>
  <c r="EP172" i="3"/>
  <c r="EQ172" i="3"/>
  <c r="ER172" i="3"/>
  <c r="ES172" i="3"/>
  <c r="ET172" i="3"/>
  <c r="EU172" i="3"/>
  <c r="EV172" i="3"/>
  <c r="EW172" i="3"/>
  <c r="EX172" i="3"/>
  <c r="EY172" i="3"/>
  <c r="EZ172" i="3"/>
  <c r="FA172" i="3"/>
  <c r="FB172" i="3"/>
  <c r="FC172" i="3"/>
  <c r="FD172" i="3"/>
  <c r="FE172" i="3"/>
  <c r="FF172" i="3"/>
  <c r="FG172" i="3"/>
  <c r="FH172" i="3"/>
  <c r="FI172" i="3"/>
  <c r="FJ172" i="3"/>
  <c r="FK172" i="3"/>
  <c r="FL172" i="3"/>
  <c r="FM172" i="3"/>
  <c r="FN172" i="3"/>
  <c r="FO172" i="3"/>
  <c r="FP172" i="3"/>
  <c r="FQ172" i="3"/>
  <c r="FR172" i="3"/>
  <c r="FS172" i="3"/>
  <c r="FT172" i="3"/>
  <c r="FU172" i="3"/>
  <c r="FV172" i="3"/>
  <c r="FW172" i="3"/>
  <c r="FX172" i="3"/>
  <c r="FY172" i="3"/>
  <c r="FZ172" i="3"/>
  <c r="GA172" i="3"/>
  <c r="GB172" i="3"/>
  <c r="GC172" i="3"/>
  <c r="GD172" i="3"/>
  <c r="GE172" i="3"/>
  <c r="GF172" i="3"/>
  <c r="GG172" i="3"/>
  <c r="GH172" i="3"/>
  <c r="GI172" i="3"/>
  <c r="GJ172" i="3"/>
  <c r="GK172" i="3"/>
  <c r="GL172" i="3"/>
  <c r="GM172" i="3"/>
  <c r="GN172" i="3"/>
  <c r="GO172" i="3"/>
  <c r="GP172" i="3"/>
  <c r="GQ172" i="3"/>
  <c r="GR172" i="3"/>
  <c r="GS172" i="3"/>
  <c r="GT172" i="3"/>
  <c r="GU172" i="3"/>
  <c r="GV172" i="3"/>
  <c r="GW172" i="3"/>
  <c r="GX172" i="3"/>
  <c r="GY172" i="3"/>
  <c r="GZ172" i="3"/>
  <c r="HA172" i="3"/>
  <c r="HB172" i="3"/>
  <c r="HC172" i="3"/>
  <c r="HD172" i="3"/>
  <c r="HE172" i="3"/>
  <c r="HF172" i="3"/>
  <c r="HG172" i="3"/>
  <c r="HH172" i="3"/>
  <c r="HI172" i="3"/>
  <c r="HJ172" i="3"/>
  <c r="HK172" i="3"/>
  <c r="HL172" i="3"/>
  <c r="HM172" i="3"/>
  <c r="HN172" i="3"/>
  <c r="HO172" i="3"/>
  <c r="HP172" i="3"/>
  <c r="HQ172" i="3"/>
  <c r="HR172" i="3"/>
  <c r="HS172" i="3"/>
  <c r="HT172" i="3"/>
  <c r="HU172" i="3"/>
  <c r="HV172" i="3"/>
  <c r="HW172" i="3"/>
  <c r="HX172" i="3"/>
  <c r="HY172" i="3"/>
  <c r="HZ172" i="3"/>
  <c r="IA172" i="3"/>
  <c r="IB172" i="3"/>
  <c r="IC172" i="3"/>
  <c r="ID172" i="3"/>
  <c r="IE172" i="3"/>
  <c r="IF172" i="3"/>
  <c r="IG172" i="3"/>
  <c r="IH172" i="3"/>
  <c r="II172" i="3"/>
  <c r="IJ172" i="3"/>
  <c r="IK172" i="3"/>
  <c r="IL172" i="3"/>
  <c r="IM172" i="3"/>
  <c r="IN172" i="3"/>
  <c r="IO172" i="3"/>
  <c r="IP172" i="3"/>
  <c r="IQ172" i="3"/>
  <c r="IR172" i="3"/>
  <c r="IS172" i="3"/>
  <c r="IT172" i="3"/>
  <c r="IU172" i="3"/>
  <c r="IV172" i="3"/>
  <c r="A171" i="3"/>
  <c r="B171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Q171" i="3"/>
  <c r="AR171" i="3"/>
  <c r="AS171" i="3"/>
  <c r="AT171" i="3"/>
  <c r="AU171" i="3"/>
  <c r="AV171" i="3"/>
  <c r="AW171" i="3"/>
  <c r="AX171" i="3"/>
  <c r="AY171" i="3"/>
  <c r="AZ171" i="3"/>
  <c r="BA171" i="3"/>
  <c r="BB171" i="3"/>
  <c r="BC171" i="3"/>
  <c r="BD171" i="3"/>
  <c r="BE171" i="3"/>
  <c r="BF171" i="3"/>
  <c r="BG171" i="3"/>
  <c r="BH171" i="3"/>
  <c r="BI171" i="3"/>
  <c r="BJ171" i="3"/>
  <c r="BK171" i="3"/>
  <c r="BL171" i="3"/>
  <c r="BM171" i="3"/>
  <c r="BN171" i="3"/>
  <c r="BO171" i="3"/>
  <c r="BP171" i="3"/>
  <c r="BQ171" i="3"/>
  <c r="BR171" i="3"/>
  <c r="BS171" i="3"/>
  <c r="BT171" i="3"/>
  <c r="BU171" i="3"/>
  <c r="BV171" i="3"/>
  <c r="BW171" i="3"/>
  <c r="BX171" i="3"/>
  <c r="BY171" i="3"/>
  <c r="BZ171" i="3"/>
  <c r="CA171" i="3"/>
  <c r="CB171" i="3"/>
  <c r="CC171" i="3"/>
  <c r="CD171" i="3"/>
  <c r="CE171" i="3"/>
  <c r="CF171" i="3"/>
  <c r="CG171" i="3"/>
  <c r="CH171" i="3"/>
  <c r="CI171" i="3"/>
  <c r="CJ171" i="3"/>
  <c r="CK171" i="3"/>
  <c r="CL171" i="3"/>
  <c r="CM171" i="3"/>
  <c r="CN171" i="3"/>
  <c r="CO171" i="3"/>
  <c r="CP171" i="3"/>
  <c r="CQ171" i="3"/>
  <c r="CR171" i="3"/>
  <c r="CS171" i="3"/>
  <c r="CT171" i="3"/>
  <c r="CU171" i="3"/>
  <c r="CV171" i="3"/>
  <c r="CW171" i="3"/>
  <c r="CX171" i="3"/>
  <c r="CY171" i="3"/>
  <c r="CZ171" i="3"/>
  <c r="DA171" i="3"/>
  <c r="DB171" i="3"/>
  <c r="DC171" i="3"/>
  <c r="DD171" i="3"/>
  <c r="DE171" i="3"/>
  <c r="DF171" i="3"/>
  <c r="DG171" i="3"/>
  <c r="DH171" i="3"/>
  <c r="DI171" i="3"/>
  <c r="DJ171" i="3"/>
  <c r="DK171" i="3"/>
  <c r="DL171" i="3"/>
  <c r="DM171" i="3"/>
  <c r="DN171" i="3"/>
  <c r="DO171" i="3"/>
  <c r="DP171" i="3"/>
  <c r="DQ171" i="3"/>
  <c r="DR171" i="3"/>
  <c r="DS171" i="3"/>
  <c r="DT171" i="3"/>
  <c r="DU171" i="3"/>
  <c r="DV171" i="3"/>
  <c r="DW171" i="3"/>
  <c r="DX171" i="3"/>
  <c r="DY171" i="3"/>
  <c r="DZ171" i="3"/>
  <c r="EA171" i="3"/>
  <c r="EB171" i="3"/>
  <c r="EC171" i="3"/>
  <c r="ED171" i="3"/>
  <c r="EE171" i="3"/>
  <c r="EF171" i="3"/>
  <c r="EG171" i="3"/>
  <c r="EH171" i="3"/>
  <c r="EI171" i="3"/>
  <c r="EJ171" i="3"/>
  <c r="EK171" i="3"/>
  <c r="EL171" i="3"/>
  <c r="EM171" i="3"/>
  <c r="EN171" i="3"/>
  <c r="EO171" i="3"/>
  <c r="EP171" i="3"/>
  <c r="EQ171" i="3"/>
  <c r="ER171" i="3"/>
  <c r="ES171" i="3"/>
  <c r="ET171" i="3"/>
  <c r="EU171" i="3"/>
  <c r="EV171" i="3"/>
  <c r="EW171" i="3"/>
  <c r="EX171" i="3"/>
  <c r="EY171" i="3"/>
  <c r="EZ171" i="3"/>
  <c r="FA171" i="3"/>
  <c r="FB171" i="3"/>
  <c r="FC171" i="3"/>
  <c r="FD171" i="3"/>
  <c r="FE171" i="3"/>
  <c r="FF171" i="3"/>
  <c r="FG171" i="3"/>
  <c r="FH171" i="3"/>
  <c r="FI171" i="3"/>
  <c r="FJ171" i="3"/>
  <c r="FK171" i="3"/>
  <c r="FL171" i="3"/>
  <c r="FM171" i="3"/>
  <c r="FN171" i="3"/>
  <c r="FO171" i="3"/>
  <c r="FP171" i="3"/>
  <c r="FQ171" i="3"/>
  <c r="FR171" i="3"/>
  <c r="FS171" i="3"/>
  <c r="FT171" i="3"/>
  <c r="FU171" i="3"/>
  <c r="FV171" i="3"/>
  <c r="FW171" i="3"/>
  <c r="FX171" i="3"/>
  <c r="FY171" i="3"/>
  <c r="FZ171" i="3"/>
  <c r="GA171" i="3"/>
  <c r="GB171" i="3"/>
  <c r="GC171" i="3"/>
  <c r="GD171" i="3"/>
  <c r="GE171" i="3"/>
  <c r="GF171" i="3"/>
  <c r="GG171" i="3"/>
  <c r="GH171" i="3"/>
  <c r="GI171" i="3"/>
  <c r="GJ171" i="3"/>
  <c r="GK171" i="3"/>
  <c r="GL171" i="3"/>
  <c r="GM171" i="3"/>
  <c r="GN171" i="3"/>
  <c r="GO171" i="3"/>
  <c r="GP171" i="3"/>
  <c r="GQ171" i="3"/>
  <c r="GR171" i="3"/>
  <c r="GS171" i="3"/>
  <c r="GT171" i="3"/>
  <c r="GU171" i="3"/>
  <c r="GV171" i="3"/>
  <c r="GW171" i="3"/>
  <c r="GX171" i="3"/>
  <c r="GY171" i="3"/>
  <c r="GZ171" i="3"/>
  <c r="HA171" i="3"/>
  <c r="HB171" i="3"/>
  <c r="HC171" i="3"/>
  <c r="HD171" i="3"/>
  <c r="HE171" i="3"/>
  <c r="HF171" i="3"/>
  <c r="HG171" i="3"/>
  <c r="HH171" i="3"/>
  <c r="HI171" i="3"/>
  <c r="HJ171" i="3"/>
  <c r="HK171" i="3"/>
  <c r="HL171" i="3"/>
  <c r="HM171" i="3"/>
  <c r="HN171" i="3"/>
  <c r="HO171" i="3"/>
  <c r="HP171" i="3"/>
  <c r="HQ171" i="3"/>
  <c r="HR171" i="3"/>
  <c r="HS171" i="3"/>
  <c r="HT171" i="3"/>
  <c r="HU171" i="3"/>
  <c r="HV171" i="3"/>
  <c r="HW171" i="3"/>
  <c r="HX171" i="3"/>
  <c r="HY171" i="3"/>
  <c r="HZ171" i="3"/>
  <c r="IA171" i="3"/>
  <c r="IB171" i="3"/>
  <c r="IC171" i="3"/>
  <c r="ID171" i="3"/>
  <c r="IE171" i="3"/>
  <c r="IF171" i="3"/>
  <c r="IG171" i="3"/>
  <c r="IH171" i="3"/>
  <c r="II171" i="3"/>
  <c r="IJ171" i="3"/>
  <c r="IK171" i="3"/>
  <c r="IL171" i="3"/>
  <c r="IM171" i="3"/>
  <c r="IN171" i="3"/>
  <c r="IO171" i="3"/>
  <c r="IP171" i="3"/>
  <c r="IQ171" i="3"/>
  <c r="IR171" i="3"/>
  <c r="IS171" i="3"/>
  <c r="IT171" i="3"/>
  <c r="IU171" i="3"/>
  <c r="IV171" i="3"/>
  <c r="A170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AQ170" i="3"/>
  <c r="AR170" i="3"/>
  <c r="AS170" i="3"/>
  <c r="AT170" i="3"/>
  <c r="AU170" i="3"/>
  <c r="AV170" i="3"/>
  <c r="AW170" i="3"/>
  <c r="AX170" i="3"/>
  <c r="AY170" i="3"/>
  <c r="AZ170" i="3"/>
  <c r="BA170" i="3"/>
  <c r="BB170" i="3"/>
  <c r="BC170" i="3"/>
  <c r="BD170" i="3"/>
  <c r="BE170" i="3"/>
  <c r="BF170" i="3"/>
  <c r="BG170" i="3"/>
  <c r="BH170" i="3"/>
  <c r="BI170" i="3"/>
  <c r="BJ170" i="3"/>
  <c r="BK170" i="3"/>
  <c r="BL170" i="3"/>
  <c r="BM170" i="3"/>
  <c r="BN170" i="3"/>
  <c r="BO170" i="3"/>
  <c r="BP170" i="3"/>
  <c r="BQ170" i="3"/>
  <c r="BR170" i="3"/>
  <c r="BS170" i="3"/>
  <c r="BT170" i="3"/>
  <c r="BU170" i="3"/>
  <c r="BV170" i="3"/>
  <c r="BW170" i="3"/>
  <c r="BX170" i="3"/>
  <c r="BY170" i="3"/>
  <c r="BZ170" i="3"/>
  <c r="CA170" i="3"/>
  <c r="CB170" i="3"/>
  <c r="CC170" i="3"/>
  <c r="CD170" i="3"/>
  <c r="CE170" i="3"/>
  <c r="CF170" i="3"/>
  <c r="CG170" i="3"/>
  <c r="CH170" i="3"/>
  <c r="CI170" i="3"/>
  <c r="CJ170" i="3"/>
  <c r="CK170" i="3"/>
  <c r="CL170" i="3"/>
  <c r="CM170" i="3"/>
  <c r="CN170" i="3"/>
  <c r="CO170" i="3"/>
  <c r="CP170" i="3"/>
  <c r="CQ170" i="3"/>
  <c r="CR170" i="3"/>
  <c r="CS170" i="3"/>
  <c r="CT170" i="3"/>
  <c r="CU170" i="3"/>
  <c r="CV170" i="3"/>
  <c r="CW170" i="3"/>
  <c r="CX170" i="3"/>
  <c r="CY170" i="3"/>
  <c r="CZ170" i="3"/>
  <c r="DA170" i="3"/>
  <c r="DB170" i="3"/>
  <c r="DC170" i="3"/>
  <c r="DD170" i="3"/>
  <c r="DE170" i="3"/>
  <c r="DF170" i="3"/>
  <c r="DG170" i="3"/>
  <c r="DH170" i="3"/>
  <c r="DI170" i="3"/>
  <c r="DJ170" i="3"/>
  <c r="DK170" i="3"/>
  <c r="DL170" i="3"/>
  <c r="DM170" i="3"/>
  <c r="DN170" i="3"/>
  <c r="DO170" i="3"/>
  <c r="DP170" i="3"/>
  <c r="DQ170" i="3"/>
  <c r="DR170" i="3"/>
  <c r="DS170" i="3"/>
  <c r="DT170" i="3"/>
  <c r="DU170" i="3"/>
  <c r="DV170" i="3"/>
  <c r="DW170" i="3"/>
  <c r="DX170" i="3"/>
  <c r="DY170" i="3"/>
  <c r="DZ170" i="3"/>
  <c r="EA170" i="3"/>
  <c r="EB170" i="3"/>
  <c r="EC170" i="3"/>
  <c r="ED170" i="3"/>
  <c r="EE170" i="3"/>
  <c r="EF170" i="3"/>
  <c r="EG170" i="3"/>
  <c r="EH170" i="3"/>
  <c r="EI170" i="3"/>
  <c r="EJ170" i="3"/>
  <c r="EK170" i="3"/>
  <c r="EL170" i="3"/>
  <c r="EM170" i="3"/>
  <c r="EN170" i="3"/>
  <c r="EO170" i="3"/>
  <c r="EP170" i="3"/>
  <c r="EQ170" i="3"/>
  <c r="ER170" i="3"/>
  <c r="ES170" i="3"/>
  <c r="ET170" i="3"/>
  <c r="EU170" i="3"/>
  <c r="EV170" i="3"/>
  <c r="EW170" i="3"/>
  <c r="EX170" i="3"/>
  <c r="EY170" i="3"/>
  <c r="EZ170" i="3"/>
  <c r="FA170" i="3"/>
  <c r="FB170" i="3"/>
  <c r="FC170" i="3"/>
  <c r="FD170" i="3"/>
  <c r="FE170" i="3"/>
  <c r="FF170" i="3"/>
  <c r="FG170" i="3"/>
  <c r="FH170" i="3"/>
  <c r="FI170" i="3"/>
  <c r="FJ170" i="3"/>
  <c r="FK170" i="3"/>
  <c r="FL170" i="3"/>
  <c r="FM170" i="3"/>
  <c r="FN170" i="3"/>
  <c r="FO170" i="3"/>
  <c r="FP170" i="3"/>
  <c r="FQ170" i="3"/>
  <c r="FR170" i="3"/>
  <c r="FS170" i="3"/>
  <c r="FT170" i="3"/>
  <c r="FU170" i="3"/>
  <c r="FV170" i="3"/>
  <c r="FW170" i="3"/>
  <c r="FX170" i="3"/>
  <c r="FY170" i="3"/>
  <c r="FZ170" i="3"/>
  <c r="GA170" i="3"/>
  <c r="GB170" i="3"/>
  <c r="GC170" i="3"/>
  <c r="GD170" i="3"/>
  <c r="GE170" i="3"/>
  <c r="GF170" i="3"/>
  <c r="GG170" i="3"/>
  <c r="GH170" i="3"/>
  <c r="GI170" i="3"/>
  <c r="GJ170" i="3"/>
  <c r="GK170" i="3"/>
  <c r="GL170" i="3"/>
  <c r="GM170" i="3"/>
  <c r="GN170" i="3"/>
  <c r="GO170" i="3"/>
  <c r="GP170" i="3"/>
  <c r="GQ170" i="3"/>
  <c r="GR170" i="3"/>
  <c r="GS170" i="3"/>
  <c r="GT170" i="3"/>
  <c r="GU170" i="3"/>
  <c r="GV170" i="3"/>
  <c r="GW170" i="3"/>
  <c r="GX170" i="3"/>
  <c r="GY170" i="3"/>
  <c r="GZ170" i="3"/>
  <c r="HA170" i="3"/>
  <c r="HB170" i="3"/>
  <c r="HC170" i="3"/>
  <c r="HD170" i="3"/>
  <c r="HE170" i="3"/>
  <c r="HF170" i="3"/>
  <c r="HG170" i="3"/>
  <c r="HH170" i="3"/>
  <c r="HI170" i="3"/>
  <c r="HJ170" i="3"/>
  <c r="HK170" i="3"/>
  <c r="HL170" i="3"/>
  <c r="HM170" i="3"/>
  <c r="HN170" i="3"/>
  <c r="HO170" i="3"/>
  <c r="HP170" i="3"/>
  <c r="HQ170" i="3"/>
  <c r="HR170" i="3"/>
  <c r="HS170" i="3"/>
  <c r="HT170" i="3"/>
  <c r="HU170" i="3"/>
  <c r="HV170" i="3"/>
  <c r="HW170" i="3"/>
  <c r="HX170" i="3"/>
  <c r="HY170" i="3"/>
  <c r="HZ170" i="3"/>
  <c r="IA170" i="3"/>
  <c r="IB170" i="3"/>
  <c r="IC170" i="3"/>
  <c r="ID170" i="3"/>
  <c r="IE170" i="3"/>
  <c r="IF170" i="3"/>
  <c r="IG170" i="3"/>
  <c r="IH170" i="3"/>
  <c r="II170" i="3"/>
  <c r="IJ170" i="3"/>
  <c r="IK170" i="3"/>
  <c r="IL170" i="3"/>
  <c r="IM170" i="3"/>
  <c r="IN170" i="3"/>
  <c r="IO170" i="3"/>
  <c r="IP170" i="3"/>
  <c r="IQ170" i="3"/>
  <c r="IR170" i="3"/>
  <c r="IS170" i="3"/>
  <c r="IT170" i="3"/>
  <c r="IU170" i="3"/>
  <c r="IV170" i="3"/>
  <c r="A169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AA169" i="3"/>
  <c r="AB169" i="3"/>
  <c r="AC169" i="3"/>
  <c r="AD169" i="3"/>
  <c r="AE169" i="3"/>
  <c r="AF169" i="3"/>
  <c r="AG169" i="3"/>
  <c r="AH169" i="3"/>
  <c r="AI169" i="3"/>
  <c r="AJ169" i="3"/>
  <c r="AK169" i="3"/>
  <c r="AL169" i="3"/>
  <c r="AM169" i="3"/>
  <c r="AN169" i="3"/>
  <c r="AO169" i="3"/>
  <c r="AP169" i="3"/>
  <c r="AQ169" i="3"/>
  <c r="AR169" i="3"/>
  <c r="AS169" i="3"/>
  <c r="AT169" i="3"/>
  <c r="AU169" i="3"/>
  <c r="AV169" i="3"/>
  <c r="AW169" i="3"/>
  <c r="AX169" i="3"/>
  <c r="AY169" i="3"/>
  <c r="AZ169" i="3"/>
  <c r="BA169" i="3"/>
  <c r="BB169" i="3"/>
  <c r="BC169" i="3"/>
  <c r="BD169" i="3"/>
  <c r="BE169" i="3"/>
  <c r="BF169" i="3"/>
  <c r="BG169" i="3"/>
  <c r="BH169" i="3"/>
  <c r="BI169" i="3"/>
  <c r="BJ169" i="3"/>
  <c r="BK169" i="3"/>
  <c r="BL169" i="3"/>
  <c r="BM169" i="3"/>
  <c r="BN169" i="3"/>
  <c r="BO169" i="3"/>
  <c r="BP169" i="3"/>
  <c r="BQ169" i="3"/>
  <c r="BR169" i="3"/>
  <c r="BS169" i="3"/>
  <c r="BT169" i="3"/>
  <c r="BU169" i="3"/>
  <c r="BV169" i="3"/>
  <c r="BW169" i="3"/>
  <c r="BX169" i="3"/>
  <c r="BY169" i="3"/>
  <c r="BZ169" i="3"/>
  <c r="CA169" i="3"/>
  <c r="CB169" i="3"/>
  <c r="CC169" i="3"/>
  <c r="CD169" i="3"/>
  <c r="CE169" i="3"/>
  <c r="CF169" i="3"/>
  <c r="CG169" i="3"/>
  <c r="CH169" i="3"/>
  <c r="CI169" i="3"/>
  <c r="CJ169" i="3"/>
  <c r="CK169" i="3"/>
  <c r="CL169" i="3"/>
  <c r="CM169" i="3"/>
  <c r="CN169" i="3"/>
  <c r="CO169" i="3"/>
  <c r="CP169" i="3"/>
  <c r="CQ169" i="3"/>
  <c r="CR169" i="3"/>
  <c r="CS169" i="3"/>
  <c r="CT169" i="3"/>
  <c r="CU169" i="3"/>
  <c r="CV169" i="3"/>
  <c r="CW169" i="3"/>
  <c r="CX169" i="3"/>
  <c r="CY169" i="3"/>
  <c r="CZ169" i="3"/>
  <c r="DA169" i="3"/>
  <c r="DB169" i="3"/>
  <c r="DC169" i="3"/>
  <c r="DD169" i="3"/>
  <c r="DE169" i="3"/>
  <c r="DF169" i="3"/>
  <c r="DG169" i="3"/>
  <c r="DH169" i="3"/>
  <c r="DI169" i="3"/>
  <c r="DJ169" i="3"/>
  <c r="DK169" i="3"/>
  <c r="DL169" i="3"/>
  <c r="DM169" i="3"/>
  <c r="DN169" i="3"/>
  <c r="DO169" i="3"/>
  <c r="DP169" i="3"/>
  <c r="DQ169" i="3"/>
  <c r="DR169" i="3"/>
  <c r="DS169" i="3"/>
  <c r="DT169" i="3"/>
  <c r="DU169" i="3"/>
  <c r="DV169" i="3"/>
  <c r="DW169" i="3"/>
  <c r="DX169" i="3"/>
  <c r="DY169" i="3"/>
  <c r="DZ169" i="3"/>
  <c r="EA169" i="3"/>
  <c r="EB169" i="3"/>
  <c r="EC169" i="3"/>
  <c r="ED169" i="3"/>
  <c r="EE169" i="3"/>
  <c r="EF169" i="3"/>
  <c r="EG169" i="3"/>
  <c r="EH169" i="3"/>
  <c r="EI169" i="3"/>
  <c r="EJ169" i="3"/>
  <c r="EK169" i="3"/>
  <c r="EL169" i="3"/>
  <c r="EM169" i="3"/>
  <c r="EN169" i="3"/>
  <c r="EO169" i="3"/>
  <c r="EP169" i="3"/>
  <c r="EQ169" i="3"/>
  <c r="ER169" i="3"/>
  <c r="ES169" i="3"/>
  <c r="ET169" i="3"/>
  <c r="EU169" i="3"/>
  <c r="EV169" i="3"/>
  <c r="EW169" i="3"/>
  <c r="EX169" i="3"/>
  <c r="EY169" i="3"/>
  <c r="EZ169" i="3"/>
  <c r="FA169" i="3"/>
  <c r="FB169" i="3"/>
  <c r="FC169" i="3"/>
  <c r="FD169" i="3"/>
  <c r="FE169" i="3"/>
  <c r="FF169" i="3"/>
  <c r="FG169" i="3"/>
  <c r="FH169" i="3"/>
  <c r="FI169" i="3"/>
  <c r="FJ169" i="3"/>
  <c r="FK169" i="3"/>
  <c r="FL169" i="3"/>
  <c r="FM169" i="3"/>
  <c r="FN169" i="3"/>
  <c r="FO169" i="3"/>
  <c r="FP169" i="3"/>
  <c r="FQ169" i="3"/>
  <c r="FR169" i="3"/>
  <c r="FS169" i="3"/>
  <c r="FT169" i="3"/>
  <c r="FU169" i="3"/>
  <c r="FV169" i="3"/>
  <c r="FW169" i="3"/>
  <c r="FX169" i="3"/>
  <c r="FY169" i="3"/>
  <c r="FZ169" i="3"/>
  <c r="GA169" i="3"/>
  <c r="GB169" i="3"/>
  <c r="GC169" i="3"/>
  <c r="GD169" i="3"/>
  <c r="GE169" i="3"/>
  <c r="GF169" i="3"/>
  <c r="GG169" i="3"/>
  <c r="GH169" i="3"/>
  <c r="GI169" i="3"/>
  <c r="GJ169" i="3"/>
  <c r="GK169" i="3"/>
  <c r="GL169" i="3"/>
  <c r="GM169" i="3"/>
  <c r="GN169" i="3"/>
  <c r="GO169" i="3"/>
  <c r="GP169" i="3"/>
  <c r="GQ169" i="3"/>
  <c r="GR169" i="3"/>
  <c r="GS169" i="3"/>
  <c r="GT169" i="3"/>
  <c r="GU169" i="3"/>
  <c r="GV169" i="3"/>
  <c r="GW169" i="3"/>
  <c r="GX169" i="3"/>
  <c r="GY169" i="3"/>
  <c r="GZ169" i="3"/>
  <c r="HA169" i="3"/>
  <c r="HB169" i="3"/>
  <c r="HC169" i="3"/>
  <c r="HD169" i="3"/>
  <c r="HE169" i="3"/>
  <c r="HF169" i="3"/>
  <c r="HG169" i="3"/>
  <c r="HH169" i="3"/>
  <c r="HI169" i="3"/>
  <c r="HJ169" i="3"/>
  <c r="HK169" i="3"/>
  <c r="HL169" i="3"/>
  <c r="HM169" i="3"/>
  <c r="HN169" i="3"/>
  <c r="HO169" i="3"/>
  <c r="HP169" i="3"/>
  <c r="HQ169" i="3"/>
  <c r="HR169" i="3"/>
  <c r="HS169" i="3"/>
  <c r="HT169" i="3"/>
  <c r="HU169" i="3"/>
  <c r="HV169" i="3"/>
  <c r="HW169" i="3"/>
  <c r="HX169" i="3"/>
  <c r="HY169" i="3"/>
  <c r="HZ169" i="3"/>
  <c r="IA169" i="3"/>
  <c r="IB169" i="3"/>
  <c r="IC169" i="3"/>
  <c r="ID169" i="3"/>
  <c r="IE169" i="3"/>
  <c r="IF169" i="3"/>
  <c r="IG169" i="3"/>
  <c r="IH169" i="3"/>
  <c r="II169" i="3"/>
  <c r="IJ169" i="3"/>
  <c r="IK169" i="3"/>
  <c r="IL169" i="3"/>
  <c r="IM169" i="3"/>
  <c r="IN169" i="3"/>
  <c r="IO169" i="3"/>
  <c r="IP169" i="3"/>
  <c r="IQ169" i="3"/>
  <c r="IR169" i="3"/>
  <c r="IS169" i="3"/>
  <c r="IT169" i="3"/>
  <c r="IU169" i="3"/>
  <c r="IV169" i="3"/>
  <c r="A168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Y168" i="3"/>
  <c r="Z168" i="3"/>
  <c r="AA168" i="3"/>
  <c r="AB168" i="3"/>
  <c r="AC168" i="3"/>
  <c r="AD168" i="3"/>
  <c r="AE168" i="3"/>
  <c r="AF168" i="3"/>
  <c r="AG168" i="3"/>
  <c r="AH168" i="3"/>
  <c r="AI168" i="3"/>
  <c r="AJ168" i="3"/>
  <c r="AK168" i="3"/>
  <c r="AL168" i="3"/>
  <c r="AM168" i="3"/>
  <c r="AN168" i="3"/>
  <c r="AO168" i="3"/>
  <c r="AP168" i="3"/>
  <c r="AQ168" i="3"/>
  <c r="AR168" i="3"/>
  <c r="AS168" i="3"/>
  <c r="AT168" i="3"/>
  <c r="AU168" i="3"/>
  <c r="AV168" i="3"/>
  <c r="AW168" i="3"/>
  <c r="AX168" i="3"/>
  <c r="AY168" i="3"/>
  <c r="AZ168" i="3"/>
  <c r="BA168" i="3"/>
  <c r="BB168" i="3"/>
  <c r="BC168" i="3"/>
  <c r="BD168" i="3"/>
  <c r="BE168" i="3"/>
  <c r="BF168" i="3"/>
  <c r="BG168" i="3"/>
  <c r="BH168" i="3"/>
  <c r="BI168" i="3"/>
  <c r="BJ168" i="3"/>
  <c r="BK168" i="3"/>
  <c r="BL168" i="3"/>
  <c r="BM168" i="3"/>
  <c r="BN168" i="3"/>
  <c r="BO168" i="3"/>
  <c r="BP168" i="3"/>
  <c r="BQ168" i="3"/>
  <c r="BR168" i="3"/>
  <c r="BS168" i="3"/>
  <c r="BT168" i="3"/>
  <c r="BU168" i="3"/>
  <c r="BV168" i="3"/>
  <c r="BW168" i="3"/>
  <c r="BX168" i="3"/>
  <c r="BY168" i="3"/>
  <c r="BZ168" i="3"/>
  <c r="CA168" i="3"/>
  <c r="CB168" i="3"/>
  <c r="CC168" i="3"/>
  <c r="CD168" i="3"/>
  <c r="CE168" i="3"/>
  <c r="CF168" i="3"/>
  <c r="CG168" i="3"/>
  <c r="CH168" i="3"/>
  <c r="CI168" i="3"/>
  <c r="CJ168" i="3"/>
  <c r="CK168" i="3"/>
  <c r="CL168" i="3"/>
  <c r="CM168" i="3"/>
  <c r="CN168" i="3"/>
  <c r="CO168" i="3"/>
  <c r="CP168" i="3"/>
  <c r="CQ168" i="3"/>
  <c r="CR168" i="3"/>
  <c r="CS168" i="3"/>
  <c r="CT168" i="3"/>
  <c r="CU168" i="3"/>
  <c r="CV168" i="3"/>
  <c r="CW168" i="3"/>
  <c r="CX168" i="3"/>
  <c r="CY168" i="3"/>
  <c r="CZ168" i="3"/>
  <c r="DA168" i="3"/>
  <c r="DB168" i="3"/>
  <c r="DC168" i="3"/>
  <c r="DD168" i="3"/>
  <c r="DE168" i="3"/>
  <c r="DF168" i="3"/>
  <c r="DG168" i="3"/>
  <c r="DH168" i="3"/>
  <c r="DI168" i="3"/>
  <c r="DJ168" i="3"/>
  <c r="DK168" i="3"/>
  <c r="DL168" i="3"/>
  <c r="DM168" i="3"/>
  <c r="DN168" i="3"/>
  <c r="DO168" i="3"/>
  <c r="DP168" i="3"/>
  <c r="DQ168" i="3"/>
  <c r="DR168" i="3"/>
  <c r="DS168" i="3"/>
  <c r="DT168" i="3"/>
  <c r="DU168" i="3"/>
  <c r="DV168" i="3"/>
  <c r="DW168" i="3"/>
  <c r="DX168" i="3"/>
  <c r="DY168" i="3"/>
  <c r="DZ168" i="3"/>
  <c r="EA168" i="3"/>
  <c r="EB168" i="3"/>
  <c r="EC168" i="3"/>
  <c r="ED168" i="3"/>
  <c r="EE168" i="3"/>
  <c r="EF168" i="3"/>
  <c r="EG168" i="3"/>
  <c r="EH168" i="3"/>
  <c r="EI168" i="3"/>
  <c r="EJ168" i="3"/>
  <c r="EK168" i="3"/>
  <c r="EL168" i="3"/>
  <c r="EM168" i="3"/>
  <c r="EN168" i="3"/>
  <c r="EO168" i="3"/>
  <c r="EP168" i="3"/>
  <c r="EQ168" i="3"/>
  <c r="ER168" i="3"/>
  <c r="ES168" i="3"/>
  <c r="ET168" i="3"/>
  <c r="EU168" i="3"/>
  <c r="EV168" i="3"/>
  <c r="EW168" i="3"/>
  <c r="EX168" i="3"/>
  <c r="EY168" i="3"/>
  <c r="EZ168" i="3"/>
  <c r="FA168" i="3"/>
  <c r="FB168" i="3"/>
  <c r="FC168" i="3"/>
  <c r="FD168" i="3"/>
  <c r="FE168" i="3"/>
  <c r="FF168" i="3"/>
  <c r="FG168" i="3"/>
  <c r="FH168" i="3"/>
  <c r="FI168" i="3"/>
  <c r="FJ168" i="3"/>
  <c r="FK168" i="3"/>
  <c r="FL168" i="3"/>
  <c r="FM168" i="3"/>
  <c r="FN168" i="3"/>
  <c r="FO168" i="3"/>
  <c r="FP168" i="3"/>
  <c r="FQ168" i="3"/>
  <c r="FR168" i="3"/>
  <c r="FS168" i="3"/>
  <c r="FT168" i="3"/>
  <c r="FU168" i="3"/>
  <c r="FV168" i="3"/>
  <c r="FW168" i="3"/>
  <c r="FX168" i="3"/>
  <c r="FY168" i="3"/>
  <c r="FZ168" i="3"/>
  <c r="GA168" i="3"/>
  <c r="GB168" i="3"/>
  <c r="GC168" i="3"/>
  <c r="GD168" i="3"/>
  <c r="GE168" i="3"/>
  <c r="GF168" i="3"/>
  <c r="GG168" i="3"/>
  <c r="GH168" i="3"/>
  <c r="GI168" i="3"/>
  <c r="GJ168" i="3"/>
  <c r="GK168" i="3"/>
  <c r="GL168" i="3"/>
  <c r="GM168" i="3"/>
  <c r="GN168" i="3"/>
  <c r="GO168" i="3"/>
  <c r="GP168" i="3"/>
  <c r="GQ168" i="3"/>
  <c r="GR168" i="3"/>
  <c r="GS168" i="3"/>
  <c r="GT168" i="3"/>
  <c r="GU168" i="3"/>
  <c r="GV168" i="3"/>
  <c r="GW168" i="3"/>
  <c r="GX168" i="3"/>
  <c r="GY168" i="3"/>
  <c r="GZ168" i="3"/>
  <c r="HA168" i="3"/>
  <c r="HB168" i="3"/>
  <c r="HC168" i="3"/>
  <c r="HD168" i="3"/>
  <c r="HE168" i="3"/>
  <c r="HF168" i="3"/>
  <c r="HG168" i="3"/>
  <c r="HH168" i="3"/>
  <c r="HI168" i="3"/>
  <c r="HJ168" i="3"/>
  <c r="HK168" i="3"/>
  <c r="HL168" i="3"/>
  <c r="HM168" i="3"/>
  <c r="HN168" i="3"/>
  <c r="HO168" i="3"/>
  <c r="HP168" i="3"/>
  <c r="HQ168" i="3"/>
  <c r="HR168" i="3"/>
  <c r="HS168" i="3"/>
  <c r="HT168" i="3"/>
  <c r="HU168" i="3"/>
  <c r="HV168" i="3"/>
  <c r="HW168" i="3"/>
  <c r="HX168" i="3"/>
  <c r="HY168" i="3"/>
  <c r="HZ168" i="3"/>
  <c r="IA168" i="3"/>
  <c r="IB168" i="3"/>
  <c r="IC168" i="3"/>
  <c r="ID168" i="3"/>
  <c r="IE168" i="3"/>
  <c r="IF168" i="3"/>
  <c r="IG168" i="3"/>
  <c r="IH168" i="3"/>
  <c r="II168" i="3"/>
  <c r="IJ168" i="3"/>
  <c r="IK168" i="3"/>
  <c r="IL168" i="3"/>
  <c r="IM168" i="3"/>
  <c r="IN168" i="3"/>
  <c r="IO168" i="3"/>
  <c r="IP168" i="3"/>
  <c r="IQ168" i="3"/>
  <c r="IR168" i="3"/>
  <c r="IS168" i="3"/>
  <c r="IT168" i="3"/>
  <c r="IU168" i="3"/>
  <c r="IV168" i="3"/>
  <c r="A167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AH167" i="3"/>
  <c r="AI167" i="3"/>
  <c r="AJ167" i="3"/>
  <c r="AK167" i="3"/>
  <c r="AL167" i="3"/>
  <c r="AM167" i="3"/>
  <c r="AN167" i="3"/>
  <c r="AO167" i="3"/>
  <c r="AP167" i="3"/>
  <c r="AQ167" i="3"/>
  <c r="AR167" i="3"/>
  <c r="AS167" i="3"/>
  <c r="AT167" i="3"/>
  <c r="AU167" i="3"/>
  <c r="AV167" i="3"/>
  <c r="AW167" i="3"/>
  <c r="AX167" i="3"/>
  <c r="AY167" i="3"/>
  <c r="AZ167" i="3"/>
  <c r="BA167" i="3"/>
  <c r="BB167" i="3"/>
  <c r="BC167" i="3"/>
  <c r="BD167" i="3"/>
  <c r="BE167" i="3"/>
  <c r="BF167" i="3"/>
  <c r="BG167" i="3"/>
  <c r="BH167" i="3"/>
  <c r="BI167" i="3"/>
  <c r="BJ167" i="3"/>
  <c r="BK167" i="3"/>
  <c r="BL167" i="3"/>
  <c r="BM167" i="3"/>
  <c r="BN167" i="3"/>
  <c r="BO167" i="3"/>
  <c r="BP167" i="3"/>
  <c r="BQ167" i="3"/>
  <c r="BR167" i="3"/>
  <c r="BS167" i="3"/>
  <c r="BT167" i="3"/>
  <c r="BU167" i="3"/>
  <c r="BV167" i="3"/>
  <c r="BW167" i="3"/>
  <c r="BX167" i="3"/>
  <c r="BY167" i="3"/>
  <c r="BZ167" i="3"/>
  <c r="CA167" i="3"/>
  <c r="CB167" i="3"/>
  <c r="CC167" i="3"/>
  <c r="CD167" i="3"/>
  <c r="CE167" i="3"/>
  <c r="CF167" i="3"/>
  <c r="CG167" i="3"/>
  <c r="CH167" i="3"/>
  <c r="CI167" i="3"/>
  <c r="CJ167" i="3"/>
  <c r="CK167" i="3"/>
  <c r="CL167" i="3"/>
  <c r="CM167" i="3"/>
  <c r="CN167" i="3"/>
  <c r="CO167" i="3"/>
  <c r="CP167" i="3"/>
  <c r="CQ167" i="3"/>
  <c r="CR167" i="3"/>
  <c r="CS167" i="3"/>
  <c r="CT167" i="3"/>
  <c r="CU167" i="3"/>
  <c r="CV167" i="3"/>
  <c r="CW167" i="3"/>
  <c r="CX167" i="3"/>
  <c r="CY167" i="3"/>
  <c r="CZ167" i="3"/>
  <c r="DA167" i="3"/>
  <c r="DB167" i="3"/>
  <c r="DC167" i="3"/>
  <c r="DD167" i="3"/>
  <c r="DE167" i="3"/>
  <c r="DF167" i="3"/>
  <c r="DG167" i="3"/>
  <c r="DH167" i="3"/>
  <c r="DI167" i="3"/>
  <c r="DJ167" i="3"/>
  <c r="DK167" i="3"/>
  <c r="DL167" i="3"/>
  <c r="DM167" i="3"/>
  <c r="DN167" i="3"/>
  <c r="DO167" i="3"/>
  <c r="DP167" i="3"/>
  <c r="DQ167" i="3"/>
  <c r="DR167" i="3"/>
  <c r="DS167" i="3"/>
  <c r="DT167" i="3"/>
  <c r="DU167" i="3"/>
  <c r="DV167" i="3"/>
  <c r="DW167" i="3"/>
  <c r="DX167" i="3"/>
  <c r="DY167" i="3"/>
  <c r="DZ167" i="3"/>
  <c r="EA167" i="3"/>
  <c r="EB167" i="3"/>
  <c r="EC167" i="3"/>
  <c r="ED167" i="3"/>
  <c r="EE167" i="3"/>
  <c r="EF167" i="3"/>
  <c r="EG167" i="3"/>
  <c r="EH167" i="3"/>
  <c r="EI167" i="3"/>
  <c r="EJ167" i="3"/>
  <c r="EK167" i="3"/>
  <c r="EL167" i="3"/>
  <c r="EM167" i="3"/>
  <c r="EN167" i="3"/>
  <c r="EO167" i="3"/>
  <c r="EP167" i="3"/>
  <c r="EQ167" i="3"/>
  <c r="ER167" i="3"/>
  <c r="ES167" i="3"/>
  <c r="ET167" i="3"/>
  <c r="EU167" i="3"/>
  <c r="EV167" i="3"/>
  <c r="EW167" i="3"/>
  <c r="EX167" i="3"/>
  <c r="EY167" i="3"/>
  <c r="EZ167" i="3"/>
  <c r="FA167" i="3"/>
  <c r="FB167" i="3"/>
  <c r="FC167" i="3"/>
  <c r="FD167" i="3"/>
  <c r="FE167" i="3"/>
  <c r="FF167" i="3"/>
  <c r="FG167" i="3"/>
  <c r="FH167" i="3"/>
  <c r="FI167" i="3"/>
  <c r="FJ167" i="3"/>
  <c r="FK167" i="3"/>
  <c r="FL167" i="3"/>
  <c r="FM167" i="3"/>
  <c r="FN167" i="3"/>
  <c r="FO167" i="3"/>
  <c r="FP167" i="3"/>
  <c r="FQ167" i="3"/>
  <c r="FR167" i="3"/>
  <c r="FS167" i="3"/>
  <c r="FT167" i="3"/>
  <c r="FU167" i="3"/>
  <c r="FV167" i="3"/>
  <c r="FW167" i="3"/>
  <c r="FX167" i="3"/>
  <c r="FY167" i="3"/>
  <c r="FZ167" i="3"/>
  <c r="GA167" i="3"/>
  <c r="GB167" i="3"/>
  <c r="GC167" i="3"/>
  <c r="GD167" i="3"/>
  <c r="GE167" i="3"/>
  <c r="GF167" i="3"/>
  <c r="GG167" i="3"/>
  <c r="GH167" i="3"/>
  <c r="GI167" i="3"/>
  <c r="GJ167" i="3"/>
  <c r="GK167" i="3"/>
  <c r="GL167" i="3"/>
  <c r="GM167" i="3"/>
  <c r="GN167" i="3"/>
  <c r="GO167" i="3"/>
  <c r="GP167" i="3"/>
  <c r="GQ167" i="3"/>
  <c r="GR167" i="3"/>
  <c r="GS167" i="3"/>
  <c r="GT167" i="3"/>
  <c r="GU167" i="3"/>
  <c r="GV167" i="3"/>
  <c r="GW167" i="3"/>
  <c r="GX167" i="3"/>
  <c r="GY167" i="3"/>
  <c r="GZ167" i="3"/>
  <c r="HA167" i="3"/>
  <c r="HB167" i="3"/>
  <c r="HC167" i="3"/>
  <c r="HD167" i="3"/>
  <c r="HE167" i="3"/>
  <c r="HF167" i="3"/>
  <c r="HG167" i="3"/>
  <c r="HH167" i="3"/>
  <c r="HI167" i="3"/>
  <c r="HJ167" i="3"/>
  <c r="HK167" i="3"/>
  <c r="HL167" i="3"/>
  <c r="HM167" i="3"/>
  <c r="HN167" i="3"/>
  <c r="HO167" i="3"/>
  <c r="HP167" i="3"/>
  <c r="HQ167" i="3"/>
  <c r="HR167" i="3"/>
  <c r="HS167" i="3"/>
  <c r="HT167" i="3"/>
  <c r="HU167" i="3"/>
  <c r="HV167" i="3"/>
  <c r="HW167" i="3"/>
  <c r="HX167" i="3"/>
  <c r="HY167" i="3"/>
  <c r="HZ167" i="3"/>
  <c r="IA167" i="3"/>
  <c r="IB167" i="3"/>
  <c r="IC167" i="3"/>
  <c r="ID167" i="3"/>
  <c r="IE167" i="3"/>
  <c r="IF167" i="3"/>
  <c r="IG167" i="3"/>
  <c r="IH167" i="3"/>
  <c r="II167" i="3"/>
  <c r="IJ167" i="3"/>
  <c r="IK167" i="3"/>
  <c r="IL167" i="3"/>
  <c r="IM167" i="3"/>
  <c r="IN167" i="3"/>
  <c r="IO167" i="3"/>
  <c r="IP167" i="3"/>
  <c r="IQ167" i="3"/>
  <c r="IR167" i="3"/>
  <c r="IS167" i="3"/>
  <c r="IT167" i="3"/>
  <c r="IU167" i="3"/>
  <c r="IV167" i="3"/>
  <c r="A166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AB166" i="3"/>
  <c r="AC166" i="3"/>
  <c r="AD166" i="3"/>
  <c r="AE166" i="3"/>
  <c r="AF166" i="3"/>
  <c r="AG166" i="3"/>
  <c r="AH166" i="3"/>
  <c r="AI166" i="3"/>
  <c r="AJ166" i="3"/>
  <c r="AK166" i="3"/>
  <c r="AL166" i="3"/>
  <c r="AM166" i="3"/>
  <c r="AN166" i="3"/>
  <c r="AO166" i="3"/>
  <c r="AP166" i="3"/>
  <c r="AQ166" i="3"/>
  <c r="AR166" i="3"/>
  <c r="AS166" i="3"/>
  <c r="AT166" i="3"/>
  <c r="AU166" i="3"/>
  <c r="AV166" i="3"/>
  <c r="AW166" i="3"/>
  <c r="AX166" i="3"/>
  <c r="AY166" i="3"/>
  <c r="AZ166" i="3"/>
  <c r="BA166" i="3"/>
  <c r="BB166" i="3"/>
  <c r="BC166" i="3"/>
  <c r="BD166" i="3"/>
  <c r="BE166" i="3"/>
  <c r="BF166" i="3"/>
  <c r="BG166" i="3"/>
  <c r="BH166" i="3"/>
  <c r="BI166" i="3"/>
  <c r="BJ166" i="3"/>
  <c r="BK166" i="3"/>
  <c r="BL166" i="3"/>
  <c r="BM166" i="3"/>
  <c r="BN166" i="3"/>
  <c r="BO166" i="3"/>
  <c r="BP166" i="3"/>
  <c r="BQ166" i="3"/>
  <c r="BR166" i="3"/>
  <c r="BS166" i="3"/>
  <c r="BT166" i="3"/>
  <c r="BU166" i="3"/>
  <c r="BV166" i="3"/>
  <c r="BW166" i="3"/>
  <c r="BX166" i="3"/>
  <c r="BY166" i="3"/>
  <c r="BZ166" i="3"/>
  <c r="CA166" i="3"/>
  <c r="CB166" i="3"/>
  <c r="CC166" i="3"/>
  <c r="CD166" i="3"/>
  <c r="CE166" i="3"/>
  <c r="CF166" i="3"/>
  <c r="CG166" i="3"/>
  <c r="CH166" i="3"/>
  <c r="CI166" i="3"/>
  <c r="CJ166" i="3"/>
  <c r="CK166" i="3"/>
  <c r="CL166" i="3"/>
  <c r="CM166" i="3"/>
  <c r="CN166" i="3"/>
  <c r="CO166" i="3"/>
  <c r="CP166" i="3"/>
  <c r="CQ166" i="3"/>
  <c r="CR166" i="3"/>
  <c r="CS166" i="3"/>
  <c r="CT166" i="3"/>
  <c r="CU166" i="3"/>
  <c r="CV166" i="3"/>
  <c r="CW166" i="3"/>
  <c r="CX166" i="3"/>
  <c r="CY166" i="3"/>
  <c r="CZ166" i="3"/>
  <c r="DA166" i="3"/>
  <c r="DB166" i="3"/>
  <c r="DC166" i="3"/>
  <c r="DD166" i="3"/>
  <c r="DE166" i="3"/>
  <c r="DF166" i="3"/>
  <c r="DG166" i="3"/>
  <c r="DH166" i="3"/>
  <c r="DI166" i="3"/>
  <c r="DJ166" i="3"/>
  <c r="DK166" i="3"/>
  <c r="DL166" i="3"/>
  <c r="DM166" i="3"/>
  <c r="DN166" i="3"/>
  <c r="DO166" i="3"/>
  <c r="DP166" i="3"/>
  <c r="DQ166" i="3"/>
  <c r="DR166" i="3"/>
  <c r="DS166" i="3"/>
  <c r="DT166" i="3"/>
  <c r="DU166" i="3"/>
  <c r="DV166" i="3"/>
  <c r="DW166" i="3"/>
  <c r="DX166" i="3"/>
  <c r="DY166" i="3"/>
  <c r="DZ166" i="3"/>
  <c r="EA166" i="3"/>
  <c r="EB166" i="3"/>
  <c r="EC166" i="3"/>
  <c r="ED166" i="3"/>
  <c r="EE166" i="3"/>
  <c r="EF166" i="3"/>
  <c r="EG166" i="3"/>
  <c r="EH166" i="3"/>
  <c r="EI166" i="3"/>
  <c r="EJ166" i="3"/>
  <c r="EK166" i="3"/>
  <c r="EL166" i="3"/>
  <c r="EM166" i="3"/>
  <c r="EN166" i="3"/>
  <c r="EO166" i="3"/>
  <c r="EP166" i="3"/>
  <c r="EQ166" i="3"/>
  <c r="ER166" i="3"/>
  <c r="ES166" i="3"/>
  <c r="ET166" i="3"/>
  <c r="EU166" i="3"/>
  <c r="EV166" i="3"/>
  <c r="EW166" i="3"/>
  <c r="EX166" i="3"/>
  <c r="EY166" i="3"/>
  <c r="EZ166" i="3"/>
  <c r="FA166" i="3"/>
  <c r="FB166" i="3"/>
  <c r="FC166" i="3"/>
  <c r="FD166" i="3"/>
  <c r="FE166" i="3"/>
  <c r="FF166" i="3"/>
  <c r="FG166" i="3"/>
  <c r="FH166" i="3"/>
  <c r="FI166" i="3"/>
  <c r="FJ166" i="3"/>
  <c r="FK166" i="3"/>
  <c r="FL166" i="3"/>
  <c r="FM166" i="3"/>
  <c r="FN166" i="3"/>
  <c r="FO166" i="3"/>
  <c r="FP166" i="3"/>
  <c r="FQ166" i="3"/>
  <c r="FR166" i="3"/>
  <c r="FS166" i="3"/>
  <c r="FT166" i="3"/>
  <c r="FU166" i="3"/>
  <c r="FV166" i="3"/>
  <c r="FW166" i="3"/>
  <c r="FX166" i="3"/>
  <c r="FY166" i="3"/>
  <c r="FZ166" i="3"/>
  <c r="GA166" i="3"/>
  <c r="GB166" i="3"/>
  <c r="GC166" i="3"/>
  <c r="GD166" i="3"/>
  <c r="GE166" i="3"/>
  <c r="GF166" i="3"/>
  <c r="GG166" i="3"/>
  <c r="GH166" i="3"/>
  <c r="GI166" i="3"/>
  <c r="GJ166" i="3"/>
  <c r="GK166" i="3"/>
  <c r="GL166" i="3"/>
  <c r="GM166" i="3"/>
  <c r="GN166" i="3"/>
  <c r="GO166" i="3"/>
  <c r="GP166" i="3"/>
  <c r="GQ166" i="3"/>
  <c r="GR166" i="3"/>
  <c r="GS166" i="3"/>
  <c r="GT166" i="3"/>
  <c r="GU166" i="3"/>
  <c r="GV166" i="3"/>
  <c r="GW166" i="3"/>
  <c r="GX166" i="3"/>
  <c r="GY166" i="3"/>
  <c r="GZ166" i="3"/>
  <c r="HA166" i="3"/>
  <c r="HB166" i="3"/>
  <c r="HC166" i="3"/>
  <c r="HD166" i="3"/>
  <c r="HE166" i="3"/>
  <c r="HF166" i="3"/>
  <c r="HG166" i="3"/>
  <c r="HH166" i="3"/>
  <c r="HI166" i="3"/>
  <c r="HJ166" i="3"/>
  <c r="HK166" i="3"/>
  <c r="HL166" i="3"/>
  <c r="HM166" i="3"/>
  <c r="HN166" i="3"/>
  <c r="HO166" i="3"/>
  <c r="HP166" i="3"/>
  <c r="HQ166" i="3"/>
  <c r="HR166" i="3"/>
  <c r="HS166" i="3"/>
  <c r="HT166" i="3"/>
  <c r="HU166" i="3"/>
  <c r="HV166" i="3"/>
  <c r="HW166" i="3"/>
  <c r="HX166" i="3"/>
  <c r="HY166" i="3"/>
  <c r="HZ166" i="3"/>
  <c r="IA166" i="3"/>
  <c r="IB166" i="3"/>
  <c r="IC166" i="3"/>
  <c r="ID166" i="3"/>
  <c r="IE166" i="3"/>
  <c r="IF166" i="3"/>
  <c r="IG166" i="3"/>
  <c r="IH166" i="3"/>
  <c r="II166" i="3"/>
  <c r="IJ166" i="3"/>
  <c r="IK166" i="3"/>
  <c r="IL166" i="3"/>
  <c r="IM166" i="3"/>
  <c r="IN166" i="3"/>
  <c r="IO166" i="3"/>
  <c r="IP166" i="3"/>
  <c r="IQ166" i="3"/>
  <c r="IR166" i="3"/>
  <c r="IS166" i="3"/>
  <c r="IT166" i="3"/>
  <c r="IU166" i="3"/>
  <c r="IV166" i="3"/>
  <c r="A165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AI165" i="3"/>
  <c r="AJ165" i="3"/>
  <c r="AK165" i="3"/>
  <c r="AL165" i="3"/>
  <c r="AM165" i="3"/>
  <c r="AN165" i="3"/>
  <c r="AO165" i="3"/>
  <c r="AP165" i="3"/>
  <c r="AQ165" i="3"/>
  <c r="AR165" i="3"/>
  <c r="AS165" i="3"/>
  <c r="AT165" i="3"/>
  <c r="AU165" i="3"/>
  <c r="AV165" i="3"/>
  <c r="AW165" i="3"/>
  <c r="AX165" i="3"/>
  <c r="AY165" i="3"/>
  <c r="AZ165" i="3"/>
  <c r="BA165" i="3"/>
  <c r="BB165" i="3"/>
  <c r="BC165" i="3"/>
  <c r="BD165" i="3"/>
  <c r="BE165" i="3"/>
  <c r="BF165" i="3"/>
  <c r="BG165" i="3"/>
  <c r="BH165" i="3"/>
  <c r="BI165" i="3"/>
  <c r="BJ165" i="3"/>
  <c r="BK165" i="3"/>
  <c r="BL165" i="3"/>
  <c r="BM165" i="3"/>
  <c r="BN165" i="3"/>
  <c r="BO165" i="3"/>
  <c r="BP165" i="3"/>
  <c r="BQ165" i="3"/>
  <c r="BR165" i="3"/>
  <c r="BS165" i="3"/>
  <c r="BT165" i="3"/>
  <c r="BU165" i="3"/>
  <c r="BV165" i="3"/>
  <c r="BW165" i="3"/>
  <c r="BX165" i="3"/>
  <c r="BY165" i="3"/>
  <c r="BZ165" i="3"/>
  <c r="CA165" i="3"/>
  <c r="CB165" i="3"/>
  <c r="CC165" i="3"/>
  <c r="CD165" i="3"/>
  <c r="CE165" i="3"/>
  <c r="CF165" i="3"/>
  <c r="CG165" i="3"/>
  <c r="CH165" i="3"/>
  <c r="CI165" i="3"/>
  <c r="CJ165" i="3"/>
  <c r="CK165" i="3"/>
  <c r="CL165" i="3"/>
  <c r="CM165" i="3"/>
  <c r="CN165" i="3"/>
  <c r="CO165" i="3"/>
  <c r="CP165" i="3"/>
  <c r="CQ165" i="3"/>
  <c r="CR165" i="3"/>
  <c r="CS165" i="3"/>
  <c r="CT165" i="3"/>
  <c r="CU165" i="3"/>
  <c r="CV165" i="3"/>
  <c r="CW165" i="3"/>
  <c r="CX165" i="3"/>
  <c r="CY165" i="3"/>
  <c r="CZ165" i="3"/>
  <c r="DA165" i="3"/>
  <c r="DB165" i="3"/>
  <c r="DC165" i="3"/>
  <c r="DD165" i="3"/>
  <c r="DE165" i="3"/>
  <c r="DF165" i="3"/>
  <c r="DG165" i="3"/>
  <c r="DH165" i="3"/>
  <c r="DI165" i="3"/>
  <c r="DJ165" i="3"/>
  <c r="DK165" i="3"/>
  <c r="DL165" i="3"/>
  <c r="DM165" i="3"/>
  <c r="DN165" i="3"/>
  <c r="DO165" i="3"/>
  <c r="DP165" i="3"/>
  <c r="DQ165" i="3"/>
  <c r="DR165" i="3"/>
  <c r="DS165" i="3"/>
  <c r="DT165" i="3"/>
  <c r="DU165" i="3"/>
  <c r="DV165" i="3"/>
  <c r="DW165" i="3"/>
  <c r="DX165" i="3"/>
  <c r="DY165" i="3"/>
  <c r="DZ165" i="3"/>
  <c r="EA165" i="3"/>
  <c r="EB165" i="3"/>
  <c r="EC165" i="3"/>
  <c r="ED165" i="3"/>
  <c r="EE165" i="3"/>
  <c r="EF165" i="3"/>
  <c r="EG165" i="3"/>
  <c r="EH165" i="3"/>
  <c r="EI165" i="3"/>
  <c r="EJ165" i="3"/>
  <c r="EK165" i="3"/>
  <c r="EL165" i="3"/>
  <c r="EM165" i="3"/>
  <c r="EN165" i="3"/>
  <c r="EO165" i="3"/>
  <c r="EP165" i="3"/>
  <c r="EQ165" i="3"/>
  <c r="ER165" i="3"/>
  <c r="ES165" i="3"/>
  <c r="ET165" i="3"/>
  <c r="EU165" i="3"/>
  <c r="EV165" i="3"/>
  <c r="EW165" i="3"/>
  <c r="EX165" i="3"/>
  <c r="EY165" i="3"/>
  <c r="EZ165" i="3"/>
  <c r="FA165" i="3"/>
  <c r="FB165" i="3"/>
  <c r="FC165" i="3"/>
  <c r="FD165" i="3"/>
  <c r="FE165" i="3"/>
  <c r="FF165" i="3"/>
  <c r="FG165" i="3"/>
  <c r="FH165" i="3"/>
  <c r="FI165" i="3"/>
  <c r="FJ165" i="3"/>
  <c r="FK165" i="3"/>
  <c r="FL165" i="3"/>
  <c r="FM165" i="3"/>
  <c r="FN165" i="3"/>
  <c r="FO165" i="3"/>
  <c r="FP165" i="3"/>
  <c r="FQ165" i="3"/>
  <c r="FR165" i="3"/>
  <c r="FS165" i="3"/>
  <c r="FT165" i="3"/>
  <c r="FU165" i="3"/>
  <c r="FV165" i="3"/>
  <c r="FW165" i="3"/>
  <c r="FX165" i="3"/>
  <c r="FY165" i="3"/>
  <c r="FZ165" i="3"/>
  <c r="GA165" i="3"/>
  <c r="GB165" i="3"/>
  <c r="GC165" i="3"/>
  <c r="GD165" i="3"/>
  <c r="GE165" i="3"/>
  <c r="GF165" i="3"/>
  <c r="GG165" i="3"/>
  <c r="GH165" i="3"/>
  <c r="GI165" i="3"/>
  <c r="GJ165" i="3"/>
  <c r="GK165" i="3"/>
  <c r="GL165" i="3"/>
  <c r="GM165" i="3"/>
  <c r="GN165" i="3"/>
  <c r="GO165" i="3"/>
  <c r="GP165" i="3"/>
  <c r="GQ165" i="3"/>
  <c r="GR165" i="3"/>
  <c r="GS165" i="3"/>
  <c r="GT165" i="3"/>
  <c r="GU165" i="3"/>
  <c r="GV165" i="3"/>
  <c r="GW165" i="3"/>
  <c r="GX165" i="3"/>
  <c r="GY165" i="3"/>
  <c r="GZ165" i="3"/>
  <c r="HA165" i="3"/>
  <c r="HB165" i="3"/>
  <c r="HC165" i="3"/>
  <c r="HD165" i="3"/>
  <c r="HE165" i="3"/>
  <c r="HF165" i="3"/>
  <c r="HG165" i="3"/>
  <c r="HH165" i="3"/>
  <c r="HI165" i="3"/>
  <c r="HJ165" i="3"/>
  <c r="HK165" i="3"/>
  <c r="HL165" i="3"/>
  <c r="HM165" i="3"/>
  <c r="HN165" i="3"/>
  <c r="HO165" i="3"/>
  <c r="HP165" i="3"/>
  <c r="HQ165" i="3"/>
  <c r="HR165" i="3"/>
  <c r="HS165" i="3"/>
  <c r="HT165" i="3"/>
  <c r="HU165" i="3"/>
  <c r="HV165" i="3"/>
  <c r="HW165" i="3"/>
  <c r="HX165" i="3"/>
  <c r="HY165" i="3"/>
  <c r="HZ165" i="3"/>
  <c r="IA165" i="3"/>
  <c r="IB165" i="3"/>
  <c r="IC165" i="3"/>
  <c r="ID165" i="3"/>
  <c r="IE165" i="3"/>
  <c r="IF165" i="3"/>
  <c r="IG165" i="3"/>
  <c r="IH165" i="3"/>
  <c r="II165" i="3"/>
  <c r="IJ165" i="3"/>
  <c r="IK165" i="3"/>
  <c r="IL165" i="3"/>
  <c r="IM165" i="3"/>
  <c r="IN165" i="3"/>
  <c r="IO165" i="3"/>
  <c r="IP165" i="3"/>
  <c r="IQ165" i="3"/>
  <c r="IR165" i="3"/>
  <c r="IS165" i="3"/>
  <c r="IT165" i="3"/>
  <c r="IU165" i="3"/>
  <c r="IV165" i="3"/>
  <c r="A164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AH164" i="3"/>
  <c r="AI164" i="3"/>
  <c r="AJ164" i="3"/>
  <c r="AK164" i="3"/>
  <c r="AL164" i="3"/>
  <c r="AM164" i="3"/>
  <c r="AN164" i="3"/>
  <c r="AO164" i="3"/>
  <c r="AP164" i="3"/>
  <c r="AQ164" i="3"/>
  <c r="AR164" i="3"/>
  <c r="AS164" i="3"/>
  <c r="AT164" i="3"/>
  <c r="AU164" i="3"/>
  <c r="AV164" i="3"/>
  <c r="AW164" i="3"/>
  <c r="AX164" i="3"/>
  <c r="AY164" i="3"/>
  <c r="AZ164" i="3"/>
  <c r="BA164" i="3"/>
  <c r="BB164" i="3"/>
  <c r="BC164" i="3"/>
  <c r="BD164" i="3"/>
  <c r="BE164" i="3"/>
  <c r="BF164" i="3"/>
  <c r="BG164" i="3"/>
  <c r="BH164" i="3"/>
  <c r="BI164" i="3"/>
  <c r="BJ164" i="3"/>
  <c r="BK164" i="3"/>
  <c r="BL164" i="3"/>
  <c r="BM164" i="3"/>
  <c r="BN164" i="3"/>
  <c r="BO164" i="3"/>
  <c r="BP164" i="3"/>
  <c r="BQ164" i="3"/>
  <c r="BR164" i="3"/>
  <c r="BS164" i="3"/>
  <c r="BT164" i="3"/>
  <c r="BU164" i="3"/>
  <c r="BV164" i="3"/>
  <c r="BW164" i="3"/>
  <c r="BX164" i="3"/>
  <c r="BY164" i="3"/>
  <c r="BZ164" i="3"/>
  <c r="CA164" i="3"/>
  <c r="CB164" i="3"/>
  <c r="CC164" i="3"/>
  <c r="CD164" i="3"/>
  <c r="CE164" i="3"/>
  <c r="CF164" i="3"/>
  <c r="CG164" i="3"/>
  <c r="CH164" i="3"/>
  <c r="CI164" i="3"/>
  <c r="CJ164" i="3"/>
  <c r="CK164" i="3"/>
  <c r="CL164" i="3"/>
  <c r="CM164" i="3"/>
  <c r="CN164" i="3"/>
  <c r="CO164" i="3"/>
  <c r="CP164" i="3"/>
  <c r="CQ164" i="3"/>
  <c r="CR164" i="3"/>
  <c r="CS164" i="3"/>
  <c r="CT164" i="3"/>
  <c r="CU164" i="3"/>
  <c r="CV164" i="3"/>
  <c r="CW164" i="3"/>
  <c r="CX164" i="3"/>
  <c r="CY164" i="3"/>
  <c r="CZ164" i="3"/>
  <c r="DA164" i="3"/>
  <c r="DB164" i="3"/>
  <c r="DC164" i="3"/>
  <c r="DD164" i="3"/>
  <c r="DE164" i="3"/>
  <c r="DF164" i="3"/>
  <c r="DG164" i="3"/>
  <c r="DH164" i="3"/>
  <c r="DI164" i="3"/>
  <c r="DJ164" i="3"/>
  <c r="DK164" i="3"/>
  <c r="DL164" i="3"/>
  <c r="DM164" i="3"/>
  <c r="DN164" i="3"/>
  <c r="DO164" i="3"/>
  <c r="DP164" i="3"/>
  <c r="DQ164" i="3"/>
  <c r="DR164" i="3"/>
  <c r="DS164" i="3"/>
  <c r="DT164" i="3"/>
  <c r="DU164" i="3"/>
  <c r="DV164" i="3"/>
  <c r="DW164" i="3"/>
  <c r="DX164" i="3"/>
  <c r="DY164" i="3"/>
  <c r="DZ164" i="3"/>
  <c r="EA164" i="3"/>
  <c r="EB164" i="3"/>
  <c r="EC164" i="3"/>
  <c r="ED164" i="3"/>
  <c r="EE164" i="3"/>
  <c r="EF164" i="3"/>
  <c r="EG164" i="3"/>
  <c r="EH164" i="3"/>
  <c r="EI164" i="3"/>
  <c r="EJ164" i="3"/>
  <c r="EK164" i="3"/>
  <c r="EL164" i="3"/>
  <c r="EM164" i="3"/>
  <c r="EN164" i="3"/>
  <c r="EO164" i="3"/>
  <c r="EP164" i="3"/>
  <c r="EQ164" i="3"/>
  <c r="ER164" i="3"/>
  <c r="ES164" i="3"/>
  <c r="ET164" i="3"/>
  <c r="EU164" i="3"/>
  <c r="EV164" i="3"/>
  <c r="EW164" i="3"/>
  <c r="EX164" i="3"/>
  <c r="EY164" i="3"/>
  <c r="EZ164" i="3"/>
  <c r="FA164" i="3"/>
  <c r="FB164" i="3"/>
  <c r="FC164" i="3"/>
  <c r="FD164" i="3"/>
  <c r="FE164" i="3"/>
  <c r="FF164" i="3"/>
  <c r="FG164" i="3"/>
  <c r="FH164" i="3"/>
  <c r="FI164" i="3"/>
  <c r="FJ164" i="3"/>
  <c r="FK164" i="3"/>
  <c r="FL164" i="3"/>
  <c r="FM164" i="3"/>
  <c r="FN164" i="3"/>
  <c r="FO164" i="3"/>
  <c r="FP164" i="3"/>
  <c r="FQ164" i="3"/>
  <c r="FR164" i="3"/>
  <c r="FS164" i="3"/>
  <c r="FT164" i="3"/>
  <c r="FU164" i="3"/>
  <c r="FV164" i="3"/>
  <c r="FW164" i="3"/>
  <c r="FX164" i="3"/>
  <c r="FY164" i="3"/>
  <c r="FZ164" i="3"/>
  <c r="GA164" i="3"/>
  <c r="GB164" i="3"/>
  <c r="GC164" i="3"/>
  <c r="GD164" i="3"/>
  <c r="GE164" i="3"/>
  <c r="GF164" i="3"/>
  <c r="GG164" i="3"/>
  <c r="GH164" i="3"/>
  <c r="GI164" i="3"/>
  <c r="GJ164" i="3"/>
  <c r="GK164" i="3"/>
  <c r="GL164" i="3"/>
  <c r="GM164" i="3"/>
  <c r="GN164" i="3"/>
  <c r="GO164" i="3"/>
  <c r="GP164" i="3"/>
  <c r="GQ164" i="3"/>
  <c r="GR164" i="3"/>
  <c r="GS164" i="3"/>
  <c r="GT164" i="3"/>
  <c r="GU164" i="3"/>
  <c r="GV164" i="3"/>
  <c r="GW164" i="3"/>
  <c r="GX164" i="3"/>
  <c r="GY164" i="3"/>
  <c r="GZ164" i="3"/>
  <c r="HA164" i="3"/>
  <c r="HB164" i="3"/>
  <c r="HC164" i="3"/>
  <c r="HD164" i="3"/>
  <c r="HE164" i="3"/>
  <c r="HF164" i="3"/>
  <c r="HG164" i="3"/>
  <c r="HH164" i="3"/>
  <c r="HI164" i="3"/>
  <c r="HJ164" i="3"/>
  <c r="HK164" i="3"/>
  <c r="HL164" i="3"/>
  <c r="HM164" i="3"/>
  <c r="HN164" i="3"/>
  <c r="HO164" i="3"/>
  <c r="HP164" i="3"/>
  <c r="HQ164" i="3"/>
  <c r="HR164" i="3"/>
  <c r="HS164" i="3"/>
  <c r="HT164" i="3"/>
  <c r="HU164" i="3"/>
  <c r="HV164" i="3"/>
  <c r="HW164" i="3"/>
  <c r="HX164" i="3"/>
  <c r="HY164" i="3"/>
  <c r="HZ164" i="3"/>
  <c r="IA164" i="3"/>
  <c r="IB164" i="3"/>
  <c r="IC164" i="3"/>
  <c r="ID164" i="3"/>
  <c r="IE164" i="3"/>
  <c r="IF164" i="3"/>
  <c r="IG164" i="3"/>
  <c r="IH164" i="3"/>
  <c r="II164" i="3"/>
  <c r="IJ164" i="3"/>
  <c r="IK164" i="3"/>
  <c r="IL164" i="3"/>
  <c r="IM164" i="3"/>
  <c r="IN164" i="3"/>
  <c r="IO164" i="3"/>
  <c r="IP164" i="3"/>
  <c r="IQ164" i="3"/>
  <c r="IR164" i="3"/>
  <c r="IS164" i="3"/>
  <c r="IT164" i="3"/>
  <c r="IU164" i="3"/>
  <c r="IV164" i="3"/>
  <c r="A163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AB163" i="3"/>
  <c r="AC163" i="3"/>
  <c r="AD163" i="3"/>
  <c r="AE163" i="3"/>
  <c r="AF163" i="3"/>
  <c r="AG163" i="3"/>
  <c r="AH163" i="3"/>
  <c r="AI163" i="3"/>
  <c r="AJ163" i="3"/>
  <c r="AK163" i="3"/>
  <c r="AL163" i="3"/>
  <c r="AM163" i="3"/>
  <c r="AN163" i="3"/>
  <c r="AO163" i="3"/>
  <c r="AP163" i="3"/>
  <c r="AQ163" i="3"/>
  <c r="AR163" i="3"/>
  <c r="AS163" i="3"/>
  <c r="AT163" i="3"/>
  <c r="AU163" i="3"/>
  <c r="AV163" i="3"/>
  <c r="AW163" i="3"/>
  <c r="AX163" i="3"/>
  <c r="AY163" i="3"/>
  <c r="AZ163" i="3"/>
  <c r="BA163" i="3"/>
  <c r="BB163" i="3"/>
  <c r="BC163" i="3"/>
  <c r="BD163" i="3"/>
  <c r="BE163" i="3"/>
  <c r="BF163" i="3"/>
  <c r="BG163" i="3"/>
  <c r="BH163" i="3"/>
  <c r="BI163" i="3"/>
  <c r="BJ163" i="3"/>
  <c r="BK163" i="3"/>
  <c r="BL163" i="3"/>
  <c r="BM163" i="3"/>
  <c r="BN163" i="3"/>
  <c r="BO163" i="3"/>
  <c r="BP163" i="3"/>
  <c r="BQ163" i="3"/>
  <c r="BR163" i="3"/>
  <c r="BS163" i="3"/>
  <c r="BT163" i="3"/>
  <c r="BU163" i="3"/>
  <c r="BV163" i="3"/>
  <c r="BW163" i="3"/>
  <c r="BX163" i="3"/>
  <c r="BY163" i="3"/>
  <c r="BZ163" i="3"/>
  <c r="CA163" i="3"/>
  <c r="CB163" i="3"/>
  <c r="CC163" i="3"/>
  <c r="CD163" i="3"/>
  <c r="CE163" i="3"/>
  <c r="CF163" i="3"/>
  <c r="CG163" i="3"/>
  <c r="CH163" i="3"/>
  <c r="CI163" i="3"/>
  <c r="CJ163" i="3"/>
  <c r="CK163" i="3"/>
  <c r="CL163" i="3"/>
  <c r="CM163" i="3"/>
  <c r="CN163" i="3"/>
  <c r="CO163" i="3"/>
  <c r="CP163" i="3"/>
  <c r="CQ163" i="3"/>
  <c r="CR163" i="3"/>
  <c r="CS163" i="3"/>
  <c r="CT163" i="3"/>
  <c r="CU163" i="3"/>
  <c r="CV163" i="3"/>
  <c r="CW163" i="3"/>
  <c r="CX163" i="3"/>
  <c r="CY163" i="3"/>
  <c r="CZ163" i="3"/>
  <c r="DA163" i="3"/>
  <c r="DB163" i="3"/>
  <c r="DC163" i="3"/>
  <c r="DD163" i="3"/>
  <c r="DE163" i="3"/>
  <c r="DF163" i="3"/>
  <c r="DG163" i="3"/>
  <c r="DH163" i="3"/>
  <c r="DI163" i="3"/>
  <c r="DJ163" i="3"/>
  <c r="DK163" i="3"/>
  <c r="DL163" i="3"/>
  <c r="DM163" i="3"/>
  <c r="DN163" i="3"/>
  <c r="DO163" i="3"/>
  <c r="DP163" i="3"/>
  <c r="DQ163" i="3"/>
  <c r="DR163" i="3"/>
  <c r="DS163" i="3"/>
  <c r="DT163" i="3"/>
  <c r="DU163" i="3"/>
  <c r="DV163" i="3"/>
  <c r="DW163" i="3"/>
  <c r="DX163" i="3"/>
  <c r="DY163" i="3"/>
  <c r="DZ163" i="3"/>
  <c r="EA163" i="3"/>
  <c r="EB163" i="3"/>
  <c r="EC163" i="3"/>
  <c r="ED163" i="3"/>
  <c r="EE163" i="3"/>
  <c r="EF163" i="3"/>
  <c r="EG163" i="3"/>
  <c r="EH163" i="3"/>
  <c r="EI163" i="3"/>
  <c r="EJ163" i="3"/>
  <c r="EK163" i="3"/>
  <c r="EL163" i="3"/>
  <c r="EM163" i="3"/>
  <c r="EN163" i="3"/>
  <c r="EO163" i="3"/>
  <c r="EP163" i="3"/>
  <c r="EQ163" i="3"/>
  <c r="ER163" i="3"/>
  <c r="ES163" i="3"/>
  <c r="ET163" i="3"/>
  <c r="EU163" i="3"/>
  <c r="EV163" i="3"/>
  <c r="EW163" i="3"/>
  <c r="EX163" i="3"/>
  <c r="EY163" i="3"/>
  <c r="EZ163" i="3"/>
  <c r="FA163" i="3"/>
  <c r="FB163" i="3"/>
  <c r="FC163" i="3"/>
  <c r="FD163" i="3"/>
  <c r="FE163" i="3"/>
  <c r="FF163" i="3"/>
  <c r="FG163" i="3"/>
  <c r="FH163" i="3"/>
  <c r="FI163" i="3"/>
  <c r="FJ163" i="3"/>
  <c r="FK163" i="3"/>
  <c r="FL163" i="3"/>
  <c r="FM163" i="3"/>
  <c r="FN163" i="3"/>
  <c r="FO163" i="3"/>
  <c r="FP163" i="3"/>
  <c r="FQ163" i="3"/>
  <c r="FR163" i="3"/>
  <c r="FS163" i="3"/>
  <c r="FT163" i="3"/>
  <c r="FU163" i="3"/>
  <c r="FV163" i="3"/>
  <c r="FW163" i="3"/>
  <c r="FX163" i="3"/>
  <c r="FY163" i="3"/>
  <c r="FZ163" i="3"/>
  <c r="GA163" i="3"/>
  <c r="GB163" i="3"/>
  <c r="GC163" i="3"/>
  <c r="GD163" i="3"/>
  <c r="GE163" i="3"/>
  <c r="GF163" i="3"/>
  <c r="GG163" i="3"/>
  <c r="GH163" i="3"/>
  <c r="GI163" i="3"/>
  <c r="GJ163" i="3"/>
  <c r="GK163" i="3"/>
  <c r="GL163" i="3"/>
  <c r="GM163" i="3"/>
  <c r="GN163" i="3"/>
  <c r="GO163" i="3"/>
  <c r="GP163" i="3"/>
  <c r="GQ163" i="3"/>
  <c r="GR163" i="3"/>
  <c r="GS163" i="3"/>
  <c r="GT163" i="3"/>
  <c r="GU163" i="3"/>
  <c r="GV163" i="3"/>
  <c r="GW163" i="3"/>
  <c r="GX163" i="3"/>
  <c r="GY163" i="3"/>
  <c r="GZ163" i="3"/>
  <c r="HA163" i="3"/>
  <c r="HB163" i="3"/>
  <c r="HC163" i="3"/>
  <c r="HD163" i="3"/>
  <c r="HE163" i="3"/>
  <c r="HF163" i="3"/>
  <c r="HG163" i="3"/>
  <c r="HH163" i="3"/>
  <c r="HI163" i="3"/>
  <c r="HJ163" i="3"/>
  <c r="HK163" i="3"/>
  <c r="HL163" i="3"/>
  <c r="HM163" i="3"/>
  <c r="HN163" i="3"/>
  <c r="HO163" i="3"/>
  <c r="HP163" i="3"/>
  <c r="HQ163" i="3"/>
  <c r="HR163" i="3"/>
  <c r="HS163" i="3"/>
  <c r="HT163" i="3"/>
  <c r="HU163" i="3"/>
  <c r="HV163" i="3"/>
  <c r="HW163" i="3"/>
  <c r="HX163" i="3"/>
  <c r="HY163" i="3"/>
  <c r="HZ163" i="3"/>
  <c r="IA163" i="3"/>
  <c r="IB163" i="3"/>
  <c r="IC163" i="3"/>
  <c r="ID163" i="3"/>
  <c r="IE163" i="3"/>
  <c r="IF163" i="3"/>
  <c r="IG163" i="3"/>
  <c r="IH163" i="3"/>
  <c r="II163" i="3"/>
  <c r="IJ163" i="3"/>
  <c r="IK163" i="3"/>
  <c r="IL163" i="3"/>
  <c r="IM163" i="3"/>
  <c r="IN163" i="3"/>
  <c r="IO163" i="3"/>
  <c r="IP163" i="3"/>
  <c r="IQ163" i="3"/>
  <c r="IR163" i="3"/>
  <c r="IS163" i="3"/>
  <c r="IT163" i="3"/>
  <c r="IU163" i="3"/>
  <c r="IV163" i="3"/>
  <c r="A162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AB162" i="3"/>
  <c r="AC162" i="3"/>
  <c r="AD162" i="3"/>
  <c r="AE162" i="3"/>
  <c r="AF162" i="3"/>
  <c r="AG162" i="3"/>
  <c r="AH162" i="3"/>
  <c r="AI162" i="3"/>
  <c r="AJ162" i="3"/>
  <c r="AK162" i="3"/>
  <c r="AL162" i="3"/>
  <c r="AM162" i="3"/>
  <c r="AN162" i="3"/>
  <c r="AO162" i="3"/>
  <c r="AP162" i="3"/>
  <c r="AQ162" i="3"/>
  <c r="AR162" i="3"/>
  <c r="AS162" i="3"/>
  <c r="AT162" i="3"/>
  <c r="AU162" i="3"/>
  <c r="AV162" i="3"/>
  <c r="AW162" i="3"/>
  <c r="AX162" i="3"/>
  <c r="AY162" i="3"/>
  <c r="AZ162" i="3"/>
  <c r="BA162" i="3"/>
  <c r="BB162" i="3"/>
  <c r="BC162" i="3"/>
  <c r="BD162" i="3"/>
  <c r="BE162" i="3"/>
  <c r="BF162" i="3"/>
  <c r="BG162" i="3"/>
  <c r="BH162" i="3"/>
  <c r="BI162" i="3"/>
  <c r="BJ162" i="3"/>
  <c r="BK162" i="3"/>
  <c r="BL162" i="3"/>
  <c r="BM162" i="3"/>
  <c r="BN162" i="3"/>
  <c r="BO162" i="3"/>
  <c r="BP162" i="3"/>
  <c r="BQ162" i="3"/>
  <c r="BR162" i="3"/>
  <c r="BS162" i="3"/>
  <c r="BT162" i="3"/>
  <c r="BU162" i="3"/>
  <c r="BV162" i="3"/>
  <c r="BW162" i="3"/>
  <c r="BX162" i="3"/>
  <c r="BY162" i="3"/>
  <c r="BZ162" i="3"/>
  <c r="CA162" i="3"/>
  <c r="CB162" i="3"/>
  <c r="CC162" i="3"/>
  <c r="CD162" i="3"/>
  <c r="CE162" i="3"/>
  <c r="CF162" i="3"/>
  <c r="CG162" i="3"/>
  <c r="CH162" i="3"/>
  <c r="CI162" i="3"/>
  <c r="CJ162" i="3"/>
  <c r="CK162" i="3"/>
  <c r="CL162" i="3"/>
  <c r="CM162" i="3"/>
  <c r="CN162" i="3"/>
  <c r="CO162" i="3"/>
  <c r="CP162" i="3"/>
  <c r="CQ162" i="3"/>
  <c r="CR162" i="3"/>
  <c r="CS162" i="3"/>
  <c r="CT162" i="3"/>
  <c r="CU162" i="3"/>
  <c r="CV162" i="3"/>
  <c r="CW162" i="3"/>
  <c r="CX162" i="3"/>
  <c r="CY162" i="3"/>
  <c r="CZ162" i="3"/>
  <c r="DA162" i="3"/>
  <c r="DB162" i="3"/>
  <c r="DC162" i="3"/>
  <c r="DD162" i="3"/>
  <c r="DE162" i="3"/>
  <c r="DF162" i="3"/>
  <c r="DG162" i="3"/>
  <c r="DH162" i="3"/>
  <c r="DI162" i="3"/>
  <c r="DJ162" i="3"/>
  <c r="DK162" i="3"/>
  <c r="DL162" i="3"/>
  <c r="DM162" i="3"/>
  <c r="DN162" i="3"/>
  <c r="DO162" i="3"/>
  <c r="DP162" i="3"/>
  <c r="DQ162" i="3"/>
  <c r="DR162" i="3"/>
  <c r="DS162" i="3"/>
  <c r="DT162" i="3"/>
  <c r="DU162" i="3"/>
  <c r="DV162" i="3"/>
  <c r="DW162" i="3"/>
  <c r="DX162" i="3"/>
  <c r="DY162" i="3"/>
  <c r="DZ162" i="3"/>
  <c r="EA162" i="3"/>
  <c r="EB162" i="3"/>
  <c r="EC162" i="3"/>
  <c r="ED162" i="3"/>
  <c r="EE162" i="3"/>
  <c r="EF162" i="3"/>
  <c r="EG162" i="3"/>
  <c r="EH162" i="3"/>
  <c r="EI162" i="3"/>
  <c r="EJ162" i="3"/>
  <c r="EK162" i="3"/>
  <c r="EL162" i="3"/>
  <c r="EM162" i="3"/>
  <c r="EN162" i="3"/>
  <c r="EO162" i="3"/>
  <c r="EP162" i="3"/>
  <c r="EQ162" i="3"/>
  <c r="ER162" i="3"/>
  <c r="ES162" i="3"/>
  <c r="ET162" i="3"/>
  <c r="EU162" i="3"/>
  <c r="EV162" i="3"/>
  <c r="EW162" i="3"/>
  <c r="EX162" i="3"/>
  <c r="EY162" i="3"/>
  <c r="EZ162" i="3"/>
  <c r="FA162" i="3"/>
  <c r="FB162" i="3"/>
  <c r="FC162" i="3"/>
  <c r="FD162" i="3"/>
  <c r="FE162" i="3"/>
  <c r="FF162" i="3"/>
  <c r="FG162" i="3"/>
  <c r="FH162" i="3"/>
  <c r="FI162" i="3"/>
  <c r="FJ162" i="3"/>
  <c r="FK162" i="3"/>
  <c r="FL162" i="3"/>
  <c r="FM162" i="3"/>
  <c r="FN162" i="3"/>
  <c r="FO162" i="3"/>
  <c r="FP162" i="3"/>
  <c r="FQ162" i="3"/>
  <c r="FR162" i="3"/>
  <c r="FS162" i="3"/>
  <c r="FT162" i="3"/>
  <c r="FU162" i="3"/>
  <c r="FV162" i="3"/>
  <c r="FW162" i="3"/>
  <c r="FX162" i="3"/>
  <c r="FY162" i="3"/>
  <c r="FZ162" i="3"/>
  <c r="GA162" i="3"/>
  <c r="GB162" i="3"/>
  <c r="GC162" i="3"/>
  <c r="GD162" i="3"/>
  <c r="GE162" i="3"/>
  <c r="GF162" i="3"/>
  <c r="GG162" i="3"/>
  <c r="GH162" i="3"/>
  <c r="GI162" i="3"/>
  <c r="GJ162" i="3"/>
  <c r="GK162" i="3"/>
  <c r="GL162" i="3"/>
  <c r="GM162" i="3"/>
  <c r="GN162" i="3"/>
  <c r="GO162" i="3"/>
  <c r="GP162" i="3"/>
  <c r="GQ162" i="3"/>
  <c r="GR162" i="3"/>
  <c r="GS162" i="3"/>
  <c r="GT162" i="3"/>
  <c r="GU162" i="3"/>
  <c r="GV162" i="3"/>
  <c r="GW162" i="3"/>
  <c r="GX162" i="3"/>
  <c r="GY162" i="3"/>
  <c r="GZ162" i="3"/>
  <c r="HA162" i="3"/>
  <c r="HB162" i="3"/>
  <c r="HC162" i="3"/>
  <c r="HD162" i="3"/>
  <c r="HE162" i="3"/>
  <c r="HF162" i="3"/>
  <c r="HG162" i="3"/>
  <c r="HH162" i="3"/>
  <c r="HI162" i="3"/>
  <c r="HJ162" i="3"/>
  <c r="HK162" i="3"/>
  <c r="HL162" i="3"/>
  <c r="HM162" i="3"/>
  <c r="HN162" i="3"/>
  <c r="HO162" i="3"/>
  <c r="HP162" i="3"/>
  <c r="HQ162" i="3"/>
  <c r="HR162" i="3"/>
  <c r="HS162" i="3"/>
  <c r="HT162" i="3"/>
  <c r="HU162" i="3"/>
  <c r="HV162" i="3"/>
  <c r="HW162" i="3"/>
  <c r="HX162" i="3"/>
  <c r="HY162" i="3"/>
  <c r="HZ162" i="3"/>
  <c r="IA162" i="3"/>
  <c r="IB162" i="3"/>
  <c r="IC162" i="3"/>
  <c r="ID162" i="3"/>
  <c r="IE162" i="3"/>
  <c r="IF162" i="3"/>
  <c r="IG162" i="3"/>
  <c r="IH162" i="3"/>
  <c r="II162" i="3"/>
  <c r="IJ162" i="3"/>
  <c r="IK162" i="3"/>
  <c r="IL162" i="3"/>
  <c r="IM162" i="3"/>
  <c r="IN162" i="3"/>
  <c r="IO162" i="3"/>
  <c r="IP162" i="3"/>
  <c r="IQ162" i="3"/>
  <c r="IR162" i="3"/>
  <c r="IS162" i="3"/>
  <c r="IT162" i="3"/>
  <c r="IU162" i="3"/>
  <c r="IV162" i="3"/>
  <c r="A161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AB161" i="3"/>
  <c r="AC161" i="3"/>
  <c r="AD161" i="3"/>
  <c r="AE161" i="3"/>
  <c r="AF161" i="3"/>
  <c r="AG161" i="3"/>
  <c r="AH161" i="3"/>
  <c r="AI161" i="3"/>
  <c r="AJ161" i="3"/>
  <c r="AK161" i="3"/>
  <c r="AL161" i="3"/>
  <c r="AM161" i="3"/>
  <c r="AN161" i="3"/>
  <c r="AO161" i="3"/>
  <c r="AP161" i="3"/>
  <c r="AQ161" i="3"/>
  <c r="AR161" i="3"/>
  <c r="AS161" i="3"/>
  <c r="AT161" i="3"/>
  <c r="AU161" i="3"/>
  <c r="AV161" i="3"/>
  <c r="AW161" i="3"/>
  <c r="AX161" i="3"/>
  <c r="AY161" i="3"/>
  <c r="AZ161" i="3"/>
  <c r="BA161" i="3"/>
  <c r="BB161" i="3"/>
  <c r="BC161" i="3"/>
  <c r="BD161" i="3"/>
  <c r="BE161" i="3"/>
  <c r="BF161" i="3"/>
  <c r="BG161" i="3"/>
  <c r="BH161" i="3"/>
  <c r="BI161" i="3"/>
  <c r="BJ161" i="3"/>
  <c r="BK161" i="3"/>
  <c r="BL161" i="3"/>
  <c r="BM161" i="3"/>
  <c r="BN161" i="3"/>
  <c r="BO161" i="3"/>
  <c r="BP161" i="3"/>
  <c r="BQ161" i="3"/>
  <c r="BR161" i="3"/>
  <c r="BS161" i="3"/>
  <c r="BT161" i="3"/>
  <c r="BU161" i="3"/>
  <c r="BV161" i="3"/>
  <c r="BW161" i="3"/>
  <c r="BX161" i="3"/>
  <c r="BY161" i="3"/>
  <c r="BZ161" i="3"/>
  <c r="CA161" i="3"/>
  <c r="CB161" i="3"/>
  <c r="CC161" i="3"/>
  <c r="CD161" i="3"/>
  <c r="CE161" i="3"/>
  <c r="CF161" i="3"/>
  <c r="CG161" i="3"/>
  <c r="CH161" i="3"/>
  <c r="CI161" i="3"/>
  <c r="CJ161" i="3"/>
  <c r="CK161" i="3"/>
  <c r="CL161" i="3"/>
  <c r="CM161" i="3"/>
  <c r="CN161" i="3"/>
  <c r="CO161" i="3"/>
  <c r="CP161" i="3"/>
  <c r="CQ161" i="3"/>
  <c r="CR161" i="3"/>
  <c r="CS161" i="3"/>
  <c r="CT161" i="3"/>
  <c r="CU161" i="3"/>
  <c r="CV161" i="3"/>
  <c r="CW161" i="3"/>
  <c r="CX161" i="3"/>
  <c r="CY161" i="3"/>
  <c r="CZ161" i="3"/>
  <c r="DA161" i="3"/>
  <c r="DB161" i="3"/>
  <c r="DC161" i="3"/>
  <c r="DD161" i="3"/>
  <c r="DE161" i="3"/>
  <c r="DF161" i="3"/>
  <c r="DG161" i="3"/>
  <c r="DH161" i="3"/>
  <c r="DI161" i="3"/>
  <c r="DJ161" i="3"/>
  <c r="DK161" i="3"/>
  <c r="DL161" i="3"/>
  <c r="DM161" i="3"/>
  <c r="DN161" i="3"/>
  <c r="DO161" i="3"/>
  <c r="DP161" i="3"/>
  <c r="DQ161" i="3"/>
  <c r="DR161" i="3"/>
  <c r="DS161" i="3"/>
  <c r="DT161" i="3"/>
  <c r="DU161" i="3"/>
  <c r="DV161" i="3"/>
  <c r="DW161" i="3"/>
  <c r="DX161" i="3"/>
  <c r="DY161" i="3"/>
  <c r="DZ161" i="3"/>
  <c r="EA161" i="3"/>
  <c r="EB161" i="3"/>
  <c r="EC161" i="3"/>
  <c r="ED161" i="3"/>
  <c r="EE161" i="3"/>
  <c r="EF161" i="3"/>
  <c r="EG161" i="3"/>
  <c r="EH161" i="3"/>
  <c r="EI161" i="3"/>
  <c r="EJ161" i="3"/>
  <c r="EK161" i="3"/>
  <c r="EL161" i="3"/>
  <c r="EM161" i="3"/>
  <c r="EN161" i="3"/>
  <c r="EO161" i="3"/>
  <c r="EP161" i="3"/>
  <c r="EQ161" i="3"/>
  <c r="ER161" i="3"/>
  <c r="ES161" i="3"/>
  <c r="ET161" i="3"/>
  <c r="EU161" i="3"/>
  <c r="EV161" i="3"/>
  <c r="EW161" i="3"/>
  <c r="EX161" i="3"/>
  <c r="EY161" i="3"/>
  <c r="EZ161" i="3"/>
  <c r="FA161" i="3"/>
  <c r="FB161" i="3"/>
  <c r="FC161" i="3"/>
  <c r="FD161" i="3"/>
  <c r="FE161" i="3"/>
  <c r="FF161" i="3"/>
  <c r="FG161" i="3"/>
  <c r="FH161" i="3"/>
  <c r="FI161" i="3"/>
  <c r="FJ161" i="3"/>
  <c r="FK161" i="3"/>
  <c r="FL161" i="3"/>
  <c r="FM161" i="3"/>
  <c r="FN161" i="3"/>
  <c r="FO161" i="3"/>
  <c r="FP161" i="3"/>
  <c r="FQ161" i="3"/>
  <c r="FR161" i="3"/>
  <c r="FS161" i="3"/>
  <c r="FT161" i="3"/>
  <c r="FU161" i="3"/>
  <c r="FV161" i="3"/>
  <c r="FW161" i="3"/>
  <c r="FX161" i="3"/>
  <c r="FY161" i="3"/>
  <c r="FZ161" i="3"/>
  <c r="GA161" i="3"/>
  <c r="GB161" i="3"/>
  <c r="GC161" i="3"/>
  <c r="GD161" i="3"/>
  <c r="GE161" i="3"/>
  <c r="GF161" i="3"/>
  <c r="GG161" i="3"/>
  <c r="GH161" i="3"/>
  <c r="GI161" i="3"/>
  <c r="GJ161" i="3"/>
  <c r="GK161" i="3"/>
  <c r="GL161" i="3"/>
  <c r="GM161" i="3"/>
  <c r="GN161" i="3"/>
  <c r="GO161" i="3"/>
  <c r="GP161" i="3"/>
  <c r="GQ161" i="3"/>
  <c r="GR161" i="3"/>
  <c r="GS161" i="3"/>
  <c r="GT161" i="3"/>
  <c r="GU161" i="3"/>
  <c r="GV161" i="3"/>
  <c r="GW161" i="3"/>
  <c r="GX161" i="3"/>
  <c r="GY161" i="3"/>
  <c r="GZ161" i="3"/>
  <c r="HA161" i="3"/>
  <c r="HB161" i="3"/>
  <c r="HC161" i="3"/>
  <c r="HD161" i="3"/>
  <c r="HE161" i="3"/>
  <c r="HF161" i="3"/>
  <c r="HG161" i="3"/>
  <c r="HH161" i="3"/>
  <c r="HI161" i="3"/>
  <c r="HJ161" i="3"/>
  <c r="HK161" i="3"/>
  <c r="HL161" i="3"/>
  <c r="HM161" i="3"/>
  <c r="HN161" i="3"/>
  <c r="HO161" i="3"/>
  <c r="HP161" i="3"/>
  <c r="HQ161" i="3"/>
  <c r="HR161" i="3"/>
  <c r="HS161" i="3"/>
  <c r="HT161" i="3"/>
  <c r="HU161" i="3"/>
  <c r="HV161" i="3"/>
  <c r="HW161" i="3"/>
  <c r="HX161" i="3"/>
  <c r="HY161" i="3"/>
  <c r="HZ161" i="3"/>
  <c r="IA161" i="3"/>
  <c r="IB161" i="3"/>
  <c r="IC161" i="3"/>
  <c r="ID161" i="3"/>
  <c r="IE161" i="3"/>
  <c r="IF161" i="3"/>
  <c r="IG161" i="3"/>
  <c r="IH161" i="3"/>
  <c r="II161" i="3"/>
  <c r="IJ161" i="3"/>
  <c r="IK161" i="3"/>
  <c r="IL161" i="3"/>
  <c r="IM161" i="3"/>
  <c r="IN161" i="3"/>
  <c r="IO161" i="3"/>
  <c r="IP161" i="3"/>
  <c r="IQ161" i="3"/>
  <c r="IR161" i="3"/>
  <c r="IS161" i="3"/>
  <c r="IT161" i="3"/>
  <c r="IU161" i="3"/>
  <c r="IV161" i="3"/>
  <c r="A160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AH160" i="3"/>
  <c r="AI160" i="3"/>
  <c r="AJ160" i="3"/>
  <c r="AK160" i="3"/>
  <c r="AL160" i="3"/>
  <c r="AM160" i="3"/>
  <c r="AN160" i="3"/>
  <c r="AO160" i="3"/>
  <c r="AP160" i="3"/>
  <c r="AQ160" i="3"/>
  <c r="AR160" i="3"/>
  <c r="AS160" i="3"/>
  <c r="AT160" i="3"/>
  <c r="AU160" i="3"/>
  <c r="AV160" i="3"/>
  <c r="AW160" i="3"/>
  <c r="AX160" i="3"/>
  <c r="AY160" i="3"/>
  <c r="AZ160" i="3"/>
  <c r="BA160" i="3"/>
  <c r="BB160" i="3"/>
  <c r="BC160" i="3"/>
  <c r="BD160" i="3"/>
  <c r="BE160" i="3"/>
  <c r="BF160" i="3"/>
  <c r="BG160" i="3"/>
  <c r="BH160" i="3"/>
  <c r="BI160" i="3"/>
  <c r="BJ160" i="3"/>
  <c r="BK160" i="3"/>
  <c r="BL160" i="3"/>
  <c r="BM160" i="3"/>
  <c r="BN160" i="3"/>
  <c r="BO160" i="3"/>
  <c r="BP160" i="3"/>
  <c r="BQ160" i="3"/>
  <c r="BR160" i="3"/>
  <c r="BS160" i="3"/>
  <c r="BT160" i="3"/>
  <c r="BU160" i="3"/>
  <c r="BV160" i="3"/>
  <c r="BW160" i="3"/>
  <c r="BX160" i="3"/>
  <c r="BY160" i="3"/>
  <c r="BZ160" i="3"/>
  <c r="CA160" i="3"/>
  <c r="CB160" i="3"/>
  <c r="CC160" i="3"/>
  <c r="CD160" i="3"/>
  <c r="CE160" i="3"/>
  <c r="CF160" i="3"/>
  <c r="CG160" i="3"/>
  <c r="CH160" i="3"/>
  <c r="CI160" i="3"/>
  <c r="CJ160" i="3"/>
  <c r="CK160" i="3"/>
  <c r="CL160" i="3"/>
  <c r="CM160" i="3"/>
  <c r="CN160" i="3"/>
  <c r="CO160" i="3"/>
  <c r="CP160" i="3"/>
  <c r="CQ160" i="3"/>
  <c r="CR160" i="3"/>
  <c r="CS160" i="3"/>
  <c r="CT160" i="3"/>
  <c r="CU160" i="3"/>
  <c r="CV160" i="3"/>
  <c r="CW160" i="3"/>
  <c r="CX160" i="3"/>
  <c r="CY160" i="3"/>
  <c r="CZ160" i="3"/>
  <c r="DA160" i="3"/>
  <c r="DB160" i="3"/>
  <c r="DC160" i="3"/>
  <c r="DD160" i="3"/>
  <c r="DE160" i="3"/>
  <c r="DF160" i="3"/>
  <c r="DG160" i="3"/>
  <c r="DH160" i="3"/>
  <c r="DI160" i="3"/>
  <c r="DJ160" i="3"/>
  <c r="DK160" i="3"/>
  <c r="DL160" i="3"/>
  <c r="DM160" i="3"/>
  <c r="DN160" i="3"/>
  <c r="DO160" i="3"/>
  <c r="DP160" i="3"/>
  <c r="DQ160" i="3"/>
  <c r="DR160" i="3"/>
  <c r="DS160" i="3"/>
  <c r="DT160" i="3"/>
  <c r="DU160" i="3"/>
  <c r="DV160" i="3"/>
  <c r="DW160" i="3"/>
  <c r="DX160" i="3"/>
  <c r="DY160" i="3"/>
  <c r="DZ160" i="3"/>
  <c r="EA160" i="3"/>
  <c r="EB160" i="3"/>
  <c r="EC160" i="3"/>
  <c r="ED160" i="3"/>
  <c r="EE160" i="3"/>
  <c r="EF160" i="3"/>
  <c r="EG160" i="3"/>
  <c r="EH160" i="3"/>
  <c r="EI160" i="3"/>
  <c r="EJ160" i="3"/>
  <c r="EK160" i="3"/>
  <c r="EL160" i="3"/>
  <c r="EM160" i="3"/>
  <c r="EN160" i="3"/>
  <c r="EO160" i="3"/>
  <c r="EP160" i="3"/>
  <c r="EQ160" i="3"/>
  <c r="ER160" i="3"/>
  <c r="ES160" i="3"/>
  <c r="ET160" i="3"/>
  <c r="EU160" i="3"/>
  <c r="EV160" i="3"/>
  <c r="EW160" i="3"/>
  <c r="EX160" i="3"/>
  <c r="EY160" i="3"/>
  <c r="EZ160" i="3"/>
  <c r="FA160" i="3"/>
  <c r="FB160" i="3"/>
  <c r="FC160" i="3"/>
  <c r="FD160" i="3"/>
  <c r="FE160" i="3"/>
  <c r="FF160" i="3"/>
  <c r="FG160" i="3"/>
  <c r="FH160" i="3"/>
  <c r="FI160" i="3"/>
  <c r="FJ160" i="3"/>
  <c r="FK160" i="3"/>
  <c r="FL160" i="3"/>
  <c r="FM160" i="3"/>
  <c r="FN160" i="3"/>
  <c r="FO160" i="3"/>
  <c r="FP160" i="3"/>
  <c r="FQ160" i="3"/>
  <c r="FR160" i="3"/>
  <c r="FS160" i="3"/>
  <c r="FT160" i="3"/>
  <c r="FU160" i="3"/>
  <c r="FV160" i="3"/>
  <c r="FW160" i="3"/>
  <c r="FX160" i="3"/>
  <c r="FY160" i="3"/>
  <c r="FZ160" i="3"/>
  <c r="GA160" i="3"/>
  <c r="GB160" i="3"/>
  <c r="GC160" i="3"/>
  <c r="GD160" i="3"/>
  <c r="GE160" i="3"/>
  <c r="GF160" i="3"/>
  <c r="GG160" i="3"/>
  <c r="GH160" i="3"/>
  <c r="GI160" i="3"/>
  <c r="GJ160" i="3"/>
  <c r="GK160" i="3"/>
  <c r="GL160" i="3"/>
  <c r="GM160" i="3"/>
  <c r="GN160" i="3"/>
  <c r="GO160" i="3"/>
  <c r="GP160" i="3"/>
  <c r="GQ160" i="3"/>
  <c r="GR160" i="3"/>
  <c r="GS160" i="3"/>
  <c r="GT160" i="3"/>
  <c r="GU160" i="3"/>
  <c r="GV160" i="3"/>
  <c r="GW160" i="3"/>
  <c r="GX160" i="3"/>
  <c r="GY160" i="3"/>
  <c r="GZ160" i="3"/>
  <c r="HA160" i="3"/>
  <c r="HB160" i="3"/>
  <c r="HC160" i="3"/>
  <c r="HD160" i="3"/>
  <c r="HE160" i="3"/>
  <c r="HF160" i="3"/>
  <c r="HG160" i="3"/>
  <c r="HH160" i="3"/>
  <c r="HI160" i="3"/>
  <c r="HJ160" i="3"/>
  <c r="HK160" i="3"/>
  <c r="HL160" i="3"/>
  <c r="HM160" i="3"/>
  <c r="HN160" i="3"/>
  <c r="HO160" i="3"/>
  <c r="HP160" i="3"/>
  <c r="HQ160" i="3"/>
  <c r="HR160" i="3"/>
  <c r="HS160" i="3"/>
  <c r="HT160" i="3"/>
  <c r="HU160" i="3"/>
  <c r="HV160" i="3"/>
  <c r="HW160" i="3"/>
  <c r="HX160" i="3"/>
  <c r="HY160" i="3"/>
  <c r="HZ160" i="3"/>
  <c r="IA160" i="3"/>
  <c r="IB160" i="3"/>
  <c r="IC160" i="3"/>
  <c r="ID160" i="3"/>
  <c r="IE160" i="3"/>
  <c r="IF160" i="3"/>
  <c r="IG160" i="3"/>
  <c r="IH160" i="3"/>
  <c r="II160" i="3"/>
  <c r="IJ160" i="3"/>
  <c r="IK160" i="3"/>
  <c r="IL160" i="3"/>
  <c r="IM160" i="3"/>
  <c r="IN160" i="3"/>
  <c r="IO160" i="3"/>
  <c r="IP160" i="3"/>
  <c r="IQ160" i="3"/>
  <c r="IR160" i="3"/>
  <c r="IS160" i="3"/>
  <c r="IT160" i="3"/>
  <c r="IU160" i="3"/>
  <c r="IV160" i="3"/>
  <c r="A159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AB159" i="3"/>
  <c r="AC159" i="3"/>
  <c r="AD159" i="3"/>
  <c r="AE159" i="3"/>
  <c r="AF159" i="3"/>
  <c r="AG159" i="3"/>
  <c r="AH159" i="3"/>
  <c r="AI159" i="3"/>
  <c r="AJ159" i="3"/>
  <c r="AK159" i="3"/>
  <c r="AL159" i="3"/>
  <c r="AM159" i="3"/>
  <c r="AN159" i="3"/>
  <c r="AO159" i="3"/>
  <c r="AP159" i="3"/>
  <c r="AQ159" i="3"/>
  <c r="AR159" i="3"/>
  <c r="AS159" i="3"/>
  <c r="AT159" i="3"/>
  <c r="AU159" i="3"/>
  <c r="AV159" i="3"/>
  <c r="AW159" i="3"/>
  <c r="AX159" i="3"/>
  <c r="AY159" i="3"/>
  <c r="AZ159" i="3"/>
  <c r="BA159" i="3"/>
  <c r="BB159" i="3"/>
  <c r="BC159" i="3"/>
  <c r="BD159" i="3"/>
  <c r="BE159" i="3"/>
  <c r="BF159" i="3"/>
  <c r="BG159" i="3"/>
  <c r="BH159" i="3"/>
  <c r="BI159" i="3"/>
  <c r="BJ159" i="3"/>
  <c r="BK159" i="3"/>
  <c r="BL159" i="3"/>
  <c r="BM159" i="3"/>
  <c r="BN159" i="3"/>
  <c r="BO159" i="3"/>
  <c r="BP159" i="3"/>
  <c r="BQ159" i="3"/>
  <c r="BR159" i="3"/>
  <c r="BS159" i="3"/>
  <c r="BT159" i="3"/>
  <c r="BU159" i="3"/>
  <c r="BV159" i="3"/>
  <c r="BW159" i="3"/>
  <c r="BX159" i="3"/>
  <c r="BY159" i="3"/>
  <c r="BZ159" i="3"/>
  <c r="CA159" i="3"/>
  <c r="CB159" i="3"/>
  <c r="CC159" i="3"/>
  <c r="CD159" i="3"/>
  <c r="CE159" i="3"/>
  <c r="CF159" i="3"/>
  <c r="CG159" i="3"/>
  <c r="CH159" i="3"/>
  <c r="CI159" i="3"/>
  <c r="CJ159" i="3"/>
  <c r="CK159" i="3"/>
  <c r="CL159" i="3"/>
  <c r="CM159" i="3"/>
  <c r="CN159" i="3"/>
  <c r="CO159" i="3"/>
  <c r="CP159" i="3"/>
  <c r="CQ159" i="3"/>
  <c r="CR159" i="3"/>
  <c r="CS159" i="3"/>
  <c r="CT159" i="3"/>
  <c r="CU159" i="3"/>
  <c r="CV159" i="3"/>
  <c r="CW159" i="3"/>
  <c r="CX159" i="3"/>
  <c r="CY159" i="3"/>
  <c r="CZ159" i="3"/>
  <c r="DA159" i="3"/>
  <c r="DB159" i="3"/>
  <c r="DC159" i="3"/>
  <c r="DD159" i="3"/>
  <c r="DE159" i="3"/>
  <c r="DF159" i="3"/>
  <c r="DG159" i="3"/>
  <c r="DH159" i="3"/>
  <c r="DI159" i="3"/>
  <c r="DJ159" i="3"/>
  <c r="DK159" i="3"/>
  <c r="DL159" i="3"/>
  <c r="DM159" i="3"/>
  <c r="DN159" i="3"/>
  <c r="DO159" i="3"/>
  <c r="DP159" i="3"/>
  <c r="DQ159" i="3"/>
  <c r="DR159" i="3"/>
  <c r="DS159" i="3"/>
  <c r="DT159" i="3"/>
  <c r="DU159" i="3"/>
  <c r="DV159" i="3"/>
  <c r="DW159" i="3"/>
  <c r="DX159" i="3"/>
  <c r="DY159" i="3"/>
  <c r="DZ159" i="3"/>
  <c r="EA159" i="3"/>
  <c r="EB159" i="3"/>
  <c r="EC159" i="3"/>
  <c r="ED159" i="3"/>
  <c r="EE159" i="3"/>
  <c r="EF159" i="3"/>
  <c r="EG159" i="3"/>
  <c r="EH159" i="3"/>
  <c r="EI159" i="3"/>
  <c r="EJ159" i="3"/>
  <c r="EK159" i="3"/>
  <c r="EL159" i="3"/>
  <c r="EM159" i="3"/>
  <c r="EN159" i="3"/>
  <c r="EO159" i="3"/>
  <c r="EP159" i="3"/>
  <c r="EQ159" i="3"/>
  <c r="ER159" i="3"/>
  <c r="ES159" i="3"/>
  <c r="ET159" i="3"/>
  <c r="EU159" i="3"/>
  <c r="EV159" i="3"/>
  <c r="EW159" i="3"/>
  <c r="EX159" i="3"/>
  <c r="EY159" i="3"/>
  <c r="EZ159" i="3"/>
  <c r="FA159" i="3"/>
  <c r="FB159" i="3"/>
  <c r="FC159" i="3"/>
  <c r="FD159" i="3"/>
  <c r="FE159" i="3"/>
  <c r="FF159" i="3"/>
  <c r="FG159" i="3"/>
  <c r="FH159" i="3"/>
  <c r="FI159" i="3"/>
  <c r="FJ159" i="3"/>
  <c r="FK159" i="3"/>
  <c r="FL159" i="3"/>
  <c r="FM159" i="3"/>
  <c r="FN159" i="3"/>
  <c r="FO159" i="3"/>
  <c r="FP159" i="3"/>
  <c r="FQ159" i="3"/>
  <c r="FR159" i="3"/>
  <c r="FS159" i="3"/>
  <c r="FT159" i="3"/>
  <c r="FU159" i="3"/>
  <c r="FV159" i="3"/>
  <c r="FW159" i="3"/>
  <c r="FX159" i="3"/>
  <c r="FY159" i="3"/>
  <c r="FZ159" i="3"/>
  <c r="GA159" i="3"/>
  <c r="GB159" i="3"/>
  <c r="GC159" i="3"/>
  <c r="GD159" i="3"/>
  <c r="GE159" i="3"/>
  <c r="GF159" i="3"/>
  <c r="GG159" i="3"/>
  <c r="GH159" i="3"/>
  <c r="GI159" i="3"/>
  <c r="GJ159" i="3"/>
  <c r="GK159" i="3"/>
  <c r="GL159" i="3"/>
  <c r="GM159" i="3"/>
  <c r="GN159" i="3"/>
  <c r="GO159" i="3"/>
  <c r="GP159" i="3"/>
  <c r="GQ159" i="3"/>
  <c r="GR159" i="3"/>
  <c r="GS159" i="3"/>
  <c r="GT159" i="3"/>
  <c r="GU159" i="3"/>
  <c r="GV159" i="3"/>
  <c r="GW159" i="3"/>
  <c r="GX159" i="3"/>
  <c r="GY159" i="3"/>
  <c r="GZ159" i="3"/>
  <c r="HA159" i="3"/>
  <c r="HB159" i="3"/>
  <c r="HC159" i="3"/>
  <c r="HD159" i="3"/>
  <c r="HE159" i="3"/>
  <c r="HF159" i="3"/>
  <c r="HG159" i="3"/>
  <c r="HH159" i="3"/>
  <c r="HI159" i="3"/>
  <c r="HJ159" i="3"/>
  <c r="HK159" i="3"/>
  <c r="HL159" i="3"/>
  <c r="HM159" i="3"/>
  <c r="HN159" i="3"/>
  <c r="HO159" i="3"/>
  <c r="HP159" i="3"/>
  <c r="HQ159" i="3"/>
  <c r="HR159" i="3"/>
  <c r="HS159" i="3"/>
  <c r="HT159" i="3"/>
  <c r="HU159" i="3"/>
  <c r="HV159" i="3"/>
  <c r="HW159" i="3"/>
  <c r="HX159" i="3"/>
  <c r="HY159" i="3"/>
  <c r="HZ159" i="3"/>
  <c r="IA159" i="3"/>
  <c r="IB159" i="3"/>
  <c r="IC159" i="3"/>
  <c r="ID159" i="3"/>
  <c r="IE159" i="3"/>
  <c r="IF159" i="3"/>
  <c r="IG159" i="3"/>
  <c r="IH159" i="3"/>
  <c r="II159" i="3"/>
  <c r="IJ159" i="3"/>
  <c r="IK159" i="3"/>
  <c r="IL159" i="3"/>
  <c r="IM159" i="3"/>
  <c r="IN159" i="3"/>
  <c r="IO159" i="3"/>
  <c r="IP159" i="3"/>
  <c r="IQ159" i="3"/>
  <c r="IR159" i="3"/>
  <c r="IS159" i="3"/>
  <c r="IT159" i="3"/>
  <c r="IU159" i="3"/>
  <c r="IV159" i="3"/>
  <c r="A158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AH158" i="3"/>
  <c r="AI158" i="3"/>
  <c r="AJ158" i="3"/>
  <c r="AK158" i="3"/>
  <c r="AL158" i="3"/>
  <c r="AM158" i="3"/>
  <c r="AN158" i="3"/>
  <c r="AO158" i="3"/>
  <c r="AP158" i="3"/>
  <c r="AQ158" i="3"/>
  <c r="AR158" i="3"/>
  <c r="AS158" i="3"/>
  <c r="AT158" i="3"/>
  <c r="AU158" i="3"/>
  <c r="AV158" i="3"/>
  <c r="AW158" i="3"/>
  <c r="AX158" i="3"/>
  <c r="AY158" i="3"/>
  <c r="AZ158" i="3"/>
  <c r="BA158" i="3"/>
  <c r="BB158" i="3"/>
  <c r="BC158" i="3"/>
  <c r="BD158" i="3"/>
  <c r="BE158" i="3"/>
  <c r="BF158" i="3"/>
  <c r="BG158" i="3"/>
  <c r="BH158" i="3"/>
  <c r="BI158" i="3"/>
  <c r="BJ158" i="3"/>
  <c r="BK158" i="3"/>
  <c r="BL158" i="3"/>
  <c r="BM158" i="3"/>
  <c r="BN158" i="3"/>
  <c r="BO158" i="3"/>
  <c r="BP158" i="3"/>
  <c r="BQ158" i="3"/>
  <c r="BR158" i="3"/>
  <c r="BS158" i="3"/>
  <c r="BT158" i="3"/>
  <c r="BU158" i="3"/>
  <c r="BV158" i="3"/>
  <c r="BW158" i="3"/>
  <c r="BX158" i="3"/>
  <c r="BY158" i="3"/>
  <c r="BZ158" i="3"/>
  <c r="CA158" i="3"/>
  <c r="CB158" i="3"/>
  <c r="CC158" i="3"/>
  <c r="CD158" i="3"/>
  <c r="CE158" i="3"/>
  <c r="CF158" i="3"/>
  <c r="CG158" i="3"/>
  <c r="CH158" i="3"/>
  <c r="CI158" i="3"/>
  <c r="CJ158" i="3"/>
  <c r="CK158" i="3"/>
  <c r="CL158" i="3"/>
  <c r="CM158" i="3"/>
  <c r="CN158" i="3"/>
  <c r="CO158" i="3"/>
  <c r="CP158" i="3"/>
  <c r="CQ158" i="3"/>
  <c r="CR158" i="3"/>
  <c r="CS158" i="3"/>
  <c r="CT158" i="3"/>
  <c r="CU158" i="3"/>
  <c r="CV158" i="3"/>
  <c r="CW158" i="3"/>
  <c r="CX158" i="3"/>
  <c r="CY158" i="3"/>
  <c r="CZ158" i="3"/>
  <c r="DA158" i="3"/>
  <c r="DB158" i="3"/>
  <c r="DC158" i="3"/>
  <c r="DD158" i="3"/>
  <c r="DE158" i="3"/>
  <c r="DF158" i="3"/>
  <c r="DG158" i="3"/>
  <c r="DH158" i="3"/>
  <c r="DI158" i="3"/>
  <c r="DJ158" i="3"/>
  <c r="DK158" i="3"/>
  <c r="DL158" i="3"/>
  <c r="DM158" i="3"/>
  <c r="DN158" i="3"/>
  <c r="DO158" i="3"/>
  <c r="DP158" i="3"/>
  <c r="DQ158" i="3"/>
  <c r="DR158" i="3"/>
  <c r="DS158" i="3"/>
  <c r="DT158" i="3"/>
  <c r="DU158" i="3"/>
  <c r="DV158" i="3"/>
  <c r="DW158" i="3"/>
  <c r="DX158" i="3"/>
  <c r="DY158" i="3"/>
  <c r="DZ158" i="3"/>
  <c r="EA158" i="3"/>
  <c r="EB158" i="3"/>
  <c r="EC158" i="3"/>
  <c r="ED158" i="3"/>
  <c r="EE158" i="3"/>
  <c r="EF158" i="3"/>
  <c r="EG158" i="3"/>
  <c r="EH158" i="3"/>
  <c r="EI158" i="3"/>
  <c r="EJ158" i="3"/>
  <c r="EK158" i="3"/>
  <c r="EL158" i="3"/>
  <c r="EM158" i="3"/>
  <c r="EN158" i="3"/>
  <c r="EO158" i="3"/>
  <c r="EP158" i="3"/>
  <c r="EQ158" i="3"/>
  <c r="ER158" i="3"/>
  <c r="ES158" i="3"/>
  <c r="ET158" i="3"/>
  <c r="EU158" i="3"/>
  <c r="EV158" i="3"/>
  <c r="EW158" i="3"/>
  <c r="EX158" i="3"/>
  <c r="EY158" i="3"/>
  <c r="EZ158" i="3"/>
  <c r="FA158" i="3"/>
  <c r="FB158" i="3"/>
  <c r="FC158" i="3"/>
  <c r="FD158" i="3"/>
  <c r="FE158" i="3"/>
  <c r="FF158" i="3"/>
  <c r="FG158" i="3"/>
  <c r="FH158" i="3"/>
  <c r="FI158" i="3"/>
  <c r="FJ158" i="3"/>
  <c r="FK158" i="3"/>
  <c r="FL158" i="3"/>
  <c r="FM158" i="3"/>
  <c r="FN158" i="3"/>
  <c r="FO158" i="3"/>
  <c r="FP158" i="3"/>
  <c r="FQ158" i="3"/>
  <c r="FR158" i="3"/>
  <c r="FS158" i="3"/>
  <c r="FT158" i="3"/>
  <c r="FU158" i="3"/>
  <c r="FV158" i="3"/>
  <c r="FW158" i="3"/>
  <c r="FX158" i="3"/>
  <c r="FY158" i="3"/>
  <c r="FZ158" i="3"/>
  <c r="GA158" i="3"/>
  <c r="GB158" i="3"/>
  <c r="GC158" i="3"/>
  <c r="GD158" i="3"/>
  <c r="GE158" i="3"/>
  <c r="GF158" i="3"/>
  <c r="GG158" i="3"/>
  <c r="GH158" i="3"/>
  <c r="GI158" i="3"/>
  <c r="GJ158" i="3"/>
  <c r="GK158" i="3"/>
  <c r="GL158" i="3"/>
  <c r="GM158" i="3"/>
  <c r="GN158" i="3"/>
  <c r="GO158" i="3"/>
  <c r="GP158" i="3"/>
  <c r="GQ158" i="3"/>
  <c r="GR158" i="3"/>
  <c r="GS158" i="3"/>
  <c r="GT158" i="3"/>
  <c r="GU158" i="3"/>
  <c r="GV158" i="3"/>
  <c r="GW158" i="3"/>
  <c r="GX158" i="3"/>
  <c r="GY158" i="3"/>
  <c r="GZ158" i="3"/>
  <c r="HA158" i="3"/>
  <c r="HB158" i="3"/>
  <c r="HC158" i="3"/>
  <c r="HD158" i="3"/>
  <c r="HE158" i="3"/>
  <c r="HF158" i="3"/>
  <c r="HG158" i="3"/>
  <c r="HH158" i="3"/>
  <c r="HI158" i="3"/>
  <c r="HJ158" i="3"/>
  <c r="HK158" i="3"/>
  <c r="HL158" i="3"/>
  <c r="HM158" i="3"/>
  <c r="HN158" i="3"/>
  <c r="HO158" i="3"/>
  <c r="HP158" i="3"/>
  <c r="HQ158" i="3"/>
  <c r="HR158" i="3"/>
  <c r="HS158" i="3"/>
  <c r="HT158" i="3"/>
  <c r="HU158" i="3"/>
  <c r="HV158" i="3"/>
  <c r="HW158" i="3"/>
  <c r="HX158" i="3"/>
  <c r="HY158" i="3"/>
  <c r="HZ158" i="3"/>
  <c r="IA158" i="3"/>
  <c r="IB158" i="3"/>
  <c r="IC158" i="3"/>
  <c r="ID158" i="3"/>
  <c r="IE158" i="3"/>
  <c r="IF158" i="3"/>
  <c r="IG158" i="3"/>
  <c r="IH158" i="3"/>
  <c r="II158" i="3"/>
  <c r="IJ158" i="3"/>
  <c r="IK158" i="3"/>
  <c r="IL158" i="3"/>
  <c r="IM158" i="3"/>
  <c r="IN158" i="3"/>
  <c r="IO158" i="3"/>
  <c r="IP158" i="3"/>
  <c r="IQ158" i="3"/>
  <c r="IR158" i="3"/>
  <c r="IS158" i="3"/>
  <c r="IT158" i="3"/>
  <c r="IU158" i="3"/>
  <c r="IV158" i="3"/>
  <c r="A157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AB157" i="3"/>
  <c r="AC157" i="3"/>
  <c r="AD157" i="3"/>
  <c r="AE157" i="3"/>
  <c r="AF157" i="3"/>
  <c r="AG157" i="3"/>
  <c r="AH157" i="3"/>
  <c r="AI157" i="3"/>
  <c r="AJ157" i="3"/>
  <c r="AK157" i="3"/>
  <c r="AL157" i="3"/>
  <c r="AM157" i="3"/>
  <c r="AN157" i="3"/>
  <c r="AO157" i="3"/>
  <c r="AP157" i="3"/>
  <c r="AQ157" i="3"/>
  <c r="AR157" i="3"/>
  <c r="AS157" i="3"/>
  <c r="AT157" i="3"/>
  <c r="AU157" i="3"/>
  <c r="AV157" i="3"/>
  <c r="AW157" i="3"/>
  <c r="AX157" i="3"/>
  <c r="AY157" i="3"/>
  <c r="AZ157" i="3"/>
  <c r="BA157" i="3"/>
  <c r="BB157" i="3"/>
  <c r="BC157" i="3"/>
  <c r="BD157" i="3"/>
  <c r="BE157" i="3"/>
  <c r="BF157" i="3"/>
  <c r="BG157" i="3"/>
  <c r="BH157" i="3"/>
  <c r="BI157" i="3"/>
  <c r="BJ157" i="3"/>
  <c r="BK157" i="3"/>
  <c r="BL157" i="3"/>
  <c r="BM157" i="3"/>
  <c r="BN157" i="3"/>
  <c r="BO157" i="3"/>
  <c r="BP157" i="3"/>
  <c r="BQ157" i="3"/>
  <c r="BR157" i="3"/>
  <c r="BS157" i="3"/>
  <c r="BT157" i="3"/>
  <c r="BU157" i="3"/>
  <c r="BV157" i="3"/>
  <c r="BW157" i="3"/>
  <c r="BX157" i="3"/>
  <c r="BY157" i="3"/>
  <c r="BZ157" i="3"/>
  <c r="CA157" i="3"/>
  <c r="CB157" i="3"/>
  <c r="CC157" i="3"/>
  <c r="CD157" i="3"/>
  <c r="CE157" i="3"/>
  <c r="CF157" i="3"/>
  <c r="CG157" i="3"/>
  <c r="CH157" i="3"/>
  <c r="CI157" i="3"/>
  <c r="CJ157" i="3"/>
  <c r="CK157" i="3"/>
  <c r="CL157" i="3"/>
  <c r="CM157" i="3"/>
  <c r="CN157" i="3"/>
  <c r="CO157" i="3"/>
  <c r="CP157" i="3"/>
  <c r="CQ157" i="3"/>
  <c r="CR157" i="3"/>
  <c r="CS157" i="3"/>
  <c r="CT157" i="3"/>
  <c r="CU157" i="3"/>
  <c r="CV157" i="3"/>
  <c r="CW157" i="3"/>
  <c r="CX157" i="3"/>
  <c r="CY157" i="3"/>
  <c r="CZ157" i="3"/>
  <c r="DA157" i="3"/>
  <c r="DB157" i="3"/>
  <c r="DC157" i="3"/>
  <c r="DD157" i="3"/>
  <c r="DE157" i="3"/>
  <c r="DF157" i="3"/>
  <c r="DG157" i="3"/>
  <c r="DH157" i="3"/>
  <c r="DI157" i="3"/>
  <c r="DJ157" i="3"/>
  <c r="DK157" i="3"/>
  <c r="DL157" i="3"/>
  <c r="DM157" i="3"/>
  <c r="DN157" i="3"/>
  <c r="DO157" i="3"/>
  <c r="DP157" i="3"/>
  <c r="DQ157" i="3"/>
  <c r="DR157" i="3"/>
  <c r="DS157" i="3"/>
  <c r="DT157" i="3"/>
  <c r="DU157" i="3"/>
  <c r="DV157" i="3"/>
  <c r="DW157" i="3"/>
  <c r="DX157" i="3"/>
  <c r="DY157" i="3"/>
  <c r="DZ157" i="3"/>
  <c r="EA157" i="3"/>
  <c r="EB157" i="3"/>
  <c r="EC157" i="3"/>
  <c r="ED157" i="3"/>
  <c r="EE157" i="3"/>
  <c r="EF157" i="3"/>
  <c r="EG157" i="3"/>
  <c r="EH157" i="3"/>
  <c r="EI157" i="3"/>
  <c r="EJ157" i="3"/>
  <c r="EK157" i="3"/>
  <c r="EL157" i="3"/>
  <c r="EM157" i="3"/>
  <c r="EN157" i="3"/>
  <c r="EO157" i="3"/>
  <c r="EP157" i="3"/>
  <c r="EQ157" i="3"/>
  <c r="ER157" i="3"/>
  <c r="ES157" i="3"/>
  <c r="ET157" i="3"/>
  <c r="EU157" i="3"/>
  <c r="EV157" i="3"/>
  <c r="EW157" i="3"/>
  <c r="EX157" i="3"/>
  <c r="EY157" i="3"/>
  <c r="EZ157" i="3"/>
  <c r="FA157" i="3"/>
  <c r="FB157" i="3"/>
  <c r="FC157" i="3"/>
  <c r="FD157" i="3"/>
  <c r="FE157" i="3"/>
  <c r="FF157" i="3"/>
  <c r="FG157" i="3"/>
  <c r="FH157" i="3"/>
  <c r="FI157" i="3"/>
  <c r="FJ157" i="3"/>
  <c r="FK157" i="3"/>
  <c r="FL157" i="3"/>
  <c r="FM157" i="3"/>
  <c r="FN157" i="3"/>
  <c r="FO157" i="3"/>
  <c r="FP157" i="3"/>
  <c r="FQ157" i="3"/>
  <c r="FR157" i="3"/>
  <c r="FS157" i="3"/>
  <c r="FT157" i="3"/>
  <c r="FU157" i="3"/>
  <c r="FV157" i="3"/>
  <c r="FW157" i="3"/>
  <c r="FX157" i="3"/>
  <c r="FY157" i="3"/>
  <c r="FZ157" i="3"/>
  <c r="GA157" i="3"/>
  <c r="GB157" i="3"/>
  <c r="GC157" i="3"/>
  <c r="GD157" i="3"/>
  <c r="GE157" i="3"/>
  <c r="GF157" i="3"/>
  <c r="GG157" i="3"/>
  <c r="GH157" i="3"/>
  <c r="GI157" i="3"/>
  <c r="GJ157" i="3"/>
  <c r="GK157" i="3"/>
  <c r="GL157" i="3"/>
  <c r="GM157" i="3"/>
  <c r="GN157" i="3"/>
  <c r="GO157" i="3"/>
  <c r="GP157" i="3"/>
  <c r="GQ157" i="3"/>
  <c r="GR157" i="3"/>
  <c r="GS157" i="3"/>
  <c r="GT157" i="3"/>
  <c r="GU157" i="3"/>
  <c r="GV157" i="3"/>
  <c r="GW157" i="3"/>
  <c r="GX157" i="3"/>
  <c r="GY157" i="3"/>
  <c r="GZ157" i="3"/>
  <c r="HA157" i="3"/>
  <c r="HB157" i="3"/>
  <c r="HC157" i="3"/>
  <c r="HD157" i="3"/>
  <c r="HE157" i="3"/>
  <c r="HF157" i="3"/>
  <c r="HG157" i="3"/>
  <c r="HH157" i="3"/>
  <c r="HI157" i="3"/>
  <c r="HJ157" i="3"/>
  <c r="HK157" i="3"/>
  <c r="HL157" i="3"/>
  <c r="HM157" i="3"/>
  <c r="HN157" i="3"/>
  <c r="HO157" i="3"/>
  <c r="HP157" i="3"/>
  <c r="HQ157" i="3"/>
  <c r="HR157" i="3"/>
  <c r="HS157" i="3"/>
  <c r="HT157" i="3"/>
  <c r="HU157" i="3"/>
  <c r="HV157" i="3"/>
  <c r="HW157" i="3"/>
  <c r="HX157" i="3"/>
  <c r="HY157" i="3"/>
  <c r="HZ157" i="3"/>
  <c r="IA157" i="3"/>
  <c r="IB157" i="3"/>
  <c r="IC157" i="3"/>
  <c r="ID157" i="3"/>
  <c r="IE157" i="3"/>
  <c r="IF157" i="3"/>
  <c r="IG157" i="3"/>
  <c r="IH157" i="3"/>
  <c r="II157" i="3"/>
  <c r="IJ157" i="3"/>
  <c r="IK157" i="3"/>
  <c r="IL157" i="3"/>
  <c r="IM157" i="3"/>
  <c r="IN157" i="3"/>
  <c r="IO157" i="3"/>
  <c r="IP157" i="3"/>
  <c r="IQ157" i="3"/>
  <c r="IR157" i="3"/>
  <c r="IS157" i="3"/>
  <c r="IT157" i="3"/>
  <c r="IU157" i="3"/>
  <c r="IV157" i="3"/>
  <c r="A156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AB156" i="3"/>
  <c r="AC156" i="3"/>
  <c r="AD156" i="3"/>
  <c r="AE156" i="3"/>
  <c r="AF156" i="3"/>
  <c r="AG156" i="3"/>
  <c r="AH156" i="3"/>
  <c r="AI156" i="3"/>
  <c r="AJ156" i="3"/>
  <c r="AK156" i="3"/>
  <c r="AL156" i="3"/>
  <c r="AM156" i="3"/>
  <c r="AN156" i="3"/>
  <c r="AO156" i="3"/>
  <c r="AP156" i="3"/>
  <c r="AQ156" i="3"/>
  <c r="AR156" i="3"/>
  <c r="AS156" i="3"/>
  <c r="AT156" i="3"/>
  <c r="AU156" i="3"/>
  <c r="AV156" i="3"/>
  <c r="AW156" i="3"/>
  <c r="AX156" i="3"/>
  <c r="AY156" i="3"/>
  <c r="AZ156" i="3"/>
  <c r="BA156" i="3"/>
  <c r="BB156" i="3"/>
  <c r="BC156" i="3"/>
  <c r="BD156" i="3"/>
  <c r="BE156" i="3"/>
  <c r="BF156" i="3"/>
  <c r="BG156" i="3"/>
  <c r="BH156" i="3"/>
  <c r="BI156" i="3"/>
  <c r="BJ156" i="3"/>
  <c r="BK156" i="3"/>
  <c r="BL156" i="3"/>
  <c r="BM156" i="3"/>
  <c r="BN156" i="3"/>
  <c r="BO156" i="3"/>
  <c r="BP156" i="3"/>
  <c r="BQ156" i="3"/>
  <c r="BR156" i="3"/>
  <c r="BS156" i="3"/>
  <c r="BT156" i="3"/>
  <c r="BU156" i="3"/>
  <c r="BV156" i="3"/>
  <c r="BW156" i="3"/>
  <c r="BX156" i="3"/>
  <c r="BY156" i="3"/>
  <c r="BZ156" i="3"/>
  <c r="CA156" i="3"/>
  <c r="CB156" i="3"/>
  <c r="CC156" i="3"/>
  <c r="CD156" i="3"/>
  <c r="CE156" i="3"/>
  <c r="CF156" i="3"/>
  <c r="CG156" i="3"/>
  <c r="CH156" i="3"/>
  <c r="CI156" i="3"/>
  <c r="CJ156" i="3"/>
  <c r="CK156" i="3"/>
  <c r="CL156" i="3"/>
  <c r="CM156" i="3"/>
  <c r="CN156" i="3"/>
  <c r="CO156" i="3"/>
  <c r="CP156" i="3"/>
  <c r="CQ156" i="3"/>
  <c r="CR156" i="3"/>
  <c r="CS156" i="3"/>
  <c r="CT156" i="3"/>
  <c r="CU156" i="3"/>
  <c r="CV156" i="3"/>
  <c r="CW156" i="3"/>
  <c r="CX156" i="3"/>
  <c r="CY156" i="3"/>
  <c r="CZ156" i="3"/>
  <c r="DA156" i="3"/>
  <c r="DB156" i="3"/>
  <c r="DC156" i="3"/>
  <c r="DD156" i="3"/>
  <c r="DE156" i="3"/>
  <c r="DF156" i="3"/>
  <c r="DG156" i="3"/>
  <c r="DH156" i="3"/>
  <c r="DI156" i="3"/>
  <c r="DJ156" i="3"/>
  <c r="DK156" i="3"/>
  <c r="DL156" i="3"/>
  <c r="DM156" i="3"/>
  <c r="DN156" i="3"/>
  <c r="DO156" i="3"/>
  <c r="DP156" i="3"/>
  <c r="DQ156" i="3"/>
  <c r="DR156" i="3"/>
  <c r="DS156" i="3"/>
  <c r="DT156" i="3"/>
  <c r="DU156" i="3"/>
  <c r="DV156" i="3"/>
  <c r="DW156" i="3"/>
  <c r="DX156" i="3"/>
  <c r="DY156" i="3"/>
  <c r="DZ156" i="3"/>
  <c r="EA156" i="3"/>
  <c r="EB156" i="3"/>
  <c r="EC156" i="3"/>
  <c r="ED156" i="3"/>
  <c r="EE156" i="3"/>
  <c r="EF156" i="3"/>
  <c r="EG156" i="3"/>
  <c r="EH156" i="3"/>
  <c r="EI156" i="3"/>
  <c r="EJ156" i="3"/>
  <c r="EK156" i="3"/>
  <c r="EL156" i="3"/>
  <c r="EM156" i="3"/>
  <c r="EN156" i="3"/>
  <c r="EO156" i="3"/>
  <c r="EP156" i="3"/>
  <c r="EQ156" i="3"/>
  <c r="ER156" i="3"/>
  <c r="ES156" i="3"/>
  <c r="ET156" i="3"/>
  <c r="EU156" i="3"/>
  <c r="EV156" i="3"/>
  <c r="EW156" i="3"/>
  <c r="EX156" i="3"/>
  <c r="EY156" i="3"/>
  <c r="EZ156" i="3"/>
  <c r="FA156" i="3"/>
  <c r="FB156" i="3"/>
  <c r="FC156" i="3"/>
  <c r="FD156" i="3"/>
  <c r="FE156" i="3"/>
  <c r="FF156" i="3"/>
  <c r="FG156" i="3"/>
  <c r="FH156" i="3"/>
  <c r="FI156" i="3"/>
  <c r="FJ156" i="3"/>
  <c r="FK156" i="3"/>
  <c r="FL156" i="3"/>
  <c r="FM156" i="3"/>
  <c r="FN156" i="3"/>
  <c r="FO156" i="3"/>
  <c r="FP156" i="3"/>
  <c r="FQ156" i="3"/>
  <c r="FR156" i="3"/>
  <c r="FS156" i="3"/>
  <c r="FT156" i="3"/>
  <c r="FU156" i="3"/>
  <c r="FV156" i="3"/>
  <c r="FW156" i="3"/>
  <c r="FX156" i="3"/>
  <c r="FY156" i="3"/>
  <c r="FZ156" i="3"/>
  <c r="GA156" i="3"/>
  <c r="GB156" i="3"/>
  <c r="GC156" i="3"/>
  <c r="GD156" i="3"/>
  <c r="GE156" i="3"/>
  <c r="GF156" i="3"/>
  <c r="GG156" i="3"/>
  <c r="GH156" i="3"/>
  <c r="GI156" i="3"/>
  <c r="GJ156" i="3"/>
  <c r="GK156" i="3"/>
  <c r="GL156" i="3"/>
  <c r="GM156" i="3"/>
  <c r="GN156" i="3"/>
  <c r="GO156" i="3"/>
  <c r="GP156" i="3"/>
  <c r="GQ156" i="3"/>
  <c r="GR156" i="3"/>
  <c r="GS156" i="3"/>
  <c r="GT156" i="3"/>
  <c r="GU156" i="3"/>
  <c r="GV156" i="3"/>
  <c r="GW156" i="3"/>
  <c r="GX156" i="3"/>
  <c r="GY156" i="3"/>
  <c r="GZ156" i="3"/>
  <c r="HA156" i="3"/>
  <c r="HB156" i="3"/>
  <c r="HC156" i="3"/>
  <c r="HD156" i="3"/>
  <c r="HE156" i="3"/>
  <c r="HF156" i="3"/>
  <c r="HG156" i="3"/>
  <c r="HH156" i="3"/>
  <c r="HI156" i="3"/>
  <c r="HJ156" i="3"/>
  <c r="HK156" i="3"/>
  <c r="HL156" i="3"/>
  <c r="HM156" i="3"/>
  <c r="HN156" i="3"/>
  <c r="HO156" i="3"/>
  <c r="HP156" i="3"/>
  <c r="HQ156" i="3"/>
  <c r="HR156" i="3"/>
  <c r="HS156" i="3"/>
  <c r="HT156" i="3"/>
  <c r="HU156" i="3"/>
  <c r="HV156" i="3"/>
  <c r="HW156" i="3"/>
  <c r="HX156" i="3"/>
  <c r="HY156" i="3"/>
  <c r="HZ156" i="3"/>
  <c r="IA156" i="3"/>
  <c r="IB156" i="3"/>
  <c r="IC156" i="3"/>
  <c r="ID156" i="3"/>
  <c r="IE156" i="3"/>
  <c r="IF156" i="3"/>
  <c r="IG156" i="3"/>
  <c r="IH156" i="3"/>
  <c r="II156" i="3"/>
  <c r="IJ156" i="3"/>
  <c r="IK156" i="3"/>
  <c r="IL156" i="3"/>
  <c r="IM156" i="3"/>
  <c r="IN156" i="3"/>
  <c r="IO156" i="3"/>
  <c r="IP156" i="3"/>
  <c r="IQ156" i="3"/>
  <c r="IR156" i="3"/>
  <c r="IS156" i="3"/>
  <c r="IT156" i="3"/>
  <c r="IU156" i="3"/>
  <c r="IV156" i="3"/>
  <c r="A155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AB155" i="3"/>
  <c r="AC155" i="3"/>
  <c r="AD155" i="3"/>
  <c r="AE155" i="3"/>
  <c r="AF155" i="3"/>
  <c r="AG155" i="3"/>
  <c r="AH155" i="3"/>
  <c r="AI155" i="3"/>
  <c r="AJ155" i="3"/>
  <c r="AK155" i="3"/>
  <c r="AL155" i="3"/>
  <c r="AM155" i="3"/>
  <c r="AN155" i="3"/>
  <c r="AO155" i="3"/>
  <c r="AP155" i="3"/>
  <c r="AQ155" i="3"/>
  <c r="AR155" i="3"/>
  <c r="AS155" i="3"/>
  <c r="AT155" i="3"/>
  <c r="AU155" i="3"/>
  <c r="AV155" i="3"/>
  <c r="AW155" i="3"/>
  <c r="AX155" i="3"/>
  <c r="AY155" i="3"/>
  <c r="AZ155" i="3"/>
  <c r="BA155" i="3"/>
  <c r="BB155" i="3"/>
  <c r="BC155" i="3"/>
  <c r="BD155" i="3"/>
  <c r="BE155" i="3"/>
  <c r="BF155" i="3"/>
  <c r="BG155" i="3"/>
  <c r="BH155" i="3"/>
  <c r="BI155" i="3"/>
  <c r="BJ155" i="3"/>
  <c r="BK155" i="3"/>
  <c r="BL155" i="3"/>
  <c r="BM155" i="3"/>
  <c r="BN155" i="3"/>
  <c r="BO155" i="3"/>
  <c r="BP155" i="3"/>
  <c r="BQ155" i="3"/>
  <c r="BR155" i="3"/>
  <c r="BS155" i="3"/>
  <c r="BT155" i="3"/>
  <c r="BU155" i="3"/>
  <c r="BV155" i="3"/>
  <c r="BW155" i="3"/>
  <c r="BX155" i="3"/>
  <c r="BY155" i="3"/>
  <c r="BZ155" i="3"/>
  <c r="CA155" i="3"/>
  <c r="CB155" i="3"/>
  <c r="CC155" i="3"/>
  <c r="CD155" i="3"/>
  <c r="CE155" i="3"/>
  <c r="CF155" i="3"/>
  <c r="CG155" i="3"/>
  <c r="CH155" i="3"/>
  <c r="CI155" i="3"/>
  <c r="CJ155" i="3"/>
  <c r="CK155" i="3"/>
  <c r="CL155" i="3"/>
  <c r="CM155" i="3"/>
  <c r="CN155" i="3"/>
  <c r="CO155" i="3"/>
  <c r="CP155" i="3"/>
  <c r="CQ155" i="3"/>
  <c r="CR155" i="3"/>
  <c r="CS155" i="3"/>
  <c r="CT155" i="3"/>
  <c r="CU155" i="3"/>
  <c r="CV155" i="3"/>
  <c r="CW155" i="3"/>
  <c r="CX155" i="3"/>
  <c r="CY155" i="3"/>
  <c r="CZ155" i="3"/>
  <c r="DA155" i="3"/>
  <c r="DB155" i="3"/>
  <c r="DC155" i="3"/>
  <c r="DD155" i="3"/>
  <c r="DE155" i="3"/>
  <c r="DF155" i="3"/>
  <c r="DG155" i="3"/>
  <c r="DH155" i="3"/>
  <c r="DI155" i="3"/>
  <c r="DJ155" i="3"/>
  <c r="DK155" i="3"/>
  <c r="DL155" i="3"/>
  <c r="DM155" i="3"/>
  <c r="DN155" i="3"/>
  <c r="DO155" i="3"/>
  <c r="DP155" i="3"/>
  <c r="DQ155" i="3"/>
  <c r="DR155" i="3"/>
  <c r="DS155" i="3"/>
  <c r="DT155" i="3"/>
  <c r="DU155" i="3"/>
  <c r="DV155" i="3"/>
  <c r="DW155" i="3"/>
  <c r="DX155" i="3"/>
  <c r="DY155" i="3"/>
  <c r="DZ155" i="3"/>
  <c r="EA155" i="3"/>
  <c r="EB155" i="3"/>
  <c r="EC155" i="3"/>
  <c r="ED155" i="3"/>
  <c r="EE155" i="3"/>
  <c r="EF155" i="3"/>
  <c r="EG155" i="3"/>
  <c r="EH155" i="3"/>
  <c r="EI155" i="3"/>
  <c r="EJ155" i="3"/>
  <c r="EK155" i="3"/>
  <c r="EL155" i="3"/>
  <c r="EM155" i="3"/>
  <c r="EN155" i="3"/>
  <c r="EO155" i="3"/>
  <c r="EP155" i="3"/>
  <c r="EQ155" i="3"/>
  <c r="ER155" i="3"/>
  <c r="ES155" i="3"/>
  <c r="ET155" i="3"/>
  <c r="EU155" i="3"/>
  <c r="EV155" i="3"/>
  <c r="EW155" i="3"/>
  <c r="EX155" i="3"/>
  <c r="EY155" i="3"/>
  <c r="EZ155" i="3"/>
  <c r="FA155" i="3"/>
  <c r="FB155" i="3"/>
  <c r="FC155" i="3"/>
  <c r="FD155" i="3"/>
  <c r="FE155" i="3"/>
  <c r="FF155" i="3"/>
  <c r="FG155" i="3"/>
  <c r="FH155" i="3"/>
  <c r="FI155" i="3"/>
  <c r="FJ155" i="3"/>
  <c r="FK155" i="3"/>
  <c r="FL155" i="3"/>
  <c r="FM155" i="3"/>
  <c r="FN155" i="3"/>
  <c r="FO155" i="3"/>
  <c r="FP155" i="3"/>
  <c r="FQ155" i="3"/>
  <c r="FR155" i="3"/>
  <c r="FS155" i="3"/>
  <c r="FT155" i="3"/>
  <c r="FU155" i="3"/>
  <c r="FV155" i="3"/>
  <c r="FW155" i="3"/>
  <c r="FX155" i="3"/>
  <c r="FY155" i="3"/>
  <c r="FZ155" i="3"/>
  <c r="GA155" i="3"/>
  <c r="GB155" i="3"/>
  <c r="GC155" i="3"/>
  <c r="GD155" i="3"/>
  <c r="GE155" i="3"/>
  <c r="GF155" i="3"/>
  <c r="GG155" i="3"/>
  <c r="GH155" i="3"/>
  <c r="GI155" i="3"/>
  <c r="GJ155" i="3"/>
  <c r="GK155" i="3"/>
  <c r="GL155" i="3"/>
  <c r="GM155" i="3"/>
  <c r="GN155" i="3"/>
  <c r="GO155" i="3"/>
  <c r="GP155" i="3"/>
  <c r="GQ155" i="3"/>
  <c r="GR155" i="3"/>
  <c r="GS155" i="3"/>
  <c r="GT155" i="3"/>
  <c r="GU155" i="3"/>
  <c r="GV155" i="3"/>
  <c r="GW155" i="3"/>
  <c r="GX155" i="3"/>
  <c r="GY155" i="3"/>
  <c r="GZ155" i="3"/>
  <c r="HA155" i="3"/>
  <c r="HB155" i="3"/>
  <c r="HC155" i="3"/>
  <c r="HD155" i="3"/>
  <c r="HE155" i="3"/>
  <c r="HF155" i="3"/>
  <c r="HG155" i="3"/>
  <c r="HH155" i="3"/>
  <c r="HI155" i="3"/>
  <c r="HJ155" i="3"/>
  <c r="HK155" i="3"/>
  <c r="HL155" i="3"/>
  <c r="HM155" i="3"/>
  <c r="HN155" i="3"/>
  <c r="HO155" i="3"/>
  <c r="HP155" i="3"/>
  <c r="HQ155" i="3"/>
  <c r="HR155" i="3"/>
  <c r="HS155" i="3"/>
  <c r="HT155" i="3"/>
  <c r="HU155" i="3"/>
  <c r="HV155" i="3"/>
  <c r="HW155" i="3"/>
  <c r="HX155" i="3"/>
  <c r="HY155" i="3"/>
  <c r="HZ155" i="3"/>
  <c r="IA155" i="3"/>
  <c r="IB155" i="3"/>
  <c r="IC155" i="3"/>
  <c r="ID155" i="3"/>
  <c r="IE155" i="3"/>
  <c r="IF155" i="3"/>
  <c r="IG155" i="3"/>
  <c r="IH155" i="3"/>
  <c r="II155" i="3"/>
  <c r="IJ155" i="3"/>
  <c r="IK155" i="3"/>
  <c r="IL155" i="3"/>
  <c r="IM155" i="3"/>
  <c r="IN155" i="3"/>
  <c r="IO155" i="3"/>
  <c r="IP155" i="3"/>
  <c r="IQ155" i="3"/>
  <c r="IR155" i="3"/>
  <c r="IS155" i="3"/>
  <c r="IT155" i="3"/>
  <c r="IU155" i="3"/>
  <c r="IV155" i="3"/>
  <c r="A154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AE154" i="3"/>
  <c r="AF154" i="3"/>
  <c r="AG154" i="3"/>
  <c r="AH154" i="3"/>
  <c r="AI154" i="3"/>
  <c r="AJ154" i="3"/>
  <c r="AK154" i="3"/>
  <c r="AL154" i="3"/>
  <c r="AM154" i="3"/>
  <c r="AN154" i="3"/>
  <c r="AO154" i="3"/>
  <c r="AP154" i="3"/>
  <c r="AQ154" i="3"/>
  <c r="AR154" i="3"/>
  <c r="AS154" i="3"/>
  <c r="AT154" i="3"/>
  <c r="AU154" i="3"/>
  <c r="AV154" i="3"/>
  <c r="AW154" i="3"/>
  <c r="AX154" i="3"/>
  <c r="AY154" i="3"/>
  <c r="AZ154" i="3"/>
  <c r="BA154" i="3"/>
  <c r="BB154" i="3"/>
  <c r="BC154" i="3"/>
  <c r="BD154" i="3"/>
  <c r="BE154" i="3"/>
  <c r="BF154" i="3"/>
  <c r="BG154" i="3"/>
  <c r="BH154" i="3"/>
  <c r="BI154" i="3"/>
  <c r="BJ154" i="3"/>
  <c r="BK154" i="3"/>
  <c r="BL154" i="3"/>
  <c r="BM154" i="3"/>
  <c r="BN154" i="3"/>
  <c r="BO154" i="3"/>
  <c r="BP154" i="3"/>
  <c r="BQ154" i="3"/>
  <c r="BR154" i="3"/>
  <c r="BS154" i="3"/>
  <c r="BT154" i="3"/>
  <c r="BU154" i="3"/>
  <c r="BV154" i="3"/>
  <c r="BW154" i="3"/>
  <c r="BX154" i="3"/>
  <c r="BY154" i="3"/>
  <c r="BZ154" i="3"/>
  <c r="CA154" i="3"/>
  <c r="CB154" i="3"/>
  <c r="CC154" i="3"/>
  <c r="CD154" i="3"/>
  <c r="CE154" i="3"/>
  <c r="CF154" i="3"/>
  <c r="CG154" i="3"/>
  <c r="CH154" i="3"/>
  <c r="CI154" i="3"/>
  <c r="CJ154" i="3"/>
  <c r="CK154" i="3"/>
  <c r="CL154" i="3"/>
  <c r="CM154" i="3"/>
  <c r="CN154" i="3"/>
  <c r="CO154" i="3"/>
  <c r="CP154" i="3"/>
  <c r="CQ154" i="3"/>
  <c r="CR154" i="3"/>
  <c r="CS154" i="3"/>
  <c r="CT154" i="3"/>
  <c r="CU154" i="3"/>
  <c r="CV154" i="3"/>
  <c r="CW154" i="3"/>
  <c r="CX154" i="3"/>
  <c r="CY154" i="3"/>
  <c r="CZ154" i="3"/>
  <c r="DA154" i="3"/>
  <c r="DB154" i="3"/>
  <c r="DC154" i="3"/>
  <c r="DD154" i="3"/>
  <c r="DE154" i="3"/>
  <c r="DF154" i="3"/>
  <c r="DG154" i="3"/>
  <c r="DH154" i="3"/>
  <c r="DI154" i="3"/>
  <c r="DJ154" i="3"/>
  <c r="DK154" i="3"/>
  <c r="DL154" i="3"/>
  <c r="DM154" i="3"/>
  <c r="DN154" i="3"/>
  <c r="DO154" i="3"/>
  <c r="DP154" i="3"/>
  <c r="DQ154" i="3"/>
  <c r="DR154" i="3"/>
  <c r="DS154" i="3"/>
  <c r="DT154" i="3"/>
  <c r="DU154" i="3"/>
  <c r="DV154" i="3"/>
  <c r="DW154" i="3"/>
  <c r="DX154" i="3"/>
  <c r="DY154" i="3"/>
  <c r="DZ154" i="3"/>
  <c r="EA154" i="3"/>
  <c r="EB154" i="3"/>
  <c r="EC154" i="3"/>
  <c r="ED154" i="3"/>
  <c r="EE154" i="3"/>
  <c r="EF154" i="3"/>
  <c r="EG154" i="3"/>
  <c r="EH154" i="3"/>
  <c r="EI154" i="3"/>
  <c r="EJ154" i="3"/>
  <c r="EK154" i="3"/>
  <c r="EL154" i="3"/>
  <c r="EM154" i="3"/>
  <c r="EN154" i="3"/>
  <c r="EO154" i="3"/>
  <c r="EP154" i="3"/>
  <c r="EQ154" i="3"/>
  <c r="ER154" i="3"/>
  <c r="ES154" i="3"/>
  <c r="ET154" i="3"/>
  <c r="EU154" i="3"/>
  <c r="EV154" i="3"/>
  <c r="EW154" i="3"/>
  <c r="EX154" i="3"/>
  <c r="EY154" i="3"/>
  <c r="EZ154" i="3"/>
  <c r="FA154" i="3"/>
  <c r="FB154" i="3"/>
  <c r="FC154" i="3"/>
  <c r="FD154" i="3"/>
  <c r="FE154" i="3"/>
  <c r="FF154" i="3"/>
  <c r="FG154" i="3"/>
  <c r="FH154" i="3"/>
  <c r="FI154" i="3"/>
  <c r="FJ154" i="3"/>
  <c r="FK154" i="3"/>
  <c r="FL154" i="3"/>
  <c r="FM154" i="3"/>
  <c r="FN154" i="3"/>
  <c r="FO154" i="3"/>
  <c r="FP154" i="3"/>
  <c r="FQ154" i="3"/>
  <c r="FR154" i="3"/>
  <c r="FS154" i="3"/>
  <c r="FT154" i="3"/>
  <c r="FU154" i="3"/>
  <c r="FV154" i="3"/>
  <c r="FW154" i="3"/>
  <c r="FX154" i="3"/>
  <c r="FY154" i="3"/>
  <c r="FZ154" i="3"/>
  <c r="GA154" i="3"/>
  <c r="GB154" i="3"/>
  <c r="GC154" i="3"/>
  <c r="GD154" i="3"/>
  <c r="GE154" i="3"/>
  <c r="GF154" i="3"/>
  <c r="GG154" i="3"/>
  <c r="GH154" i="3"/>
  <c r="GI154" i="3"/>
  <c r="GJ154" i="3"/>
  <c r="GK154" i="3"/>
  <c r="GL154" i="3"/>
  <c r="GM154" i="3"/>
  <c r="GN154" i="3"/>
  <c r="GO154" i="3"/>
  <c r="GP154" i="3"/>
  <c r="GQ154" i="3"/>
  <c r="GR154" i="3"/>
  <c r="GS154" i="3"/>
  <c r="GT154" i="3"/>
  <c r="GU154" i="3"/>
  <c r="GV154" i="3"/>
  <c r="GW154" i="3"/>
  <c r="GX154" i="3"/>
  <c r="GY154" i="3"/>
  <c r="GZ154" i="3"/>
  <c r="HA154" i="3"/>
  <c r="HB154" i="3"/>
  <c r="HC154" i="3"/>
  <c r="HD154" i="3"/>
  <c r="HE154" i="3"/>
  <c r="HF154" i="3"/>
  <c r="HG154" i="3"/>
  <c r="HH154" i="3"/>
  <c r="HI154" i="3"/>
  <c r="HJ154" i="3"/>
  <c r="HK154" i="3"/>
  <c r="HL154" i="3"/>
  <c r="HM154" i="3"/>
  <c r="HN154" i="3"/>
  <c r="HO154" i="3"/>
  <c r="HP154" i="3"/>
  <c r="HQ154" i="3"/>
  <c r="HR154" i="3"/>
  <c r="HS154" i="3"/>
  <c r="HT154" i="3"/>
  <c r="HU154" i="3"/>
  <c r="HV154" i="3"/>
  <c r="HW154" i="3"/>
  <c r="HX154" i="3"/>
  <c r="HY154" i="3"/>
  <c r="HZ154" i="3"/>
  <c r="IA154" i="3"/>
  <c r="IB154" i="3"/>
  <c r="IC154" i="3"/>
  <c r="ID154" i="3"/>
  <c r="IE154" i="3"/>
  <c r="IF154" i="3"/>
  <c r="IG154" i="3"/>
  <c r="IH154" i="3"/>
  <c r="II154" i="3"/>
  <c r="IJ154" i="3"/>
  <c r="IK154" i="3"/>
  <c r="IL154" i="3"/>
  <c r="IM154" i="3"/>
  <c r="IN154" i="3"/>
  <c r="IO154" i="3"/>
  <c r="IP154" i="3"/>
  <c r="IQ154" i="3"/>
  <c r="IR154" i="3"/>
  <c r="IS154" i="3"/>
  <c r="IT154" i="3"/>
  <c r="IU154" i="3"/>
  <c r="IV154" i="3"/>
  <c r="A153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AC153" i="3"/>
  <c r="AD153" i="3"/>
  <c r="AE153" i="3"/>
  <c r="AF153" i="3"/>
  <c r="AG153" i="3"/>
  <c r="AH153" i="3"/>
  <c r="AI153" i="3"/>
  <c r="AJ153" i="3"/>
  <c r="AK153" i="3"/>
  <c r="AL153" i="3"/>
  <c r="AM153" i="3"/>
  <c r="AN153" i="3"/>
  <c r="AO153" i="3"/>
  <c r="AP153" i="3"/>
  <c r="AQ153" i="3"/>
  <c r="AR153" i="3"/>
  <c r="AS153" i="3"/>
  <c r="AT153" i="3"/>
  <c r="AU153" i="3"/>
  <c r="AV153" i="3"/>
  <c r="AW153" i="3"/>
  <c r="AX153" i="3"/>
  <c r="AY153" i="3"/>
  <c r="AZ153" i="3"/>
  <c r="BA153" i="3"/>
  <c r="BB153" i="3"/>
  <c r="BC153" i="3"/>
  <c r="BD153" i="3"/>
  <c r="BE153" i="3"/>
  <c r="BF153" i="3"/>
  <c r="BG153" i="3"/>
  <c r="BH153" i="3"/>
  <c r="BI153" i="3"/>
  <c r="BJ153" i="3"/>
  <c r="BK153" i="3"/>
  <c r="BL153" i="3"/>
  <c r="BM153" i="3"/>
  <c r="BN153" i="3"/>
  <c r="BO153" i="3"/>
  <c r="BP153" i="3"/>
  <c r="BQ153" i="3"/>
  <c r="BR153" i="3"/>
  <c r="BS153" i="3"/>
  <c r="BT153" i="3"/>
  <c r="BU153" i="3"/>
  <c r="BV153" i="3"/>
  <c r="BW153" i="3"/>
  <c r="BX153" i="3"/>
  <c r="BY153" i="3"/>
  <c r="BZ153" i="3"/>
  <c r="CA153" i="3"/>
  <c r="CB153" i="3"/>
  <c r="CC153" i="3"/>
  <c r="CD153" i="3"/>
  <c r="CE153" i="3"/>
  <c r="CF153" i="3"/>
  <c r="CG153" i="3"/>
  <c r="CH153" i="3"/>
  <c r="CI153" i="3"/>
  <c r="CJ153" i="3"/>
  <c r="CK153" i="3"/>
  <c r="CL153" i="3"/>
  <c r="CM153" i="3"/>
  <c r="CN153" i="3"/>
  <c r="CO153" i="3"/>
  <c r="CP153" i="3"/>
  <c r="CQ153" i="3"/>
  <c r="CR153" i="3"/>
  <c r="CS153" i="3"/>
  <c r="CT153" i="3"/>
  <c r="CU153" i="3"/>
  <c r="CV153" i="3"/>
  <c r="CW153" i="3"/>
  <c r="CX153" i="3"/>
  <c r="CY153" i="3"/>
  <c r="CZ153" i="3"/>
  <c r="DA153" i="3"/>
  <c r="DB153" i="3"/>
  <c r="DC153" i="3"/>
  <c r="DD153" i="3"/>
  <c r="DE153" i="3"/>
  <c r="DF153" i="3"/>
  <c r="DG153" i="3"/>
  <c r="DH153" i="3"/>
  <c r="DI153" i="3"/>
  <c r="DJ153" i="3"/>
  <c r="DK153" i="3"/>
  <c r="DL153" i="3"/>
  <c r="DM153" i="3"/>
  <c r="DN153" i="3"/>
  <c r="DO153" i="3"/>
  <c r="DP153" i="3"/>
  <c r="DQ153" i="3"/>
  <c r="DR153" i="3"/>
  <c r="DS153" i="3"/>
  <c r="DT153" i="3"/>
  <c r="DU153" i="3"/>
  <c r="DV153" i="3"/>
  <c r="DW153" i="3"/>
  <c r="DX153" i="3"/>
  <c r="DY153" i="3"/>
  <c r="DZ153" i="3"/>
  <c r="EA153" i="3"/>
  <c r="EB153" i="3"/>
  <c r="EC153" i="3"/>
  <c r="ED153" i="3"/>
  <c r="EE153" i="3"/>
  <c r="EF153" i="3"/>
  <c r="EG153" i="3"/>
  <c r="EH153" i="3"/>
  <c r="EI153" i="3"/>
  <c r="EJ153" i="3"/>
  <c r="EK153" i="3"/>
  <c r="EL153" i="3"/>
  <c r="EM153" i="3"/>
  <c r="EN153" i="3"/>
  <c r="EO153" i="3"/>
  <c r="EP153" i="3"/>
  <c r="EQ153" i="3"/>
  <c r="ER153" i="3"/>
  <c r="ES153" i="3"/>
  <c r="ET153" i="3"/>
  <c r="EU153" i="3"/>
  <c r="EV153" i="3"/>
  <c r="EW153" i="3"/>
  <c r="EX153" i="3"/>
  <c r="EY153" i="3"/>
  <c r="EZ153" i="3"/>
  <c r="FA153" i="3"/>
  <c r="FB153" i="3"/>
  <c r="FC153" i="3"/>
  <c r="FD153" i="3"/>
  <c r="FE153" i="3"/>
  <c r="FF153" i="3"/>
  <c r="FG153" i="3"/>
  <c r="FH153" i="3"/>
  <c r="FI153" i="3"/>
  <c r="FJ153" i="3"/>
  <c r="FK153" i="3"/>
  <c r="FL153" i="3"/>
  <c r="FM153" i="3"/>
  <c r="FN153" i="3"/>
  <c r="FO153" i="3"/>
  <c r="FP153" i="3"/>
  <c r="FQ153" i="3"/>
  <c r="FR153" i="3"/>
  <c r="FS153" i="3"/>
  <c r="FT153" i="3"/>
  <c r="FU153" i="3"/>
  <c r="FV153" i="3"/>
  <c r="FW153" i="3"/>
  <c r="FX153" i="3"/>
  <c r="FY153" i="3"/>
  <c r="FZ153" i="3"/>
  <c r="GA153" i="3"/>
  <c r="GB153" i="3"/>
  <c r="GC153" i="3"/>
  <c r="GD153" i="3"/>
  <c r="GE153" i="3"/>
  <c r="GF153" i="3"/>
  <c r="GG153" i="3"/>
  <c r="GH153" i="3"/>
  <c r="GI153" i="3"/>
  <c r="GJ153" i="3"/>
  <c r="GK153" i="3"/>
  <c r="GL153" i="3"/>
  <c r="GM153" i="3"/>
  <c r="GN153" i="3"/>
  <c r="GO153" i="3"/>
  <c r="GP153" i="3"/>
  <c r="GQ153" i="3"/>
  <c r="GR153" i="3"/>
  <c r="GS153" i="3"/>
  <c r="GT153" i="3"/>
  <c r="GU153" i="3"/>
  <c r="GV153" i="3"/>
  <c r="GW153" i="3"/>
  <c r="GX153" i="3"/>
  <c r="GY153" i="3"/>
  <c r="GZ153" i="3"/>
  <c r="HA153" i="3"/>
  <c r="HB153" i="3"/>
  <c r="HC153" i="3"/>
  <c r="HD153" i="3"/>
  <c r="HE153" i="3"/>
  <c r="HF153" i="3"/>
  <c r="HG153" i="3"/>
  <c r="HH153" i="3"/>
  <c r="HI153" i="3"/>
  <c r="HJ153" i="3"/>
  <c r="HK153" i="3"/>
  <c r="HL153" i="3"/>
  <c r="HM153" i="3"/>
  <c r="HN153" i="3"/>
  <c r="HO153" i="3"/>
  <c r="HP153" i="3"/>
  <c r="HQ153" i="3"/>
  <c r="HR153" i="3"/>
  <c r="HS153" i="3"/>
  <c r="HT153" i="3"/>
  <c r="HU153" i="3"/>
  <c r="HV153" i="3"/>
  <c r="HW153" i="3"/>
  <c r="HX153" i="3"/>
  <c r="HY153" i="3"/>
  <c r="HZ153" i="3"/>
  <c r="IA153" i="3"/>
  <c r="IB153" i="3"/>
  <c r="IC153" i="3"/>
  <c r="ID153" i="3"/>
  <c r="IE153" i="3"/>
  <c r="IF153" i="3"/>
  <c r="IG153" i="3"/>
  <c r="IH153" i="3"/>
  <c r="II153" i="3"/>
  <c r="IJ153" i="3"/>
  <c r="IK153" i="3"/>
  <c r="IL153" i="3"/>
  <c r="IM153" i="3"/>
  <c r="IN153" i="3"/>
  <c r="IO153" i="3"/>
  <c r="IP153" i="3"/>
  <c r="IQ153" i="3"/>
  <c r="IR153" i="3"/>
  <c r="IS153" i="3"/>
  <c r="IT153" i="3"/>
  <c r="IU153" i="3"/>
  <c r="IV153" i="3"/>
  <c r="A152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AB152" i="3"/>
  <c r="AC152" i="3"/>
  <c r="AD152" i="3"/>
  <c r="AE152" i="3"/>
  <c r="AF152" i="3"/>
  <c r="AG152" i="3"/>
  <c r="AH152" i="3"/>
  <c r="AI152" i="3"/>
  <c r="AJ152" i="3"/>
  <c r="AK152" i="3"/>
  <c r="AL152" i="3"/>
  <c r="AM152" i="3"/>
  <c r="AN152" i="3"/>
  <c r="AO152" i="3"/>
  <c r="AP152" i="3"/>
  <c r="AQ152" i="3"/>
  <c r="AR152" i="3"/>
  <c r="AS152" i="3"/>
  <c r="AT152" i="3"/>
  <c r="AU152" i="3"/>
  <c r="AV152" i="3"/>
  <c r="AW152" i="3"/>
  <c r="AX152" i="3"/>
  <c r="AY152" i="3"/>
  <c r="AZ152" i="3"/>
  <c r="BA152" i="3"/>
  <c r="BB152" i="3"/>
  <c r="BC152" i="3"/>
  <c r="BD152" i="3"/>
  <c r="BE152" i="3"/>
  <c r="BF152" i="3"/>
  <c r="BG152" i="3"/>
  <c r="BH152" i="3"/>
  <c r="BI152" i="3"/>
  <c r="BJ152" i="3"/>
  <c r="BK152" i="3"/>
  <c r="BL152" i="3"/>
  <c r="BM152" i="3"/>
  <c r="BN152" i="3"/>
  <c r="BO152" i="3"/>
  <c r="BP152" i="3"/>
  <c r="BQ152" i="3"/>
  <c r="BR152" i="3"/>
  <c r="BS152" i="3"/>
  <c r="BT152" i="3"/>
  <c r="BU152" i="3"/>
  <c r="BV152" i="3"/>
  <c r="BW152" i="3"/>
  <c r="BX152" i="3"/>
  <c r="BY152" i="3"/>
  <c r="BZ152" i="3"/>
  <c r="CA152" i="3"/>
  <c r="CB152" i="3"/>
  <c r="CC152" i="3"/>
  <c r="CD152" i="3"/>
  <c r="CE152" i="3"/>
  <c r="CF152" i="3"/>
  <c r="CG152" i="3"/>
  <c r="CH152" i="3"/>
  <c r="CI152" i="3"/>
  <c r="CJ152" i="3"/>
  <c r="CK152" i="3"/>
  <c r="CL152" i="3"/>
  <c r="CM152" i="3"/>
  <c r="CN152" i="3"/>
  <c r="CO152" i="3"/>
  <c r="CP152" i="3"/>
  <c r="CQ152" i="3"/>
  <c r="CR152" i="3"/>
  <c r="CS152" i="3"/>
  <c r="CT152" i="3"/>
  <c r="CU152" i="3"/>
  <c r="CV152" i="3"/>
  <c r="CW152" i="3"/>
  <c r="CX152" i="3"/>
  <c r="CY152" i="3"/>
  <c r="CZ152" i="3"/>
  <c r="DA152" i="3"/>
  <c r="DB152" i="3"/>
  <c r="DC152" i="3"/>
  <c r="DD152" i="3"/>
  <c r="DE152" i="3"/>
  <c r="DF152" i="3"/>
  <c r="DG152" i="3"/>
  <c r="DH152" i="3"/>
  <c r="DI152" i="3"/>
  <c r="DJ152" i="3"/>
  <c r="DK152" i="3"/>
  <c r="DL152" i="3"/>
  <c r="DM152" i="3"/>
  <c r="DN152" i="3"/>
  <c r="DO152" i="3"/>
  <c r="DP152" i="3"/>
  <c r="DQ152" i="3"/>
  <c r="DR152" i="3"/>
  <c r="DS152" i="3"/>
  <c r="DT152" i="3"/>
  <c r="DU152" i="3"/>
  <c r="DV152" i="3"/>
  <c r="DW152" i="3"/>
  <c r="DX152" i="3"/>
  <c r="DY152" i="3"/>
  <c r="DZ152" i="3"/>
  <c r="EA152" i="3"/>
  <c r="EB152" i="3"/>
  <c r="EC152" i="3"/>
  <c r="ED152" i="3"/>
  <c r="EE152" i="3"/>
  <c r="EF152" i="3"/>
  <c r="EG152" i="3"/>
  <c r="EH152" i="3"/>
  <c r="EI152" i="3"/>
  <c r="EJ152" i="3"/>
  <c r="EK152" i="3"/>
  <c r="EL152" i="3"/>
  <c r="EM152" i="3"/>
  <c r="EN152" i="3"/>
  <c r="EO152" i="3"/>
  <c r="EP152" i="3"/>
  <c r="EQ152" i="3"/>
  <c r="ER152" i="3"/>
  <c r="ES152" i="3"/>
  <c r="ET152" i="3"/>
  <c r="EU152" i="3"/>
  <c r="EV152" i="3"/>
  <c r="EW152" i="3"/>
  <c r="EX152" i="3"/>
  <c r="EY152" i="3"/>
  <c r="EZ152" i="3"/>
  <c r="FA152" i="3"/>
  <c r="FB152" i="3"/>
  <c r="FC152" i="3"/>
  <c r="FD152" i="3"/>
  <c r="FE152" i="3"/>
  <c r="FF152" i="3"/>
  <c r="FG152" i="3"/>
  <c r="FH152" i="3"/>
  <c r="FI152" i="3"/>
  <c r="FJ152" i="3"/>
  <c r="FK152" i="3"/>
  <c r="FL152" i="3"/>
  <c r="FM152" i="3"/>
  <c r="FN152" i="3"/>
  <c r="FO152" i="3"/>
  <c r="FP152" i="3"/>
  <c r="FQ152" i="3"/>
  <c r="FR152" i="3"/>
  <c r="FS152" i="3"/>
  <c r="FT152" i="3"/>
  <c r="FU152" i="3"/>
  <c r="FV152" i="3"/>
  <c r="FW152" i="3"/>
  <c r="FX152" i="3"/>
  <c r="FY152" i="3"/>
  <c r="FZ152" i="3"/>
  <c r="GA152" i="3"/>
  <c r="GB152" i="3"/>
  <c r="GC152" i="3"/>
  <c r="GD152" i="3"/>
  <c r="GE152" i="3"/>
  <c r="GF152" i="3"/>
  <c r="GG152" i="3"/>
  <c r="GH152" i="3"/>
  <c r="GI152" i="3"/>
  <c r="GJ152" i="3"/>
  <c r="GK152" i="3"/>
  <c r="GL152" i="3"/>
  <c r="GM152" i="3"/>
  <c r="GN152" i="3"/>
  <c r="GO152" i="3"/>
  <c r="GP152" i="3"/>
  <c r="GQ152" i="3"/>
  <c r="GR152" i="3"/>
  <c r="GS152" i="3"/>
  <c r="GT152" i="3"/>
  <c r="GU152" i="3"/>
  <c r="GV152" i="3"/>
  <c r="GW152" i="3"/>
  <c r="GX152" i="3"/>
  <c r="GY152" i="3"/>
  <c r="GZ152" i="3"/>
  <c r="HA152" i="3"/>
  <c r="HB152" i="3"/>
  <c r="HC152" i="3"/>
  <c r="HD152" i="3"/>
  <c r="HE152" i="3"/>
  <c r="HF152" i="3"/>
  <c r="HG152" i="3"/>
  <c r="HH152" i="3"/>
  <c r="HI152" i="3"/>
  <c r="HJ152" i="3"/>
  <c r="HK152" i="3"/>
  <c r="HL152" i="3"/>
  <c r="HM152" i="3"/>
  <c r="HN152" i="3"/>
  <c r="HO152" i="3"/>
  <c r="HP152" i="3"/>
  <c r="HQ152" i="3"/>
  <c r="HR152" i="3"/>
  <c r="HS152" i="3"/>
  <c r="HT152" i="3"/>
  <c r="HU152" i="3"/>
  <c r="HV152" i="3"/>
  <c r="HW152" i="3"/>
  <c r="HX152" i="3"/>
  <c r="HY152" i="3"/>
  <c r="HZ152" i="3"/>
  <c r="IA152" i="3"/>
  <c r="IB152" i="3"/>
  <c r="IC152" i="3"/>
  <c r="ID152" i="3"/>
  <c r="IE152" i="3"/>
  <c r="IF152" i="3"/>
  <c r="IG152" i="3"/>
  <c r="IH152" i="3"/>
  <c r="II152" i="3"/>
  <c r="IJ152" i="3"/>
  <c r="IK152" i="3"/>
  <c r="IL152" i="3"/>
  <c r="IM152" i="3"/>
  <c r="IN152" i="3"/>
  <c r="IO152" i="3"/>
  <c r="IP152" i="3"/>
  <c r="IQ152" i="3"/>
  <c r="IR152" i="3"/>
  <c r="IS152" i="3"/>
  <c r="IT152" i="3"/>
  <c r="IU152" i="3"/>
  <c r="IV152" i="3"/>
  <c r="A151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AH151" i="3"/>
  <c r="AI151" i="3"/>
  <c r="AJ151" i="3"/>
  <c r="AK151" i="3"/>
  <c r="AL151" i="3"/>
  <c r="AM151" i="3"/>
  <c r="AN151" i="3"/>
  <c r="AO151" i="3"/>
  <c r="AP151" i="3"/>
  <c r="AQ151" i="3"/>
  <c r="AR151" i="3"/>
  <c r="AS151" i="3"/>
  <c r="AT151" i="3"/>
  <c r="AU151" i="3"/>
  <c r="AV151" i="3"/>
  <c r="AW151" i="3"/>
  <c r="AX151" i="3"/>
  <c r="AY151" i="3"/>
  <c r="AZ151" i="3"/>
  <c r="BA151" i="3"/>
  <c r="BB151" i="3"/>
  <c r="BC151" i="3"/>
  <c r="BD151" i="3"/>
  <c r="BE151" i="3"/>
  <c r="BF151" i="3"/>
  <c r="BG151" i="3"/>
  <c r="BH151" i="3"/>
  <c r="BI151" i="3"/>
  <c r="BJ151" i="3"/>
  <c r="BK151" i="3"/>
  <c r="BL151" i="3"/>
  <c r="BM151" i="3"/>
  <c r="BN151" i="3"/>
  <c r="BO151" i="3"/>
  <c r="BP151" i="3"/>
  <c r="BQ151" i="3"/>
  <c r="BR151" i="3"/>
  <c r="BS151" i="3"/>
  <c r="BT151" i="3"/>
  <c r="BU151" i="3"/>
  <c r="BV151" i="3"/>
  <c r="BW151" i="3"/>
  <c r="BX151" i="3"/>
  <c r="BY151" i="3"/>
  <c r="BZ151" i="3"/>
  <c r="CA151" i="3"/>
  <c r="CB151" i="3"/>
  <c r="CC151" i="3"/>
  <c r="CD151" i="3"/>
  <c r="CE151" i="3"/>
  <c r="CF151" i="3"/>
  <c r="CG151" i="3"/>
  <c r="CH151" i="3"/>
  <c r="CI151" i="3"/>
  <c r="CJ151" i="3"/>
  <c r="CK151" i="3"/>
  <c r="CL151" i="3"/>
  <c r="CM151" i="3"/>
  <c r="CN151" i="3"/>
  <c r="CO151" i="3"/>
  <c r="CP151" i="3"/>
  <c r="CQ151" i="3"/>
  <c r="CR151" i="3"/>
  <c r="CS151" i="3"/>
  <c r="CT151" i="3"/>
  <c r="CU151" i="3"/>
  <c r="CV151" i="3"/>
  <c r="CW151" i="3"/>
  <c r="CX151" i="3"/>
  <c r="CY151" i="3"/>
  <c r="CZ151" i="3"/>
  <c r="DA151" i="3"/>
  <c r="DB151" i="3"/>
  <c r="DC151" i="3"/>
  <c r="DD151" i="3"/>
  <c r="DE151" i="3"/>
  <c r="DF151" i="3"/>
  <c r="DG151" i="3"/>
  <c r="DH151" i="3"/>
  <c r="DI151" i="3"/>
  <c r="DJ151" i="3"/>
  <c r="DK151" i="3"/>
  <c r="DL151" i="3"/>
  <c r="DM151" i="3"/>
  <c r="DN151" i="3"/>
  <c r="DO151" i="3"/>
  <c r="DP151" i="3"/>
  <c r="DQ151" i="3"/>
  <c r="DR151" i="3"/>
  <c r="DS151" i="3"/>
  <c r="DT151" i="3"/>
  <c r="DU151" i="3"/>
  <c r="DV151" i="3"/>
  <c r="DW151" i="3"/>
  <c r="DX151" i="3"/>
  <c r="DY151" i="3"/>
  <c r="DZ151" i="3"/>
  <c r="EA151" i="3"/>
  <c r="EB151" i="3"/>
  <c r="EC151" i="3"/>
  <c r="ED151" i="3"/>
  <c r="EE151" i="3"/>
  <c r="EF151" i="3"/>
  <c r="EG151" i="3"/>
  <c r="EH151" i="3"/>
  <c r="EI151" i="3"/>
  <c r="EJ151" i="3"/>
  <c r="EK151" i="3"/>
  <c r="EL151" i="3"/>
  <c r="EM151" i="3"/>
  <c r="EN151" i="3"/>
  <c r="EO151" i="3"/>
  <c r="EP151" i="3"/>
  <c r="EQ151" i="3"/>
  <c r="ER151" i="3"/>
  <c r="ES151" i="3"/>
  <c r="ET151" i="3"/>
  <c r="EU151" i="3"/>
  <c r="EV151" i="3"/>
  <c r="EW151" i="3"/>
  <c r="EX151" i="3"/>
  <c r="EY151" i="3"/>
  <c r="EZ151" i="3"/>
  <c r="FA151" i="3"/>
  <c r="FB151" i="3"/>
  <c r="FC151" i="3"/>
  <c r="FD151" i="3"/>
  <c r="FE151" i="3"/>
  <c r="FF151" i="3"/>
  <c r="FG151" i="3"/>
  <c r="FH151" i="3"/>
  <c r="FI151" i="3"/>
  <c r="FJ151" i="3"/>
  <c r="FK151" i="3"/>
  <c r="FL151" i="3"/>
  <c r="FM151" i="3"/>
  <c r="FN151" i="3"/>
  <c r="FO151" i="3"/>
  <c r="FP151" i="3"/>
  <c r="FQ151" i="3"/>
  <c r="FR151" i="3"/>
  <c r="FS151" i="3"/>
  <c r="FT151" i="3"/>
  <c r="FU151" i="3"/>
  <c r="FV151" i="3"/>
  <c r="FW151" i="3"/>
  <c r="FX151" i="3"/>
  <c r="FY151" i="3"/>
  <c r="FZ151" i="3"/>
  <c r="GA151" i="3"/>
  <c r="GB151" i="3"/>
  <c r="GC151" i="3"/>
  <c r="GD151" i="3"/>
  <c r="GE151" i="3"/>
  <c r="GF151" i="3"/>
  <c r="GG151" i="3"/>
  <c r="GH151" i="3"/>
  <c r="GI151" i="3"/>
  <c r="GJ151" i="3"/>
  <c r="GK151" i="3"/>
  <c r="GL151" i="3"/>
  <c r="GM151" i="3"/>
  <c r="GN151" i="3"/>
  <c r="GO151" i="3"/>
  <c r="GP151" i="3"/>
  <c r="GQ151" i="3"/>
  <c r="GR151" i="3"/>
  <c r="GS151" i="3"/>
  <c r="GT151" i="3"/>
  <c r="GU151" i="3"/>
  <c r="GV151" i="3"/>
  <c r="GW151" i="3"/>
  <c r="GX151" i="3"/>
  <c r="GY151" i="3"/>
  <c r="GZ151" i="3"/>
  <c r="HA151" i="3"/>
  <c r="HB151" i="3"/>
  <c r="HC151" i="3"/>
  <c r="HD151" i="3"/>
  <c r="HE151" i="3"/>
  <c r="HF151" i="3"/>
  <c r="HG151" i="3"/>
  <c r="HH151" i="3"/>
  <c r="HI151" i="3"/>
  <c r="HJ151" i="3"/>
  <c r="HK151" i="3"/>
  <c r="HL151" i="3"/>
  <c r="HM151" i="3"/>
  <c r="HN151" i="3"/>
  <c r="HO151" i="3"/>
  <c r="HP151" i="3"/>
  <c r="HQ151" i="3"/>
  <c r="HR151" i="3"/>
  <c r="HS151" i="3"/>
  <c r="HT151" i="3"/>
  <c r="HU151" i="3"/>
  <c r="HV151" i="3"/>
  <c r="HW151" i="3"/>
  <c r="HX151" i="3"/>
  <c r="HY151" i="3"/>
  <c r="HZ151" i="3"/>
  <c r="IA151" i="3"/>
  <c r="IB151" i="3"/>
  <c r="IC151" i="3"/>
  <c r="ID151" i="3"/>
  <c r="IE151" i="3"/>
  <c r="IF151" i="3"/>
  <c r="IG151" i="3"/>
  <c r="IH151" i="3"/>
  <c r="II151" i="3"/>
  <c r="IJ151" i="3"/>
  <c r="IK151" i="3"/>
  <c r="IL151" i="3"/>
  <c r="IM151" i="3"/>
  <c r="IN151" i="3"/>
  <c r="IO151" i="3"/>
  <c r="IP151" i="3"/>
  <c r="IQ151" i="3"/>
  <c r="IR151" i="3"/>
  <c r="IS151" i="3"/>
  <c r="IT151" i="3"/>
  <c r="IU151" i="3"/>
  <c r="IV151" i="3"/>
  <c r="A150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AC150" i="3"/>
  <c r="AD150" i="3"/>
  <c r="AE150" i="3"/>
  <c r="AF150" i="3"/>
  <c r="AG150" i="3"/>
  <c r="AH150" i="3"/>
  <c r="AI150" i="3"/>
  <c r="AJ150" i="3"/>
  <c r="AK150" i="3"/>
  <c r="AL150" i="3"/>
  <c r="AM150" i="3"/>
  <c r="AN150" i="3"/>
  <c r="AO150" i="3"/>
  <c r="AP150" i="3"/>
  <c r="AQ150" i="3"/>
  <c r="AR150" i="3"/>
  <c r="AS150" i="3"/>
  <c r="AT150" i="3"/>
  <c r="AU150" i="3"/>
  <c r="AV150" i="3"/>
  <c r="AW150" i="3"/>
  <c r="AX150" i="3"/>
  <c r="AY150" i="3"/>
  <c r="AZ150" i="3"/>
  <c r="BA150" i="3"/>
  <c r="BB150" i="3"/>
  <c r="BC150" i="3"/>
  <c r="BD150" i="3"/>
  <c r="BE150" i="3"/>
  <c r="BF150" i="3"/>
  <c r="BG150" i="3"/>
  <c r="BH150" i="3"/>
  <c r="BI150" i="3"/>
  <c r="BJ150" i="3"/>
  <c r="BK150" i="3"/>
  <c r="BL150" i="3"/>
  <c r="BM150" i="3"/>
  <c r="BN150" i="3"/>
  <c r="BO150" i="3"/>
  <c r="BP150" i="3"/>
  <c r="BQ150" i="3"/>
  <c r="BR150" i="3"/>
  <c r="BS150" i="3"/>
  <c r="BT150" i="3"/>
  <c r="BU150" i="3"/>
  <c r="BV150" i="3"/>
  <c r="BW150" i="3"/>
  <c r="BX150" i="3"/>
  <c r="BY150" i="3"/>
  <c r="BZ150" i="3"/>
  <c r="CA150" i="3"/>
  <c r="CB150" i="3"/>
  <c r="CC150" i="3"/>
  <c r="CD150" i="3"/>
  <c r="CE150" i="3"/>
  <c r="CF150" i="3"/>
  <c r="CG150" i="3"/>
  <c r="CH150" i="3"/>
  <c r="CI150" i="3"/>
  <c r="CJ150" i="3"/>
  <c r="CK150" i="3"/>
  <c r="CL150" i="3"/>
  <c r="CM150" i="3"/>
  <c r="CN150" i="3"/>
  <c r="CO150" i="3"/>
  <c r="CP150" i="3"/>
  <c r="CQ150" i="3"/>
  <c r="CR150" i="3"/>
  <c r="CS150" i="3"/>
  <c r="CT150" i="3"/>
  <c r="CU150" i="3"/>
  <c r="CV150" i="3"/>
  <c r="CW150" i="3"/>
  <c r="CX150" i="3"/>
  <c r="CY150" i="3"/>
  <c r="CZ150" i="3"/>
  <c r="DA150" i="3"/>
  <c r="DB150" i="3"/>
  <c r="DC150" i="3"/>
  <c r="DD150" i="3"/>
  <c r="DE150" i="3"/>
  <c r="DF150" i="3"/>
  <c r="DG150" i="3"/>
  <c r="DH150" i="3"/>
  <c r="DI150" i="3"/>
  <c r="DJ150" i="3"/>
  <c r="DK150" i="3"/>
  <c r="DL150" i="3"/>
  <c r="DM150" i="3"/>
  <c r="DN150" i="3"/>
  <c r="DO150" i="3"/>
  <c r="DP150" i="3"/>
  <c r="DQ150" i="3"/>
  <c r="DR150" i="3"/>
  <c r="DS150" i="3"/>
  <c r="DT150" i="3"/>
  <c r="DU150" i="3"/>
  <c r="DV150" i="3"/>
  <c r="DW150" i="3"/>
  <c r="DX150" i="3"/>
  <c r="DY150" i="3"/>
  <c r="DZ150" i="3"/>
  <c r="EA150" i="3"/>
  <c r="EB150" i="3"/>
  <c r="EC150" i="3"/>
  <c r="ED150" i="3"/>
  <c r="EE150" i="3"/>
  <c r="EF150" i="3"/>
  <c r="EG150" i="3"/>
  <c r="EH150" i="3"/>
  <c r="EI150" i="3"/>
  <c r="EJ150" i="3"/>
  <c r="EK150" i="3"/>
  <c r="EL150" i="3"/>
  <c r="EM150" i="3"/>
  <c r="EN150" i="3"/>
  <c r="EO150" i="3"/>
  <c r="EP150" i="3"/>
  <c r="EQ150" i="3"/>
  <c r="ER150" i="3"/>
  <c r="ES150" i="3"/>
  <c r="ET150" i="3"/>
  <c r="EU150" i="3"/>
  <c r="EV150" i="3"/>
  <c r="EW150" i="3"/>
  <c r="EX150" i="3"/>
  <c r="EY150" i="3"/>
  <c r="EZ150" i="3"/>
  <c r="FA150" i="3"/>
  <c r="FB150" i="3"/>
  <c r="FC150" i="3"/>
  <c r="FD150" i="3"/>
  <c r="FE150" i="3"/>
  <c r="FF150" i="3"/>
  <c r="FG150" i="3"/>
  <c r="FH150" i="3"/>
  <c r="FI150" i="3"/>
  <c r="FJ150" i="3"/>
  <c r="FK150" i="3"/>
  <c r="FL150" i="3"/>
  <c r="FM150" i="3"/>
  <c r="FN150" i="3"/>
  <c r="FO150" i="3"/>
  <c r="FP150" i="3"/>
  <c r="FQ150" i="3"/>
  <c r="FR150" i="3"/>
  <c r="FS150" i="3"/>
  <c r="FT150" i="3"/>
  <c r="FU150" i="3"/>
  <c r="FV150" i="3"/>
  <c r="FW150" i="3"/>
  <c r="FX150" i="3"/>
  <c r="FY150" i="3"/>
  <c r="FZ150" i="3"/>
  <c r="GA150" i="3"/>
  <c r="GB150" i="3"/>
  <c r="GC150" i="3"/>
  <c r="GD150" i="3"/>
  <c r="GE150" i="3"/>
  <c r="GF150" i="3"/>
  <c r="GG150" i="3"/>
  <c r="GH150" i="3"/>
  <c r="GI150" i="3"/>
  <c r="GJ150" i="3"/>
  <c r="GK150" i="3"/>
  <c r="GL150" i="3"/>
  <c r="GM150" i="3"/>
  <c r="GN150" i="3"/>
  <c r="GO150" i="3"/>
  <c r="GP150" i="3"/>
  <c r="GQ150" i="3"/>
  <c r="GR150" i="3"/>
  <c r="GS150" i="3"/>
  <c r="GT150" i="3"/>
  <c r="GU150" i="3"/>
  <c r="GV150" i="3"/>
  <c r="GW150" i="3"/>
  <c r="GX150" i="3"/>
  <c r="GY150" i="3"/>
  <c r="GZ150" i="3"/>
  <c r="HA150" i="3"/>
  <c r="HB150" i="3"/>
  <c r="HC150" i="3"/>
  <c r="HD150" i="3"/>
  <c r="HE150" i="3"/>
  <c r="HF150" i="3"/>
  <c r="HG150" i="3"/>
  <c r="HH150" i="3"/>
  <c r="HI150" i="3"/>
  <c r="HJ150" i="3"/>
  <c r="HK150" i="3"/>
  <c r="HL150" i="3"/>
  <c r="HM150" i="3"/>
  <c r="HN150" i="3"/>
  <c r="HO150" i="3"/>
  <c r="HP150" i="3"/>
  <c r="HQ150" i="3"/>
  <c r="HR150" i="3"/>
  <c r="HS150" i="3"/>
  <c r="HT150" i="3"/>
  <c r="HU150" i="3"/>
  <c r="HV150" i="3"/>
  <c r="HW150" i="3"/>
  <c r="HX150" i="3"/>
  <c r="HY150" i="3"/>
  <c r="HZ150" i="3"/>
  <c r="IA150" i="3"/>
  <c r="IB150" i="3"/>
  <c r="IC150" i="3"/>
  <c r="ID150" i="3"/>
  <c r="IE150" i="3"/>
  <c r="IF150" i="3"/>
  <c r="IG150" i="3"/>
  <c r="IH150" i="3"/>
  <c r="II150" i="3"/>
  <c r="IJ150" i="3"/>
  <c r="IK150" i="3"/>
  <c r="IL150" i="3"/>
  <c r="IM150" i="3"/>
  <c r="IN150" i="3"/>
  <c r="IO150" i="3"/>
  <c r="IP150" i="3"/>
  <c r="IQ150" i="3"/>
  <c r="IR150" i="3"/>
  <c r="IS150" i="3"/>
  <c r="IT150" i="3"/>
  <c r="IU150" i="3"/>
  <c r="IV150" i="3"/>
  <c r="A149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G149" i="3"/>
  <c r="AH149" i="3"/>
  <c r="AI149" i="3"/>
  <c r="AJ149" i="3"/>
  <c r="AK149" i="3"/>
  <c r="AL149" i="3"/>
  <c r="AM149" i="3"/>
  <c r="AN149" i="3"/>
  <c r="AO149" i="3"/>
  <c r="AP149" i="3"/>
  <c r="AQ149" i="3"/>
  <c r="AR149" i="3"/>
  <c r="AS149" i="3"/>
  <c r="AT149" i="3"/>
  <c r="AU149" i="3"/>
  <c r="AV149" i="3"/>
  <c r="AW149" i="3"/>
  <c r="AX149" i="3"/>
  <c r="AY149" i="3"/>
  <c r="AZ149" i="3"/>
  <c r="BA149" i="3"/>
  <c r="BB149" i="3"/>
  <c r="BC149" i="3"/>
  <c r="BD149" i="3"/>
  <c r="BE149" i="3"/>
  <c r="BF149" i="3"/>
  <c r="BG149" i="3"/>
  <c r="BH149" i="3"/>
  <c r="BI149" i="3"/>
  <c r="BJ149" i="3"/>
  <c r="BK149" i="3"/>
  <c r="BL149" i="3"/>
  <c r="BM149" i="3"/>
  <c r="BN149" i="3"/>
  <c r="BO149" i="3"/>
  <c r="BP149" i="3"/>
  <c r="BQ149" i="3"/>
  <c r="BR149" i="3"/>
  <c r="BS149" i="3"/>
  <c r="BT149" i="3"/>
  <c r="BU149" i="3"/>
  <c r="BV149" i="3"/>
  <c r="BW149" i="3"/>
  <c r="BX149" i="3"/>
  <c r="BY149" i="3"/>
  <c r="BZ149" i="3"/>
  <c r="CA149" i="3"/>
  <c r="CB149" i="3"/>
  <c r="CC149" i="3"/>
  <c r="CD149" i="3"/>
  <c r="CE149" i="3"/>
  <c r="CF149" i="3"/>
  <c r="CG149" i="3"/>
  <c r="CH149" i="3"/>
  <c r="CI149" i="3"/>
  <c r="CJ149" i="3"/>
  <c r="CK149" i="3"/>
  <c r="CL149" i="3"/>
  <c r="CM149" i="3"/>
  <c r="CN149" i="3"/>
  <c r="CO149" i="3"/>
  <c r="CP149" i="3"/>
  <c r="CQ149" i="3"/>
  <c r="CR149" i="3"/>
  <c r="CS149" i="3"/>
  <c r="CT149" i="3"/>
  <c r="CU149" i="3"/>
  <c r="CV149" i="3"/>
  <c r="CW149" i="3"/>
  <c r="CX149" i="3"/>
  <c r="CY149" i="3"/>
  <c r="CZ149" i="3"/>
  <c r="DA149" i="3"/>
  <c r="DB149" i="3"/>
  <c r="DC149" i="3"/>
  <c r="DD149" i="3"/>
  <c r="DE149" i="3"/>
  <c r="DF149" i="3"/>
  <c r="DG149" i="3"/>
  <c r="DH149" i="3"/>
  <c r="DI149" i="3"/>
  <c r="DJ149" i="3"/>
  <c r="DK149" i="3"/>
  <c r="DL149" i="3"/>
  <c r="DM149" i="3"/>
  <c r="DN149" i="3"/>
  <c r="DO149" i="3"/>
  <c r="DP149" i="3"/>
  <c r="DQ149" i="3"/>
  <c r="DR149" i="3"/>
  <c r="DS149" i="3"/>
  <c r="DT149" i="3"/>
  <c r="DU149" i="3"/>
  <c r="DV149" i="3"/>
  <c r="DW149" i="3"/>
  <c r="DX149" i="3"/>
  <c r="DY149" i="3"/>
  <c r="DZ149" i="3"/>
  <c r="EA149" i="3"/>
  <c r="EB149" i="3"/>
  <c r="EC149" i="3"/>
  <c r="ED149" i="3"/>
  <c r="EE149" i="3"/>
  <c r="EF149" i="3"/>
  <c r="EG149" i="3"/>
  <c r="EH149" i="3"/>
  <c r="EI149" i="3"/>
  <c r="EJ149" i="3"/>
  <c r="EK149" i="3"/>
  <c r="EL149" i="3"/>
  <c r="EM149" i="3"/>
  <c r="EN149" i="3"/>
  <c r="EO149" i="3"/>
  <c r="EP149" i="3"/>
  <c r="EQ149" i="3"/>
  <c r="ER149" i="3"/>
  <c r="ES149" i="3"/>
  <c r="ET149" i="3"/>
  <c r="EU149" i="3"/>
  <c r="EV149" i="3"/>
  <c r="EW149" i="3"/>
  <c r="EX149" i="3"/>
  <c r="EY149" i="3"/>
  <c r="EZ149" i="3"/>
  <c r="FA149" i="3"/>
  <c r="FB149" i="3"/>
  <c r="FC149" i="3"/>
  <c r="FD149" i="3"/>
  <c r="FE149" i="3"/>
  <c r="FF149" i="3"/>
  <c r="FG149" i="3"/>
  <c r="FH149" i="3"/>
  <c r="FI149" i="3"/>
  <c r="FJ149" i="3"/>
  <c r="FK149" i="3"/>
  <c r="FL149" i="3"/>
  <c r="FM149" i="3"/>
  <c r="FN149" i="3"/>
  <c r="FO149" i="3"/>
  <c r="FP149" i="3"/>
  <c r="FQ149" i="3"/>
  <c r="FR149" i="3"/>
  <c r="FS149" i="3"/>
  <c r="FT149" i="3"/>
  <c r="FU149" i="3"/>
  <c r="FV149" i="3"/>
  <c r="FW149" i="3"/>
  <c r="FX149" i="3"/>
  <c r="FY149" i="3"/>
  <c r="FZ149" i="3"/>
  <c r="GA149" i="3"/>
  <c r="GB149" i="3"/>
  <c r="GC149" i="3"/>
  <c r="GD149" i="3"/>
  <c r="GE149" i="3"/>
  <c r="GF149" i="3"/>
  <c r="GG149" i="3"/>
  <c r="GH149" i="3"/>
  <c r="GI149" i="3"/>
  <c r="GJ149" i="3"/>
  <c r="GK149" i="3"/>
  <c r="GL149" i="3"/>
  <c r="GM149" i="3"/>
  <c r="GN149" i="3"/>
  <c r="GO149" i="3"/>
  <c r="GP149" i="3"/>
  <c r="GQ149" i="3"/>
  <c r="GR149" i="3"/>
  <c r="GS149" i="3"/>
  <c r="GT149" i="3"/>
  <c r="GU149" i="3"/>
  <c r="GV149" i="3"/>
  <c r="GW149" i="3"/>
  <c r="GX149" i="3"/>
  <c r="GY149" i="3"/>
  <c r="GZ149" i="3"/>
  <c r="HA149" i="3"/>
  <c r="HB149" i="3"/>
  <c r="HC149" i="3"/>
  <c r="HD149" i="3"/>
  <c r="HE149" i="3"/>
  <c r="HF149" i="3"/>
  <c r="HG149" i="3"/>
  <c r="HH149" i="3"/>
  <c r="HI149" i="3"/>
  <c r="HJ149" i="3"/>
  <c r="HK149" i="3"/>
  <c r="HL149" i="3"/>
  <c r="HM149" i="3"/>
  <c r="HN149" i="3"/>
  <c r="HO149" i="3"/>
  <c r="HP149" i="3"/>
  <c r="HQ149" i="3"/>
  <c r="HR149" i="3"/>
  <c r="HS149" i="3"/>
  <c r="HT149" i="3"/>
  <c r="HU149" i="3"/>
  <c r="HV149" i="3"/>
  <c r="HW149" i="3"/>
  <c r="HX149" i="3"/>
  <c r="HY149" i="3"/>
  <c r="HZ149" i="3"/>
  <c r="IA149" i="3"/>
  <c r="IB149" i="3"/>
  <c r="IC149" i="3"/>
  <c r="ID149" i="3"/>
  <c r="IE149" i="3"/>
  <c r="IF149" i="3"/>
  <c r="IG149" i="3"/>
  <c r="IH149" i="3"/>
  <c r="II149" i="3"/>
  <c r="IJ149" i="3"/>
  <c r="IK149" i="3"/>
  <c r="IL149" i="3"/>
  <c r="IM149" i="3"/>
  <c r="IN149" i="3"/>
  <c r="IO149" i="3"/>
  <c r="IP149" i="3"/>
  <c r="IQ149" i="3"/>
  <c r="IR149" i="3"/>
  <c r="IS149" i="3"/>
  <c r="IT149" i="3"/>
  <c r="IU149" i="3"/>
  <c r="IV149" i="3"/>
  <c r="A148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AH148" i="3"/>
  <c r="AI148" i="3"/>
  <c r="AJ148" i="3"/>
  <c r="AK148" i="3"/>
  <c r="AL148" i="3"/>
  <c r="AM148" i="3"/>
  <c r="AN148" i="3"/>
  <c r="AO148" i="3"/>
  <c r="AP148" i="3"/>
  <c r="AQ148" i="3"/>
  <c r="AR148" i="3"/>
  <c r="AS148" i="3"/>
  <c r="AT148" i="3"/>
  <c r="AU148" i="3"/>
  <c r="AV148" i="3"/>
  <c r="AW148" i="3"/>
  <c r="AX148" i="3"/>
  <c r="AY148" i="3"/>
  <c r="AZ148" i="3"/>
  <c r="BA148" i="3"/>
  <c r="BB148" i="3"/>
  <c r="BC148" i="3"/>
  <c r="BD148" i="3"/>
  <c r="BE148" i="3"/>
  <c r="BF148" i="3"/>
  <c r="BG148" i="3"/>
  <c r="BH148" i="3"/>
  <c r="BI148" i="3"/>
  <c r="BJ148" i="3"/>
  <c r="BK148" i="3"/>
  <c r="BL148" i="3"/>
  <c r="BM148" i="3"/>
  <c r="BN148" i="3"/>
  <c r="BO148" i="3"/>
  <c r="BP148" i="3"/>
  <c r="BQ148" i="3"/>
  <c r="BR148" i="3"/>
  <c r="BS148" i="3"/>
  <c r="BT148" i="3"/>
  <c r="BU148" i="3"/>
  <c r="BV148" i="3"/>
  <c r="BW148" i="3"/>
  <c r="BX148" i="3"/>
  <c r="BY148" i="3"/>
  <c r="BZ148" i="3"/>
  <c r="CA148" i="3"/>
  <c r="CB148" i="3"/>
  <c r="CC148" i="3"/>
  <c r="CD148" i="3"/>
  <c r="CE148" i="3"/>
  <c r="CF148" i="3"/>
  <c r="CG148" i="3"/>
  <c r="CH148" i="3"/>
  <c r="CI148" i="3"/>
  <c r="CJ148" i="3"/>
  <c r="CK148" i="3"/>
  <c r="CL148" i="3"/>
  <c r="CM148" i="3"/>
  <c r="CN148" i="3"/>
  <c r="CO148" i="3"/>
  <c r="CP148" i="3"/>
  <c r="CQ148" i="3"/>
  <c r="CR148" i="3"/>
  <c r="CS148" i="3"/>
  <c r="CT148" i="3"/>
  <c r="CU148" i="3"/>
  <c r="CV148" i="3"/>
  <c r="CW148" i="3"/>
  <c r="CX148" i="3"/>
  <c r="CY148" i="3"/>
  <c r="CZ148" i="3"/>
  <c r="DA148" i="3"/>
  <c r="DB148" i="3"/>
  <c r="DC148" i="3"/>
  <c r="DD148" i="3"/>
  <c r="DE148" i="3"/>
  <c r="DF148" i="3"/>
  <c r="DG148" i="3"/>
  <c r="DH148" i="3"/>
  <c r="DI148" i="3"/>
  <c r="DJ148" i="3"/>
  <c r="DK148" i="3"/>
  <c r="DL148" i="3"/>
  <c r="DM148" i="3"/>
  <c r="DN148" i="3"/>
  <c r="DO148" i="3"/>
  <c r="DP148" i="3"/>
  <c r="DQ148" i="3"/>
  <c r="DR148" i="3"/>
  <c r="DS148" i="3"/>
  <c r="DT148" i="3"/>
  <c r="DU148" i="3"/>
  <c r="DV148" i="3"/>
  <c r="DW148" i="3"/>
  <c r="DX148" i="3"/>
  <c r="DY148" i="3"/>
  <c r="DZ148" i="3"/>
  <c r="EA148" i="3"/>
  <c r="EB148" i="3"/>
  <c r="EC148" i="3"/>
  <c r="ED148" i="3"/>
  <c r="EE148" i="3"/>
  <c r="EF148" i="3"/>
  <c r="EG148" i="3"/>
  <c r="EH148" i="3"/>
  <c r="EI148" i="3"/>
  <c r="EJ148" i="3"/>
  <c r="EK148" i="3"/>
  <c r="EL148" i="3"/>
  <c r="EM148" i="3"/>
  <c r="EN148" i="3"/>
  <c r="EO148" i="3"/>
  <c r="EP148" i="3"/>
  <c r="EQ148" i="3"/>
  <c r="ER148" i="3"/>
  <c r="ES148" i="3"/>
  <c r="ET148" i="3"/>
  <c r="EU148" i="3"/>
  <c r="EV148" i="3"/>
  <c r="EW148" i="3"/>
  <c r="EX148" i="3"/>
  <c r="EY148" i="3"/>
  <c r="EZ148" i="3"/>
  <c r="FA148" i="3"/>
  <c r="FB148" i="3"/>
  <c r="FC148" i="3"/>
  <c r="FD148" i="3"/>
  <c r="FE148" i="3"/>
  <c r="FF148" i="3"/>
  <c r="FG148" i="3"/>
  <c r="FH148" i="3"/>
  <c r="FI148" i="3"/>
  <c r="FJ148" i="3"/>
  <c r="FK148" i="3"/>
  <c r="FL148" i="3"/>
  <c r="FM148" i="3"/>
  <c r="FN148" i="3"/>
  <c r="FO148" i="3"/>
  <c r="FP148" i="3"/>
  <c r="FQ148" i="3"/>
  <c r="FR148" i="3"/>
  <c r="FS148" i="3"/>
  <c r="FT148" i="3"/>
  <c r="FU148" i="3"/>
  <c r="FV148" i="3"/>
  <c r="FW148" i="3"/>
  <c r="FX148" i="3"/>
  <c r="FY148" i="3"/>
  <c r="FZ148" i="3"/>
  <c r="GA148" i="3"/>
  <c r="GB148" i="3"/>
  <c r="GC148" i="3"/>
  <c r="GD148" i="3"/>
  <c r="GE148" i="3"/>
  <c r="GF148" i="3"/>
  <c r="GG148" i="3"/>
  <c r="GH148" i="3"/>
  <c r="GI148" i="3"/>
  <c r="GJ148" i="3"/>
  <c r="GK148" i="3"/>
  <c r="GL148" i="3"/>
  <c r="GM148" i="3"/>
  <c r="GN148" i="3"/>
  <c r="GO148" i="3"/>
  <c r="GP148" i="3"/>
  <c r="GQ148" i="3"/>
  <c r="GR148" i="3"/>
  <c r="GS148" i="3"/>
  <c r="GT148" i="3"/>
  <c r="GU148" i="3"/>
  <c r="GV148" i="3"/>
  <c r="GW148" i="3"/>
  <c r="GX148" i="3"/>
  <c r="GY148" i="3"/>
  <c r="GZ148" i="3"/>
  <c r="HA148" i="3"/>
  <c r="HB148" i="3"/>
  <c r="HC148" i="3"/>
  <c r="HD148" i="3"/>
  <c r="HE148" i="3"/>
  <c r="HF148" i="3"/>
  <c r="HG148" i="3"/>
  <c r="HH148" i="3"/>
  <c r="HI148" i="3"/>
  <c r="HJ148" i="3"/>
  <c r="HK148" i="3"/>
  <c r="HL148" i="3"/>
  <c r="HM148" i="3"/>
  <c r="HN148" i="3"/>
  <c r="HO148" i="3"/>
  <c r="HP148" i="3"/>
  <c r="HQ148" i="3"/>
  <c r="HR148" i="3"/>
  <c r="HS148" i="3"/>
  <c r="HT148" i="3"/>
  <c r="HU148" i="3"/>
  <c r="HV148" i="3"/>
  <c r="HW148" i="3"/>
  <c r="HX148" i="3"/>
  <c r="HY148" i="3"/>
  <c r="HZ148" i="3"/>
  <c r="IA148" i="3"/>
  <c r="IB148" i="3"/>
  <c r="IC148" i="3"/>
  <c r="ID148" i="3"/>
  <c r="IE148" i="3"/>
  <c r="IF148" i="3"/>
  <c r="IG148" i="3"/>
  <c r="IH148" i="3"/>
  <c r="II148" i="3"/>
  <c r="IJ148" i="3"/>
  <c r="IK148" i="3"/>
  <c r="IL148" i="3"/>
  <c r="IM148" i="3"/>
  <c r="IN148" i="3"/>
  <c r="IO148" i="3"/>
  <c r="IP148" i="3"/>
  <c r="IQ148" i="3"/>
  <c r="IR148" i="3"/>
  <c r="IS148" i="3"/>
  <c r="IT148" i="3"/>
  <c r="IU148" i="3"/>
  <c r="IV148" i="3"/>
  <c r="A147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G147" i="3"/>
  <c r="AH147" i="3"/>
  <c r="AI147" i="3"/>
  <c r="AJ147" i="3"/>
  <c r="AK147" i="3"/>
  <c r="AL147" i="3"/>
  <c r="AM147" i="3"/>
  <c r="AN147" i="3"/>
  <c r="AO147" i="3"/>
  <c r="AP147" i="3"/>
  <c r="AQ147" i="3"/>
  <c r="AR147" i="3"/>
  <c r="AS147" i="3"/>
  <c r="AT147" i="3"/>
  <c r="AU147" i="3"/>
  <c r="AV147" i="3"/>
  <c r="AW147" i="3"/>
  <c r="AX147" i="3"/>
  <c r="AY147" i="3"/>
  <c r="AZ147" i="3"/>
  <c r="BA147" i="3"/>
  <c r="BB147" i="3"/>
  <c r="BC147" i="3"/>
  <c r="BD147" i="3"/>
  <c r="BE147" i="3"/>
  <c r="BF147" i="3"/>
  <c r="BG147" i="3"/>
  <c r="BH147" i="3"/>
  <c r="BI147" i="3"/>
  <c r="BJ147" i="3"/>
  <c r="BK147" i="3"/>
  <c r="BL147" i="3"/>
  <c r="BM147" i="3"/>
  <c r="BN147" i="3"/>
  <c r="BO147" i="3"/>
  <c r="BP147" i="3"/>
  <c r="BQ147" i="3"/>
  <c r="BR147" i="3"/>
  <c r="BS147" i="3"/>
  <c r="BT147" i="3"/>
  <c r="BU147" i="3"/>
  <c r="BV147" i="3"/>
  <c r="BW147" i="3"/>
  <c r="BX147" i="3"/>
  <c r="BY147" i="3"/>
  <c r="BZ147" i="3"/>
  <c r="CA147" i="3"/>
  <c r="CB147" i="3"/>
  <c r="CC147" i="3"/>
  <c r="CD147" i="3"/>
  <c r="CE147" i="3"/>
  <c r="CF147" i="3"/>
  <c r="CG147" i="3"/>
  <c r="CH147" i="3"/>
  <c r="CI147" i="3"/>
  <c r="CJ147" i="3"/>
  <c r="CK147" i="3"/>
  <c r="CL147" i="3"/>
  <c r="CM147" i="3"/>
  <c r="CN147" i="3"/>
  <c r="CO147" i="3"/>
  <c r="CP147" i="3"/>
  <c r="CQ147" i="3"/>
  <c r="CR147" i="3"/>
  <c r="CS147" i="3"/>
  <c r="CT147" i="3"/>
  <c r="CU147" i="3"/>
  <c r="CV147" i="3"/>
  <c r="CW147" i="3"/>
  <c r="CX147" i="3"/>
  <c r="CY147" i="3"/>
  <c r="CZ147" i="3"/>
  <c r="DA147" i="3"/>
  <c r="DB147" i="3"/>
  <c r="DC147" i="3"/>
  <c r="DD147" i="3"/>
  <c r="DE147" i="3"/>
  <c r="DF147" i="3"/>
  <c r="DG147" i="3"/>
  <c r="DH147" i="3"/>
  <c r="DI147" i="3"/>
  <c r="DJ147" i="3"/>
  <c r="DK147" i="3"/>
  <c r="DL147" i="3"/>
  <c r="DM147" i="3"/>
  <c r="DN147" i="3"/>
  <c r="DO147" i="3"/>
  <c r="DP147" i="3"/>
  <c r="DQ147" i="3"/>
  <c r="DR147" i="3"/>
  <c r="DS147" i="3"/>
  <c r="DT147" i="3"/>
  <c r="DU147" i="3"/>
  <c r="DV147" i="3"/>
  <c r="DW147" i="3"/>
  <c r="DX147" i="3"/>
  <c r="DY147" i="3"/>
  <c r="DZ147" i="3"/>
  <c r="EA147" i="3"/>
  <c r="EB147" i="3"/>
  <c r="EC147" i="3"/>
  <c r="ED147" i="3"/>
  <c r="EE147" i="3"/>
  <c r="EF147" i="3"/>
  <c r="EG147" i="3"/>
  <c r="EH147" i="3"/>
  <c r="EI147" i="3"/>
  <c r="EJ147" i="3"/>
  <c r="EK147" i="3"/>
  <c r="EL147" i="3"/>
  <c r="EM147" i="3"/>
  <c r="EN147" i="3"/>
  <c r="EO147" i="3"/>
  <c r="EP147" i="3"/>
  <c r="EQ147" i="3"/>
  <c r="ER147" i="3"/>
  <c r="ES147" i="3"/>
  <c r="ET147" i="3"/>
  <c r="EU147" i="3"/>
  <c r="EV147" i="3"/>
  <c r="EW147" i="3"/>
  <c r="EX147" i="3"/>
  <c r="EY147" i="3"/>
  <c r="EZ147" i="3"/>
  <c r="FA147" i="3"/>
  <c r="FB147" i="3"/>
  <c r="FC147" i="3"/>
  <c r="FD147" i="3"/>
  <c r="FE147" i="3"/>
  <c r="FF147" i="3"/>
  <c r="FG147" i="3"/>
  <c r="FH147" i="3"/>
  <c r="FI147" i="3"/>
  <c r="FJ147" i="3"/>
  <c r="FK147" i="3"/>
  <c r="FL147" i="3"/>
  <c r="FM147" i="3"/>
  <c r="FN147" i="3"/>
  <c r="FO147" i="3"/>
  <c r="FP147" i="3"/>
  <c r="FQ147" i="3"/>
  <c r="FR147" i="3"/>
  <c r="FS147" i="3"/>
  <c r="FT147" i="3"/>
  <c r="FU147" i="3"/>
  <c r="FV147" i="3"/>
  <c r="FW147" i="3"/>
  <c r="FX147" i="3"/>
  <c r="FY147" i="3"/>
  <c r="FZ147" i="3"/>
  <c r="GA147" i="3"/>
  <c r="GB147" i="3"/>
  <c r="GC147" i="3"/>
  <c r="GD147" i="3"/>
  <c r="GE147" i="3"/>
  <c r="GF147" i="3"/>
  <c r="GG147" i="3"/>
  <c r="GH147" i="3"/>
  <c r="GI147" i="3"/>
  <c r="GJ147" i="3"/>
  <c r="GK147" i="3"/>
  <c r="GL147" i="3"/>
  <c r="GM147" i="3"/>
  <c r="GN147" i="3"/>
  <c r="GO147" i="3"/>
  <c r="GP147" i="3"/>
  <c r="GQ147" i="3"/>
  <c r="GR147" i="3"/>
  <c r="GS147" i="3"/>
  <c r="GT147" i="3"/>
  <c r="GU147" i="3"/>
  <c r="GV147" i="3"/>
  <c r="GW147" i="3"/>
  <c r="GX147" i="3"/>
  <c r="GY147" i="3"/>
  <c r="GZ147" i="3"/>
  <c r="HA147" i="3"/>
  <c r="HB147" i="3"/>
  <c r="HC147" i="3"/>
  <c r="HD147" i="3"/>
  <c r="HE147" i="3"/>
  <c r="HF147" i="3"/>
  <c r="HG147" i="3"/>
  <c r="HH147" i="3"/>
  <c r="HI147" i="3"/>
  <c r="HJ147" i="3"/>
  <c r="HK147" i="3"/>
  <c r="HL147" i="3"/>
  <c r="HM147" i="3"/>
  <c r="HN147" i="3"/>
  <c r="HO147" i="3"/>
  <c r="HP147" i="3"/>
  <c r="HQ147" i="3"/>
  <c r="HR147" i="3"/>
  <c r="HS147" i="3"/>
  <c r="HT147" i="3"/>
  <c r="HU147" i="3"/>
  <c r="HV147" i="3"/>
  <c r="HW147" i="3"/>
  <c r="HX147" i="3"/>
  <c r="HY147" i="3"/>
  <c r="HZ147" i="3"/>
  <c r="IA147" i="3"/>
  <c r="IB147" i="3"/>
  <c r="IC147" i="3"/>
  <c r="ID147" i="3"/>
  <c r="IE147" i="3"/>
  <c r="IF147" i="3"/>
  <c r="IG147" i="3"/>
  <c r="IH147" i="3"/>
  <c r="II147" i="3"/>
  <c r="IJ147" i="3"/>
  <c r="IK147" i="3"/>
  <c r="IL147" i="3"/>
  <c r="IM147" i="3"/>
  <c r="IN147" i="3"/>
  <c r="IO147" i="3"/>
  <c r="IP147" i="3"/>
  <c r="IQ147" i="3"/>
  <c r="IR147" i="3"/>
  <c r="IS147" i="3"/>
  <c r="IT147" i="3"/>
  <c r="IU147" i="3"/>
  <c r="IV147" i="3"/>
  <c r="A146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AH146" i="3"/>
  <c r="AI146" i="3"/>
  <c r="AJ146" i="3"/>
  <c r="AK146" i="3"/>
  <c r="AL146" i="3"/>
  <c r="AM146" i="3"/>
  <c r="AN146" i="3"/>
  <c r="AO146" i="3"/>
  <c r="AP146" i="3"/>
  <c r="AQ146" i="3"/>
  <c r="AR146" i="3"/>
  <c r="AS146" i="3"/>
  <c r="AT146" i="3"/>
  <c r="AU146" i="3"/>
  <c r="AV146" i="3"/>
  <c r="AW146" i="3"/>
  <c r="AX146" i="3"/>
  <c r="AY146" i="3"/>
  <c r="AZ146" i="3"/>
  <c r="BA146" i="3"/>
  <c r="BB146" i="3"/>
  <c r="BC146" i="3"/>
  <c r="BD146" i="3"/>
  <c r="BE146" i="3"/>
  <c r="BF146" i="3"/>
  <c r="BG146" i="3"/>
  <c r="BH146" i="3"/>
  <c r="BI146" i="3"/>
  <c r="BJ146" i="3"/>
  <c r="BK146" i="3"/>
  <c r="BL146" i="3"/>
  <c r="BM146" i="3"/>
  <c r="BN146" i="3"/>
  <c r="BO146" i="3"/>
  <c r="BP146" i="3"/>
  <c r="BQ146" i="3"/>
  <c r="BR146" i="3"/>
  <c r="BS146" i="3"/>
  <c r="BT146" i="3"/>
  <c r="BU146" i="3"/>
  <c r="BV146" i="3"/>
  <c r="BW146" i="3"/>
  <c r="BX146" i="3"/>
  <c r="BY146" i="3"/>
  <c r="BZ146" i="3"/>
  <c r="CA146" i="3"/>
  <c r="CB146" i="3"/>
  <c r="CC146" i="3"/>
  <c r="CD146" i="3"/>
  <c r="CE146" i="3"/>
  <c r="CF146" i="3"/>
  <c r="CG146" i="3"/>
  <c r="CH146" i="3"/>
  <c r="CI146" i="3"/>
  <c r="CJ146" i="3"/>
  <c r="CK146" i="3"/>
  <c r="CL146" i="3"/>
  <c r="CM146" i="3"/>
  <c r="CN146" i="3"/>
  <c r="CO146" i="3"/>
  <c r="CP146" i="3"/>
  <c r="CQ146" i="3"/>
  <c r="CR146" i="3"/>
  <c r="CS146" i="3"/>
  <c r="CT146" i="3"/>
  <c r="CU146" i="3"/>
  <c r="CV146" i="3"/>
  <c r="CW146" i="3"/>
  <c r="CX146" i="3"/>
  <c r="CY146" i="3"/>
  <c r="CZ146" i="3"/>
  <c r="DA146" i="3"/>
  <c r="DB146" i="3"/>
  <c r="DC146" i="3"/>
  <c r="DD146" i="3"/>
  <c r="DE146" i="3"/>
  <c r="DF146" i="3"/>
  <c r="DG146" i="3"/>
  <c r="DH146" i="3"/>
  <c r="DI146" i="3"/>
  <c r="DJ146" i="3"/>
  <c r="DK146" i="3"/>
  <c r="DL146" i="3"/>
  <c r="DM146" i="3"/>
  <c r="DN146" i="3"/>
  <c r="DO146" i="3"/>
  <c r="DP146" i="3"/>
  <c r="DQ146" i="3"/>
  <c r="DR146" i="3"/>
  <c r="DS146" i="3"/>
  <c r="DT146" i="3"/>
  <c r="DU146" i="3"/>
  <c r="DV146" i="3"/>
  <c r="DW146" i="3"/>
  <c r="DX146" i="3"/>
  <c r="DY146" i="3"/>
  <c r="DZ146" i="3"/>
  <c r="EA146" i="3"/>
  <c r="EB146" i="3"/>
  <c r="EC146" i="3"/>
  <c r="ED146" i="3"/>
  <c r="EE146" i="3"/>
  <c r="EF146" i="3"/>
  <c r="EG146" i="3"/>
  <c r="EH146" i="3"/>
  <c r="EI146" i="3"/>
  <c r="EJ146" i="3"/>
  <c r="EK146" i="3"/>
  <c r="EL146" i="3"/>
  <c r="EM146" i="3"/>
  <c r="EN146" i="3"/>
  <c r="EO146" i="3"/>
  <c r="EP146" i="3"/>
  <c r="EQ146" i="3"/>
  <c r="ER146" i="3"/>
  <c r="ES146" i="3"/>
  <c r="ET146" i="3"/>
  <c r="EU146" i="3"/>
  <c r="EV146" i="3"/>
  <c r="EW146" i="3"/>
  <c r="EX146" i="3"/>
  <c r="EY146" i="3"/>
  <c r="EZ146" i="3"/>
  <c r="FA146" i="3"/>
  <c r="FB146" i="3"/>
  <c r="FC146" i="3"/>
  <c r="FD146" i="3"/>
  <c r="FE146" i="3"/>
  <c r="FF146" i="3"/>
  <c r="FG146" i="3"/>
  <c r="FH146" i="3"/>
  <c r="FI146" i="3"/>
  <c r="FJ146" i="3"/>
  <c r="FK146" i="3"/>
  <c r="FL146" i="3"/>
  <c r="FM146" i="3"/>
  <c r="FN146" i="3"/>
  <c r="FO146" i="3"/>
  <c r="FP146" i="3"/>
  <c r="FQ146" i="3"/>
  <c r="FR146" i="3"/>
  <c r="FS146" i="3"/>
  <c r="FT146" i="3"/>
  <c r="FU146" i="3"/>
  <c r="FV146" i="3"/>
  <c r="FW146" i="3"/>
  <c r="FX146" i="3"/>
  <c r="FY146" i="3"/>
  <c r="FZ146" i="3"/>
  <c r="GA146" i="3"/>
  <c r="GB146" i="3"/>
  <c r="GC146" i="3"/>
  <c r="GD146" i="3"/>
  <c r="GE146" i="3"/>
  <c r="GF146" i="3"/>
  <c r="GG146" i="3"/>
  <c r="GH146" i="3"/>
  <c r="GI146" i="3"/>
  <c r="GJ146" i="3"/>
  <c r="GK146" i="3"/>
  <c r="GL146" i="3"/>
  <c r="GM146" i="3"/>
  <c r="GN146" i="3"/>
  <c r="GO146" i="3"/>
  <c r="GP146" i="3"/>
  <c r="GQ146" i="3"/>
  <c r="GR146" i="3"/>
  <c r="GS146" i="3"/>
  <c r="GT146" i="3"/>
  <c r="GU146" i="3"/>
  <c r="GV146" i="3"/>
  <c r="GW146" i="3"/>
  <c r="GX146" i="3"/>
  <c r="GY146" i="3"/>
  <c r="GZ146" i="3"/>
  <c r="HA146" i="3"/>
  <c r="HB146" i="3"/>
  <c r="HC146" i="3"/>
  <c r="HD146" i="3"/>
  <c r="HE146" i="3"/>
  <c r="HF146" i="3"/>
  <c r="HG146" i="3"/>
  <c r="HH146" i="3"/>
  <c r="HI146" i="3"/>
  <c r="HJ146" i="3"/>
  <c r="HK146" i="3"/>
  <c r="HL146" i="3"/>
  <c r="HM146" i="3"/>
  <c r="HN146" i="3"/>
  <c r="HO146" i="3"/>
  <c r="HP146" i="3"/>
  <c r="HQ146" i="3"/>
  <c r="HR146" i="3"/>
  <c r="HS146" i="3"/>
  <c r="HT146" i="3"/>
  <c r="HU146" i="3"/>
  <c r="HV146" i="3"/>
  <c r="HW146" i="3"/>
  <c r="HX146" i="3"/>
  <c r="HY146" i="3"/>
  <c r="HZ146" i="3"/>
  <c r="IA146" i="3"/>
  <c r="IB146" i="3"/>
  <c r="IC146" i="3"/>
  <c r="ID146" i="3"/>
  <c r="IE146" i="3"/>
  <c r="IF146" i="3"/>
  <c r="IG146" i="3"/>
  <c r="IH146" i="3"/>
  <c r="II146" i="3"/>
  <c r="IJ146" i="3"/>
  <c r="IK146" i="3"/>
  <c r="IL146" i="3"/>
  <c r="IM146" i="3"/>
  <c r="IN146" i="3"/>
  <c r="IO146" i="3"/>
  <c r="IP146" i="3"/>
  <c r="IQ146" i="3"/>
  <c r="IR146" i="3"/>
  <c r="IS146" i="3"/>
  <c r="IT146" i="3"/>
  <c r="IU146" i="3"/>
  <c r="IV146" i="3"/>
  <c r="A145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AH145" i="3"/>
  <c r="AI145" i="3"/>
  <c r="AJ145" i="3"/>
  <c r="AK145" i="3"/>
  <c r="AL145" i="3"/>
  <c r="AM145" i="3"/>
  <c r="AN145" i="3"/>
  <c r="AO145" i="3"/>
  <c r="AP145" i="3"/>
  <c r="AQ145" i="3"/>
  <c r="AR145" i="3"/>
  <c r="AS145" i="3"/>
  <c r="AT145" i="3"/>
  <c r="AU145" i="3"/>
  <c r="AV145" i="3"/>
  <c r="AW145" i="3"/>
  <c r="AX145" i="3"/>
  <c r="AY145" i="3"/>
  <c r="AZ145" i="3"/>
  <c r="BA145" i="3"/>
  <c r="BB145" i="3"/>
  <c r="BC145" i="3"/>
  <c r="BD145" i="3"/>
  <c r="BE145" i="3"/>
  <c r="BF145" i="3"/>
  <c r="BG145" i="3"/>
  <c r="BH145" i="3"/>
  <c r="BI145" i="3"/>
  <c r="BJ145" i="3"/>
  <c r="BK145" i="3"/>
  <c r="BL145" i="3"/>
  <c r="BM145" i="3"/>
  <c r="BN145" i="3"/>
  <c r="BO145" i="3"/>
  <c r="BP145" i="3"/>
  <c r="BQ145" i="3"/>
  <c r="BR145" i="3"/>
  <c r="BS145" i="3"/>
  <c r="BT145" i="3"/>
  <c r="BU145" i="3"/>
  <c r="BV145" i="3"/>
  <c r="BW145" i="3"/>
  <c r="BX145" i="3"/>
  <c r="BY145" i="3"/>
  <c r="BZ145" i="3"/>
  <c r="CA145" i="3"/>
  <c r="CB145" i="3"/>
  <c r="CC145" i="3"/>
  <c r="CD145" i="3"/>
  <c r="CE145" i="3"/>
  <c r="CF145" i="3"/>
  <c r="CG145" i="3"/>
  <c r="CH145" i="3"/>
  <c r="CI145" i="3"/>
  <c r="CJ145" i="3"/>
  <c r="CK145" i="3"/>
  <c r="CL145" i="3"/>
  <c r="CM145" i="3"/>
  <c r="CN145" i="3"/>
  <c r="CO145" i="3"/>
  <c r="CP145" i="3"/>
  <c r="CQ145" i="3"/>
  <c r="CR145" i="3"/>
  <c r="CS145" i="3"/>
  <c r="CT145" i="3"/>
  <c r="CU145" i="3"/>
  <c r="CV145" i="3"/>
  <c r="CW145" i="3"/>
  <c r="CX145" i="3"/>
  <c r="CY145" i="3"/>
  <c r="CZ145" i="3"/>
  <c r="DA145" i="3"/>
  <c r="DB145" i="3"/>
  <c r="DC145" i="3"/>
  <c r="DD145" i="3"/>
  <c r="DE145" i="3"/>
  <c r="DF145" i="3"/>
  <c r="DG145" i="3"/>
  <c r="DH145" i="3"/>
  <c r="DI145" i="3"/>
  <c r="DJ145" i="3"/>
  <c r="DK145" i="3"/>
  <c r="DL145" i="3"/>
  <c r="DM145" i="3"/>
  <c r="DN145" i="3"/>
  <c r="DO145" i="3"/>
  <c r="DP145" i="3"/>
  <c r="DQ145" i="3"/>
  <c r="DR145" i="3"/>
  <c r="DS145" i="3"/>
  <c r="DT145" i="3"/>
  <c r="DU145" i="3"/>
  <c r="DV145" i="3"/>
  <c r="DW145" i="3"/>
  <c r="DX145" i="3"/>
  <c r="DY145" i="3"/>
  <c r="DZ145" i="3"/>
  <c r="EA145" i="3"/>
  <c r="EB145" i="3"/>
  <c r="EC145" i="3"/>
  <c r="ED145" i="3"/>
  <c r="EE145" i="3"/>
  <c r="EF145" i="3"/>
  <c r="EG145" i="3"/>
  <c r="EH145" i="3"/>
  <c r="EI145" i="3"/>
  <c r="EJ145" i="3"/>
  <c r="EK145" i="3"/>
  <c r="EL145" i="3"/>
  <c r="EM145" i="3"/>
  <c r="EN145" i="3"/>
  <c r="EO145" i="3"/>
  <c r="EP145" i="3"/>
  <c r="EQ145" i="3"/>
  <c r="ER145" i="3"/>
  <c r="ES145" i="3"/>
  <c r="ET145" i="3"/>
  <c r="EU145" i="3"/>
  <c r="EV145" i="3"/>
  <c r="EW145" i="3"/>
  <c r="EX145" i="3"/>
  <c r="EY145" i="3"/>
  <c r="EZ145" i="3"/>
  <c r="FA145" i="3"/>
  <c r="FB145" i="3"/>
  <c r="FC145" i="3"/>
  <c r="FD145" i="3"/>
  <c r="FE145" i="3"/>
  <c r="FF145" i="3"/>
  <c r="FG145" i="3"/>
  <c r="FH145" i="3"/>
  <c r="FI145" i="3"/>
  <c r="FJ145" i="3"/>
  <c r="FK145" i="3"/>
  <c r="FL145" i="3"/>
  <c r="FM145" i="3"/>
  <c r="FN145" i="3"/>
  <c r="FO145" i="3"/>
  <c r="FP145" i="3"/>
  <c r="FQ145" i="3"/>
  <c r="FR145" i="3"/>
  <c r="FS145" i="3"/>
  <c r="FT145" i="3"/>
  <c r="FU145" i="3"/>
  <c r="FV145" i="3"/>
  <c r="FW145" i="3"/>
  <c r="FX145" i="3"/>
  <c r="FY145" i="3"/>
  <c r="FZ145" i="3"/>
  <c r="GA145" i="3"/>
  <c r="GB145" i="3"/>
  <c r="GC145" i="3"/>
  <c r="GD145" i="3"/>
  <c r="GE145" i="3"/>
  <c r="GF145" i="3"/>
  <c r="GG145" i="3"/>
  <c r="GH145" i="3"/>
  <c r="GI145" i="3"/>
  <c r="GJ145" i="3"/>
  <c r="GK145" i="3"/>
  <c r="GL145" i="3"/>
  <c r="GM145" i="3"/>
  <c r="GN145" i="3"/>
  <c r="GO145" i="3"/>
  <c r="GP145" i="3"/>
  <c r="GQ145" i="3"/>
  <c r="GR145" i="3"/>
  <c r="GS145" i="3"/>
  <c r="GT145" i="3"/>
  <c r="GU145" i="3"/>
  <c r="GV145" i="3"/>
  <c r="GW145" i="3"/>
  <c r="GX145" i="3"/>
  <c r="GY145" i="3"/>
  <c r="GZ145" i="3"/>
  <c r="HA145" i="3"/>
  <c r="HB145" i="3"/>
  <c r="HC145" i="3"/>
  <c r="HD145" i="3"/>
  <c r="HE145" i="3"/>
  <c r="HF145" i="3"/>
  <c r="HG145" i="3"/>
  <c r="HH145" i="3"/>
  <c r="HI145" i="3"/>
  <c r="HJ145" i="3"/>
  <c r="HK145" i="3"/>
  <c r="HL145" i="3"/>
  <c r="HM145" i="3"/>
  <c r="HN145" i="3"/>
  <c r="HO145" i="3"/>
  <c r="HP145" i="3"/>
  <c r="HQ145" i="3"/>
  <c r="HR145" i="3"/>
  <c r="HS145" i="3"/>
  <c r="HT145" i="3"/>
  <c r="HU145" i="3"/>
  <c r="HV145" i="3"/>
  <c r="HW145" i="3"/>
  <c r="HX145" i="3"/>
  <c r="HY145" i="3"/>
  <c r="HZ145" i="3"/>
  <c r="IA145" i="3"/>
  <c r="IB145" i="3"/>
  <c r="IC145" i="3"/>
  <c r="ID145" i="3"/>
  <c r="IE145" i="3"/>
  <c r="IF145" i="3"/>
  <c r="IG145" i="3"/>
  <c r="IH145" i="3"/>
  <c r="II145" i="3"/>
  <c r="IJ145" i="3"/>
  <c r="IK145" i="3"/>
  <c r="IL145" i="3"/>
  <c r="IM145" i="3"/>
  <c r="IN145" i="3"/>
  <c r="IO145" i="3"/>
  <c r="IP145" i="3"/>
  <c r="IQ145" i="3"/>
  <c r="IR145" i="3"/>
  <c r="IS145" i="3"/>
  <c r="IT145" i="3"/>
  <c r="IU145" i="3"/>
  <c r="IV145" i="3"/>
  <c r="A144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AH144" i="3"/>
  <c r="AI144" i="3"/>
  <c r="AJ144" i="3"/>
  <c r="AK144" i="3"/>
  <c r="AL144" i="3"/>
  <c r="AM144" i="3"/>
  <c r="AN144" i="3"/>
  <c r="AO144" i="3"/>
  <c r="AP144" i="3"/>
  <c r="AQ144" i="3"/>
  <c r="AR144" i="3"/>
  <c r="AS144" i="3"/>
  <c r="AT144" i="3"/>
  <c r="AU144" i="3"/>
  <c r="AV144" i="3"/>
  <c r="AW144" i="3"/>
  <c r="AX144" i="3"/>
  <c r="AY144" i="3"/>
  <c r="AZ144" i="3"/>
  <c r="BA144" i="3"/>
  <c r="BB144" i="3"/>
  <c r="BC144" i="3"/>
  <c r="BD144" i="3"/>
  <c r="BE144" i="3"/>
  <c r="BF144" i="3"/>
  <c r="BG144" i="3"/>
  <c r="BH144" i="3"/>
  <c r="BI144" i="3"/>
  <c r="BJ144" i="3"/>
  <c r="BK144" i="3"/>
  <c r="BL144" i="3"/>
  <c r="BM144" i="3"/>
  <c r="BN144" i="3"/>
  <c r="BO144" i="3"/>
  <c r="BP144" i="3"/>
  <c r="BQ144" i="3"/>
  <c r="BR144" i="3"/>
  <c r="BS144" i="3"/>
  <c r="BT144" i="3"/>
  <c r="BU144" i="3"/>
  <c r="BV144" i="3"/>
  <c r="BW144" i="3"/>
  <c r="BX144" i="3"/>
  <c r="BY144" i="3"/>
  <c r="BZ144" i="3"/>
  <c r="CA144" i="3"/>
  <c r="CB144" i="3"/>
  <c r="CC144" i="3"/>
  <c r="CD144" i="3"/>
  <c r="CE144" i="3"/>
  <c r="CF144" i="3"/>
  <c r="CG144" i="3"/>
  <c r="CH144" i="3"/>
  <c r="CI144" i="3"/>
  <c r="CJ144" i="3"/>
  <c r="CK144" i="3"/>
  <c r="CL144" i="3"/>
  <c r="CM144" i="3"/>
  <c r="CN144" i="3"/>
  <c r="CO144" i="3"/>
  <c r="CP144" i="3"/>
  <c r="CQ144" i="3"/>
  <c r="CR144" i="3"/>
  <c r="CS144" i="3"/>
  <c r="CT144" i="3"/>
  <c r="CU144" i="3"/>
  <c r="CV144" i="3"/>
  <c r="CW144" i="3"/>
  <c r="CX144" i="3"/>
  <c r="CY144" i="3"/>
  <c r="CZ144" i="3"/>
  <c r="DA144" i="3"/>
  <c r="DB144" i="3"/>
  <c r="DC144" i="3"/>
  <c r="DD144" i="3"/>
  <c r="DE144" i="3"/>
  <c r="DF144" i="3"/>
  <c r="DG144" i="3"/>
  <c r="DH144" i="3"/>
  <c r="DI144" i="3"/>
  <c r="DJ144" i="3"/>
  <c r="DK144" i="3"/>
  <c r="DL144" i="3"/>
  <c r="DM144" i="3"/>
  <c r="DN144" i="3"/>
  <c r="DO144" i="3"/>
  <c r="DP144" i="3"/>
  <c r="DQ144" i="3"/>
  <c r="DR144" i="3"/>
  <c r="DS144" i="3"/>
  <c r="DT144" i="3"/>
  <c r="DU144" i="3"/>
  <c r="DV144" i="3"/>
  <c r="DW144" i="3"/>
  <c r="DX144" i="3"/>
  <c r="DY144" i="3"/>
  <c r="DZ144" i="3"/>
  <c r="EA144" i="3"/>
  <c r="EB144" i="3"/>
  <c r="EC144" i="3"/>
  <c r="ED144" i="3"/>
  <c r="EE144" i="3"/>
  <c r="EF144" i="3"/>
  <c r="EG144" i="3"/>
  <c r="EH144" i="3"/>
  <c r="EI144" i="3"/>
  <c r="EJ144" i="3"/>
  <c r="EK144" i="3"/>
  <c r="EL144" i="3"/>
  <c r="EM144" i="3"/>
  <c r="EN144" i="3"/>
  <c r="EO144" i="3"/>
  <c r="EP144" i="3"/>
  <c r="EQ144" i="3"/>
  <c r="ER144" i="3"/>
  <c r="ES144" i="3"/>
  <c r="ET144" i="3"/>
  <c r="EU144" i="3"/>
  <c r="EV144" i="3"/>
  <c r="EW144" i="3"/>
  <c r="EX144" i="3"/>
  <c r="EY144" i="3"/>
  <c r="EZ144" i="3"/>
  <c r="FA144" i="3"/>
  <c r="FB144" i="3"/>
  <c r="FC144" i="3"/>
  <c r="FD144" i="3"/>
  <c r="FE144" i="3"/>
  <c r="FF144" i="3"/>
  <c r="FG144" i="3"/>
  <c r="FH144" i="3"/>
  <c r="FI144" i="3"/>
  <c r="FJ144" i="3"/>
  <c r="FK144" i="3"/>
  <c r="FL144" i="3"/>
  <c r="FM144" i="3"/>
  <c r="FN144" i="3"/>
  <c r="FO144" i="3"/>
  <c r="FP144" i="3"/>
  <c r="FQ144" i="3"/>
  <c r="FR144" i="3"/>
  <c r="FS144" i="3"/>
  <c r="FT144" i="3"/>
  <c r="FU144" i="3"/>
  <c r="FV144" i="3"/>
  <c r="FW144" i="3"/>
  <c r="FX144" i="3"/>
  <c r="FY144" i="3"/>
  <c r="FZ144" i="3"/>
  <c r="GA144" i="3"/>
  <c r="GB144" i="3"/>
  <c r="GC144" i="3"/>
  <c r="GD144" i="3"/>
  <c r="GE144" i="3"/>
  <c r="GF144" i="3"/>
  <c r="GG144" i="3"/>
  <c r="GH144" i="3"/>
  <c r="GI144" i="3"/>
  <c r="GJ144" i="3"/>
  <c r="GK144" i="3"/>
  <c r="GL144" i="3"/>
  <c r="GM144" i="3"/>
  <c r="GN144" i="3"/>
  <c r="GO144" i="3"/>
  <c r="GP144" i="3"/>
  <c r="GQ144" i="3"/>
  <c r="GR144" i="3"/>
  <c r="GS144" i="3"/>
  <c r="GT144" i="3"/>
  <c r="GU144" i="3"/>
  <c r="GV144" i="3"/>
  <c r="GW144" i="3"/>
  <c r="GX144" i="3"/>
  <c r="GY144" i="3"/>
  <c r="GZ144" i="3"/>
  <c r="HA144" i="3"/>
  <c r="HB144" i="3"/>
  <c r="HC144" i="3"/>
  <c r="HD144" i="3"/>
  <c r="HE144" i="3"/>
  <c r="HF144" i="3"/>
  <c r="HG144" i="3"/>
  <c r="HH144" i="3"/>
  <c r="HI144" i="3"/>
  <c r="HJ144" i="3"/>
  <c r="HK144" i="3"/>
  <c r="HL144" i="3"/>
  <c r="HM144" i="3"/>
  <c r="HN144" i="3"/>
  <c r="HO144" i="3"/>
  <c r="HP144" i="3"/>
  <c r="HQ144" i="3"/>
  <c r="HR144" i="3"/>
  <c r="HS144" i="3"/>
  <c r="HT144" i="3"/>
  <c r="HU144" i="3"/>
  <c r="HV144" i="3"/>
  <c r="HW144" i="3"/>
  <c r="HX144" i="3"/>
  <c r="HY144" i="3"/>
  <c r="HZ144" i="3"/>
  <c r="IA144" i="3"/>
  <c r="IB144" i="3"/>
  <c r="IC144" i="3"/>
  <c r="ID144" i="3"/>
  <c r="IE144" i="3"/>
  <c r="IF144" i="3"/>
  <c r="IG144" i="3"/>
  <c r="IH144" i="3"/>
  <c r="II144" i="3"/>
  <c r="IJ144" i="3"/>
  <c r="IK144" i="3"/>
  <c r="IL144" i="3"/>
  <c r="IM144" i="3"/>
  <c r="IN144" i="3"/>
  <c r="IO144" i="3"/>
  <c r="IP144" i="3"/>
  <c r="IQ144" i="3"/>
  <c r="IR144" i="3"/>
  <c r="IS144" i="3"/>
  <c r="IT144" i="3"/>
  <c r="IU144" i="3"/>
  <c r="IV144" i="3"/>
  <c r="A143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AF143" i="3"/>
  <c r="AG143" i="3"/>
  <c r="AH143" i="3"/>
  <c r="AI143" i="3"/>
  <c r="AJ143" i="3"/>
  <c r="AK143" i="3"/>
  <c r="AL143" i="3"/>
  <c r="AM143" i="3"/>
  <c r="AN143" i="3"/>
  <c r="AO143" i="3"/>
  <c r="AP143" i="3"/>
  <c r="AQ143" i="3"/>
  <c r="AR143" i="3"/>
  <c r="AS143" i="3"/>
  <c r="AT143" i="3"/>
  <c r="AU143" i="3"/>
  <c r="AV143" i="3"/>
  <c r="AW143" i="3"/>
  <c r="AX143" i="3"/>
  <c r="AY143" i="3"/>
  <c r="AZ143" i="3"/>
  <c r="BA143" i="3"/>
  <c r="BB143" i="3"/>
  <c r="BC143" i="3"/>
  <c r="BD143" i="3"/>
  <c r="BE143" i="3"/>
  <c r="BF143" i="3"/>
  <c r="BG143" i="3"/>
  <c r="BH143" i="3"/>
  <c r="BI143" i="3"/>
  <c r="BJ143" i="3"/>
  <c r="BK143" i="3"/>
  <c r="BL143" i="3"/>
  <c r="BM143" i="3"/>
  <c r="BN143" i="3"/>
  <c r="BO143" i="3"/>
  <c r="BP143" i="3"/>
  <c r="BQ143" i="3"/>
  <c r="BR143" i="3"/>
  <c r="BS143" i="3"/>
  <c r="BT143" i="3"/>
  <c r="BU143" i="3"/>
  <c r="BV143" i="3"/>
  <c r="BW143" i="3"/>
  <c r="BX143" i="3"/>
  <c r="BY143" i="3"/>
  <c r="BZ143" i="3"/>
  <c r="CA143" i="3"/>
  <c r="CB143" i="3"/>
  <c r="CC143" i="3"/>
  <c r="CD143" i="3"/>
  <c r="CE143" i="3"/>
  <c r="CF143" i="3"/>
  <c r="CG143" i="3"/>
  <c r="CH143" i="3"/>
  <c r="CI143" i="3"/>
  <c r="CJ143" i="3"/>
  <c r="CK143" i="3"/>
  <c r="CL143" i="3"/>
  <c r="CM143" i="3"/>
  <c r="CN143" i="3"/>
  <c r="CO143" i="3"/>
  <c r="CP143" i="3"/>
  <c r="CQ143" i="3"/>
  <c r="CR143" i="3"/>
  <c r="CS143" i="3"/>
  <c r="CT143" i="3"/>
  <c r="CU143" i="3"/>
  <c r="CV143" i="3"/>
  <c r="CW143" i="3"/>
  <c r="CX143" i="3"/>
  <c r="CY143" i="3"/>
  <c r="CZ143" i="3"/>
  <c r="DA143" i="3"/>
  <c r="DB143" i="3"/>
  <c r="DC143" i="3"/>
  <c r="DD143" i="3"/>
  <c r="DE143" i="3"/>
  <c r="DF143" i="3"/>
  <c r="DG143" i="3"/>
  <c r="DH143" i="3"/>
  <c r="DI143" i="3"/>
  <c r="DJ143" i="3"/>
  <c r="DK143" i="3"/>
  <c r="DL143" i="3"/>
  <c r="DM143" i="3"/>
  <c r="DN143" i="3"/>
  <c r="DO143" i="3"/>
  <c r="DP143" i="3"/>
  <c r="DQ143" i="3"/>
  <c r="DR143" i="3"/>
  <c r="DS143" i="3"/>
  <c r="DT143" i="3"/>
  <c r="DU143" i="3"/>
  <c r="DV143" i="3"/>
  <c r="DW143" i="3"/>
  <c r="DX143" i="3"/>
  <c r="DY143" i="3"/>
  <c r="DZ143" i="3"/>
  <c r="EA143" i="3"/>
  <c r="EB143" i="3"/>
  <c r="EC143" i="3"/>
  <c r="ED143" i="3"/>
  <c r="EE143" i="3"/>
  <c r="EF143" i="3"/>
  <c r="EG143" i="3"/>
  <c r="EH143" i="3"/>
  <c r="EI143" i="3"/>
  <c r="EJ143" i="3"/>
  <c r="EK143" i="3"/>
  <c r="EL143" i="3"/>
  <c r="EM143" i="3"/>
  <c r="EN143" i="3"/>
  <c r="EO143" i="3"/>
  <c r="EP143" i="3"/>
  <c r="EQ143" i="3"/>
  <c r="ER143" i="3"/>
  <c r="ES143" i="3"/>
  <c r="ET143" i="3"/>
  <c r="EU143" i="3"/>
  <c r="EV143" i="3"/>
  <c r="EW143" i="3"/>
  <c r="EX143" i="3"/>
  <c r="EY143" i="3"/>
  <c r="EZ143" i="3"/>
  <c r="FA143" i="3"/>
  <c r="FB143" i="3"/>
  <c r="FC143" i="3"/>
  <c r="FD143" i="3"/>
  <c r="FE143" i="3"/>
  <c r="FF143" i="3"/>
  <c r="FG143" i="3"/>
  <c r="FH143" i="3"/>
  <c r="FI143" i="3"/>
  <c r="FJ143" i="3"/>
  <c r="FK143" i="3"/>
  <c r="FL143" i="3"/>
  <c r="FM143" i="3"/>
  <c r="FN143" i="3"/>
  <c r="FO143" i="3"/>
  <c r="FP143" i="3"/>
  <c r="FQ143" i="3"/>
  <c r="FR143" i="3"/>
  <c r="FS143" i="3"/>
  <c r="FT143" i="3"/>
  <c r="FU143" i="3"/>
  <c r="FV143" i="3"/>
  <c r="FW143" i="3"/>
  <c r="FX143" i="3"/>
  <c r="FY143" i="3"/>
  <c r="FZ143" i="3"/>
  <c r="GA143" i="3"/>
  <c r="GB143" i="3"/>
  <c r="GC143" i="3"/>
  <c r="GD143" i="3"/>
  <c r="GE143" i="3"/>
  <c r="GF143" i="3"/>
  <c r="GG143" i="3"/>
  <c r="GH143" i="3"/>
  <c r="GI143" i="3"/>
  <c r="GJ143" i="3"/>
  <c r="GK143" i="3"/>
  <c r="GL143" i="3"/>
  <c r="GM143" i="3"/>
  <c r="GN143" i="3"/>
  <c r="GO143" i="3"/>
  <c r="GP143" i="3"/>
  <c r="GQ143" i="3"/>
  <c r="GR143" i="3"/>
  <c r="GS143" i="3"/>
  <c r="GT143" i="3"/>
  <c r="GU143" i="3"/>
  <c r="GV143" i="3"/>
  <c r="GW143" i="3"/>
  <c r="GX143" i="3"/>
  <c r="GY143" i="3"/>
  <c r="GZ143" i="3"/>
  <c r="HA143" i="3"/>
  <c r="HB143" i="3"/>
  <c r="HC143" i="3"/>
  <c r="HD143" i="3"/>
  <c r="HE143" i="3"/>
  <c r="HF143" i="3"/>
  <c r="HG143" i="3"/>
  <c r="HH143" i="3"/>
  <c r="HI143" i="3"/>
  <c r="HJ143" i="3"/>
  <c r="HK143" i="3"/>
  <c r="HL143" i="3"/>
  <c r="HM143" i="3"/>
  <c r="HN143" i="3"/>
  <c r="HO143" i="3"/>
  <c r="HP143" i="3"/>
  <c r="HQ143" i="3"/>
  <c r="HR143" i="3"/>
  <c r="HS143" i="3"/>
  <c r="HT143" i="3"/>
  <c r="HU143" i="3"/>
  <c r="HV143" i="3"/>
  <c r="HW143" i="3"/>
  <c r="HX143" i="3"/>
  <c r="HY143" i="3"/>
  <c r="HZ143" i="3"/>
  <c r="IA143" i="3"/>
  <c r="IB143" i="3"/>
  <c r="IC143" i="3"/>
  <c r="ID143" i="3"/>
  <c r="IE143" i="3"/>
  <c r="IF143" i="3"/>
  <c r="IG143" i="3"/>
  <c r="IH143" i="3"/>
  <c r="II143" i="3"/>
  <c r="IJ143" i="3"/>
  <c r="IK143" i="3"/>
  <c r="IL143" i="3"/>
  <c r="IM143" i="3"/>
  <c r="IN143" i="3"/>
  <c r="IO143" i="3"/>
  <c r="IP143" i="3"/>
  <c r="IQ143" i="3"/>
  <c r="IR143" i="3"/>
  <c r="IS143" i="3"/>
  <c r="IT143" i="3"/>
  <c r="IU143" i="3"/>
  <c r="IV143" i="3"/>
  <c r="A142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AH142" i="3"/>
  <c r="AI142" i="3"/>
  <c r="AJ142" i="3"/>
  <c r="AK142" i="3"/>
  <c r="AL142" i="3"/>
  <c r="AM142" i="3"/>
  <c r="AN142" i="3"/>
  <c r="AO142" i="3"/>
  <c r="AP142" i="3"/>
  <c r="AQ142" i="3"/>
  <c r="AR142" i="3"/>
  <c r="AS142" i="3"/>
  <c r="AT142" i="3"/>
  <c r="AU142" i="3"/>
  <c r="AV142" i="3"/>
  <c r="AW142" i="3"/>
  <c r="AX142" i="3"/>
  <c r="AY142" i="3"/>
  <c r="AZ142" i="3"/>
  <c r="BA142" i="3"/>
  <c r="BB142" i="3"/>
  <c r="BC142" i="3"/>
  <c r="BD142" i="3"/>
  <c r="BE142" i="3"/>
  <c r="BF142" i="3"/>
  <c r="BG142" i="3"/>
  <c r="BH142" i="3"/>
  <c r="BI142" i="3"/>
  <c r="BJ142" i="3"/>
  <c r="BK142" i="3"/>
  <c r="BL142" i="3"/>
  <c r="BM142" i="3"/>
  <c r="BN142" i="3"/>
  <c r="BO142" i="3"/>
  <c r="BP142" i="3"/>
  <c r="BQ142" i="3"/>
  <c r="BR142" i="3"/>
  <c r="BS142" i="3"/>
  <c r="BT142" i="3"/>
  <c r="BU142" i="3"/>
  <c r="BV142" i="3"/>
  <c r="BW142" i="3"/>
  <c r="BX142" i="3"/>
  <c r="BY142" i="3"/>
  <c r="BZ142" i="3"/>
  <c r="CA142" i="3"/>
  <c r="CB142" i="3"/>
  <c r="CC142" i="3"/>
  <c r="CD142" i="3"/>
  <c r="CE142" i="3"/>
  <c r="CF142" i="3"/>
  <c r="CG142" i="3"/>
  <c r="CH142" i="3"/>
  <c r="CI142" i="3"/>
  <c r="CJ142" i="3"/>
  <c r="CK142" i="3"/>
  <c r="CL142" i="3"/>
  <c r="CM142" i="3"/>
  <c r="CN142" i="3"/>
  <c r="CO142" i="3"/>
  <c r="CP142" i="3"/>
  <c r="CQ142" i="3"/>
  <c r="CR142" i="3"/>
  <c r="CS142" i="3"/>
  <c r="CT142" i="3"/>
  <c r="CU142" i="3"/>
  <c r="CV142" i="3"/>
  <c r="CW142" i="3"/>
  <c r="CX142" i="3"/>
  <c r="CY142" i="3"/>
  <c r="CZ142" i="3"/>
  <c r="DA142" i="3"/>
  <c r="DB142" i="3"/>
  <c r="DC142" i="3"/>
  <c r="DD142" i="3"/>
  <c r="DE142" i="3"/>
  <c r="DF142" i="3"/>
  <c r="DG142" i="3"/>
  <c r="DH142" i="3"/>
  <c r="DI142" i="3"/>
  <c r="DJ142" i="3"/>
  <c r="DK142" i="3"/>
  <c r="DL142" i="3"/>
  <c r="DM142" i="3"/>
  <c r="DN142" i="3"/>
  <c r="DO142" i="3"/>
  <c r="DP142" i="3"/>
  <c r="DQ142" i="3"/>
  <c r="DR142" i="3"/>
  <c r="DS142" i="3"/>
  <c r="DT142" i="3"/>
  <c r="DU142" i="3"/>
  <c r="DV142" i="3"/>
  <c r="DW142" i="3"/>
  <c r="DX142" i="3"/>
  <c r="DY142" i="3"/>
  <c r="DZ142" i="3"/>
  <c r="EA142" i="3"/>
  <c r="EB142" i="3"/>
  <c r="EC142" i="3"/>
  <c r="ED142" i="3"/>
  <c r="EE142" i="3"/>
  <c r="EF142" i="3"/>
  <c r="EG142" i="3"/>
  <c r="EH142" i="3"/>
  <c r="EI142" i="3"/>
  <c r="EJ142" i="3"/>
  <c r="EK142" i="3"/>
  <c r="EL142" i="3"/>
  <c r="EM142" i="3"/>
  <c r="EN142" i="3"/>
  <c r="EO142" i="3"/>
  <c r="EP142" i="3"/>
  <c r="EQ142" i="3"/>
  <c r="ER142" i="3"/>
  <c r="ES142" i="3"/>
  <c r="ET142" i="3"/>
  <c r="EU142" i="3"/>
  <c r="EV142" i="3"/>
  <c r="EW142" i="3"/>
  <c r="EX142" i="3"/>
  <c r="EY142" i="3"/>
  <c r="EZ142" i="3"/>
  <c r="FA142" i="3"/>
  <c r="FB142" i="3"/>
  <c r="FC142" i="3"/>
  <c r="FD142" i="3"/>
  <c r="FE142" i="3"/>
  <c r="FF142" i="3"/>
  <c r="FG142" i="3"/>
  <c r="FH142" i="3"/>
  <c r="FI142" i="3"/>
  <c r="FJ142" i="3"/>
  <c r="FK142" i="3"/>
  <c r="FL142" i="3"/>
  <c r="FM142" i="3"/>
  <c r="FN142" i="3"/>
  <c r="FO142" i="3"/>
  <c r="FP142" i="3"/>
  <c r="FQ142" i="3"/>
  <c r="FR142" i="3"/>
  <c r="FS142" i="3"/>
  <c r="FT142" i="3"/>
  <c r="FU142" i="3"/>
  <c r="FV142" i="3"/>
  <c r="FW142" i="3"/>
  <c r="FX142" i="3"/>
  <c r="FY142" i="3"/>
  <c r="FZ142" i="3"/>
  <c r="GA142" i="3"/>
  <c r="GB142" i="3"/>
  <c r="GC142" i="3"/>
  <c r="GD142" i="3"/>
  <c r="GE142" i="3"/>
  <c r="GF142" i="3"/>
  <c r="GG142" i="3"/>
  <c r="GH142" i="3"/>
  <c r="GI142" i="3"/>
  <c r="GJ142" i="3"/>
  <c r="GK142" i="3"/>
  <c r="GL142" i="3"/>
  <c r="GM142" i="3"/>
  <c r="GN142" i="3"/>
  <c r="GO142" i="3"/>
  <c r="GP142" i="3"/>
  <c r="GQ142" i="3"/>
  <c r="GR142" i="3"/>
  <c r="GS142" i="3"/>
  <c r="GT142" i="3"/>
  <c r="GU142" i="3"/>
  <c r="GV142" i="3"/>
  <c r="GW142" i="3"/>
  <c r="GX142" i="3"/>
  <c r="GY142" i="3"/>
  <c r="GZ142" i="3"/>
  <c r="HA142" i="3"/>
  <c r="HB142" i="3"/>
  <c r="HC142" i="3"/>
  <c r="HD142" i="3"/>
  <c r="HE142" i="3"/>
  <c r="HF142" i="3"/>
  <c r="HG142" i="3"/>
  <c r="HH142" i="3"/>
  <c r="HI142" i="3"/>
  <c r="HJ142" i="3"/>
  <c r="HK142" i="3"/>
  <c r="HL142" i="3"/>
  <c r="HM142" i="3"/>
  <c r="HN142" i="3"/>
  <c r="HO142" i="3"/>
  <c r="HP142" i="3"/>
  <c r="HQ142" i="3"/>
  <c r="HR142" i="3"/>
  <c r="HS142" i="3"/>
  <c r="HT142" i="3"/>
  <c r="HU142" i="3"/>
  <c r="HV142" i="3"/>
  <c r="HW142" i="3"/>
  <c r="HX142" i="3"/>
  <c r="HY142" i="3"/>
  <c r="HZ142" i="3"/>
  <c r="IA142" i="3"/>
  <c r="IB142" i="3"/>
  <c r="IC142" i="3"/>
  <c r="ID142" i="3"/>
  <c r="IE142" i="3"/>
  <c r="IF142" i="3"/>
  <c r="IG142" i="3"/>
  <c r="IH142" i="3"/>
  <c r="II142" i="3"/>
  <c r="IJ142" i="3"/>
  <c r="IK142" i="3"/>
  <c r="IL142" i="3"/>
  <c r="IM142" i="3"/>
  <c r="IN142" i="3"/>
  <c r="IO142" i="3"/>
  <c r="IP142" i="3"/>
  <c r="IQ142" i="3"/>
  <c r="IR142" i="3"/>
  <c r="IS142" i="3"/>
  <c r="IT142" i="3"/>
  <c r="IU142" i="3"/>
  <c r="IV142" i="3"/>
  <c r="A141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AH141" i="3"/>
  <c r="AI141" i="3"/>
  <c r="AJ141" i="3"/>
  <c r="AK141" i="3"/>
  <c r="AL141" i="3"/>
  <c r="AM141" i="3"/>
  <c r="AN141" i="3"/>
  <c r="AO141" i="3"/>
  <c r="AP141" i="3"/>
  <c r="AQ141" i="3"/>
  <c r="AR141" i="3"/>
  <c r="AS141" i="3"/>
  <c r="AT141" i="3"/>
  <c r="AU141" i="3"/>
  <c r="AV141" i="3"/>
  <c r="AW141" i="3"/>
  <c r="AX141" i="3"/>
  <c r="AY141" i="3"/>
  <c r="AZ141" i="3"/>
  <c r="BA141" i="3"/>
  <c r="BB141" i="3"/>
  <c r="BC141" i="3"/>
  <c r="BD141" i="3"/>
  <c r="BE141" i="3"/>
  <c r="BF141" i="3"/>
  <c r="BG141" i="3"/>
  <c r="BH141" i="3"/>
  <c r="BI141" i="3"/>
  <c r="BJ141" i="3"/>
  <c r="BK141" i="3"/>
  <c r="BL141" i="3"/>
  <c r="BM141" i="3"/>
  <c r="BN141" i="3"/>
  <c r="BO141" i="3"/>
  <c r="BP141" i="3"/>
  <c r="BQ141" i="3"/>
  <c r="BR141" i="3"/>
  <c r="BS141" i="3"/>
  <c r="BT141" i="3"/>
  <c r="BU141" i="3"/>
  <c r="BV141" i="3"/>
  <c r="BW141" i="3"/>
  <c r="BX141" i="3"/>
  <c r="BY141" i="3"/>
  <c r="BZ141" i="3"/>
  <c r="CA141" i="3"/>
  <c r="CB141" i="3"/>
  <c r="CC141" i="3"/>
  <c r="CD141" i="3"/>
  <c r="CE141" i="3"/>
  <c r="CF141" i="3"/>
  <c r="CG141" i="3"/>
  <c r="CH141" i="3"/>
  <c r="CI141" i="3"/>
  <c r="CJ141" i="3"/>
  <c r="CK141" i="3"/>
  <c r="CL141" i="3"/>
  <c r="CM141" i="3"/>
  <c r="CN141" i="3"/>
  <c r="CO141" i="3"/>
  <c r="CP141" i="3"/>
  <c r="CQ141" i="3"/>
  <c r="CR141" i="3"/>
  <c r="CS141" i="3"/>
  <c r="CT141" i="3"/>
  <c r="CU141" i="3"/>
  <c r="CV141" i="3"/>
  <c r="CW141" i="3"/>
  <c r="CX141" i="3"/>
  <c r="CY141" i="3"/>
  <c r="CZ141" i="3"/>
  <c r="DA141" i="3"/>
  <c r="DB141" i="3"/>
  <c r="DC141" i="3"/>
  <c r="DD141" i="3"/>
  <c r="DE141" i="3"/>
  <c r="DF141" i="3"/>
  <c r="DG141" i="3"/>
  <c r="DH141" i="3"/>
  <c r="DI141" i="3"/>
  <c r="DJ141" i="3"/>
  <c r="DK141" i="3"/>
  <c r="DL141" i="3"/>
  <c r="DM141" i="3"/>
  <c r="DN141" i="3"/>
  <c r="DO141" i="3"/>
  <c r="DP141" i="3"/>
  <c r="DQ141" i="3"/>
  <c r="DR141" i="3"/>
  <c r="DS141" i="3"/>
  <c r="DT141" i="3"/>
  <c r="DU141" i="3"/>
  <c r="DV141" i="3"/>
  <c r="DW141" i="3"/>
  <c r="DX141" i="3"/>
  <c r="DY141" i="3"/>
  <c r="DZ141" i="3"/>
  <c r="EA141" i="3"/>
  <c r="EB141" i="3"/>
  <c r="EC141" i="3"/>
  <c r="ED141" i="3"/>
  <c r="EE141" i="3"/>
  <c r="EF141" i="3"/>
  <c r="EG141" i="3"/>
  <c r="EH141" i="3"/>
  <c r="EI141" i="3"/>
  <c r="EJ141" i="3"/>
  <c r="EK141" i="3"/>
  <c r="EL141" i="3"/>
  <c r="EM141" i="3"/>
  <c r="EN141" i="3"/>
  <c r="EO141" i="3"/>
  <c r="EP141" i="3"/>
  <c r="EQ141" i="3"/>
  <c r="ER141" i="3"/>
  <c r="ES141" i="3"/>
  <c r="ET141" i="3"/>
  <c r="EU141" i="3"/>
  <c r="EV141" i="3"/>
  <c r="EW141" i="3"/>
  <c r="EX141" i="3"/>
  <c r="EY141" i="3"/>
  <c r="EZ141" i="3"/>
  <c r="FA141" i="3"/>
  <c r="FB141" i="3"/>
  <c r="FC141" i="3"/>
  <c r="FD141" i="3"/>
  <c r="FE141" i="3"/>
  <c r="FF141" i="3"/>
  <c r="FG141" i="3"/>
  <c r="FH141" i="3"/>
  <c r="FI141" i="3"/>
  <c r="FJ141" i="3"/>
  <c r="FK141" i="3"/>
  <c r="FL141" i="3"/>
  <c r="FM141" i="3"/>
  <c r="FN141" i="3"/>
  <c r="FO141" i="3"/>
  <c r="FP141" i="3"/>
  <c r="FQ141" i="3"/>
  <c r="FR141" i="3"/>
  <c r="FS141" i="3"/>
  <c r="FT141" i="3"/>
  <c r="FU141" i="3"/>
  <c r="FV141" i="3"/>
  <c r="FW141" i="3"/>
  <c r="FX141" i="3"/>
  <c r="FY141" i="3"/>
  <c r="FZ141" i="3"/>
  <c r="GA141" i="3"/>
  <c r="GB141" i="3"/>
  <c r="GC141" i="3"/>
  <c r="GD141" i="3"/>
  <c r="GE141" i="3"/>
  <c r="GF141" i="3"/>
  <c r="GG141" i="3"/>
  <c r="GH141" i="3"/>
  <c r="GI141" i="3"/>
  <c r="GJ141" i="3"/>
  <c r="GK141" i="3"/>
  <c r="GL141" i="3"/>
  <c r="GM141" i="3"/>
  <c r="GN141" i="3"/>
  <c r="GO141" i="3"/>
  <c r="GP141" i="3"/>
  <c r="GQ141" i="3"/>
  <c r="GR141" i="3"/>
  <c r="GS141" i="3"/>
  <c r="GT141" i="3"/>
  <c r="GU141" i="3"/>
  <c r="GV141" i="3"/>
  <c r="GW141" i="3"/>
  <c r="GX141" i="3"/>
  <c r="GY141" i="3"/>
  <c r="GZ141" i="3"/>
  <c r="HA141" i="3"/>
  <c r="HB141" i="3"/>
  <c r="HC141" i="3"/>
  <c r="HD141" i="3"/>
  <c r="HE141" i="3"/>
  <c r="HF141" i="3"/>
  <c r="HG141" i="3"/>
  <c r="HH141" i="3"/>
  <c r="HI141" i="3"/>
  <c r="HJ141" i="3"/>
  <c r="HK141" i="3"/>
  <c r="HL141" i="3"/>
  <c r="HM141" i="3"/>
  <c r="HN141" i="3"/>
  <c r="HO141" i="3"/>
  <c r="HP141" i="3"/>
  <c r="HQ141" i="3"/>
  <c r="HR141" i="3"/>
  <c r="HS141" i="3"/>
  <c r="HT141" i="3"/>
  <c r="HU141" i="3"/>
  <c r="HV141" i="3"/>
  <c r="HW141" i="3"/>
  <c r="HX141" i="3"/>
  <c r="HY141" i="3"/>
  <c r="HZ141" i="3"/>
  <c r="IA141" i="3"/>
  <c r="IB141" i="3"/>
  <c r="IC141" i="3"/>
  <c r="ID141" i="3"/>
  <c r="IE141" i="3"/>
  <c r="IF141" i="3"/>
  <c r="IG141" i="3"/>
  <c r="IH141" i="3"/>
  <c r="II141" i="3"/>
  <c r="IJ141" i="3"/>
  <c r="IK141" i="3"/>
  <c r="IL141" i="3"/>
  <c r="IM141" i="3"/>
  <c r="IN141" i="3"/>
  <c r="IO141" i="3"/>
  <c r="IP141" i="3"/>
  <c r="IQ141" i="3"/>
  <c r="IR141" i="3"/>
  <c r="IS141" i="3"/>
  <c r="IT141" i="3"/>
  <c r="IU141" i="3"/>
  <c r="IV141" i="3"/>
  <c r="A140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AF140" i="3"/>
  <c r="AG140" i="3"/>
  <c r="AH140" i="3"/>
  <c r="AI140" i="3"/>
  <c r="AJ140" i="3"/>
  <c r="AK140" i="3"/>
  <c r="AL140" i="3"/>
  <c r="AM140" i="3"/>
  <c r="AN140" i="3"/>
  <c r="AO140" i="3"/>
  <c r="AP140" i="3"/>
  <c r="AQ140" i="3"/>
  <c r="AR140" i="3"/>
  <c r="AS140" i="3"/>
  <c r="AT140" i="3"/>
  <c r="AU140" i="3"/>
  <c r="AV140" i="3"/>
  <c r="AW140" i="3"/>
  <c r="AX140" i="3"/>
  <c r="AY140" i="3"/>
  <c r="AZ140" i="3"/>
  <c r="BA140" i="3"/>
  <c r="BB140" i="3"/>
  <c r="BC140" i="3"/>
  <c r="BD140" i="3"/>
  <c r="BE140" i="3"/>
  <c r="BF140" i="3"/>
  <c r="BG140" i="3"/>
  <c r="BH140" i="3"/>
  <c r="BI140" i="3"/>
  <c r="BJ140" i="3"/>
  <c r="BK140" i="3"/>
  <c r="BL140" i="3"/>
  <c r="BM140" i="3"/>
  <c r="BN140" i="3"/>
  <c r="BO140" i="3"/>
  <c r="BP140" i="3"/>
  <c r="BQ140" i="3"/>
  <c r="BR140" i="3"/>
  <c r="BS140" i="3"/>
  <c r="BT140" i="3"/>
  <c r="BU140" i="3"/>
  <c r="BV140" i="3"/>
  <c r="BW140" i="3"/>
  <c r="BX140" i="3"/>
  <c r="BY140" i="3"/>
  <c r="BZ140" i="3"/>
  <c r="CA140" i="3"/>
  <c r="CB140" i="3"/>
  <c r="CC140" i="3"/>
  <c r="CD140" i="3"/>
  <c r="CE140" i="3"/>
  <c r="CF140" i="3"/>
  <c r="CG140" i="3"/>
  <c r="CH140" i="3"/>
  <c r="CI140" i="3"/>
  <c r="CJ140" i="3"/>
  <c r="CK140" i="3"/>
  <c r="CL140" i="3"/>
  <c r="CM140" i="3"/>
  <c r="CN140" i="3"/>
  <c r="CO140" i="3"/>
  <c r="CP140" i="3"/>
  <c r="CQ140" i="3"/>
  <c r="CR140" i="3"/>
  <c r="CS140" i="3"/>
  <c r="CT140" i="3"/>
  <c r="CU140" i="3"/>
  <c r="CV140" i="3"/>
  <c r="CW140" i="3"/>
  <c r="CX140" i="3"/>
  <c r="CY140" i="3"/>
  <c r="CZ140" i="3"/>
  <c r="DA140" i="3"/>
  <c r="DB140" i="3"/>
  <c r="DC140" i="3"/>
  <c r="DD140" i="3"/>
  <c r="DE140" i="3"/>
  <c r="DF140" i="3"/>
  <c r="DG140" i="3"/>
  <c r="DH140" i="3"/>
  <c r="DI140" i="3"/>
  <c r="DJ140" i="3"/>
  <c r="DK140" i="3"/>
  <c r="DL140" i="3"/>
  <c r="DM140" i="3"/>
  <c r="DN140" i="3"/>
  <c r="DO140" i="3"/>
  <c r="DP140" i="3"/>
  <c r="DQ140" i="3"/>
  <c r="DR140" i="3"/>
  <c r="DS140" i="3"/>
  <c r="DT140" i="3"/>
  <c r="DU140" i="3"/>
  <c r="DV140" i="3"/>
  <c r="DW140" i="3"/>
  <c r="DX140" i="3"/>
  <c r="DY140" i="3"/>
  <c r="DZ140" i="3"/>
  <c r="EA140" i="3"/>
  <c r="EB140" i="3"/>
  <c r="EC140" i="3"/>
  <c r="ED140" i="3"/>
  <c r="EE140" i="3"/>
  <c r="EF140" i="3"/>
  <c r="EG140" i="3"/>
  <c r="EH140" i="3"/>
  <c r="EI140" i="3"/>
  <c r="EJ140" i="3"/>
  <c r="EK140" i="3"/>
  <c r="EL140" i="3"/>
  <c r="EM140" i="3"/>
  <c r="EN140" i="3"/>
  <c r="EO140" i="3"/>
  <c r="EP140" i="3"/>
  <c r="EQ140" i="3"/>
  <c r="ER140" i="3"/>
  <c r="ES140" i="3"/>
  <c r="ET140" i="3"/>
  <c r="EU140" i="3"/>
  <c r="EV140" i="3"/>
  <c r="EW140" i="3"/>
  <c r="EX140" i="3"/>
  <c r="EY140" i="3"/>
  <c r="EZ140" i="3"/>
  <c r="FA140" i="3"/>
  <c r="FB140" i="3"/>
  <c r="FC140" i="3"/>
  <c r="FD140" i="3"/>
  <c r="FE140" i="3"/>
  <c r="FF140" i="3"/>
  <c r="FG140" i="3"/>
  <c r="FH140" i="3"/>
  <c r="FI140" i="3"/>
  <c r="FJ140" i="3"/>
  <c r="FK140" i="3"/>
  <c r="FL140" i="3"/>
  <c r="FM140" i="3"/>
  <c r="FN140" i="3"/>
  <c r="FO140" i="3"/>
  <c r="FP140" i="3"/>
  <c r="FQ140" i="3"/>
  <c r="FR140" i="3"/>
  <c r="FS140" i="3"/>
  <c r="FT140" i="3"/>
  <c r="FU140" i="3"/>
  <c r="FV140" i="3"/>
  <c r="FW140" i="3"/>
  <c r="FX140" i="3"/>
  <c r="FY140" i="3"/>
  <c r="FZ140" i="3"/>
  <c r="GA140" i="3"/>
  <c r="GB140" i="3"/>
  <c r="GC140" i="3"/>
  <c r="GD140" i="3"/>
  <c r="GE140" i="3"/>
  <c r="GF140" i="3"/>
  <c r="GG140" i="3"/>
  <c r="GH140" i="3"/>
  <c r="GI140" i="3"/>
  <c r="GJ140" i="3"/>
  <c r="GK140" i="3"/>
  <c r="GL140" i="3"/>
  <c r="GM140" i="3"/>
  <c r="GN140" i="3"/>
  <c r="GO140" i="3"/>
  <c r="GP140" i="3"/>
  <c r="GQ140" i="3"/>
  <c r="GR140" i="3"/>
  <c r="GS140" i="3"/>
  <c r="GT140" i="3"/>
  <c r="GU140" i="3"/>
  <c r="GV140" i="3"/>
  <c r="GW140" i="3"/>
  <c r="GX140" i="3"/>
  <c r="GY140" i="3"/>
  <c r="GZ140" i="3"/>
  <c r="HA140" i="3"/>
  <c r="HB140" i="3"/>
  <c r="HC140" i="3"/>
  <c r="HD140" i="3"/>
  <c r="HE140" i="3"/>
  <c r="HF140" i="3"/>
  <c r="HG140" i="3"/>
  <c r="HH140" i="3"/>
  <c r="HI140" i="3"/>
  <c r="HJ140" i="3"/>
  <c r="HK140" i="3"/>
  <c r="HL140" i="3"/>
  <c r="HM140" i="3"/>
  <c r="HN140" i="3"/>
  <c r="HO140" i="3"/>
  <c r="HP140" i="3"/>
  <c r="HQ140" i="3"/>
  <c r="HR140" i="3"/>
  <c r="HS140" i="3"/>
  <c r="HT140" i="3"/>
  <c r="HU140" i="3"/>
  <c r="HV140" i="3"/>
  <c r="HW140" i="3"/>
  <c r="HX140" i="3"/>
  <c r="HY140" i="3"/>
  <c r="HZ140" i="3"/>
  <c r="IA140" i="3"/>
  <c r="IB140" i="3"/>
  <c r="IC140" i="3"/>
  <c r="ID140" i="3"/>
  <c r="IE140" i="3"/>
  <c r="IF140" i="3"/>
  <c r="IG140" i="3"/>
  <c r="IH140" i="3"/>
  <c r="II140" i="3"/>
  <c r="IJ140" i="3"/>
  <c r="IK140" i="3"/>
  <c r="IL140" i="3"/>
  <c r="IM140" i="3"/>
  <c r="IN140" i="3"/>
  <c r="IO140" i="3"/>
  <c r="IP140" i="3"/>
  <c r="IQ140" i="3"/>
  <c r="IR140" i="3"/>
  <c r="IS140" i="3"/>
  <c r="IT140" i="3"/>
  <c r="IU140" i="3"/>
  <c r="IV140" i="3"/>
  <c r="A139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AH139" i="3"/>
  <c r="AI139" i="3"/>
  <c r="AJ139" i="3"/>
  <c r="AK139" i="3"/>
  <c r="AL139" i="3"/>
  <c r="AM139" i="3"/>
  <c r="AN139" i="3"/>
  <c r="AO139" i="3"/>
  <c r="AP139" i="3"/>
  <c r="AQ139" i="3"/>
  <c r="AR139" i="3"/>
  <c r="AS139" i="3"/>
  <c r="AT139" i="3"/>
  <c r="AU139" i="3"/>
  <c r="AV139" i="3"/>
  <c r="AW139" i="3"/>
  <c r="AX139" i="3"/>
  <c r="AY139" i="3"/>
  <c r="AZ139" i="3"/>
  <c r="BA139" i="3"/>
  <c r="BB139" i="3"/>
  <c r="BC139" i="3"/>
  <c r="BD139" i="3"/>
  <c r="BE139" i="3"/>
  <c r="BF139" i="3"/>
  <c r="BG139" i="3"/>
  <c r="BH139" i="3"/>
  <c r="BI139" i="3"/>
  <c r="BJ139" i="3"/>
  <c r="BK139" i="3"/>
  <c r="BL139" i="3"/>
  <c r="BM139" i="3"/>
  <c r="BN139" i="3"/>
  <c r="BO139" i="3"/>
  <c r="BP139" i="3"/>
  <c r="BQ139" i="3"/>
  <c r="BR139" i="3"/>
  <c r="BS139" i="3"/>
  <c r="BT139" i="3"/>
  <c r="BU139" i="3"/>
  <c r="BV139" i="3"/>
  <c r="BW139" i="3"/>
  <c r="BX139" i="3"/>
  <c r="BY139" i="3"/>
  <c r="BZ139" i="3"/>
  <c r="CA139" i="3"/>
  <c r="CB139" i="3"/>
  <c r="CC139" i="3"/>
  <c r="CD139" i="3"/>
  <c r="CE139" i="3"/>
  <c r="CF139" i="3"/>
  <c r="CG139" i="3"/>
  <c r="CH139" i="3"/>
  <c r="CI139" i="3"/>
  <c r="CJ139" i="3"/>
  <c r="CK139" i="3"/>
  <c r="CL139" i="3"/>
  <c r="CM139" i="3"/>
  <c r="CN139" i="3"/>
  <c r="CO139" i="3"/>
  <c r="CP139" i="3"/>
  <c r="CQ139" i="3"/>
  <c r="CR139" i="3"/>
  <c r="CS139" i="3"/>
  <c r="CT139" i="3"/>
  <c r="CU139" i="3"/>
  <c r="CV139" i="3"/>
  <c r="CW139" i="3"/>
  <c r="CX139" i="3"/>
  <c r="CY139" i="3"/>
  <c r="CZ139" i="3"/>
  <c r="DA139" i="3"/>
  <c r="DB139" i="3"/>
  <c r="DC139" i="3"/>
  <c r="DD139" i="3"/>
  <c r="DE139" i="3"/>
  <c r="DF139" i="3"/>
  <c r="DG139" i="3"/>
  <c r="DH139" i="3"/>
  <c r="DI139" i="3"/>
  <c r="DJ139" i="3"/>
  <c r="DK139" i="3"/>
  <c r="DL139" i="3"/>
  <c r="DM139" i="3"/>
  <c r="DN139" i="3"/>
  <c r="DO139" i="3"/>
  <c r="DP139" i="3"/>
  <c r="DQ139" i="3"/>
  <c r="DR139" i="3"/>
  <c r="DS139" i="3"/>
  <c r="DT139" i="3"/>
  <c r="DU139" i="3"/>
  <c r="DV139" i="3"/>
  <c r="DW139" i="3"/>
  <c r="DX139" i="3"/>
  <c r="DY139" i="3"/>
  <c r="DZ139" i="3"/>
  <c r="EA139" i="3"/>
  <c r="EB139" i="3"/>
  <c r="EC139" i="3"/>
  <c r="ED139" i="3"/>
  <c r="EE139" i="3"/>
  <c r="EF139" i="3"/>
  <c r="EG139" i="3"/>
  <c r="EH139" i="3"/>
  <c r="EI139" i="3"/>
  <c r="EJ139" i="3"/>
  <c r="EK139" i="3"/>
  <c r="EL139" i="3"/>
  <c r="EM139" i="3"/>
  <c r="EN139" i="3"/>
  <c r="EO139" i="3"/>
  <c r="EP139" i="3"/>
  <c r="EQ139" i="3"/>
  <c r="ER139" i="3"/>
  <c r="ES139" i="3"/>
  <c r="ET139" i="3"/>
  <c r="EU139" i="3"/>
  <c r="EV139" i="3"/>
  <c r="EW139" i="3"/>
  <c r="EX139" i="3"/>
  <c r="EY139" i="3"/>
  <c r="EZ139" i="3"/>
  <c r="FA139" i="3"/>
  <c r="FB139" i="3"/>
  <c r="FC139" i="3"/>
  <c r="FD139" i="3"/>
  <c r="FE139" i="3"/>
  <c r="FF139" i="3"/>
  <c r="FG139" i="3"/>
  <c r="FH139" i="3"/>
  <c r="FI139" i="3"/>
  <c r="FJ139" i="3"/>
  <c r="FK139" i="3"/>
  <c r="FL139" i="3"/>
  <c r="FM139" i="3"/>
  <c r="FN139" i="3"/>
  <c r="FO139" i="3"/>
  <c r="FP139" i="3"/>
  <c r="FQ139" i="3"/>
  <c r="FR139" i="3"/>
  <c r="FS139" i="3"/>
  <c r="FT139" i="3"/>
  <c r="FU139" i="3"/>
  <c r="FV139" i="3"/>
  <c r="FW139" i="3"/>
  <c r="FX139" i="3"/>
  <c r="FY139" i="3"/>
  <c r="FZ139" i="3"/>
  <c r="GA139" i="3"/>
  <c r="GB139" i="3"/>
  <c r="GC139" i="3"/>
  <c r="GD139" i="3"/>
  <c r="GE139" i="3"/>
  <c r="GF139" i="3"/>
  <c r="GG139" i="3"/>
  <c r="GH139" i="3"/>
  <c r="GI139" i="3"/>
  <c r="GJ139" i="3"/>
  <c r="GK139" i="3"/>
  <c r="GL139" i="3"/>
  <c r="GM139" i="3"/>
  <c r="GN139" i="3"/>
  <c r="GO139" i="3"/>
  <c r="GP139" i="3"/>
  <c r="GQ139" i="3"/>
  <c r="GR139" i="3"/>
  <c r="GS139" i="3"/>
  <c r="GT139" i="3"/>
  <c r="GU139" i="3"/>
  <c r="GV139" i="3"/>
  <c r="GW139" i="3"/>
  <c r="GX139" i="3"/>
  <c r="GY139" i="3"/>
  <c r="GZ139" i="3"/>
  <c r="HA139" i="3"/>
  <c r="HB139" i="3"/>
  <c r="HC139" i="3"/>
  <c r="HD139" i="3"/>
  <c r="HE139" i="3"/>
  <c r="HF139" i="3"/>
  <c r="HG139" i="3"/>
  <c r="HH139" i="3"/>
  <c r="HI139" i="3"/>
  <c r="HJ139" i="3"/>
  <c r="HK139" i="3"/>
  <c r="HL139" i="3"/>
  <c r="HM139" i="3"/>
  <c r="HN139" i="3"/>
  <c r="HO139" i="3"/>
  <c r="HP139" i="3"/>
  <c r="HQ139" i="3"/>
  <c r="HR139" i="3"/>
  <c r="HS139" i="3"/>
  <c r="HT139" i="3"/>
  <c r="HU139" i="3"/>
  <c r="HV139" i="3"/>
  <c r="HW139" i="3"/>
  <c r="HX139" i="3"/>
  <c r="HY139" i="3"/>
  <c r="HZ139" i="3"/>
  <c r="IA139" i="3"/>
  <c r="IB139" i="3"/>
  <c r="IC139" i="3"/>
  <c r="ID139" i="3"/>
  <c r="IE139" i="3"/>
  <c r="IF139" i="3"/>
  <c r="IG139" i="3"/>
  <c r="IH139" i="3"/>
  <c r="II139" i="3"/>
  <c r="IJ139" i="3"/>
  <c r="IK139" i="3"/>
  <c r="IL139" i="3"/>
  <c r="IM139" i="3"/>
  <c r="IN139" i="3"/>
  <c r="IO139" i="3"/>
  <c r="IP139" i="3"/>
  <c r="IQ139" i="3"/>
  <c r="IR139" i="3"/>
  <c r="IS139" i="3"/>
  <c r="IT139" i="3"/>
  <c r="IU139" i="3"/>
  <c r="IV139" i="3"/>
  <c r="A138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AG138" i="3"/>
  <c r="AH138" i="3"/>
  <c r="AI138" i="3"/>
  <c r="AJ138" i="3"/>
  <c r="AK138" i="3"/>
  <c r="AL138" i="3"/>
  <c r="AM138" i="3"/>
  <c r="AN138" i="3"/>
  <c r="AO138" i="3"/>
  <c r="AP138" i="3"/>
  <c r="AQ138" i="3"/>
  <c r="AR138" i="3"/>
  <c r="AS138" i="3"/>
  <c r="AT138" i="3"/>
  <c r="AU138" i="3"/>
  <c r="AV138" i="3"/>
  <c r="AW138" i="3"/>
  <c r="AX138" i="3"/>
  <c r="AY138" i="3"/>
  <c r="AZ138" i="3"/>
  <c r="BA138" i="3"/>
  <c r="BB138" i="3"/>
  <c r="BC138" i="3"/>
  <c r="BD138" i="3"/>
  <c r="BE138" i="3"/>
  <c r="BF138" i="3"/>
  <c r="BG138" i="3"/>
  <c r="BH138" i="3"/>
  <c r="BI138" i="3"/>
  <c r="BJ138" i="3"/>
  <c r="BK138" i="3"/>
  <c r="BL138" i="3"/>
  <c r="BM138" i="3"/>
  <c r="BN138" i="3"/>
  <c r="BO138" i="3"/>
  <c r="BP138" i="3"/>
  <c r="BQ138" i="3"/>
  <c r="BR138" i="3"/>
  <c r="BS138" i="3"/>
  <c r="BT138" i="3"/>
  <c r="BU138" i="3"/>
  <c r="BV138" i="3"/>
  <c r="BW138" i="3"/>
  <c r="BX138" i="3"/>
  <c r="BY138" i="3"/>
  <c r="BZ138" i="3"/>
  <c r="CA138" i="3"/>
  <c r="CB138" i="3"/>
  <c r="CC138" i="3"/>
  <c r="CD138" i="3"/>
  <c r="CE138" i="3"/>
  <c r="CF138" i="3"/>
  <c r="CG138" i="3"/>
  <c r="CH138" i="3"/>
  <c r="CI138" i="3"/>
  <c r="CJ138" i="3"/>
  <c r="CK138" i="3"/>
  <c r="CL138" i="3"/>
  <c r="CM138" i="3"/>
  <c r="CN138" i="3"/>
  <c r="CO138" i="3"/>
  <c r="CP138" i="3"/>
  <c r="CQ138" i="3"/>
  <c r="CR138" i="3"/>
  <c r="CS138" i="3"/>
  <c r="CT138" i="3"/>
  <c r="CU138" i="3"/>
  <c r="CV138" i="3"/>
  <c r="CW138" i="3"/>
  <c r="CX138" i="3"/>
  <c r="CY138" i="3"/>
  <c r="CZ138" i="3"/>
  <c r="DA138" i="3"/>
  <c r="DB138" i="3"/>
  <c r="DC138" i="3"/>
  <c r="DD138" i="3"/>
  <c r="DE138" i="3"/>
  <c r="DF138" i="3"/>
  <c r="DG138" i="3"/>
  <c r="DH138" i="3"/>
  <c r="DI138" i="3"/>
  <c r="DJ138" i="3"/>
  <c r="DK138" i="3"/>
  <c r="DL138" i="3"/>
  <c r="DM138" i="3"/>
  <c r="DN138" i="3"/>
  <c r="DO138" i="3"/>
  <c r="DP138" i="3"/>
  <c r="DQ138" i="3"/>
  <c r="DR138" i="3"/>
  <c r="DS138" i="3"/>
  <c r="DT138" i="3"/>
  <c r="DU138" i="3"/>
  <c r="DV138" i="3"/>
  <c r="DW138" i="3"/>
  <c r="DX138" i="3"/>
  <c r="DY138" i="3"/>
  <c r="DZ138" i="3"/>
  <c r="EA138" i="3"/>
  <c r="EB138" i="3"/>
  <c r="EC138" i="3"/>
  <c r="ED138" i="3"/>
  <c r="EE138" i="3"/>
  <c r="EF138" i="3"/>
  <c r="EG138" i="3"/>
  <c r="EH138" i="3"/>
  <c r="EI138" i="3"/>
  <c r="EJ138" i="3"/>
  <c r="EK138" i="3"/>
  <c r="EL138" i="3"/>
  <c r="EM138" i="3"/>
  <c r="EN138" i="3"/>
  <c r="EO138" i="3"/>
  <c r="EP138" i="3"/>
  <c r="EQ138" i="3"/>
  <c r="ER138" i="3"/>
  <c r="ES138" i="3"/>
  <c r="ET138" i="3"/>
  <c r="EU138" i="3"/>
  <c r="EV138" i="3"/>
  <c r="EW138" i="3"/>
  <c r="EX138" i="3"/>
  <c r="EY138" i="3"/>
  <c r="EZ138" i="3"/>
  <c r="FA138" i="3"/>
  <c r="FB138" i="3"/>
  <c r="FC138" i="3"/>
  <c r="FD138" i="3"/>
  <c r="FE138" i="3"/>
  <c r="FF138" i="3"/>
  <c r="FG138" i="3"/>
  <c r="FH138" i="3"/>
  <c r="FI138" i="3"/>
  <c r="FJ138" i="3"/>
  <c r="FK138" i="3"/>
  <c r="FL138" i="3"/>
  <c r="FM138" i="3"/>
  <c r="FN138" i="3"/>
  <c r="FO138" i="3"/>
  <c r="FP138" i="3"/>
  <c r="FQ138" i="3"/>
  <c r="FR138" i="3"/>
  <c r="FS138" i="3"/>
  <c r="FT138" i="3"/>
  <c r="FU138" i="3"/>
  <c r="FV138" i="3"/>
  <c r="FW138" i="3"/>
  <c r="FX138" i="3"/>
  <c r="FY138" i="3"/>
  <c r="FZ138" i="3"/>
  <c r="GA138" i="3"/>
  <c r="GB138" i="3"/>
  <c r="GC138" i="3"/>
  <c r="GD138" i="3"/>
  <c r="GE138" i="3"/>
  <c r="GF138" i="3"/>
  <c r="GG138" i="3"/>
  <c r="GH138" i="3"/>
  <c r="GI138" i="3"/>
  <c r="GJ138" i="3"/>
  <c r="GK138" i="3"/>
  <c r="GL138" i="3"/>
  <c r="GM138" i="3"/>
  <c r="GN138" i="3"/>
  <c r="GO138" i="3"/>
  <c r="GP138" i="3"/>
  <c r="GQ138" i="3"/>
  <c r="GR138" i="3"/>
  <c r="GS138" i="3"/>
  <c r="GT138" i="3"/>
  <c r="GU138" i="3"/>
  <c r="GV138" i="3"/>
  <c r="GW138" i="3"/>
  <c r="GX138" i="3"/>
  <c r="GY138" i="3"/>
  <c r="GZ138" i="3"/>
  <c r="HA138" i="3"/>
  <c r="HB138" i="3"/>
  <c r="HC138" i="3"/>
  <c r="HD138" i="3"/>
  <c r="HE138" i="3"/>
  <c r="HF138" i="3"/>
  <c r="HG138" i="3"/>
  <c r="HH138" i="3"/>
  <c r="HI138" i="3"/>
  <c r="HJ138" i="3"/>
  <c r="HK138" i="3"/>
  <c r="HL138" i="3"/>
  <c r="HM138" i="3"/>
  <c r="HN138" i="3"/>
  <c r="HO138" i="3"/>
  <c r="HP138" i="3"/>
  <c r="HQ138" i="3"/>
  <c r="HR138" i="3"/>
  <c r="HS138" i="3"/>
  <c r="HT138" i="3"/>
  <c r="HU138" i="3"/>
  <c r="HV138" i="3"/>
  <c r="HW138" i="3"/>
  <c r="HX138" i="3"/>
  <c r="HY138" i="3"/>
  <c r="HZ138" i="3"/>
  <c r="IA138" i="3"/>
  <c r="IB138" i="3"/>
  <c r="IC138" i="3"/>
  <c r="ID138" i="3"/>
  <c r="IE138" i="3"/>
  <c r="IF138" i="3"/>
  <c r="IG138" i="3"/>
  <c r="IH138" i="3"/>
  <c r="II138" i="3"/>
  <c r="IJ138" i="3"/>
  <c r="IK138" i="3"/>
  <c r="IL138" i="3"/>
  <c r="IM138" i="3"/>
  <c r="IN138" i="3"/>
  <c r="IO138" i="3"/>
  <c r="IP138" i="3"/>
  <c r="IQ138" i="3"/>
  <c r="IR138" i="3"/>
  <c r="IS138" i="3"/>
  <c r="IT138" i="3"/>
  <c r="IU138" i="3"/>
  <c r="IV138" i="3"/>
  <c r="A137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AH137" i="3"/>
  <c r="AI137" i="3"/>
  <c r="AJ137" i="3"/>
  <c r="AK137" i="3"/>
  <c r="AL137" i="3"/>
  <c r="AM137" i="3"/>
  <c r="AN137" i="3"/>
  <c r="AO137" i="3"/>
  <c r="AP137" i="3"/>
  <c r="AQ137" i="3"/>
  <c r="AR137" i="3"/>
  <c r="AS137" i="3"/>
  <c r="AT137" i="3"/>
  <c r="AU137" i="3"/>
  <c r="AV137" i="3"/>
  <c r="AW137" i="3"/>
  <c r="AX137" i="3"/>
  <c r="AY137" i="3"/>
  <c r="AZ137" i="3"/>
  <c r="BA137" i="3"/>
  <c r="BB137" i="3"/>
  <c r="BC137" i="3"/>
  <c r="BD137" i="3"/>
  <c r="BE137" i="3"/>
  <c r="BF137" i="3"/>
  <c r="BG137" i="3"/>
  <c r="BH137" i="3"/>
  <c r="BI137" i="3"/>
  <c r="BJ137" i="3"/>
  <c r="BK137" i="3"/>
  <c r="BL137" i="3"/>
  <c r="BM137" i="3"/>
  <c r="BN137" i="3"/>
  <c r="BO137" i="3"/>
  <c r="BP137" i="3"/>
  <c r="BQ137" i="3"/>
  <c r="BR137" i="3"/>
  <c r="BS137" i="3"/>
  <c r="BT137" i="3"/>
  <c r="BU137" i="3"/>
  <c r="BV137" i="3"/>
  <c r="BW137" i="3"/>
  <c r="BX137" i="3"/>
  <c r="BY137" i="3"/>
  <c r="BZ137" i="3"/>
  <c r="CA137" i="3"/>
  <c r="CB137" i="3"/>
  <c r="CC137" i="3"/>
  <c r="CD137" i="3"/>
  <c r="CE137" i="3"/>
  <c r="CF137" i="3"/>
  <c r="CG137" i="3"/>
  <c r="CH137" i="3"/>
  <c r="CI137" i="3"/>
  <c r="CJ137" i="3"/>
  <c r="CK137" i="3"/>
  <c r="CL137" i="3"/>
  <c r="CM137" i="3"/>
  <c r="CN137" i="3"/>
  <c r="CO137" i="3"/>
  <c r="CP137" i="3"/>
  <c r="CQ137" i="3"/>
  <c r="CR137" i="3"/>
  <c r="CS137" i="3"/>
  <c r="CT137" i="3"/>
  <c r="CU137" i="3"/>
  <c r="CV137" i="3"/>
  <c r="CW137" i="3"/>
  <c r="CX137" i="3"/>
  <c r="CY137" i="3"/>
  <c r="CZ137" i="3"/>
  <c r="DA137" i="3"/>
  <c r="DB137" i="3"/>
  <c r="DC137" i="3"/>
  <c r="DD137" i="3"/>
  <c r="DE137" i="3"/>
  <c r="DF137" i="3"/>
  <c r="DG137" i="3"/>
  <c r="DH137" i="3"/>
  <c r="DI137" i="3"/>
  <c r="DJ137" i="3"/>
  <c r="DK137" i="3"/>
  <c r="DL137" i="3"/>
  <c r="DM137" i="3"/>
  <c r="DN137" i="3"/>
  <c r="DO137" i="3"/>
  <c r="DP137" i="3"/>
  <c r="DQ137" i="3"/>
  <c r="DR137" i="3"/>
  <c r="DS137" i="3"/>
  <c r="DT137" i="3"/>
  <c r="DU137" i="3"/>
  <c r="DV137" i="3"/>
  <c r="DW137" i="3"/>
  <c r="DX137" i="3"/>
  <c r="DY137" i="3"/>
  <c r="DZ137" i="3"/>
  <c r="EA137" i="3"/>
  <c r="EB137" i="3"/>
  <c r="EC137" i="3"/>
  <c r="ED137" i="3"/>
  <c r="EE137" i="3"/>
  <c r="EF137" i="3"/>
  <c r="EG137" i="3"/>
  <c r="EH137" i="3"/>
  <c r="EI137" i="3"/>
  <c r="EJ137" i="3"/>
  <c r="EK137" i="3"/>
  <c r="EL137" i="3"/>
  <c r="EM137" i="3"/>
  <c r="EN137" i="3"/>
  <c r="EO137" i="3"/>
  <c r="EP137" i="3"/>
  <c r="EQ137" i="3"/>
  <c r="ER137" i="3"/>
  <c r="ES137" i="3"/>
  <c r="ET137" i="3"/>
  <c r="EU137" i="3"/>
  <c r="EV137" i="3"/>
  <c r="EW137" i="3"/>
  <c r="EX137" i="3"/>
  <c r="EY137" i="3"/>
  <c r="EZ137" i="3"/>
  <c r="FA137" i="3"/>
  <c r="FB137" i="3"/>
  <c r="FC137" i="3"/>
  <c r="FD137" i="3"/>
  <c r="FE137" i="3"/>
  <c r="FF137" i="3"/>
  <c r="FG137" i="3"/>
  <c r="FH137" i="3"/>
  <c r="FI137" i="3"/>
  <c r="FJ137" i="3"/>
  <c r="FK137" i="3"/>
  <c r="FL137" i="3"/>
  <c r="FM137" i="3"/>
  <c r="FN137" i="3"/>
  <c r="FO137" i="3"/>
  <c r="FP137" i="3"/>
  <c r="FQ137" i="3"/>
  <c r="FR137" i="3"/>
  <c r="FS137" i="3"/>
  <c r="FT137" i="3"/>
  <c r="FU137" i="3"/>
  <c r="FV137" i="3"/>
  <c r="FW137" i="3"/>
  <c r="FX137" i="3"/>
  <c r="FY137" i="3"/>
  <c r="FZ137" i="3"/>
  <c r="GA137" i="3"/>
  <c r="GB137" i="3"/>
  <c r="GC137" i="3"/>
  <c r="GD137" i="3"/>
  <c r="GE137" i="3"/>
  <c r="GF137" i="3"/>
  <c r="GG137" i="3"/>
  <c r="GH137" i="3"/>
  <c r="GI137" i="3"/>
  <c r="GJ137" i="3"/>
  <c r="GK137" i="3"/>
  <c r="GL137" i="3"/>
  <c r="GM137" i="3"/>
  <c r="GN137" i="3"/>
  <c r="GO137" i="3"/>
  <c r="GP137" i="3"/>
  <c r="GQ137" i="3"/>
  <c r="GR137" i="3"/>
  <c r="GS137" i="3"/>
  <c r="GT137" i="3"/>
  <c r="GU137" i="3"/>
  <c r="GV137" i="3"/>
  <c r="GW137" i="3"/>
  <c r="GX137" i="3"/>
  <c r="GY137" i="3"/>
  <c r="GZ137" i="3"/>
  <c r="HA137" i="3"/>
  <c r="HB137" i="3"/>
  <c r="HC137" i="3"/>
  <c r="HD137" i="3"/>
  <c r="HE137" i="3"/>
  <c r="HF137" i="3"/>
  <c r="HG137" i="3"/>
  <c r="HH137" i="3"/>
  <c r="HI137" i="3"/>
  <c r="HJ137" i="3"/>
  <c r="HK137" i="3"/>
  <c r="HL137" i="3"/>
  <c r="HM137" i="3"/>
  <c r="HN137" i="3"/>
  <c r="HO137" i="3"/>
  <c r="HP137" i="3"/>
  <c r="HQ137" i="3"/>
  <c r="HR137" i="3"/>
  <c r="HS137" i="3"/>
  <c r="HT137" i="3"/>
  <c r="HU137" i="3"/>
  <c r="HV137" i="3"/>
  <c r="HW137" i="3"/>
  <c r="HX137" i="3"/>
  <c r="HY137" i="3"/>
  <c r="HZ137" i="3"/>
  <c r="IA137" i="3"/>
  <c r="IB137" i="3"/>
  <c r="IC137" i="3"/>
  <c r="ID137" i="3"/>
  <c r="IE137" i="3"/>
  <c r="IF137" i="3"/>
  <c r="IG137" i="3"/>
  <c r="IH137" i="3"/>
  <c r="II137" i="3"/>
  <c r="IJ137" i="3"/>
  <c r="IK137" i="3"/>
  <c r="IL137" i="3"/>
  <c r="IM137" i="3"/>
  <c r="IN137" i="3"/>
  <c r="IO137" i="3"/>
  <c r="IP137" i="3"/>
  <c r="IQ137" i="3"/>
  <c r="IR137" i="3"/>
  <c r="IS137" i="3"/>
  <c r="IT137" i="3"/>
  <c r="IU137" i="3"/>
  <c r="IV137" i="3"/>
  <c r="A136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AB136" i="3"/>
  <c r="AC136" i="3"/>
  <c r="AD136" i="3"/>
  <c r="AE136" i="3"/>
  <c r="AF136" i="3"/>
  <c r="AG136" i="3"/>
  <c r="AH136" i="3"/>
  <c r="AI136" i="3"/>
  <c r="AJ136" i="3"/>
  <c r="AK136" i="3"/>
  <c r="AL136" i="3"/>
  <c r="AM136" i="3"/>
  <c r="AN136" i="3"/>
  <c r="AO136" i="3"/>
  <c r="AP136" i="3"/>
  <c r="AQ136" i="3"/>
  <c r="AR136" i="3"/>
  <c r="AS136" i="3"/>
  <c r="AT136" i="3"/>
  <c r="AU136" i="3"/>
  <c r="AV136" i="3"/>
  <c r="AW136" i="3"/>
  <c r="AX136" i="3"/>
  <c r="AY136" i="3"/>
  <c r="AZ136" i="3"/>
  <c r="BA136" i="3"/>
  <c r="BB136" i="3"/>
  <c r="BC136" i="3"/>
  <c r="BD136" i="3"/>
  <c r="BE136" i="3"/>
  <c r="BF136" i="3"/>
  <c r="BG136" i="3"/>
  <c r="BH136" i="3"/>
  <c r="BI136" i="3"/>
  <c r="BJ136" i="3"/>
  <c r="BK136" i="3"/>
  <c r="BL136" i="3"/>
  <c r="BM136" i="3"/>
  <c r="BN136" i="3"/>
  <c r="BO136" i="3"/>
  <c r="BP136" i="3"/>
  <c r="BQ136" i="3"/>
  <c r="BR136" i="3"/>
  <c r="BS136" i="3"/>
  <c r="BT136" i="3"/>
  <c r="BU136" i="3"/>
  <c r="BV136" i="3"/>
  <c r="BW136" i="3"/>
  <c r="BX136" i="3"/>
  <c r="BY136" i="3"/>
  <c r="BZ136" i="3"/>
  <c r="CA136" i="3"/>
  <c r="CB136" i="3"/>
  <c r="CC136" i="3"/>
  <c r="CD136" i="3"/>
  <c r="CE136" i="3"/>
  <c r="CF136" i="3"/>
  <c r="CG136" i="3"/>
  <c r="CH136" i="3"/>
  <c r="CI136" i="3"/>
  <c r="CJ136" i="3"/>
  <c r="CK136" i="3"/>
  <c r="CL136" i="3"/>
  <c r="CM136" i="3"/>
  <c r="CN136" i="3"/>
  <c r="CO136" i="3"/>
  <c r="CP136" i="3"/>
  <c r="CQ136" i="3"/>
  <c r="CR136" i="3"/>
  <c r="CS136" i="3"/>
  <c r="CT136" i="3"/>
  <c r="CU136" i="3"/>
  <c r="CV136" i="3"/>
  <c r="CW136" i="3"/>
  <c r="CX136" i="3"/>
  <c r="CY136" i="3"/>
  <c r="CZ136" i="3"/>
  <c r="DA136" i="3"/>
  <c r="DB136" i="3"/>
  <c r="DC136" i="3"/>
  <c r="DD136" i="3"/>
  <c r="DE136" i="3"/>
  <c r="DF136" i="3"/>
  <c r="DG136" i="3"/>
  <c r="DH136" i="3"/>
  <c r="DI136" i="3"/>
  <c r="DJ136" i="3"/>
  <c r="DK136" i="3"/>
  <c r="DL136" i="3"/>
  <c r="DM136" i="3"/>
  <c r="DN136" i="3"/>
  <c r="DO136" i="3"/>
  <c r="DP136" i="3"/>
  <c r="DQ136" i="3"/>
  <c r="DR136" i="3"/>
  <c r="DS136" i="3"/>
  <c r="DT136" i="3"/>
  <c r="DU136" i="3"/>
  <c r="DV136" i="3"/>
  <c r="DW136" i="3"/>
  <c r="DX136" i="3"/>
  <c r="DY136" i="3"/>
  <c r="DZ136" i="3"/>
  <c r="EA136" i="3"/>
  <c r="EB136" i="3"/>
  <c r="EC136" i="3"/>
  <c r="ED136" i="3"/>
  <c r="EE136" i="3"/>
  <c r="EF136" i="3"/>
  <c r="EG136" i="3"/>
  <c r="EH136" i="3"/>
  <c r="EI136" i="3"/>
  <c r="EJ136" i="3"/>
  <c r="EK136" i="3"/>
  <c r="EL136" i="3"/>
  <c r="EM136" i="3"/>
  <c r="EN136" i="3"/>
  <c r="EO136" i="3"/>
  <c r="EP136" i="3"/>
  <c r="EQ136" i="3"/>
  <c r="ER136" i="3"/>
  <c r="ES136" i="3"/>
  <c r="ET136" i="3"/>
  <c r="EU136" i="3"/>
  <c r="EV136" i="3"/>
  <c r="EW136" i="3"/>
  <c r="EX136" i="3"/>
  <c r="EY136" i="3"/>
  <c r="EZ136" i="3"/>
  <c r="FA136" i="3"/>
  <c r="FB136" i="3"/>
  <c r="FC136" i="3"/>
  <c r="FD136" i="3"/>
  <c r="FE136" i="3"/>
  <c r="FF136" i="3"/>
  <c r="FG136" i="3"/>
  <c r="FH136" i="3"/>
  <c r="FI136" i="3"/>
  <c r="FJ136" i="3"/>
  <c r="FK136" i="3"/>
  <c r="FL136" i="3"/>
  <c r="FM136" i="3"/>
  <c r="FN136" i="3"/>
  <c r="FO136" i="3"/>
  <c r="FP136" i="3"/>
  <c r="FQ136" i="3"/>
  <c r="FR136" i="3"/>
  <c r="FS136" i="3"/>
  <c r="FT136" i="3"/>
  <c r="FU136" i="3"/>
  <c r="FV136" i="3"/>
  <c r="FW136" i="3"/>
  <c r="FX136" i="3"/>
  <c r="FY136" i="3"/>
  <c r="FZ136" i="3"/>
  <c r="GA136" i="3"/>
  <c r="GB136" i="3"/>
  <c r="GC136" i="3"/>
  <c r="GD136" i="3"/>
  <c r="GE136" i="3"/>
  <c r="GF136" i="3"/>
  <c r="GG136" i="3"/>
  <c r="GH136" i="3"/>
  <c r="GI136" i="3"/>
  <c r="GJ136" i="3"/>
  <c r="GK136" i="3"/>
  <c r="GL136" i="3"/>
  <c r="GM136" i="3"/>
  <c r="GN136" i="3"/>
  <c r="GO136" i="3"/>
  <c r="GP136" i="3"/>
  <c r="GQ136" i="3"/>
  <c r="GR136" i="3"/>
  <c r="GS136" i="3"/>
  <c r="GT136" i="3"/>
  <c r="GU136" i="3"/>
  <c r="GV136" i="3"/>
  <c r="GW136" i="3"/>
  <c r="GX136" i="3"/>
  <c r="GY136" i="3"/>
  <c r="GZ136" i="3"/>
  <c r="HA136" i="3"/>
  <c r="HB136" i="3"/>
  <c r="HC136" i="3"/>
  <c r="HD136" i="3"/>
  <c r="HE136" i="3"/>
  <c r="HF136" i="3"/>
  <c r="HG136" i="3"/>
  <c r="HH136" i="3"/>
  <c r="HI136" i="3"/>
  <c r="HJ136" i="3"/>
  <c r="HK136" i="3"/>
  <c r="HL136" i="3"/>
  <c r="HM136" i="3"/>
  <c r="HN136" i="3"/>
  <c r="HO136" i="3"/>
  <c r="HP136" i="3"/>
  <c r="HQ136" i="3"/>
  <c r="HR136" i="3"/>
  <c r="HS136" i="3"/>
  <c r="HT136" i="3"/>
  <c r="HU136" i="3"/>
  <c r="HV136" i="3"/>
  <c r="HW136" i="3"/>
  <c r="HX136" i="3"/>
  <c r="HY136" i="3"/>
  <c r="HZ136" i="3"/>
  <c r="IA136" i="3"/>
  <c r="IB136" i="3"/>
  <c r="IC136" i="3"/>
  <c r="ID136" i="3"/>
  <c r="IE136" i="3"/>
  <c r="IF136" i="3"/>
  <c r="IG136" i="3"/>
  <c r="IH136" i="3"/>
  <c r="II136" i="3"/>
  <c r="IJ136" i="3"/>
  <c r="IK136" i="3"/>
  <c r="IL136" i="3"/>
  <c r="IM136" i="3"/>
  <c r="IN136" i="3"/>
  <c r="IO136" i="3"/>
  <c r="IP136" i="3"/>
  <c r="IQ136" i="3"/>
  <c r="IR136" i="3"/>
  <c r="IS136" i="3"/>
  <c r="IT136" i="3"/>
  <c r="IU136" i="3"/>
  <c r="IV136" i="3"/>
  <c r="A135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AB135" i="3"/>
  <c r="AC135" i="3"/>
  <c r="AD135" i="3"/>
  <c r="AE135" i="3"/>
  <c r="AF135" i="3"/>
  <c r="AG135" i="3"/>
  <c r="AH135" i="3"/>
  <c r="AI135" i="3"/>
  <c r="AJ135" i="3"/>
  <c r="AK135" i="3"/>
  <c r="AL135" i="3"/>
  <c r="AM135" i="3"/>
  <c r="AN135" i="3"/>
  <c r="AO135" i="3"/>
  <c r="AP135" i="3"/>
  <c r="AQ135" i="3"/>
  <c r="AR135" i="3"/>
  <c r="AS135" i="3"/>
  <c r="AT135" i="3"/>
  <c r="AU135" i="3"/>
  <c r="AV135" i="3"/>
  <c r="AW135" i="3"/>
  <c r="AX135" i="3"/>
  <c r="AY135" i="3"/>
  <c r="AZ135" i="3"/>
  <c r="BA135" i="3"/>
  <c r="BB135" i="3"/>
  <c r="BC135" i="3"/>
  <c r="BD135" i="3"/>
  <c r="BE135" i="3"/>
  <c r="BF135" i="3"/>
  <c r="BG135" i="3"/>
  <c r="BH135" i="3"/>
  <c r="BI135" i="3"/>
  <c r="BJ135" i="3"/>
  <c r="BK135" i="3"/>
  <c r="BL135" i="3"/>
  <c r="BM135" i="3"/>
  <c r="BN135" i="3"/>
  <c r="BO135" i="3"/>
  <c r="BP135" i="3"/>
  <c r="BQ135" i="3"/>
  <c r="BR135" i="3"/>
  <c r="BS135" i="3"/>
  <c r="BT135" i="3"/>
  <c r="BU135" i="3"/>
  <c r="BV135" i="3"/>
  <c r="BW135" i="3"/>
  <c r="BX135" i="3"/>
  <c r="BY135" i="3"/>
  <c r="BZ135" i="3"/>
  <c r="CA135" i="3"/>
  <c r="CB135" i="3"/>
  <c r="CC135" i="3"/>
  <c r="CD135" i="3"/>
  <c r="CE135" i="3"/>
  <c r="CF135" i="3"/>
  <c r="CG135" i="3"/>
  <c r="CH135" i="3"/>
  <c r="CI135" i="3"/>
  <c r="CJ135" i="3"/>
  <c r="CK135" i="3"/>
  <c r="CL135" i="3"/>
  <c r="CM135" i="3"/>
  <c r="CN135" i="3"/>
  <c r="CO135" i="3"/>
  <c r="CP135" i="3"/>
  <c r="CQ135" i="3"/>
  <c r="CR135" i="3"/>
  <c r="CS135" i="3"/>
  <c r="CT135" i="3"/>
  <c r="CU135" i="3"/>
  <c r="CV135" i="3"/>
  <c r="CW135" i="3"/>
  <c r="CX135" i="3"/>
  <c r="CY135" i="3"/>
  <c r="CZ135" i="3"/>
  <c r="DA135" i="3"/>
  <c r="DB135" i="3"/>
  <c r="DC135" i="3"/>
  <c r="DD135" i="3"/>
  <c r="DE135" i="3"/>
  <c r="DF135" i="3"/>
  <c r="DG135" i="3"/>
  <c r="DH135" i="3"/>
  <c r="DI135" i="3"/>
  <c r="DJ135" i="3"/>
  <c r="DK135" i="3"/>
  <c r="DL135" i="3"/>
  <c r="DM135" i="3"/>
  <c r="DN135" i="3"/>
  <c r="DO135" i="3"/>
  <c r="DP135" i="3"/>
  <c r="DQ135" i="3"/>
  <c r="DR135" i="3"/>
  <c r="DS135" i="3"/>
  <c r="DT135" i="3"/>
  <c r="DU135" i="3"/>
  <c r="DV135" i="3"/>
  <c r="DW135" i="3"/>
  <c r="DX135" i="3"/>
  <c r="DY135" i="3"/>
  <c r="DZ135" i="3"/>
  <c r="EA135" i="3"/>
  <c r="EB135" i="3"/>
  <c r="EC135" i="3"/>
  <c r="ED135" i="3"/>
  <c r="EE135" i="3"/>
  <c r="EF135" i="3"/>
  <c r="EG135" i="3"/>
  <c r="EH135" i="3"/>
  <c r="EI135" i="3"/>
  <c r="EJ135" i="3"/>
  <c r="EK135" i="3"/>
  <c r="EL135" i="3"/>
  <c r="EM135" i="3"/>
  <c r="EN135" i="3"/>
  <c r="EO135" i="3"/>
  <c r="EP135" i="3"/>
  <c r="EQ135" i="3"/>
  <c r="ER135" i="3"/>
  <c r="ES135" i="3"/>
  <c r="ET135" i="3"/>
  <c r="EU135" i="3"/>
  <c r="EV135" i="3"/>
  <c r="EW135" i="3"/>
  <c r="EX135" i="3"/>
  <c r="EY135" i="3"/>
  <c r="EZ135" i="3"/>
  <c r="FA135" i="3"/>
  <c r="FB135" i="3"/>
  <c r="FC135" i="3"/>
  <c r="FD135" i="3"/>
  <c r="FE135" i="3"/>
  <c r="FF135" i="3"/>
  <c r="FG135" i="3"/>
  <c r="FH135" i="3"/>
  <c r="FI135" i="3"/>
  <c r="FJ135" i="3"/>
  <c r="FK135" i="3"/>
  <c r="FL135" i="3"/>
  <c r="FM135" i="3"/>
  <c r="FN135" i="3"/>
  <c r="FO135" i="3"/>
  <c r="FP135" i="3"/>
  <c r="FQ135" i="3"/>
  <c r="FR135" i="3"/>
  <c r="FS135" i="3"/>
  <c r="FT135" i="3"/>
  <c r="FU135" i="3"/>
  <c r="FV135" i="3"/>
  <c r="FW135" i="3"/>
  <c r="FX135" i="3"/>
  <c r="FY135" i="3"/>
  <c r="FZ135" i="3"/>
  <c r="GA135" i="3"/>
  <c r="GB135" i="3"/>
  <c r="GC135" i="3"/>
  <c r="GD135" i="3"/>
  <c r="GE135" i="3"/>
  <c r="GF135" i="3"/>
  <c r="GG135" i="3"/>
  <c r="GH135" i="3"/>
  <c r="GI135" i="3"/>
  <c r="GJ135" i="3"/>
  <c r="GK135" i="3"/>
  <c r="GL135" i="3"/>
  <c r="GM135" i="3"/>
  <c r="GN135" i="3"/>
  <c r="GO135" i="3"/>
  <c r="GP135" i="3"/>
  <c r="GQ135" i="3"/>
  <c r="GR135" i="3"/>
  <c r="GS135" i="3"/>
  <c r="GT135" i="3"/>
  <c r="GU135" i="3"/>
  <c r="GV135" i="3"/>
  <c r="GW135" i="3"/>
  <c r="GX135" i="3"/>
  <c r="GY135" i="3"/>
  <c r="GZ135" i="3"/>
  <c r="HA135" i="3"/>
  <c r="HB135" i="3"/>
  <c r="HC135" i="3"/>
  <c r="HD135" i="3"/>
  <c r="HE135" i="3"/>
  <c r="HF135" i="3"/>
  <c r="HG135" i="3"/>
  <c r="HH135" i="3"/>
  <c r="HI135" i="3"/>
  <c r="HJ135" i="3"/>
  <c r="HK135" i="3"/>
  <c r="HL135" i="3"/>
  <c r="HM135" i="3"/>
  <c r="HN135" i="3"/>
  <c r="HO135" i="3"/>
  <c r="HP135" i="3"/>
  <c r="HQ135" i="3"/>
  <c r="HR135" i="3"/>
  <c r="HS135" i="3"/>
  <c r="HT135" i="3"/>
  <c r="HU135" i="3"/>
  <c r="HV135" i="3"/>
  <c r="HW135" i="3"/>
  <c r="HX135" i="3"/>
  <c r="HY135" i="3"/>
  <c r="HZ135" i="3"/>
  <c r="IA135" i="3"/>
  <c r="IB135" i="3"/>
  <c r="IC135" i="3"/>
  <c r="ID135" i="3"/>
  <c r="IE135" i="3"/>
  <c r="IF135" i="3"/>
  <c r="IG135" i="3"/>
  <c r="IH135" i="3"/>
  <c r="II135" i="3"/>
  <c r="IJ135" i="3"/>
  <c r="IK135" i="3"/>
  <c r="IL135" i="3"/>
  <c r="IM135" i="3"/>
  <c r="IN135" i="3"/>
  <c r="IO135" i="3"/>
  <c r="IP135" i="3"/>
  <c r="IQ135" i="3"/>
  <c r="IR135" i="3"/>
  <c r="IS135" i="3"/>
  <c r="IT135" i="3"/>
  <c r="IU135" i="3"/>
  <c r="IV135" i="3"/>
  <c r="A134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AB134" i="3"/>
  <c r="AC134" i="3"/>
  <c r="AD134" i="3"/>
  <c r="AE134" i="3"/>
  <c r="AF134" i="3"/>
  <c r="AG134" i="3"/>
  <c r="AH134" i="3"/>
  <c r="AI134" i="3"/>
  <c r="AJ134" i="3"/>
  <c r="AK134" i="3"/>
  <c r="AL134" i="3"/>
  <c r="AM134" i="3"/>
  <c r="AN134" i="3"/>
  <c r="AO134" i="3"/>
  <c r="AP134" i="3"/>
  <c r="AQ134" i="3"/>
  <c r="AR134" i="3"/>
  <c r="AS134" i="3"/>
  <c r="AT134" i="3"/>
  <c r="AU134" i="3"/>
  <c r="AV134" i="3"/>
  <c r="AW134" i="3"/>
  <c r="AX134" i="3"/>
  <c r="AY134" i="3"/>
  <c r="AZ134" i="3"/>
  <c r="BA134" i="3"/>
  <c r="BB134" i="3"/>
  <c r="BC134" i="3"/>
  <c r="BD134" i="3"/>
  <c r="BE134" i="3"/>
  <c r="BF134" i="3"/>
  <c r="BG134" i="3"/>
  <c r="BH134" i="3"/>
  <c r="BI134" i="3"/>
  <c r="BJ134" i="3"/>
  <c r="BK134" i="3"/>
  <c r="BL134" i="3"/>
  <c r="BM134" i="3"/>
  <c r="BN134" i="3"/>
  <c r="BO134" i="3"/>
  <c r="BP134" i="3"/>
  <c r="BQ134" i="3"/>
  <c r="BR134" i="3"/>
  <c r="BS134" i="3"/>
  <c r="BT134" i="3"/>
  <c r="BU134" i="3"/>
  <c r="BV134" i="3"/>
  <c r="BW134" i="3"/>
  <c r="BX134" i="3"/>
  <c r="BY134" i="3"/>
  <c r="BZ134" i="3"/>
  <c r="CA134" i="3"/>
  <c r="CB134" i="3"/>
  <c r="CC134" i="3"/>
  <c r="CD134" i="3"/>
  <c r="CE134" i="3"/>
  <c r="CF134" i="3"/>
  <c r="CG134" i="3"/>
  <c r="CH134" i="3"/>
  <c r="CI134" i="3"/>
  <c r="CJ134" i="3"/>
  <c r="CK134" i="3"/>
  <c r="CL134" i="3"/>
  <c r="CM134" i="3"/>
  <c r="CN134" i="3"/>
  <c r="CO134" i="3"/>
  <c r="CP134" i="3"/>
  <c r="CQ134" i="3"/>
  <c r="CR134" i="3"/>
  <c r="CS134" i="3"/>
  <c r="CT134" i="3"/>
  <c r="CU134" i="3"/>
  <c r="CV134" i="3"/>
  <c r="CW134" i="3"/>
  <c r="CX134" i="3"/>
  <c r="CY134" i="3"/>
  <c r="CZ134" i="3"/>
  <c r="DA134" i="3"/>
  <c r="DB134" i="3"/>
  <c r="DC134" i="3"/>
  <c r="DD134" i="3"/>
  <c r="DE134" i="3"/>
  <c r="DF134" i="3"/>
  <c r="DG134" i="3"/>
  <c r="DH134" i="3"/>
  <c r="DI134" i="3"/>
  <c r="DJ134" i="3"/>
  <c r="DK134" i="3"/>
  <c r="DL134" i="3"/>
  <c r="DM134" i="3"/>
  <c r="DN134" i="3"/>
  <c r="DO134" i="3"/>
  <c r="DP134" i="3"/>
  <c r="DQ134" i="3"/>
  <c r="DR134" i="3"/>
  <c r="DS134" i="3"/>
  <c r="DT134" i="3"/>
  <c r="DU134" i="3"/>
  <c r="DV134" i="3"/>
  <c r="DW134" i="3"/>
  <c r="DX134" i="3"/>
  <c r="DY134" i="3"/>
  <c r="DZ134" i="3"/>
  <c r="EA134" i="3"/>
  <c r="EB134" i="3"/>
  <c r="EC134" i="3"/>
  <c r="ED134" i="3"/>
  <c r="EE134" i="3"/>
  <c r="EF134" i="3"/>
  <c r="EG134" i="3"/>
  <c r="EH134" i="3"/>
  <c r="EI134" i="3"/>
  <c r="EJ134" i="3"/>
  <c r="EK134" i="3"/>
  <c r="EL134" i="3"/>
  <c r="EM134" i="3"/>
  <c r="EN134" i="3"/>
  <c r="EO134" i="3"/>
  <c r="EP134" i="3"/>
  <c r="EQ134" i="3"/>
  <c r="ER134" i="3"/>
  <c r="ES134" i="3"/>
  <c r="ET134" i="3"/>
  <c r="EU134" i="3"/>
  <c r="EV134" i="3"/>
  <c r="EW134" i="3"/>
  <c r="EX134" i="3"/>
  <c r="EY134" i="3"/>
  <c r="EZ134" i="3"/>
  <c r="FA134" i="3"/>
  <c r="FB134" i="3"/>
  <c r="FC134" i="3"/>
  <c r="FD134" i="3"/>
  <c r="FE134" i="3"/>
  <c r="FF134" i="3"/>
  <c r="FG134" i="3"/>
  <c r="FH134" i="3"/>
  <c r="FI134" i="3"/>
  <c r="FJ134" i="3"/>
  <c r="FK134" i="3"/>
  <c r="FL134" i="3"/>
  <c r="FM134" i="3"/>
  <c r="FN134" i="3"/>
  <c r="FO134" i="3"/>
  <c r="FP134" i="3"/>
  <c r="FQ134" i="3"/>
  <c r="FR134" i="3"/>
  <c r="FS134" i="3"/>
  <c r="FT134" i="3"/>
  <c r="FU134" i="3"/>
  <c r="FV134" i="3"/>
  <c r="FW134" i="3"/>
  <c r="FX134" i="3"/>
  <c r="FY134" i="3"/>
  <c r="FZ134" i="3"/>
  <c r="GA134" i="3"/>
  <c r="GB134" i="3"/>
  <c r="GC134" i="3"/>
  <c r="GD134" i="3"/>
  <c r="GE134" i="3"/>
  <c r="GF134" i="3"/>
  <c r="GG134" i="3"/>
  <c r="GH134" i="3"/>
  <c r="GI134" i="3"/>
  <c r="GJ134" i="3"/>
  <c r="GK134" i="3"/>
  <c r="GL134" i="3"/>
  <c r="GM134" i="3"/>
  <c r="GN134" i="3"/>
  <c r="GO134" i="3"/>
  <c r="GP134" i="3"/>
  <c r="GQ134" i="3"/>
  <c r="GR134" i="3"/>
  <c r="GS134" i="3"/>
  <c r="GT134" i="3"/>
  <c r="GU134" i="3"/>
  <c r="GV134" i="3"/>
  <c r="GW134" i="3"/>
  <c r="GX134" i="3"/>
  <c r="GY134" i="3"/>
  <c r="GZ134" i="3"/>
  <c r="HA134" i="3"/>
  <c r="HB134" i="3"/>
  <c r="HC134" i="3"/>
  <c r="HD134" i="3"/>
  <c r="HE134" i="3"/>
  <c r="HF134" i="3"/>
  <c r="HG134" i="3"/>
  <c r="HH134" i="3"/>
  <c r="HI134" i="3"/>
  <c r="HJ134" i="3"/>
  <c r="HK134" i="3"/>
  <c r="HL134" i="3"/>
  <c r="HM134" i="3"/>
  <c r="HN134" i="3"/>
  <c r="HO134" i="3"/>
  <c r="HP134" i="3"/>
  <c r="HQ134" i="3"/>
  <c r="HR134" i="3"/>
  <c r="HS134" i="3"/>
  <c r="HT134" i="3"/>
  <c r="HU134" i="3"/>
  <c r="HV134" i="3"/>
  <c r="HW134" i="3"/>
  <c r="HX134" i="3"/>
  <c r="HY134" i="3"/>
  <c r="HZ134" i="3"/>
  <c r="IA134" i="3"/>
  <c r="IB134" i="3"/>
  <c r="IC134" i="3"/>
  <c r="ID134" i="3"/>
  <c r="IE134" i="3"/>
  <c r="IF134" i="3"/>
  <c r="IG134" i="3"/>
  <c r="IH134" i="3"/>
  <c r="II134" i="3"/>
  <c r="IJ134" i="3"/>
  <c r="IK134" i="3"/>
  <c r="IL134" i="3"/>
  <c r="IM134" i="3"/>
  <c r="IN134" i="3"/>
  <c r="IO134" i="3"/>
  <c r="IP134" i="3"/>
  <c r="IQ134" i="3"/>
  <c r="IR134" i="3"/>
  <c r="IS134" i="3"/>
  <c r="IT134" i="3"/>
  <c r="IU134" i="3"/>
  <c r="IV134" i="3"/>
  <c r="A133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AE133" i="3"/>
  <c r="AF133" i="3"/>
  <c r="AG133" i="3"/>
  <c r="AH133" i="3"/>
  <c r="AI133" i="3"/>
  <c r="AJ133" i="3"/>
  <c r="AK133" i="3"/>
  <c r="AL133" i="3"/>
  <c r="AM133" i="3"/>
  <c r="AN133" i="3"/>
  <c r="AO133" i="3"/>
  <c r="AP133" i="3"/>
  <c r="AQ133" i="3"/>
  <c r="AR133" i="3"/>
  <c r="AS133" i="3"/>
  <c r="AT133" i="3"/>
  <c r="AU133" i="3"/>
  <c r="AV133" i="3"/>
  <c r="AW133" i="3"/>
  <c r="AX133" i="3"/>
  <c r="AY133" i="3"/>
  <c r="AZ133" i="3"/>
  <c r="BA133" i="3"/>
  <c r="BB133" i="3"/>
  <c r="BC133" i="3"/>
  <c r="BD133" i="3"/>
  <c r="BE133" i="3"/>
  <c r="BF133" i="3"/>
  <c r="BG133" i="3"/>
  <c r="BH133" i="3"/>
  <c r="BI133" i="3"/>
  <c r="BJ133" i="3"/>
  <c r="BK133" i="3"/>
  <c r="BL133" i="3"/>
  <c r="BM133" i="3"/>
  <c r="BN133" i="3"/>
  <c r="BO133" i="3"/>
  <c r="BP133" i="3"/>
  <c r="BQ133" i="3"/>
  <c r="BR133" i="3"/>
  <c r="BS133" i="3"/>
  <c r="BT133" i="3"/>
  <c r="BU133" i="3"/>
  <c r="BV133" i="3"/>
  <c r="BW133" i="3"/>
  <c r="BX133" i="3"/>
  <c r="BY133" i="3"/>
  <c r="BZ133" i="3"/>
  <c r="CA133" i="3"/>
  <c r="CB133" i="3"/>
  <c r="CC133" i="3"/>
  <c r="CD133" i="3"/>
  <c r="CE133" i="3"/>
  <c r="CF133" i="3"/>
  <c r="CG133" i="3"/>
  <c r="CH133" i="3"/>
  <c r="CI133" i="3"/>
  <c r="CJ133" i="3"/>
  <c r="CK133" i="3"/>
  <c r="CL133" i="3"/>
  <c r="CM133" i="3"/>
  <c r="CN133" i="3"/>
  <c r="CO133" i="3"/>
  <c r="CP133" i="3"/>
  <c r="CQ133" i="3"/>
  <c r="CR133" i="3"/>
  <c r="CS133" i="3"/>
  <c r="CT133" i="3"/>
  <c r="CU133" i="3"/>
  <c r="CV133" i="3"/>
  <c r="CW133" i="3"/>
  <c r="CX133" i="3"/>
  <c r="CY133" i="3"/>
  <c r="CZ133" i="3"/>
  <c r="DA133" i="3"/>
  <c r="DB133" i="3"/>
  <c r="DC133" i="3"/>
  <c r="DD133" i="3"/>
  <c r="DE133" i="3"/>
  <c r="DF133" i="3"/>
  <c r="DG133" i="3"/>
  <c r="DH133" i="3"/>
  <c r="DI133" i="3"/>
  <c r="DJ133" i="3"/>
  <c r="DK133" i="3"/>
  <c r="DL133" i="3"/>
  <c r="DM133" i="3"/>
  <c r="DN133" i="3"/>
  <c r="DO133" i="3"/>
  <c r="DP133" i="3"/>
  <c r="DQ133" i="3"/>
  <c r="DR133" i="3"/>
  <c r="DS133" i="3"/>
  <c r="DT133" i="3"/>
  <c r="DU133" i="3"/>
  <c r="DV133" i="3"/>
  <c r="DW133" i="3"/>
  <c r="DX133" i="3"/>
  <c r="DY133" i="3"/>
  <c r="DZ133" i="3"/>
  <c r="EA133" i="3"/>
  <c r="EB133" i="3"/>
  <c r="EC133" i="3"/>
  <c r="ED133" i="3"/>
  <c r="EE133" i="3"/>
  <c r="EF133" i="3"/>
  <c r="EG133" i="3"/>
  <c r="EH133" i="3"/>
  <c r="EI133" i="3"/>
  <c r="EJ133" i="3"/>
  <c r="EK133" i="3"/>
  <c r="EL133" i="3"/>
  <c r="EM133" i="3"/>
  <c r="EN133" i="3"/>
  <c r="EO133" i="3"/>
  <c r="EP133" i="3"/>
  <c r="EQ133" i="3"/>
  <c r="ER133" i="3"/>
  <c r="ES133" i="3"/>
  <c r="ET133" i="3"/>
  <c r="EU133" i="3"/>
  <c r="EV133" i="3"/>
  <c r="EW133" i="3"/>
  <c r="EX133" i="3"/>
  <c r="EY133" i="3"/>
  <c r="EZ133" i="3"/>
  <c r="FA133" i="3"/>
  <c r="FB133" i="3"/>
  <c r="FC133" i="3"/>
  <c r="FD133" i="3"/>
  <c r="FE133" i="3"/>
  <c r="FF133" i="3"/>
  <c r="FG133" i="3"/>
  <c r="FH133" i="3"/>
  <c r="FI133" i="3"/>
  <c r="FJ133" i="3"/>
  <c r="FK133" i="3"/>
  <c r="FL133" i="3"/>
  <c r="FM133" i="3"/>
  <c r="FN133" i="3"/>
  <c r="FO133" i="3"/>
  <c r="FP133" i="3"/>
  <c r="FQ133" i="3"/>
  <c r="FR133" i="3"/>
  <c r="FS133" i="3"/>
  <c r="FT133" i="3"/>
  <c r="FU133" i="3"/>
  <c r="FV133" i="3"/>
  <c r="FW133" i="3"/>
  <c r="FX133" i="3"/>
  <c r="FY133" i="3"/>
  <c r="FZ133" i="3"/>
  <c r="GA133" i="3"/>
  <c r="GB133" i="3"/>
  <c r="GC133" i="3"/>
  <c r="GD133" i="3"/>
  <c r="GE133" i="3"/>
  <c r="GF133" i="3"/>
  <c r="GG133" i="3"/>
  <c r="GH133" i="3"/>
  <c r="GI133" i="3"/>
  <c r="GJ133" i="3"/>
  <c r="GK133" i="3"/>
  <c r="GL133" i="3"/>
  <c r="GM133" i="3"/>
  <c r="GN133" i="3"/>
  <c r="GO133" i="3"/>
  <c r="GP133" i="3"/>
  <c r="GQ133" i="3"/>
  <c r="GR133" i="3"/>
  <c r="GS133" i="3"/>
  <c r="GT133" i="3"/>
  <c r="GU133" i="3"/>
  <c r="GV133" i="3"/>
  <c r="GW133" i="3"/>
  <c r="GX133" i="3"/>
  <c r="GY133" i="3"/>
  <c r="GZ133" i="3"/>
  <c r="HA133" i="3"/>
  <c r="HB133" i="3"/>
  <c r="HC133" i="3"/>
  <c r="HD133" i="3"/>
  <c r="HE133" i="3"/>
  <c r="HF133" i="3"/>
  <c r="HG133" i="3"/>
  <c r="HH133" i="3"/>
  <c r="HI133" i="3"/>
  <c r="HJ133" i="3"/>
  <c r="HK133" i="3"/>
  <c r="HL133" i="3"/>
  <c r="HM133" i="3"/>
  <c r="HN133" i="3"/>
  <c r="HO133" i="3"/>
  <c r="HP133" i="3"/>
  <c r="HQ133" i="3"/>
  <c r="HR133" i="3"/>
  <c r="HS133" i="3"/>
  <c r="HT133" i="3"/>
  <c r="HU133" i="3"/>
  <c r="HV133" i="3"/>
  <c r="HW133" i="3"/>
  <c r="HX133" i="3"/>
  <c r="HY133" i="3"/>
  <c r="HZ133" i="3"/>
  <c r="IA133" i="3"/>
  <c r="IB133" i="3"/>
  <c r="IC133" i="3"/>
  <c r="ID133" i="3"/>
  <c r="IE133" i="3"/>
  <c r="IF133" i="3"/>
  <c r="IG133" i="3"/>
  <c r="IH133" i="3"/>
  <c r="II133" i="3"/>
  <c r="IJ133" i="3"/>
  <c r="IK133" i="3"/>
  <c r="IL133" i="3"/>
  <c r="IM133" i="3"/>
  <c r="IN133" i="3"/>
  <c r="IO133" i="3"/>
  <c r="IP133" i="3"/>
  <c r="IQ133" i="3"/>
  <c r="IR133" i="3"/>
  <c r="IS133" i="3"/>
  <c r="IT133" i="3"/>
  <c r="IU133" i="3"/>
  <c r="IV133" i="3"/>
  <c r="A132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AB132" i="3"/>
  <c r="AC132" i="3"/>
  <c r="AD132" i="3"/>
  <c r="AE132" i="3"/>
  <c r="AF132" i="3"/>
  <c r="AG132" i="3"/>
  <c r="AH132" i="3"/>
  <c r="AI132" i="3"/>
  <c r="AJ132" i="3"/>
  <c r="AK132" i="3"/>
  <c r="AL132" i="3"/>
  <c r="AM132" i="3"/>
  <c r="AN132" i="3"/>
  <c r="AO132" i="3"/>
  <c r="AP132" i="3"/>
  <c r="AQ132" i="3"/>
  <c r="AR132" i="3"/>
  <c r="AS132" i="3"/>
  <c r="AT132" i="3"/>
  <c r="AU132" i="3"/>
  <c r="AV132" i="3"/>
  <c r="AW132" i="3"/>
  <c r="AX132" i="3"/>
  <c r="AY132" i="3"/>
  <c r="AZ132" i="3"/>
  <c r="BA132" i="3"/>
  <c r="BB132" i="3"/>
  <c r="BC132" i="3"/>
  <c r="BD132" i="3"/>
  <c r="BE132" i="3"/>
  <c r="BF132" i="3"/>
  <c r="BG132" i="3"/>
  <c r="BH132" i="3"/>
  <c r="BI132" i="3"/>
  <c r="BJ132" i="3"/>
  <c r="BK132" i="3"/>
  <c r="BL132" i="3"/>
  <c r="BM132" i="3"/>
  <c r="BN132" i="3"/>
  <c r="BO132" i="3"/>
  <c r="BP132" i="3"/>
  <c r="BQ132" i="3"/>
  <c r="BR132" i="3"/>
  <c r="BS132" i="3"/>
  <c r="BT132" i="3"/>
  <c r="BU132" i="3"/>
  <c r="BV132" i="3"/>
  <c r="BW132" i="3"/>
  <c r="BX132" i="3"/>
  <c r="BY132" i="3"/>
  <c r="BZ132" i="3"/>
  <c r="CA132" i="3"/>
  <c r="CB132" i="3"/>
  <c r="CC132" i="3"/>
  <c r="CD132" i="3"/>
  <c r="CE132" i="3"/>
  <c r="CF132" i="3"/>
  <c r="CG132" i="3"/>
  <c r="CH132" i="3"/>
  <c r="CI132" i="3"/>
  <c r="CJ132" i="3"/>
  <c r="CK132" i="3"/>
  <c r="CL132" i="3"/>
  <c r="CM132" i="3"/>
  <c r="CN132" i="3"/>
  <c r="CO132" i="3"/>
  <c r="CP132" i="3"/>
  <c r="CQ132" i="3"/>
  <c r="CR132" i="3"/>
  <c r="CS132" i="3"/>
  <c r="CT132" i="3"/>
  <c r="CU132" i="3"/>
  <c r="CV132" i="3"/>
  <c r="CW132" i="3"/>
  <c r="CX132" i="3"/>
  <c r="CY132" i="3"/>
  <c r="CZ132" i="3"/>
  <c r="DA132" i="3"/>
  <c r="DB132" i="3"/>
  <c r="DC132" i="3"/>
  <c r="DD132" i="3"/>
  <c r="DE132" i="3"/>
  <c r="DF132" i="3"/>
  <c r="DG132" i="3"/>
  <c r="DH132" i="3"/>
  <c r="DI132" i="3"/>
  <c r="DJ132" i="3"/>
  <c r="DK132" i="3"/>
  <c r="DL132" i="3"/>
  <c r="DM132" i="3"/>
  <c r="DN132" i="3"/>
  <c r="DO132" i="3"/>
  <c r="DP132" i="3"/>
  <c r="DQ132" i="3"/>
  <c r="DR132" i="3"/>
  <c r="DS132" i="3"/>
  <c r="DT132" i="3"/>
  <c r="DU132" i="3"/>
  <c r="DV132" i="3"/>
  <c r="DW132" i="3"/>
  <c r="DX132" i="3"/>
  <c r="DY132" i="3"/>
  <c r="DZ132" i="3"/>
  <c r="EA132" i="3"/>
  <c r="EB132" i="3"/>
  <c r="EC132" i="3"/>
  <c r="ED132" i="3"/>
  <c r="EE132" i="3"/>
  <c r="EF132" i="3"/>
  <c r="EG132" i="3"/>
  <c r="EH132" i="3"/>
  <c r="EI132" i="3"/>
  <c r="EJ132" i="3"/>
  <c r="EK132" i="3"/>
  <c r="EL132" i="3"/>
  <c r="EM132" i="3"/>
  <c r="EN132" i="3"/>
  <c r="EO132" i="3"/>
  <c r="EP132" i="3"/>
  <c r="EQ132" i="3"/>
  <c r="ER132" i="3"/>
  <c r="ES132" i="3"/>
  <c r="ET132" i="3"/>
  <c r="EU132" i="3"/>
  <c r="EV132" i="3"/>
  <c r="EW132" i="3"/>
  <c r="EX132" i="3"/>
  <c r="EY132" i="3"/>
  <c r="EZ132" i="3"/>
  <c r="FA132" i="3"/>
  <c r="FB132" i="3"/>
  <c r="FC132" i="3"/>
  <c r="FD132" i="3"/>
  <c r="FE132" i="3"/>
  <c r="FF132" i="3"/>
  <c r="FG132" i="3"/>
  <c r="FH132" i="3"/>
  <c r="FI132" i="3"/>
  <c r="FJ132" i="3"/>
  <c r="FK132" i="3"/>
  <c r="FL132" i="3"/>
  <c r="FM132" i="3"/>
  <c r="FN132" i="3"/>
  <c r="FO132" i="3"/>
  <c r="FP132" i="3"/>
  <c r="FQ132" i="3"/>
  <c r="FR132" i="3"/>
  <c r="FS132" i="3"/>
  <c r="FT132" i="3"/>
  <c r="FU132" i="3"/>
  <c r="FV132" i="3"/>
  <c r="FW132" i="3"/>
  <c r="FX132" i="3"/>
  <c r="FY132" i="3"/>
  <c r="FZ132" i="3"/>
  <c r="GA132" i="3"/>
  <c r="GB132" i="3"/>
  <c r="GC132" i="3"/>
  <c r="GD132" i="3"/>
  <c r="GE132" i="3"/>
  <c r="GF132" i="3"/>
  <c r="GG132" i="3"/>
  <c r="GH132" i="3"/>
  <c r="GI132" i="3"/>
  <c r="GJ132" i="3"/>
  <c r="GK132" i="3"/>
  <c r="GL132" i="3"/>
  <c r="GM132" i="3"/>
  <c r="GN132" i="3"/>
  <c r="GO132" i="3"/>
  <c r="GP132" i="3"/>
  <c r="GQ132" i="3"/>
  <c r="GR132" i="3"/>
  <c r="GS132" i="3"/>
  <c r="GT132" i="3"/>
  <c r="GU132" i="3"/>
  <c r="GV132" i="3"/>
  <c r="GW132" i="3"/>
  <c r="GX132" i="3"/>
  <c r="GY132" i="3"/>
  <c r="GZ132" i="3"/>
  <c r="HA132" i="3"/>
  <c r="HB132" i="3"/>
  <c r="HC132" i="3"/>
  <c r="HD132" i="3"/>
  <c r="HE132" i="3"/>
  <c r="HF132" i="3"/>
  <c r="HG132" i="3"/>
  <c r="HH132" i="3"/>
  <c r="HI132" i="3"/>
  <c r="HJ132" i="3"/>
  <c r="HK132" i="3"/>
  <c r="HL132" i="3"/>
  <c r="HM132" i="3"/>
  <c r="HN132" i="3"/>
  <c r="HO132" i="3"/>
  <c r="HP132" i="3"/>
  <c r="HQ132" i="3"/>
  <c r="HR132" i="3"/>
  <c r="HS132" i="3"/>
  <c r="HT132" i="3"/>
  <c r="HU132" i="3"/>
  <c r="HV132" i="3"/>
  <c r="HW132" i="3"/>
  <c r="HX132" i="3"/>
  <c r="HY132" i="3"/>
  <c r="HZ132" i="3"/>
  <c r="IA132" i="3"/>
  <c r="IB132" i="3"/>
  <c r="IC132" i="3"/>
  <c r="ID132" i="3"/>
  <c r="IE132" i="3"/>
  <c r="IF132" i="3"/>
  <c r="IG132" i="3"/>
  <c r="IH132" i="3"/>
  <c r="II132" i="3"/>
  <c r="IJ132" i="3"/>
  <c r="IK132" i="3"/>
  <c r="IL132" i="3"/>
  <c r="IM132" i="3"/>
  <c r="IN132" i="3"/>
  <c r="IO132" i="3"/>
  <c r="IP132" i="3"/>
  <c r="IQ132" i="3"/>
  <c r="IR132" i="3"/>
  <c r="IS132" i="3"/>
  <c r="IT132" i="3"/>
  <c r="IU132" i="3"/>
  <c r="IV132" i="3"/>
  <c r="A131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AB131" i="3"/>
  <c r="AC131" i="3"/>
  <c r="AD131" i="3"/>
  <c r="AE131" i="3"/>
  <c r="AF131" i="3"/>
  <c r="AG131" i="3"/>
  <c r="AH131" i="3"/>
  <c r="AI131" i="3"/>
  <c r="AJ131" i="3"/>
  <c r="AK131" i="3"/>
  <c r="AL131" i="3"/>
  <c r="AM131" i="3"/>
  <c r="AN131" i="3"/>
  <c r="AO131" i="3"/>
  <c r="AP131" i="3"/>
  <c r="AQ131" i="3"/>
  <c r="AR131" i="3"/>
  <c r="AS131" i="3"/>
  <c r="AT131" i="3"/>
  <c r="AU131" i="3"/>
  <c r="AV131" i="3"/>
  <c r="AW131" i="3"/>
  <c r="AX131" i="3"/>
  <c r="AY131" i="3"/>
  <c r="AZ131" i="3"/>
  <c r="BA131" i="3"/>
  <c r="BB131" i="3"/>
  <c r="BC131" i="3"/>
  <c r="BD131" i="3"/>
  <c r="BE131" i="3"/>
  <c r="BF131" i="3"/>
  <c r="BG131" i="3"/>
  <c r="BH131" i="3"/>
  <c r="BI131" i="3"/>
  <c r="BJ131" i="3"/>
  <c r="BK131" i="3"/>
  <c r="BL131" i="3"/>
  <c r="BM131" i="3"/>
  <c r="BN131" i="3"/>
  <c r="BO131" i="3"/>
  <c r="BP131" i="3"/>
  <c r="BQ131" i="3"/>
  <c r="BR131" i="3"/>
  <c r="BS131" i="3"/>
  <c r="BT131" i="3"/>
  <c r="BU131" i="3"/>
  <c r="BV131" i="3"/>
  <c r="BW131" i="3"/>
  <c r="BX131" i="3"/>
  <c r="BY131" i="3"/>
  <c r="BZ131" i="3"/>
  <c r="CA131" i="3"/>
  <c r="CB131" i="3"/>
  <c r="CC131" i="3"/>
  <c r="CD131" i="3"/>
  <c r="CE131" i="3"/>
  <c r="CF131" i="3"/>
  <c r="CG131" i="3"/>
  <c r="CH131" i="3"/>
  <c r="CI131" i="3"/>
  <c r="CJ131" i="3"/>
  <c r="CK131" i="3"/>
  <c r="CL131" i="3"/>
  <c r="CM131" i="3"/>
  <c r="CN131" i="3"/>
  <c r="CO131" i="3"/>
  <c r="CP131" i="3"/>
  <c r="CQ131" i="3"/>
  <c r="CR131" i="3"/>
  <c r="CS131" i="3"/>
  <c r="CT131" i="3"/>
  <c r="CU131" i="3"/>
  <c r="CV131" i="3"/>
  <c r="CW131" i="3"/>
  <c r="CX131" i="3"/>
  <c r="CY131" i="3"/>
  <c r="CZ131" i="3"/>
  <c r="DA131" i="3"/>
  <c r="DB131" i="3"/>
  <c r="DC131" i="3"/>
  <c r="DD131" i="3"/>
  <c r="DE131" i="3"/>
  <c r="DF131" i="3"/>
  <c r="DG131" i="3"/>
  <c r="DH131" i="3"/>
  <c r="DI131" i="3"/>
  <c r="DJ131" i="3"/>
  <c r="DK131" i="3"/>
  <c r="DL131" i="3"/>
  <c r="DM131" i="3"/>
  <c r="DN131" i="3"/>
  <c r="DO131" i="3"/>
  <c r="DP131" i="3"/>
  <c r="DQ131" i="3"/>
  <c r="DR131" i="3"/>
  <c r="DS131" i="3"/>
  <c r="DT131" i="3"/>
  <c r="DU131" i="3"/>
  <c r="DV131" i="3"/>
  <c r="DW131" i="3"/>
  <c r="DX131" i="3"/>
  <c r="DY131" i="3"/>
  <c r="DZ131" i="3"/>
  <c r="EA131" i="3"/>
  <c r="EB131" i="3"/>
  <c r="EC131" i="3"/>
  <c r="ED131" i="3"/>
  <c r="EE131" i="3"/>
  <c r="EF131" i="3"/>
  <c r="EG131" i="3"/>
  <c r="EH131" i="3"/>
  <c r="EI131" i="3"/>
  <c r="EJ131" i="3"/>
  <c r="EK131" i="3"/>
  <c r="EL131" i="3"/>
  <c r="EM131" i="3"/>
  <c r="EN131" i="3"/>
  <c r="EO131" i="3"/>
  <c r="EP131" i="3"/>
  <c r="EQ131" i="3"/>
  <c r="ER131" i="3"/>
  <c r="ES131" i="3"/>
  <c r="ET131" i="3"/>
  <c r="EU131" i="3"/>
  <c r="EV131" i="3"/>
  <c r="EW131" i="3"/>
  <c r="EX131" i="3"/>
  <c r="EY131" i="3"/>
  <c r="EZ131" i="3"/>
  <c r="FA131" i="3"/>
  <c r="FB131" i="3"/>
  <c r="FC131" i="3"/>
  <c r="FD131" i="3"/>
  <c r="FE131" i="3"/>
  <c r="FF131" i="3"/>
  <c r="FG131" i="3"/>
  <c r="FH131" i="3"/>
  <c r="FI131" i="3"/>
  <c r="FJ131" i="3"/>
  <c r="FK131" i="3"/>
  <c r="FL131" i="3"/>
  <c r="FM131" i="3"/>
  <c r="FN131" i="3"/>
  <c r="FO131" i="3"/>
  <c r="FP131" i="3"/>
  <c r="FQ131" i="3"/>
  <c r="FR131" i="3"/>
  <c r="FS131" i="3"/>
  <c r="FT131" i="3"/>
  <c r="FU131" i="3"/>
  <c r="FV131" i="3"/>
  <c r="FW131" i="3"/>
  <c r="FX131" i="3"/>
  <c r="FY131" i="3"/>
  <c r="FZ131" i="3"/>
  <c r="GA131" i="3"/>
  <c r="GB131" i="3"/>
  <c r="GC131" i="3"/>
  <c r="GD131" i="3"/>
  <c r="GE131" i="3"/>
  <c r="GF131" i="3"/>
  <c r="GG131" i="3"/>
  <c r="GH131" i="3"/>
  <c r="GI131" i="3"/>
  <c r="GJ131" i="3"/>
  <c r="GK131" i="3"/>
  <c r="GL131" i="3"/>
  <c r="GM131" i="3"/>
  <c r="GN131" i="3"/>
  <c r="GO131" i="3"/>
  <c r="GP131" i="3"/>
  <c r="GQ131" i="3"/>
  <c r="GR131" i="3"/>
  <c r="GS131" i="3"/>
  <c r="GT131" i="3"/>
  <c r="GU131" i="3"/>
  <c r="GV131" i="3"/>
  <c r="GW131" i="3"/>
  <c r="GX131" i="3"/>
  <c r="GY131" i="3"/>
  <c r="GZ131" i="3"/>
  <c r="HA131" i="3"/>
  <c r="HB131" i="3"/>
  <c r="HC131" i="3"/>
  <c r="HD131" i="3"/>
  <c r="HE131" i="3"/>
  <c r="HF131" i="3"/>
  <c r="HG131" i="3"/>
  <c r="HH131" i="3"/>
  <c r="HI131" i="3"/>
  <c r="HJ131" i="3"/>
  <c r="HK131" i="3"/>
  <c r="HL131" i="3"/>
  <c r="HM131" i="3"/>
  <c r="HN131" i="3"/>
  <c r="HO131" i="3"/>
  <c r="HP131" i="3"/>
  <c r="HQ131" i="3"/>
  <c r="HR131" i="3"/>
  <c r="HS131" i="3"/>
  <c r="HT131" i="3"/>
  <c r="HU131" i="3"/>
  <c r="HV131" i="3"/>
  <c r="HW131" i="3"/>
  <c r="HX131" i="3"/>
  <c r="HY131" i="3"/>
  <c r="HZ131" i="3"/>
  <c r="IA131" i="3"/>
  <c r="IB131" i="3"/>
  <c r="IC131" i="3"/>
  <c r="ID131" i="3"/>
  <c r="IE131" i="3"/>
  <c r="IF131" i="3"/>
  <c r="IG131" i="3"/>
  <c r="IH131" i="3"/>
  <c r="II131" i="3"/>
  <c r="IJ131" i="3"/>
  <c r="IK131" i="3"/>
  <c r="IL131" i="3"/>
  <c r="IM131" i="3"/>
  <c r="IN131" i="3"/>
  <c r="IO131" i="3"/>
  <c r="IP131" i="3"/>
  <c r="IQ131" i="3"/>
  <c r="IR131" i="3"/>
  <c r="IS131" i="3"/>
  <c r="IT131" i="3"/>
  <c r="IU131" i="3"/>
  <c r="IV131" i="3"/>
  <c r="A130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AB130" i="3"/>
  <c r="AC130" i="3"/>
  <c r="AD130" i="3"/>
  <c r="AE130" i="3"/>
  <c r="AF130" i="3"/>
  <c r="AG130" i="3"/>
  <c r="AH130" i="3"/>
  <c r="AI130" i="3"/>
  <c r="AJ130" i="3"/>
  <c r="AK130" i="3"/>
  <c r="AL130" i="3"/>
  <c r="AM130" i="3"/>
  <c r="AN130" i="3"/>
  <c r="AO130" i="3"/>
  <c r="AP130" i="3"/>
  <c r="AQ130" i="3"/>
  <c r="AR130" i="3"/>
  <c r="AS130" i="3"/>
  <c r="AT130" i="3"/>
  <c r="AU130" i="3"/>
  <c r="AV130" i="3"/>
  <c r="AW130" i="3"/>
  <c r="AX130" i="3"/>
  <c r="AY130" i="3"/>
  <c r="AZ130" i="3"/>
  <c r="BA130" i="3"/>
  <c r="BB130" i="3"/>
  <c r="BC130" i="3"/>
  <c r="BD130" i="3"/>
  <c r="BE130" i="3"/>
  <c r="BF130" i="3"/>
  <c r="BG130" i="3"/>
  <c r="BH130" i="3"/>
  <c r="BI130" i="3"/>
  <c r="BJ130" i="3"/>
  <c r="BK130" i="3"/>
  <c r="BL130" i="3"/>
  <c r="BM130" i="3"/>
  <c r="BN130" i="3"/>
  <c r="BO130" i="3"/>
  <c r="BP130" i="3"/>
  <c r="BQ130" i="3"/>
  <c r="BR130" i="3"/>
  <c r="BS130" i="3"/>
  <c r="BT130" i="3"/>
  <c r="BU130" i="3"/>
  <c r="BV130" i="3"/>
  <c r="BW130" i="3"/>
  <c r="BX130" i="3"/>
  <c r="BY130" i="3"/>
  <c r="BZ130" i="3"/>
  <c r="CA130" i="3"/>
  <c r="CB130" i="3"/>
  <c r="CC130" i="3"/>
  <c r="CD130" i="3"/>
  <c r="CE130" i="3"/>
  <c r="CF130" i="3"/>
  <c r="CG130" i="3"/>
  <c r="CH130" i="3"/>
  <c r="CI130" i="3"/>
  <c r="CJ130" i="3"/>
  <c r="CK130" i="3"/>
  <c r="CL130" i="3"/>
  <c r="CM130" i="3"/>
  <c r="CN130" i="3"/>
  <c r="CO130" i="3"/>
  <c r="CP130" i="3"/>
  <c r="CQ130" i="3"/>
  <c r="CR130" i="3"/>
  <c r="CS130" i="3"/>
  <c r="CT130" i="3"/>
  <c r="CU130" i="3"/>
  <c r="CV130" i="3"/>
  <c r="CW130" i="3"/>
  <c r="CX130" i="3"/>
  <c r="CY130" i="3"/>
  <c r="CZ130" i="3"/>
  <c r="DA130" i="3"/>
  <c r="DB130" i="3"/>
  <c r="DC130" i="3"/>
  <c r="DD130" i="3"/>
  <c r="DE130" i="3"/>
  <c r="DF130" i="3"/>
  <c r="DG130" i="3"/>
  <c r="DH130" i="3"/>
  <c r="DI130" i="3"/>
  <c r="DJ130" i="3"/>
  <c r="DK130" i="3"/>
  <c r="DL130" i="3"/>
  <c r="DM130" i="3"/>
  <c r="DN130" i="3"/>
  <c r="DO130" i="3"/>
  <c r="DP130" i="3"/>
  <c r="DQ130" i="3"/>
  <c r="DR130" i="3"/>
  <c r="DS130" i="3"/>
  <c r="DT130" i="3"/>
  <c r="DU130" i="3"/>
  <c r="DV130" i="3"/>
  <c r="DW130" i="3"/>
  <c r="DX130" i="3"/>
  <c r="DY130" i="3"/>
  <c r="DZ130" i="3"/>
  <c r="EA130" i="3"/>
  <c r="EB130" i="3"/>
  <c r="EC130" i="3"/>
  <c r="ED130" i="3"/>
  <c r="EE130" i="3"/>
  <c r="EF130" i="3"/>
  <c r="EG130" i="3"/>
  <c r="EH130" i="3"/>
  <c r="EI130" i="3"/>
  <c r="EJ130" i="3"/>
  <c r="EK130" i="3"/>
  <c r="EL130" i="3"/>
  <c r="EM130" i="3"/>
  <c r="EN130" i="3"/>
  <c r="EO130" i="3"/>
  <c r="EP130" i="3"/>
  <c r="EQ130" i="3"/>
  <c r="ER130" i="3"/>
  <c r="ES130" i="3"/>
  <c r="ET130" i="3"/>
  <c r="EU130" i="3"/>
  <c r="EV130" i="3"/>
  <c r="EW130" i="3"/>
  <c r="EX130" i="3"/>
  <c r="EY130" i="3"/>
  <c r="EZ130" i="3"/>
  <c r="FA130" i="3"/>
  <c r="FB130" i="3"/>
  <c r="FC130" i="3"/>
  <c r="FD130" i="3"/>
  <c r="FE130" i="3"/>
  <c r="FF130" i="3"/>
  <c r="FG130" i="3"/>
  <c r="FH130" i="3"/>
  <c r="FI130" i="3"/>
  <c r="FJ130" i="3"/>
  <c r="FK130" i="3"/>
  <c r="FL130" i="3"/>
  <c r="FM130" i="3"/>
  <c r="FN130" i="3"/>
  <c r="FO130" i="3"/>
  <c r="FP130" i="3"/>
  <c r="FQ130" i="3"/>
  <c r="FR130" i="3"/>
  <c r="FS130" i="3"/>
  <c r="FT130" i="3"/>
  <c r="FU130" i="3"/>
  <c r="FV130" i="3"/>
  <c r="FW130" i="3"/>
  <c r="FX130" i="3"/>
  <c r="FY130" i="3"/>
  <c r="FZ130" i="3"/>
  <c r="GA130" i="3"/>
  <c r="GB130" i="3"/>
  <c r="GC130" i="3"/>
  <c r="GD130" i="3"/>
  <c r="GE130" i="3"/>
  <c r="GF130" i="3"/>
  <c r="GG130" i="3"/>
  <c r="GH130" i="3"/>
  <c r="GI130" i="3"/>
  <c r="GJ130" i="3"/>
  <c r="GK130" i="3"/>
  <c r="GL130" i="3"/>
  <c r="GM130" i="3"/>
  <c r="GN130" i="3"/>
  <c r="GO130" i="3"/>
  <c r="GP130" i="3"/>
  <c r="GQ130" i="3"/>
  <c r="GR130" i="3"/>
  <c r="GS130" i="3"/>
  <c r="GT130" i="3"/>
  <c r="GU130" i="3"/>
  <c r="GV130" i="3"/>
  <c r="GW130" i="3"/>
  <c r="GX130" i="3"/>
  <c r="GY130" i="3"/>
  <c r="GZ130" i="3"/>
  <c r="HA130" i="3"/>
  <c r="HB130" i="3"/>
  <c r="HC130" i="3"/>
  <c r="HD130" i="3"/>
  <c r="HE130" i="3"/>
  <c r="HF130" i="3"/>
  <c r="HG130" i="3"/>
  <c r="HH130" i="3"/>
  <c r="HI130" i="3"/>
  <c r="HJ130" i="3"/>
  <c r="HK130" i="3"/>
  <c r="HL130" i="3"/>
  <c r="HM130" i="3"/>
  <c r="HN130" i="3"/>
  <c r="HO130" i="3"/>
  <c r="HP130" i="3"/>
  <c r="HQ130" i="3"/>
  <c r="HR130" i="3"/>
  <c r="HS130" i="3"/>
  <c r="HT130" i="3"/>
  <c r="HU130" i="3"/>
  <c r="HV130" i="3"/>
  <c r="HW130" i="3"/>
  <c r="HX130" i="3"/>
  <c r="HY130" i="3"/>
  <c r="HZ130" i="3"/>
  <c r="IA130" i="3"/>
  <c r="IB130" i="3"/>
  <c r="IC130" i="3"/>
  <c r="ID130" i="3"/>
  <c r="IE130" i="3"/>
  <c r="IF130" i="3"/>
  <c r="IG130" i="3"/>
  <c r="IH130" i="3"/>
  <c r="II130" i="3"/>
  <c r="IJ130" i="3"/>
  <c r="IK130" i="3"/>
  <c r="IL130" i="3"/>
  <c r="IM130" i="3"/>
  <c r="IN130" i="3"/>
  <c r="IO130" i="3"/>
  <c r="IP130" i="3"/>
  <c r="IQ130" i="3"/>
  <c r="IR130" i="3"/>
  <c r="IS130" i="3"/>
  <c r="IT130" i="3"/>
  <c r="IU130" i="3"/>
  <c r="IV130" i="3"/>
  <c r="A129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AE129" i="3"/>
  <c r="AF129" i="3"/>
  <c r="AG129" i="3"/>
  <c r="AH129" i="3"/>
  <c r="AI129" i="3"/>
  <c r="AJ129" i="3"/>
  <c r="AK129" i="3"/>
  <c r="AL129" i="3"/>
  <c r="AM129" i="3"/>
  <c r="AN129" i="3"/>
  <c r="AO129" i="3"/>
  <c r="AP129" i="3"/>
  <c r="AQ129" i="3"/>
  <c r="AR129" i="3"/>
  <c r="AS129" i="3"/>
  <c r="AT129" i="3"/>
  <c r="AU129" i="3"/>
  <c r="AV129" i="3"/>
  <c r="AW129" i="3"/>
  <c r="AX129" i="3"/>
  <c r="AY129" i="3"/>
  <c r="AZ129" i="3"/>
  <c r="BA129" i="3"/>
  <c r="BB129" i="3"/>
  <c r="BC129" i="3"/>
  <c r="BD129" i="3"/>
  <c r="BE129" i="3"/>
  <c r="BF129" i="3"/>
  <c r="BG129" i="3"/>
  <c r="BH129" i="3"/>
  <c r="BI129" i="3"/>
  <c r="BJ129" i="3"/>
  <c r="BK129" i="3"/>
  <c r="BL129" i="3"/>
  <c r="BM129" i="3"/>
  <c r="BN129" i="3"/>
  <c r="BO129" i="3"/>
  <c r="BP129" i="3"/>
  <c r="BQ129" i="3"/>
  <c r="BR129" i="3"/>
  <c r="BS129" i="3"/>
  <c r="BT129" i="3"/>
  <c r="BU129" i="3"/>
  <c r="BV129" i="3"/>
  <c r="BW129" i="3"/>
  <c r="BX129" i="3"/>
  <c r="BY129" i="3"/>
  <c r="BZ129" i="3"/>
  <c r="CA129" i="3"/>
  <c r="CB129" i="3"/>
  <c r="CC129" i="3"/>
  <c r="CD129" i="3"/>
  <c r="CE129" i="3"/>
  <c r="CF129" i="3"/>
  <c r="CG129" i="3"/>
  <c r="CH129" i="3"/>
  <c r="CI129" i="3"/>
  <c r="CJ129" i="3"/>
  <c r="CK129" i="3"/>
  <c r="CL129" i="3"/>
  <c r="CM129" i="3"/>
  <c r="CN129" i="3"/>
  <c r="CO129" i="3"/>
  <c r="CP129" i="3"/>
  <c r="CQ129" i="3"/>
  <c r="CR129" i="3"/>
  <c r="CS129" i="3"/>
  <c r="CT129" i="3"/>
  <c r="CU129" i="3"/>
  <c r="CV129" i="3"/>
  <c r="CW129" i="3"/>
  <c r="CX129" i="3"/>
  <c r="CY129" i="3"/>
  <c r="CZ129" i="3"/>
  <c r="DA129" i="3"/>
  <c r="DB129" i="3"/>
  <c r="DC129" i="3"/>
  <c r="DD129" i="3"/>
  <c r="DE129" i="3"/>
  <c r="DF129" i="3"/>
  <c r="DG129" i="3"/>
  <c r="DH129" i="3"/>
  <c r="DI129" i="3"/>
  <c r="DJ129" i="3"/>
  <c r="DK129" i="3"/>
  <c r="DL129" i="3"/>
  <c r="DM129" i="3"/>
  <c r="DN129" i="3"/>
  <c r="DO129" i="3"/>
  <c r="DP129" i="3"/>
  <c r="DQ129" i="3"/>
  <c r="DR129" i="3"/>
  <c r="DS129" i="3"/>
  <c r="DT129" i="3"/>
  <c r="DU129" i="3"/>
  <c r="DV129" i="3"/>
  <c r="DW129" i="3"/>
  <c r="DX129" i="3"/>
  <c r="DY129" i="3"/>
  <c r="DZ129" i="3"/>
  <c r="EA129" i="3"/>
  <c r="EB129" i="3"/>
  <c r="EC129" i="3"/>
  <c r="ED129" i="3"/>
  <c r="EE129" i="3"/>
  <c r="EF129" i="3"/>
  <c r="EG129" i="3"/>
  <c r="EH129" i="3"/>
  <c r="EI129" i="3"/>
  <c r="EJ129" i="3"/>
  <c r="EK129" i="3"/>
  <c r="EL129" i="3"/>
  <c r="EM129" i="3"/>
  <c r="EN129" i="3"/>
  <c r="EO129" i="3"/>
  <c r="EP129" i="3"/>
  <c r="EQ129" i="3"/>
  <c r="ER129" i="3"/>
  <c r="ES129" i="3"/>
  <c r="ET129" i="3"/>
  <c r="EU129" i="3"/>
  <c r="EV129" i="3"/>
  <c r="EW129" i="3"/>
  <c r="EX129" i="3"/>
  <c r="EY129" i="3"/>
  <c r="EZ129" i="3"/>
  <c r="FA129" i="3"/>
  <c r="FB129" i="3"/>
  <c r="FC129" i="3"/>
  <c r="FD129" i="3"/>
  <c r="FE129" i="3"/>
  <c r="FF129" i="3"/>
  <c r="FG129" i="3"/>
  <c r="FH129" i="3"/>
  <c r="FI129" i="3"/>
  <c r="FJ129" i="3"/>
  <c r="FK129" i="3"/>
  <c r="FL129" i="3"/>
  <c r="FM129" i="3"/>
  <c r="FN129" i="3"/>
  <c r="FO129" i="3"/>
  <c r="FP129" i="3"/>
  <c r="FQ129" i="3"/>
  <c r="FR129" i="3"/>
  <c r="FS129" i="3"/>
  <c r="FT129" i="3"/>
  <c r="FU129" i="3"/>
  <c r="FV129" i="3"/>
  <c r="FW129" i="3"/>
  <c r="FX129" i="3"/>
  <c r="FY129" i="3"/>
  <c r="FZ129" i="3"/>
  <c r="GA129" i="3"/>
  <c r="GB129" i="3"/>
  <c r="GC129" i="3"/>
  <c r="GD129" i="3"/>
  <c r="GE129" i="3"/>
  <c r="GF129" i="3"/>
  <c r="GG129" i="3"/>
  <c r="GH129" i="3"/>
  <c r="GI129" i="3"/>
  <c r="GJ129" i="3"/>
  <c r="GK129" i="3"/>
  <c r="GL129" i="3"/>
  <c r="GM129" i="3"/>
  <c r="GN129" i="3"/>
  <c r="GO129" i="3"/>
  <c r="GP129" i="3"/>
  <c r="GQ129" i="3"/>
  <c r="GR129" i="3"/>
  <c r="GS129" i="3"/>
  <c r="GT129" i="3"/>
  <c r="GU129" i="3"/>
  <c r="GV129" i="3"/>
  <c r="GW129" i="3"/>
  <c r="GX129" i="3"/>
  <c r="GY129" i="3"/>
  <c r="GZ129" i="3"/>
  <c r="HA129" i="3"/>
  <c r="HB129" i="3"/>
  <c r="HC129" i="3"/>
  <c r="HD129" i="3"/>
  <c r="HE129" i="3"/>
  <c r="HF129" i="3"/>
  <c r="HG129" i="3"/>
  <c r="HH129" i="3"/>
  <c r="HI129" i="3"/>
  <c r="HJ129" i="3"/>
  <c r="HK129" i="3"/>
  <c r="HL129" i="3"/>
  <c r="HM129" i="3"/>
  <c r="HN129" i="3"/>
  <c r="HO129" i="3"/>
  <c r="HP129" i="3"/>
  <c r="HQ129" i="3"/>
  <c r="HR129" i="3"/>
  <c r="HS129" i="3"/>
  <c r="HT129" i="3"/>
  <c r="HU129" i="3"/>
  <c r="HV129" i="3"/>
  <c r="HW129" i="3"/>
  <c r="HX129" i="3"/>
  <c r="HY129" i="3"/>
  <c r="HZ129" i="3"/>
  <c r="IA129" i="3"/>
  <c r="IB129" i="3"/>
  <c r="IC129" i="3"/>
  <c r="ID129" i="3"/>
  <c r="IE129" i="3"/>
  <c r="IF129" i="3"/>
  <c r="IG129" i="3"/>
  <c r="IH129" i="3"/>
  <c r="II129" i="3"/>
  <c r="IJ129" i="3"/>
  <c r="IK129" i="3"/>
  <c r="IL129" i="3"/>
  <c r="IM129" i="3"/>
  <c r="IN129" i="3"/>
  <c r="IO129" i="3"/>
  <c r="IP129" i="3"/>
  <c r="IQ129" i="3"/>
  <c r="IR129" i="3"/>
  <c r="IS129" i="3"/>
  <c r="IT129" i="3"/>
  <c r="IU129" i="3"/>
  <c r="IV129" i="3"/>
  <c r="A128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AB128" i="3"/>
  <c r="AC128" i="3"/>
  <c r="AD128" i="3"/>
  <c r="AE128" i="3"/>
  <c r="AF128" i="3"/>
  <c r="AG128" i="3"/>
  <c r="AH128" i="3"/>
  <c r="AI128" i="3"/>
  <c r="AJ128" i="3"/>
  <c r="AK128" i="3"/>
  <c r="AL128" i="3"/>
  <c r="AM128" i="3"/>
  <c r="AN128" i="3"/>
  <c r="AO128" i="3"/>
  <c r="AP128" i="3"/>
  <c r="AQ128" i="3"/>
  <c r="AR128" i="3"/>
  <c r="AS128" i="3"/>
  <c r="AT128" i="3"/>
  <c r="AU128" i="3"/>
  <c r="AV128" i="3"/>
  <c r="AW128" i="3"/>
  <c r="AX128" i="3"/>
  <c r="AY128" i="3"/>
  <c r="AZ128" i="3"/>
  <c r="BA128" i="3"/>
  <c r="BB128" i="3"/>
  <c r="BC128" i="3"/>
  <c r="BD128" i="3"/>
  <c r="BE128" i="3"/>
  <c r="BF128" i="3"/>
  <c r="BG128" i="3"/>
  <c r="BH128" i="3"/>
  <c r="BI128" i="3"/>
  <c r="BJ128" i="3"/>
  <c r="BK128" i="3"/>
  <c r="BL128" i="3"/>
  <c r="BM128" i="3"/>
  <c r="BN128" i="3"/>
  <c r="BO128" i="3"/>
  <c r="BP128" i="3"/>
  <c r="BQ128" i="3"/>
  <c r="BR128" i="3"/>
  <c r="BS128" i="3"/>
  <c r="BT128" i="3"/>
  <c r="BU128" i="3"/>
  <c r="BV128" i="3"/>
  <c r="BW128" i="3"/>
  <c r="BX128" i="3"/>
  <c r="BY128" i="3"/>
  <c r="BZ128" i="3"/>
  <c r="CA128" i="3"/>
  <c r="CB128" i="3"/>
  <c r="CC128" i="3"/>
  <c r="CD128" i="3"/>
  <c r="CE128" i="3"/>
  <c r="CF128" i="3"/>
  <c r="CG128" i="3"/>
  <c r="CH128" i="3"/>
  <c r="CI128" i="3"/>
  <c r="CJ128" i="3"/>
  <c r="CK128" i="3"/>
  <c r="CL128" i="3"/>
  <c r="CM128" i="3"/>
  <c r="CN128" i="3"/>
  <c r="CO128" i="3"/>
  <c r="CP128" i="3"/>
  <c r="CQ128" i="3"/>
  <c r="CR128" i="3"/>
  <c r="CS128" i="3"/>
  <c r="CT128" i="3"/>
  <c r="CU128" i="3"/>
  <c r="CV128" i="3"/>
  <c r="CW128" i="3"/>
  <c r="CX128" i="3"/>
  <c r="CY128" i="3"/>
  <c r="CZ128" i="3"/>
  <c r="DA128" i="3"/>
  <c r="DB128" i="3"/>
  <c r="DC128" i="3"/>
  <c r="DD128" i="3"/>
  <c r="DE128" i="3"/>
  <c r="DF128" i="3"/>
  <c r="DG128" i="3"/>
  <c r="DH128" i="3"/>
  <c r="DI128" i="3"/>
  <c r="DJ128" i="3"/>
  <c r="DK128" i="3"/>
  <c r="DL128" i="3"/>
  <c r="DM128" i="3"/>
  <c r="DN128" i="3"/>
  <c r="DO128" i="3"/>
  <c r="DP128" i="3"/>
  <c r="DQ128" i="3"/>
  <c r="DR128" i="3"/>
  <c r="DS128" i="3"/>
  <c r="DT128" i="3"/>
  <c r="DU128" i="3"/>
  <c r="DV128" i="3"/>
  <c r="DW128" i="3"/>
  <c r="DX128" i="3"/>
  <c r="DY128" i="3"/>
  <c r="DZ128" i="3"/>
  <c r="EA128" i="3"/>
  <c r="EB128" i="3"/>
  <c r="EC128" i="3"/>
  <c r="ED128" i="3"/>
  <c r="EE128" i="3"/>
  <c r="EF128" i="3"/>
  <c r="EG128" i="3"/>
  <c r="EH128" i="3"/>
  <c r="EI128" i="3"/>
  <c r="EJ128" i="3"/>
  <c r="EK128" i="3"/>
  <c r="EL128" i="3"/>
  <c r="EM128" i="3"/>
  <c r="EN128" i="3"/>
  <c r="EO128" i="3"/>
  <c r="EP128" i="3"/>
  <c r="EQ128" i="3"/>
  <c r="ER128" i="3"/>
  <c r="ES128" i="3"/>
  <c r="ET128" i="3"/>
  <c r="EU128" i="3"/>
  <c r="EV128" i="3"/>
  <c r="EW128" i="3"/>
  <c r="EX128" i="3"/>
  <c r="EY128" i="3"/>
  <c r="EZ128" i="3"/>
  <c r="FA128" i="3"/>
  <c r="FB128" i="3"/>
  <c r="FC128" i="3"/>
  <c r="FD128" i="3"/>
  <c r="FE128" i="3"/>
  <c r="FF128" i="3"/>
  <c r="FG128" i="3"/>
  <c r="FH128" i="3"/>
  <c r="FI128" i="3"/>
  <c r="FJ128" i="3"/>
  <c r="FK128" i="3"/>
  <c r="FL128" i="3"/>
  <c r="FM128" i="3"/>
  <c r="FN128" i="3"/>
  <c r="FO128" i="3"/>
  <c r="FP128" i="3"/>
  <c r="FQ128" i="3"/>
  <c r="FR128" i="3"/>
  <c r="FS128" i="3"/>
  <c r="FT128" i="3"/>
  <c r="FU128" i="3"/>
  <c r="FV128" i="3"/>
  <c r="FW128" i="3"/>
  <c r="FX128" i="3"/>
  <c r="FY128" i="3"/>
  <c r="FZ128" i="3"/>
  <c r="GA128" i="3"/>
  <c r="GB128" i="3"/>
  <c r="GC128" i="3"/>
  <c r="GD128" i="3"/>
  <c r="GE128" i="3"/>
  <c r="GF128" i="3"/>
  <c r="GG128" i="3"/>
  <c r="GH128" i="3"/>
  <c r="GI128" i="3"/>
  <c r="GJ128" i="3"/>
  <c r="GK128" i="3"/>
  <c r="GL128" i="3"/>
  <c r="GM128" i="3"/>
  <c r="GN128" i="3"/>
  <c r="GO128" i="3"/>
  <c r="GP128" i="3"/>
  <c r="GQ128" i="3"/>
  <c r="GR128" i="3"/>
  <c r="GS128" i="3"/>
  <c r="GT128" i="3"/>
  <c r="GU128" i="3"/>
  <c r="GV128" i="3"/>
  <c r="GW128" i="3"/>
  <c r="GX128" i="3"/>
  <c r="GY128" i="3"/>
  <c r="GZ128" i="3"/>
  <c r="HA128" i="3"/>
  <c r="HB128" i="3"/>
  <c r="HC128" i="3"/>
  <c r="HD128" i="3"/>
  <c r="HE128" i="3"/>
  <c r="HF128" i="3"/>
  <c r="HG128" i="3"/>
  <c r="HH128" i="3"/>
  <c r="HI128" i="3"/>
  <c r="HJ128" i="3"/>
  <c r="HK128" i="3"/>
  <c r="HL128" i="3"/>
  <c r="HM128" i="3"/>
  <c r="HN128" i="3"/>
  <c r="HO128" i="3"/>
  <c r="HP128" i="3"/>
  <c r="HQ128" i="3"/>
  <c r="HR128" i="3"/>
  <c r="HS128" i="3"/>
  <c r="HT128" i="3"/>
  <c r="HU128" i="3"/>
  <c r="HV128" i="3"/>
  <c r="HW128" i="3"/>
  <c r="HX128" i="3"/>
  <c r="HY128" i="3"/>
  <c r="HZ128" i="3"/>
  <c r="IA128" i="3"/>
  <c r="IB128" i="3"/>
  <c r="IC128" i="3"/>
  <c r="ID128" i="3"/>
  <c r="IE128" i="3"/>
  <c r="IF128" i="3"/>
  <c r="IG128" i="3"/>
  <c r="IH128" i="3"/>
  <c r="II128" i="3"/>
  <c r="IJ128" i="3"/>
  <c r="IK128" i="3"/>
  <c r="IL128" i="3"/>
  <c r="IM128" i="3"/>
  <c r="IN128" i="3"/>
  <c r="IO128" i="3"/>
  <c r="IP128" i="3"/>
  <c r="IQ128" i="3"/>
  <c r="IR128" i="3"/>
  <c r="IS128" i="3"/>
  <c r="IT128" i="3"/>
  <c r="IU128" i="3"/>
  <c r="IV128" i="3"/>
  <c r="A127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AC127" i="3"/>
  <c r="AD127" i="3"/>
  <c r="AE127" i="3"/>
  <c r="AF127" i="3"/>
  <c r="AG127" i="3"/>
  <c r="AH127" i="3"/>
  <c r="AI127" i="3"/>
  <c r="AJ127" i="3"/>
  <c r="AK127" i="3"/>
  <c r="AL127" i="3"/>
  <c r="AM127" i="3"/>
  <c r="AN127" i="3"/>
  <c r="AO127" i="3"/>
  <c r="AP127" i="3"/>
  <c r="AQ127" i="3"/>
  <c r="AR127" i="3"/>
  <c r="AS127" i="3"/>
  <c r="AT127" i="3"/>
  <c r="AU127" i="3"/>
  <c r="AV127" i="3"/>
  <c r="AW127" i="3"/>
  <c r="AX127" i="3"/>
  <c r="AY127" i="3"/>
  <c r="AZ127" i="3"/>
  <c r="BA127" i="3"/>
  <c r="BB127" i="3"/>
  <c r="BC127" i="3"/>
  <c r="BD127" i="3"/>
  <c r="BE127" i="3"/>
  <c r="BF127" i="3"/>
  <c r="BG127" i="3"/>
  <c r="BH127" i="3"/>
  <c r="BI127" i="3"/>
  <c r="BJ127" i="3"/>
  <c r="BK127" i="3"/>
  <c r="BL127" i="3"/>
  <c r="BM127" i="3"/>
  <c r="BN127" i="3"/>
  <c r="BO127" i="3"/>
  <c r="BP127" i="3"/>
  <c r="BQ127" i="3"/>
  <c r="BR127" i="3"/>
  <c r="BS127" i="3"/>
  <c r="BT127" i="3"/>
  <c r="BU127" i="3"/>
  <c r="BV127" i="3"/>
  <c r="BW127" i="3"/>
  <c r="BX127" i="3"/>
  <c r="BY127" i="3"/>
  <c r="BZ127" i="3"/>
  <c r="CA127" i="3"/>
  <c r="CB127" i="3"/>
  <c r="CC127" i="3"/>
  <c r="CD127" i="3"/>
  <c r="CE127" i="3"/>
  <c r="CF127" i="3"/>
  <c r="CG127" i="3"/>
  <c r="CH127" i="3"/>
  <c r="CI127" i="3"/>
  <c r="CJ127" i="3"/>
  <c r="CK127" i="3"/>
  <c r="CL127" i="3"/>
  <c r="CM127" i="3"/>
  <c r="CN127" i="3"/>
  <c r="CO127" i="3"/>
  <c r="CP127" i="3"/>
  <c r="CQ127" i="3"/>
  <c r="CR127" i="3"/>
  <c r="CS127" i="3"/>
  <c r="CT127" i="3"/>
  <c r="CU127" i="3"/>
  <c r="CV127" i="3"/>
  <c r="CW127" i="3"/>
  <c r="CX127" i="3"/>
  <c r="CY127" i="3"/>
  <c r="CZ127" i="3"/>
  <c r="DA127" i="3"/>
  <c r="DB127" i="3"/>
  <c r="DC127" i="3"/>
  <c r="DD127" i="3"/>
  <c r="DE127" i="3"/>
  <c r="DF127" i="3"/>
  <c r="DG127" i="3"/>
  <c r="DH127" i="3"/>
  <c r="DI127" i="3"/>
  <c r="DJ127" i="3"/>
  <c r="DK127" i="3"/>
  <c r="DL127" i="3"/>
  <c r="DM127" i="3"/>
  <c r="DN127" i="3"/>
  <c r="DO127" i="3"/>
  <c r="DP127" i="3"/>
  <c r="DQ127" i="3"/>
  <c r="DR127" i="3"/>
  <c r="DS127" i="3"/>
  <c r="DT127" i="3"/>
  <c r="DU127" i="3"/>
  <c r="DV127" i="3"/>
  <c r="DW127" i="3"/>
  <c r="DX127" i="3"/>
  <c r="DY127" i="3"/>
  <c r="DZ127" i="3"/>
  <c r="EA127" i="3"/>
  <c r="EB127" i="3"/>
  <c r="EC127" i="3"/>
  <c r="ED127" i="3"/>
  <c r="EE127" i="3"/>
  <c r="EF127" i="3"/>
  <c r="EG127" i="3"/>
  <c r="EH127" i="3"/>
  <c r="EI127" i="3"/>
  <c r="EJ127" i="3"/>
  <c r="EK127" i="3"/>
  <c r="EL127" i="3"/>
  <c r="EM127" i="3"/>
  <c r="EN127" i="3"/>
  <c r="EO127" i="3"/>
  <c r="EP127" i="3"/>
  <c r="EQ127" i="3"/>
  <c r="ER127" i="3"/>
  <c r="ES127" i="3"/>
  <c r="ET127" i="3"/>
  <c r="EU127" i="3"/>
  <c r="EV127" i="3"/>
  <c r="EW127" i="3"/>
  <c r="EX127" i="3"/>
  <c r="EY127" i="3"/>
  <c r="EZ127" i="3"/>
  <c r="FA127" i="3"/>
  <c r="FB127" i="3"/>
  <c r="FC127" i="3"/>
  <c r="FD127" i="3"/>
  <c r="FE127" i="3"/>
  <c r="FF127" i="3"/>
  <c r="FG127" i="3"/>
  <c r="FH127" i="3"/>
  <c r="FI127" i="3"/>
  <c r="FJ127" i="3"/>
  <c r="FK127" i="3"/>
  <c r="FL127" i="3"/>
  <c r="FM127" i="3"/>
  <c r="FN127" i="3"/>
  <c r="FO127" i="3"/>
  <c r="FP127" i="3"/>
  <c r="FQ127" i="3"/>
  <c r="FR127" i="3"/>
  <c r="FS127" i="3"/>
  <c r="FT127" i="3"/>
  <c r="FU127" i="3"/>
  <c r="FV127" i="3"/>
  <c r="FW127" i="3"/>
  <c r="FX127" i="3"/>
  <c r="FY127" i="3"/>
  <c r="FZ127" i="3"/>
  <c r="GA127" i="3"/>
  <c r="GB127" i="3"/>
  <c r="GC127" i="3"/>
  <c r="GD127" i="3"/>
  <c r="GE127" i="3"/>
  <c r="GF127" i="3"/>
  <c r="GG127" i="3"/>
  <c r="GH127" i="3"/>
  <c r="GI127" i="3"/>
  <c r="GJ127" i="3"/>
  <c r="GK127" i="3"/>
  <c r="GL127" i="3"/>
  <c r="GM127" i="3"/>
  <c r="GN127" i="3"/>
  <c r="GO127" i="3"/>
  <c r="GP127" i="3"/>
  <c r="GQ127" i="3"/>
  <c r="GR127" i="3"/>
  <c r="GS127" i="3"/>
  <c r="GT127" i="3"/>
  <c r="GU127" i="3"/>
  <c r="GV127" i="3"/>
  <c r="GW127" i="3"/>
  <c r="GX127" i="3"/>
  <c r="GY127" i="3"/>
  <c r="GZ127" i="3"/>
  <c r="HA127" i="3"/>
  <c r="HB127" i="3"/>
  <c r="HC127" i="3"/>
  <c r="HD127" i="3"/>
  <c r="HE127" i="3"/>
  <c r="HF127" i="3"/>
  <c r="HG127" i="3"/>
  <c r="HH127" i="3"/>
  <c r="HI127" i="3"/>
  <c r="HJ127" i="3"/>
  <c r="HK127" i="3"/>
  <c r="HL127" i="3"/>
  <c r="HM127" i="3"/>
  <c r="HN127" i="3"/>
  <c r="HO127" i="3"/>
  <c r="HP127" i="3"/>
  <c r="HQ127" i="3"/>
  <c r="HR127" i="3"/>
  <c r="HS127" i="3"/>
  <c r="HT127" i="3"/>
  <c r="HU127" i="3"/>
  <c r="HV127" i="3"/>
  <c r="HW127" i="3"/>
  <c r="HX127" i="3"/>
  <c r="HY127" i="3"/>
  <c r="HZ127" i="3"/>
  <c r="IA127" i="3"/>
  <c r="IB127" i="3"/>
  <c r="IC127" i="3"/>
  <c r="ID127" i="3"/>
  <c r="IE127" i="3"/>
  <c r="IF127" i="3"/>
  <c r="IG127" i="3"/>
  <c r="IH127" i="3"/>
  <c r="II127" i="3"/>
  <c r="IJ127" i="3"/>
  <c r="IK127" i="3"/>
  <c r="IL127" i="3"/>
  <c r="IM127" i="3"/>
  <c r="IN127" i="3"/>
  <c r="IO127" i="3"/>
  <c r="IP127" i="3"/>
  <c r="IQ127" i="3"/>
  <c r="IR127" i="3"/>
  <c r="IS127" i="3"/>
  <c r="IT127" i="3"/>
  <c r="IU127" i="3"/>
  <c r="IV127" i="3"/>
  <c r="A126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AE126" i="3"/>
  <c r="AF126" i="3"/>
  <c r="AG126" i="3"/>
  <c r="AH126" i="3"/>
  <c r="AI126" i="3"/>
  <c r="AJ126" i="3"/>
  <c r="AK126" i="3"/>
  <c r="AL126" i="3"/>
  <c r="AM126" i="3"/>
  <c r="AN126" i="3"/>
  <c r="AO126" i="3"/>
  <c r="AP126" i="3"/>
  <c r="AQ126" i="3"/>
  <c r="AR126" i="3"/>
  <c r="AS126" i="3"/>
  <c r="AT126" i="3"/>
  <c r="AU126" i="3"/>
  <c r="AV126" i="3"/>
  <c r="AW126" i="3"/>
  <c r="AX126" i="3"/>
  <c r="AY126" i="3"/>
  <c r="AZ126" i="3"/>
  <c r="BA126" i="3"/>
  <c r="BB126" i="3"/>
  <c r="BC126" i="3"/>
  <c r="BD126" i="3"/>
  <c r="BE126" i="3"/>
  <c r="BF126" i="3"/>
  <c r="BG126" i="3"/>
  <c r="BH126" i="3"/>
  <c r="BI126" i="3"/>
  <c r="BJ126" i="3"/>
  <c r="BK126" i="3"/>
  <c r="BL126" i="3"/>
  <c r="BM126" i="3"/>
  <c r="BN126" i="3"/>
  <c r="BO126" i="3"/>
  <c r="BP126" i="3"/>
  <c r="BQ126" i="3"/>
  <c r="BR126" i="3"/>
  <c r="BS126" i="3"/>
  <c r="BT126" i="3"/>
  <c r="BU126" i="3"/>
  <c r="BV126" i="3"/>
  <c r="BW126" i="3"/>
  <c r="BX126" i="3"/>
  <c r="BY126" i="3"/>
  <c r="BZ126" i="3"/>
  <c r="CA126" i="3"/>
  <c r="CB126" i="3"/>
  <c r="CC126" i="3"/>
  <c r="CD126" i="3"/>
  <c r="CE126" i="3"/>
  <c r="CF126" i="3"/>
  <c r="CG126" i="3"/>
  <c r="CH126" i="3"/>
  <c r="CI126" i="3"/>
  <c r="CJ126" i="3"/>
  <c r="CK126" i="3"/>
  <c r="CL126" i="3"/>
  <c r="CM126" i="3"/>
  <c r="CN126" i="3"/>
  <c r="CO126" i="3"/>
  <c r="CP126" i="3"/>
  <c r="CQ126" i="3"/>
  <c r="CR126" i="3"/>
  <c r="CS126" i="3"/>
  <c r="CT126" i="3"/>
  <c r="CU126" i="3"/>
  <c r="CV126" i="3"/>
  <c r="CW126" i="3"/>
  <c r="CX126" i="3"/>
  <c r="CY126" i="3"/>
  <c r="CZ126" i="3"/>
  <c r="DA126" i="3"/>
  <c r="DB126" i="3"/>
  <c r="DC126" i="3"/>
  <c r="DD126" i="3"/>
  <c r="DE126" i="3"/>
  <c r="DF126" i="3"/>
  <c r="DG126" i="3"/>
  <c r="DH126" i="3"/>
  <c r="DI126" i="3"/>
  <c r="DJ126" i="3"/>
  <c r="DK126" i="3"/>
  <c r="DL126" i="3"/>
  <c r="DM126" i="3"/>
  <c r="DN126" i="3"/>
  <c r="DO126" i="3"/>
  <c r="DP126" i="3"/>
  <c r="DQ126" i="3"/>
  <c r="DR126" i="3"/>
  <c r="DS126" i="3"/>
  <c r="DT126" i="3"/>
  <c r="DU126" i="3"/>
  <c r="DV126" i="3"/>
  <c r="DW126" i="3"/>
  <c r="DX126" i="3"/>
  <c r="DY126" i="3"/>
  <c r="DZ126" i="3"/>
  <c r="EA126" i="3"/>
  <c r="EB126" i="3"/>
  <c r="EC126" i="3"/>
  <c r="ED126" i="3"/>
  <c r="EE126" i="3"/>
  <c r="EF126" i="3"/>
  <c r="EG126" i="3"/>
  <c r="EH126" i="3"/>
  <c r="EI126" i="3"/>
  <c r="EJ126" i="3"/>
  <c r="EK126" i="3"/>
  <c r="EL126" i="3"/>
  <c r="EM126" i="3"/>
  <c r="EN126" i="3"/>
  <c r="EO126" i="3"/>
  <c r="EP126" i="3"/>
  <c r="EQ126" i="3"/>
  <c r="ER126" i="3"/>
  <c r="ES126" i="3"/>
  <c r="ET126" i="3"/>
  <c r="EU126" i="3"/>
  <c r="EV126" i="3"/>
  <c r="EW126" i="3"/>
  <c r="EX126" i="3"/>
  <c r="EY126" i="3"/>
  <c r="EZ126" i="3"/>
  <c r="FA126" i="3"/>
  <c r="FB126" i="3"/>
  <c r="FC126" i="3"/>
  <c r="FD126" i="3"/>
  <c r="FE126" i="3"/>
  <c r="FF126" i="3"/>
  <c r="FG126" i="3"/>
  <c r="FH126" i="3"/>
  <c r="FI126" i="3"/>
  <c r="FJ126" i="3"/>
  <c r="FK126" i="3"/>
  <c r="FL126" i="3"/>
  <c r="FM126" i="3"/>
  <c r="FN126" i="3"/>
  <c r="FO126" i="3"/>
  <c r="FP126" i="3"/>
  <c r="FQ126" i="3"/>
  <c r="FR126" i="3"/>
  <c r="FS126" i="3"/>
  <c r="FT126" i="3"/>
  <c r="FU126" i="3"/>
  <c r="FV126" i="3"/>
  <c r="FW126" i="3"/>
  <c r="FX126" i="3"/>
  <c r="FY126" i="3"/>
  <c r="FZ126" i="3"/>
  <c r="GA126" i="3"/>
  <c r="GB126" i="3"/>
  <c r="GC126" i="3"/>
  <c r="GD126" i="3"/>
  <c r="GE126" i="3"/>
  <c r="GF126" i="3"/>
  <c r="GG126" i="3"/>
  <c r="GH126" i="3"/>
  <c r="GI126" i="3"/>
  <c r="GJ126" i="3"/>
  <c r="GK126" i="3"/>
  <c r="GL126" i="3"/>
  <c r="GM126" i="3"/>
  <c r="GN126" i="3"/>
  <c r="GO126" i="3"/>
  <c r="GP126" i="3"/>
  <c r="GQ126" i="3"/>
  <c r="GR126" i="3"/>
  <c r="GS126" i="3"/>
  <c r="GT126" i="3"/>
  <c r="GU126" i="3"/>
  <c r="GV126" i="3"/>
  <c r="GW126" i="3"/>
  <c r="GX126" i="3"/>
  <c r="GY126" i="3"/>
  <c r="GZ126" i="3"/>
  <c r="HA126" i="3"/>
  <c r="HB126" i="3"/>
  <c r="HC126" i="3"/>
  <c r="HD126" i="3"/>
  <c r="HE126" i="3"/>
  <c r="HF126" i="3"/>
  <c r="HG126" i="3"/>
  <c r="HH126" i="3"/>
  <c r="HI126" i="3"/>
  <c r="HJ126" i="3"/>
  <c r="HK126" i="3"/>
  <c r="HL126" i="3"/>
  <c r="HM126" i="3"/>
  <c r="HN126" i="3"/>
  <c r="HO126" i="3"/>
  <c r="HP126" i="3"/>
  <c r="HQ126" i="3"/>
  <c r="HR126" i="3"/>
  <c r="HS126" i="3"/>
  <c r="HT126" i="3"/>
  <c r="HU126" i="3"/>
  <c r="HV126" i="3"/>
  <c r="HW126" i="3"/>
  <c r="HX126" i="3"/>
  <c r="HY126" i="3"/>
  <c r="HZ126" i="3"/>
  <c r="IA126" i="3"/>
  <c r="IB126" i="3"/>
  <c r="IC126" i="3"/>
  <c r="ID126" i="3"/>
  <c r="IE126" i="3"/>
  <c r="IF126" i="3"/>
  <c r="IG126" i="3"/>
  <c r="IH126" i="3"/>
  <c r="II126" i="3"/>
  <c r="IJ126" i="3"/>
  <c r="IK126" i="3"/>
  <c r="IL126" i="3"/>
  <c r="IM126" i="3"/>
  <c r="IN126" i="3"/>
  <c r="IO126" i="3"/>
  <c r="IP126" i="3"/>
  <c r="IQ126" i="3"/>
  <c r="IR126" i="3"/>
  <c r="IS126" i="3"/>
  <c r="IT126" i="3"/>
  <c r="IU126" i="3"/>
  <c r="IV126" i="3"/>
  <c r="A125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AH125" i="3"/>
  <c r="AI125" i="3"/>
  <c r="AJ125" i="3"/>
  <c r="AK125" i="3"/>
  <c r="AL125" i="3"/>
  <c r="AM125" i="3"/>
  <c r="AN125" i="3"/>
  <c r="AO125" i="3"/>
  <c r="AP125" i="3"/>
  <c r="AQ125" i="3"/>
  <c r="AR125" i="3"/>
  <c r="AS125" i="3"/>
  <c r="AT125" i="3"/>
  <c r="AU125" i="3"/>
  <c r="AV125" i="3"/>
  <c r="AW125" i="3"/>
  <c r="AX125" i="3"/>
  <c r="AY125" i="3"/>
  <c r="AZ125" i="3"/>
  <c r="BA125" i="3"/>
  <c r="BB125" i="3"/>
  <c r="BC125" i="3"/>
  <c r="BD125" i="3"/>
  <c r="BE125" i="3"/>
  <c r="BF125" i="3"/>
  <c r="BG125" i="3"/>
  <c r="BH125" i="3"/>
  <c r="BI125" i="3"/>
  <c r="BJ125" i="3"/>
  <c r="BK125" i="3"/>
  <c r="BL125" i="3"/>
  <c r="BM125" i="3"/>
  <c r="BN125" i="3"/>
  <c r="BO125" i="3"/>
  <c r="BP125" i="3"/>
  <c r="BQ125" i="3"/>
  <c r="BR125" i="3"/>
  <c r="BS125" i="3"/>
  <c r="BT125" i="3"/>
  <c r="BU125" i="3"/>
  <c r="BV125" i="3"/>
  <c r="BW125" i="3"/>
  <c r="BX125" i="3"/>
  <c r="BY125" i="3"/>
  <c r="BZ125" i="3"/>
  <c r="CA125" i="3"/>
  <c r="CB125" i="3"/>
  <c r="CC125" i="3"/>
  <c r="CD125" i="3"/>
  <c r="CE125" i="3"/>
  <c r="CF125" i="3"/>
  <c r="CG125" i="3"/>
  <c r="CH125" i="3"/>
  <c r="CI125" i="3"/>
  <c r="CJ125" i="3"/>
  <c r="CK125" i="3"/>
  <c r="CL125" i="3"/>
  <c r="CM125" i="3"/>
  <c r="CN125" i="3"/>
  <c r="CO125" i="3"/>
  <c r="CP125" i="3"/>
  <c r="CQ125" i="3"/>
  <c r="CR125" i="3"/>
  <c r="CS125" i="3"/>
  <c r="CT125" i="3"/>
  <c r="CU125" i="3"/>
  <c r="CV125" i="3"/>
  <c r="CW125" i="3"/>
  <c r="CX125" i="3"/>
  <c r="CY125" i="3"/>
  <c r="CZ125" i="3"/>
  <c r="DA125" i="3"/>
  <c r="DB125" i="3"/>
  <c r="DC125" i="3"/>
  <c r="DD125" i="3"/>
  <c r="DE125" i="3"/>
  <c r="DF125" i="3"/>
  <c r="DG125" i="3"/>
  <c r="DH125" i="3"/>
  <c r="DI125" i="3"/>
  <c r="DJ125" i="3"/>
  <c r="DK125" i="3"/>
  <c r="DL125" i="3"/>
  <c r="DM125" i="3"/>
  <c r="DN125" i="3"/>
  <c r="DO125" i="3"/>
  <c r="DP125" i="3"/>
  <c r="DQ125" i="3"/>
  <c r="DR125" i="3"/>
  <c r="DS125" i="3"/>
  <c r="DT125" i="3"/>
  <c r="DU125" i="3"/>
  <c r="DV125" i="3"/>
  <c r="DW125" i="3"/>
  <c r="DX125" i="3"/>
  <c r="DY125" i="3"/>
  <c r="DZ125" i="3"/>
  <c r="EA125" i="3"/>
  <c r="EB125" i="3"/>
  <c r="EC125" i="3"/>
  <c r="ED125" i="3"/>
  <c r="EE125" i="3"/>
  <c r="EF125" i="3"/>
  <c r="EG125" i="3"/>
  <c r="EH125" i="3"/>
  <c r="EI125" i="3"/>
  <c r="EJ125" i="3"/>
  <c r="EK125" i="3"/>
  <c r="EL125" i="3"/>
  <c r="EM125" i="3"/>
  <c r="EN125" i="3"/>
  <c r="EO125" i="3"/>
  <c r="EP125" i="3"/>
  <c r="EQ125" i="3"/>
  <c r="ER125" i="3"/>
  <c r="ES125" i="3"/>
  <c r="ET125" i="3"/>
  <c r="EU125" i="3"/>
  <c r="EV125" i="3"/>
  <c r="EW125" i="3"/>
  <c r="EX125" i="3"/>
  <c r="EY125" i="3"/>
  <c r="EZ125" i="3"/>
  <c r="FA125" i="3"/>
  <c r="FB125" i="3"/>
  <c r="FC125" i="3"/>
  <c r="FD125" i="3"/>
  <c r="FE125" i="3"/>
  <c r="FF125" i="3"/>
  <c r="FG125" i="3"/>
  <c r="FH125" i="3"/>
  <c r="FI125" i="3"/>
  <c r="FJ125" i="3"/>
  <c r="FK125" i="3"/>
  <c r="FL125" i="3"/>
  <c r="FM125" i="3"/>
  <c r="FN125" i="3"/>
  <c r="FO125" i="3"/>
  <c r="FP125" i="3"/>
  <c r="FQ125" i="3"/>
  <c r="FR125" i="3"/>
  <c r="FS125" i="3"/>
  <c r="FT125" i="3"/>
  <c r="FU125" i="3"/>
  <c r="FV125" i="3"/>
  <c r="FW125" i="3"/>
  <c r="FX125" i="3"/>
  <c r="FY125" i="3"/>
  <c r="FZ125" i="3"/>
  <c r="GA125" i="3"/>
  <c r="GB125" i="3"/>
  <c r="GC125" i="3"/>
  <c r="GD125" i="3"/>
  <c r="GE125" i="3"/>
  <c r="GF125" i="3"/>
  <c r="GG125" i="3"/>
  <c r="GH125" i="3"/>
  <c r="GI125" i="3"/>
  <c r="GJ125" i="3"/>
  <c r="GK125" i="3"/>
  <c r="GL125" i="3"/>
  <c r="GM125" i="3"/>
  <c r="GN125" i="3"/>
  <c r="GO125" i="3"/>
  <c r="GP125" i="3"/>
  <c r="GQ125" i="3"/>
  <c r="GR125" i="3"/>
  <c r="GS125" i="3"/>
  <c r="GT125" i="3"/>
  <c r="GU125" i="3"/>
  <c r="GV125" i="3"/>
  <c r="GW125" i="3"/>
  <c r="GX125" i="3"/>
  <c r="GY125" i="3"/>
  <c r="GZ125" i="3"/>
  <c r="HA125" i="3"/>
  <c r="HB125" i="3"/>
  <c r="HC125" i="3"/>
  <c r="HD125" i="3"/>
  <c r="HE125" i="3"/>
  <c r="HF125" i="3"/>
  <c r="HG125" i="3"/>
  <c r="HH125" i="3"/>
  <c r="HI125" i="3"/>
  <c r="HJ125" i="3"/>
  <c r="HK125" i="3"/>
  <c r="HL125" i="3"/>
  <c r="HM125" i="3"/>
  <c r="HN125" i="3"/>
  <c r="HO125" i="3"/>
  <c r="HP125" i="3"/>
  <c r="HQ125" i="3"/>
  <c r="HR125" i="3"/>
  <c r="HS125" i="3"/>
  <c r="HT125" i="3"/>
  <c r="HU125" i="3"/>
  <c r="HV125" i="3"/>
  <c r="HW125" i="3"/>
  <c r="HX125" i="3"/>
  <c r="HY125" i="3"/>
  <c r="HZ125" i="3"/>
  <c r="IA125" i="3"/>
  <c r="IB125" i="3"/>
  <c r="IC125" i="3"/>
  <c r="ID125" i="3"/>
  <c r="IE125" i="3"/>
  <c r="IF125" i="3"/>
  <c r="IG125" i="3"/>
  <c r="IH125" i="3"/>
  <c r="II125" i="3"/>
  <c r="IJ125" i="3"/>
  <c r="IK125" i="3"/>
  <c r="IL125" i="3"/>
  <c r="IM125" i="3"/>
  <c r="IN125" i="3"/>
  <c r="IO125" i="3"/>
  <c r="IP125" i="3"/>
  <c r="IQ125" i="3"/>
  <c r="IR125" i="3"/>
  <c r="IS125" i="3"/>
  <c r="IT125" i="3"/>
  <c r="IU125" i="3"/>
  <c r="IV125" i="3"/>
  <c r="A124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AB124" i="3"/>
  <c r="AC124" i="3"/>
  <c r="AD124" i="3"/>
  <c r="AE124" i="3"/>
  <c r="AF124" i="3"/>
  <c r="AG124" i="3"/>
  <c r="AH124" i="3"/>
  <c r="AI124" i="3"/>
  <c r="AJ124" i="3"/>
  <c r="AK124" i="3"/>
  <c r="AL124" i="3"/>
  <c r="AM124" i="3"/>
  <c r="AN124" i="3"/>
  <c r="AO124" i="3"/>
  <c r="AP124" i="3"/>
  <c r="AQ124" i="3"/>
  <c r="AR124" i="3"/>
  <c r="AS124" i="3"/>
  <c r="AT124" i="3"/>
  <c r="AU124" i="3"/>
  <c r="AV124" i="3"/>
  <c r="AW124" i="3"/>
  <c r="AX124" i="3"/>
  <c r="AY124" i="3"/>
  <c r="AZ124" i="3"/>
  <c r="BA124" i="3"/>
  <c r="BB124" i="3"/>
  <c r="BC124" i="3"/>
  <c r="BD124" i="3"/>
  <c r="BE124" i="3"/>
  <c r="BF124" i="3"/>
  <c r="BG124" i="3"/>
  <c r="BH124" i="3"/>
  <c r="BI124" i="3"/>
  <c r="BJ124" i="3"/>
  <c r="BK124" i="3"/>
  <c r="BL124" i="3"/>
  <c r="BM124" i="3"/>
  <c r="BN124" i="3"/>
  <c r="BO124" i="3"/>
  <c r="BP124" i="3"/>
  <c r="BQ124" i="3"/>
  <c r="BR124" i="3"/>
  <c r="BS124" i="3"/>
  <c r="BT124" i="3"/>
  <c r="BU124" i="3"/>
  <c r="BV124" i="3"/>
  <c r="BW124" i="3"/>
  <c r="BX124" i="3"/>
  <c r="BY124" i="3"/>
  <c r="BZ124" i="3"/>
  <c r="CA124" i="3"/>
  <c r="CB124" i="3"/>
  <c r="CC124" i="3"/>
  <c r="CD124" i="3"/>
  <c r="CE124" i="3"/>
  <c r="CF124" i="3"/>
  <c r="CG124" i="3"/>
  <c r="CH124" i="3"/>
  <c r="CI124" i="3"/>
  <c r="CJ124" i="3"/>
  <c r="CK124" i="3"/>
  <c r="CL124" i="3"/>
  <c r="CM124" i="3"/>
  <c r="CN124" i="3"/>
  <c r="CO124" i="3"/>
  <c r="CP124" i="3"/>
  <c r="CQ124" i="3"/>
  <c r="CR124" i="3"/>
  <c r="CS124" i="3"/>
  <c r="CT124" i="3"/>
  <c r="CU124" i="3"/>
  <c r="CV124" i="3"/>
  <c r="CW124" i="3"/>
  <c r="CX124" i="3"/>
  <c r="CY124" i="3"/>
  <c r="CZ124" i="3"/>
  <c r="DA124" i="3"/>
  <c r="DB124" i="3"/>
  <c r="DC124" i="3"/>
  <c r="DD124" i="3"/>
  <c r="DE124" i="3"/>
  <c r="DF124" i="3"/>
  <c r="DG124" i="3"/>
  <c r="DH124" i="3"/>
  <c r="DI124" i="3"/>
  <c r="DJ124" i="3"/>
  <c r="DK124" i="3"/>
  <c r="DL124" i="3"/>
  <c r="DM124" i="3"/>
  <c r="DN124" i="3"/>
  <c r="DO124" i="3"/>
  <c r="DP124" i="3"/>
  <c r="DQ124" i="3"/>
  <c r="DR124" i="3"/>
  <c r="DS124" i="3"/>
  <c r="DT124" i="3"/>
  <c r="DU124" i="3"/>
  <c r="DV124" i="3"/>
  <c r="DW124" i="3"/>
  <c r="DX124" i="3"/>
  <c r="DY124" i="3"/>
  <c r="DZ124" i="3"/>
  <c r="EA124" i="3"/>
  <c r="EB124" i="3"/>
  <c r="EC124" i="3"/>
  <c r="ED124" i="3"/>
  <c r="EE124" i="3"/>
  <c r="EF124" i="3"/>
  <c r="EG124" i="3"/>
  <c r="EH124" i="3"/>
  <c r="EI124" i="3"/>
  <c r="EJ124" i="3"/>
  <c r="EK124" i="3"/>
  <c r="EL124" i="3"/>
  <c r="EM124" i="3"/>
  <c r="EN124" i="3"/>
  <c r="EO124" i="3"/>
  <c r="EP124" i="3"/>
  <c r="EQ124" i="3"/>
  <c r="ER124" i="3"/>
  <c r="ES124" i="3"/>
  <c r="ET124" i="3"/>
  <c r="EU124" i="3"/>
  <c r="EV124" i="3"/>
  <c r="EW124" i="3"/>
  <c r="EX124" i="3"/>
  <c r="EY124" i="3"/>
  <c r="EZ124" i="3"/>
  <c r="FA124" i="3"/>
  <c r="FB124" i="3"/>
  <c r="FC124" i="3"/>
  <c r="FD124" i="3"/>
  <c r="FE124" i="3"/>
  <c r="FF124" i="3"/>
  <c r="FG124" i="3"/>
  <c r="FH124" i="3"/>
  <c r="FI124" i="3"/>
  <c r="FJ124" i="3"/>
  <c r="FK124" i="3"/>
  <c r="FL124" i="3"/>
  <c r="FM124" i="3"/>
  <c r="FN124" i="3"/>
  <c r="FO124" i="3"/>
  <c r="FP124" i="3"/>
  <c r="FQ124" i="3"/>
  <c r="FR124" i="3"/>
  <c r="FS124" i="3"/>
  <c r="FT124" i="3"/>
  <c r="FU124" i="3"/>
  <c r="FV124" i="3"/>
  <c r="FW124" i="3"/>
  <c r="FX124" i="3"/>
  <c r="FY124" i="3"/>
  <c r="FZ124" i="3"/>
  <c r="GA124" i="3"/>
  <c r="GB124" i="3"/>
  <c r="GC124" i="3"/>
  <c r="GD124" i="3"/>
  <c r="GE124" i="3"/>
  <c r="GF124" i="3"/>
  <c r="GG124" i="3"/>
  <c r="GH124" i="3"/>
  <c r="GI124" i="3"/>
  <c r="GJ124" i="3"/>
  <c r="GK124" i="3"/>
  <c r="GL124" i="3"/>
  <c r="GM124" i="3"/>
  <c r="GN124" i="3"/>
  <c r="GO124" i="3"/>
  <c r="GP124" i="3"/>
  <c r="GQ124" i="3"/>
  <c r="GR124" i="3"/>
  <c r="GS124" i="3"/>
  <c r="GT124" i="3"/>
  <c r="GU124" i="3"/>
  <c r="GV124" i="3"/>
  <c r="GW124" i="3"/>
  <c r="GX124" i="3"/>
  <c r="GY124" i="3"/>
  <c r="GZ124" i="3"/>
  <c r="HA124" i="3"/>
  <c r="HB124" i="3"/>
  <c r="HC124" i="3"/>
  <c r="HD124" i="3"/>
  <c r="HE124" i="3"/>
  <c r="HF124" i="3"/>
  <c r="HG124" i="3"/>
  <c r="HH124" i="3"/>
  <c r="HI124" i="3"/>
  <c r="HJ124" i="3"/>
  <c r="HK124" i="3"/>
  <c r="HL124" i="3"/>
  <c r="HM124" i="3"/>
  <c r="HN124" i="3"/>
  <c r="HO124" i="3"/>
  <c r="HP124" i="3"/>
  <c r="HQ124" i="3"/>
  <c r="HR124" i="3"/>
  <c r="HS124" i="3"/>
  <c r="HT124" i="3"/>
  <c r="HU124" i="3"/>
  <c r="HV124" i="3"/>
  <c r="HW124" i="3"/>
  <c r="HX124" i="3"/>
  <c r="HY124" i="3"/>
  <c r="HZ124" i="3"/>
  <c r="IA124" i="3"/>
  <c r="IB124" i="3"/>
  <c r="IC124" i="3"/>
  <c r="ID124" i="3"/>
  <c r="IE124" i="3"/>
  <c r="IF124" i="3"/>
  <c r="IG124" i="3"/>
  <c r="IH124" i="3"/>
  <c r="II124" i="3"/>
  <c r="IJ124" i="3"/>
  <c r="IK124" i="3"/>
  <c r="IL124" i="3"/>
  <c r="IM124" i="3"/>
  <c r="IN124" i="3"/>
  <c r="IO124" i="3"/>
  <c r="IP124" i="3"/>
  <c r="IQ124" i="3"/>
  <c r="IR124" i="3"/>
  <c r="IS124" i="3"/>
  <c r="IT124" i="3"/>
  <c r="IU124" i="3"/>
  <c r="IV124" i="3"/>
  <c r="A123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AE123" i="3"/>
  <c r="AF123" i="3"/>
  <c r="AG123" i="3"/>
  <c r="AH123" i="3"/>
  <c r="AI123" i="3"/>
  <c r="AJ123" i="3"/>
  <c r="AK123" i="3"/>
  <c r="AL123" i="3"/>
  <c r="AM123" i="3"/>
  <c r="AN123" i="3"/>
  <c r="AO123" i="3"/>
  <c r="AP123" i="3"/>
  <c r="AQ123" i="3"/>
  <c r="AR123" i="3"/>
  <c r="AS123" i="3"/>
  <c r="AT123" i="3"/>
  <c r="AU123" i="3"/>
  <c r="AV123" i="3"/>
  <c r="AW123" i="3"/>
  <c r="AX123" i="3"/>
  <c r="AY123" i="3"/>
  <c r="AZ123" i="3"/>
  <c r="BA123" i="3"/>
  <c r="BB123" i="3"/>
  <c r="BC123" i="3"/>
  <c r="BD123" i="3"/>
  <c r="BE123" i="3"/>
  <c r="BF123" i="3"/>
  <c r="BG123" i="3"/>
  <c r="BH123" i="3"/>
  <c r="BI123" i="3"/>
  <c r="BJ123" i="3"/>
  <c r="BK123" i="3"/>
  <c r="BL123" i="3"/>
  <c r="BM123" i="3"/>
  <c r="BN123" i="3"/>
  <c r="BO123" i="3"/>
  <c r="BP123" i="3"/>
  <c r="BQ123" i="3"/>
  <c r="BR123" i="3"/>
  <c r="BS123" i="3"/>
  <c r="BT123" i="3"/>
  <c r="BU123" i="3"/>
  <c r="BV123" i="3"/>
  <c r="BW123" i="3"/>
  <c r="BX123" i="3"/>
  <c r="BY123" i="3"/>
  <c r="BZ123" i="3"/>
  <c r="CA123" i="3"/>
  <c r="CB123" i="3"/>
  <c r="CC123" i="3"/>
  <c r="CD123" i="3"/>
  <c r="CE123" i="3"/>
  <c r="CF123" i="3"/>
  <c r="CG123" i="3"/>
  <c r="CH123" i="3"/>
  <c r="CI123" i="3"/>
  <c r="CJ123" i="3"/>
  <c r="CK123" i="3"/>
  <c r="CL123" i="3"/>
  <c r="CM123" i="3"/>
  <c r="CN123" i="3"/>
  <c r="CO123" i="3"/>
  <c r="CP123" i="3"/>
  <c r="CQ123" i="3"/>
  <c r="CR123" i="3"/>
  <c r="CS123" i="3"/>
  <c r="CT123" i="3"/>
  <c r="CU123" i="3"/>
  <c r="CV123" i="3"/>
  <c r="CW123" i="3"/>
  <c r="CX123" i="3"/>
  <c r="CY123" i="3"/>
  <c r="CZ123" i="3"/>
  <c r="DA123" i="3"/>
  <c r="DB123" i="3"/>
  <c r="DC123" i="3"/>
  <c r="DD123" i="3"/>
  <c r="DE123" i="3"/>
  <c r="DF123" i="3"/>
  <c r="DG123" i="3"/>
  <c r="DH123" i="3"/>
  <c r="DI123" i="3"/>
  <c r="DJ123" i="3"/>
  <c r="DK123" i="3"/>
  <c r="DL123" i="3"/>
  <c r="DM123" i="3"/>
  <c r="DN123" i="3"/>
  <c r="DO123" i="3"/>
  <c r="DP123" i="3"/>
  <c r="DQ123" i="3"/>
  <c r="DR123" i="3"/>
  <c r="DS123" i="3"/>
  <c r="DT123" i="3"/>
  <c r="DU123" i="3"/>
  <c r="DV123" i="3"/>
  <c r="DW123" i="3"/>
  <c r="DX123" i="3"/>
  <c r="DY123" i="3"/>
  <c r="DZ123" i="3"/>
  <c r="EA123" i="3"/>
  <c r="EB123" i="3"/>
  <c r="EC123" i="3"/>
  <c r="ED123" i="3"/>
  <c r="EE123" i="3"/>
  <c r="EF123" i="3"/>
  <c r="EG123" i="3"/>
  <c r="EH123" i="3"/>
  <c r="EI123" i="3"/>
  <c r="EJ123" i="3"/>
  <c r="EK123" i="3"/>
  <c r="EL123" i="3"/>
  <c r="EM123" i="3"/>
  <c r="EN123" i="3"/>
  <c r="EO123" i="3"/>
  <c r="EP123" i="3"/>
  <c r="EQ123" i="3"/>
  <c r="ER123" i="3"/>
  <c r="ES123" i="3"/>
  <c r="ET123" i="3"/>
  <c r="EU123" i="3"/>
  <c r="EV123" i="3"/>
  <c r="EW123" i="3"/>
  <c r="EX123" i="3"/>
  <c r="EY123" i="3"/>
  <c r="EZ123" i="3"/>
  <c r="FA123" i="3"/>
  <c r="FB123" i="3"/>
  <c r="FC123" i="3"/>
  <c r="FD123" i="3"/>
  <c r="FE123" i="3"/>
  <c r="FF123" i="3"/>
  <c r="FG123" i="3"/>
  <c r="FH123" i="3"/>
  <c r="FI123" i="3"/>
  <c r="FJ123" i="3"/>
  <c r="FK123" i="3"/>
  <c r="FL123" i="3"/>
  <c r="FM123" i="3"/>
  <c r="FN123" i="3"/>
  <c r="FO123" i="3"/>
  <c r="FP123" i="3"/>
  <c r="FQ123" i="3"/>
  <c r="FR123" i="3"/>
  <c r="FS123" i="3"/>
  <c r="FT123" i="3"/>
  <c r="FU123" i="3"/>
  <c r="FV123" i="3"/>
  <c r="FW123" i="3"/>
  <c r="FX123" i="3"/>
  <c r="FY123" i="3"/>
  <c r="FZ123" i="3"/>
  <c r="GA123" i="3"/>
  <c r="GB123" i="3"/>
  <c r="GC123" i="3"/>
  <c r="GD123" i="3"/>
  <c r="GE123" i="3"/>
  <c r="GF123" i="3"/>
  <c r="GG123" i="3"/>
  <c r="GH123" i="3"/>
  <c r="GI123" i="3"/>
  <c r="GJ123" i="3"/>
  <c r="GK123" i="3"/>
  <c r="GL123" i="3"/>
  <c r="GM123" i="3"/>
  <c r="GN123" i="3"/>
  <c r="GO123" i="3"/>
  <c r="GP123" i="3"/>
  <c r="GQ123" i="3"/>
  <c r="GR123" i="3"/>
  <c r="GS123" i="3"/>
  <c r="GT123" i="3"/>
  <c r="GU123" i="3"/>
  <c r="GV123" i="3"/>
  <c r="GW123" i="3"/>
  <c r="GX123" i="3"/>
  <c r="GY123" i="3"/>
  <c r="GZ123" i="3"/>
  <c r="HA123" i="3"/>
  <c r="HB123" i="3"/>
  <c r="HC123" i="3"/>
  <c r="HD123" i="3"/>
  <c r="HE123" i="3"/>
  <c r="HF123" i="3"/>
  <c r="HG123" i="3"/>
  <c r="HH123" i="3"/>
  <c r="HI123" i="3"/>
  <c r="HJ123" i="3"/>
  <c r="HK123" i="3"/>
  <c r="HL123" i="3"/>
  <c r="HM123" i="3"/>
  <c r="HN123" i="3"/>
  <c r="HO123" i="3"/>
  <c r="HP123" i="3"/>
  <c r="HQ123" i="3"/>
  <c r="HR123" i="3"/>
  <c r="HS123" i="3"/>
  <c r="HT123" i="3"/>
  <c r="HU123" i="3"/>
  <c r="HV123" i="3"/>
  <c r="HW123" i="3"/>
  <c r="HX123" i="3"/>
  <c r="HY123" i="3"/>
  <c r="HZ123" i="3"/>
  <c r="IA123" i="3"/>
  <c r="IB123" i="3"/>
  <c r="IC123" i="3"/>
  <c r="ID123" i="3"/>
  <c r="IE123" i="3"/>
  <c r="IF123" i="3"/>
  <c r="IG123" i="3"/>
  <c r="IH123" i="3"/>
  <c r="II123" i="3"/>
  <c r="IJ123" i="3"/>
  <c r="IK123" i="3"/>
  <c r="IL123" i="3"/>
  <c r="IM123" i="3"/>
  <c r="IN123" i="3"/>
  <c r="IO123" i="3"/>
  <c r="IP123" i="3"/>
  <c r="IQ123" i="3"/>
  <c r="IR123" i="3"/>
  <c r="IS123" i="3"/>
  <c r="IT123" i="3"/>
  <c r="IU123" i="3"/>
  <c r="IV123" i="3"/>
  <c r="A122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AE122" i="3"/>
  <c r="AF122" i="3"/>
  <c r="AG122" i="3"/>
  <c r="AH122" i="3"/>
  <c r="AI122" i="3"/>
  <c r="AJ122" i="3"/>
  <c r="AK122" i="3"/>
  <c r="AL122" i="3"/>
  <c r="AM122" i="3"/>
  <c r="AN122" i="3"/>
  <c r="AO122" i="3"/>
  <c r="AP122" i="3"/>
  <c r="AQ122" i="3"/>
  <c r="AR122" i="3"/>
  <c r="AS122" i="3"/>
  <c r="AT122" i="3"/>
  <c r="AU122" i="3"/>
  <c r="AV122" i="3"/>
  <c r="AW122" i="3"/>
  <c r="AX122" i="3"/>
  <c r="AY122" i="3"/>
  <c r="AZ122" i="3"/>
  <c r="BA122" i="3"/>
  <c r="BB122" i="3"/>
  <c r="BC122" i="3"/>
  <c r="BD122" i="3"/>
  <c r="BE122" i="3"/>
  <c r="BF122" i="3"/>
  <c r="BG122" i="3"/>
  <c r="BH122" i="3"/>
  <c r="BI122" i="3"/>
  <c r="BJ122" i="3"/>
  <c r="BK122" i="3"/>
  <c r="BL122" i="3"/>
  <c r="BM122" i="3"/>
  <c r="BN122" i="3"/>
  <c r="BO122" i="3"/>
  <c r="BP122" i="3"/>
  <c r="BQ122" i="3"/>
  <c r="BR122" i="3"/>
  <c r="BS122" i="3"/>
  <c r="BT122" i="3"/>
  <c r="BU122" i="3"/>
  <c r="BV122" i="3"/>
  <c r="BW122" i="3"/>
  <c r="BX122" i="3"/>
  <c r="BY122" i="3"/>
  <c r="BZ122" i="3"/>
  <c r="CA122" i="3"/>
  <c r="CB122" i="3"/>
  <c r="CC122" i="3"/>
  <c r="CD122" i="3"/>
  <c r="CE122" i="3"/>
  <c r="CF122" i="3"/>
  <c r="CG122" i="3"/>
  <c r="CH122" i="3"/>
  <c r="CI122" i="3"/>
  <c r="CJ122" i="3"/>
  <c r="CK122" i="3"/>
  <c r="CL122" i="3"/>
  <c r="CM122" i="3"/>
  <c r="CN122" i="3"/>
  <c r="CO122" i="3"/>
  <c r="CP122" i="3"/>
  <c r="CQ122" i="3"/>
  <c r="CR122" i="3"/>
  <c r="CS122" i="3"/>
  <c r="CT122" i="3"/>
  <c r="CU122" i="3"/>
  <c r="CV122" i="3"/>
  <c r="CW122" i="3"/>
  <c r="CX122" i="3"/>
  <c r="CY122" i="3"/>
  <c r="CZ122" i="3"/>
  <c r="DA122" i="3"/>
  <c r="DB122" i="3"/>
  <c r="DC122" i="3"/>
  <c r="DD122" i="3"/>
  <c r="DE122" i="3"/>
  <c r="DF122" i="3"/>
  <c r="DG122" i="3"/>
  <c r="DH122" i="3"/>
  <c r="DI122" i="3"/>
  <c r="DJ122" i="3"/>
  <c r="DK122" i="3"/>
  <c r="DL122" i="3"/>
  <c r="DM122" i="3"/>
  <c r="DN122" i="3"/>
  <c r="DO122" i="3"/>
  <c r="DP122" i="3"/>
  <c r="DQ122" i="3"/>
  <c r="DR122" i="3"/>
  <c r="DS122" i="3"/>
  <c r="DT122" i="3"/>
  <c r="DU122" i="3"/>
  <c r="DV122" i="3"/>
  <c r="DW122" i="3"/>
  <c r="DX122" i="3"/>
  <c r="DY122" i="3"/>
  <c r="DZ122" i="3"/>
  <c r="EA122" i="3"/>
  <c r="EB122" i="3"/>
  <c r="EC122" i="3"/>
  <c r="ED122" i="3"/>
  <c r="EE122" i="3"/>
  <c r="EF122" i="3"/>
  <c r="EG122" i="3"/>
  <c r="EH122" i="3"/>
  <c r="EI122" i="3"/>
  <c r="EJ122" i="3"/>
  <c r="EK122" i="3"/>
  <c r="EL122" i="3"/>
  <c r="EM122" i="3"/>
  <c r="EN122" i="3"/>
  <c r="EO122" i="3"/>
  <c r="EP122" i="3"/>
  <c r="EQ122" i="3"/>
  <c r="ER122" i="3"/>
  <c r="ES122" i="3"/>
  <c r="ET122" i="3"/>
  <c r="EU122" i="3"/>
  <c r="EV122" i="3"/>
  <c r="EW122" i="3"/>
  <c r="EX122" i="3"/>
  <c r="EY122" i="3"/>
  <c r="EZ122" i="3"/>
  <c r="FA122" i="3"/>
  <c r="FB122" i="3"/>
  <c r="FC122" i="3"/>
  <c r="FD122" i="3"/>
  <c r="FE122" i="3"/>
  <c r="FF122" i="3"/>
  <c r="FG122" i="3"/>
  <c r="FH122" i="3"/>
  <c r="FI122" i="3"/>
  <c r="FJ122" i="3"/>
  <c r="FK122" i="3"/>
  <c r="FL122" i="3"/>
  <c r="FM122" i="3"/>
  <c r="FN122" i="3"/>
  <c r="FO122" i="3"/>
  <c r="FP122" i="3"/>
  <c r="FQ122" i="3"/>
  <c r="FR122" i="3"/>
  <c r="FS122" i="3"/>
  <c r="FT122" i="3"/>
  <c r="FU122" i="3"/>
  <c r="FV122" i="3"/>
  <c r="FW122" i="3"/>
  <c r="FX122" i="3"/>
  <c r="FY122" i="3"/>
  <c r="FZ122" i="3"/>
  <c r="GA122" i="3"/>
  <c r="GB122" i="3"/>
  <c r="GC122" i="3"/>
  <c r="GD122" i="3"/>
  <c r="GE122" i="3"/>
  <c r="GF122" i="3"/>
  <c r="GG122" i="3"/>
  <c r="GH122" i="3"/>
  <c r="GI122" i="3"/>
  <c r="GJ122" i="3"/>
  <c r="GK122" i="3"/>
  <c r="GL122" i="3"/>
  <c r="GM122" i="3"/>
  <c r="GN122" i="3"/>
  <c r="GO122" i="3"/>
  <c r="GP122" i="3"/>
  <c r="GQ122" i="3"/>
  <c r="GR122" i="3"/>
  <c r="GS122" i="3"/>
  <c r="GT122" i="3"/>
  <c r="GU122" i="3"/>
  <c r="GV122" i="3"/>
  <c r="GW122" i="3"/>
  <c r="GX122" i="3"/>
  <c r="GY122" i="3"/>
  <c r="GZ122" i="3"/>
  <c r="HA122" i="3"/>
  <c r="HB122" i="3"/>
  <c r="HC122" i="3"/>
  <c r="HD122" i="3"/>
  <c r="HE122" i="3"/>
  <c r="HF122" i="3"/>
  <c r="HG122" i="3"/>
  <c r="HH122" i="3"/>
  <c r="HI122" i="3"/>
  <c r="HJ122" i="3"/>
  <c r="HK122" i="3"/>
  <c r="HL122" i="3"/>
  <c r="HM122" i="3"/>
  <c r="HN122" i="3"/>
  <c r="HO122" i="3"/>
  <c r="HP122" i="3"/>
  <c r="HQ122" i="3"/>
  <c r="HR122" i="3"/>
  <c r="HS122" i="3"/>
  <c r="HT122" i="3"/>
  <c r="HU122" i="3"/>
  <c r="HV122" i="3"/>
  <c r="HW122" i="3"/>
  <c r="HX122" i="3"/>
  <c r="HY122" i="3"/>
  <c r="HZ122" i="3"/>
  <c r="IA122" i="3"/>
  <c r="IB122" i="3"/>
  <c r="IC122" i="3"/>
  <c r="ID122" i="3"/>
  <c r="IE122" i="3"/>
  <c r="IF122" i="3"/>
  <c r="IG122" i="3"/>
  <c r="IH122" i="3"/>
  <c r="II122" i="3"/>
  <c r="IJ122" i="3"/>
  <c r="IK122" i="3"/>
  <c r="IL122" i="3"/>
  <c r="IM122" i="3"/>
  <c r="IN122" i="3"/>
  <c r="IO122" i="3"/>
  <c r="IP122" i="3"/>
  <c r="IQ122" i="3"/>
  <c r="IR122" i="3"/>
  <c r="IS122" i="3"/>
  <c r="IT122" i="3"/>
  <c r="IU122" i="3"/>
  <c r="IV122" i="3"/>
  <c r="A121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AE121" i="3"/>
  <c r="AF121" i="3"/>
  <c r="AG121" i="3"/>
  <c r="AH121" i="3"/>
  <c r="AI121" i="3"/>
  <c r="AJ121" i="3"/>
  <c r="AK121" i="3"/>
  <c r="AL121" i="3"/>
  <c r="AM121" i="3"/>
  <c r="AN121" i="3"/>
  <c r="AO121" i="3"/>
  <c r="AP121" i="3"/>
  <c r="AQ121" i="3"/>
  <c r="AR121" i="3"/>
  <c r="AS121" i="3"/>
  <c r="AT121" i="3"/>
  <c r="AU121" i="3"/>
  <c r="AV121" i="3"/>
  <c r="AW121" i="3"/>
  <c r="AX121" i="3"/>
  <c r="AY121" i="3"/>
  <c r="AZ121" i="3"/>
  <c r="BA121" i="3"/>
  <c r="BB121" i="3"/>
  <c r="BC121" i="3"/>
  <c r="BD121" i="3"/>
  <c r="BE121" i="3"/>
  <c r="BF121" i="3"/>
  <c r="BG121" i="3"/>
  <c r="BH121" i="3"/>
  <c r="BI121" i="3"/>
  <c r="BJ121" i="3"/>
  <c r="BK121" i="3"/>
  <c r="BL121" i="3"/>
  <c r="BM121" i="3"/>
  <c r="BN121" i="3"/>
  <c r="BO121" i="3"/>
  <c r="BP121" i="3"/>
  <c r="BQ121" i="3"/>
  <c r="BR121" i="3"/>
  <c r="BS121" i="3"/>
  <c r="BT121" i="3"/>
  <c r="BU121" i="3"/>
  <c r="BV121" i="3"/>
  <c r="BW121" i="3"/>
  <c r="BX121" i="3"/>
  <c r="BY121" i="3"/>
  <c r="BZ121" i="3"/>
  <c r="CA121" i="3"/>
  <c r="CB121" i="3"/>
  <c r="CC121" i="3"/>
  <c r="CD121" i="3"/>
  <c r="CE121" i="3"/>
  <c r="CF121" i="3"/>
  <c r="CG121" i="3"/>
  <c r="CH121" i="3"/>
  <c r="CI121" i="3"/>
  <c r="CJ121" i="3"/>
  <c r="CK121" i="3"/>
  <c r="CL121" i="3"/>
  <c r="CM121" i="3"/>
  <c r="CN121" i="3"/>
  <c r="CO121" i="3"/>
  <c r="CP121" i="3"/>
  <c r="CQ121" i="3"/>
  <c r="CR121" i="3"/>
  <c r="CS121" i="3"/>
  <c r="CT121" i="3"/>
  <c r="CU121" i="3"/>
  <c r="CV121" i="3"/>
  <c r="CW121" i="3"/>
  <c r="CX121" i="3"/>
  <c r="CY121" i="3"/>
  <c r="CZ121" i="3"/>
  <c r="DA121" i="3"/>
  <c r="DB121" i="3"/>
  <c r="DC121" i="3"/>
  <c r="DD121" i="3"/>
  <c r="DE121" i="3"/>
  <c r="DF121" i="3"/>
  <c r="DG121" i="3"/>
  <c r="DH121" i="3"/>
  <c r="DI121" i="3"/>
  <c r="DJ121" i="3"/>
  <c r="DK121" i="3"/>
  <c r="DL121" i="3"/>
  <c r="DM121" i="3"/>
  <c r="DN121" i="3"/>
  <c r="DO121" i="3"/>
  <c r="DP121" i="3"/>
  <c r="DQ121" i="3"/>
  <c r="DR121" i="3"/>
  <c r="DS121" i="3"/>
  <c r="DT121" i="3"/>
  <c r="DU121" i="3"/>
  <c r="DV121" i="3"/>
  <c r="DW121" i="3"/>
  <c r="DX121" i="3"/>
  <c r="DY121" i="3"/>
  <c r="DZ121" i="3"/>
  <c r="EA121" i="3"/>
  <c r="EB121" i="3"/>
  <c r="EC121" i="3"/>
  <c r="ED121" i="3"/>
  <c r="EE121" i="3"/>
  <c r="EF121" i="3"/>
  <c r="EG121" i="3"/>
  <c r="EH121" i="3"/>
  <c r="EI121" i="3"/>
  <c r="EJ121" i="3"/>
  <c r="EK121" i="3"/>
  <c r="EL121" i="3"/>
  <c r="EM121" i="3"/>
  <c r="EN121" i="3"/>
  <c r="EO121" i="3"/>
  <c r="EP121" i="3"/>
  <c r="EQ121" i="3"/>
  <c r="ER121" i="3"/>
  <c r="ES121" i="3"/>
  <c r="ET121" i="3"/>
  <c r="EU121" i="3"/>
  <c r="EV121" i="3"/>
  <c r="EW121" i="3"/>
  <c r="EX121" i="3"/>
  <c r="EY121" i="3"/>
  <c r="EZ121" i="3"/>
  <c r="FA121" i="3"/>
  <c r="FB121" i="3"/>
  <c r="FC121" i="3"/>
  <c r="FD121" i="3"/>
  <c r="FE121" i="3"/>
  <c r="FF121" i="3"/>
  <c r="FG121" i="3"/>
  <c r="FH121" i="3"/>
  <c r="FI121" i="3"/>
  <c r="FJ121" i="3"/>
  <c r="FK121" i="3"/>
  <c r="FL121" i="3"/>
  <c r="FM121" i="3"/>
  <c r="FN121" i="3"/>
  <c r="FO121" i="3"/>
  <c r="FP121" i="3"/>
  <c r="FQ121" i="3"/>
  <c r="FR121" i="3"/>
  <c r="FS121" i="3"/>
  <c r="FT121" i="3"/>
  <c r="FU121" i="3"/>
  <c r="FV121" i="3"/>
  <c r="FW121" i="3"/>
  <c r="FX121" i="3"/>
  <c r="FY121" i="3"/>
  <c r="FZ121" i="3"/>
  <c r="GA121" i="3"/>
  <c r="GB121" i="3"/>
  <c r="GC121" i="3"/>
  <c r="GD121" i="3"/>
  <c r="GE121" i="3"/>
  <c r="GF121" i="3"/>
  <c r="GG121" i="3"/>
  <c r="GH121" i="3"/>
  <c r="GI121" i="3"/>
  <c r="GJ121" i="3"/>
  <c r="GK121" i="3"/>
  <c r="GL121" i="3"/>
  <c r="GM121" i="3"/>
  <c r="GN121" i="3"/>
  <c r="GO121" i="3"/>
  <c r="GP121" i="3"/>
  <c r="GQ121" i="3"/>
  <c r="GR121" i="3"/>
  <c r="GS121" i="3"/>
  <c r="GT121" i="3"/>
  <c r="GU121" i="3"/>
  <c r="GV121" i="3"/>
  <c r="GW121" i="3"/>
  <c r="GX121" i="3"/>
  <c r="GY121" i="3"/>
  <c r="GZ121" i="3"/>
  <c r="HA121" i="3"/>
  <c r="HB121" i="3"/>
  <c r="HC121" i="3"/>
  <c r="HD121" i="3"/>
  <c r="HE121" i="3"/>
  <c r="HF121" i="3"/>
  <c r="HG121" i="3"/>
  <c r="HH121" i="3"/>
  <c r="HI121" i="3"/>
  <c r="HJ121" i="3"/>
  <c r="HK121" i="3"/>
  <c r="HL121" i="3"/>
  <c r="HM121" i="3"/>
  <c r="HN121" i="3"/>
  <c r="HO121" i="3"/>
  <c r="HP121" i="3"/>
  <c r="HQ121" i="3"/>
  <c r="HR121" i="3"/>
  <c r="HS121" i="3"/>
  <c r="HT121" i="3"/>
  <c r="HU121" i="3"/>
  <c r="HV121" i="3"/>
  <c r="HW121" i="3"/>
  <c r="HX121" i="3"/>
  <c r="HY121" i="3"/>
  <c r="HZ121" i="3"/>
  <c r="IA121" i="3"/>
  <c r="IB121" i="3"/>
  <c r="IC121" i="3"/>
  <c r="ID121" i="3"/>
  <c r="IE121" i="3"/>
  <c r="IF121" i="3"/>
  <c r="IG121" i="3"/>
  <c r="IH121" i="3"/>
  <c r="II121" i="3"/>
  <c r="IJ121" i="3"/>
  <c r="IK121" i="3"/>
  <c r="IL121" i="3"/>
  <c r="IM121" i="3"/>
  <c r="IN121" i="3"/>
  <c r="IO121" i="3"/>
  <c r="IP121" i="3"/>
  <c r="IQ121" i="3"/>
  <c r="IR121" i="3"/>
  <c r="IS121" i="3"/>
  <c r="IT121" i="3"/>
  <c r="IU121" i="3"/>
  <c r="IV121" i="3"/>
  <c r="A120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AE120" i="3"/>
  <c r="AF120" i="3"/>
  <c r="AG120" i="3"/>
  <c r="AH120" i="3"/>
  <c r="AI120" i="3"/>
  <c r="AJ120" i="3"/>
  <c r="AK120" i="3"/>
  <c r="AL120" i="3"/>
  <c r="AM120" i="3"/>
  <c r="AN120" i="3"/>
  <c r="AO120" i="3"/>
  <c r="AP120" i="3"/>
  <c r="AQ120" i="3"/>
  <c r="AR120" i="3"/>
  <c r="AS120" i="3"/>
  <c r="AT120" i="3"/>
  <c r="AU120" i="3"/>
  <c r="AV120" i="3"/>
  <c r="AW120" i="3"/>
  <c r="AX120" i="3"/>
  <c r="AY120" i="3"/>
  <c r="AZ120" i="3"/>
  <c r="BA120" i="3"/>
  <c r="BB120" i="3"/>
  <c r="BC120" i="3"/>
  <c r="BD120" i="3"/>
  <c r="BE120" i="3"/>
  <c r="BF120" i="3"/>
  <c r="BG120" i="3"/>
  <c r="BH120" i="3"/>
  <c r="BI120" i="3"/>
  <c r="BJ120" i="3"/>
  <c r="BK120" i="3"/>
  <c r="BL120" i="3"/>
  <c r="BM120" i="3"/>
  <c r="BN120" i="3"/>
  <c r="BO120" i="3"/>
  <c r="BP120" i="3"/>
  <c r="BQ120" i="3"/>
  <c r="BR120" i="3"/>
  <c r="BS120" i="3"/>
  <c r="BT120" i="3"/>
  <c r="BU120" i="3"/>
  <c r="BV120" i="3"/>
  <c r="BW120" i="3"/>
  <c r="BX120" i="3"/>
  <c r="BY120" i="3"/>
  <c r="BZ120" i="3"/>
  <c r="CA120" i="3"/>
  <c r="CB120" i="3"/>
  <c r="CC120" i="3"/>
  <c r="CD120" i="3"/>
  <c r="CE120" i="3"/>
  <c r="CF120" i="3"/>
  <c r="CG120" i="3"/>
  <c r="CH120" i="3"/>
  <c r="CI120" i="3"/>
  <c r="CJ120" i="3"/>
  <c r="CK120" i="3"/>
  <c r="CL120" i="3"/>
  <c r="CM120" i="3"/>
  <c r="CN120" i="3"/>
  <c r="CO120" i="3"/>
  <c r="CP120" i="3"/>
  <c r="CQ120" i="3"/>
  <c r="CR120" i="3"/>
  <c r="CS120" i="3"/>
  <c r="CT120" i="3"/>
  <c r="CU120" i="3"/>
  <c r="CV120" i="3"/>
  <c r="CW120" i="3"/>
  <c r="CX120" i="3"/>
  <c r="CY120" i="3"/>
  <c r="CZ120" i="3"/>
  <c r="DA120" i="3"/>
  <c r="DB120" i="3"/>
  <c r="DC120" i="3"/>
  <c r="DD120" i="3"/>
  <c r="DE120" i="3"/>
  <c r="DF120" i="3"/>
  <c r="DG120" i="3"/>
  <c r="DH120" i="3"/>
  <c r="DI120" i="3"/>
  <c r="DJ120" i="3"/>
  <c r="DK120" i="3"/>
  <c r="DL120" i="3"/>
  <c r="DM120" i="3"/>
  <c r="DN120" i="3"/>
  <c r="DO120" i="3"/>
  <c r="DP120" i="3"/>
  <c r="DQ120" i="3"/>
  <c r="DR120" i="3"/>
  <c r="DS120" i="3"/>
  <c r="DT120" i="3"/>
  <c r="DU120" i="3"/>
  <c r="DV120" i="3"/>
  <c r="DW120" i="3"/>
  <c r="DX120" i="3"/>
  <c r="DY120" i="3"/>
  <c r="DZ120" i="3"/>
  <c r="EA120" i="3"/>
  <c r="EB120" i="3"/>
  <c r="EC120" i="3"/>
  <c r="ED120" i="3"/>
  <c r="EE120" i="3"/>
  <c r="EF120" i="3"/>
  <c r="EG120" i="3"/>
  <c r="EH120" i="3"/>
  <c r="EI120" i="3"/>
  <c r="EJ120" i="3"/>
  <c r="EK120" i="3"/>
  <c r="EL120" i="3"/>
  <c r="EM120" i="3"/>
  <c r="EN120" i="3"/>
  <c r="EO120" i="3"/>
  <c r="EP120" i="3"/>
  <c r="EQ120" i="3"/>
  <c r="ER120" i="3"/>
  <c r="ES120" i="3"/>
  <c r="ET120" i="3"/>
  <c r="EU120" i="3"/>
  <c r="EV120" i="3"/>
  <c r="EW120" i="3"/>
  <c r="EX120" i="3"/>
  <c r="EY120" i="3"/>
  <c r="EZ120" i="3"/>
  <c r="FA120" i="3"/>
  <c r="FB120" i="3"/>
  <c r="FC120" i="3"/>
  <c r="FD120" i="3"/>
  <c r="FE120" i="3"/>
  <c r="FF120" i="3"/>
  <c r="FG120" i="3"/>
  <c r="FH120" i="3"/>
  <c r="FI120" i="3"/>
  <c r="FJ120" i="3"/>
  <c r="FK120" i="3"/>
  <c r="FL120" i="3"/>
  <c r="FM120" i="3"/>
  <c r="FN120" i="3"/>
  <c r="FO120" i="3"/>
  <c r="FP120" i="3"/>
  <c r="FQ120" i="3"/>
  <c r="FR120" i="3"/>
  <c r="FS120" i="3"/>
  <c r="FT120" i="3"/>
  <c r="FU120" i="3"/>
  <c r="FV120" i="3"/>
  <c r="FW120" i="3"/>
  <c r="FX120" i="3"/>
  <c r="FY120" i="3"/>
  <c r="FZ120" i="3"/>
  <c r="GA120" i="3"/>
  <c r="GB120" i="3"/>
  <c r="GC120" i="3"/>
  <c r="GD120" i="3"/>
  <c r="GE120" i="3"/>
  <c r="GF120" i="3"/>
  <c r="GG120" i="3"/>
  <c r="GH120" i="3"/>
  <c r="GI120" i="3"/>
  <c r="GJ120" i="3"/>
  <c r="GK120" i="3"/>
  <c r="GL120" i="3"/>
  <c r="GM120" i="3"/>
  <c r="GN120" i="3"/>
  <c r="GO120" i="3"/>
  <c r="GP120" i="3"/>
  <c r="GQ120" i="3"/>
  <c r="GR120" i="3"/>
  <c r="GS120" i="3"/>
  <c r="GT120" i="3"/>
  <c r="GU120" i="3"/>
  <c r="GV120" i="3"/>
  <c r="GW120" i="3"/>
  <c r="GX120" i="3"/>
  <c r="GY120" i="3"/>
  <c r="GZ120" i="3"/>
  <c r="HA120" i="3"/>
  <c r="HB120" i="3"/>
  <c r="HC120" i="3"/>
  <c r="HD120" i="3"/>
  <c r="HE120" i="3"/>
  <c r="HF120" i="3"/>
  <c r="HG120" i="3"/>
  <c r="HH120" i="3"/>
  <c r="HI120" i="3"/>
  <c r="HJ120" i="3"/>
  <c r="HK120" i="3"/>
  <c r="HL120" i="3"/>
  <c r="HM120" i="3"/>
  <c r="HN120" i="3"/>
  <c r="HO120" i="3"/>
  <c r="HP120" i="3"/>
  <c r="HQ120" i="3"/>
  <c r="HR120" i="3"/>
  <c r="HS120" i="3"/>
  <c r="HT120" i="3"/>
  <c r="HU120" i="3"/>
  <c r="HV120" i="3"/>
  <c r="HW120" i="3"/>
  <c r="HX120" i="3"/>
  <c r="HY120" i="3"/>
  <c r="HZ120" i="3"/>
  <c r="IA120" i="3"/>
  <c r="IB120" i="3"/>
  <c r="IC120" i="3"/>
  <c r="ID120" i="3"/>
  <c r="IE120" i="3"/>
  <c r="IF120" i="3"/>
  <c r="IG120" i="3"/>
  <c r="IH120" i="3"/>
  <c r="II120" i="3"/>
  <c r="IJ120" i="3"/>
  <c r="IK120" i="3"/>
  <c r="IL120" i="3"/>
  <c r="IM120" i="3"/>
  <c r="IN120" i="3"/>
  <c r="IO120" i="3"/>
  <c r="IP120" i="3"/>
  <c r="IQ120" i="3"/>
  <c r="IR120" i="3"/>
  <c r="IS120" i="3"/>
  <c r="IT120" i="3"/>
  <c r="IU120" i="3"/>
  <c r="IV120" i="3"/>
  <c r="A119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AD119" i="3"/>
  <c r="AE119" i="3"/>
  <c r="AF119" i="3"/>
  <c r="AG119" i="3"/>
  <c r="AH119" i="3"/>
  <c r="AI119" i="3"/>
  <c r="AJ119" i="3"/>
  <c r="AK119" i="3"/>
  <c r="AL119" i="3"/>
  <c r="AM119" i="3"/>
  <c r="AN119" i="3"/>
  <c r="AO119" i="3"/>
  <c r="AP119" i="3"/>
  <c r="AQ119" i="3"/>
  <c r="AR119" i="3"/>
  <c r="AS119" i="3"/>
  <c r="AT119" i="3"/>
  <c r="AU119" i="3"/>
  <c r="AV119" i="3"/>
  <c r="AW119" i="3"/>
  <c r="AX119" i="3"/>
  <c r="AY119" i="3"/>
  <c r="AZ119" i="3"/>
  <c r="BA119" i="3"/>
  <c r="BB119" i="3"/>
  <c r="BC119" i="3"/>
  <c r="BD119" i="3"/>
  <c r="BE119" i="3"/>
  <c r="BF119" i="3"/>
  <c r="BG119" i="3"/>
  <c r="BH119" i="3"/>
  <c r="BI119" i="3"/>
  <c r="BJ119" i="3"/>
  <c r="BK119" i="3"/>
  <c r="BL119" i="3"/>
  <c r="BM119" i="3"/>
  <c r="BN119" i="3"/>
  <c r="BO119" i="3"/>
  <c r="BP119" i="3"/>
  <c r="BQ119" i="3"/>
  <c r="BR119" i="3"/>
  <c r="BS119" i="3"/>
  <c r="BT119" i="3"/>
  <c r="BU119" i="3"/>
  <c r="BV119" i="3"/>
  <c r="BW119" i="3"/>
  <c r="BX119" i="3"/>
  <c r="BY119" i="3"/>
  <c r="BZ119" i="3"/>
  <c r="CA119" i="3"/>
  <c r="CB119" i="3"/>
  <c r="CC119" i="3"/>
  <c r="CD119" i="3"/>
  <c r="CE119" i="3"/>
  <c r="CF119" i="3"/>
  <c r="CG119" i="3"/>
  <c r="CH119" i="3"/>
  <c r="CI119" i="3"/>
  <c r="CJ119" i="3"/>
  <c r="CK119" i="3"/>
  <c r="CL119" i="3"/>
  <c r="CM119" i="3"/>
  <c r="CN119" i="3"/>
  <c r="CO119" i="3"/>
  <c r="CP119" i="3"/>
  <c r="CQ119" i="3"/>
  <c r="CR119" i="3"/>
  <c r="CS119" i="3"/>
  <c r="CT119" i="3"/>
  <c r="CU119" i="3"/>
  <c r="CV119" i="3"/>
  <c r="CW119" i="3"/>
  <c r="CX119" i="3"/>
  <c r="CY119" i="3"/>
  <c r="CZ119" i="3"/>
  <c r="DA119" i="3"/>
  <c r="DB119" i="3"/>
  <c r="DC119" i="3"/>
  <c r="DD119" i="3"/>
  <c r="DE119" i="3"/>
  <c r="DF119" i="3"/>
  <c r="DG119" i="3"/>
  <c r="DH119" i="3"/>
  <c r="DI119" i="3"/>
  <c r="DJ119" i="3"/>
  <c r="DK119" i="3"/>
  <c r="DL119" i="3"/>
  <c r="DM119" i="3"/>
  <c r="DN119" i="3"/>
  <c r="DO119" i="3"/>
  <c r="DP119" i="3"/>
  <c r="DQ119" i="3"/>
  <c r="DR119" i="3"/>
  <c r="DS119" i="3"/>
  <c r="DT119" i="3"/>
  <c r="DU119" i="3"/>
  <c r="DV119" i="3"/>
  <c r="DW119" i="3"/>
  <c r="DX119" i="3"/>
  <c r="DY119" i="3"/>
  <c r="DZ119" i="3"/>
  <c r="EA119" i="3"/>
  <c r="EB119" i="3"/>
  <c r="EC119" i="3"/>
  <c r="ED119" i="3"/>
  <c r="EE119" i="3"/>
  <c r="EF119" i="3"/>
  <c r="EG119" i="3"/>
  <c r="EH119" i="3"/>
  <c r="EI119" i="3"/>
  <c r="EJ119" i="3"/>
  <c r="EK119" i="3"/>
  <c r="EL119" i="3"/>
  <c r="EM119" i="3"/>
  <c r="EN119" i="3"/>
  <c r="EO119" i="3"/>
  <c r="EP119" i="3"/>
  <c r="EQ119" i="3"/>
  <c r="ER119" i="3"/>
  <c r="ES119" i="3"/>
  <c r="ET119" i="3"/>
  <c r="EU119" i="3"/>
  <c r="EV119" i="3"/>
  <c r="EW119" i="3"/>
  <c r="EX119" i="3"/>
  <c r="EY119" i="3"/>
  <c r="EZ119" i="3"/>
  <c r="FA119" i="3"/>
  <c r="FB119" i="3"/>
  <c r="FC119" i="3"/>
  <c r="FD119" i="3"/>
  <c r="FE119" i="3"/>
  <c r="FF119" i="3"/>
  <c r="FG119" i="3"/>
  <c r="FH119" i="3"/>
  <c r="FI119" i="3"/>
  <c r="FJ119" i="3"/>
  <c r="FK119" i="3"/>
  <c r="FL119" i="3"/>
  <c r="FM119" i="3"/>
  <c r="FN119" i="3"/>
  <c r="FO119" i="3"/>
  <c r="FP119" i="3"/>
  <c r="FQ119" i="3"/>
  <c r="FR119" i="3"/>
  <c r="FS119" i="3"/>
  <c r="FT119" i="3"/>
  <c r="FU119" i="3"/>
  <c r="FV119" i="3"/>
  <c r="FW119" i="3"/>
  <c r="FX119" i="3"/>
  <c r="FY119" i="3"/>
  <c r="FZ119" i="3"/>
  <c r="GA119" i="3"/>
  <c r="GB119" i="3"/>
  <c r="GC119" i="3"/>
  <c r="GD119" i="3"/>
  <c r="GE119" i="3"/>
  <c r="GF119" i="3"/>
  <c r="GG119" i="3"/>
  <c r="GH119" i="3"/>
  <c r="GI119" i="3"/>
  <c r="GJ119" i="3"/>
  <c r="GK119" i="3"/>
  <c r="GL119" i="3"/>
  <c r="GM119" i="3"/>
  <c r="GN119" i="3"/>
  <c r="GO119" i="3"/>
  <c r="GP119" i="3"/>
  <c r="GQ119" i="3"/>
  <c r="GR119" i="3"/>
  <c r="GS119" i="3"/>
  <c r="GT119" i="3"/>
  <c r="GU119" i="3"/>
  <c r="GV119" i="3"/>
  <c r="GW119" i="3"/>
  <c r="GX119" i="3"/>
  <c r="GY119" i="3"/>
  <c r="GZ119" i="3"/>
  <c r="HA119" i="3"/>
  <c r="HB119" i="3"/>
  <c r="HC119" i="3"/>
  <c r="HD119" i="3"/>
  <c r="HE119" i="3"/>
  <c r="HF119" i="3"/>
  <c r="HG119" i="3"/>
  <c r="HH119" i="3"/>
  <c r="HI119" i="3"/>
  <c r="HJ119" i="3"/>
  <c r="HK119" i="3"/>
  <c r="HL119" i="3"/>
  <c r="HM119" i="3"/>
  <c r="HN119" i="3"/>
  <c r="HO119" i="3"/>
  <c r="HP119" i="3"/>
  <c r="HQ119" i="3"/>
  <c r="HR119" i="3"/>
  <c r="HS119" i="3"/>
  <c r="HT119" i="3"/>
  <c r="HU119" i="3"/>
  <c r="HV119" i="3"/>
  <c r="HW119" i="3"/>
  <c r="HX119" i="3"/>
  <c r="HY119" i="3"/>
  <c r="HZ119" i="3"/>
  <c r="IA119" i="3"/>
  <c r="IB119" i="3"/>
  <c r="IC119" i="3"/>
  <c r="ID119" i="3"/>
  <c r="IE119" i="3"/>
  <c r="IF119" i="3"/>
  <c r="IG119" i="3"/>
  <c r="IH119" i="3"/>
  <c r="II119" i="3"/>
  <c r="IJ119" i="3"/>
  <c r="IK119" i="3"/>
  <c r="IL119" i="3"/>
  <c r="IM119" i="3"/>
  <c r="IN119" i="3"/>
  <c r="IO119" i="3"/>
  <c r="IP119" i="3"/>
  <c r="IQ119" i="3"/>
  <c r="IR119" i="3"/>
  <c r="IS119" i="3"/>
  <c r="IT119" i="3"/>
  <c r="IU119" i="3"/>
  <c r="IV119" i="3"/>
  <c r="A118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AB118" i="3"/>
  <c r="AC118" i="3"/>
  <c r="AD118" i="3"/>
  <c r="AE118" i="3"/>
  <c r="AF118" i="3"/>
  <c r="AG118" i="3"/>
  <c r="AH118" i="3"/>
  <c r="AI118" i="3"/>
  <c r="AJ118" i="3"/>
  <c r="AK118" i="3"/>
  <c r="AL118" i="3"/>
  <c r="AM118" i="3"/>
  <c r="AN118" i="3"/>
  <c r="AO118" i="3"/>
  <c r="AP118" i="3"/>
  <c r="AQ118" i="3"/>
  <c r="AR118" i="3"/>
  <c r="AS118" i="3"/>
  <c r="AT118" i="3"/>
  <c r="AU118" i="3"/>
  <c r="AV118" i="3"/>
  <c r="AW118" i="3"/>
  <c r="AX118" i="3"/>
  <c r="AY118" i="3"/>
  <c r="AZ118" i="3"/>
  <c r="BA118" i="3"/>
  <c r="BB118" i="3"/>
  <c r="BC118" i="3"/>
  <c r="BD118" i="3"/>
  <c r="BE118" i="3"/>
  <c r="BF118" i="3"/>
  <c r="BG118" i="3"/>
  <c r="BH118" i="3"/>
  <c r="BI118" i="3"/>
  <c r="BJ118" i="3"/>
  <c r="BK118" i="3"/>
  <c r="BL118" i="3"/>
  <c r="BM118" i="3"/>
  <c r="BN118" i="3"/>
  <c r="BO118" i="3"/>
  <c r="BP118" i="3"/>
  <c r="BQ118" i="3"/>
  <c r="BR118" i="3"/>
  <c r="BS118" i="3"/>
  <c r="BT118" i="3"/>
  <c r="BU118" i="3"/>
  <c r="BV118" i="3"/>
  <c r="BW118" i="3"/>
  <c r="BX118" i="3"/>
  <c r="BY118" i="3"/>
  <c r="BZ118" i="3"/>
  <c r="CA118" i="3"/>
  <c r="CB118" i="3"/>
  <c r="CC118" i="3"/>
  <c r="CD118" i="3"/>
  <c r="CE118" i="3"/>
  <c r="CF118" i="3"/>
  <c r="CG118" i="3"/>
  <c r="CH118" i="3"/>
  <c r="CI118" i="3"/>
  <c r="CJ118" i="3"/>
  <c r="CK118" i="3"/>
  <c r="CL118" i="3"/>
  <c r="CM118" i="3"/>
  <c r="CN118" i="3"/>
  <c r="CO118" i="3"/>
  <c r="CP118" i="3"/>
  <c r="CQ118" i="3"/>
  <c r="CR118" i="3"/>
  <c r="CS118" i="3"/>
  <c r="CT118" i="3"/>
  <c r="CU118" i="3"/>
  <c r="CV118" i="3"/>
  <c r="CW118" i="3"/>
  <c r="CX118" i="3"/>
  <c r="CY118" i="3"/>
  <c r="CZ118" i="3"/>
  <c r="DA118" i="3"/>
  <c r="DB118" i="3"/>
  <c r="DC118" i="3"/>
  <c r="DD118" i="3"/>
  <c r="DE118" i="3"/>
  <c r="DF118" i="3"/>
  <c r="DG118" i="3"/>
  <c r="DH118" i="3"/>
  <c r="DI118" i="3"/>
  <c r="DJ118" i="3"/>
  <c r="DK118" i="3"/>
  <c r="DL118" i="3"/>
  <c r="DM118" i="3"/>
  <c r="DN118" i="3"/>
  <c r="DO118" i="3"/>
  <c r="DP118" i="3"/>
  <c r="DQ118" i="3"/>
  <c r="DR118" i="3"/>
  <c r="DS118" i="3"/>
  <c r="DT118" i="3"/>
  <c r="DU118" i="3"/>
  <c r="DV118" i="3"/>
  <c r="DW118" i="3"/>
  <c r="DX118" i="3"/>
  <c r="DY118" i="3"/>
  <c r="DZ118" i="3"/>
  <c r="EA118" i="3"/>
  <c r="EB118" i="3"/>
  <c r="EC118" i="3"/>
  <c r="ED118" i="3"/>
  <c r="EE118" i="3"/>
  <c r="EF118" i="3"/>
  <c r="EG118" i="3"/>
  <c r="EH118" i="3"/>
  <c r="EI118" i="3"/>
  <c r="EJ118" i="3"/>
  <c r="EK118" i="3"/>
  <c r="EL118" i="3"/>
  <c r="EM118" i="3"/>
  <c r="EN118" i="3"/>
  <c r="EO118" i="3"/>
  <c r="EP118" i="3"/>
  <c r="EQ118" i="3"/>
  <c r="ER118" i="3"/>
  <c r="ES118" i="3"/>
  <c r="ET118" i="3"/>
  <c r="EU118" i="3"/>
  <c r="EV118" i="3"/>
  <c r="EW118" i="3"/>
  <c r="EX118" i="3"/>
  <c r="EY118" i="3"/>
  <c r="EZ118" i="3"/>
  <c r="FA118" i="3"/>
  <c r="FB118" i="3"/>
  <c r="FC118" i="3"/>
  <c r="FD118" i="3"/>
  <c r="FE118" i="3"/>
  <c r="FF118" i="3"/>
  <c r="FG118" i="3"/>
  <c r="FH118" i="3"/>
  <c r="FI118" i="3"/>
  <c r="FJ118" i="3"/>
  <c r="FK118" i="3"/>
  <c r="FL118" i="3"/>
  <c r="FM118" i="3"/>
  <c r="FN118" i="3"/>
  <c r="FO118" i="3"/>
  <c r="FP118" i="3"/>
  <c r="FQ118" i="3"/>
  <c r="FR118" i="3"/>
  <c r="FS118" i="3"/>
  <c r="FT118" i="3"/>
  <c r="FU118" i="3"/>
  <c r="FV118" i="3"/>
  <c r="FW118" i="3"/>
  <c r="FX118" i="3"/>
  <c r="FY118" i="3"/>
  <c r="FZ118" i="3"/>
  <c r="GA118" i="3"/>
  <c r="GB118" i="3"/>
  <c r="GC118" i="3"/>
  <c r="GD118" i="3"/>
  <c r="GE118" i="3"/>
  <c r="GF118" i="3"/>
  <c r="GG118" i="3"/>
  <c r="GH118" i="3"/>
  <c r="GI118" i="3"/>
  <c r="GJ118" i="3"/>
  <c r="GK118" i="3"/>
  <c r="GL118" i="3"/>
  <c r="GM118" i="3"/>
  <c r="GN118" i="3"/>
  <c r="GO118" i="3"/>
  <c r="GP118" i="3"/>
  <c r="GQ118" i="3"/>
  <c r="GR118" i="3"/>
  <c r="GS118" i="3"/>
  <c r="GT118" i="3"/>
  <c r="GU118" i="3"/>
  <c r="GV118" i="3"/>
  <c r="GW118" i="3"/>
  <c r="GX118" i="3"/>
  <c r="GY118" i="3"/>
  <c r="GZ118" i="3"/>
  <c r="HA118" i="3"/>
  <c r="HB118" i="3"/>
  <c r="HC118" i="3"/>
  <c r="HD118" i="3"/>
  <c r="HE118" i="3"/>
  <c r="HF118" i="3"/>
  <c r="HG118" i="3"/>
  <c r="HH118" i="3"/>
  <c r="HI118" i="3"/>
  <c r="HJ118" i="3"/>
  <c r="HK118" i="3"/>
  <c r="HL118" i="3"/>
  <c r="HM118" i="3"/>
  <c r="HN118" i="3"/>
  <c r="HO118" i="3"/>
  <c r="HP118" i="3"/>
  <c r="HQ118" i="3"/>
  <c r="HR118" i="3"/>
  <c r="HS118" i="3"/>
  <c r="HT118" i="3"/>
  <c r="HU118" i="3"/>
  <c r="HV118" i="3"/>
  <c r="HW118" i="3"/>
  <c r="HX118" i="3"/>
  <c r="HY118" i="3"/>
  <c r="HZ118" i="3"/>
  <c r="IA118" i="3"/>
  <c r="IB118" i="3"/>
  <c r="IC118" i="3"/>
  <c r="ID118" i="3"/>
  <c r="IE118" i="3"/>
  <c r="IF118" i="3"/>
  <c r="IG118" i="3"/>
  <c r="IH118" i="3"/>
  <c r="II118" i="3"/>
  <c r="IJ118" i="3"/>
  <c r="IK118" i="3"/>
  <c r="IL118" i="3"/>
  <c r="IM118" i="3"/>
  <c r="IN118" i="3"/>
  <c r="IO118" i="3"/>
  <c r="IP118" i="3"/>
  <c r="IQ118" i="3"/>
  <c r="IR118" i="3"/>
  <c r="IS118" i="3"/>
  <c r="IT118" i="3"/>
  <c r="IU118" i="3"/>
  <c r="IV118" i="3"/>
  <c r="A117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AH117" i="3"/>
  <c r="AI117" i="3"/>
  <c r="AJ117" i="3"/>
  <c r="AK117" i="3"/>
  <c r="AL117" i="3"/>
  <c r="AM117" i="3"/>
  <c r="AN117" i="3"/>
  <c r="AO117" i="3"/>
  <c r="AP117" i="3"/>
  <c r="AQ117" i="3"/>
  <c r="AR117" i="3"/>
  <c r="AS117" i="3"/>
  <c r="AT117" i="3"/>
  <c r="AU117" i="3"/>
  <c r="AV117" i="3"/>
  <c r="AW117" i="3"/>
  <c r="AX117" i="3"/>
  <c r="AY117" i="3"/>
  <c r="AZ117" i="3"/>
  <c r="BA117" i="3"/>
  <c r="BB117" i="3"/>
  <c r="BC117" i="3"/>
  <c r="BD117" i="3"/>
  <c r="BE117" i="3"/>
  <c r="BF117" i="3"/>
  <c r="BG117" i="3"/>
  <c r="BH117" i="3"/>
  <c r="BI117" i="3"/>
  <c r="BJ117" i="3"/>
  <c r="BK117" i="3"/>
  <c r="BL117" i="3"/>
  <c r="BM117" i="3"/>
  <c r="BN117" i="3"/>
  <c r="BO117" i="3"/>
  <c r="BP117" i="3"/>
  <c r="BQ117" i="3"/>
  <c r="BR117" i="3"/>
  <c r="BS117" i="3"/>
  <c r="BT117" i="3"/>
  <c r="BU117" i="3"/>
  <c r="BV117" i="3"/>
  <c r="BW117" i="3"/>
  <c r="BX117" i="3"/>
  <c r="BY117" i="3"/>
  <c r="BZ117" i="3"/>
  <c r="CA117" i="3"/>
  <c r="CB117" i="3"/>
  <c r="CC117" i="3"/>
  <c r="CD117" i="3"/>
  <c r="CE117" i="3"/>
  <c r="CF117" i="3"/>
  <c r="CG117" i="3"/>
  <c r="CH117" i="3"/>
  <c r="CI117" i="3"/>
  <c r="CJ117" i="3"/>
  <c r="CK117" i="3"/>
  <c r="CL117" i="3"/>
  <c r="CM117" i="3"/>
  <c r="CN117" i="3"/>
  <c r="CO117" i="3"/>
  <c r="CP117" i="3"/>
  <c r="CQ117" i="3"/>
  <c r="CR117" i="3"/>
  <c r="CS117" i="3"/>
  <c r="CT117" i="3"/>
  <c r="CU117" i="3"/>
  <c r="CV117" i="3"/>
  <c r="CW117" i="3"/>
  <c r="CX117" i="3"/>
  <c r="CY117" i="3"/>
  <c r="CZ117" i="3"/>
  <c r="DA117" i="3"/>
  <c r="DB117" i="3"/>
  <c r="DC117" i="3"/>
  <c r="DD117" i="3"/>
  <c r="DE117" i="3"/>
  <c r="DF117" i="3"/>
  <c r="DG117" i="3"/>
  <c r="DH117" i="3"/>
  <c r="DI117" i="3"/>
  <c r="DJ117" i="3"/>
  <c r="DK117" i="3"/>
  <c r="DL117" i="3"/>
  <c r="DM117" i="3"/>
  <c r="DN117" i="3"/>
  <c r="DO117" i="3"/>
  <c r="DP117" i="3"/>
  <c r="DQ117" i="3"/>
  <c r="DR117" i="3"/>
  <c r="DS117" i="3"/>
  <c r="DT117" i="3"/>
  <c r="DU117" i="3"/>
  <c r="DV117" i="3"/>
  <c r="DW117" i="3"/>
  <c r="DX117" i="3"/>
  <c r="DY117" i="3"/>
  <c r="DZ117" i="3"/>
  <c r="EA117" i="3"/>
  <c r="EB117" i="3"/>
  <c r="EC117" i="3"/>
  <c r="ED117" i="3"/>
  <c r="EE117" i="3"/>
  <c r="EF117" i="3"/>
  <c r="EG117" i="3"/>
  <c r="EH117" i="3"/>
  <c r="EI117" i="3"/>
  <c r="EJ117" i="3"/>
  <c r="EK117" i="3"/>
  <c r="EL117" i="3"/>
  <c r="EM117" i="3"/>
  <c r="EN117" i="3"/>
  <c r="EO117" i="3"/>
  <c r="EP117" i="3"/>
  <c r="EQ117" i="3"/>
  <c r="ER117" i="3"/>
  <c r="ES117" i="3"/>
  <c r="ET117" i="3"/>
  <c r="EU117" i="3"/>
  <c r="EV117" i="3"/>
  <c r="EW117" i="3"/>
  <c r="EX117" i="3"/>
  <c r="EY117" i="3"/>
  <c r="EZ117" i="3"/>
  <c r="FA117" i="3"/>
  <c r="FB117" i="3"/>
  <c r="FC117" i="3"/>
  <c r="FD117" i="3"/>
  <c r="FE117" i="3"/>
  <c r="FF117" i="3"/>
  <c r="FG117" i="3"/>
  <c r="FH117" i="3"/>
  <c r="FI117" i="3"/>
  <c r="FJ117" i="3"/>
  <c r="FK117" i="3"/>
  <c r="FL117" i="3"/>
  <c r="FM117" i="3"/>
  <c r="FN117" i="3"/>
  <c r="FO117" i="3"/>
  <c r="FP117" i="3"/>
  <c r="FQ117" i="3"/>
  <c r="FR117" i="3"/>
  <c r="FS117" i="3"/>
  <c r="FT117" i="3"/>
  <c r="FU117" i="3"/>
  <c r="FV117" i="3"/>
  <c r="FW117" i="3"/>
  <c r="FX117" i="3"/>
  <c r="FY117" i="3"/>
  <c r="FZ117" i="3"/>
  <c r="GA117" i="3"/>
  <c r="GB117" i="3"/>
  <c r="GC117" i="3"/>
  <c r="GD117" i="3"/>
  <c r="GE117" i="3"/>
  <c r="GF117" i="3"/>
  <c r="GG117" i="3"/>
  <c r="GH117" i="3"/>
  <c r="GI117" i="3"/>
  <c r="GJ117" i="3"/>
  <c r="GK117" i="3"/>
  <c r="GL117" i="3"/>
  <c r="GM117" i="3"/>
  <c r="GN117" i="3"/>
  <c r="GO117" i="3"/>
  <c r="GP117" i="3"/>
  <c r="GQ117" i="3"/>
  <c r="GR117" i="3"/>
  <c r="GS117" i="3"/>
  <c r="GT117" i="3"/>
  <c r="GU117" i="3"/>
  <c r="GV117" i="3"/>
  <c r="GW117" i="3"/>
  <c r="GX117" i="3"/>
  <c r="GY117" i="3"/>
  <c r="GZ117" i="3"/>
  <c r="HA117" i="3"/>
  <c r="HB117" i="3"/>
  <c r="HC117" i="3"/>
  <c r="HD117" i="3"/>
  <c r="HE117" i="3"/>
  <c r="HF117" i="3"/>
  <c r="HG117" i="3"/>
  <c r="HH117" i="3"/>
  <c r="HI117" i="3"/>
  <c r="HJ117" i="3"/>
  <c r="HK117" i="3"/>
  <c r="HL117" i="3"/>
  <c r="HM117" i="3"/>
  <c r="HN117" i="3"/>
  <c r="HO117" i="3"/>
  <c r="HP117" i="3"/>
  <c r="HQ117" i="3"/>
  <c r="HR117" i="3"/>
  <c r="HS117" i="3"/>
  <c r="HT117" i="3"/>
  <c r="HU117" i="3"/>
  <c r="HV117" i="3"/>
  <c r="HW117" i="3"/>
  <c r="HX117" i="3"/>
  <c r="HY117" i="3"/>
  <c r="HZ117" i="3"/>
  <c r="IA117" i="3"/>
  <c r="IB117" i="3"/>
  <c r="IC117" i="3"/>
  <c r="ID117" i="3"/>
  <c r="IE117" i="3"/>
  <c r="IF117" i="3"/>
  <c r="IG117" i="3"/>
  <c r="IH117" i="3"/>
  <c r="II117" i="3"/>
  <c r="IJ117" i="3"/>
  <c r="IK117" i="3"/>
  <c r="IL117" i="3"/>
  <c r="IM117" i="3"/>
  <c r="IN117" i="3"/>
  <c r="IO117" i="3"/>
  <c r="IP117" i="3"/>
  <c r="IQ117" i="3"/>
  <c r="IR117" i="3"/>
  <c r="IS117" i="3"/>
  <c r="IT117" i="3"/>
  <c r="IU117" i="3"/>
  <c r="IV117" i="3"/>
  <c r="A116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AF116" i="3"/>
  <c r="AG116" i="3"/>
  <c r="AH116" i="3"/>
  <c r="AI116" i="3"/>
  <c r="AJ116" i="3"/>
  <c r="AK116" i="3"/>
  <c r="AL116" i="3"/>
  <c r="AM116" i="3"/>
  <c r="AN116" i="3"/>
  <c r="AO116" i="3"/>
  <c r="AP116" i="3"/>
  <c r="AQ116" i="3"/>
  <c r="AR116" i="3"/>
  <c r="AS116" i="3"/>
  <c r="AT116" i="3"/>
  <c r="AU116" i="3"/>
  <c r="AV116" i="3"/>
  <c r="AW116" i="3"/>
  <c r="AX116" i="3"/>
  <c r="AY116" i="3"/>
  <c r="AZ116" i="3"/>
  <c r="BA116" i="3"/>
  <c r="BB116" i="3"/>
  <c r="BC116" i="3"/>
  <c r="BD116" i="3"/>
  <c r="BE116" i="3"/>
  <c r="BF116" i="3"/>
  <c r="BG116" i="3"/>
  <c r="BH116" i="3"/>
  <c r="BI116" i="3"/>
  <c r="BJ116" i="3"/>
  <c r="BK116" i="3"/>
  <c r="BL116" i="3"/>
  <c r="BM116" i="3"/>
  <c r="BN116" i="3"/>
  <c r="BO116" i="3"/>
  <c r="BP116" i="3"/>
  <c r="BQ116" i="3"/>
  <c r="BR116" i="3"/>
  <c r="BS116" i="3"/>
  <c r="BT116" i="3"/>
  <c r="BU116" i="3"/>
  <c r="BV116" i="3"/>
  <c r="BW116" i="3"/>
  <c r="BX116" i="3"/>
  <c r="BY116" i="3"/>
  <c r="BZ116" i="3"/>
  <c r="CA116" i="3"/>
  <c r="CB116" i="3"/>
  <c r="CC116" i="3"/>
  <c r="CD116" i="3"/>
  <c r="CE116" i="3"/>
  <c r="CF116" i="3"/>
  <c r="CG116" i="3"/>
  <c r="CH116" i="3"/>
  <c r="CI116" i="3"/>
  <c r="CJ116" i="3"/>
  <c r="CK116" i="3"/>
  <c r="CL116" i="3"/>
  <c r="CM116" i="3"/>
  <c r="CN116" i="3"/>
  <c r="CO116" i="3"/>
  <c r="CP116" i="3"/>
  <c r="CQ116" i="3"/>
  <c r="CR116" i="3"/>
  <c r="CS116" i="3"/>
  <c r="CT116" i="3"/>
  <c r="CU116" i="3"/>
  <c r="CV116" i="3"/>
  <c r="CW116" i="3"/>
  <c r="CX116" i="3"/>
  <c r="CY116" i="3"/>
  <c r="CZ116" i="3"/>
  <c r="DA116" i="3"/>
  <c r="DB116" i="3"/>
  <c r="DC116" i="3"/>
  <c r="DD116" i="3"/>
  <c r="DE116" i="3"/>
  <c r="DF116" i="3"/>
  <c r="DG116" i="3"/>
  <c r="DH116" i="3"/>
  <c r="DI116" i="3"/>
  <c r="DJ116" i="3"/>
  <c r="DK116" i="3"/>
  <c r="DL116" i="3"/>
  <c r="DM116" i="3"/>
  <c r="DN116" i="3"/>
  <c r="DO116" i="3"/>
  <c r="DP116" i="3"/>
  <c r="DQ116" i="3"/>
  <c r="DR116" i="3"/>
  <c r="DS116" i="3"/>
  <c r="DT116" i="3"/>
  <c r="DU116" i="3"/>
  <c r="DV116" i="3"/>
  <c r="DW116" i="3"/>
  <c r="DX116" i="3"/>
  <c r="DY116" i="3"/>
  <c r="DZ116" i="3"/>
  <c r="EA116" i="3"/>
  <c r="EB116" i="3"/>
  <c r="EC116" i="3"/>
  <c r="ED116" i="3"/>
  <c r="EE116" i="3"/>
  <c r="EF116" i="3"/>
  <c r="EG116" i="3"/>
  <c r="EH116" i="3"/>
  <c r="EI116" i="3"/>
  <c r="EJ116" i="3"/>
  <c r="EK116" i="3"/>
  <c r="EL116" i="3"/>
  <c r="EM116" i="3"/>
  <c r="EN116" i="3"/>
  <c r="EO116" i="3"/>
  <c r="EP116" i="3"/>
  <c r="EQ116" i="3"/>
  <c r="ER116" i="3"/>
  <c r="ES116" i="3"/>
  <c r="ET116" i="3"/>
  <c r="EU116" i="3"/>
  <c r="EV116" i="3"/>
  <c r="EW116" i="3"/>
  <c r="EX116" i="3"/>
  <c r="EY116" i="3"/>
  <c r="EZ116" i="3"/>
  <c r="FA116" i="3"/>
  <c r="FB116" i="3"/>
  <c r="FC116" i="3"/>
  <c r="FD116" i="3"/>
  <c r="FE116" i="3"/>
  <c r="FF116" i="3"/>
  <c r="FG116" i="3"/>
  <c r="FH116" i="3"/>
  <c r="FI116" i="3"/>
  <c r="FJ116" i="3"/>
  <c r="FK116" i="3"/>
  <c r="FL116" i="3"/>
  <c r="FM116" i="3"/>
  <c r="FN116" i="3"/>
  <c r="FO116" i="3"/>
  <c r="FP116" i="3"/>
  <c r="FQ116" i="3"/>
  <c r="FR116" i="3"/>
  <c r="FS116" i="3"/>
  <c r="FT116" i="3"/>
  <c r="FU116" i="3"/>
  <c r="FV116" i="3"/>
  <c r="FW116" i="3"/>
  <c r="FX116" i="3"/>
  <c r="FY116" i="3"/>
  <c r="FZ116" i="3"/>
  <c r="GA116" i="3"/>
  <c r="GB116" i="3"/>
  <c r="GC116" i="3"/>
  <c r="GD116" i="3"/>
  <c r="GE116" i="3"/>
  <c r="GF116" i="3"/>
  <c r="GG116" i="3"/>
  <c r="GH116" i="3"/>
  <c r="GI116" i="3"/>
  <c r="GJ116" i="3"/>
  <c r="GK116" i="3"/>
  <c r="GL116" i="3"/>
  <c r="GM116" i="3"/>
  <c r="GN116" i="3"/>
  <c r="GO116" i="3"/>
  <c r="GP116" i="3"/>
  <c r="GQ116" i="3"/>
  <c r="GR116" i="3"/>
  <c r="GS116" i="3"/>
  <c r="GT116" i="3"/>
  <c r="GU116" i="3"/>
  <c r="GV116" i="3"/>
  <c r="GW116" i="3"/>
  <c r="GX116" i="3"/>
  <c r="GY116" i="3"/>
  <c r="GZ116" i="3"/>
  <c r="HA116" i="3"/>
  <c r="HB116" i="3"/>
  <c r="HC116" i="3"/>
  <c r="HD116" i="3"/>
  <c r="HE116" i="3"/>
  <c r="HF116" i="3"/>
  <c r="HG116" i="3"/>
  <c r="HH116" i="3"/>
  <c r="HI116" i="3"/>
  <c r="HJ116" i="3"/>
  <c r="HK116" i="3"/>
  <c r="HL116" i="3"/>
  <c r="HM116" i="3"/>
  <c r="HN116" i="3"/>
  <c r="HO116" i="3"/>
  <c r="HP116" i="3"/>
  <c r="HQ116" i="3"/>
  <c r="HR116" i="3"/>
  <c r="HS116" i="3"/>
  <c r="HT116" i="3"/>
  <c r="HU116" i="3"/>
  <c r="HV116" i="3"/>
  <c r="HW116" i="3"/>
  <c r="HX116" i="3"/>
  <c r="HY116" i="3"/>
  <c r="HZ116" i="3"/>
  <c r="IA116" i="3"/>
  <c r="IB116" i="3"/>
  <c r="IC116" i="3"/>
  <c r="ID116" i="3"/>
  <c r="IE116" i="3"/>
  <c r="IF116" i="3"/>
  <c r="IG116" i="3"/>
  <c r="IH116" i="3"/>
  <c r="II116" i="3"/>
  <c r="IJ116" i="3"/>
  <c r="IK116" i="3"/>
  <c r="IL116" i="3"/>
  <c r="IM116" i="3"/>
  <c r="IN116" i="3"/>
  <c r="IO116" i="3"/>
  <c r="IP116" i="3"/>
  <c r="IQ116" i="3"/>
  <c r="IR116" i="3"/>
  <c r="IS116" i="3"/>
  <c r="IT116" i="3"/>
  <c r="IU116" i="3"/>
  <c r="IV116" i="3"/>
  <c r="A115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AE115" i="3"/>
  <c r="AF115" i="3"/>
  <c r="AG115" i="3"/>
  <c r="AH115" i="3"/>
  <c r="AI115" i="3"/>
  <c r="AJ115" i="3"/>
  <c r="AK115" i="3"/>
  <c r="AL115" i="3"/>
  <c r="AM115" i="3"/>
  <c r="AN115" i="3"/>
  <c r="AO115" i="3"/>
  <c r="AP115" i="3"/>
  <c r="AQ115" i="3"/>
  <c r="AR115" i="3"/>
  <c r="AS115" i="3"/>
  <c r="AT115" i="3"/>
  <c r="AU115" i="3"/>
  <c r="AV115" i="3"/>
  <c r="AW115" i="3"/>
  <c r="AX115" i="3"/>
  <c r="AY115" i="3"/>
  <c r="AZ115" i="3"/>
  <c r="BA115" i="3"/>
  <c r="BB115" i="3"/>
  <c r="BC115" i="3"/>
  <c r="BD115" i="3"/>
  <c r="BE115" i="3"/>
  <c r="BF115" i="3"/>
  <c r="BG115" i="3"/>
  <c r="BH115" i="3"/>
  <c r="BI115" i="3"/>
  <c r="BJ115" i="3"/>
  <c r="BK115" i="3"/>
  <c r="BL115" i="3"/>
  <c r="BM115" i="3"/>
  <c r="BN115" i="3"/>
  <c r="BO115" i="3"/>
  <c r="BP115" i="3"/>
  <c r="BQ115" i="3"/>
  <c r="BR115" i="3"/>
  <c r="BS115" i="3"/>
  <c r="BT115" i="3"/>
  <c r="BU115" i="3"/>
  <c r="BV115" i="3"/>
  <c r="BW115" i="3"/>
  <c r="BX115" i="3"/>
  <c r="BY115" i="3"/>
  <c r="BZ115" i="3"/>
  <c r="CA115" i="3"/>
  <c r="CB115" i="3"/>
  <c r="CC115" i="3"/>
  <c r="CD115" i="3"/>
  <c r="CE115" i="3"/>
  <c r="CF115" i="3"/>
  <c r="CG115" i="3"/>
  <c r="CH115" i="3"/>
  <c r="CI115" i="3"/>
  <c r="CJ115" i="3"/>
  <c r="CK115" i="3"/>
  <c r="CL115" i="3"/>
  <c r="CM115" i="3"/>
  <c r="CN115" i="3"/>
  <c r="CO115" i="3"/>
  <c r="CP115" i="3"/>
  <c r="CQ115" i="3"/>
  <c r="CR115" i="3"/>
  <c r="CS115" i="3"/>
  <c r="CT115" i="3"/>
  <c r="CU115" i="3"/>
  <c r="CV115" i="3"/>
  <c r="CW115" i="3"/>
  <c r="CX115" i="3"/>
  <c r="CY115" i="3"/>
  <c r="CZ115" i="3"/>
  <c r="DA115" i="3"/>
  <c r="DB115" i="3"/>
  <c r="DC115" i="3"/>
  <c r="DD115" i="3"/>
  <c r="DE115" i="3"/>
  <c r="DF115" i="3"/>
  <c r="DG115" i="3"/>
  <c r="DH115" i="3"/>
  <c r="DI115" i="3"/>
  <c r="DJ115" i="3"/>
  <c r="DK115" i="3"/>
  <c r="DL115" i="3"/>
  <c r="DM115" i="3"/>
  <c r="DN115" i="3"/>
  <c r="DO115" i="3"/>
  <c r="DP115" i="3"/>
  <c r="DQ115" i="3"/>
  <c r="DR115" i="3"/>
  <c r="DS115" i="3"/>
  <c r="DT115" i="3"/>
  <c r="DU115" i="3"/>
  <c r="DV115" i="3"/>
  <c r="DW115" i="3"/>
  <c r="DX115" i="3"/>
  <c r="DY115" i="3"/>
  <c r="DZ115" i="3"/>
  <c r="EA115" i="3"/>
  <c r="EB115" i="3"/>
  <c r="EC115" i="3"/>
  <c r="ED115" i="3"/>
  <c r="EE115" i="3"/>
  <c r="EF115" i="3"/>
  <c r="EG115" i="3"/>
  <c r="EH115" i="3"/>
  <c r="EI115" i="3"/>
  <c r="EJ115" i="3"/>
  <c r="EK115" i="3"/>
  <c r="EL115" i="3"/>
  <c r="EM115" i="3"/>
  <c r="EN115" i="3"/>
  <c r="EO115" i="3"/>
  <c r="EP115" i="3"/>
  <c r="EQ115" i="3"/>
  <c r="ER115" i="3"/>
  <c r="ES115" i="3"/>
  <c r="ET115" i="3"/>
  <c r="EU115" i="3"/>
  <c r="EV115" i="3"/>
  <c r="EW115" i="3"/>
  <c r="EX115" i="3"/>
  <c r="EY115" i="3"/>
  <c r="EZ115" i="3"/>
  <c r="FA115" i="3"/>
  <c r="FB115" i="3"/>
  <c r="FC115" i="3"/>
  <c r="FD115" i="3"/>
  <c r="FE115" i="3"/>
  <c r="FF115" i="3"/>
  <c r="FG115" i="3"/>
  <c r="FH115" i="3"/>
  <c r="FI115" i="3"/>
  <c r="FJ115" i="3"/>
  <c r="FK115" i="3"/>
  <c r="FL115" i="3"/>
  <c r="FM115" i="3"/>
  <c r="FN115" i="3"/>
  <c r="FO115" i="3"/>
  <c r="FP115" i="3"/>
  <c r="FQ115" i="3"/>
  <c r="FR115" i="3"/>
  <c r="FS115" i="3"/>
  <c r="FT115" i="3"/>
  <c r="FU115" i="3"/>
  <c r="FV115" i="3"/>
  <c r="FW115" i="3"/>
  <c r="FX115" i="3"/>
  <c r="FY115" i="3"/>
  <c r="FZ115" i="3"/>
  <c r="GA115" i="3"/>
  <c r="GB115" i="3"/>
  <c r="GC115" i="3"/>
  <c r="GD115" i="3"/>
  <c r="GE115" i="3"/>
  <c r="GF115" i="3"/>
  <c r="GG115" i="3"/>
  <c r="GH115" i="3"/>
  <c r="GI115" i="3"/>
  <c r="GJ115" i="3"/>
  <c r="GK115" i="3"/>
  <c r="GL115" i="3"/>
  <c r="GM115" i="3"/>
  <c r="GN115" i="3"/>
  <c r="GO115" i="3"/>
  <c r="GP115" i="3"/>
  <c r="GQ115" i="3"/>
  <c r="GR115" i="3"/>
  <c r="GS115" i="3"/>
  <c r="GT115" i="3"/>
  <c r="GU115" i="3"/>
  <c r="GV115" i="3"/>
  <c r="GW115" i="3"/>
  <c r="GX115" i="3"/>
  <c r="GY115" i="3"/>
  <c r="GZ115" i="3"/>
  <c r="HA115" i="3"/>
  <c r="HB115" i="3"/>
  <c r="HC115" i="3"/>
  <c r="HD115" i="3"/>
  <c r="HE115" i="3"/>
  <c r="HF115" i="3"/>
  <c r="HG115" i="3"/>
  <c r="HH115" i="3"/>
  <c r="HI115" i="3"/>
  <c r="HJ115" i="3"/>
  <c r="HK115" i="3"/>
  <c r="HL115" i="3"/>
  <c r="HM115" i="3"/>
  <c r="HN115" i="3"/>
  <c r="HO115" i="3"/>
  <c r="HP115" i="3"/>
  <c r="HQ115" i="3"/>
  <c r="HR115" i="3"/>
  <c r="HS115" i="3"/>
  <c r="HT115" i="3"/>
  <c r="HU115" i="3"/>
  <c r="HV115" i="3"/>
  <c r="HW115" i="3"/>
  <c r="HX115" i="3"/>
  <c r="HY115" i="3"/>
  <c r="HZ115" i="3"/>
  <c r="IA115" i="3"/>
  <c r="IB115" i="3"/>
  <c r="IC115" i="3"/>
  <c r="ID115" i="3"/>
  <c r="IE115" i="3"/>
  <c r="IF115" i="3"/>
  <c r="IG115" i="3"/>
  <c r="IH115" i="3"/>
  <c r="II115" i="3"/>
  <c r="IJ115" i="3"/>
  <c r="IK115" i="3"/>
  <c r="IL115" i="3"/>
  <c r="IM115" i="3"/>
  <c r="IN115" i="3"/>
  <c r="IO115" i="3"/>
  <c r="IP115" i="3"/>
  <c r="IQ115" i="3"/>
  <c r="IR115" i="3"/>
  <c r="IS115" i="3"/>
  <c r="IT115" i="3"/>
  <c r="IU115" i="3"/>
  <c r="IV115" i="3"/>
  <c r="A114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AE114" i="3"/>
  <c r="AF114" i="3"/>
  <c r="AG114" i="3"/>
  <c r="AH114" i="3"/>
  <c r="AI114" i="3"/>
  <c r="AJ114" i="3"/>
  <c r="AK114" i="3"/>
  <c r="AL114" i="3"/>
  <c r="AM114" i="3"/>
  <c r="AN114" i="3"/>
  <c r="AO114" i="3"/>
  <c r="AP114" i="3"/>
  <c r="AQ114" i="3"/>
  <c r="AR114" i="3"/>
  <c r="AS114" i="3"/>
  <c r="AT114" i="3"/>
  <c r="AU114" i="3"/>
  <c r="AV114" i="3"/>
  <c r="AW114" i="3"/>
  <c r="AX114" i="3"/>
  <c r="AY114" i="3"/>
  <c r="AZ114" i="3"/>
  <c r="BA114" i="3"/>
  <c r="BB114" i="3"/>
  <c r="BC114" i="3"/>
  <c r="BD114" i="3"/>
  <c r="BE114" i="3"/>
  <c r="BF114" i="3"/>
  <c r="BG114" i="3"/>
  <c r="BH114" i="3"/>
  <c r="BI114" i="3"/>
  <c r="BJ114" i="3"/>
  <c r="BK114" i="3"/>
  <c r="BL114" i="3"/>
  <c r="BM114" i="3"/>
  <c r="BN114" i="3"/>
  <c r="BO114" i="3"/>
  <c r="BP114" i="3"/>
  <c r="BQ114" i="3"/>
  <c r="BR114" i="3"/>
  <c r="BS114" i="3"/>
  <c r="BT114" i="3"/>
  <c r="BU114" i="3"/>
  <c r="BV114" i="3"/>
  <c r="BW114" i="3"/>
  <c r="BX114" i="3"/>
  <c r="BY114" i="3"/>
  <c r="BZ114" i="3"/>
  <c r="CA114" i="3"/>
  <c r="CB114" i="3"/>
  <c r="CC114" i="3"/>
  <c r="CD114" i="3"/>
  <c r="CE114" i="3"/>
  <c r="CF114" i="3"/>
  <c r="CG114" i="3"/>
  <c r="CH114" i="3"/>
  <c r="CI114" i="3"/>
  <c r="CJ114" i="3"/>
  <c r="CK114" i="3"/>
  <c r="CL114" i="3"/>
  <c r="CM114" i="3"/>
  <c r="CN114" i="3"/>
  <c r="CO114" i="3"/>
  <c r="CP114" i="3"/>
  <c r="CQ114" i="3"/>
  <c r="CR114" i="3"/>
  <c r="CS114" i="3"/>
  <c r="CT114" i="3"/>
  <c r="CU114" i="3"/>
  <c r="CV114" i="3"/>
  <c r="CW114" i="3"/>
  <c r="CX114" i="3"/>
  <c r="CY114" i="3"/>
  <c r="CZ114" i="3"/>
  <c r="DA114" i="3"/>
  <c r="DB114" i="3"/>
  <c r="DC114" i="3"/>
  <c r="DD114" i="3"/>
  <c r="DE114" i="3"/>
  <c r="DF114" i="3"/>
  <c r="DG114" i="3"/>
  <c r="DH114" i="3"/>
  <c r="DI114" i="3"/>
  <c r="DJ114" i="3"/>
  <c r="DK114" i="3"/>
  <c r="DL114" i="3"/>
  <c r="DM114" i="3"/>
  <c r="DN114" i="3"/>
  <c r="DO114" i="3"/>
  <c r="DP114" i="3"/>
  <c r="DQ114" i="3"/>
  <c r="DR114" i="3"/>
  <c r="DS114" i="3"/>
  <c r="DT114" i="3"/>
  <c r="DU114" i="3"/>
  <c r="DV114" i="3"/>
  <c r="DW114" i="3"/>
  <c r="DX114" i="3"/>
  <c r="DY114" i="3"/>
  <c r="DZ114" i="3"/>
  <c r="EA114" i="3"/>
  <c r="EB114" i="3"/>
  <c r="EC114" i="3"/>
  <c r="ED114" i="3"/>
  <c r="EE114" i="3"/>
  <c r="EF114" i="3"/>
  <c r="EG114" i="3"/>
  <c r="EH114" i="3"/>
  <c r="EI114" i="3"/>
  <c r="EJ114" i="3"/>
  <c r="EK114" i="3"/>
  <c r="EL114" i="3"/>
  <c r="EM114" i="3"/>
  <c r="EN114" i="3"/>
  <c r="EO114" i="3"/>
  <c r="EP114" i="3"/>
  <c r="EQ114" i="3"/>
  <c r="ER114" i="3"/>
  <c r="ES114" i="3"/>
  <c r="ET114" i="3"/>
  <c r="EU114" i="3"/>
  <c r="EV114" i="3"/>
  <c r="EW114" i="3"/>
  <c r="EX114" i="3"/>
  <c r="EY114" i="3"/>
  <c r="EZ114" i="3"/>
  <c r="FA114" i="3"/>
  <c r="FB114" i="3"/>
  <c r="FC114" i="3"/>
  <c r="FD114" i="3"/>
  <c r="FE114" i="3"/>
  <c r="FF114" i="3"/>
  <c r="FG114" i="3"/>
  <c r="FH114" i="3"/>
  <c r="FI114" i="3"/>
  <c r="FJ114" i="3"/>
  <c r="FK114" i="3"/>
  <c r="FL114" i="3"/>
  <c r="FM114" i="3"/>
  <c r="FN114" i="3"/>
  <c r="FO114" i="3"/>
  <c r="FP114" i="3"/>
  <c r="FQ114" i="3"/>
  <c r="FR114" i="3"/>
  <c r="FS114" i="3"/>
  <c r="FT114" i="3"/>
  <c r="FU114" i="3"/>
  <c r="FV114" i="3"/>
  <c r="FW114" i="3"/>
  <c r="FX114" i="3"/>
  <c r="FY114" i="3"/>
  <c r="FZ114" i="3"/>
  <c r="GA114" i="3"/>
  <c r="GB114" i="3"/>
  <c r="GC114" i="3"/>
  <c r="GD114" i="3"/>
  <c r="GE114" i="3"/>
  <c r="GF114" i="3"/>
  <c r="GG114" i="3"/>
  <c r="GH114" i="3"/>
  <c r="GI114" i="3"/>
  <c r="GJ114" i="3"/>
  <c r="GK114" i="3"/>
  <c r="GL114" i="3"/>
  <c r="GM114" i="3"/>
  <c r="GN114" i="3"/>
  <c r="GO114" i="3"/>
  <c r="GP114" i="3"/>
  <c r="GQ114" i="3"/>
  <c r="GR114" i="3"/>
  <c r="GS114" i="3"/>
  <c r="GT114" i="3"/>
  <c r="GU114" i="3"/>
  <c r="GV114" i="3"/>
  <c r="GW114" i="3"/>
  <c r="GX114" i="3"/>
  <c r="GY114" i="3"/>
  <c r="GZ114" i="3"/>
  <c r="HA114" i="3"/>
  <c r="HB114" i="3"/>
  <c r="HC114" i="3"/>
  <c r="HD114" i="3"/>
  <c r="HE114" i="3"/>
  <c r="HF114" i="3"/>
  <c r="HG114" i="3"/>
  <c r="HH114" i="3"/>
  <c r="HI114" i="3"/>
  <c r="HJ114" i="3"/>
  <c r="HK114" i="3"/>
  <c r="HL114" i="3"/>
  <c r="HM114" i="3"/>
  <c r="HN114" i="3"/>
  <c r="HO114" i="3"/>
  <c r="HP114" i="3"/>
  <c r="HQ114" i="3"/>
  <c r="HR114" i="3"/>
  <c r="HS114" i="3"/>
  <c r="HT114" i="3"/>
  <c r="HU114" i="3"/>
  <c r="HV114" i="3"/>
  <c r="HW114" i="3"/>
  <c r="HX114" i="3"/>
  <c r="HY114" i="3"/>
  <c r="HZ114" i="3"/>
  <c r="IA114" i="3"/>
  <c r="IB114" i="3"/>
  <c r="IC114" i="3"/>
  <c r="ID114" i="3"/>
  <c r="IE114" i="3"/>
  <c r="IF114" i="3"/>
  <c r="IG114" i="3"/>
  <c r="IH114" i="3"/>
  <c r="II114" i="3"/>
  <c r="IJ114" i="3"/>
  <c r="IK114" i="3"/>
  <c r="IL114" i="3"/>
  <c r="IM114" i="3"/>
  <c r="IN114" i="3"/>
  <c r="IO114" i="3"/>
  <c r="IP114" i="3"/>
  <c r="IQ114" i="3"/>
  <c r="IR114" i="3"/>
  <c r="IS114" i="3"/>
  <c r="IT114" i="3"/>
  <c r="IU114" i="3"/>
  <c r="IV114" i="3"/>
  <c r="A113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AE113" i="3"/>
  <c r="AF113" i="3"/>
  <c r="AG113" i="3"/>
  <c r="AH113" i="3"/>
  <c r="AI113" i="3"/>
  <c r="AJ113" i="3"/>
  <c r="AK113" i="3"/>
  <c r="AL113" i="3"/>
  <c r="AM113" i="3"/>
  <c r="AN113" i="3"/>
  <c r="AO113" i="3"/>
  <c r="AP113" i="3"/>
  <c r="AQ113" i="3"/>
  <c r="AR113" i="3"/>
  <c r="AS113" i="3"/>
  <c r="AT113" i="3"/>
  <c r="AU113" i="3"/>
  <c r="AV113" i="3"/>
  <c r="AW113" i="3"/>
  <c r="AX113" i="3"/>
  <c r="AY113" i="3"/>
  <c r="AZ113" i="3"/>
  <c r="BA113" i="3"/>
  <c r="BB113" i="3"/>
  <c r="BC113" i="3"/>
  <c r="BD113" i="3"/>
  <c r="BE113" i="3"/>
  <c r="BF113" i="3"/>
  <c r="BG113" i="3"/>
  <c r="BH113" i="3"/>
  <c r="BI113" i="3"/>
  <c r="BJ113" i="3"/>
  <c r="BK113" i="3"/>
  <c r="BL113" i="3"/>
  <c r="BM113" i="3"/>
  <c r="BN113" i="3"/>
  <c r="BO113" i="3"/>
  <c r="BP113" i="3"/>
  <c r="BQ113" i="3"/>
  <c r="BR113" i="3"/>
  <c r="BS113" i="3"/>
  <c r="BT113" i="3"/>
  <c r="BU113" i="3"/>
  <c r="BV113" i="3"/>
  <c r="BW113" i="3"/>
  <c r="BX113" i="3"/>
  <c r="BY113" i="3"/>
  <c r="BZ113" i="3"/>
  <c r="CA113" i="3"/>
  <c r="CB113" i="3"/>
  <c r="CC113" i="3"/>
  <c r="CD113" i="3"/>
  <c r="CE113" i="3"/>
  <c r="CF113" i="3"/>
  <c r="CG113" i="3"/>
  <c r="CH113" i="3"/>
  <c r="CI113" i="3"/>
  <c r="CJ113" i="3"/>
  <c r="CK113" i="3"/>
  <c r="CL113" i="3"/>
  <c r="CM113" i="3"/>
  <c r="CN113" i="3"/>
  <c r="CO113" i="3"/>
  <c r="CP113" i="3"/>
  <c r="CQ113" i="3"/>
  <c r="CR113" i="3"/>
  <c r="CS113" i="3"/>
  <c r="CT113" i="3"/>
  <c r="CU113" i="3"/>
  <c r="CV113" i="3"/>
  <c r="CW113" i="3"/>
  <c r="CX113" i="3"/>
  <c r="CY113" i="3"/>
  <c r="CZ113" i="3"/>
  <c r="DA113" i="3"/>
  <c r="DB113" i="3"/>
  <c r="DC113" i="3"/>
  <c r="DD113" i="3"/>
  <c r="DE113" i="3"/>
  <c r="DF113" i="3"/>
  <c r="DG113" i="3"/>
  <c r="DH113" i="3"/>
  <c r="DI113" i="3"/>
  <c r="DJ113" i="3"/>
  <c r="DK113" i="3"/>
  <c r="DL113" i="3"/>
  <c r="DM113" i="3"/>
  <c r="DN113" i="3"/>
  <c r="DO113" i="3"/>
  <c r="DP113" i="3"/>
  <c r="DQ113" i="3"/>
  <c r="DR113" i="3"/>
  <c r="DS113" i="3"/>
  <c r="DT113" i="3"/>
  <c r="DU113" i="3"/>
  <c r="DV113" i="3"/>
  <c r="DW113" i="3"/>
  <c r="DX113" i="3"/>
  <c r="DY113" i="3"/>
  <c r="DZ113" i="3"/>
  <c r="EA113" i="3"/>
  <c r="EB113" i="3"/>
  <c r="EC113" i="3"/>
  <c r="ED113" i="3"/>
  <c r="EE113" i="3"/>
  <c r="EF113" i="3"/>
  <c r="EG113" i="3"/>
  <c r="EH113" i="3"/>
  <c r="EI113" i="3"/>
  <c r="EJ113" i="3"/>
  <c r="EK113" i="3"/>
  <c r="EL113" i="3"/>
  <c r="EM113" i="3"/>
  <c r="EN113" i="3"/>
  <c r="EO113" i="3"/>
  <c r="EP113" i="3"/>
  <c r="EQ113" i="3"/>
  <c r="ER113" i="3"/>
  <c r="ES113" i="3"/>
  <c r="ET113" i="3"/>
  <c r="EU113" i="3"/>
  <c r="EV113" i="3"/>
  <c r="EW113" i="3"/>
  <c r="EX113" i="3"/>
  <c r="EY113" i="3"/>
  <c r="EZ113" i="3"/>
  <c r="FA113" i="3"/>
  <c r="FB113" i="3"/>
  <c r="FC113" i="3"/>
  <c r="FD113" i="3"/>
  <c r="FE113" i="3"/>
  <c r="FF113" i="3"/>
  <c r="FG113" i="3"/>
  <c r="FH113" i="3"/>
  <c r="FI113" i="3"/>
  <c r="FJ113" i="3"/>
  <c r="FK113" i="3"/>
  <c r="FL113" i="3"/>
  <c r="FM113" i="3"/>
  <c r="FN113" i="3"/>
  <c r="FO113" i="3"/>
  <c r="FP113" i="3"/>
  <c r="FQ113" i="3"/>
  <c r="FR113" i="3"/>
  <c r="FS113" i="3"/>
  <c r="FT113" i="3"/>
  <c r="FU113" i="3"/>
  <c r="FV113" i="3"/>
  <c r="FW113" i="3"/>
  <c r="FX113" i="3"/>
  <c r="FY113" i="3"/>
  <c r="FZ113" i="3"/>
  <c r="GA113" i="3"/>
  <c r="GB113" i="3"/>
  <c r="GC113" i="3"/>
  <c r="GD113" i="3"/>
  <c r="GE113" i="3"/>
  <c r="GF113" i="3"/>
  <c r="GG113" i="3"/>
  <c r="GH113" i="3"/>
  <c r="GI113" i="3"/>
  <c r="GJ113" i="3"/>
  <c r="GK113" i="3"/>
  <c r="GL113" i="3"/>
  <c r="GM113" i="3"/>
  <c r="GN113" i="3"/>
  <c r="GO113" i="3"/>
  <c r="GP113" i="3"/>
  <c r="GQ113" i="3"/>
  <c r="GR113" i="3"/>
  <c r="GS113" i="3"/>
  <c r="GT113" i="3"/>
  <c r="GU113" i="3"/>
  <c r="GV113" i="3"/>
  <c r="GW113" i="3"/>
  <c r="GX113" i="3"/>
  <c r="GY113" i="3"/>
  <c r="GZ113" i="3"/>
  <c r="HA113" i="3"/>
  <c r="HB113" i="3"/>
  <c r="HC113" i="3"/>
  <c r="HD113" i="3"/>
  <c r="HE113" i="3"/>
  <c r="HF113" i="3"/>
  <c r="HG113" i="3"/>
  <c r="HH113" i="3"/>
  <c r="HI113" i="3"/>
  <c r="HJ113" i="3"/>
  <c r="HK113" i="3"/>
  <c r="HL113" i="3"/>
  <c r="HM113" i="3"/>
  <c r="HN113" i="3"/>
  <c r="HO113" i="3"/>
  <c r="HP113" i="3"/>
  <c r="HQ113" i="3"/>
  <c r="HR113" i="3"/>
  <c r="HS113" i="3"/>
  <c r="HT113" i="3"/>
  <c r="HU113" i="3"/>
  <c r="HV113" i="3"/>
  <c r="HW113" i="3"/>
  <c r="HX113" i="3"/>
  <c r="HY113" i="3"/>
  <c r="HZ113" i="3"/>
  <c r="IA113" i="3"/>
  <c r="IB113" i="3"/>
  <c r="IC113" i="3"/>
  <c r="ID113" i="3"/>
  <c r="IE113" i="3"/>
  <c r="IF113" i="3"/>
  <c r="IG113" i="3"/>
  <c r="IH113" i="3"/>
  <c r="II113" i="3"/>
  <c r="IJ113" i="3"/>
  <c r="IK113" i="3"/>
  <c r="IL113" i="3"/>
  <c r="IM113" i="3"/>
  <c r="IN113" i="3"/>
  <c r="IO113" i="3"/>
  <c r="IP113" i="3"/>
  <c r="IQ113" i="3"/>
  <c r="IR113" i="3"/>
  <c r="IS113" i="3"/>
  <c r="IT113" i="3"/>
  <c r="IU113" i="3"/>
  <c r="IV113" i="3"/>
  <c r="A112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AF112" i="3"/>
  <c r="AG112" i="3"/>
  <c r="AH112" i="3"/>
  <c r="AI112" i="3"/>
  <c r="AJ112" i="3"/>
  <c r="AK112" i="3"/>
  <c r="AL112" i="3"/>
  <c r="AM112" i="3"/>
  <c r="AN112" i="3"/>
  <c r="AO112" i="3"/>
  <c r="AP112" i="3"/>
  <c r="AQ112" i="3"/>
  <c r="AR112" i="3"/>
  <c r="AS112" i="3"/>
  <c r="AT112" i="3"/>
  <c r="AU112" i="3"/>
  <c r="AV112" i="3"/>
  <c r="AW112" i="3"/>
  <c r="AX112" i="3"/>
  <c r="AY112" i="3"/>
  <c r="AZ112" i="3"/>
  <c r="BA112" i="3"/>
  <c r="BB112" i="3"/>
  <c r="BC112" i="3"/>
  <c r="BD112" i="3"/>
  <c r="BE112" i="3"/>
  <c r="BF112" i="3"/>
  <c r="BG112" i="3"/>
  <c r="BH112" i="3"/>
  <c r="BI112" i="3"/>
  <c r="BJ112" i="3"/>
  <c r="BK112" i="3"/>
  <c r="BL112" i="3"/>
  <c r="BM112" i="3"/>
  <c r="BN112" i="3"/>
  <c r="BO112" i="3"/>
  <c r="BP112" i="3"/>
  <c r="BQ112" i="3"/>
  <c r="BR112" i="3"/>
  <c r="BS112" i="3"/>
  <c r="BT112" i="3"/>
  <c r="BU112" i="3"/>
  <c r="BV112" i="3"/>
  <c r="BW112" i="3"/>
  <c r="BX112" i="3"/>
  <c r="BY112" i="3"/>
  <c r="BZ112" i="3"/>
  <c r="CA112" i="3"/>
  <c r="CB112" i="3"/>
  <c r="CC112" i="3"/>
  <c r="CD112" i="3"/>
  <c r="CE112" i="3"/>
  <c r="CF112" i="3"/>
  <c r="CG112" i="3"/>
  <c r="CH112" i="3"/>
  <c r="CI112" i="3"/>
  <c r="CJ112" i="3"/>
  <c r="CK112" i="3"/>
  <c r="CL112" i="3"/>
  <c r="CM112" i="3"/>
  <c r="CN112" i="3"/>
  <c r="CO112" i="3"/>
  <c r="CP112" i="3"/>
  <c r="CQ112" i="3"/>
  <c r="CR112" i="3"/>
  <c r="CS112" i="3"/>
  <c r="CT112" i="3"/>
  <c r="CU112" i="3"/>
  <c r="CV112" i="3"/>
  <c r="CW112" i="3"/>
  <c r="CX112" i="3"/>
  <c r="CY112" i="3"/>
  <c r="CZ112" i="3"/>
  <c r="DA112" i="3"/>
  <c r="DB112" i="3"/>
  <c r="DC112" i="3"/>
  <c r="DD112" i="3"/>
  <c r="DE112" i="3"/>
  <c r="DF112" i="3"/>
  <c r="DG112" i="3"/>
  <c r="DH112" i="3"/>
  <c r="DI112" i="3"/>
  <c r="DJ112" i="3"/>
  <c r="DK112" i="3"/>
  <c r="DL112" i="3"/>
  <c r="DM112" i="3"/>
  <c r="DN112" i="3"/>
  <c r="DO112" i="3"/>
  <c r="DP112" i="3"/>
  <c r="DQ112" i="3"/>
  <c r="DR112" i="3"/>
  <c r="DS112" i="3"/>
  <c r="DT112" i="3"/>
  <c r="DU112" i="3"/>
  <c r="DV112" i="3"/>
  <c r="DW112" i="3"/>
  <c r="DX112" i="3"/>
  <c r="DY112" i="3"/>
  <c r="DZ112" i="3"/>
  <c r="EA112" i="3"/>
  <c r="EB112" i="3"/>
  <c r="EC112" i="3"/>
  <c r="ED112" i="3"/>
  <c r="EE112" i="3"/>
  <c r="EF112" i="3"/>
  <c r="EG112" i="3"/>
  <c r="EH112" i="3"/>
  <c r="EI112" i="3"/>
  <c r="EJ112" i="3"/>
  <c r="EK112" i="3"/>
  <c r="EL112" i="3"/>
  <c r="EM112" i="3"/>
  <c r="EN112" i="3"/>
  <c r="EO112" i="3"/>
  <c r="EP112" i="3"/>
  <c r="EQ112" i="3"/>
  <c r="ER112" i="3"/>
  <c r="ES112" i="3"/>
  <c r="ET112" i="3"/>
  <c r="EU112" i="3"/>
  <c r="EV112" i="3"/>
  <c r="EW112" i="3"/>
  <c r="EX112" i="3"/>
  <c r="EY112" i="3"/>
  <c r="EZ112" i="3"/>
  <c r="FA112" i="3"/>
  <c r="FB112" i="3"/>
  <c r="FC112" i="3"/>
  <c r="FD112" i="3"/>
  <c r="FE112" i="3"/>
  <c r="FF112" i="3"/>
  <c r="FG112" i="3"/>
  <c r="FH112" i="3"/>
  <c r="FI112" i="3"/>
  <c r="FJ112" i="3"/>
  <c r="FK112" i="3"/>
  <c r="FL112" i="3"/>
  <c r="FM112" i="3"/>
  <c r="FN112" i="3"/>
  <c r="FO112" i="3"/>
  <c r="FP112" i="3"/>
  <c r="FQ112" i="3"/>
  <c r="FR112" i="3"/>
  <c r="FS112" i="3"/>
  <c r="FT112" i="3"/>
  <c r="FU112" i="3"/>
  <c r="FV112" i="3"/>
  <c r="FW112" i="3"/>
  <c r="FX112" i="3"/>
  <c r="FY112" i="3"/>
  <c r="FZ112" i="3"/>
  <c r="GA112" i="3"/>
  <c r="GB112" i="3"/>
  <c r="GC112" i="3"/>
  <c r="GD112" i="3"/>
  <c r="GE112" i="3"/>
  <c r="GF112" i="3"/>
  <c r="GG112" i="3"/>
  <c r="GH112" i="3"/>
  <c r="GI112" i="3"/>
  <c r="GJ112" i="3"/>
  <c r="GK112" i="3"/>
  <c r="GL112" i="3"/>
  <c r="GM112" i="3"/>
  <c r="GN112" i="3"/>
  <c r="GO112" i="3"/>
  <c r="GP112" i="3"/>
  <c r="GQ112" i="3"/>
  <c r="GR112" i="3"/>
  <c r="GS112" i="3"/>
  <c r="GT112" i="3"/>
  <c r="GU112" i="3"/>
  <c r="GV112" i="3"/>
  <c r="GW112" i="3"/>
  <c r="GX112" i="3"/>
  <c r="GY112" i="3"/>
  <c r="GZ112" i="3"/>
  <c r="HA112" i="3"/>
  <c r="HB112" i="3"/>
  <c r="HC112" i="3"/>
  <c r="HD112" i="3"/>
  <c r="HE112" i="3"/>
  <c r="HF112" i="3"/>
  <c r="HG112" i="3"/>
  <c r="HH112" i="3"/>
  <c r="HI112" i="3"/>
  <c r="HJ112" i="3"/>
  <c r="HK112" i="3"/>
  <c r="HL112" i="3"/>
  <c r="HM112" i="3"/>
  <c r="HN112" i="3"/>
  <c r="HO112" i="3"/>
  <c r="HP112" i="3"/>
  <c r="HQ112" i="3"/>
  <c r="HR112" i="3"/>
  <c r="HS112" i="3"/>
  <c r="HT112" i="3"/>
  <c r="HU112" i="3"/>
  <c r="HV112" i="3"/>
  <c r="HW112" i="3"/>
  <c r="HX112" i="3"/>
  <c r="HY112" i="3"/>
  <c r="HZ112" i="3"/>
  <c r="IA112" i="3"/>
  <c r="IB112" i="3"/>
  <c r="IC112" i="3"/>
  <c r="ID112" i="3"/>
  <c r="IE112" i="3"/>
  <c r="IF112" i="3"/>
  <c r="IG112" i="3"/>
  <c r="IH112" i="3"/>
  <c r="II112" i="3"/>
  <c r="IJ112" i="3"/>
  <c r="IK112" i="3"/>
  <c r="IL112" i="3"/>
  <c r="IM112" i="3"/>
  <c r="IN112" i="3"/>
  <c r="IO112" i="3"/>
  <c r="IP112" i="3"/>
  <c r="IQ112" i="3"/>
  <c r="IR112" i="3"/>
  <c r="IS112" i="3"/>
  <c r="IT112" i="3"/>
  <c r="IU112" i="3"/>
  <c r="IV112" i="3"/>
  <c r="A111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AF111" i="3"/>
  <c r="AG111" i="3"/>
  <c r="AH111" i="3"/>
  <c r="AI111" i="3"/>
  <c r="AJ111" i="3"/>
  <c r="AK111" i="3"/>
  <c r="AL111" i="3"/>
  <c r="AM111" i="3"/>
  <c r="AN111" i="3"/>
  <c r="AO111" i="3"/>
  <c r="AP111" i="3"/>
  <c r="AQ111" i="3"/>
  <c r="AR111" i="3"/>
  <c r="AS111" i="3"/>
  <c r="AT111" i="3"/>
  <c r="AU111" i="3"/>
  <c r="AV111" i="3"/>
  <c r="AW111" i="3"/>
  <c r="AX111" i="3"/>
  <c r="AY111" i="3"/>
  <c r="AZ111" i="3"/>
  <c r="BA111" i="3"/>
  <c r="BB111" i="3"/>
  <c r="BC111" i="3"/>
  <c r="BD111" i="3"/>
  <c r="BE111" i="3"/>
  <c r="BF111" i="3"/>
  <c r="BG111" i="3"/>
  <c r="BH111" i="3"/>
  <c r="BI111" i="3"/>
  <c r="BJ111" i="3"/>
  <c r="BK111" i="3"/>
  <c r="BL111" i="3"/>
  <c r="BM111" i="3"/>
  <c r="BN111" i="3"/>
  <c r="BO111" i="3"/>
  <c r="BP111" i="3"/>
  <c r="BQ111" i="3"/>
  <c r="BR111" i="3"/>
  <c r="BS111" i="3"/>
  <c r="BT111" i="3"/>
  <c r="BU111" i="3"/>
  <c r="BV111" i="3"/>
  <c r="BW111" i="3"/>
  <c r="BX111" i="3"/>
  <c r="BY111" i="3"/>
  <c r="BZ111" i="3"/>
  <c r="CA111" i="3"/>
  <c r="CB111" i="3"/>
  <c r="CC111" i="3"/>
  <c r="CD111" i="3"/>
  <c r="CE111" i="3"/>
  <c r="CF111" i="3"/>
  <c r="CG111" i="3"/>
  <c r="CH111" i="3"/>
  <c r="CI111" i="3"/>
  <c r="CJ111" i="3"/>
  <c r="CK111" i="3"/>
  <c r="CL111" i="3"/>
  <c r="CM111" i="3"/>
  <c r="CN111" i="3"/>
  <c r="CO111" i="3"/>
  <c r="CP111" i="3"/>
  <c r="CQ111" i="3"/>
  <c r="CR111" i="3"/>
  <c r="CS111" i="3"/>
  <c r="CT111" i="3"/>
  <c r="CU111" i="3"/>
  <c r="CV111" i="3"/>
  <c r="CW111" i="3"/>
  <c r="CX111" i="3"/>
  <c r="CY111" i="3"/>
  <c r="CZ111" i="3"/>
  <c r="DA111" i="3"/>
  <c r="DB111" i="3"/>
  <c r="DC111" i="3"/>
  <c r="DD111" i="3"/>
  <c r="DE111" i="3"/>
  <c r="DF111" i="3"/>
  <c r="DG111" i="3"/>
  <c r="DH111" i="3"/>
  <c r="DI111" i="3"/>
  <c r="DJ111" i="3"/>
  <c r="DK111" i="3"/>
  <c r="DL111" i="3"/>
  <c r="DM111" i="3"/>
  <c r="DN111" i="3"/>
  <c r="DO111" i="3"/>
  <c r="DP111" i="3"/>
  <c r="DQ111" i="3"/>
  <c r="DR111" i="3"/>
  <c r="DS111" i="3"/>
  <c r="DT111" i="3"/>
  <c r="DU111" i="3"/>
  <c r="DV111" i="3"/>
  <c r="DW111" i="3"/>
  <c r="DX111" i="3"/>
  <c r="DY111" i="3"/>
  <c r="DZ111" i="3"/>
  <c r="EA111" i="3"/>
  <c r="EB111" i="3"/>
  <c r="EC111" i="3"/>
  <c r="ED111" i="3"/>
  <c r="EE111" i="3"/>
  <c r="EF111" i="3"/>
  <c r="EG111" i="3"/>
  <c r="EH111" i="3"/>
  <c r="EI111" i="3"/>
  <c r="EJ111" i="3"/>
  <c r="EK111" i="3"/>
  <c r="EL111" i="3"/>
  <c r="EM111" i="3"/>
  <c r="EN111" i="3"/>
  <c r="EO111" i="3"/>
  <c r="EP111" i="3"/>
  <c r="EQ111" i="3"/>
  <c r="ER111" i="3"/>
  <c r="ES111" i="3"/>
  <c r="ET111" i="3"/>
  <c r="EU111" i="3"/>
  <c r="EV111" i="3"/>
  <c r="EW111" i="3"/>
  <c r="EX111" i="3"/>
  <c r="EY111" i="3"/>
  <c r="EZ111" i="3"/>
  <c r="FA111" i="3"/>
  <c r="FB111" i="3"/>
  <c r="FC111" i="3"/>
  <c r="FD111" i="3"/>
  <c r="FE111" i="3"/>
  <c r="FF111" i="3"/>
  <c r="FG111" i="3"/>
  <c r="FH111" i="3"/>
  <c r="FI111" i="3"/>
  <c r="FJ111" i="3"/>
  <c r="FK111" i="3"/>
  <c r="FL111" i="3"/>
  <c r="FM111" i="3"/>
  <c r="FN111" i="3"/>
  <c r="FO111" i="3"/>
  <c r="FP111" i="3"/>
  <c r="FQ111" i="3"/>
  <c r="FR111" i="3"/>
  <c r="FS111" i="3"/>
  <c r="FT111" i="3"/>
  <c r="FU111" i="3"/>
  <c r="FV111" i="3"/>
  <c r="FW111" i="3"/>
  <c r="FX111" i="3"/>
  <c r="FY111" i="3"/>
  <c r="FZ111" i="3"/>
  <c r="GA111" i="3"/>
  <c r="GB111" i="3"/>
  <c r="GC111" i="3"/>
  <c r="GD111" i="3"/>
  <c r="GE111" i="3"/>
  <c r="GF111" i="3"/>
  <c r="GG111" i="3"/>
  <c r="GH111" i="3"/>
  <c r="GI111" i="3"/>
  <c r="GJ111" i="3"/>
  <c r="GK111" i="3"/>
  <c r="GL111" i="3"/>
  <c r="GM111" i="3"/>
  <c r="GN111" i="3"/>
  <c r="GO111" i="3"/>
  <c r="GP111" i="3"/>
  <c r="GQ111" i="3"/>
  <c r="GR111" i="3"/>
  <c r="GS111" i="3"/>
  <c r="GT111" i="3"/>
  <c r="GU111" i="3"/>
  <c r="GV111" i="3"/>
  <c r="GW111" i="3"/>
  <c r="GX111" i="3"/>
  <c r="GY111" i="3"/>
  <c r="GZ111" i="3"/>
  <c r="HA111" i="3"/>
  <c r="HB111" i="3"/>
  <c r="HC111" i="3"/>
  <c r="HD111" i="3"/>
  <c r="HE111" i="3"/>
  <c r="HF111" i="3"/>
  <c r="HG111" i="3"/>
  <c r="HH111" i="3"/>
  <c r="HI111" i="3"/>
  <c r="HJ111" i="3"/>
  <c r="HK111" i="3"/>
  <c r="HL111" i="3"/>
  <c r="HM111" i="3"/>
  <c r="HN111" i="3"/>
  <c r="HO111" i="3"/>
  <c r="HP111" i="3"/>
  <c r="HQ111" i="3"/>
  <c r="HR111" i="3"/>
  <c r="HS111" i="3"/>
  <c r="HT111" i="3"/>
  <c r="HU111" i="3"/>
  <c r="HV111" i="3"/>
  <c r="HW111" i="3"/>
  <c r="HX111" i="3"/>
  <c r="HY111" i="3"/>
  <c r="HZ111" i="3"/>
  <c r="IA111" i="3"/>
  <c r="IB111" i="3"/>
  <c r="IC111" i="3"/>
  <c r="ID111" i="3"/>
  <c r="IE111" i="3"/>
  <c r="IF111" i="3"/>
  <c r="IG111" i="3"/>
  <c r="IH111" i="3"/>
  <c r="II111" i="3"/>
  <c r="IJ111" i="3"/>
  <c r="IK111" i="3"/>
  <c r="IL111" i="3"/>
  <c r="IM111" i="3"/>
  <c r="IN111" i="3"/>
  <c r="IO111" i="3"/>
  <c r="IP111" i="3"/>
  <c r="IQ111" i="3"/>
  <c r="IR111" i="3"/>
  <c r="IS111" i="3"/>
  <c r="IT111" i="3"/>
  <c r="IU111" i="3"/>
  <c r="IV111" i="3"/>
  <c r="A110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AF110" i="3"/>
  <c r="AG110" i="3"/>
  <c r="AH110" i="3"/>
  <c r="AI110" i="3"/>
  <c r="AJ110" i="3"/>
  <c r="AK110" i="3"/>
  <c r="AL110" i="3"/>
  <c r="AM110" i="3"/>
  <c r="AN110" i="3"/>
  <c r="AO110" i="3"/>
  <c r="AP110" i="3"/>
  <c r="AQ110" i="3"/>
  <c r="AR110" i="3"/>
  <c r="AS110" i="3"/>
  <c r="AT110" i="3"/>
  <c r="AU110" i="3"/>
  <c r="AV110" i="3"/>
  <c r="AW110" i="3"/>
  <c r="AX110" i="3"/>
  <c r="AY110" i="3"/>
  <c r="AZ110" i="3"/>
  <c r="BA110" i="3"/>
  <c r="BB110" i="3"/>
  <c r="BC110" i="3"/>
  <c r="BD110" i="3"/>
  <c r="BE110" i="3"/>
  <c r="BF110" i="3"/>
  <c r="BG110" i="3"/>
  <c r="BH110" i="3"/>
  <c r="BI110" i="3"/>
  <c r="BJ110" i="3"/>
  <c r="BK110" i="3"/>
  <c r="BL110" i="3"/>
  <c r="BM110" i="3"/>
  <c r="BN110" i="3"/>
  <c r="BO110" i="3"/>
  <c r="BP110" i="3"/>
  <c r="BQ110" i="3"/>
  <c r="BR110" i="3"/>
  <c r="BS110" i="3"/>
  <c r="BT110" i="3"/>
  <c r="BU110" i="3"/>
  <c r="BV110" i="3"/>
  <c r="BW110" i="3"/>
  <c r="BX110" i="3"/>
  <c r="BY110" i="3"/>
  <c r="BZ110" i="3"/>
  <c r="CA110" i="3"/>
  <c r="CB110" i="3"/>
  <c r="CC110" i="3"/>
  <c r="CD110" i="3"/>
  <c r="CE110" i="3"/>
  <c r="CF110" i="3"/>
  <c r="CG110" i="3"/>
  <c r="CH110" i="3"/>
  <c r="CI110" i="3"/>
  <c r="CJ110" i="3"/>
  <c r="CK110" i="3"/>
  <c r="CL110" i="3"/>
  <c r="CM110" i="3"/>
  <c r="CN110" i="3"/>
  <c r="CO110" i="3"/>
  <c r="CP110" i="3"/>
  <c r="CQ110" i="3"/>
  <c r="CR110" i="3"/>
  <c r="CS110" i="3"/>
  <c r="CT110" i="3"/>
  <c r="CU110" i="3"/>
  <c r="CV110" i="3"/>
  <c r="CW110" i="3"/>
  <c r="CX110" i="3"/>
  <c r="CY110" i="3"/>
  <c r="CZ110" i="3"/>
  <c r="DA110" i="3"/>
  <c r="DB110" i="3"/>
  <c r="DC110" i="3"/>
  <c r="DD110" i="3"/>
  <c r="DE110" i="3"/>
  <c r="DF110" i="3"/>
  <c r="DG110" i="3"/>
  <c r="DH110" i="3"/>
  <c r="DI110" i="3"/>
  <c r="DJ110" i="3"/>
  <c r="DK110" i="3"/>
  <c r="DL110" i="3"/>
  <c r="DM110" i="3"/>
  <c r="DN110" i="3"/>
  <c r="DO110" i="3"/>
  <c r="DP110" i="3"/>
  <c r="DQ110" i="3"/>
  <c r="DR110" i="3"/>
  <c r="DS110" i="3"/>
  <c r="DT110" i="3"/>
  <c r="DU110" i="3"/>
  <c r="DV110" i="3"/>
  <c r="DW110" i="3"/>
  <c r="DX110" i="3"/>
  <c r="DY110" i="3"/>
  <c r="DZ110" i="3"/>
  <c r="EA110" i="3"/>
  <c r="EB110" i="3"/>
  <c r="EC110" i="3"/>
  <c r="ED110" i="3"/>
  <c r="EE110" i="3"/>
  <c r="EF110" i="3"/>
  <c r="EG110" i="3"/>
  <c r="EH110" i="3"/>
  <c r="EI110" i="3"/>
  <c r="EJ110" i="3"/>
  <c r="EK110" i="3"/>
  <c r="EL110" i="3"/>
  <c r="EM110" i="3"/>
  <c r="EN110" i="3"/>
  <c r="EO110" i="3"/>
  <c r="EP110" i="3"/>
  <c r="EQ110" i="3"/>
  <c r="ER110" i="3"/>
  <c r="ES110" i="3"/>
  <c r="ET110" i="3"/>
  <c r="EU110" i="3"/>
  <c r="EV110" i="3"/>
  <c r="EW110" i="3"/>
  <c r="EX110" i="3"/>
  <c r="EY110" i="3"/>
  <c r="EZ110" i="3"/>
  <c r="FA110" i="3"/>
  <c r="FB110" i="3"/>
  <c r="FC110" i="3"/>
  <c r="FD110" i="3"/>
  <c r="FE110" i="3"/>
  <c r="FF110" i="3"/>
  <c r="FG110" i="3"/>
  <c r="FH110" i="3"/>
  <c r="FI110" i="3"/>
  <c r="FJ110" i="3"/>
  <c r="FK110" i="3"/>
  <c r="FL110" i="3"/>
  <c r="FM110" i="3"/>
  <c r="FN110" i="3"/>
  <c r="FO110" i="3"/>
  <c r="FP110" i="3"/>
  <c r="FQ110" i="3"/>
  <c r="FR110" i="3"/>
  <c r="FS110" i="3"/>
  <c r="FT110" i="3"/>
  <c r="FU110" i="3"/>
  <c r="FV110" i="3"/>
  <c r="FW110" i="3"/>
  <c r="FX110" i="3"/>
  <c r="FY110" i="3"/>
  <c r="FZ110" i="3"/>
  <c r="GA110" i="3"/>
  <c r="GB110" i="3"/>
  <c r="GC110" i="3"/>
  <c r="GD110" i="3"/>
  <c r="GE110" i="3"/>
  <c r="GF110" i="3"/>
  <c r="GG110" i="3"/>
  <c r="GH110" i="3"/>
  <c r="GI110" i="3"/>
  <c r="GJ110" i="3"/>
  <c r="GK110" i="3"/>
  <c r="GL110" i="3"/>
  <c r="GM110" i="3"/>
  <c r="GN110" i="3"/>
  <c r="GO110" i="3"/>
  <c r="GP110" i="3"/>
  <c r="GQ110" i="3"/>
  <c r="GR110" i="3"/>
  <c r="GS110" i="3"/>
  <c r="GT110" i="3"/>
  <c r="GU110" i="3"/>
  <c r="GV110" i="3"/>
  <c r="GW110" i="3"/>
  <c r="GX110" i="3"/>
  <c r="GY110" i="3"/>
  <c r="GZ110" i="3"/>
  <c r="HA110" i="3"/>
  <c r="HB110" i="3"/>
  <c r="HC110" i="3"/>
  <c r="HD110" i="3"/>
  <c r="HE110" i="3"/>
  <c r="HF110" i="3"/>
  <c r="HG110" i="3"/>
  <c r="HH110" i="3"/>
  <c r="HI110" i="3"/>
  <c r="HJ110" i="3"/>
  <c r="HK110" i="3"/>
  <c r="HL110" i="3"/>
  <c r="HM110" i="3"/>
  <c r="HN110" i="3"/>
  <c r="HO110" i="3"/>
  <c r="HP110" i="3"/>
  <c r="HQ110" i="3"/>
  <c r="HR110" i="3"/>
  <c r="HS110" i="3"/>
  <c r="HT110" i="3"/>
  <c r="HU110" i="3"/>
  <c r="HV110" i="3"/>
  <c r="HW110" i="3"/>
  <c r="HX110" i="3"/>
  <c r="HY110" i="3"/>
  <c r="HZ110" i="3"/>
  <c r="IA110" i="3"/>
  <c r="IB110" i="3"/>
  <c r="IC110" i="3"/>
  <c r="ID110" i="3"/>
  <c r="IE110" i="3"/>
  <c r="IF110" i="3"/>
  <c r="IG110" i="3"/>
  <c r="IH110" i="3"/>
  <c r="II110" i="3"/>
  <c r="IJ110" i="3"/>
  <c r="IK110" i="3"/>
  <c r="IL110" i="3"/>
  <c r="IM110" i="3"/>
  <c r="IN110" i="3"/>
  <c r="IO110" i="3"/>
  <c r="IP110" i="3"/>
  <c r="IQ110" i="3"/>
  <c r="IR110" i="3"/>
  <c r="IS110" i="3"/>
  <c r="IT110" i="3"/>
  <c r="IU110" i="3"/>
  <c r="IV110" i="3"/>
  <c r="A109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AI109" i="3"/>
  <c r="AJ109" i="3"/>
  <c r="AK109" i="3"/>
  <c r="AL109" i="3"/>
  <c r="AM109" i="3"/>
  <c r="AN109" i="3"/>
  <c r="AO109" i="3"/>
  <c r="AP109" i="3"/>
  <c r="AQ109" i="3"/>
  <c r="AR109" i="3"/>
  <c r="AS109" i="3"/>
  <c r="AT109" i="3"/>
  <c r="AU109" i="3"/>
  <c r="AV109" i="3"/>
  <c r="AW109" i="3"/>
  <c r="AX109" i="3"/>
  <c r="AY109" i="3"/>
  <c r="AZ109" i="3"/>
  <c r="BA109" i="3"/>
  <c r="BB109" i="3"/>
  <c r="BC109" i="3"/>
  <c r="BD109" i="3"/>
  <c r="BE109" i="3"/>
  <c r="BF109" i="3"/>
  <c r="BG109" i="3"/>
  <c r="BH109" i="3"/>
  <c r="BI109" i="3"/>
  <c r="BJ109" i="3"/>
  <c r="BK109" i="3"/>
  <c r="BL109" i="3"/>
  <c r="BM109" i="3"/>
  <c r="BN109" i="3"/>
  <c r="BO109" i="3"/>
  <c r="BP109" i="3"/>
  <c r="BQ109" i="3"/>
  <c r="BR109" i="3"/>
  <c r="BS109" i="3"/>
  <c r="BT109" i="3"/>
  <c r="BU109" i="3"/>
  <c r="BV109" i="3"/>
  <c r="BW109" i="3"/>
  <c r="BX109" i="3"/>
  <c r="BY109" i="3"/>
  <c r="BZ109" i="3"/>
  <c r="CA109" i="3"/>
  <c r="CB109" i="3"/>
  <c r="CC109" i="3"/>
  <c r="CD109" i="3"/>
  <c r="CE109" i="3"/>
  <c r="CF109" i="3"/>
  <c r="CG109" i="3"/>
  <c r="CH109" i="3"/>
  <c r="CI109" i="3"/>
  <c r="CJ109" i="3"/>
  <c r="CK109" i="3"/>
  <c r="CL109" i="3"/>
  <c r="CM109" i="3"/>
  <c r="CN109" i="3"/>
  <c r="CO109" i="3"/>
  <c r="CP109" i="3"/>
  <c r="CQ109" i="3"/>
  <c r="CR109" i="3"/>
  <c r="CS109" i="3"/>
  <c r="CT109" i="3"/>
  <c r="CU109" i="3"/>
  <c r="CV109" i="3"/>
  <c r="CW109" i="3"/>
  <c r="CX109" i="3"/>
  <c r="CY109" i="3"/>
  <c r="CZ109" i="3"/>
  <c r="DA109" i="3"/>
  <c r="DB109" i="3"/>
  <c r="DC109" i="3"/>
  <c r="DD109" i="3"/>
  <c r="DE109" i="3"/>
  <c r="DF109" i="3"/>
  <c r="DG109" i="3"/>
  <c r="DH109" i="3"/>
  <c r="DI109" i="3"/>
  <c r="DJ109" i="3"/>
  <c r="DK109" i="3"/>
  <c r="DL109" i="3"/>
  <c r="DM109" i="3"/>
  <c r="DN109" i="3"/>
  <c r="DO109" i="3"/>
  <c r="DP109" i="3"/>
  <c r="DQ109" i="3"/>
  <c r="DR109" i="3"/>
  <c r="DS109" i="3"/>
  <c r="DT109" i="3"/>
  <c r="DU109" i="3"/>
  <c r="DV109" i="3"/>
  <c r="DW109" i="3"/>
  <c r="DX109" i="3"/>
  <c r="DY109" i="3"/>
  <c r="DZ109" i="3"/>
  <c r="EA109" i="3"/>
  <c r="EB109" i="3"/>
  <c r="EC109" i="3"/>
  <c r="ED109" i="3"/>
  <c r="EE109" i="3"/>
  <c r="EF109" i="3"/>
  <c r="EG109" i="3"/>
  <c r="EH109" i="3"/>
  <c r="EI109" i="3"/>
  <c r="EJ109" i="3"/>
  <c r="EK109" i="3"/>
  <c r="EL109" i="3"/>
  <c r="EM109" i="3"/>
  <c r="EN109" i="3"/>
  <c r="EO109" i="3"/>
  <c r="EP109" i="3"/>
  <c r="EQ109" i="3"/>
  <c r="ER109" i="3"/>
  <c r="ES109" i="3"/>
  <c r="ET109" i="3"/>
  <c r="EU109" i="3"/>
  <c r="EV109" i="3"/>
  <c r="EW109" i="3"/>
  <c r="EX109" i="3"/>
  <c r="EY109" i="3"/>
  <c r="EZ109" i="3"/>
  <c r="FA109" i="3"/>
  <c r="FB109" i="3"/>
  <c r="FC109" i="3"/>
  <c r="FD109" i="3"/>
  <c r="FE109" i="3"/>
  <c r="FF109" i="3"/>
  <c r="FG109" i="3"/>
  <c r="FH109" i="3"/>
  <c r="FI109" i="3"/>
  <c r="FJ109" i="3"/>
  <c r="FK109" i="3"/>
  <c r="FL109" i="3"/>
  <c r="FM109" i="3"/>
  <c r="FN109" i="3"/>
  <c r="FO109" i="3"/>
  <c r="FP109" i="3"/>
  <c r="FQ109" i="3"/>
  <c r="FR109" i="3"/>
  <c r="FS109" i="3"/>
  <c r="FT109" i="3"/>
  <c r="FU109" i="3"/>
  <c r="FV109" i="3"/>
  <c r="FW109" i="3"/>
  <c r="FX109" i="3"/>
  <c r="FY109" i="3"/>
  <c r="FZ109" i="3"/>
  <c r="GA109" i="3"/>
  <c r="GB109" i="3"/>
  <c r="GC109" i="3"/>
  <c r="GD109" i="3"/>
  <c r="GE109" i="3"/>
  <c r="GF109" i="3"/>
  <c r="GG109" i="3"/>
  <c r="GH109" i="3"/>
  <c r="GI109" i="3"/>
  <c r="GJ109" i="3"/>
  <c r="GK109" i="3"/>
  <c r="GL109" i="3"/>
  <c r="GM109" i="3"/>
  <c r="GN109" i="3"/>
  <c r="GO109" i="3"/>
  <c r="GP109" i="3"/>
  <c r="GQ109" i="3"/>
  <c r="GR109" i="3"/>
  <c r="GS109" i="3"/>
  <c r="GT109" i="3"/>
  <c r="GU109" i="3"/>
  <c r="GV109" i="3"/>
  <c r="GW109" i="3"/>
  <c r="GX109" i="3"/>
  <c r="GY109" i="3"/>
  <c r="GZ109" i="3"/>
  <c r="HA109" i="3"/>
  <c r="HB109" i="3"/>
  <c r="HC109" i="3"/>
  <c r="HD109" i="3"/>
  <c r="HE109" i="3"/>
  <c r="HF109" i="3"/>
  <c r="HG109" i="3"/>
  <c r="HH109" i="3"/>
  <c r="HI109" i="3"/>
  <c r="HJ109" i="3"/>
  <c r="HK109" i="3"/>
  <c r="HL109" i="3"/>
  <c r="HM109" i="3"/>
  <c r="HN109" i="3"/>
  <c r="HO109" i="3"/>
  <c r="HP109" i="3"/>
  <c r="HQ109" i="3"/>
  <c r="HR109" i="3"/>
  <c r="HS109" i="3"/>
  <c r="HT109" i="3"/>
  <c r="HU109" i="3"/>
  <c r="HV109" i="3"/>
  <c r="HW109" i="3"/>
  <c r="HX109" i="3"/>
  <c r="HY109" i="3"/>
  <c r="HZ109" i="3"/>
  <c r="IA109" i="3"/>
  <c r="IB109" i="3"/>
  <c r="IC109" i="3"/>
  <c r="ID109" i="3"/>
  <c r="IE109" i="3"/>
  <c r="IF109" i="3"/>
  <c r="IG109" i="3"/>
  <c r="IH109" i="3"/>
  <c r="II109" i="3"/>
  <c r="IJ109" i="3"/>
  <c r="IK109" i="3"/>
  <c r="IL109" i="3"/>
  <c r="IM109" i="3"/>
  <c r="IN109" i="3"/>
  <c r="IO109" i="3"/>
  <c r="IP109" i="3"/>
  <c r="IQ109" i="3"/>
  <c r="IR109" i="3"/>
  <c r="IS109" i="3"/>
  <c r="IT109" i="3"/>
  <c r="IU109" i="3"/>
  <c r="IV109" i="3"/>
  <c r="A108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AF108" i="3"/>
  <c r="AG108" i="3"/>
  <c r="AH108" i="3"/>
  <c r="AI108" i="3"/>
  <c r="AJ108" i="3"/>
  <c r="AK108" i="3"/>
  <c r="AL108" i="3"/>
  <c r="AM108" i="3"/>
  <c r="AN108" i="3"/>
  <c r="AO108" i="3"/>
  <c r="AP108" i="3"/>
  <c r="AQ108" i="3"/>
  <c r="AR108" i="3"/>
  <c r="AS108" i="3"/>
  <c r="AT108" i="3"/>
  <c r="AU108" i="3"/>
  <c r="AV108" i="3"/>
  <c r="AW108" i="3"/>
  <c r="AX108" i="3"/>
  <c r="AY108" i="3"/>
  <c r="AZ108" i="3"/>
  <c r="BA108" i="3"/>
  <c r="BB108" i="3"/>
  <c r="BC108" i="3"/>
  <c r="BD108" i="3"/>
  <c r="BE108" i="3"/>
  <c r="BF108" i="3"/>
  <c r="BG108" i="3"/>
  <c r="BH108" i="3"/>
  <c r="BI108" i="3"/>
  <c r="BJ108" i="3"/>
  <c r="BK108" i="3"/>
  <c r="BL108" i="3"/>
  <c r="BM108" i="3"/>
  <c r="BN108" i="3"/>
  <c r="BO108" i="3"/>
  <c r="BP108" i="3"/>
  <c r="BQ108" i="3"/>
  <c r="BR108" i="3"/>
  <c r="BS108" i="3"/>
  <c r="BT108" i="3"/>
  <c r="BU108" i="3"/>
  <c r="BV108" i="3"/>
  <c r="BW108" i="3"/>
  <c r="BX108" i="3"/>
  <c r="BY108" i="3"/>
  <c r="BZ108" i="3"/>
  <c r="CA108" i="3"/>
  <c r="CB108" i="3"/>
  <c r="CC108" i="3"/>
  <c r="CD108" i="3"/>
  <c r="CE108" i="3"/>
  <c r="CF108" i="3"/>
  <c r="CG108" i="3"/>
  <c r="CH108" i="3"/>
  <c r="CI108" i="3"/>
  <c r="CJ108" i="3"/>
  <c r="CK108" i="3"/>
  <c r="CL108" i="3"/>
  <c r="CM108" i="3"/>
  <c r="CN108" i="3"/>
  <c r="CO108" i="3"/>
  <c r="CP108" i="3"/>
  <c r="CQ108" i="3"/>
  <c r="CR108" i="3"/>
  <c r="CS108" i="3"/>
  <c r="CT108" i="3"/>
  <c r="CU108" i="3"/>
  <c r="CV108" i="3"/>
  <c r="CW108" i="3"/>
  <c r="CX108" i="3"/>
  <c r="CY108" i="3"/>
  <c r="CZ108" i="3"/>
  <c r="DA108" i="3"/>
  <c r="DB108" i="3"/>
  <c r="DC108" i="3"/>
  <c r="DD108" i="3"/>
  <c r="DE108" i="3"/>
  <c r="DF108" i="3"/>
  <c r="DG108" i="3"/>
  <c r="DH108" i="3"/>
  <c r="DI108" i="3"/>
  <c r="DJ108" i="3"/>
  <c r="DK108" i="3"/>
  <c r="DL108" i="3"/>
  <c r="DM108" i="3"/>
  <c r="DN108" i="3"/>
  <c r="DO108" i="3"/>
  <c r="DP108" i="3"/>
  <c r="DQ108" i="3"/>
  <c r="DR108" i="3"/>
  <c r="DS108" i="3"/>
  <c r="DT108" i="3"/>
  <c r="DU108" i="3"/>
  <c r="DV108" i="3"/>
  <c r="DW108" i="3"/>
  <c r="DX108" i="3"/>
  <c r="DY108" i="3"/>
  <c r="DZ108" i="3"/>
  <c r="EA108" i="3"/>
  <c r="EB108" i="3"/>
  <c r="EC108" i="3"/>
  <c r="ED108" i="3"/>
  <c r="EE108" i="3"/>
  <c r="EF108" i="3"/>
  <c r="EG108" i="3"/>
  <c r="EH108" i="3"/>
  <c r="EI108" i="3"/>
  <c r="EJ108" i="3"/>
  <c r="EK108" i="3"/>
  <c r="EL108" i="3"/>
  <c r="EM108" i="3"/>
  <c r="EN108" i="3"/>
  <c r="EO108" i="3"/>
  <c r="EP108" i="3"/>
  <c r="EQ108" i="3"/>
  <c r="ER108" i="3"/>
  <c r="ES108" i="3"/>
  <c r="ET108" i="3"/>
  <c r="EU108" i="3"/>
  <c r="EV108" i="3"/>
  <c r="EW108" i="3"/>
  <c r="EX108" i="3"/>
  <c r="EY108" i="3"/>
  <c r="EZ108" i="3"/>
  <c r="FA108" i="3"/>
  <c r="FB108" i="3"/>
  <c r="FC108" i="3"/>
  <c r="FD108" i="3"/>
  <c r="FE108" i="3"/>
  <c r="FF108" i="3"/>
  <c r="FG108" i="3"/>
  <c r="FH108" i="3"/>
  <c r="FI108" i="3"/>
  <c r="FJ108" i="3"/>
  <c r="FK108" i="3"/>
  <c r="FL108" i="3"/>
  <c r="FM108" i="3"/>
  <c r="FN108" i="3"/>
  <c r="FO108" i="3"/>
  <c r="FP108" i="3"/>
  <c r="FQ108" i="3"/>
  <c r="FR108" i="3"/>
  <c r="FS108" i="3"/>
  <c r="FT108" i="3"/>
  <c r="FU108" i="3"/>
  <c r="FV108" i="3"/>
  <c r="FW108" i="3"/>
  <c r="FX108" i="3"/>
  <c r="FY108" i="3"/>
  <c r="FZ108" i="3"/>
  <c r="GA108" i="3"/>
  <c r="GB108" i="3"/>
  <c r="GC108" i="3"/>
  <c r="GD108" i="3"/>
  <c r="GE108" i="3"/>
  <c r="GF108" i="3"/>
  <c r="GG108" i="3"/>
  <c r="GH108" i="3"/>
  <c r="GI108" i="3"/>
  <c r="GJ108" i="3"/>
  <c r="GK108" i="3"/>
  <c r="GL108" i="3"/>
  <c r="GM108" i="3"/>
  <c r="GN108" i="3"/>
  <c r="GO108" i="3"/>
  <c r="GP108" i="3"/>
  <c r="GQ108" i="3"/>
  <c r="GR108" i="3"/>
  <c r="GS108" i="3"/>
  <c r="GT108" i="3"/>
  <c r="GU108" i="3"/>
  <c r="GV108" i="3"/>
  <c r="GW108" i="3"/>
  <c r="GX108" i="3"/>
  <c r="GY108" i="3"/>
  <c r="GZ108" i="3"/>
  <c r="HA108" i="3"/>
  <c r="HB108" i="3"/>
  <c r="HC108" i="3"/>
  <c r="HD108" i="3"/>
  <c r="HE108" i="3"/>
  <c r="HF108" i="3"/>
  <c r="HG108" i="3"/>
  <c r="HH108" i="3"/>
  <c r="HI108" i="3"/>
  <c r="HJ108" i="3"/>
  <c r="HK108" i="3"/>
  <c r="HL108" i="3"/>
  <c r="HM108" i="3"/>
  <c r="HN108" i="3"/>
  <c r="HO108" i="3"/>
  <c r="HP108" i="3"/>
  <c r="HQ108" i="3"/>
  <c r="HR108" i="3"/>
  <c r="HS108" i="3"/>
  <c r="HT108" i="3"/>
  <c r="HU108" i="3"/>
  <c r="HV108" i="3"/>
  <c r="HW108" i="3"/>
  <c r="HX108" i="3"/>
  <c r="HY108" i="3"/>
  <c r="HZ108" i="3"/>
  <c r="IA108" i="3"/>
  <c r="IB108" i="3"/>
  <c r="IC108" i="3"/>
  <c r="ID108" i="3"/>
  <c r="IE108" i="3"/>
  <c r="IF108" i="3"/>
  <c r="IG108" i="3"/>
  <c r="IH108" i="3"/>
  <c r="II108" i="3"/>
  <c r="IJ108" i="3"/>
  <c r="IK108" i="3"/>
  <c r="IL108" i="3"/>
  <c r="IM108" i="3"/>
  <c r="IN108" i="3"/>
  <c r="IO108" i="3"/>
  <c r="IP108" i="3"/>
  <c r="IQ108" i="3"/>
  <c r="IR108" i="3"/>
  <c r="IS108" i="3"/>
  <c r="IT108" i="3"/>
  <c r="IU108" i="3"/>
  <c r="IV108" i="3"/>
  <c r="A107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AE107" i="3"/>
  <c r="AF107" i="3"/>
  <c r="AG107" i="3"/>
  <c r="AH107" i="3"/>
  <c r="AI107" i="3"/>
  <c r="AJ107" i="3"/>
  <c r="AK107" i="3"/>
  <c r="AL107" i="3"/>
  <c r="AM107" i="3"/>
  <c r="AN107" i="3"/>
  <c r="AO107" i="3"/>
  <c r="AP107" i="3"/>
  <c r="AQ107" i="3"/>
  <c r="AR107" i="3"/>
  <c r="AS107" i="3"/>
  <c r="AT107" i="3"/>
  <c r="AU107" i="3"/>
  <c r="AV107" i="3"/>
  <c r="AW107" i="3"/>
  <c r="AX107" i="3"/>
  <c r="AY107" i="3"/>
  <c r="AZ107" i="3"/>
  <c r="BA107" i="3"/>
  <c r="BB107" i="3"/>
  <c r="BC107" i="3"/>
  <c r="BD107" i="3"/>
  <c r="BE107" i="3"/>
  <c r="BF107" i="3"/>
  <c r="BG107" i="3"/>
  <c r="BH107" i="3"/>
  <c r="BI107" i="3"/>
  <c r="BJ107" i="3"/>
  <c r="BK107" i="3"/>
  <c r="BL107" i="3"/>
  <c r="BM107" i="3"/>
  <c r="BN107" i="3"/>
  <c r="BO107" i="3"/>
  <c r="BP107" i="3"/>
  <c r="BQ107" i="3"/>
  <c r="BR107" i="3"/>
  <c r="BS107" i="3"/>
  <c r="BT107" i="3"/>
  <c r="BU107" i="3"/>
  <c r="BV107" i="3"/>
  <c r="BW107" i="3"/>
  <c r="BX107" i="3"/>
  <c r="BY107" i="3"/>
  <c r="BZ107" i="3"/>
  <c r="CA107" i="3"/>
  <c r="CB107" i="3"/>
  <c r="CC107" i="3"/>
  <c r="CD107" i="3"/>
  <c r="CE107" i="3"/>
  <c r="CF107" i="3"/>
  <c r="CG107" i="3"/>
  <c r="CH107" i="3"/>
  <c r="CI107" i="3"/>
  <c r="CJ107" i="3"/>
  <c r="CK107" i="3"/>
  <c r="CL107" i="3"/>
  <c r="CM107" i="3"/>
  <c r="CN107" i="3"/>
  <c r="CO107" i="3"/>
  <c r="CP107" i="3"/>
  <c r="CQ107" i="3"/>
  <c r="CR107" i="3"/>
  <c r="CS107" i="3"/>
  <c r="CT107" i="3"/>
  <c r="CU107" i="3"/>
  <c r="CV107" i="3"/>
  <c r="CW107" i="3"/>
  <c r="CX107" i="3"/>
  <c r="CY107" i="3"/>
  <c r="CZ107" i="3"/>
  <c r="DA107" i="3"/>
  <c r="DB107" i="3"/>
  <c r="DC107" i="3"/>
  <c r="DD107" i="3"/>
  <c r="DE107" i="3"/>
  <c r="DF107" i="3"/>
  <c r="DG107" i="3"/>
  <c r="DH107" i="3"/>
  <c r="DI107" i="3"/>
  <c r="DJ107" i="3"/>
  <c r="DK107" i="3"/>
  <c r="DL107" i="3"/>
  <c r="DM107" i="3"/>
  <c r="DN107" i="3"/>
  <c r="DO107" i="3"/>
  <c r="DP107" i="3"/>
  <c r="DQ107" i="3"/>
  <c r="DR107" i="3"/>
  <c r="DS107" i="3"/>
  <c r="DT107" i="3"/>
  <c r="DU107" i="3"/>
  <c r="DV107" i="3"/>
  <c r="DW107" i="3"/>
  <c r="DX107" i="3"/>
  <c r="DY107" i="3"/>
  <c r="DZ107" i="3"/>
  <c r="EA107" i="3"/>
  <c r="EB107" i="3"/>
  <c r="EC107" i="3"/>
  <c r="ED107" i="3"/>
  <c r="EE107" i="3"/>
  <c r="EF107" i="3"/>
  <c r="EG107" i="3"/>
  <c r="EH107" i="3"/>
  <c r="EI107" i="3"/>
  <c r="EJ107" i="3"/>
  <c r="EK107" i="3"/>
  <c r="EL107" i="3"/>
  <c r="EM107" i="3"/>
  <c r="EN107" i="3"/>
  <c r="EO107" i="3"/>
  <c r="EP107" i="3"/>
  <c r="EQ107" i="3"/>
  <c r="ER107" i="3"/>
  <c r="ES107" i="3"/>
  <c r="ET107" i="3"/>
  <c r="EU107" i="3"/>
  <c r="EV107" i="3"/>
  <c r="EW107" i="3"/>
  <c r="EX107" i="3"/>
  <c r="EY107" i="3"/>
  <c r="EZ107" i="3"/>
  <c r="FA107" i="3"/>
  <c r="FB107" i="3"/>
  <c r="FC107" i="3"/>
  <c r="FD107" i="3"/>
  <c r="FE107" i="3"/>
  <c r="FF107" i="3"/>
  <c r="FG107" i="3"/>
  <c r="FH107" i="3"/>
  <c r="FI107" i="3"/>
  <c r="FJ107" i="3"/>
  <c r="FK107" i="3"/>
  <c r="FL107" i="3"/>
  <c r="FM107" i="3"/>
  <c r="FN107" i="3"/>
  <c r="FO107" i="3"/>
  <c r="FP107" i="3"/>
  <c r="FQ107" i="3"/>
  <c r="FR107" i="3"/>
  <c r="FS107" i="3"/>
  <c r="FT107" i="3"/>
  <c r="FU107" i="3"/>
  <c r="FV107" i="3"/>
  <c r="FW107" i="3"/>
  <c r="FX107" i="3"/>
  <c r="FY107" i="3"/>
  <c r="FZ107" i="3"/>
  <c r="GA107" i="3"/>
  <c r="GB107" i="3"/>
  <c r="GC107" i="3"/>
  <c r="GD107" i="3"/>
  <c r="GE107" i="3"/>
  <c r="GF107" i="3"/>
  <c r="GG107" i="3"/>
  <c r="GH107" i="3"/>
  <c r="GI107" i="3"/>
  <c r="GJ107" i="3"/>
  <c r="GK107" i="3"/>
  <c r="GL107" i="3"/>
  <c r="GM107" i="3"/>
  <c r="GN107" i="3"/>
  <c r="GO107" i="3"/>
  <c r="GP107" i="3"/>
  <c r="GQ107" i="3"/>
  <c r="GR107" i="3"/>
  <c r="GS107" i="3"/>
  <c r="GT107" i="3"/>
  <c r="GU107" i="3"/>
  <c r="GV107" i="3"/>
  <c r="GW107" i="3"/>
  <c r="GX107" i="3"/>
  <c r="GY107" i="3"/>
  <c r="GZ107" i="3"/>
  <c r="HA107" i="3"/>
  <c r="HB107" i="3"/>
  <c r="HC107" i="3"/>
  <c r="HD107" i="3"/>
  <c r="HE107" i="3"/>
  <c r="HF107" i="3"/>
  <c r="HG107" i="3"/>
  <c r="HH107" i="3"/>
  <c r="HI107" i="3"/>
  <c r="HJ107" i="3"/>
  <c r="HK107" i="3"/>
  <c r="HL107" i="3"/>
  <c r="HM107" i="3"/>
  <c r="HN107" i="3"/>
  <c r="HO107" i="3"/>
  <c r="HP107" i="3"/>
  <c r="HQ107" i="3"/>
  <c r="HR107" i="3"/>
  <c r="HS107" i="3"/>
  <c r="HT107" i="3"/>
  <c r="HU107" i="3"/>
  <c r="HV107" i="3"/>
  <c r="HW107" i="3"/>
  <c r="HX107" i="3"/>
  <c r="HY107" i="3"/>
  <c r="HZ107" i="3"/>
  <c r="IA107" i="3"/>
  <c r="IB107" i="3"/>
  <c r="IC107" i="3"/>
  <c r="ID107" i="3"/>
  <c r="IE107" i="3"/>
  <c r="IF107" i="3"/>
  <c r="IG107" i="3"/>
  <c r="IH107" i="3"/>
  <c r="II107" i="3"/>
  <c r="IJ107" i="3"/>
  <c r="IK107" i="3"/>
  <c r="IL107" i="3"/>
  <c r="IM107" i="3"/>
  <c r="IN107" i="3"/>
  <c r="IO107" i="3"/>
  <c r="IP107" i="3"/>
  <c r="IQ107" i="3"/>
  <c r="IR107" i="3"/>
  <c r="IS107" i="3"/>
  <c r="IT107" i="3"/>
  <c r="IU107" i="3"/>
  <c r="IV107" i="3"/>
  <c r="A106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AF106" i="3"/>
  <c r="AG106" i="3"/>
  <c r="AH106" i="3"/>
  <c r="AI106" i="3"/>
  <c r="AJ106" i="3"/>
  <c r="AK106" i="3"/>
  <c r="AL106" i="3"/>
  <c r="AM106" i="3"/>
  <c r="AN106" i="3"/>
  <c r="AO106" i="3"/>
  <c r="AP106" i="3"/>
  <c r="AQ106" i="3"/>
  <c r="AR106" i="3"/>
  <c r="AS106" i="3"/>
  <c r="AT106" i="3"/>
  <c r="AU106" i="3"/>
  <c r="AV106" i="3"/>
  <c r="AW106" i="3"/>
  <c r="AX106" i="3"/>
  <c r="AY106" i="3"/>
  <c r="AZ106" i="3"/>
  <c r="BA106" i="3"/>
  <c r="BB106" i="3"/>
  <c r="BC106" i="3"/>
  <c r="BD106" i="3"/>
  <c r="BE106" i="3"/>
  <c r="BF106" i="3"/>
  <c r="BG106" i="3"/>
  <c r="BH106" i="3"/>
  <c r="BI106" i="3"/>
  <c r="BJ106" i="3"/>
  <c r="BK106" i="3"/>
  <c r="BL106" i="3"/>
  <c r="BM106" i="3"/>
  <c r="BN106" i="3"/>
  <c r="BO106" i="3"/>
  <c r="BP106" i="3"/>
  <c r="BQ106" i="3"/>
  <c r="BR106" i="3"/>
  <c r="BS106" i="3"/>
  <c r="BT106" i="3"/>
  <c r="BU106" i="3"/>
  <c r="BV106" i="3"/>
  <c r="BW106" i="3"/>
  <c r="BX106" i="3"/>
  <c r="BY106" i="3"/>
  <c r="BZ106" i="3"/>
  <c r="CA106" i="3"/>
  <c r="CB106" i="3"/>
  <c r="CC106" i="3"/>
  <c r="CD106" i="3"/>
  <c r="CE106" i="3"/>
  <c r="CF106" i="3"/>
  <c r="CG106" i="3"/>
  <c r="CH106" i="3"/>
  <c r="CI106" i="3"/>
  <c r="CJ106" i="3"/>
  <c r="CK106" i="3"/>
  <c r="CL106" i="3"/>
  <c r="CM106" i="3"/>
  <c r="CN106" i="3"/>
  <c r="CO106" i="3"/>
  <c r="CP106" i="3"/>
  <c r="CQ106" i="3"/>
  <c r="CR106" i="3"/>
  <c r="CS106" i="3"/>
  <c r="CT106" i="3"/>
  <c r="CU106" i="3"/>
  <c r="CV106" i="3"/>
  <c r="CW106" i="3"/>
  <c r="CX106" i="3"/>
  <c r="CY106" i="3"/>
  <c r="CZ106" i="3"/>
  <c r="DA106" i="3"/>
  <c r="DB106" i="3"/>
  <c r="DC106" i="3"/>
  <c r="DD106" i="3"/>
  <c r="DE106" i="3"/>
  <c r="DF106" i="3"/>
  <c r="DG106" i="3"/>
  <c r="DH106" i="3"/>
  <c r="DI106" i="3"/>
  <c r="DJ106" i="3"/>
  <c r="DK106" i="3"/>
  <c r="DL106" i="3"/>
  <c r="DM106" i="3"/>
  <c r="DN106" i="3"/>
  <c r="DO106" i="3"/>
  <c r="DP106" i="3"/>
  <c r="DQ106" i="3"/>
  <c r="DR106" i="3"/>
  <c r="DS106" i="3"/>
  <c r="DT106" i="3"/>
  <c r="DU106" i="3"/>
  <c r="DV106" i="3"/>
  <c r="DW106" i="3"/>
  <c r="DX106" i="3"/>
  <c r="DY106" i="3"/>
  <c r="DZ106" i="3"/>
  <c r="EA106" i="3"/>
  <c r="EB106" i="3"/>
  <c r="EC106" i="3"/>
  <c r="ED106" i="3"/>
  <c r="EE106" i="3"/>
  <c r="EF106" i="3"/>
  <c r="EG106" i="3"/>
  <c r="EH106" i="3"/>
  <c r="EI106" i="3"/>
  <c r="EJ106" i="3"/>
  <c r="EK106" i="3"/>
  <c r="EL106" i="3"/>
  <c r="EM106" i="3"/>
  <c r="EN106" i="3"/>
  <c r="EO106" i="3"/>
  <c r="EP106" i="3"/>
  <c r="EQ106" i="3"/>
  <c r="ER106" i="3"/>
  <c r="ES106" i="3"/>
  <c r="ET106" i="3"/>
  <c r="EU106" i="3"/>
  <c r="EV106" i="3"/>
  <c r="EW106" i="3"/>
  <c r="EX106" i="3"/>
  <c r="EY106" i="3"/>
  <c r="EZ106" i="3"/>
  <c r="FA106" i="3"/>
  <c r="FB106" i="3"/>
  <c r="FC106" i="3"/>
  <c r="FD106" i="3"/>
  <c r="FE106" i="3"/>
  <c r="FF106" i="3"/>
  <c r="FG106" i="3"/>
  <c r="FH106" i="3"/>
  <c r="FI106" i="3"/>
  <c r="FJ106" i="3"/>
  <c r="FK106" i="3"/>
  <c r="FL106" i="3"/>
  <c r="FM106" i="3"/>
  <c r="FN106" i="3"/>
  <c r="FO106" i="3"/>
  <c r="FP106" i="3"/>
  <c r="FQ106" i="3"/>
  <c r="FR106" i="3"/>
  <c r="FS106" i="3"/>
  <c r="FT106" i="3"/>
  <c r="FU106" i="3"/>
  <c r="FV106" i="3"/>
  <c r="FW106" i="3"/>
  <c r="FX106" i="3"/>
  <c r="FY106" i="3"/>
  <c r="FZ106" i="3"/>
  <c r="GA106" i="3"/>
  <c r="GB106" i="3"/>
  <c r="GC106" i="3"/>
  <c r="GD106" i="3"/>
  <c r="GE106" i="3"/>
  <c r="GF106" i="3"/>
  <c r="GG106" i="3"/>
  <c r="GH106" i="3"/>
  <c r="GI106" i="3"/>
  <c r="GJ106" i="3"/>
  <c r="GK106" i="3"/>
  <c r="GL106" i="3"/>
  <c r="GM106" i="3"/>
  <c r="GN106" i="3"/>
  <c r="GO106" i="3"/>
  <c r="GP106" i="3"/>
  <c r="GQ106" i="3"/>
  <c r="GR106" i="3"/>
  <c r="GS106" i="3"/>
  <c r="GT106" i="3"/>
  <c r="GU106" i="3"/>
  <c r="GV106" i="3"/>
  <c r="GW106" i="3"/>
  <c r="GX106" i="3"/>
  <c r="GY106" i="3"/>
  <c r="GZ106" i="3"/>
  <c r="HA106" i="3"/>
  <c r="HB106" i="3"/>
  <c r="HC106" i="3"/>
  <c r="HD106" i="3"/>
  <c r="HE106" i="3"/>
  <c r="HF106" i="3"/>
  <c r="HG106" i="3"/>
  <c r="HH106" i="3"/>
  <c r="HI106" i="3"/>
  <c r="HJ106" i="3"/>
  <c r="HK106" i="3"/>
  <c r="HL106" i="3"/>
  <c r="HM106" i="3"/>
  <c r="HN106" i="3"/>
  <c r="HO106" i="3"/>
  <c r="HP106" i="3"/>
  <c r="HQ106" i="3"/>
  <c r="HR106" i="3"/>
  <c r="HS106" i="3"/>
  <c r="HT106" i="3"/>
  <c r="HU106" i="3"/>
  <c r="HV106" i="3"/>
  <c r="HW106" i="3"/>
  <c r="HX106" i="3"/>
  <c r="HY106" i="3"/>
  <c r="HZ106" i="3"/>
  <c r="IA106" i="3"/>
  <c r="IB106" i="3"/>
  <c r="IC106" i="3"/>
  <c r="ID106" i="3"/>
  <c r="IE106" i="3"/>
  <c r="IF106" i="3"/>
  <c r="IG106" i="3"/>
  <c r="IH106" i="3"/>
  <c r="II106" i="3"/>
  <c r="IJ106" i="3"/>
  <c r="IK106" i="3"/>
  <c r="IL106" i="3"/>
  <c r="IM106" i="3"/>
  <c r="IN106" i="3"/>
  <c r="IO106" i="3"/>
  <c r="IP106" i="3"/>
  <c r="IQ106" i="3"/>
  <c r="IR106" i="3"/>
  <c r="IS106" i="3"/>
  <c r="IT106" i="3"/>
  <c r="IU106" i="3"/>
  <c r="IV106" i="3"/>
  <c r="A105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AG105" i="3"/>
  <c r="AH105" i="3"/>
  <c r="AI105" i="3"/>
  <c r="AJ105" i="3"/>
  <c r="AK105" i="3"/>
  <c r="AL105" i="3"/>
  <c r="AM105" i="3"/>
  <c r="AN105" i="3"/>
  <c r="AO105" i="3"/>
  <c r="AP105" i="3"/>
  <c r="AQ105" i="3"/>
  <c r="AR105" i="3"/>
  <c r="AS105" i="3"/>
  <c r="AT105" i="3"/>
  <c r="AU105" i="3"/>
  <c r="AV105" i="3"/>
  <c r="AW105" i="3"/>
  <c r="AX105" i="3"/>
  <c r="AY105" i="3"/>
  <c r="AZ105" i="3"/>
  <c r="BA105" i="3"/>
  <c r="BB105" i="3"/>
  <c r="BC105" i="3"/>
  <c r="BD105" i="3"/>
  <c r="BE105" i="3"/>
  <c r="BF105" i="3"/>
  <c r="BG105" i="3"/>
  <c r="BH105" i="3"/>
  <c r="BI105" i="3"/>
  <c r="BJ105" i="3"/>
  <c r="BK105" i="3"/>
  <c r="BL105" i="3"/>
  <c r="BM105" i="3"/>
  <c r="BN105" i="3"/>
  <c r="BO105" i="3"/>
  <c r="BP105" i="3"/>
  <c r="BQ105" i="3"/>
  <c r="BR105" i="3"/>
  <c r="BS105" i="3"/>
  <c r="BT105" i="3"/>
  <c r="BU105" i="3"/>
  <c r="BV105" i="3"/>
  <c r="BW105" i="3"/>
  <c r="BX105" i="3"/>
  <c r="BY105" i="3"/>
  <c r="BZ105" i="3"/>
  <c r="CA105" i="3"/>
  <c r="CB105" i="3"/>
  <c r="CC105" i="3"/>
  <c r="CD105" i="3"/>
  <c r="CE105" i="3"/>
  <c r="CF105" i="3"/>
  <c r="CG105" i="3"/>
  <c r="CH105" i="3"/>
  <c r="CI105" i="3"/>
  <c r="CJ105" i="3"/>
  <c r="CK105" i="3"/>
  <c r="CL105" i="3"/>
  <c r="CM105" i="3"/>
  <c r="CN105" i="3"/>
  <c r="CO105" i="3"/>
  <c r="CP105" i="3"/>
  <c r="CQ105" i="3"/>
  <c r="CR105" i="3"/>
  <c r="CS105" i="3"/>
  <c r="CT105" i="3"/>
  <c r="CU105" i="3"/>
  <c r="CV105" i="3"/>
  <c r="CW105" i="3"/>
  <c r="CX105" i="3"/>
  <c r="CY105" i="3"/>
  <c r="CZ105" i="3"/>
  <c r="DA105" i="3"/>
  <c r="DB105" i="3"/>
  <c r="DC105" i="3"/>
  <c r="DD105" i="3"/>
  <c r="DE105" i="3"/>
  <c r="DF105" i="3"/>
  <c r="DG105" i="3"/>
  <c r="DH105" i="3"/>
  <c r="DI105" i="3"/>
  <c r="DJ105" i="3"/>
  <c r="DK105" i="3"/>
  <c r="DL105" i="3"/>
  <c r="DM105" i="3"/>
  <c r="DN105" i="3"/>
  <c r="DO105" i="3"/>
  <c r="DP105" i="3"/>
  <c r="DQ105" i="3"/>
  <c r="DR105" i="3"/>
  <c r="DS105" i="3"/>
  <c r="DT105" i="3"/>
  <c r="DU105" i="3"/>
  <c r="DV105" i="3"/>
  <c r="DW105" i="3"/>
  <c r="DX105" i="3"/>
  <c r="DY105" i="3"/>
  <c r="DZ105" i="3"/>
  <c r="EA105" i="3"/>
  <c r="EB105" i="3"/>
  <c r="EC105" i="3"/>
  <c r="ED105" i="3"/>
  <c r="EE105" i="3"/>
  <c r="EF105" i="3"/>
  <c r="EG105" i="3"/>
  <c r="EH105" i="3"/>
  <c r="EI105" i="3"/>
  <c r="EJ105" i="3"/>
  <c r="EK105" i="3"/>
  <c r="EL105" i="3"/>
  <c r="EM105" i="3"/>
  <c r="EN105" i="3"/>
  <c r="EO105" i="3"/>
  <c r="EP105" i="3"/>
  <c r="EQ105" i="3"/>
  <c r="ER105" i="3"/>
  <c r="ES105" i="3"/>
  <c r="ET105" i="3"/>
  <c r="EU105" i="3"/>
  <c r="EV105" i="3"/>
  <c r="EW105" i="3"/>
  <c r="EX105" i="3"/>
  <c r="EY105" i="3"/>
  <c r="EZ105" i="3"/>
  <c r="FA105" i="3"/>
  <c r="FB105" i="3"/>
  <c r="FC105" i="3"/>
  <c r="FD105" i="3"/>
  <c r="FE105" i="3"/>
  <c r="FF105" i="3"/>
  <c r="FG105" i="3"/>
  <c r="FH105" i="3"/>
  <c r="FI105" i="3"/>
  <c r="FJ105" i="3"/>
  <c r="FK105" i="3"/>
  <c r="FL105" i="3"/>
  <c r="FM105" i="3"/>
  <c r="FN105" i="3"/>
  <c r="FO105" i="3"/>
  <c r="FP105" i="3"/>
  <c r="FQ105" i="3"/>
  <c r="FR105" i="3"/>
  <c r="FS105" i="3"/>
  <c r="FT105" i="3"/>
  <c r="FU105" i="3"/>
  <c r="FV105" i="3"/>
  <c r="FW105" i="3"/>
  <c r="FX105" i="3"/>
  <c r="FY105" i="3"/>
  <c r="FZ105" i="3"/>
  <c r="GA105" i="3"/>
  <c r="GB105" i="3"/>
  <c r="GC105" i="3"/>
  <c r="GD105" i="3"/>
  <c r="GE105" i="3"/>
  <c r="GF105" i="3"/>
  <c r="GG105" i="3"/>
  <c r="GH105" i="3"/>
  <c r="GI105" i="3"/>
  <c r="GJ105" i="3"/>
  <c r="GK105" i="3"/>
  <c r="GL105" i="3"/>
  <c r="GM105" i="3"/>
  <c r="GN105" i="3"/>
  <c r="GO105" i="3"/>
  <c r="GP105" i="3"/>
  <c r="GQ105" i="3"/>
  <c r="GR105" i="3"/>
  <c r="GS105" i="3"/>
  <c r="GT105" i="3"/>
  <c r="GU105" i="3"/>
  <c r="GV105" i="3"/>
  <c r="GW105" i="3"/>
  <c r="GX105" i="3"/>
  <c r="GY105" i="3"/>
  <c r="GZ105" i="3"/>
  <c r="HA105" i="3"/>
  <c r="HB105" i="3"/>
  <c r="HC105" i="3"/>
  <c r="HD105" i="3"/>
  <c r="HE105" i="3"/>
  <c r="HF105" i="3"/>
  <c r="HG105" i="3"/>
  <c r="HH105" i="3"/>
  <c r="HI105" i="3"/>
  <c r="HJ105" i="3"/>
  <c r="HK105" i="3"/>
  <c r="HL105" i="3"/>
  <c r="HM105" i="3"/>
  <c r="HN105" i="3"/>
  <c r="HO105" i="3"/>
  <c r="HP105" i="3"/>
  <c r="HQ105" i="3"/>
  <c r="HR105" i="3"/>
  <c r="HS105" i="3"/>
  <c r="HT105" i="3"/>
  <c r="HU105" i="3"/>
  <c r="HV105" i="3"/>
  <c r="HW105" i="3"/>
  <c r="HX105" i="3"/>
  <c r="HY105" i="3"/>
  <c r="HZ105" i="3"/>
  <c r="IA105" i="3"/>
  <c r="IB105" i="3"/>
  <c r="IC105" i="3"/>
  <c r="ID105" i="3"/>
  <c r="IE105" i="3"/>
  <c r="IF105" i="3"/>
  <c r="IG105" i="3"/>
  <c r="IH105" i="3"/>
  <c r="II105" i="3"/>
  <c r="IJ105" i="3"/>
  <c r="IK105" i="3"/>
  <c r="IL105" i="3"/>
  <c r="IM105" i="3"/>
  <c r="IN105" i="3"/>
  <c r="IO105" i="3"/>
  <c r="IP105" i="3"/>
  <c r="IQ105" i="3"/>
  <c r="IR105" i="3"/>
  <c r="IS105" i="3"/>
  <c r="IT105" i="3"/>
  <c r="IU105" i="3"/>
  <c r="IV105" i="3"/>
  <c r="A104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AF104" i="3"/>
  <c r="AG104" i="3"/>
  <c r="AH104" i="3"/>
  <c r="AI104" i="3"/>
  <c r="AJ104" i="3"/>
  <c r="AK104" i="3"/>
  <c r="AL104" i="3"/>
  <c r="AM104" i="3"/>
  <c r="AN104" i="3"/>
  <c r="AO104" i="3"/>
  <c r="AP104" i="3"/>
  <c r="AQ104" i="3"/>
  <c r="AR104" i="3"/>
  <c r="AS104" i="3"/>
  <c r="AT104" i="3"/>
  <c r="AU104" i="3"/>
  <c r="AV104" i="3"/>
  <c r="AW104" i="3"/>
  <c r="AX104" i="3"/>
  <c r="AY104" i="3"/>
  <c r="AZ104" i="3"/>
  <c r="BA104" i="3"/>
  <c r="BB104" i="3"/>
  <c r="BC104" i="3"/>
  <c r="BD104" i="3"/>
  <c r="BE104" i="3"/>
  <c r="BF104" i="3"/>
  <c r="BG104" i="3"/>
  <c r="BH104" i="3"/>
  <c r="BI104" i="3"/>
  <c r="BJ104" i="3"/>
  <c r="BK104" i="3"/>
  <c r="BL104" i="3"/>
  <c r="BM104" i="3"/>
  <c r="BN104" i="3"/>
  <c r="BO104" i="3"/>
  <c r="BP104" i="3"/>
  <c r="BQ104" i="3"/>
  <c r="BR104" i="3"/>
  <c r="BS104" i="3"/>
  <c r="BT104" i="3"/>
  <c r="BU104" i="3"/>
  <c r="BV104" i="3"/>
  <c r="BW104" i="3"/>
  <c r="BX104" i="3"/>
  <c r="BY104" i="3"/>
  <c r="BZ104" i="3"/>
  <c r="CA104" i="3"/>
  <c r="CB104" i="3"/>
  <c r="CC104" i="3"/>
  <c r="CD104" i="3"/>
  <c r="CE104" i="3"/>
  <c r="CF104" i="3"/>
  <c r="CG104" i="3"/>
  <c r="CH104" i="3"/>
  <c r="CI104" i="3"/>
  <c r="CJ104" i="3"/>
  <c r="CK104" i="3"/>
  <c r="CL104" i="3"/>
  <c r="CM104" i="3"/>
  <c r="CN104" i="3"/>
  <c r="CO104" i="3"/>
  <c r="CP104" i="3"/>
  <c r="CQ104" i="3"/>
  <c r="CR104" i="3"/>
  <c r="CS104" i="3"/>
  <c r="CT104" i="3"/>
  <c r="CU104" i="3"/>
  <c r="CV104" i="3"/>
  <c r="CW104" i="3"/>
  <c r="CX104" i="3"/>
  <c r="CY104" i="3"/>
  <c r="CZ104" i="3"/>
  <c r="DA104" i="3"/>
  <c r="DB104" i="3"/>
  <c r="DC104" i="3"/>
  <c r="DD104" i="3"/>
  <c r="DE104" i="3"/>
  <c r="DF104" i="3"/>
  <c r="DG104" i="3"/>
  <c r="DH104" i="3"/>
  <c r="DI104" i="3"/>
  <c r="DJ104" i="3"/>
  <c r="DK104" i="3"/>
  <c r="DL104" i="3"/>
  <c r="DM104" i="3"/>
  <c r="DN104" i="3"/>
  <c r="DO104" i="3"/>
  <c r="DP104" i="3"/>
  <c r="DQ104" i="3"/>
  <c r="DR104" i="3"/>
  <c r="DS104" i="3"/>
  <c r="DT104" i="3"/>
  <c r="DU104" i="3"/>
  <c r="DV104" i="3"/>
  <c r="DW104" i="3"/>
  <c r="DX104" i="3"/>
  <c r="DY104" i="3"/>
  <c r="DZ104" i="3"/>
  <c r="EA104" i="3"/>
  <c r="EB104" i="3"/>
  <c r="EC104" i="3"/>
  <c r="ED104" i="3"/>
  <c r="EE104" i="3"/>
  <c r="EF104" i="3"/>
  <c r="EG104" i="3"/>
  <c r="EH104" i="3"/>
  <c r="EI104" i="3"/>
  <c r="EJ104" i="3"/>
  <c r="EK104" i="3"/>
  <c r="EL104" i="3"/>
  <c r="EM104" i="3"/>
  <c r="EN104" i="3"/>
  <c r="EO104" i="3"/>
  <c r="EP104" i="3"/>
  <c r="EQ104" i="3"/>
  <c r="ER104" i="3"/>
  <c r="ES104" i="3"/>
  <c r="ET104" i="3"/>
  <c r="EU104" i="3"/>
  <c r="EV104" i="3"/>
  <c r="EW104" i="3"/>
  <c r="EX104" i="3"/>
  <c r="EY104" i="3"/>
  <c r="EZ104" i="3"/>
  <c r="FA104" i="3"/>
  <c r="FB104" i="3"/>
  <c r="FC104" i="3"/>
  <c r="FD104" i="3"/>
  <c r="FE104" i="3"/>
  <c r="FF104" i="3"/>
  <c r="FG104" i="3"/>
  <c r="FH104" i="3"/>
  <c r="FI104" i="3"/>
  <c r="FJ104" i="3"/>
  <c r="FK104" i="3"/>
  <c r="FL104" i="3"/>
  <c r="FM104" i="3"/>
  <c r="FN104" i="3"/>
  <c r="FO104" i="3"/>
  <c r="FP104" i="3"/>
  <c r="FQ104" i="3"/>
  <c r="FR104" i="3"/>
  <c r="FS104" i="3"/>
  <c r="FT104" i="3"/>
  <c r="FU104" i="3"/>
  <c r="FV104" i="3"/>
  <c r="FW104" i="3"/>
  <c r="FX104" i="3"/>
  <c r="FY104" i="3"/>
  <c r="FZ104" i="3"/>
  <c r="GA104" i="3"/>
  <c r="GB104" i="3"/>
  <c r="GC104" i="3"/>
  <c r="GD104" i="3"/>
  <c r="GE104" i="3"/>
  <c r="GF104" i="3"/>
  <c r="GG104" i="3"/>
  <c r="GH104" i="3"/>
  <c r="GI104" i="3"/>
  <c r="GJ104" i="3"/>
  <c r="GK104" i="3"/>
  <c r="GL104" i="3"/>
  <c r="GM104" i="3"/>
  <c r="GN104" i="3"/>
  <c r="GO104" i="3"/>
  <c r="GP104" i="3"/>
  <c r="GQ104" i="3"/>
  <c r="GR104" i="3"/>
  <c r="GS104" i="3"/>
  <c r="GT104" i="3"/>
  <c r="GU104" i="3"/>
  <c r="GV104" i="3"/>
  <c r="GW104" i="3"/>
  <c r="GX104" i="3"/>
  <c r="GY104" i="3"/>
  <c r="GZ104" i="3"/>
  <c r="HA104" i="3"/>
  <c r="HB104" i="3"/>
  <c r="HC104" i="3"/>
  <c r="HD104" i="3"/>
  <c r="HE104" i="3"/>
  <c r="HF104" i="3"/>
  <c r="HG104" i="3"/>
  <c r="HH104" i="3"/>
  <c r="HI104" i="3"/>
  <c r="HJ104" i="3"/>
  <c r="HK104" i="3"/>
  <c r="HL104" i="3"/>
  <c r="HM104" i="3"/>
  <c r="HN104" i="3"/>
  <c r="HO104" i="3"/>
  <c r="HP104" i="3"/>
  <c r="HQ104" i="3"/>
  <c r="HR104" i="3"/>
  <c r="HS104" i="3"/>
  <c r="HT104" i="3"/>
  <c r="HU104" i="3"/>
  <c r="HV104" i="3"/>
  <c r="HW104" i="3"/>
  <c r="HX104" i="3"/>
  <c r="HY104" i="3"/>
  <c r="HZ104" i="3"/>
  <c r="IA104" i="3"/>
  <c r="IB104" i="3"/>
  <c r="IC104" i="3"/>
  <c r="ID104" i="3"/>
  <c r="IE104" i="3"/>
  <c r="IF104" i="3"/>
  <c r="IG104" i="3"/>
  <c r="IH104" i="3"/>
  <c r="II104" i="3"/>
  <c r="IJ104" i="3"/>
  <c r="IK104" i="3"/>
  <c r="IL104" i="3"/>
  <c r="IM104" i="3"/>
  <c r="IN104" i="3"/>
  <c r="IO104" i="3"/>
  <c r="IP104" i="3"/>
  <c r="IQ104" i="3"/>
  <c r="IR104" i="3"/>
  <c r="IS104" i="3"/>
  <c r="IT104" i="3"/>
  <c r="IU104" i="3"/>
  <c r="IV104" i="3"/>
  <c r="A103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AF103" i="3"/>
  <c r="AG103" i="3"/>
  <c r="AH103" i="3"/>
  <c r="AI103" i="3"/>
  <c r="AJ103" i="3"/>
  <c r="AK103" i="3"/>
  <c r="AL103" i="3"/>
  <c r="AM103" i="3"/>
  <c r="AN103" i="3"/>
  <c r="AO103" i="3"/>
  <c r="AP103" i="3"/>
  <c r="AQ103" i="3"/>
  <c r="AR103" i="3"/>
  <c r="AS103" i="3"/>
  <c r="AT103" i="3"/>
  <c r="AU103" i="3"/>
  <c r="AV103" i="3"/>
  <c r="AW103" i="3"/>
  <c r="AX103" i="3"/>
  <c r="AY103" i="3"/>
  <c r="AZ103" i="3"/>
  <c r="BA103" i="3"/>
  <c r="BB103" i="3"/>
  <c r="BC103" i="3"/>
  <c r="BD103" i="3"/>
  <c r="BE103" i="3"/>
  <c r="BF103" i="3"/>
  <c r="BG103" i="3"/>
  <c r="BH103" i="3"/>
  <c r="BI103" i="3"/>
  <c r="BJ103" i="3"/>
  <c r="BK103" i="3"/>
  <c r="BL103" i="3"/>
  <c r="BM103" i="3"/>
  <c r="BN103" i="3"/>
  <c r="BO103" i="3"/>
  <c r="BP103" i="3"/>
  <c r="BQ103" i="3"/>
  <c r="BR103" i="3"/>
  <c r="BS103" i="3"/>
  <c r="BT103" i="3"/>
  <c r="BU103" i="3"/>
  <c r="BV103" i="3"/>
  <c r="BW103" i="3"/>
  <c r="BX103" i="3"/>
  <c r="BY103" i="3"/>
  <c r="BZ103" i="3"/>
  <c r="CA103" i="3"/>
  <c r="CB103" i="3"/>
  <c r="CC103" i="3"/>
  <c r="CD103" i="3"/>
  <c r="CE103" i="3"/>
  <c r="CF103" i="3"/>
  <c r="CG103" i="3"/>
  <c r="CH103" i="3"/>
  <c r="CI103" i="3"/>
  <c r="CJ103" i="3"/>
  <c r="CK103" i="3"/>
  <c r="CL103" i="3"/>
  <c r="CM103" i="3"/>
  <c r="CN103" i="3"/>
  <c r="CO103" i="3"/>
  <c r="CP103" i="3"/>
  <c r="CQ103" i="3"/>
  <c r="CR103" i="3"/>
  <c r="CS103" i="3"/>
  <c r="CT103" i="3"/>
  <c r="CU103" i="3"/>
  <c r="CV103" i="3"/>
  <c r="CW103" i="3"/>
  <c r="CX103" i="3"/>
  <c r="CY103" i="3"/>
  <c r="CZ103" i="3"/>
  <c r="DA103" i="3"/>
  <c r="DB103" i="3"/>
  <c r="DC103" i="3"/>
  <c r="DD103" i="3"/>
  <c r="DE103" i="3"/>
  <c r="DF103" i="3"/>
  <c r="DG103" i="3"/>
  <c r="DH103" i="3"/>
  <c r="DI103" i="3"/>
  <c r="DJ103" i="3"/>
  <c r="DK103" i="3"/>
  <c r="DL103" i="3"/>
  <c r="DM103" i="3"/>
  <c r="DN103" i="3"/>
  <c r="DO103" i="3"/>
  <c r="DP103" i="3"/>
  <c r="DQ103" i="3"/>
  <c r="DR103" i="3"/>
  <c r="DS103" i="3"/>
  <c r="DT103" i="3"/>
  <c r="DU103" i="3"/>
  <c r="DV103" i="3"/>
  <c r="DW103" i="3"/>
  <c r="DX103" i="3"/>
  <c r="DY103" i="3"/>
  <c r="DZ103" i="3"/>
  <c r="EA103" i="3"/>
  <c r="EB103" i="3"/>
  <c r="EC103" i="3"/>
  <c r="ED103" i="3"/>
  <c r="EE103" i="3"/>
  <c r="EF103" i="3"/>
  <c r="EG103" i="3"/>
  <c r="EH103" i="3"/>
  <c r="EI103" i="3"/>
  <c r="EJ103" i="3"/>
  <c r="EK103" i="3"/>
  <c r="EL103" i="3"/>
  <c r="EM103" i="3"/>
  <c r="EN103" i="3"/>
  <c r="EO103" i="3"/>
  <c r="EP103" i="3"/>
  <c r="EQ103" i="3"/>
  <c r="ER103" i="3"/>
  <c r="ES103" i="3"/>
  <c r="ET103" i="3"/>
  <c r="EU103" i="3"/>
  <c r="EV103" i="3"/>
  <c r="EW103" i="3"/>
  <c r="EX103" i="3"/>
  <c r="EY103" i="3"/>
  <c r="EZ103" i="3"/>
  <c r="FA103" i="3"/>
  <c r="FB103" i="3"/>
  <c r="FC103" i="3"/>
  <c r="FD103" i="3"/>
  <c r="FE103" i="3"/>
  <c r="FF103" i="3"/>
  <c r="FG103" i="3"/>
  <c r="FH103" i="3"/>
  <c r="FI103" i="3"/>
  <c r="FJ103" i="3"/>
  <c r="FK103" i="3"/>
  <c r="FL103" i="3"/>
  <c r="FM103" i="3"/>
  <c r="FN103" i="3"/>
  <c r="FO103" i="3"/>
  <c r="FP103" i="3"/>
  <c r="FQ103" i="3"/>
  <c r="FR103" i="3"/>
  <c r="FS103" i="3"/>
  <c r="FT103" i="3"/>
  <c r="FU103" i="3"/>
  <c r="FV103" i="3"/>
  <c r="FW103" i="3"/>
  <c r="FX103" i="3"/>
  <c r="FY103" i="3"/>
  <c r="FZ103" i="3"/>
  <c r="GA103" i="3"/>
  <c r="GB103" i="3"/>
  <c r="GC103" i="3"/>
  <c r="GD103" i="3"/>
  <c r="GE103" i="3"/>
  <c r="GF103" i="3"/>
  <c r="GG103" i="3"/>
  <c r="GH103" i="3"/>
  <c r="GI103" i="3"/>
  <c r="GJ103" i="3"/>
  <c r="GK103" i="3"/>
  <c r="GL103" i="3"/>
  <c r="GM103" i="3"/>
  <c r="GN103" i="3"/>
  <c r="GO103" i="3"/>
  <c r="GP103" i="3"/>
  <c r="GQ103" i="3"/>
  <c r="GR103" i="3"/>
  <c r="GS103" i="3"/>
  <c r="GT103" i="3"/>
  <c r="GU103" i="3"/>
  <c r="GV103" i="3"/>
  <c r="GW103" i="3"/>
  <c r="GX103" i="3"/>
  <c r="GY103" i="3"/>
  <c r="GZ103" i="3"/>
  <c r="HA103" i="3"/>
  <c r="HB103" i="3"/>
  <c r="HC103" i="3"/>
  <c r="HD103" i="3"/>
  <c r="HE103" i="3"/>
  <c r="HF103" i="3"/>
  <c r="HG103" i="3"/>
  <c r="HH103" i="3"/>
  <c r="HI103" i="3"/>
  <c r="HJ103" i="3"/>
  <c r="HK103" i="3"/>
  <c r="HL103" i="3"/>
  <c r="HM103" i="3"/>
  <c r="HN103" i="3"/>
  <c r="HO103" i="3"/>
  <c r="HP103" i="3"/>
  <c r="HQ103" i="3"/>
  <c r="HR103" i="3"/>
  <c r="HS103" i="3"/>
  <c r="HT103" i="3"/>
  <c r="HU103" i="3"/>
  <c r="HV103" i="3"/>
  <c r="HW103" i="3"/>
  <c r="HX103" i="3"/>
  <c r="HY103" i="3"/>
  <c r="HZ103" i="3"/>
  <c r="IA103" i="3"/>
  <c r="IB103" i="3"/>
  <c r="IC103" i="3"/>
  <c r="ID103" i="3"/>
  <c r="IE103" i="3"/>
  <c r="IF103" i="3"/>
  <c r="IG103" i="3"/>
  <c r="IH103" i="3"/>
  <c r="II103" i="3"/>
  <c r="IJ103" i="3"/>
  <c r="IK103" i="3"/>
  <c r="IL103" i="3"/>
  <c r="IM103" i="3"/>
  <c r="IN103" i="3"/>
  <c r="IO103" i="3"/>
  <c r="IP103" i="3"/>
  <c r="IQ103" i="3"/>
  <c r="IR103" i="3"/>
  <c r="IS103" i="3"/>
  <c r="IT103" i="3"/>
  <c r="IU103" i="3"/>
  <c r="IV103" i="3"/>
  <c r="A102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AH102" i="3"/>
  <c r="AI102" i="3"/>
  <c r="AJ102" i="3"/>
  <c r="AK102" i="3"/>
  <c r="AL102" i="3"/>
  <c r="AM102" i="3"/>
  <c r="AN102" i="3"/>
  <c r="AO102" i="3"/>
  <c r="AP102" i="3"/>
  <c r="AQ102" i="3"/>
  <c r="AR102" i="3"/>
  <c r="AS102" i="3"/>
  <c r="AT102" i="3"/>
  <c r="AU102" i="3"/>
  <c r="AV102" i="3"/>
  <c r="AW102" i="3"/>
  <c r="AX102" i="3"/>
  <c r="AY102" i="3"/>
  <c r="AZ102" i="3"/>
  <c r="BA102" i="3"/>
  <c r="BB102" i="3"/>
  <c r="BC102" i="3"/>
  <c r="BD102" i="3"/>
  <c r="BE102" i="3"/>
  <c r="BF102" i="3"/>
  <c r="BG102" i="3"/>
  <c r="BH102" i="3"/>
  <c r="BI102" i="3"/>
  <c r="BJ102" i="3"/>
  <c r="BK102" i="3"/>
  <c r="BL102" i="3"/>
  <c r="BM102" i="3"/>
  <c r="BN102" i="3"/>
  <c r="BO102" i="3"/>
  <c r="BP102" i="3"/>
  <c r="BQ102" i="3"/>
  <c r="BR102" i="3"/>
  <c r="BS102" i="3"/>
  <c r="BT102" i="3"/>
  <c r="BU102" i="3"/>
  <c r="BV102" i="3"/>
  <c r="BW102" i="3"/>
  <c r="BX102" i="3"/>
  <c r="BY102" i="3"/>
  <c r="BZ102" i="3"/>
  <c r="CA102" i="3"/>
  <c r="CB102" i="3"/>
  <c r="CC102" i="3"/>
  <c r="CD102" i="3"/>
  <c r="CE102" i="3"/>
  <c r="CF102" i="3"/>
  <c r="CG102" i="3"/>
  <c r="CH102" i="3"/>
  <c r="CI102" i="3"/>
  <c r="CJ102" i="3"/>
  <c r="CK102" i="3"/>
  <c r="CL102" i="3"/>
  <c r="CM102" i="3"/>
  <c r="CN102" i="3"/>
  <c r="CO102" i="3"/>
  <c r="CP102" i="3"/>
  <c r="CQ102" i="3"/>
  <c r="CR102" i="3"/>
  <c r="CS102" i="3"/>
  <c r="CT102" i="3"/>
  <c r="CU102" i="3"/>
  <c r="CV102" i="3"/>
  <c r="CW102" i="3"/>
  <c r="CX102" i="3"/>
  <c r="CY102" i="3"/>
  <c r="CZ102" i="3"/>
  <c r="DA102" i="3"/>
  <c r="DB102" i="3"/>
  <c r="DC102" i="3"/>
  <c r="DD102" i="3"/>
  <c r="DE102" i="3"/>
  <c r="DF102" i="3"/>
  <c r="DG102" i="3"/>
  <c r="DH102" i="3"/>
  <c r="DI102" i="3"/>
  <c r="DJ102" i="3"/>
  <c r="DK102" i="3"/>
  <c r="DL102" i="3"/>
  <c r="DM102" i="3"/>
  <c r="DN102" i="3"/>
  <c r="DO102" i="3"/>
  <c r="DP102" i="3"/>
  <c r="DQ102" i="3"/>
  <c r="DR102" i="3"/>
  <c r="DS102" i="3"/>
  <c r="DT102" i="3"/>
  <c r="DU102" i="3"/>
  <c r="DV102" i="3"/>
  <c r="DW102" i="3"/>
  <c r="DX102" i="3"/>
  <c r="DY102" i="3"/>
  <c r="DZ102" i="3"/>
  <c r="EA102" i="3"/>
  <c r="EB102" i="3"/>
  <c r="EC102" i="3"/>
  <c r="ED102" i="3"/>
  <c r="EE102" i="3"/>
  <c r="EF102" i="3"/>
  <c r="EG102" i="3"/>
  <c r="EH102" i="3"/>
  <c r="EI102" i="3"/>
  <c r="EJ102" i="3"/>
  <c r="EK102" i="3"/>
  <c r="EL102" i="3"/>
  <c r="EM102" i="3"/>
  <c r="EN102" i="3"/>
  <c r="EO102" i="3"/>
  <c r="EP102" i="3"/>
  <c r="EQ102" i="3"/>
  <c r="ER102" i="3"/>
  <c r="ES102" i="3"/>
  <c r="ET102" i="3"/>
  <c r="EU102" i="3"/>
  <c r="EV102" i="3"/>
  <c r="EW102" i="3"/>
  <c r="EX102" i="3"/>
  <c r="EY102" i="3"/>
  <c r="EZ102" i="3"/>
  <c r="FA102" i="3"/>
  <c r="FB102" i="3"/>
  <c r="FC102" i="3"/>
  <c r="FD102" i="3"/>
  <c r="FE102" i="3"/>
  <c r="FF102" i="3"/>
  <c r="FG102" i="3"/>
  <c r="FH102" i="3"/>
  <c r="FI102" i="3"/>
  <c r="FJ102" i="3"/>
  <c r="FK102" i="3"/>
  <c r="FL102" i="3"/>
  <c r="FM102" i="3"/>
  <c r="FN102" i="3"/>
  <c r="FO102" i="3"/>
  <c r="FP102" i="3"/>
  <c r="FQ102" i="3"/>
  <c r="FR102" i="3"/>
  <c r="FS102" i="3"/>
  <c r="FT102" i="3"/>
  <c r="FU102" i="3"/>
  <c r="FV102" i="3"/>
  <c r="FW102" i="3"/>
  <c r="FX102" i="3"/>
  <c r="FY102" i="3"/>
  <c r="FZ102" i="3"/>
  <c r="GA102" i="3"/>
  <c r="GB102" i="3"/>
  <c r="GC102" i="3"/>
  <c r="GD102" i="3"/>
  <c r="GE102" i="3"/>
  <c r="GF102" i="3"/>
  <c r="GG102" i="3"/>
  <c r="GH102" i="3"/>
  <c r="GI102" i="3"/>
  <c r="GJ102" i="3"/>
  <c r="GK102" i="3"/>
  <c r="GL102" i="3"/>
  <c r="GM102" i="3"/>
  <c r="GN102" i="3"/>
  <c r="GO102" i="3"/>
  <c r="GP102" i="3"/>
  <c r="GQ102" i="3"/>
  <c r="GR102" i="3"/>
  <c r="GS102" i="3"/>
  <c r="GT102" i="3"/>
  <c r="GU102" i="3"/>
  <c r="GV102" i="3"/>
  <c r="GW102" i="3"/>
  <c r="GX102" i="3"/>
  <c r="GY102" i="3"/>
  <c r="GZ102" i="3"/>
  <c r="HA102" i="3"/>
  <c r="HB102" i="3"/>
  <c r="HC102" i="3"/>
  <c r="HD102" i="3"/>
  <c r="HE102" i="3"/>
  <c r="HF102" i="3"/>
  <c r="HG102" i="3"/>
  <c r="HH102" i="3"/>
  <c r="HI102" i="3"/>
  <c r="HJ102" i="3"/>
  <c r="HK102" i="3"/>
  <c r="HL102" i="3"/>
  <c r="HM102" i="3"/>
  <c r="HN102" i="3"/>
  <c r="HO102" i="3"/>
  <c r="HP102" i="3"/>
  <c r="HQ102" i="3"/>
  <c r="HR102" i="3"/>
  <c r="HS102" i="3"/>
  <c r="HT102" i="3"/>
  <c r="HU102" i="3"/>
  <c r="HV102" i="3"/>
  <c r="HW102" i="3"/>
  <c r="HX102" i="3"/>
  <c r="HY102" i="3"/>
  <c r="HZ102" i="3"/>
  <c r="IA102" i="3"/>
  <c r="IB102" i="3"/>
  <c r="IC102" i="3"/>
  <c r="ID102" i="3"/>
  <c r="IE102" i="3"/>
  <c r="IF102" i="3"/>
  <c r="IG102" i="3"/>
  <c r="IH102" i="3"/>
  <c r="II102" i="3"/>
  <c r="IJ102" i="3"/>
  <c r="IK102" i="3"/>
  <c r="IL102" i="3"/>
  <c r="IM102" i="3"/>
  <c r="IN102" i="3"/>
  <c r="IO102" i="3"/>
  <c r="IP102" i="3"/>
  <c r="IQ102" i="3"/>
  <c r="IR102" i="3"/>
  <c r="IS102" i="3"/>
  <c r="IT102" i="3"/>
  <c r="IU102" i="3"/>
  <c r="IV102" i="3"/>
  <c r="A101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AH101" i="3"/>
  <c r="AI101" i="3"/>
  <c r="AJ101" i="3"/>
  <c r="AK101" i="3"/>
  <c r="AL101" i="3"/>
  <c r="AM101" i="3"/>
  <c r="AN101" i="3"/>
  <c r="AO101" i="3"/>
  <c r="AP101" i="3"/>
  <c r="AQ101" i="3"/>
  <c r="AR101" i="3"/>
  <c r="AS101" i="3"/>
  <c r="AT101" i="3"/>
  <c r="AU101" i="3"/>
  <c r="AV101" i="3"/>
  <c r="AW101" i="3"/>
  <c r="AX101" i="3"/>
  <c r="AY101" i="3"/>
  <c r="AZ101" i="3"/>
  <c r="BA101" i="3"/>
  <c r="BB101" i="3"/>
  <c r="BC101" i="3"/>
  <c r="BD101" i="3"/>
  <c r="BE101" i="3"/>
  <c r="BF101" i="3"/>
  <c r="BG101" i="3"/>
  <c r="BH101" i="3"/>
  <c r="BI101" i="3"/>
  <c r="BJ101" i="3"/>
  <c r="BK101" i="3"/>
  <c r="BL101" i="3"/>
  <c r="BM101" i="3"/>
  <c r="BN101" i="3"/>
  <c r="BO101" i="3"/>
  <c r="BP101" i="3"/>
  <c r="BQ101" i="3"/>
  <c r="BR101" i="3"/>
  <c r="BS101" i="3"/>
  <c r="BT101" i="3"/>
  <c r="BU101" i="3"/>
  <c r="BV101" i="3"/>
  <c r="BW101" i="3"/>
  <c r="BX101" i="3"/>
  <c r="BY101" i="3"/>
  <c r="BZ101" i="3"/>
  <c r="CA101" i="3"/>
  <c r="CB101" i="3"/>
  <c r="CC101" i="3"/>
  <c r="CD101" i="3"/>
  <c r="CE101" i="3"/>
  <c r="CF101" i="3"/>
  <c r="CG101" i="3"/>
  <c r="CH101" i="3"/>
  <c r="CI101" i="3"/>
  <c r="CJ101" i="3"/>
  <c r="CK101" i="3"/>
  <c r="CL101" i="3"/>
  <c r="CM101" i="3"/>
  <c r="CN101" i="3"/>
  <c r="CO101" i="3"/>
  <c r="CP101" i="3"/>
  <c r="CQ101" i="3"/>
  <c r="CR101" i="3"/>
  <c r="CS101" i="3"/>
  <c r="CT101" i="3"/>
  <c r="CU101" i="3"/>
  <c r="CV101" i="3"/>
  <c r="CW101" i="3"/>
  <c r="CX101" i="3"/>
  <c r="CY101" i="3"/>
  <c r="CZ101" i="3"/>
  <c r="DA101" i="3"/>
  <c r="DB101" i="3"/>
  <c r="DC101" i="3"/>
  <c r="DD101" i="3"/>
  <c r="DE101" i="3"/>
  <c r="DF101" i="3"/>
  <c r="DG101" i="3"/>
  <c r="DH101" i="3"/>
  <c r="DI101" i="3"/>
  <c r="DJ101" i="3"/>
  <c r="DK101" i="3"/>
  <c r="DL101" i="3"/>
  <c r="DM101" i="3"/>
  <c r="DN101" i="3"/>
  <c r="DO101" i="3"/>
  <c r="DP101" i="3"/>
  <c r="DQ101" i="3"/>
  <c r="DR101" i="3"/>
  <c r="DS101" i="3"/>
  <c r="DT101" i="3"/>
  <c r="DU101" i="3"/>
  <c r="DV101" i="3"/>
  <c r="DW101" i="3"/>
  <c r="DX101" i="3"/>
  <c r="DY101" i="3"/>
  <c r="DZ101" i="3"/>
  <c r="EA101" i="3"/>
  <c r="EB101" i="3"/>
  <c r="EC101" i="3"/>
  <c r="ED101" i="3"/>
  <c r="EE101" i="3"/>
  <c r="EF101" i="3"/>
  <c r="EG101" i="3"/>
  <c r="EH101" i="3"/>
  <c r="EI101" i="3"/>
  <c r="EJ101" i="3"/>
  <c r="EK101" i="3"/>
  <c r="EL101" i="3"/>
  <c r="EM101" i="3"/>
  <c r="EN101" i="3"/>
  <c r="EO101" i="3"/>
  <c r="EP101" i="3"/>
  <c r="EQ101" i="3"/>
  <c r="ER101" i="3"/>
  <c r="ES101" i="3"/>
  <c r="ET101" i="3"/>
  <c r="EU101" i="3"/>
  <c r="EV101" i="3"/>
  <c r="EW101" i="3"/>
  <c r="EX101" i="3"/>
  <c r="EY101" i="3"/>
  <c r="EZ101" i="3"/>
  <c r="FA101" i="3"/>
  <c r="FB101" i="3"/>
  <c r="FC101" i="3"/>
  <c r="FD101" i="3"/>
  <c r="FE101" i="3"/>
  <c r="FF101" i="3"/>
  <c r="FG101" i="3"/>
  <c r="FH101" i="3"/>
  <c r="FI101" i="3"/>
  <c r="FJ101" i="3"/>
  <c r="FK101" i="3"/>
  <c r="FL101" i="3"/>
  <c r="FM101" i="3"/>
  <c r="FN101" i="3"/>
  <c r="FO101" i="3"/>
  <c r="FP101" i="3"/>
  <c r="FQ101" i="3"/>
  <c r="FR101" i="3"/>
  <c r="FS101" i="3"/>
  <c r="FT101" i="3"/>
  <c r="FU101" i="3"/>
  <c r="FV101" i="3"/>
  <c r="FW101" i="3"/>
  <c r="FX101" i="3"/>
  <c r="FY101" i="3"/>
  <c r="FZ101" i="3"/>
  <c r="GA101" i="3"/>
  <c r="GB101" i="3"/>
  <c r="GC101" i="3"/>
  <c r="GD101" i="3"/>
  <c r="GE101" i="3"/>
  <c r="GF101" i="3"/>
  <c r="GG101" i="3"/>
  <c r="GH101" i="3"/>
  <c r="GI101" i="3"/>
  <c r="GJ101" i="3"/>
  <c r="GK101" i="3"/>
  <c r="GL101" i="3"/>
  <c r="GM101" i="3"/>
  <c r="GN101" i="3"/>
  <c r="GO101" i="3"/>
  <c r="GP101" i="3"/>
  <c r="GQ101" i="3"/>
  <c r="GR101" i="3"/>
  <c r="GS101" i="3"/>
  <c r="GT101" i="3"/>
  <c r="GU101" i="3"/>
  <c r="GV101" i="3"/>
  <c r="GW101" i="3"/>
  <c r="GX101" i="3"/>
  <c r="GY101" i="3"/>
  <c r="GZ101" i="3"/>
  <c r="HA101" i="3"/>
  <c r="HB101" i="3"/>
  <c r="HC101" i="3"/>
  <c r="HD101" i="3"/>
  <c r="HE101" i="3"/>
  <c r="HF101" i="3"/>
  <c r="HG101" i="3"/>
  <c r="HH101" i="3"/>
  <c r="HI101" i="3"/>
  <c r="HJ101" i="3"/>
  <c r="HK101" i="3"/>
  <c r="HL101" i="3"/>
  <c r="HM101" i="3"/>
  <c r="HN101" i="3"/>
  <c r="HO101" i="3"/>
  <c r="HP101" i="3"/>
  <c r="HQ101" i="3"/>
  <c r="HR101" i="3"/>
  <c r="HS101" i="3"/>
  <c r="HT101" i="3"/>
  <c r="HU101" i="3"/>
  <c r="HV101" i="3"/>
  <c r="HW101" i="3"/>
  <c r="HX101" i="3"/>
  <c r="HY101" i="3"/>
  <c r="HZ101" i="3"/>
  <c r="IA101" i="3"/>
  <c r="IB101" i="3"/>
  <c r="IC101" i="3"/>
  <c r="ID101" i="3"/>
  <c r="IE101" i="3"/>
  <c r="IF101" i="3"/>
  <c r="IG101" i="3"/>
  <c r="IH101" i="3"/>
  <c r="II101" i="3"/>
  <c r="IJ101" i="3"/>
  <c r="IK101" i="3"/>
  <c r="IL101" i="3"/>
  <c r="IM101" i="3"/>
  <c r="IN101" i="3"/>
  <c r="IO101" i="3"/>
  <c r="IP101" i="3"/>
  <c r="IQ101" i="3"/>
  <c r="IR101" i="3"/>
  <c r="IS101" i="3"/>
  <c r="IT101" i="3"/>
  <c r="IU101" i="3"/>
  <c r="IV101" i="3"/>
  <c r="A100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AH100" i="3"/>
  <c r="AI100" i="3"/>
  <c r="AJ100" i="3"/>
  <c r="AK100" i="3"/>
  <c r="AL100" i="3"/>
  <c r="AM100" i="3"/>
  <c r="AN100" i="3"/>
  <c r="AO100" i="3"/>
  <c r="AP100" i="3"/>
  <c r="AQ100" i="3"/>
  <c r="AR100" i="3"/>
  <c r="AS100" i="3"/>
  <c r="AT100" i="3"/>
  <c r="AU100" i="3"/>
  <c r="AV100" i="3"/>
  <c r="AW100" i="3"/>
  <c r="AX100" i="3"/>
  <c r="AY100" i="3"/>
  <c r="AZ100" i="3"/>
  <c r="BA100" i="3"/>
  <c r="BB100" i="3"/>
  <c r="BC100" i="3"/>
  <c r="BD100" i="3"/>
  <c r="BE100" i="3"/>
  <c r="BF100" i="3"/>
  <c r="BG100" i="3"/>
  <c r="BH100" i="3"/>
  <c r="BI100" i="3"/>
  <c r="BJ100" i="3"/>
  <c r="BK100" i="3"/>
  <c r="BL100" i="3"/>
  <c r="BM100" i="3"/>
  <c r="BN100" i="3"/>
  <c r="BO100" i="3"/>
  <c r="BP100" i="3"/>
  <c r="BQ100" i="3"/>
  <c r="BR100" i="3"/>
  <c r="BS100" i="3"/>
  <c r="BT100" i="3"/>
  <c r="BU100" i="3"/>
  <c r="BV100" i="3"/>
  <c r="BW100" i="3"/>
  <c r="BX100" i="3"/>
  <c r="BY100" i="3"/>
  <c r="BZ100" i="3"/>
  <c r="CA100" i="3"/>
  <c r="CB100" i="3"/>
  <c r="CC100" i="3"/>
  <c r="CD100" i="3"/>
  <c r="CE100" i="3"/>
  <c r="CF100" i="3"/>
  <c r="CG100" i="3"/>
  <c r="CH100" i="3"/>
  <c r="CI100" i="3"/>
  <c r="CJ100" i="3"/>
  <c r="CK100" i="3"/>
  <c r="CL100" i="3"/>
  <c r="CM100" i="3"/>
  <c r="CN100" i="3"/>
  <c r="CO100" i="3"/>
  <c r="CP100" i="3"/>
  <c r="CQ100" i="3"/>
  <c r="CR100" i="3"/>
  <c r="CS100" i="3"/>
  <c r="CT100" i="3"/>
  <c r="CU100" i="3"/>
  <c r="CV100" i="3"/>
  <c r="CW100" i="3"/>
  <c r="CX100" i="3"/>
  <c r="CY100" i="3"/>
  <c r="CZ100" i="3"/>
  <c r="DA100" i="3"/>
  <c r="DB100" i="3"/>
  <c r="DC100" i="3"/>
  <c r="DD100" i="3"/>
  <c r="DE100" i="3"/>
  <c r="DF100" i="3"/>
  <c r="DG100" i="3"/>
  <c r="DH100" i="3"/>
  <c r="DI100" i="3"/>
  <c r="DJ100" i="3"/>
  <c r="DK100" i="3"/>
  <c r="DL100" i="3"/>
  <c r="DM100" i="3"/>
  <c r="DN100" i="3"/>
  <c r="DO100" i="3"/>
  <c r="DP100" i="3"/>
  <c r="DQ100" i="3"/>
  <c r="DR100" i="3"/>
  <c r="DS100" i="3"/>
  <c r="DT100" i="3"/>
  <c r="DU100" i="3"/>
  <c r="DV100" i="3"/>
  <c r="DW100" i="3"/>
  <c r="DX100" i="3"/>
  <c r="DY100" i="3"/>
  <c r="DZ100" i="3"/>
  <c r="EA100" i="3"/>
  <c r="EB100" i="3"/>
  <c r="EC100" i="3"/>
  <c r="ED100" i="3"/>
  <c r="EE100" i="3"/>
  <c r="EF100" i="3"/>
  <c r="EG100" i="3"/>
  <c r="EH100" i="3"/>
  <c r="EI100" i="3"/>
  <c r="EJ100" i="3"/>
  <c r="EK100" i="3"/>
  <c r="EL100" i="3"/>
  <c r="EM100" i="3"/>
  <c r="EN100" i="3"/>
  <c r="EO100" i="3"/>
  <c r="EP100" i="3"/>
  <c r="EQ100" i="3"/>
  <c r="ER100" i="3"/>
  <c r="ES100" i="3"/>
  <c r="ET100" i="3"/>
  <c r="EU100" i="3"/>
  <c r="EV100" i="3"/>
  <c r="EW100" i="3"/>
  <c r="EX100" i="3"/>
  <c r="EY100" i="3"/>
  <c r="EZ100" i="3"/>
  <c r="FA100" i="3"/>
  <c r="FB100" i="3"/>
  <c r="FC100" i="3"/>
  <c r="FD100" i="3"/>
  <c r="FE100" i="3"/>
  <c r="FF100" i="3"/>
  <c r="FG100" i="3"/>
  <c r="FH100" i="3"/>
  <c r="FI100" i="3"/>
  <c r="FJ100" i="3"/>
  <c r="FK100" i="3"/>
  <c r="FL100" i="3"/>
  <c r="FM100" i="3"/>
  <c r="FN100" i="3"/>
  <c r="FO100" i="3"/>
  <c r="FP100" i="3"/>
  <c r="FQ100" i="3"/>
  <c r="FR100" i="3"/>
  <c r="FS100" i="3"/>
  <c r="FT100" i="3"/>
  <c r="FU100" i="3"/>
  <c r="FV100" i="3"/>
  <c r="FW100" i="3"/>
  <c r="FX100" i="3"/>
  <c r="FY100" i="3"/>
  <c r="FZ100" i="3"/>
  <c r="GA100" i="3"/>
  <c r="GB100" i="3"/>
  <c r="GC100" i="3"/>
  <c r="GD100" i="3"/>
  <c r="GE100" i="3"/>
  <c r="GF100" i="3"/>
  <c r="GG100" i="3"/>
  <c r="GH100" i="3"/>
  <c r="GI100" i="3"/>
  <c r="GJ100" i="3"/>
  <c r="GK100" i="3"/>
  <c r="GL100" i="3"/>
  <c r="GM100" i="3"/>
  <c r="GN100" i="3"/>
  <c r="GO100" i="3"/>
  <c r="GP100" i="3"/>
  <c r="GQ100" i="3"/>
  <c r="GR100" i="3"/>
  <c r="GS100" i="3"/>
  <c r="GT100" i="3"/>
  <c r="GU100" i="3"/>
  <c r="GV100" i="3"/>
  <c r="GW100" i="3"/>
  <c r="GX100" i="3"/>
  <c r="GY100" i="3"/>
  <c r="GZ100" i="3"/>
  <c r="HA100" i="3"/>
  <c r="HB100" i="3"/>
  <c r="HC100" i="3"/>
  <c r="HD100" i="3"/>
  <c r="HE100" i="3"/>
  <c r="HF100" i="3"/>
  <c r="HG100" i="3"/>
  <c r="HH100" i="3"/>
  <c r="HI100" i="3"/>
  <c r="HJ100" i="3"/>
  <c r="HK100" i="3"/>
  <c r="HL100" i="3"/>
  <c r="HM100" i="3"/>
  <c r="HN100" i="3"/>
  <c r="HO100" i="3"/>
  <c r="HP100" i="3"/>
  <c r="HQ100" i="3"/>
  <c r="HR100" i="3"/>
  <c r="HS100" i="3"/>
  <c r="HT100" i="3"/>
  <c r="HU100" i="3"/>
  <c r="HV100" i="3"/>
  <c r="HW100" i="3"/>
  <c r="HX100" i="3"/>
  <c r="HY100" i="3"/>
  <c r="HZ100" i="3"/>
  <c r="IA100" i="3"/>
  <c r="IB100" i="3"/>
  <c r="IC100" i="3"/>
  <c r="ID100" i="3"/>
  <c r="IE100" i="3"/>
  <c r="IF100" i="3"/>
  <c r="IG100" i="3"/>
  <c r="IH100" i="3"/>
  <c r="II100" i="3"/>
  <c r="IJ100" i="3"/>
  <c r="IK100" i="3"/>
  <c r="IL100" i="3"/>
  <c r="IM100" i="3"/>
  <c r="IN100" i="3"/>
  <c r="IO100" i="3"/>
  <c r="IP100" i="3"/>
  <c r="IQ100" i="3"/>
  <c r="IR100" i="3"/>
  <c r="IS100" i="3"/>
  <c r="IT100" i="3"/>
  <c r="IU100" i="3"/>
  <c r="IV100" i="3"/>
  <c r="A99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AH99" i="3"/>
  <c r="AI99" i="3"/>
  <c r="AJ99" i="3"/>
  <c r="AK99" i="3"/>
  <c r="AL99" i="3"/>
  <c r="AM99" i="3"/>
  <c r="AN99" i="3"/>
  <c r="AO99" i="3"/>
  <c r="AP99" i="3"/>
  <c r="AQ99" i="3"/>
  <c r="AR99" i="3"/>
  <c r="AS99" i="3"/>
  <c r="AT99" i="3"/>
  <c r="AU99" i="3"/>
  <c r="AV99" i="3"/>
  <c r="AW99" i="3"/>
  <c r="AX99" i="3"/>
  <c r="AY99" i="3"/>
  <c r="AZ99" i="3"/>
  <c r="BA99" i="3"/>
  <c r="BB99" i="3"/>
  <c r="BC99" i="3"/>
  <c r="BD99" i="3"/>
  <c r="BE99" i="3"/>
  <c r="BF99" i="3"/>
  <c r="BG99" i="3"/>
  <c r="BH99" i="3"/>
  <c r="BI99" i="3"/>
  <c r="BJ99" i="3"/>
  <c r="BK99" i="3"/>
  <c r="BL99" i="3"/>
  <c r="BM99" i="3"/>
  <c r="BN99" i="3"/>
  <c r="BO99" i="3"/>
  <c r="BP99" i="3"/>
  <c r="BQ99" i="3"/>
  <c r="BR99" i="3"/>
  <c r="BS99" i="3"/>
  <c r="BT99" i="3"/>
  <c r="BU99" i="3"/>
  <c r="BV99" i="3"/>
  <c r="BW99" i="3"/>
  <c r="BX99" i="3"/>
  <c r="BY99" i="3"/>
  <c r="BZ99" i="3"/>
  <c r="CA99" i="3"/>
  <c r="CB99" i="3"/>
  <c r="CC99" i="3"/>
  <c r="CD99" i="3"/>
  <c r="CE99" i="3"/>
  <c r="CF99" i="3"/>
  <c r="CG99" i="3"/>
  <c r="CH99" i="3"/>
  <c r="CI99" i="3"/>
  <c r="CJ99" i="3"/>
  <c r="CK99" i="3"/>
  <c r="CL99" i="3"/>
  <c r="CM99" i="3"/>
  <c r="CN99" i="3"/>
  <c r="CO99" i="3"/>
  <c r="CP99" i="3"/>
  <c r="CQ99" i="3"/>
  <c r="CR99" i="3"/>
  <c r="CS99" i="3"/>
  <c r="CT99" i="3"/>
  <c r="CU99" i="3"/>
  <c r="CV99" i="3"/>
  <c r="CW99" i="3"/>
  <c r="CX99" i="3"/>
  <c r="CY99" i="3"/>
  <c r="CZ99" i="3"/>
  <c r="DA99" i="3"/>
  <c r="DB99" i="3"/>
  <c r="DC99" i="3"/>
  <c r="DD99" i="3"/>
  <c r="DE99" i="3"/>
  <c r="DF99" i="3"/>
  <c r="DG99" i="3"/>
  <c r="DH99" i="3"/>
  <c r="DI99" i="3"/>
  <c r="DJ99" i="3"/>
  <c r="DK99" i="3"/>
  <c r="DL99" i="3"/>
  <c r="DM99" i="3"/>
  <c r="DN99" i="3"/>
  <c r="DO99" i="3"/>
  <c r="DP99" i="3"/>
  <c r="DQ99" i="3"/>
  <c r="DR99" i="3"/>
  <c r="DS99" i="3"/>
  <c r="DT99" i="3"/>
  <c r="DU99" i="3"/>
  <c r="DV99" i="3"/>
  <c r="DW99" i="3"/>
  <c r="DX99" i="3"/>
  <c r="DY99" i="3"/>
  <c r="DZ99" i="3"/>
  <c r="EA99" i="3"/>
  <c r="EB99" i="3"/>
  <c r="EC99" i="3"/>
  <c r="ED99" i="3"/>
  <c r="EE99" i="3"/>
  <c r="EF99" i="3"/>
  <c r="EG99" i="3"/>
  <c r="EH99" i="3"/>
  <c r="EI99" i="3"/>
  <c r="EJ99" i="3"/>
  <c r="EK99" i="3"/>
  <c r="EL99" i="3"/>
  <c r="EM99" i="3"/>
  <c r="EN99" i="3"/>
  <c r="EO99" i="3"/>
  <c r="EP99" i="3"/>
  <c r="EQ99" i="3"/>
  <c r="ER99" i="3"/>
  <c r="ES99" i="3"/>
  <c r="ET99" i="3"/>
  <c r="EU99" i="3"/>
  <c r="EV99" i="3"/>
  <c r="EW99" i="3"/>
  <c r="EX99" i="3"/>
  <c r="EY99" i="3"/>
  <c r="EZ99" i="3"/>
  <c r="FA99" i="3"/>
  <c r="FB99" i="3"/>
  <c r="FC99" i="3"/>
  <c r="FD99" i="3"/>
  <c r="FE99" i="3"/>
  <c r="FF99" i="3"/>
  <c r="FG99" i="3"/>
  <c r="FH99" i="3"/>
  <c r="FI99" i="3"/>
  <c r="FJ99" i="3"/>
  <c r="FK99" i="3"/>
  <c r="FL99" i="3"/>
  <c r="FM99" i="3"/>
  <c r="FN99" i="3"/>
  <c r="FO99" i="3"/>
  <c r="FP99" i="3"/>
  <c r="FQ99" i="3"/>
  <c r="FR99" i="3"/>
  <c r="FS99" i="3"/>
  <c r="FT99" i="3"/>
  <c r="FU99" i="3"/>
  <c r="FV99" i="3"/>
  <c r="FW99" i="3"/>
  <c r="FX99" i="3"/>
  <c r="FY99" i="3"/>
  <c r="FZ99" i="3"/>
  <c r="GA99" i="3"/>
  <c r="GB99" i="3"/>
  <c r="GC99" i="3"/>
  <c r="GD99" i="3"/>
  <c r="GE99" i="3"/>
  <c r="GF99" i="3"/>
  <c r="GG99" i="3"/>
  <c r="GH99" i="3"/>
  <c r="GI99" i="3"/>
  <c r="GJ99" i="3"/>
  <c r="GK99" i="3"/>
  <c r="GL99" i="3"/>
  <c r="GM99" i="3"/>
  <c r="GN99" i="3"/>
  <c r="GO99" i="3"/>
  <c r="GP99" i="3"/>
  <c r="GQ99" i="3"/>
  <c r="GR99" i="3"/>
  <c r="GS99" i="3"/>
  <c r="GT99" i="3"/>
  <c r="GU99" i="3"/>
  <c r="GV99" i="3"/>
  <c r="GW99" i="3"/>
  <c r="GX99" i="3"/>
  <c r="GY99" i="3"/>
  <c r="GZ99" i="3"/>
  <c r="HA99" i="3"/>
  <c r="HB99" i="3"/>
  <c r="HC99" i="3"/>
  <c r="HD99" i="3"/>
  <c r="HE99" i="3"/>
  <c r="HF99" i="3"/>
  <c r="HG99" i="3"/>
  <c r="HH99" i="3"/>
  <c r="HI99" i="3"/>
  <c r="HJ99" i="3"/>
  <c r="HK99" i="3"/>
  <c r="HL99" i="3"/>
  <c r="HM99" i="3"/>
  <c r="HN99" i="3"/>
  <c r="HO99" i="3"/>
  <c r="HP99" i="3"/>
  <c r="HQ99" i="3"/>
  <c r="HR99" i="3"/>
  <c r="HS99" i="3"/>
  <c r="HT99" i="3"/>
  <c r="HU99" i="3"/>
  <c r="HV99" i="3"/>
  <c r="HW99" i="3"/>
  <c r="HX99" i="3"/>
  <c r="HY99" i="3"/>
  <c r="HZ99" i="3"/>
  <c r="IA99" i="3"/>
  <c r="IB99" i="3"/>
  <c r="IC99" i="3"/>
  <c r="ID99" i="3"/>
  <c r="IE99" i="3"/>
  <c r="IF99" i="3"/>
  <c r="IG99" i="3"/>
  <c r="IH99" i="3"/>
  <c r="II99" i="3"/>
  <c r="IJ99" i="3"/>
  <c r="IK99" i="3"/>
  <c r="IL99" i="3"/>
  <c r="IM99" i="3"/>
  <c r="IN99" i="3"/>
  <c r="IO99" i="3"/>
  <c r="IP99" i="3"/>
  <c r="IQ99" i="3"/>
  <c r="IR99" i="3"/>
  <c r="IS99" i="3"/>
  <c r="IT99" i="3"/>
  <c r="IU99" i="3"/>
  <c r="IV99" i="3"/>
  <c r="A98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AH98" i="3"/>
  <c r="AI98" i="3"/>
  <c r="AJ98" i="3"/>
  <c r="AK98" i="3"/>
  <c r="AL98" i="3"/>
  <c r="AM98" i="3"/>
  <c r="AN98" i="3"/>
  <c r="AO98" i="3"/>
  <c r="AP98" i="3"/>
  <c r="AQ98" i="3"/>
  <c r="AR98" i="3"/>
  <c r="AS98" i="3"/>
  <c r="AT98" i="3"/>
  <c r="AU98" i="3"/>
  <c r="AV98" i="3"/>
  <c r="AW98" i="3"/>
  <c r="AX98" i="3"/>
  <c r="AY98" i="3"/>
  <c r="AZ98" i="3"/>
  <c r="BA98" i="3"/>
  <c r="BB98" i="3"/>
  <c r="BC98" i="3"/>
  <c r="BD98" i="3"/>
  <c r="BE98" i="3"/>
  <c r="BF98" i="3"/>
  <c r="BG98" i="3"/>
  <c r="BH98" i="3"/>
  <c r="BI98" i="3"/>
  <c r="BJ98" i="3"/>
  <c r="BK98" i="3"/>
  <c r="BL98" i="3"/>
  <c r="BM98" i="3"/>
  <c r="BN98" i="3"/>
  <c r="BO98" i="3"/>
  <c r="BP98" i="3"/>
  <c r="BQ98" i="3"/>
  <c r="BR98" i="3"/>
  <c r="BS98" i="3"/>
  <c r="BT98" i="3"/>
  <c r="BU98" i="3"/>
  <c r="BV98" i="3"/>
  <c r="BW98" i="3"/>
  <c r="BX98" i="3"/>
  <c r="BY98" i="3"/>
  <c r="BZ98" i="3"/>
  <c r="CA98" i="3"/>
  <c r="CB98" i="3"/>
  <c r="CC98" i="3"/>
  <c r="CD98" i="3"/>
  <c r="CE98" i="3"/>
  <c r="CF98" i="3"/>
  <c r="CG98" i="3"/>
  <c r="CH98" i="3"/>
  <c r="CI98" i="3"/>
  <c r="CJ98" i="3"/>
  <c r="CK98" i="3"/>
  <c r="CL98" i="3"/>
  <c r="CM98" i="3"/>
  <c r="CN98" i="3"/>
  <c r="CO98" i="3"/>
  <c r="CP98" i="3"/>
  <c r="CQ98" i="3"/>
  <c r="CR98" i="3"/>
  <c r="CS98" i="3"/>
  <c r="CT98" i="3"/>
  <c r="CU98" i="3"/>
  <c r="CV98" i="3"/>
  <c r="CW98" i="3"/>
  <c r="CX98" i="3"/>
  <c r="CY98" i="3"/>
  <c r="CZ98" i="3"/>
  <c r="DA98" i="3"/>
  <c r="DB98" i="3"/>
  <c r="DC98" i="3"/>
  <c r="DD98" i="3"/>
  <c r="DE98" i="3"/>
  <c r="DF98" i="3"/>
  <c r="DG98" i="3"/>
  <c r="DH98" i="3"/>
  <c r="DI98" i="3"/>
  <c r="DJ98" i="3"/>
  <c r="DK98" i="3"/>
  <c r="DL98" i="3"/>
  <c r="DM98" i="3"/>
  <c r="DN98" i="3"/>
  <c r="DO98" i="3"/>
  <c r="DP98" i="3"/>
  <c r="DQ98" i="3"/>
  <c r="DR98" i="3"/>
  <c r="DS98" i="3"/>
  <c r="DT98" i="3"/>
  <c r="DU98" i="3"/>
  <c r="DV98" i="3"/>
  <c r="DW98" i="3"/>
  <c r="DX98" i="3"/>
  <c r="DY98" i="3"/>
  <c r="DZ98" i="3"/>
  <c r="EA98" i="3"/>
  <c r="EB98" i="3"/>
  <c r="EC98" i="3"/>
  <c r="ED98" i="3"/>
  <c r="EE98" i="3"/>
  <c r="EF98" i="3"/>
  <c r="EG98" i="3"/>
  <c r="EH98" i="3"/>
  <c r="EI98" i="3"/>
  <c r="EJ98" i="3"/>
  <c r="EK98" i="3"/>
  <c r="EL98" i="3"/>
  <c r="EM98" i="3"/>
  <c r="EN98" i="3"/>
  <c r="EO98" i="3"/>
  <c r="EP98" i="3"/>
  <c r="EQ98" i="3"/>
  <c r="ER98" i="3"/>
  <c r="ES98" i="3"/>
  <c r="ET98" i="3"/>
  <c r="EU98" i="3"/>
  <c r="EV98" i="3"/>
  <c r="EW98" i="3"/>
  <c r="EX98" i="3"/>
  <c r="EY98" i="3"/>
  <c r="EZ98" i="3"/>
  <c r="FA98" i="3"/>
  <c r="FB98" i="3"/>
  <c r="FC98" i="3"/>
  <c r="FD98" i="3"/>
  <c r="FE98" i="3"/>
  <c r="FF98" i="3"/>
  <c r="FG98" i="3"/>
  <c r="FH98" i="3"/>
  <c r="FI98" i="3"/>
  <c r="FJ98" i="3"/>
  <c r="FK98" i="3"/>
  <c r="FL98" i="3"/>
  <c r="FM98" i="3"/>
  <c r="FN98" i="3"/>
  <c r="FO98" i="3"/>
  <c r="FP98" i="3"/>
  <c r="FQ98" i="3"/>
  <c r="FR98" i="3"/>
  <c r="FS98" i="3"/>
  <c r="FT98" i="3"/>
  <c r="FU98" i="3"/>
  <c r="FV98" i="3"/>
  <c r="FW98" i="3"/>
  <c r="FX98" i="3"/>
  <c r="FY98" i="3"/>
  <c r="FZ98" i="3"/>
  <c r="GA98" i="3"/>
  <c r="GB98" i="3"/>
  <c r="GC98" i="3"/>
  <c r="GD98" i="3"/>
  <c r="GE98" i="3"/>
  <c r="GF98" i="3"/>
  <c r="GG98" i="3"/>
  <c r="GH98" i="3"/>
  <c r="GI98" i="3"/>
  <c r="GJ98" i="3"/>
  <c r="GK98" i="3"/>
  <c r="GL98" i="3"/>
  <c r="GM98" i="3"/>
  <c r="GN98" i="3"/>
  <c r="GO98" i="3"/>
  <c r="GP98" i="3"/>
  <c r="GQ98" i="3"/>
  <c r="GR98" i="3"/>
  <c r="GS98" i="3"/>
  <c r="GT98" i="3"/>
  <c r="GU98" i="3"/>
  <c r="GV98" i="3"/>
  <c r="GW98" i="3"/>
  <c r="GX98" i="3"/>
  <c r="GY98" i="3"/>
  <c r="GZ98" i="3"/>
  <c r="HA98" i="3"/>
  <c r="HB98" i="3"/>
  <c r="HC98" i="3"/>
  <c r="HD98" i="3"/>
  <c r="HE98" i="3"/>
  <c r="HF98" i="3"/>
  <c r="HG98" i="3"/>
  <c r="HH98" i="3"/>
  <c r="HI98" i="3"/>
  <c r="HJ98" i="3"/>
  <c r="HK98" i="3"/>
  <c r="HL98" i="3"/>
  <c r="HM98" i="3"/>
  <c r="HN98" i="3"/>
  <c r="HO98" i="3"/>
  <c r="HP98" i="3"/>
  <c r="HQ98" i="3"/>
  <c r="HR98" i="3"/>
  <c r="HS98" i="3"/>
  <c r="HT98" i="3"/>
  <c r="HU98" i="3"/>
  <c r="HV98" i="3"/>
  <c r="HW98" i="3"/>
  <c r="HX98" i="3"/>
  <c r="HY98" i="3"/>
  <c r="HZ98" i="3"/>
  <c r="IA98" i="3"/>
  <c r="IB98" i="3"/>
  <c r="IC98" i="3"/>
  <c r="ID98" i="3"/>
  <c r="IE98" i="3"/>
  <c r="IF98" i="3"/>
  <c r="IG98" i="3"/>
  <c r="IH98" i="3"/>
  <c r="II98" i="3"/>
  <c r="IJ98" i="3"/>
  <c r="IK98" i="3"/>
  <c r="IL98" i="3"/>
  <c r="IM98" i="3"/>
  <c r="IN98" i="3"/>
  <c r="IO98" i="3"/>
  <c r="IP98" i="3"/>
  <c r="IQ98" i="3"/>
  <c r="IR98" i="3"/>
  <c r="IS98" i="3"/>
  <c r="IT98" i="3"/>
  <c r="IU98" i="3"/>
  <c r="IV98" i="3"/>
  <c r="A97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AH97" i="3"/>
  <c r="AI97" i="3"/>
  <c r="AJ97" i="3"/>
  <c r="AK97" i="3"/>
  <c r="AL97" i="3"/>
  <c r="AM97" i="3"/>
  <c r="AN97" i="3"/>
  <c r="AO97" i="3"/>
  <c r="AP97" i="3"/>
  <c r="AQ97" i="3"/>
  <c r="AR97" i="3"/>
  <c r="AS97" i="3"/>
  <c r="AT97" i="3"/>
  <c r="AU97" i="3"/>
  <c r="AV97" i="3"/>
  <c r="AW97" i="3"/>
  <c r="AX97" i="3"/>
  <c r="AY97" i="3"/>
  <c r="AZ97" i="3"/>
  <c r="BA97" i="3"/>
  <c r="BB97" i="3"/>
  <c r="BC97" i="3"/>
  <c r="BD97" i="3"/>
  <c r="BE97" i="3"/>
  <c r="BF97" i="3"/>
  <c r="BG97" i="3"/>
  <c r="BH97" i="3"/>
  <c r="BI97" i="3"/>
  <c r="BJ97" i="3"/>
  <c r="BK97" i="3"/>
  <c r="BL97" i="3"/>
  <c r="BM97" i="3"/>
  <c r="BN97" i="3"/>
  <c r="BO97" i="3"/>
  <c r="BP97" i="3"/>
  <c r="BQ97" i="3"/>
  <c r="BR97" i="3"/>
  <c r="BS97" i="3"/>
  <c r="BT97" i="3"/>
  <c r="BU97" i="3"/>
  <c r="BV97" i="3"/>
  <c r="BW97" i="3"/>
  <c r="BX97" i="3"/>
  <c r="BY97" i="3"/>
  <c r="BZ97" i="3"/>
  <c r="CA97" i="3"/>
  <c r="CB97" i="3"/>
  <c r="CC97" i="3"/>
  <c r="CD97" i="3"/>
  <c r="CE97" i="3"/>
  <c r="CF97" i="3"/>
  <c r="CG97" i="3"/>
  <c r="CH97" i="3"/>
  <c r="CI97" i="3"/>
  <c r="CJ97" i="3"/>
  <c r="CK97" i="3"/>
  <c r="CL97" i="3"/>
  <c r="CM97" i="3"/>
  <c r="CN97" i="3"/>
  <c r="CO97" i="3"/>
  <c r="CP97" i="3"/>
  <c r="CQ97" i="3"/>
  <c r="CR97" i="3"/>
  <c r="CS97" i="3"/>
  <c r="CT97" i="3"/>
  <c r="CU97" i="3"/>
  <c r="CV97" i="3"/>
  <c r="CW97" i="3"/>
  <c r="CX97" i="3"/>
  <c r="CY97" i="3"/>
  <c r="CZ97" i="3"/>
  <c r="DA97" i="3"/>
  <c r="DB97" i="3"/>
  <c r="DC97" i="3"/>
  <c r="DD97" i="3"/>
  <c r="DE97" i="3"/>
  <c r="DF97" i="3"/>
  <c r="DG97" i="3"/>
  <c r="DH97" i="3"/>
  <c r="DI97" i="3"/>
  <c r="DJ97" i="3"/>
  <c r="DK97" i="3"/>
  <c r="DL97" i="3"/>
  <c r="DM97" i="3"/>
  <c r="DN97" i="3"/>
  <c r="DO97" i="3"/>
  <c r="DP97" i="3"/>
  <c r="DQ97" i="3"/>
  <c r="DR97" i="3"/>
  <c r="DS97" i="3"/>
  <c r="DT97" i="3"/>
  <c r="DU97" i="3"/>
  <c r="DV97" i="3"/>
  <c r="DW97" i="3"/>
  <c r="DX97" i="3"/>
  <c r="DY97" i="3"/>
  <c r="DZ97" i="3"/>
  <c r="EA97" i="3"/>
  <c r="EB97" i="3"/>
  <c r="EC97" i="3"/>
  <c r="ED97" i="3"/>
  <c r="EE97" i="3"/>
  <c r="EF97" i="3"/>
  <c r="EG97" i="3"/>
  <c r="EH97" i="3"/>
  <c r="EI97" i="3"/>
  <c r="EJ97" i="3"/>
  <c r="EK97" i="3"/>
  <c r="EL97" i="3"/>
  <c r="EM97" i="3"/>
  <c r="EN97" i="3"/>
  <c r="EO97" i="3"/>
  <c r="EP97" i="3"/>
  <c r="EQ97" i="3"/>
  <c r="ER97" i="3"/>
  <c r="ES97" i="3"/>
  <c r="ET97" i="3"/>
  <c r="EU97" i="3"/>
  <c r="EV97" i="3"/>
  <c r="EW97" i="3"/>
  <c r="EX97" i="3"/>
  <c r="EY97" i="3"/>
  <c r="EZ97" i="3"/>
  <c r="FA97" i="3"/>
  <c r="FB97" i="3"/>
  <c r="FC97" i="3"/>
  <c r="FD97" i="3"/>
  <c r="FE97" i="3"/>
  <c r="FF97" i="3"/>
  <c r="FG97" i="3"/>
  <c r="FH97" i="3"/>
  <c r="FI97" i="3"/>
  <c r="FJ97" i="3"/>
  <c r="FK97" i="3"/>
  <c r="FL97" i="3"/>
  <c r="FM97" i="3"/>
  <c r="FN97" i="3"/>
  <c r="FO97" i="3"/>
  <c r="FP97" i="3"/>
  <c r="FQ97" i="3"/>
  <c r="FR97" i="3"/>
  <c r="FS97" i="3"/>
  <c r="FT97" i="3"/>
  <c r="FU97" i="3"/>
  <c r="FV97" i="3"/>
  <c r="FW97" i="3"/>
  <c r="FX97" i="3"/>
  <c r="FY97" i="3"/>
  <c r="FZ97" i="3"/>
  <c r="GA97" i="3"/>
  <c r="GB97" i="3"/>
  <c r="GC97" i="3"/>
  <c r="GD97" i="3"/>
  <c r="GE97" i="3"/>
  <c r="GF97" i="3"/>
  <c r="GG97" i="3"/>
  <c r="GH97" i="3"/>
  <c r="GI97" i="3"/>
  <c r="GJ97" i="3"/>
  <c r="GK97" i="3"/>
  <c r="GL97" i="3"/>
  <c r="GM97" i="3"/>
  <c r="GN97" i="3"/>
  <c r="GO97" i="3"/>
  <c r="GP97" i="3"/>
  <c r="GQ97" i="3"/>
  <c r="GR97" i="3"/>
  <c r="GS97" i="3"/>
  <c r="GT97" i="3"/>
  <c r="GU97" i="3"/>
  <c r="GV97" i="3"/>
  <c r="GW97" i="3"/>
  <c r="GX97" i="3"/>
  <c r="GY97" i="3"/>
  <c r="GZ97" i="3"/>
  <c r="HA97" i="3"/>
  <c r="HB97" i="3"/>
  <c r="HC97" i="3"/>
  <c r="HD97" i="3"/>
  <c r="HE97" i="3"/>
  <c r="HF97" i="3"/>
  <c r="HG97" i="3"/>
  <c r="HH97" i="3"/>
  <c r="HI97" i="3"/>
  <c r="HJ97" i="3"/>
  <c r="HK97" i="3"/>
  <c r="HL97" i="3"/>
  <c r="HM97" i="3"/>
  <c r="HN97" i="3"/>
  <c r="HO97" i="3"/>
  <c r="HP97" i="3"/>
  <c r="HQ97" i="3"/>
  <c r="HR97" i="3"/>
  <c r="HS97" i="3"/>
  <c r="HT97" i="3"/>
  <c r="HU97" i="3"/>
  <c r="HV97" i="3"/>
  <c r="HW97" i="3"/>
  <c r="HX97" i="3"/>
  <c r="HY97" i="3"/>
  <c r="HZ97" i="3"/>
  <c r="IA97" i="3"/>
  <c r="IB97" i="3"/>
  <c r="IC97" i="3"/>
  <c r="ID97" i="3"/>
  <c r="IE97" i="3"/>
  <c r="IF97" i="3"/>
  <c r="IG97" i="3"/>
  <c r="IH97" i="3"/>
  <c r="II97" i="3"/>
  <c r="IJ97" i="3"/>
  <c r="IK97" i="3"/>
  <c r="IL97" i="3"/>
  <c r="IM97" i="3"/>
  <c r="IN97" i="3"/>
  <c r="IO97" i="3"/>
  <c r="IP97" i="3"/>
  <c r="IQ97" i="3"/>
  <c r="IR97" i="3"/>
  <c r="IS97" i="3"/>
  <c r="IT97" i="3"/>
  <c r="IU97" i="3"/>
  <c r="IV97" i="3"/>
  <c r="A96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AI96" i="3"/>
  <c r="AJ96" i="3"/>
  <c r="AK96" i="3"/>
  <c r="AL96" i="3"/>
  <c r="AM96" i="3"/>
  <c r="AN96" i="3"/>
  <c r="AO96" i="3"/>
  <c r="AP96" i="3"/>
  <c r="AQ96" i="3"/>
  <c r="AR96" i="3"/>
  <c r="AS96" i="3"/>
  <c r="AT96" i="3"/>
  <c r="AU96" i="3"/>
  <c r="AV96" i="3"/>
  <c r="AW96" i="3"/>
  <c r="AX96" i="3"/>
  <c r="AY96" i="3"/>
  <c r="AZ96" i="3"/>
  <c r="BA96" i="3"/>
  <c r="BB96" i="3"/>
  <c r="BC96" i="3"/>
  <c r="BD96" i="3"/>
  <c r="BE96" i="3"/>
  <c r="BF96" i="3"/>
  <c r="BG96" i="3"/>
  <c r="BH96" i="3"/>
  <c r="BI96" i="3"/>
  <c r="BJ96" i="3"/>
  <c r="BK96" i="3"/>
  <c r="BL96" i="3"/>
  <c r="BM96" i="3"/>
  <c r="BN96" i="3"/>
  <c r="BO96" i="3"/>
  <c r="BP96" i="3"/>
  <c r="BQ96" i="3"/>
  <c r="BR96" i="3"/>
  <c r="BS96" i="3"/>
  <c r="BT96" i="3"/>
  <c r="BU96" i="3"/>
  <c r="BV96" i="3"/>
  <c r="BW96" i="3"/>
  <c r="BX96" i="3"/>
  <c r="BY96" i="3"/>
  <c r="BZ96" i="3"/>
  <c r="CA96" i="3"/>
  <c r="CB96" i="3"/>
  <c r="CC96" i="3"/>
  <c r="CD96" i="3"/>
  <c r="CE96" i="3"/>
  <c r="CF96" i="3"/>
  <c r="CG96" i="3"/>
  <c r="CH96" i="3"/>
  <c r="CI96" i="3"/>
  <c r="CJ96" i="3"/>
  <c r="CK96" i="3"/>
  <c r="CL96" i="3"/>
  <c r="CM96" i="3"/>
  <c r="CN96" i="3"/>
  <c r="CO96" i="3"/>
  <c r="CP96" i="3"/>
  <c r="CQ96" i="3"/>
  <c r="CR96" i="3"/>
  <c r="CS96" i="3"/>
  <c r="CT96" i="3"/>
  <c r="CU96" i="3"/>
  <c r="CV96" i="3"/>
  <c r="CW96" i="3"/>
  <c r="CX96" i="3"/>
  <c r="CY96" i="3"/>
  <c r="CZ96" i="3"/>
  <c r="DA96" i="3"/>
  <c r="DB96" i="3"/>
  <c r="DC96" i="3"/>
  <c r="DD96" i="3"/>
  <c r="DE96" i="3"/>
  <c r="DF96" i="3"/>
  <c r="DG96" i="3"/>
  <c r="DH96" i="3"/>
  <c r="DI96" i="3"/>
  <c r="DJ96" i="3"/>
  <c r="DK96" i="3"/>
  <c r="DL96" i="3"/>
  <c r="DM96" i="3"/>
  <c r="DN96" i="3"/>
  <c r="DO96" i="3"/>
  <c r="DP96" i="3"/>
  <c r="DQ96" i="3"/>
  <c r="DR96" i="3"/>
  <c r="DS96" i="3"/>
  <c r="DT96" i="3"/>
  <c r="DU96" i="3"/>
  <c r="DV96" i="3"/>
  <c r="DW96" i="3"/>
  <c r="DX96" i="3"/>
  <c r="DY96" i="3"/>
  <c r="DZ96" i="3"/>
  <c r="EA96" i="3"/>
  <c r="EB96" i="3"/>
  <c r="EC96" i="3"/>
  <c r="ED96" i="3"/>
  <c r="EE96" i="3"/>
  <c r="EF96" i="3"/>
  <c r="EG96" i="3"/>
  <c r="EH96" i="3"/>
  <c r="EI96" i="3"/>
  <c r="EJ96" i="3"/>
  <c r="EK96" i="3"/>
  <c r="EL96" i="3"/>
  <c r="EM96" i="3"/>
  <c r="EN96" i="3"/>
  <c r="EO96" i="3"/>
  <c r="EP96" i="3"/>
  <c r="EQ96" i="3"/>
  <c r="ER96" i="3"/>
  <c r="ES96" i="3"/>
  <c r="ET96" i="3"/>
  <c r="EU96" i="3"/>
  <c r="EV96" i="3"/>
  <c r="EW96" i="3"/>
  <c r="EX96" i="3"/>
  <c r="EY96" i="3"/>
  <c r="EZ96" i="3"/>
  <c r="FA96" i="3"/>
  <c r="FB96" i="3"/>
  <c r="FC96" i="3"/>
  <c r="FD96" i="3"/>
  <c r="FE96" i="3"/>
  <c r="FF96" i="3"/>
  <c r="FG96" i="3"/>
  <c r="FH96" i="3"/>
  <c r="FI96" i="3"/>
  <c r="FJ96" i="3"/>
  <c r="FK96" i="3"/>
  <c r="FL96" i="3"/>
  <c r="FM96" i="3"/>
  <c r="FN96" i="3"/>
  <c r="FO96" i="3"/>
  <c r="FP96" i="3"/>
  <c r="FQ96" i="3"/>
  <c r="FR96" i="3"/>
  <c r="FS96" i="3"/>
  <c r="FT96" i="3"/>
  <c r="FU96" i="3"/>
  <c r="FV96" i="3"/>
  <c r="FW96" i="3"/>
  <c r="FX96" i="3"/>
  <c r="FY96" i="3"/>
  <c r="FZ96" i="3"/>
  <c r="GA96" i="3"/>
  <c r="GB96" i="3"/>
  <c r="GC96" i="3"/>
  <c r="GD96" i="3"/>
  <c r="GE96" i="3"/>
  <c r="GF96" i="3"/>
  <c r="GG96" i="3"/>
  <c r="GH96" i="3"/>
  <c r="GI96" i="3"/>
  <c r="GJ96" i="3"/>
  <c r="GK96" i="3"/>
  <c r="GL96" i="3"/>
  <c r="GM96" i="3"/>
  <c r="GN96" i="3"/>
  <c r="GO96" i="3"/>
  <c r="GP96" i="3"/>
  <c r="GQ96" i="3"/>
  <c r="GR96" i="3"/>
  <c r="GS96" i="3"/>
  <c r="GT96" i="3"/>
  <c r="GU96" i="3"/>
  <c r="GV96" i="3"/>
  <c r="GW96" i="3"/>
  <c r="GX96" i="3"/>
  <c r="GY96" i="3"/>
  <c r="GZ96" i="3"/>
  <c r="HA96" i="3"/>
  <c r="HB96" i="3"/>
  <c r="HC96" i="3"/>
  <c r="HD96" i="3"/>
  <c r="HE96" i="3"/>
  <c r="HF96" i="3"/>
  <c r="HG96" i="3"/>
  <c r="HH96" i="3"/>
  <c r="HI96" i="3"/>
  <c r="HJ96" i="3"/>
  <c r="HK96" i="3"/>
  <c r="HL96" i="3"/>
  <c r="HM96" i="3"/>
  <c r="HN96" i="3"/>
  <c r="HO96" i="3"/>
  <c r="HP96" i="3"/>
  <c r="HQ96" i="3"/>
  <c r="HR96" i="3"/>
  <c r="HS96" i="3"/>
  <c r="HT96" i="3"/>
  <c r="HU96" i="3"/>
  <c r="HV96" i="3"/>
  <c r="HW96" i="3"/>
  <c r="HX96" i="3"/>
  <c r="HY96" i="3"/>
  <c r="HZ96" i="3"/>
  <c r="IA96" i="3"/>
  <c r="IB96" i="3"/>
  <c r="IC96" i="3"/>
  <c r="ID96" i="3"/>
  <c r="IE96" i="3"/>
  <c r="IF96" i="3"/>
  <c r="IG96" i="3"/>
  <c r="IH96" i="3"/>
  <c r="II96" i="3"/>
  <c r="IJ96" i="3"/>
  <c r="IK96" i="3"/>
  <c r="IL96" i="3"/>
  <c r="IM96" i="3"/>
  <c r="IN96" i="3"/>
  <c r="IO96" i="3"/>
  <c r="IP96" i="3"/>
  <c r="IQ96" i="3"/>
  <c r="IR96" i="3"/>
  <c r="IS96" i="3"/>
  <c r="IT96" i="3"/>
  <c r="IU96" i="3"/>
  <c r="IV96" i="3"/>
  <c r="A95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AH95" i="3"/>
  <c r="AI95" i="3"/>
  <c r="AJ95" i="3"/>
  <c r="AK95" i="3"/>
  <c r="AL95" i="3"/>
  <c r="AM95" i="3"/>
  <c r="AN95" i="3"/>
  <c r="AO95" i="3"/>
  <c r="AP95" i="3"/>
  <c r="AQ95" i="3"/>
  <c r="AR95" i="3"/>
  <c r="AS95" i="3"/>
  <c r="AT95" i="3"/>
  <c r="AU95" i="3"/>
  <c r="AV95" i="3"/>
  <c r="AW95" i="3"/>
  <c r="AX95" i="3"/>
  <c r="AY95" i="3"/>
  <c r="AZ95" i="3"/>
  <c r="BA95" i="3"/>
  <c r="BB95" i="3"/>
  <c r="BC95" i="3"/>
  <c r="BD95" i="3"/>
  <c r="BE95" i="3"/>
  <c r="BF95" i="3"/>
  <c r="BG95" i="3"/>
  <c r="BH95" i="3"/>
  <c r="BI95" i="3"/>
  <c r="BJ95" i="3"/>
  <c r="BK95" i="3"/>
  <c r="BL95" i="3"/>
  <c r="BM95" i="3"/>
  <c r="BN95" i="3"/>
  <c r="BO95" i="3"/>
  <c r="BP95" i="3"/>
  <c r="BQ95" i="3"/>
  <c r="BR95" i="3"/>
  <c r="BS95" i="3"/>
  <c r="BT95" i="3"/>
  <c r="BU95" i="3"/>
  <c r="BV95" i="3"/>
  <c r="BW95" i="3"/>
  <c r="BX95" i="3"/>
  <c r="BY95" i="3"/>
  <c r="BZ95" i="3"/>
  <c r="CA95" i="3"/>
  <c r="CB95" i="3"/>
  <c r="CC95" i="3"/>
  <c r="CD95" i="3"/>
  <c r="CE95" i="3"/>
  <c r="CF95" i="3"/>
  <c r="CG95" i="3"/>
  <c r="CH95" i="3"/>
  <c r="CI95" i="3"/>
  <c r="CJ95" i="3"/>
  <c r="CK95" i="3"/>
  <c r="CL95" i="3"/>
  <c r="CM95" i="3"/>
  <c r="CN95" i="3"/>
  <c r="CO95" i="3"/>
  <c r="CP95" i="3"/>
  <c r="CQ95" i="3"/>
  <c r="CR95" i="3"/>
  <c r="CS95" i="3"/>
  <c r="CT95" i="3"/>
  <c r="CU95" i="3"/>
  <c r="CV95" i="3"/>
  <c r="CW95" i="3"/>
  <c r="CX95" i="3"/>
  <c r="CY95" i="3"/>
  <c r="CZ95" i="3"/>
  <c r="DA95" i="3"/>
  <c r="DB95" i="3"/>
  <c r="DC95" i="3"/>
  <c r="DD95" i="3"/>
  <c r="DE95" i="3"/>
  <c r="DF95" i="3"/>
  <c r="DG95" i="3"/>
  <c r="DH95" i="3"/>
  <c r="DI95" i="3"/>
  <c r="DJ95" i="3"/>
  <c r="DK95" i="3"/>
  <c r="DL95" i="3"/>
  <c r="DM95" i="3"/>
  <c r="DN95" i="3"/>
  <c r="DO95" i="3"/>
  <c r="DP95" i="3"/>
  <c r="DQ95" i="3"/>
  <c r="DR95" i="3"/>
  <c r="DS95" i="3"/>
  <c r="DT95" i="3"/>
  <c r="DU95" i="3"/>
  <c r="DV95" i="3"/>
  <c r="DW95" i="3"/>
  <c r="DX95" i="3"/>
  <c r="DY95" i="3"/>
  <c r="DZ95" i="3"/>
  <c r="EA95" i="3"/>
  <c r="EB95" i="3"/>
  <c r="EC95" i="3"/>
  <c r="ED95" i="3"/>
  <c r="EE95" i="3"/>
  <c r="EF95" i="3"/>
  <c r="EG95" i="3"/>
  <c r="EH95" i="3"/>
  <c r="EI95" i="3"/>
  <c r="EJ95" i="3"/>
  <c r="EK95" i="3"/>
  <c r="EL95" i="3"/>
  <c r="EM95" i="3"/>
  <c r="EN95" i="3"/>
  <c r="EO95" i="3"/>
  <c r="EP95" i="3"/>
  <c r="EQ95" i="3"/>
  <c r="ER95" i="3"/>
  <c r="ES95" i="3"/>
  <c r="ET95" i="3"/>
  <c r="EU95" i="3"/>
  <c r="EV95" i="3"/>
  <c r="EW95" i="3"/>
  <c r="EX95" i="3"/>
  <c r="EY95" i="3"/>
  <c r="EZ95" i="3"/>
  <c r="FA95" i="3"/>
  <c r="FB95" i="3"/>
  <c r="FC95" i="3"/>
  <c r="FD95" i="3"/>
  <c r="FE95" i="3"/>
  <c r="FF95" i="3"/>
  <c r="FG95" i="3"/>
  <c r="FH95" i="3"/>
  <c r="FI95" i="3"/>
  <c r="FJ95" i="3"/>
  <c r="FK95" i="3"/>
  <c r="FL95" i="3"/>
  <c r="FM95" i="3"/>
  <c r="FN95" i="3"/>
  <c r="FO95" i="3"/>
  <c r="FP95" i="3"/>
  <c r="FQ95" i="3"/>
  <c r="FR95" i="3"/>
  <c r="FS95" i="3"/>
  <c r="FT95" i="3"/>
  <c r="FU95" i="3"/>
  <c r="FV95" i="3"/>
  <c r="FW95" i="3"/>
  <c r="FX95" i="3"/>
  <c r="FY95" i="3"/>
  <c r="FZ95" i="3"/>
  <c r="GA95" i="3"/>
  <c r="GB95" i="3"/>
  <c r="GC95" i="3"/>
  <c r="GD95" i="3"/>
  <c r="GE95" i="3"/>
  <c r="GF95" i="3"/>
  <c r="GG95" i="3"/>
  <c r="GH95" i="3"/>
  <c r="GI95" i="3"/>
  <c r="GJ95" i="3"/>
  <c r="GK95" i="3"/>
  <c r="GL95" i="3"/>
  <c r="GM95" i="3"/>
  <c r="GN95" i="3"/>
  <c r="GO95" i="3"/>
  <c r="GP95" i="3"/>
  <c r="GQ95" i="3"/>
  <c r="GR95" i="3"/>
  <c r="GS95" i="3"/>
  <c r="GT95" i="3"/>
  <c r="GU95" i="3"/>
  <c r="GV95" i="3"/>
  <c r="GW95" i="3"/>
  <c r="GX95" i="3"/>
  <c r="GY95" i="3"/>
  <c r="GZ95" i="3"/>
  <c r="HA95" i="3"/>
  <c r="HB95" i="3"/>
  <c r="HC95" i="3"/>
  <c r="HD95" i="3"/>
  <c r="HE95" i="3"/>
  <c r="HF95" i="3"/>
  <c r="HG95" i="3"/>
  <c r="HH95" i="3"/>
  <c r="HI95" i="3"/>
  <c r="HJ95" i="3"/>
  <c r="HK95" i="3"/>
  <c r="HL95" i="3"/>
  <c r="HM95" i="3"/>
  <c r="HN95" i="3"/>
  <c r="HO95" i="3"/>
  <c r="HP95" i="3"/>
  <c r="HQ95" i="3"/>
  <c r="HR95" i="3"/>
  <c r="HS95" i="3"/>
  <c r="HT95" i="3"/>
  <c r="HU95" i="3"/>
  <c r="HV95" i="3"/>
  <c r="HW95" i="3"/>
  <c r="HX95" i="3"/>
  <c r="HY95" i="3"/>
  <c r="HZ95" i="3"/>
  <c r="IA95" i="3"/>
  <c r="IB95" i="3"/>
  <c r="IC95" i="3"/>
  <c r="ID95" i="3"/>
  <c r="IE95" i="3"/>
  <c r="IF95" i="3"/>
  <c r="IG95" i="3"/>
  <c r="IH95" i="3"/>
  <c r="II95" i="3"/>
  <c r="IJ95" i="3"/>
  <c r="IK95" i="3"/>
  <c r="IL95" i="3"/>
  <c r="IM95" i="3"/>
  <c r="IN95" i="3"/>
  <c r="IO95" i="3"/>
  <c r="IP95" i="3"/>
  <c r="IQ95" i="3"/>
  <c r="IR95" i="3"/>
  <c r="IS95" i="3"/>
  <c r="IT95" i="3"/>
  <c r="IU95" i="3"/>
  <c r="IV95" i="3"/>
  <c r="A94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AI94" i="3"/>
  <c r="AJ94" i="3"/>
  <c r="AK94" i="3"/>
  <c r="AL94" i="3"/>
  <c r="AM94" i="3"/>
  <c r="AN94" i="3"/>
  <c r="AO94" i="3"/>
  <c r="AP94" i="3"/>
  <c r="AQ94" i="3"/>
  <c r="AR94" i="3"/>
  <c r="AS94" i="3"/>
  <c r="AT94" i="3"/>
  <c r="AU94" i="3"/>
  <c r="AV94" i="3"/>
  <c r="AW94" i="3"/>
  <c r="AX94" i="3"/>
  <c r="AY94" i="3"/>
  <c r="AZ94" i="3"/>
  <c r="BA94" i="3"/>
  <c r="BB94" i="3"/>
  <c r="BC94" i="3"/>
  <c r="BD94" i="3"/>
  <c r="BE94" i="3"/>
  <c r="BF94" i="3"/>
  <c r="BG94" i="3"/>
  <c r="BH94" i="3"/>
  <c r="BI94" i="3"/>
  <c r="BJ94" i="3"/>
  <c r="BK94" i="3"/>
  <c r="BL94" i="3"/>
  <c r="BM94" i="3"/>
  <c r="BN94" i="3"/>
  <c r="BO94" i="3"/>
  <c r="BP94" i="3"/>
  <c r="BQ94" i="3"/>
  <c r="BR94" i="3"/>
  <c r="BS94" i="3"/>
  <c r="BT94" i="3"/>
  <c r="BU94" i="3"/>
  <c r="BV94" i="3"/>
  <c r="BW94" i="3"/>
  <c r="BX94" i="3"/>
  <c r="BY94" i="3"/>
  <c r="BZ94" i="3"/>
  <c r="CA94" i="3"/>
  <c r="CB94" i="3"/>
  <c r="CC94" i="3"/>
  <c r="CD94" i="3"/>
  <c r="CE94" i="3"/>
  <c r="CF94" i="3"/>
  <c r="CG94" i="3"/>
  <c r="CH94" i="3"/>
  <c r="CI94" i="3"/>
  <c r="CJ94" i="3"/>
  <c r="CK94" i="3"/>
  <c r="CL94" i="3"/>
  <c r="CM94" i="3"/>
  <c r="CN94" i="3"/>
  <c r="CO94" i="3"/>
  <c r="CP94" i="3"/>
  <c r="CQ94" i="3"/>
  <c r="CR94" i="3"/>
  <c r="CS94" i="3"/>
  <c r="CT94" i="3"/>
  <c r="CU94" i="3"/>
  <c r="CV94" i="3"/>
  <c r="CW94" i="3"/>
  <c r="CX94" i="3"/>
  <c r="CY94" i="3"/>
  <c r="CZ94" i="3"/>
  <c r="DA94" i="3"/>
  <c r="DB94" i="3"/>
  <c r="DC94" i="3"/>
  <c r="DD94" i="3"/>
  <c r="DE94" i="3"/>
  <c r="DF94" i="3"/>
  <c r="DG94" i="3"/>
  <c r="DH94" i="3"/>
  <c r="DI94" i="3"/>
  <c r="DJ94" i="3"/>
  <c r="DK94" i="3"/>
  <c r="DL94" i="3"/>
  <c r="DM94" i="3"/>
  <c r="DN94" i="3"/>
  <c r="DO94" i="3"/>
  <c r="DP94" i="3"/>
  <c r="DQ94" i="3"/>
  <c r="DR94" i="3"/>
  <c r="DS94" i="3"/>
  <c r="DT94" i="3"/>
  <c r="DU94" i="3"/>
  <c r="DV94" i="3"/>
  <c r="DW94" i="3"/>
  <c r="DX94" i="3"/>
  <c r="DY94" i="3"/>
  <c r="DZ94" i="3"/>
  <c r="EA94" i="3"/>
  <c r="EB94" i="3"/>
  <c r="EC94" i="3"/>
  <c r="ED94" i="3"/>
  <c r="EE94" i="3"/>
  <c r="EF94" i="3"/>
  <c r="EG94" i="3"/>
  <c r="EH94" i="3"/>
  <c r="EI94" i="3"/>
  <c r="EJ94" i="3"/>
  <c r="EK94" i="3"/>
  <c r="EL94" i="3"/>
  <c r="EM94" i="3"/>
  <c r="EN94" i="3"/>
  <c r="EO94" i="3"/>
  <c r="EP94" i="3"/>
  <c r="EQ94" i="3"/>
  <c r="ER94" i="3"/>
  <c r="ES94" i="3"/>
  <c r="ET94" i="3"/>
  <c r="EU94" i="3"/>
  <c r="EV94" i="3"/>
  <c r="EW94" i="3"/>
  <c r="EX94" i="3"/>
  <c r="EY94" i="3"/>
  <c r="EZ94" i="3"/>
  <c r="FA94" i="3"/>
  <c r="FB94" i="3"/>
  <c r="FC94" i="3"/>
  <c r="FD94" i="3"/>
  <c r="FE94" i="3"/>
  <c r="FF94" i="3"/>
  <c r="FG94" i="3"/>
  <c r="FH94" i="3"/>
  <c r="FI94" i="3"/>
  <c r="FJ94" i="3"/>
  <c r="FK94" i="3"/>
  <c r="FL94" i="3"/>
  <c r="FM94" i="3"/>
  <c r="FN94" i="3"/>
  <c r="FO94" i="3"/>
  <c r="FP94" i="3"/>
  <c r="FQ94" i="3"/>
  <c r="FR94" i="3"/>
  <c r="FS94" i="3"/>
  <c r="FT94" i="3"/>
  <c r="FU94" i="3"/>
  <c r="FV94" i="3"/>
  <c r="FW94" i="3"/>
  <c r="FX94" i="3"/>
  <c r="FY94" i="3"/>
  <c r="FZ94" i="3"/>
  <c r="GA94" i="3"/>
  <c r="GB94" i="3"/>
  <c r="GC94" i="3"/>
  <c r="GD94" i="3"/>
  <c r="GE94" i="3"/>
  <c r="GF94" i="3"/>
  <c r="GG94" i="3"/>
  <c r="GH94" i="3"/>
  <c r="GI94" i="3"/>
  <c r="GJ94" i="3"/>
  <c r="GK94" i="3"/>
  <c r="GL94" i="3"/>
  <c r="GM94" i="3"/>
  <c r="GN94" i="3"/>
  <c r="GO94" i="3"/>
  <c r="GP94" i="3"/>
  <c r="GQ94" i="3"/>
  <c r="GR94" i="3"/>
  <c r="GS94" i="3"/>
  <c r="GT94" i="3"/>
  <c r="GU94" i="3"/>
  <c r="GV94" i="3"/>
  <c r="GW94" i="3"/>
  <c r="GX94" i="3"/>
  <c r="GY94" i="3"/>
  <c r="GZ94" i="3"/>
  <c r="HA94" i="3"/>
  <c r="HB94" i="3"/>
  <c r="HC94" i="3"/>
  <c r="HD94" i="3"/>
  <c r="HE94" i="3"/>
  <c r="HF94" i="3"/>
  <c r="HG94" i="3"/>
  <c r="HH94" i="3"/>
  <c r="HI94" i="3"/>
  <c r="HJ94" i="3"/>
  <c r="HK94" i="3"/>
  <c r="HL94" i="3"/>
  <c r="HM94" i="3"/>
  <c r="HN94" i="3"/>
  <c r="HO94" i="3"/>
  <c r="HP94" i="3"/>
  <c r="HQ94" i="3"/>
  <c r="HR94" i="3"/>
  <c r="HS94" i="3"/>
  <c r="HT94" i="3"/>
  <c r="HU94" i="3"/>
  <c r="HV94" i="3"/>
  <c r="HW94" i="3"/>
  <c r="HX94" i="3"/>
  <c r="HY94" i="3"/>
  <c r="HZ94" i="3"/>
  <c r="IA94" i="3"/>
  <c r="IB94" i="3"/>
  <c r="IC94" i="3"/>
  <c r="ID94" i="3"/>
  <c r="IE94" i="3"/>
  <c r="IF94" i="3"/>
  <c r="IG94" i="3"/>
  <c r="IH94" i="3"/>
  <c r="II94" i="3"/>
  <c r="IJ94" i="3"/>
  <c r="IK94" i="3"/>
  <c r="IL94" i="3"/>
  <c r="IM94" i="3"/>
  <c r="IN94" i="3"/>
  <c r="IO94" i="3"/>
  <c r="IP94" i="3"/>
  <c r="IQ94" i="3"/>
  <c r="IR94" i="3"/>
  <c r="IS94" i="3"/>
  <c r="IT94" i="3"/>
  <c r="IU94" i="3"/>
  <c r="IV94" i="3"/>
  <c r="A93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AI93" i="3"/>
  <c r="AJ93" i="3"/>
  <c r="AK93" i="3"/>
  <c r="AL93" i="3"/>
  <c r="AM93" i="3"/>
  <c r="AN93" i="3"/>
  <c r="AO93" i="3"/>
  <c r="AP93" i="3"/>
  <c r="AQ93" i="3"/>
  <c r="AR93" i="3"/>
  <c r="AS93" i="3"/>
  <c r="AT93" i="3"/>
  <c r="AU93" i="3"/>
  <c r="AV93" i="3"/>
  <c r="AW93" i="3"/>
  <c r="AX93" i="3"/>
  <c r="AY93" i="3"/>
  <c r="AZ93" i="3"/>
  <c r="BA93" i="3"/>
  <c r="BB93" i="3"/>
  <c r="BC93" i="3"/>
  <c r="BD93" i="3"/>
  <c r="BE93" i="3"/>
  <c r="BF93" i="3"/>
  <c r="BG93" i="3"/>
  <c r="BH93" i="3"/>
  <c r="BI93" i="3"/>
  <c r="BJ93" i="3"/>
  <c r="BK93" i="3"/>
  <c r="BL93" i="3"/>
  <c r="BM93" i="3"/>
  <c r="BN93" i="3"/>
  <c r="BO93" i="3"/>
  <c r="BP93" i="3"/>
  <c r="BQ93" i="3"/>
  <c r="BR93" i="3"/>
  <c r="BS93" i="3"/>
  <c r="BT93" i="3"/>
  <c r="BU93" i="3"/>
  <c r="BV93" i="3"/>
  <c r="BW93" i="3"/>
  <c r="BX93" i="3"/>
  <c r="BY93" i="3"/>
  <c r="BZ93" i="3"/>
  <c r="CA93" i="3"/>
  <c r="CB93" i="3"/>
  <c r="CC93" i="3"/>
  <c r="CD93" i="3"/>
  <c r="CE93" i="3"/>
  <c r="CF93" i="3"/>
  <c r="CG93" i="3"/>
  <c r="CH93" i="3"/>
  <c r="CI93" i="3"/>
  <c r="CJ93" i="3"/>
  <c r="CK93" i="3"/>
  <c r="CL93" i="3"/>
  <c r="CM93" i="3"/>
  <c r="CN93" i="3"/>
  <c r="CO93" i="3"/>
  <c r="CP93" i="3"/>
  <c r="CQ93" i="3"/>
  <c r="CR93" i="3"/>
  <c r="CS93" i="3"/>
  <c r="CT93" i="3"/>
  <c r="CU93" i="3"/>
  <c r="CV93" i="3"/>
  <c r="CW93" i="3"/>
  <c r="CX93" i="3"/>
  <c r="CY93" i="3"/>
  <c r="CZ93" i="3"/>
  <c r="DA93" i="3"/>
  <c r="DB93" i="3"/>
  <c r="DC93" i="3"/>
  <c r="DD93" i="3"/>
  <c r="DE93" i="3"/>
  <c r="DF93" i="3"/>
  <c r="DG93" i="3"/>
  <c r="DH93" i="3"/>
  <c r="DI93" i="3"/>
  <c r="DJ93" i="3"/>
  <c r="DK93" i="3"/>
  <c r="DL93" i="3"/>
  <c r="DM93" i="3"/>
  <c r="DN93" i="3"/>
  <c r="DO93" i="3"/>
  <c r="DP93" i="3"/>
  <c r="DQ93" i="3"/>
  <c r="DR93" i="3"/>
  <c r="DS93" i="3"/>
  <c r="DT93" i="3"/>
  <c r="DU93" i="3"/>
  <c r="DV93" i="3"/>
  <c r="DW93" i="3"/>
  <c r="DX93" i="3"/>
  <c r="DY93" i="3"/>
  <c r="DZ93" i="3"/>
  <c r="EA93" i="3"/>
  <c r="EB93" i="3"/>
  <c r="EC93" i="3"/>
  <c r="ED93" i="3"/>
  <c r="EE93" i="3"/>
  <c r="EF93" i="3"/>
  <c r="EG93" i="3"/>
  <c r="EH93" i="3"/>
  <c r="EI93" i="3"/>
  <c r="EJ93" i="3"/>
  <c r="EK93" i="3"/>
  <c r="EL93" i="3"/>
  <c r="EM93" i="3"/>
  <c r="EN93" i="3"/>
  <c r="EO93" i="3"/>
  <c r="EP93" i="3"/>
  <c r="EQ93" i="3"/>
  <c r="ER93" i="3"/>
  <c r="ES93" i="3"/>
  <c r="ET93" i="3"/>
  <c r="EU93" i="3"/>
  <c r="EV93" i="3"/>
  <c r="EW93" i="3"/>
  <c r="EX93" i="3"/>
  <c r="EY93" i="3"/>
  <c r="EZ93" i="3"/>
  <c r="FA93" i="3"/>
  <c r="FB93" i="3"/>
  <c r="FC93" i="3"/>
  <c r="FD93" i="3"/>
  <c r="FE93" i="3"/>
  <c r="FF93" i="3"/>
  <c r="FG93" i="3"/>
  <c r="FH93" i="3"/>
  <c r="FI93" i="3"/>
  <c r="FJ93" i="3"/>
  <c r="FK93" i="3"/>
  <c r="FL93" i="3"/>
  <c r="FM93" i="3"/>
  <c r="FN93" i="3"/>
  <c r="FO93" i="3"/>
  <c r="FP93" i="3"/>
  <c r="FQ93" i="3"/>
  <c r="FR93" i="3"/>
  <c r="FS93" i="3"/>
  <c r="FT93" i="3"/>
  <c r="FU93" i="3"/>
  <c r="FV93" i="3"/>
  <c r="FW93" i="3"/>
  <c r="FX93" i="3"/>
  <c r="FY93" i="3"/>
  <c r="FZ93" i="3"/>
  <c r="GA93" i="3"/>
  <c r="GB93" i="3"/>
  <c r="GC93" i="3"/>
  <c r="GD93" i="3"/>
  <c r="GE93" i="3"/>
  <c r="GF93" i="3"/>
  <c r="GG93" i="3"/>
  <c r="GH93" i="3"/>
  <c r="GI93" i="3"/>
  <c r="GJ93" i="3"/>
  <c r="GK93" i="3"/>
  <c r="GL93" i="3"/>
  <c r="GM93" i="3"/>
  <c r="GN93" i="3"/>
  <c r="GO93" i="3"/>
  <c r="GP93" i="3"/>
  <c r="GQ93" i="3"/>
  <c r="GR93" i="3"/>
  <c r="GS93" i="3"/>
  <c r="GT93" i="3"/>
  <c r="GU93" i="3"/>
  <c r="GV93" i="3"/>
  <c r="GW93" i="3"/>
  <c r="GX93" i="3"/>
  <c r="GY93" i="3"/>
  <c r="GZ93" i="3"/>
  <c r="HA93" i="3"/>
  <c r="HB93" i="3"/>
  <c r="HC93" i="3"/>
  <c r="HD93" i="3"/>
  <c r="HE93" i="3"/>
  <c r="HF93" i="3"/>
  <c r="HG93" i="3"/>
  <c r="HH93" i="3"/>
  <c r="HI93" i="3"/>
  <c r="HJ93" i="3"/>
  <c r="HK93" i="3"/>
  <c r="HL93" i="3"/>
  <c r="HM93" i="3"/>
  <c r="HN93" i="3"/>
  <c r="HO93" i="3"/>
  <c r="HP93" i="3"/>
  <c r="HQ93" i="3"/>
  <c r="HR93" i="3"/>
  <c r="HS93" i="3"/>
  <c r="HT93" i="3"/>
  <c r="HU93" i="3"/>
  <c r="HV93" i="3"/>
  <c r="HW93" i="3"/>
  <c r="HX93" i="3"/>
  <c r="HY93" i="3"/>
  <c r="HZ93" i="3"/>
  <c r="IA93" i="3"/>
  <c r="IB93" i="3"/>
  <c r="IC93" i="3"/>
  <c r="ID93" i="3"/>
  <c r="IE93" i="3"/>
  <c r="IF93" i="3"/>
  <c r="IG93" i="3"/>
  <c r="IH93" i="3"/>
  <c r="II93" i="3"/>
  <c r="IJ93" i="3"/>
  <c r="IK93" i="3"/>
  <c r="IL93" i="3"/>
  <c r="IM93" i="3"/>
  <c r="IN93" i="3"/>
  <c r="IO93" i="3"/>
  <c r="IP93" i="3"/>
  <c r="IQ93" i="3"/>
  <c r="IR93" i="3"/>
  <c r="IS93" i="3"/>
  <c r="IT93" i="3"/>
  <c r="IU93" i="3"/>
  <c r="IV93" i="3"/>
  <c r="A92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AP92" i="3"/>
  <c r="AQ92" i="3"/>
  <c r="AR92" i="3"/>
  <c r="AS92" i="3"/>
  <c r="AT92" i="3"/>
  <c r="AU92" i="3"/>
  <c r="AV92" i="3"/>
  <c r="AW92" i="3"/>
  <c r="AX92" i="3"/>
  <c r="AY92" i="3"/>
  <c r="AZ92" i="3"/>
  <c r="BA92" i="3"/>
  <c r="BB92" i="3"/>
  <c r="BC92" i="3"/>
  <c r="BD92" i="3"/>
  <c r="BE92" i="3"/>
  <c r="BF92" i="3"/>
  <c r="BG92" i="3"/>
  <c r="BH92" i="3"/>
  <c r="BI92" i="3"/>
  <c r="BJ92" i="3"/>
  <c r="BK92" i="3"/>
  <c r="BL92" i="3"/>
  <c r="BM92" i="3"/>
  <c r="BN92" i="3"/>
  <c r="BO92" i="3"/>
  <c r="BP92" i="3"/>
  <c r="BQ92" i="3"/>
  <c r="BR92" i="3"/>
  <c r="BS92" i="3"/>
  <c r="BT92" i="3"/>
  <c r="BU92" i="3"/>
  <c r="BV92" i="3"/>
  <c r="BW92" i="3"/>
  <c r="BX92" i="3"/>
  <c r="BY92" i="3"/>
  <c r="BZ92" i="3"/>
  <c r="CA92" i="3"/>
  <c r="CB92" i="3"/>
  <c r="CC92" i="3"/>
  <c r="CD92" i="3"/>
  <c r="CE92" i="3"/>
  <c r="CF92" i="3"/>
  <c r="CG92" i="3"/>
  <c r="CH92" i="3"/>
  <c r="CI92" i="3"/>
  <c r="CJ92" i="3"/>
  <c r="CK92" i="3"/>
  <c r="CL92" i="3"/>
  <c r="CM92" i="3"/>
  <c r="CN92" i="3"/>
  <c r="CO92" i="3"/>
  <c r="CP92" i="3"/>
  <c r="CQ92" i="3"/>
  <c r="CR92" i="3"/>
  <c r="CS92" i="3"/>
  <c r="CT92" i="3"/>
  <c r="CU92" i="3"/>
  <c r="CV92" i="3"/>
  <c r="CW92" i="3"/>
  <c r="CX92" i="3"/>
  <c r="CY92" i="3"/>
  <c r="CZ92" i="3"/>
  <c r="DA92" i="3"/>
  <c r="DB92" i="3"/>
  <c r="DC92" i="3"/>
  <c r="DD92" i="3"/>
  <c r="DE92" i="3"/>
  <c r="DF92" i="3"/>
  <c r="DG92" i="3"/>
  <c r="DH92" i="3"/>
  <c r="DI92" i="3"/>
  <c r="DJ92" i="3"/>
  <c r="DK92" i="3"/>
  <c r="DL92" i="3"/>
  <c r="DM92" i="3"/>
  <c r="DN92" i="3"/>
  <c r="DO92" i="3"/>
  <c r="DP92" i="3"/>
  <c r="DQ92" i="3"/>
  <c r="DR92" i="3"/>
  <c r="DS92" i="3"/>
  <c r="DT92" i="3"/>
  <c r="DU92" i="3"/>
  <c r="DV92" i="3"/>
  <c r="DW92" i="3"/>
  <c r="DX92" i="3"/>
  <c r="DY92" i="3"/>
  <c r="DZ92" i="3"/>
  <c r="EA92" i="3"/>
  <c r="EB92" i="3"/>
  <c r="EC92" i="3"/>
  <c r="ED92" i="3"/>
  <c r="EE92" i="3"/>
  <c r="EF92" i="3"/>
  <c r="EG92" i="3"/>
  <c r="EH92" i="3"/>
  <c r="EI92" i="3"/>
  <c r="EJ92" i="3"/>
  <c r="EK92" i="3"/>
  <c r="EL92" i="3"/>
  <c r="EM92" i="3"/>
  <c r="EN92" i="3"/>
  <c r="EO92" i="3"/>
  <c r="EP92" i="3"/>
  <c r="EQ92" i="3"/>
  <c r="ER92" i="3"/>
  <c r="ES92" i="3"/>
  <c r="ET92" i="3"/>
  <c r="EU92" i="3"/>
  <c r="EV92" i="3"/>
  <c r="EW92" i="3"/>
  <c r="EX92" i="3"/>
  <c r="EY92" i="3"/>
  <c r="EZ92" i="3"/>
  <c r="FA92" i="3"/>
  <c r="FB92" i="3"/>
  <c r="FC92" i="3"/>
  <c r="FD92" i="3"/>
  <c r="FE92" i="3"/>
  <c r="FF92" i="3"/>
  <c r="FG92" i="3"/>
  <c r="FH92" i="3"/>
  <c r="FI92" i="3"/>
  <c r="FJ92" i="3"/>
  <c r="FK92" i="3"/>
  <c r="FL92" i="3"/>
  <c r="FM92" i="3"/>
  <c r="FN92" i="3"/>
  <c r="FO92" i="3"/>
  <c r="FP92" i="3"/>
  <c r="FQ92" i="3"/>
  <c r="FR92" i="3"/>
  <c r="FS92" i="3"/>
  <c r="FT92" i="3"/>
  <c r="FU92" i="3"/>
  <c r="FV92" i="3"/>
  <c r="FW92" i="3"/>
  <c r="FX92" i="3"/>
  <c r="FY92" i="3"/>
  <c r="FZ92" i="3"/>
  <c r="GA92" i="3"/>
  <c r="GB92" i="3"/>
  <c r="GC92" i="3"/>
  <c r="GD92" i="3"/>
  <c r="GE92" i="3"/>
  <c r="GF92" i="3"/>
  <c r="GG92" i="3"/>
  <c r="GH92" i="3"/>
  <c r="GI92" i="3"/>
  <c r="GJ92" i="3"/>
  <c r="GK92" i="3"/>
  <c r="GL92" i="3"/>
  <c r="GM92" i="3"/>
  <c r="GN92" i="3"/>
  <c r="GO92" i="3"/>
  <c r="GP92" i="3"/>
  <c r="GQ92" i="3"/>
  <c r="GR92" i="3"/>
  <c r="GS92" i="3"/>
  <c r="GT92" i="3"/>
  <c r="GU92" i="3"/>
  <c r="GV92" i="3"/>
  <c r="GW92" i="3"/>
  <c r="GX92" i="3"/>
  <c r="GY92" i="3"/>
  <c r="GZ92" i="3"/>
  <c r="HA92" i="3"/>
  <c r="HB92" i="3"/>
  <c r="HC92" i="3"/>
  <c r="HD92" i="3"/>
  <c r="HE92" i="3"/>
  <c r="HF92" i="3"/>
  <c r="HG92" i="3"/>
  <c r="HH92" i="3"/>
  <c r="HI92" i="3"/>
  <c r="HJ92" i="3"/>
  <c r="HK92" i="3"/>
  <c r="HL92" i="3"/>
  <c r="HM92" i="3"/>
  <c r="HN92" i="3"/>
  <c r="HO92" i="3"/>
  <c r="HP92" i="3"/>
  <c r="HQ92" i="3"/>
  <c r="HR92" i="3"/>
  <c r="HS92" i="3"/>
  <c r="HT92" i="3"/>
  <c r="HU92" i="3"/>
  <c r="HV92" i="3"/>
  <c r="HW92" i="3"/>
  <c r="HX92" i="3"/>
  <c r="HY92" i="3"/>
  <c r="HZ92" i="3"/>
  <c r="IA92" i="3"/>
  <c r="IB92" i="3"/>
  <c r="IC92" i="3"/>
  <c r="ID92" i="3"/>
  <c r="IE92" i="3"/>
  <c r="IF92" i="3"/>
  <c r="IG92" i="3"/>
  <c r="IH92" i="3"/>
  <c r="II92" i="3"/>
  <c r="IJ92" i="3"/>
  <c r="IK92" i="3"/>
  <c r="IL92" i="3"/>
  <c r="IM92" i="3"/>
  <c r="IN92" i="3"/>
  <c r="IO92" i="3"/>
  <c r="IP92" i="3"/>
  <c r="IQ92" i="3"/>
  <c r="IR92" i="3"/>
  <c r="IS92" i="3"/>
  <c r="IT92" i="3"/>
  <c r="IU92" i="3"/>
  <c r="IV92" i="3"/>
  <c r="A91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AM91" i="3"/>
  <c r="AN91" i="3"/>
  <c r="AO91" i="3"/>
  <c r="AP91" i="3"/>
  <c r="AQ91" i="3"/>
  <c r="AR91" i="3"/>
  <c r="AS91" i="3"/>
  <c r="AT91" i="3"/>
  <c r="AU91" i="3"/>
  <c r="AV91" i="3"/>
  <c r="AW91" i="3"/>
  <c r="AX91" i="3"/>
  <c r="AY91" i="3"/>
  <c r="AZ91" i="3"/>
  <c r="BA91" i="3"/>
  <c r="BB91" i="3"/>
  <c r="BC91" i="3"/>
  <c r="BD91" i="3"/>
  <c r="BE91" i="3"/>
  <c r="BF91" i="3"/>
  <c r="BG91" i="3"/>
  <c r="BH91" i="3"/>
  <c r="BI91" i="3"/>
  <c r="BJ91" i="3"/>
  <c r="BK91" i="3"/>
  <c r="BL91" i="3"/>
  <c r="BM91" i="3"/>
  <c r="BN91" i="3"/>
  <c r="BO91" i="3"/>
  <c r="BP91" i="3"/>
  <c r="BQ91" i="3"/>
  <c r="BR91" i="3"/>
  <c r="BS91" i="3"/>
  <c r="BT91" i="3"/>
  <c r="BU91" i="3"/>
  <c r="BV91" i="3"/>
  <c r="BW91" i="3"/>
  <c r="BX91" i="3"/>
  <c r="BY91" i="3"/>
  <c r="BZ91" i="3"/>
  <c r="CA91" i="3"/>
  <c r="CB91" i="3"/>
  <c r="CC91" i="3"/>
  <c r="CD91" i="3"/>
  <c r="CE91" i="3"/>
  <c r="CF91" i="3"/>
  <c r="CG91" i="3"/>
  <c r="CH91" i="3"/>
  <c r="CI91" i="3"/>
  <c r="CJ91" i="3"/>
  <c r="CK91" i="3"/>
  <c r="CL91" i="3"/>
  <c r="CM91" i="3"/>
  <c r="CN91" i="3"/>
  <c r="CO91" i="3"/>
  <c r="CP91" i="3"/>
  <c r="CQ91" i="3"/>
  <c r="CR91" i="3"/>
  <c r="CS91" i="3"/>
  <c r="CT91" i="3"/>
  <c r="CU91" i="3"/>
  <c r="CV91" i="3"/>
  <c r="CW91" i="3"/>
  <c r="CX91" i="3"/>
  <c r="CY91" i="3"/>
  <c r="CZ91" i="3"/>
  <c r="DA91" i="3"/>
  <c r="DB91" i="3"/>
  <c r="DC91" i="3"/>
  <c r="DD91" i="3"/>
  <c r="DE91" i="3"/>
  <c r="DF91" i="3"/>
  <c r="DG91" i="3"/>
  <c r="DH91" i="3"/>
  <c r="DI91" i="3"/>
  <c r="DJ91" i="3"/>
  <c r="DK91" i="3"/>
  <c r="DL91" i="3"/>
  <c r="DM91" i="3"/>
  <c r="DN91" i="3"/>
  <c r="DO91" i="3"/>
  <c r="DP91" i="3"/>
  <c r="DQ91" i="3"/>
  <c r="DR91" i="3"/>
  <c r="DS91" i="3"/>
  <c r="DT91" i="3"/>
  <c r="DU91" i="3"/>
  <c r="DV91" i="3"/>
  <c r="DW91" i="3"/>
  <c r="DX91" i="3"/>
  <c r="DY91" i="3"/>
  <c r="DZ91" i="3"/>
  <c r="EA91" i="3"/>
  <c r="EB91" i="3"/>
  <c r="EC91" i="3"/>
  <c r="ED91" i="3"/>
  <c r="EE91" i="3"/>
  <c r="EF91" i="3"/>
  <c r="EG91" i="3"/>
  <c r="EH91" i="3"/>
  <c r="EI91" i="3"/>
  <c r="EJ91" i="3"/>
  <c r="EK91" i="3"/>
  <c r="EL91" i="3"/>
  <c r="EM91" i="3"/>
  <c r="EN91" i="3"/>
  <c r="EO91" i="3"/>
  <c r="EP91" i="3"/>
  <c r="EQ91" i="3"/>
  <c r="ER91" i="3"/>
  <c r="ES91" i="3"/>
  <c r="ET91" i="3"/>
  <c r="EU91" i="3"/>
  <c r="EV91" i="3"/>
  <c r="EW91" i="3"/>
  <c r="EX91" i="3"/>
  <c r="EY91" i="3"/>
  <c r="EZ91" i="3"/>
  <c r="FA91" i="3"/>
  <c r="FB91" i="3"/>
  <c r="FC91" i="3"/>
  <c r="FD91" i="3"/>
  <c r="FE91" i="3"/>
  <c r="FF91" i="3"/>
  <c r="FG91" i="3"/>
  <c r="FH91" i="3"/>
  <c r="FI91" i="3"/>
  <c r="FJ91" i="3"/>
  <c r="FK91" i="3"/>
  <c r="FL91" i="3"/>
  <c r="FM91" i="3"/>
  <c r="FN91" i="3"/>
  <c r="FO91" i="3"/>
  <c r="FP91" i="3"/>
  <c r="FQ91" i="3"/>
  <c r="FR91" i="3"/>
  <c r="FS91" i="3"/>
  <c r="FT91" i="3"/>
  <c r="FU91" i="3"/>
  <c r="FV91" i="3"/>
  <c r="FW91" i="3"/>
  <c r="FX91" i="3"/>
  <c r="FY91" i="3"/>
  <c r="FZ91" i="3"/>
  <c r="GA91" i="3"/>
  <c r="GB91" i="3"/>
  <c r="GC91" i="3"/>
  <c r="GD91" i="3"/>
  <c r="GE91" i="3"/>
  <c r="GF91" i="3"/>
  <c r="GG91" i="3"/>
  <c r="GH91" i="3"/>
  <c r="GI91" i="3"/>
  <c r="GJ91" i="3"/>
  <c r="GK91" i="3"/>
  <c r="GL91" i="3"/>
  <c r="GM91" i="3"/>
  <c r="GN91" i="3"/>
  <c r="GO91" i="3"/>
  <c r="GP91" i="3"/>
  <c r="GQ91" i="3"/>
  <c r="GR91" i="3"/>
  <c r="GS91" i="3"/>
  <c r="GT91" i="3"/>
  <c r="GU91" i="3"/>
  <c r="GV91" i="3"/>
  <c r="GW91" i="3"/>
  <c r="GX91" i="3"/>
  <c r="GY91" i="3"/>
  <c r="GZ91" i="3"/>
  <c r="HA91" i="3"/>
  <c r="HB91" i="3"/>
  <c r="HC91" i="3"/>
  <c r="HD91" i="3"/>
  <c r="HE91" i="3"/>
  <c r="HF91" i="3"/>
  <c r="HG91" i="3"/>
  <c r="HH91" i="3"/>
  <c r="HI91" i="3"/>
  <c r="HJ91" i="3"/>
  <c r="HK91" i="3"/>
  <c r="HL91" i="3"/>
  <c r="HM91" i="3"/>
  <c r="HN91" i="3"/>
  <c r="HO91" i="3"/>
  <c r="HP91" i="3"/>
  <c r="HQ91" i="3"/>
  <c r="HR91" i="3"/>
  <c r="HS91" i="3"/>
  <c r="HT91" i="3"/>
  <c r="HU91" i="3"/>
  <c r="HV91" i="3"/>
  <c r="HW91" i="3"/>
  <c r="HX91" i="3"/>
  <c r="HY91" i="3"/>
  <c r="HZ91" i="3"/>
  <c r="IA91" i="3"/>
  <c r="IB91" i="3"/>
  <c r="IC91" i="3"/>
  <c r="ID91" i="3"/>
  <c r="IE91" i="3"/>
  <c r="IF91" i="3"/>
  <c r="IG91" i="3"/>
  <c r="IH91" i="3"/>
  <c r="II91" i="3"/>
  <c r="IJ91" i="3"/>
  <c r="IK91" i="3"/>
  <c r="IL91" i="3"/>
  <c r="IM91" i="3"/>
  <c r="IN91" i="3"/>
  <c r="IO91" i="3"/>
  <c r="IP91" i="3"/>
  <c r="IQ91" i="3"/>
  <c r="IR91" i="3"/>
  <c r="IS91" i="3"/>
  <c r="IT91" i="3"/>
  <c r="IU91" i="3"/>
  <c r="IV91" i="3"/>
  <c r="A90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L90" i="3"/>
  <c r="AM90" i="3"/>
  <c r="AN90" i="3"/>
  <c r="AO90" i="3"/>
  <c r="AP90" i="3"/>
  <c r="AQ90" i="3"/>
  <c r="AR90" i="3"/>
  <c r="AS90" i="3"/>
  <c r="AT90" i="3"/>
  <c r="AU90" i="3"/>
  <c r="AV90" i="3"/>
  <c r="AW90" i="3"/>
  <c r="AX90" i="3"/>
  <c r="AY90" i="3"/>
  <c r="AZ90" i="3"/>
  <c r="BA90" i="3"/>
  <c r="BB90" i="3"/>
  <c r="BC90" i="3"/>
  <c r="BD90" i="3"/>
  <c r="BE90" i="3"/>
  <c r="BF90" i="3"/>
  <c r="BG90" i="3"/>
  <c r="BH90" i="3"/>
  <c r="BI90" i="3"/>
  <c r="BJ90" i="3"/>
  <c r="BK90" i="3"/>
  <c r="BL90" i="3"/>
  <c r="BM90" i="3"/>
  <c r="BN90" i="3"/>
  <c r="BO90" i="3"/>
  <c r="BP90" i="3"/>
  <c r="BQ90" i="3"/>
  <c r="BR90" i="3"/>
  <c r="BS90" i="3"/>
  <c r="BT90" i="3"/>
  <c r="BU90" i="3"/>
  <c r="BV90" i="3"/>
  <c r="BW90" i="3"/>
  <c r="BX90" i="3"/>
  <c r="BY90" i="3"/>
  <c r="BZ90" i="3"/>
  <c r="CA90" i="3"/>
  <c r="CB90" i="3"/>
  <c r="CC90" i="3"/>
  <c r="CD90" i="3"/>
  <c r="CE90" i="3"/>
  <c r="CF90" i="3"/>
  <c r="CG90" i="3"/>
  <c r="CH90" i="3"/>
  <c r="CI90" i="3"/>
  <c r="CJ90" i="3"/>
  <c r="CK90" i="3"/>
  <c r="CL90" i="3"/>
  <c r="CM90" i="3"/>
  <c r="CN90" i="3"/>
  <c r="CO90" i="3"/>
  <c r="CP90" i="3"/>
  <c r="CQ90" i="3"/>
  <c r="CR90" i="3"/>
  <c r="CS90" i="3"/>
  <c r="CT90" i="3"/>
  <c r="CU90" i="3"/>
  <c r="CV90" i="3"/>
  <c r="CW90" i="3"/>
  <c r="CX90" i="3"/>
  <c r="CY90" i="3"/>
  <c r="CZ90" i="3"/>
  <c r="DA90" i="3"/>
  <c r="DB90" i="3"/>
  <c r="DC90" i="3"/>
  <c r="DD90" i="3"/>
  <c r="DE90" i="3"/>
  <c r="DF90" i="3"/>
  <c r="DG90" i="3"/>
  <c r="DH90" i="3"/>
  <c r="DI90" i="3"/>
  <c r="DJ90" i="3"/>
  <c r="DK90" i="3"/>
  <c r="DL90" i="3"/>
  <c r="DM90" i="3"/>
  <c r="DN90" i="3"/>
  <c r="DO90" i="3"/>
  <c r="DP90" i="3"/>
  <c r="DQ90" i="3"/>
  <c r="DR90" i="3"/>
  <c r="DS90" i="3"/>
  <c r="DT90" i="3"/>
  <c r="DU90" i="3"/>
  <c r="DV90" i="3"/>
  <c r="DW90" i="3"/>
  <c r="DX90" i="3"/>
  <c r="DY90" i="3"/>
  <c r="DZ90" i="3"/>
  <c r="EA90" i="3"/>
  <c r="EB90" i="3"/>
  <c r="EC90" i="3"/>
  <c r="ED90" i="3"/>
  <c r="EE90" i="3"/>
  <c r="EF90" i="3"/>
  <c r="EG90" i="3"/>
  <c r="EH90" i="3"/>
  <c r="EI90" i="3"/>
  <c r="EJ90" i="3"/>
  <c r="EK90" i="3"/>
  <c r="EL90" i="3"/>
  <c r="EM90" i="3"/>
  <c r="EN90" i="3"/>
  <c r="EO90" i="3"/>
  <c r="EP90" i="3"/>
  <c r="EQ90" i="3"/>
  <c r="ER90" i="3"/>
  <c r="ES90" i="3"/>
  <c r="ET90" i="3"/>
  <c r="EU90" i="3"/>
  <c r="EV90" i="3"/>
  <c r="EW90" i="3"/>
  <c r="EX90" i="3"/>
  <c r="EY90" i="3"/>
  <c r="EZ90" i="3"/>
  <c r="FA90" i="3"/>
  <c r="FB90" i="3"/>
  <c r="FC90" i="3"/>
  <c r="FD90" i="3"/>
  <c r="FE90" i="3"/>
  <c r="FF90" i="3"/>
  <c r="FG90" i="3"/>
  <c r="FH90" i="3"/>
  <c r="FI90" i="3"/>
  <c r="FJ90" i="3"/>
  <c r="FK90" i="3"/>
  <c r="FL90" i="3"/>
  <c r="FM90" i="3"/>
  <c r="FN90" i="3"/>
  <c r="FO90" i="3"/>
  <c r="FP90" i="3"/>
  <c r="FQ90" i="3"/>
  <c r="FR90" i="3"/>
  <c r="FS90" i="3"/>
  <c r="FT90" i="3"/>
  <c r="FU90" i="3"/>
  <c r="FV90" i="3"/>
  <c r="FW90" i="3"/>
  <c r="FX90" i="3"/>
  <c r="FY90" i="3"/>
  <c r="FZ90" i="3"/>
  <c r="GA90" i="3"/>
  <c r="GB90" i="3"/>
  <c r="GC90" i="3"/>
  <c r="GD90" i="3"/>
  <c r="GE90" i="3"/>
  <c r="GF90" i="3"/>
  <c r="GG90" i="3"/>
  <c r="GH90" i="3"/>
  <c r="GI90" i="3"/>
  <c r="GJ90" i="3"/>
  <c r="GK90" i="3"/>
  <c r="GL90" i="3"/>
  <c r="GM90" i="3"/>
  <c r="GN90" i="3"/>
  <c r="GO90" i="3"/>
  <c r="GP90" i="3"/>
  <c r="GQ90" i="3"/>
  <c r="GR90" i="3"/>
  <c r="GS90" i="3"/>
  <c r="GT90" i="3"/>
  <c r="GU90" i="3"/>
  <c r="GV90" i="3"/>
  <c r="GW90" i="3"/>
  <c r="GX90" i="3"/>
  <c r="GY90" i="3"/>
  <c r="GZ90" i="3"/>
  <c r="HA90" i="3"/>
  <c r="HB90" i="3"/>
  <c r="HC90" i="3"/>
  <c r="HD90" i="3"/>
  <c r="HE90" i="3"/>
  <c r="HF90" i="3"/>
  <c r="HG90" i="3"/>
  <c r="HH90" i="3"/>
  <c r="HI90" i="3"/>
  <c r="HJ90" i="3"/>
  <c r="HK90" i="3"/>
  <c r="HL90" i="3"/>
  <c r="HM90" i="3"/>
  <c r="HN90" i="3"/>
  <c r="HO90" i="3"/>
  <c r="HP90" i="3"/>
  <c r="HQ90" i="3"/>
  <c r="HR90" i="3"/>
  <c r="HS90" i="3"/>
  <c r="HT90" i="3"/>
  <c r="HU90" i="3"/>
  <c r="HV90" i="3"/>
  <c r="HW90" i="3"/>
  <c r="HX90" i="3"/>
  <c r="HY90" i="3"/>
  <c r="HZ90" i="3"/>
  <c r="IA90" i="3"/>
  <c r="IB90" i="3"/>
  <c r="IC90" i="3"/>
  <c r="ID90" i="3"/>
  <c r="IE90" i="3"/>
  <c r="IF90" i="3"/>
  <c r="IG90" i="3"/>
  <c r="IH90" i="3"/>
  <c r="II90" i="3"/>
  <c r="IJ90" i="3"/>
  <c r="IK90" i="3"/>
  <c r="IL90" i="3"/>
  <c r="IM90" i="3"/>
  <c r="IN90" i="3"/>
  <c r="IO90" i="3"/>
  <c r="IP90" i="3"/>
  <c r="IQ90" i="3"/>
  <c r="IR90" i="3"/>
  <c r="IS90" i="3"/>
  <c r="IT90" i="3"/>
  <c r="IU90" i="3"/>
  <c r="IV90" i="3"/>
  <c r="A89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AI89" i="3"/>
  <c r="AJ89" i="3"/>
  <c r="AK89" i="3"/>
  <c r="AL89" i="3"/>
  <c r="AM89" i="3"/>
  <c r="AN89" i="3"/>
  <c r="AO89" i="3"/>
  <c r="AP89" i="3"/>
  <c r="AQ89" i="3"/>
  <c r="AR89" i="3"/>
  <c r="AS89" i="3"/>
  <c r="AT89" i="3"/>
  <c r="AU89" i="3"/>
  <c r="AV89" i="3"/>
  <c r="AW89" i="3"/>
  <c r="AX89" i="3"/>
  <c r="AY89" i="3"/>
  <c r="AZ89" i="3"/>
  <c r="BA89" i="3"/>
  <c r="BB89" i="3"/>
  <c r="BC89" i="3"/>
  <c r="BD89" i="3"/>
  <c r="BE89" i="3"/>
  <c r="BF89" i="3"/>
  <c r="BG89" i="3"/>
  <c r="BH89" i="3"/>
  <c r="BI89" i="3"/>
  <c r="BJ89" i="3"/>
  <c r="BK89" i="3"/>
  <c r="BL89" i="3"/>
  <c r="BM89" i="3"/>
  <c r="BN89" i="3"/>
  <c r="BO89" i="3"/>
  <c r="BP89" i="3"/>
  <c r="BQ89" i="3"/>
  <c r="BR89" i="3"/>
  <c r="BS89" i="3"/>
  <c r="BT89" i="3"/>
  <c r="BU89" i="3"/>
  <c r="BV89" i="3"/>
  <c r="BW89" i="3"/>
  <c r="BX89" i="3"/>
  <c r="BY89" i="3"/>
  <c r="BZ89" i="3"/>
  <c r="CA89" i="3"/>
  <c r="CB89" i="3"/>
  <c r="CC89" i="3"/>
  <c r="CD89" i="3"/>
  <c r="CE89" i="3"/>
  <c r="CF89" i="3"/>
  <c r="CG89" i="3"/>
  <c r="CH89" i="3"/>
  <c r="CI89" i="3"/>
  <c r="CJ89" i="3"/>
  <c r="CK89" i="3"/>
  <c r="CL89" i="3"/>
  <c r="CM89" i="3"/>
  <c r="CN89" i="3"/>
  <c r="CO89" i="3"/>
  <c r="CP89" i="3"/>
  <c r="CQ89" i="3"/>
  <c r="CR89" i="3"/>
  <c r="CS89" i="3"/>
  <c r="CT89" i="3"/>
  <c r="CU89" i="3"/>
  <c r="CV89" i="3"/>
  <c r="CW89" i="3"/>
  <c r="CX89" i="3"/>
  <c r="CY89" i="3"/>
  <c r="CZ89" i="3"/>
  <c r="DA89" i="3"/>
  <c r="DB89" i="3"/>
  <c r="DC89" i="3"/>
  <c r="DD89" i="3"/>
  <c r="DE89" i="3"/>
  <c r="DF89" i="3"/>
  <c r="DG89" i="3"/>
  <c r="DH89" i="3"/>
  <c r="DI89" i="3"/>
  <c r="DJ89" i="3"/>
  <c r="DK89" i="3"/>
  <c r="DL89" i="3"/>
  <c r="DM89" i="3"/>
  <c r="DN89" i="3"/>
  <c r="DO89" i="3"/>
  <c r="DP89" i="3"/>
  <c r="DQ89" i="3"/>
  <c r="DR89" i="3"/>
  <c r="DS89" i="3"/>
  <c r="DT89" i="3"/>
  <c r="DU89" i="3"/>
  <c r="DV89" i="3"/>
  <c r="DW89" i="3"/>
  <c r="DX89" i="3"/>
  <c r="DY89" i="3"/>
  <c r="DZ89" i="3"/>
  <c r="EA89" i="3"/>
  <c r="EB89" i="3"/>
  <c r="EC89" i="3"/>
  <c r="ED89" i="3"/>
  <c r="EE89" i="3"/>
  <c r="EF89" i="3"/>
  <c r="EG89" i="3"/>
  <c r="EH89" i="3"/>
  <c r="EI89" i="3"/>
  <c r="EJ89" i="3"/>
  <c r="EK89" i="3"/>
  <c r="EL89" i="3"/>
  <c r="EM89" i="3"/>
  <c r="EN89" i="3"/>
  <c r="EO89" i="3"/>
  <c r="EP89" i="3"/>
  <c r="EQ89" i="3"/>
  <c r="ER89" i="3"/>
  <c r="ES89" i="3"/>
  <c r="ET89" i="3"/>
  <c r="EU89" i="3"/>
  <c r="EV89" i="3"/>
  <c r="EW89" i="3"/>
  <c r="EX89" i="3"/>
  <c r="EY89" i="3"/>
  <c r="EZ89" i="3"/>
  <c r="FA89" i="3"/>
  <c r="FB89" i="3"/>
  <c r="FC89" i="3"/>
  <c r="FD89" i="3"/>
  <c r="FE89" i="3"/>
  <c r="FF89" i="3"/>
  <c r="FG89" i="3"/>
  <c r="FH89" i="3"/>
  <c r="FI89" i="3"/>
  <c r="FJ89" i="3"/>
  <c r="FK89" i="3"/>
  <c r="FL89" i="3"/>
  <c r="FM89" i="3"/>
  <c r="FN89" i="3"/>
  <c r="FO89" i="3"/>
  <c r="FP89" i="3"/>
  <c r="FQ89" i="3"/>
  <c r="FR89" i="3"/>
  <c r="FS89" i="3"/>
  <c r="FT89" i="3"/>
  <c r="FU89" i="3"/>
  <c r="FV89" i="3"/>
  <c r="FW89" i="3"/>
  <c r="FX89" i="3"/>
  <c r="FY89" i="3"/>
  <c r="FZ89" i="3"/>
  <c r="GA89" i="3"/>
  <c r="GB89" i="3"/>
  <c r="GC89" i="3"/>
  <c r="GD89" i="3"/>
  <c r="GE89" i="3"/>
  <c r="GF89" i="3"/>
  <c r="GG89" i="3"/>
  <c r="GH89" i="3"/>
  <c r="GI89" i="3"/>
  <c r="GJ89" i="3"/>
  <c r="GK89" i="3"/>
  <c r="GL89" i="3"/>
  <c r="GM89" i="3"/>
  <c r="GN89" i="3"/>
  <c r="GO89" i="3"/>
  <c r="GP89" i="3"/>
  <c r="GQ89" i="3"/>
  <c r="GR89" i="3"/>
  <c r="GS89" i="3"/>
  <c r="GT89" i="3"/>
  <c r="GU89" i="3"/>
  <c r="GV89" i="3"/>
  <c r="GW89" i="3"/>
  <c r="GX89" i="3"/>
  <c r="GY89" i="3"/>
  <c r="GZ89" i="3"/>
  <c r="HA89" i="3"/>
  <c r="HB89" i="3"/>
  <c r="HC89" i="3"/>
  <c r="HD89" i="3"/>
  <c r="HE89" i="3"/>
  <c r="HF89" i="3"/>
  <c r="HG89" i="3"/>
  <c r="HH89" i="3"/>
  <c r="HI89" i="3"/>
  <c r="HJ89" i="3"/>
  <c r="HK89" i="3"/>
  <c r="HL89" i="3"/>
  <c r="HM89" i="3"/>
  <c r="HN89" i="3"/>
  <c r="HO89" i="3"/>
  <c r="HP89" i="3"/>
  <c r="HQ89" i="3"/>
  <c r="HR89" i="3"/>
  <c r="HS89" i="3"/>
  <c r="HT89" i="3"/>
  <c r="HU89" i="3"/>
  <c r="HV89" i="3"/>
  <c r="HW89" i="3"/>
  <c r="HX89" i="3"/>
  <c r="HY89" i="3"/>
  <c r="HZ89" i="3"/>
  <c r="IA89" i="3"/>
  <c r="IB89" i="3"/>
  <c r="IC89" i="3"/>
  <c r="ID89" i="3"/>
  <c r="IE89" i="3"/>
  <c r="IF89" i="3"/>
  <c r="IG89" i="3"/>
  <c r="IH89" i="3"/>
  <c r="II89" i="3"/>
  <c r="IJ89" i="3"/>
  <c r="IK89" i="3"/>
  <c r="IL89" i="3"/>
  <c r="IM89" i="3"/>
  <c r="IN89" i="3"/>
  <c r="IO89" i="3"/>
  <c r="IP89" i="3"/>
  <c r="IQ89" i="3"/>
  <c r="IR89" i="3"/>
  <c r="IS89" i="3"/>
  <c r="IT89" i="3"/>
  <c r="IU89" i="3"/>
  <c r="IV89" i="3"/>
  <c r="A88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AI88" i="3"/>
  <c r="AJ88" i="3"/>
  <c r="AK88" i="3"/>
  <c r="AL88" i="3"/>
  <c r="AM88" i="3"/>
  <c r="AN88" i="3"/>
  <c r="AO88" i="3"/>
  <c r="AP88" i="3"/>
  <c r="AQ88" i="3"/>
  <c r="AR88" i="3"/>
  <c r="AS88" i="3"/>
  <c r="AT88" i="3"/>
  <c r="AU88" i="3"/>
  <c r="AV88" i="3"/>
  <c r="AW88" i="3"/>
  <c r="AX88" i="3"/>
  <c r="AY88" i="3"/>
  <c r="AZ88" i="3"/>
  <c r="BA88" i="3"/>
  <c r="BB88" i="3"/>
  <c r="BC88" i="3"/>
  <c r="BD88" i="3"/>
  <c r="BE88" i="3"/>
  <c r="BF88" i="3"/>
  <c r="BG88" i="3"/>
  <c r="BH88" i="3"/>
  <c r="BI88" i="3"/>
  <c r="BJ88" i="3"/>
  <c r="BK88" i="3"/>
  <c r="BL88" i="3"/>
  <c r="BM88" i="3"/>
  <c r="BN88" i="3"/>
  <c r="BO88" i="3"/>
  <c r="BP88" i="3"/>
  <c r="BQ88" i="3"/>
  <c r="BR88" i="3"/>
  <c r="BS88" i="3"/>
  <c r="BT88" i="3"/>
  <c r="BU88" i="3"/>
  <c r="BV88" i="3"/>
  <c r="BW88" i="3"/>
  <c r="BX88" i="3"/>
  <c r="BY88" i="3"/>
  <c r="BZ88" i="3"/>
  <c r="CA88" i="3"/>
  <c r="CB88" i="3"/>
  <c r="CC88" i="3"/>
  <c r="CD88" i="3"/>
  <c r="CE88" i="3"/>
  <c r="CF88" i="3"/>
  <c r="CG88" i="3"/>
  <c r="CH88" i="3"/>
  <c r="CI88" i="3"/>
  <c r="CJ88" i="3"/>
  <c r="CK88" i="3"/>
  <c r="CL88" i="3"/>
  <c r="CM88" i="3"/>
  <c r="CN88" i="3"/>
  <c r="CO88" i="3"/>
  <c r="CP88" i="3"/>
  <c r="CQ88" i="3"/>
  <c r="CR88" i="3"/>
  <c r="CS88" i="3"/>
  <c r="CT88" i="3"/>
  <c r="CU88" i="3"/>
  <c r="CV88" i="3"/>
  <c r="CW88" i="3"/>
  <c r="CX88" i="3"/>
  <c r="CY88" i="3"/>
  <c r="CZ88" i="3"/>
  <c r="DA88" i="3"/>
  <c r="DB88" i="3"/>
  <c r="DC88" i="3"/>
  <c r="DD88" i="3"/>
  <c r="DE88" i="3"/>
  <c r="DF88" i="3"/>
  <c r="DG88" i="3"/>
  <c r="DH88" i="3"/>
  <c r="DI88" i="3"/>
  <c r="DJ88" i="3"/>
  <c r="DK88" i="3"/>
  <c r="DL88" i="3"/>
  <c r="DM88" i="3"/>
  <c r="DN88" i="3"/>
  <c r="DO88" i="3"/>
  <c r="DP88" i="3"/>
  <c r="DQ88" i="3"/>
  <c r="DR88" i="3"/>
  <c r="DS88" i="3"/>
  <c r="DT88" i="3"/>
  <c r="DU88" i="3"/>
  <c r="DV88" i="3"/>
  <c r="DW88" i="3"/>
  <c r="DX88" i="3"/>
  <c r="DY88" i="3"/>
  <c r="DZ88" i="3"/>
  <c r="EA88" i="3"/>
  <c r="EB88" i="3"/>
  <c r="EC88" i="3"/>
  <c r="ED88" i="3"/>
  <c r="EE88" i="3"/>
  <c r="EF88" i="3"/>
  <c r="EG88" i="3"/>
  <c r="EH88" i="3"/>
  <c r="EI88" i="3"/>
  <c r="EJ88" i="3"/>
  <c r="EK88" i="3"/>
  <c r="EL88" i="3"/>
  <c r="EM88" i="3"/>
  <c r="EN88" i="3"/>
  <c r="EO88" i="3"/>
  <c r="EP88" i="3"/>
  <c r="EQ88" i="3"/>
  <c r="ER88" i="3"/>
  <c r="ES88" i="3"/>
  <c r="ET88" i="3"/>
  <c r="EU88" i="3"/>
  <c r="EV88" i="3"/>
  <c r="EW88" i="3"/>
  <c r="EX88" i="3"/>
  <c r="EY88" i="3"/>
  <c r="EZ88" i="3"/>
  <c r="FA88" i="3"/>
  <c r="FB88" i="3"/>
  <c r="FC88" i="3"/>
  <c r="FD88" i="3"/>
  <c r="FE88" i="3"/>
  <c r="FF88" i="3"/>
  <c r="FG88" i="3"/>
  <c r="FH88" i="3"/>
  <c r="FI88" i="3"/>
  <c r="FJ88" i="3"/>
  <c r="FK88" i="3"/>
  <c r="FL88" i="3"/>
  <c r="FM88" i="3"/>
  <c r="FN88" i="3"/>
  <c r="FO88" i="3"/>
  <c r="FP88" i="3"/>
  <c r="FQ88" i="3"/>
  <c r="FR88" i="3"/>
  <c r="FS88" i="3"/>
  <c r="FT88" i="3"/>
  <c r="FU88" i="3"/>
  <c r="FV88" i="3"/>
  <c r="FW88" i="3"/>
  <c r="FX88" i="3"/>
  <c r="FY88" i="3"/>
  <c r="FZ88" i="3"/>
  <c r="GA88" i="3"/>
  <c r="GB88" i="3"/>
  <c r="GC88" i="3"/>
  <c r="GD88" i="3"/>
  <c r="GE88" i="3"/>
  <c r="GF88" i="3"/>
  <c r="GG88" i="3"/>
  <c r="GH88" i="3"/>
  <c r="GI88" i="3"/>
  <c r="GJ88" i="3"/>
  <c r="GK88" i="3"/>
  <c r="GL88" i="3"/>
  <c r="GM88" i="3"/>
  <c r="GN88" i="3"/>
  <c r="GO88" i="3"/>
  <c r="GP88" i="3"/>
  <c r="GQ88" i="3"/>
  <c r="GR88" i="3"/>
  <c r="GS88" i="3"/>
  <c r="GT88" i="3"/>
  <c r="GU88" i="3"/>
  <c r="GV88" i="3"/>
  <c r="GW88" i="3"/>
  <c r="GX88" i="3"/>
  <c r="GY88" i="3"/>
  <c r="GZ88" i="3"/>
  <c r="HA88" i="3"/>
  <c r="HB88" i="3"/>
  <c r="HC88" i="3"/>
  <c r="HD88" i="3"/>
  <c r="HE88" i="3"/>
  <c r="HF88" i="3"/>
  <c r="HG88" i="3"/>
  <c r="HH88" i="3"/>
  <c r="HI88" i="3"/>
  <c r="HJ88" i="3"/>
  <c r="HK88" i="3"/>
  <c r="HL88" i="3"/>
  <c r="HM88" i="3"/>
  <c r="HN88" i="3"/>
  <c r="HO88" i="3"/>
  <c r="HP88" i="3"/>
  <c r="HQ88" i="3"/>
  <c r="HR88" i="3"/>
  <c r="HS88" i="3"/>
  <c r="HT88" i="3"/>
  <c r="HU88" i="3"/>
  <c r="HV88" i="3"/>
  <c r="HW88" i="3"/>
  <c r="HX88" i="3"/>
  <c r="HY88" i="3"/>
  <c r="HZ88" i="3"/>
  <c r="IA88" i="3"/>
  <c r="IB88" i="3"/>
  <c r="IC88" i="3"/>
  <c r="ID88" i="3"/>
  <c r="IE88" i="3"/>
  <c r="IF88" i="3"/>
  <c r="IG88" i="3"/>
  <c r="IH88" i="3"/>
  <c r="II88" i="3"/>
  <c r="IJ88" i="3"/>
  <c r="IK88" i="3"/>
  <c r="IL88" i="3"/>
  <c r="IM88" i="3"/>
  <c r="IN88" i="3"/>
  <c r="IO88" i="3"/>
  <c r="IP88" i="3"/>
  <c r="IQ88" i="3"/>
  <c r="IR88" i="3"/>
  <c r="IS88" i="3"/>
  <c r="IT88" i="3"/>
  <c r="IU88" i="3"/>
  <c r="IV88" i="3"/>
  <c r="A87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U87" i="3"/>
  <c r="AV87" i="3"/>
  <c r="AW87" i="3"/>
  <c r="AX87" i="3"/>
  <c r="AY87" i="3"/>
  <c r="AZ87" i="3"/>
  <c r="BA87" i="3"/>
  <c r="BB87" i="3"/>
  <c r="BC87" i="3"/>
  <c r="BD87" i="3"/>
  <c r="BE87" i="3"/>
  <c r="BF87" i="3"/>
  <c r="BG87" i="3"/>
  <c r="BH87" i="3"/>
  <c r="BI87" i="3"/>
  <c r="BJ87" i="3"/>
  <c r="BK87" i="3"/>
  <c r="BL87" i="3"/>
  <c r="BM87" i="3"/>
  <c r="BN87" i="3"/>
  <c r="BO87" i="3"/>
  <c r="BP87" i="3"/>
  <c r="BQ87" i="3"/>
  <c r="BR87" i="3"/>
  <c r="BS87" i="3"/>
  <c r="BT87" i="3"/>
  <c r="BU87" i="3"/>
  <c r="BV87" i="3"/>
  <c r="BW87" i="3"/>
  <c r="BX87" i="3"/>
  <c r="BY87" i="3"/>
  <c r="BZ87" i="3"/>
  <c r="CA87" i="3"/>
  <c r="CB87" i="3"/>
  <c r="CC87" i="3"/>
  <c r="CD87" i="3"/>
  <c r="CE87" i="3"/>
  <c r="CF87" i="3"/>
  <c r="CG87" i="3"/>
  <c r="CH87" i="3"/>
  <c r="CI87" i="3"/>
  <c r="CJ87" i="3"/>
  <c r="CK87" i="3"/>
  <c r="CL87" i="3"/>
  <c r="CM87" i="3"/>
  <c r="CN87" i="3"/>
  <c r="CO87" i="3"/>
  <c r="CP87" i="3"/>
  <c r="CQ87" i="3"/>
  <c r="CR87" i="3"/>
  <c r="CS87" i="3"/>
  <c r="CT87" i="3"/>
  <c r="CU87" i="3"/>
  <c r="CV87" i="3"/>
  <c r="CW87" i="3"/>
  <c r="CX87" i="3"/>
  <c r="CY87" i="3"/>
  <c r="CZ87" i="3"/>
  <c r="DA87" i="3"/>
  <c r="DB87" i="3"/>
  <c r="DC87" i="3"/>
  <c r="DD87" i="3"/>
  <c r="DE87" i="3"/>
  <c r="DF87" i="3"/>
  <c r="DG87" i="3"/>
  <c r="DH87" i="3"/>
  <c r="DI87" i="3"/>
  <c r="DJ87" i="3"/>
  <c r="DK87" i="3"/>
  <c r="DL87" i="3"/>
  <c r="DM87" i="3"/>
  <c r="DN87" i="3"/>
  <c r="DO87" i="3"/>
  <c r="DP87" i="3"/>
  <c r="DQ87" i="3"/>
  <c r="DR87" i="3"/>
  <c r="DS87" i="3"/>
  <c r="DT87" i="3"/>
  <c r="DU87" i="3"/>
  <c r="DV87" i="3"/>
  <c r="DW87" i="3"/>
  <c r="DX87" i="3"/>
  <c r="DY87" i="3"/>
  <c r="DZ87" i="3"/>
  <c r="EA87" i="3"/>
  <c r="EB87" i="3"/>
  <c r="EC87" i="3"/>
  <c r="ED87" i="3"/>
  <c r="EE87" i="3"/>
  <c r="EF87" i="3"/>
  <c r="EG87" i="3"/>
  <c r="EH87" i="3"/>
  <c r="EI87" i="3"/>
  <c r="EJ87" i="3"/>
  <c r="EK87" i="3"/>
  <c r="EL87" i="3"/>
  <c r="EM87" i="3"/>
  <c r="EN87" i="3"/>
  <c r="EO87" i="3"/>
  <c r="EP87" i="3"/>
  <c r="EQ87" i="3"/>
  <c r="ER87" i="3"/>
  <c r="ES87" i="3"/>
  <c r="ET87" i="3"/>
  <c r="EU87" i="3"/>
  <c r="EV87" i="3"/>
  <c r="EW87" i="3"/>
  <c r="EX87" i="3"/>
  <c r="EY87" i="3"/>
  <c r="EZ87" i="3"/>
  <c r="FA87" i="3"/>
  <c r="FB87" i="3"/>
  <c r="FC87" i="3"/>
  <c r="FD87" i="3"/>
  <c r="FE87" i="3"/>
  <c r="FF87" i="3"/>
  <c r="FG87" i="3"/>
  <c r="FH87" i="3"/>
  <c r="FI87" i="3"/>
  <c r="FJ87" i="3"/>
  <c r="FK87" i="3"/>
  <c r="FL87" i="3"/>
  <c r="FM87" i="3"/>
  <c r="FN87" i="3"/>
  <c r="FO87" i="3"/>
  <c r="FP87" i="3"/>
  <c r="FQ87" i="3"/>
  <c r="FR87" i="3"/>
  <c r="FS87" i="3"/>
  <c r="FT87" i="3"/>
  <c r="FU87" i="3"/>
  <c r="FV87" i="3"/>
  <c r="FW87" i="3"/>
  <c r="FX87" i="3"/>
  <c r="FY87" i="3"/>
  <c r="FZ87" i="3"/>
  <c r="GA87" i="3"/>
  <c r="GB87" i="3"/>
  <c r="GC87" i="3"/>
  <c r="GD87" i="3"/>
  <c r="GE87" i="3"/>
  <c r="GF87" i="3"/>
  <c r="GG87" i="3"/>
  <c r="GH87" i="3"/>
  <c r="GI87" i="3"/>
  <c r="GJ87" i="3"/>
  <c r="GK87" i="3"/>
  <c r="GL87" i="3"/>
  <c r="GM87" i="3"/>
  <c r="GN87" i="3"/>
  <c r="GO87" i="3"/>
  <c r="GP87" i="3"/>
  <c r="GQ87" i="3"/>
  <c r="GR87" i="3"/>
  <c r="GS87" i="3"/>
  <c r="GT87" i="3"/>
  <c r="GU87" i="3"/>
  <c r="GV87" i="3"/>
  <c r="GW87" i="3"/>
  <c r="GX87" i="3"/>
  <c r="GY87" i="3"/>
  <c r="GZ87" i="3"/>
  <c r="HA87" i="3"/>
  <c r="HB87" i="3"/>
  <c r="HC87" i="3"/>
  <c r="HD87" i="3"/>
  <c r="HE87" i="3"/>
  <c r="HF87" i="3"/>
  <c r="HG87" i="3"/>
  <c r="HH87" i="3"/>
  <c r="HI87" i="3"/>
  <c r="HJ87" i="3"/>
  <c r="HK87" i="3"/>
  <c r="HL87" i="3"/>
  <c r="HM87" i="3"/>
  <c r="HN87" i="3"/>
  <c r="HO87" i="3"/>
  <c r="HP87" i="3"/>
  <c r="HQ87" i="3"/>
  <c r="HR87" i="3"/>
  <c r="HS87" i="3"/>
  <c r="HT87" i="3"/>
  <c r="HU87" i="3"/>
  <c r="HV87" i="3"/>
  <c r="HW87" i="3"/>
  <c r="HX87" i="3"/>
  <c r="HY87" i="3"/>
  <c r="HZ87" i="3"/>
  <c r="IA87" i="3"/>
  <c r="IB87" i="3"/>
  <c r="IC87" i="3"/>
  <c r="ID87" i="3"/>
  <c r="IE87" i="3"/>
  <c r="IF87" i="3"/>
  <c r="IG87" i="3"/>
  <c r="IH87" i="3"/>
  <c r="II87" i="3"/>
  <c r="IJ87" i="3"/>
  <c r="IK87" i="3"/>
  <c r="IL87" i="3"/>
  <c r="IM87" i="3"/>
  <c r="IN87" i="3"/>
  <c r="IO87" i="3"/>
  <c r="IP87" i="3"/>
  <c r="IQ87" i="3"/>
  <c r="IR87" i="3"/>
  <c r="IS87" i="3"/>
  <c r="IT87" i="3"/>
  <c r="IU87" i="3"/>
  <c r="IV87" i="3"/>
  <c r="A86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U86" i="3"/>
  <c r="AV86" i="3"/>
  <c r="AW86" i="3"/>
  <c r="AX86" i="3"/>
  <c r="AY86" i="3"/>
  <c r="AZ86" i="3"/>
  <c r="BA86" i="3"/>
  <c r="BB86" i="3"/>
  <c r="BC86" i="3"/>
  <c r="BD86" i="3"/>
  <c r="BE86" i="3"/>
  <c r="BF86" i="3"/>
  <c r="BG86" i="3"/>
  <c r="BH86" i="3"/>
  <c r="BI86" i="3"/>
  <c r="BJ86" i="3"/>
  <c r="BK86" i="3"/>
  <c r="BL86" i="3"/>
  <c r="BM86" i="3"/>
  <c r="BN86" i="3"/>
  <c r="BO86" i="3"/>
  <c r="BP86" i="3"/>
  <c r="BQ86" i="3"/>
  <c r="BR86" i="3"/>
  <c r="BS86" i="3"/>
  <c r="BT86" i="3"/>
  <c r="BU86" i="3"/>
  <c r="BV86" i="3"/>
  <c r="BW86" i="3"/>
  <c r="BX86" i="3"/>
  <c r="BY86" i="3"/>
  <c r="BZ86" i="3"/>
  <c r="CA86" i="3"/>
  <c r="CB86" i="3"/>
  <c r="CC86" i="3"/>
  <c r="CD86" i="3"/>
  <c r="CE86" i="3"/>
  <c r="CF86" i="3"/>
  <c r="CG86" i="3"/>
  <c r="CH86" i="3"/>
  <c r="CI86" i="3"/>
  <c r="CJ86" i="3"/>
  <c r="CK86" i="3"/>
  <c r="CL86" i="3"/>
  <c r="CM86" i="3"/>
  <c r="CN86" i="3"/>
  <c r="CO86" i="3"/>
  <c r="CP86" i="3"/>
  <c r="CQ86" i="3"/>
  <c r="CR86" i="3"/>
  <c r="CS86" i="3"/>
  <c r="CT86" i="3"/>
  <c r="CU86" i="3"/>
  <c r="CV86" i="3"/>
  <c r="CW86" i="3"/>
  <c r="CX86" i="3"/>
  <c r="CY86" i="3"/>
  <c r="CZ86" i="3"/>
  <c r="DA86" i="3"/>
  <c r="DB86" i="3"/>
  <c r="DC86" i="3"/>
  <c r="DD86" i="3"/>
  <c r="DE86" i="3"/>
  <c r="DF86" i="3"/>
  <c r="DG86" i="3"/>
  <c r="DH86" i="3"/>
  <c r="DI86" i="3"/>
  <c r="DJ86" i="3"/>
  <c r="DK86" i="3"/>
  <c r="DL86" i="3"/>
  <c r="DM86" i="3"/>
  <c r="DN86" i="3"/>
  <c r="DO86" i="3"/>
  <c r="DP86" i="3"/>
  <c r="DQ86" i="3"/>
  <c r="DR86" i="3"/>
  <c r="DS86" i="3"/>
  <c r="DT86" i="3"/>
  <c r="DU86" i="3"/>
  <c r="DV86" i="3"/>
  <c r="DW86" i="3"/>
  <c r="DX86" i="3"/>
  <c r="DY86" i="3"/>
  <c r="DZ86" i="3"/>
  <c r="EA86" i="3"/>
  <c r="EB86" i="3"/>
  <c r="EC86" i="3"/>
  <c r="ED86" i="3"/>
  <c r="EE86" i="3"/>
  <c r="EF86" i="3"/>
  <c r="EG86" i="3"/>
  <c r="EH86" i="3"/>
  <c r="EI86" i="3"/>
  <c r="EJ86" i="3"/>
  <c r="EK86" i="3"/>
  <c r="EL86" i="3"/>
  <c r="EM86" i="3"/>
  <c r="EN86" i="3"/>
  <c r="EO86" i="3"/>
  <c r="EP86" i="3"/>
  <c r="EQ86" i="3"/>
  <c r="ER86" i="3"/>
  <c r="ES86" i="3"/>
  <c r="ET86" i="3"/>
  <c r="EU86" i="3"/>
  <c r="EV86" i="3"/>
  <c r="EW86" i="3"/>
  <c r="EX86" i="3"/>
  <c r="EY86" i="3"/>
  <c r="EZ86" i="3"/>
  <c r="FA86" i="3"/>
  <c r="FB86" i="3"/>
  <c r="FC86" i="3"/>
  <c r="FD86" i="3"/>
  <c r="FE86" i="3"/>
  <c r="FF86" i="3"/>
  <c r="FG86" i="3"/>
  <c r="FH86" i="3"/>
  <c r="FI86" i="3"/>
  <c r="FJ86" i="3"/>
  <c r="FK86" i="3"/>
  <c r="FL86" i="3"/>
  <c r="FM86" i="3"/>
  <c r="FN86" i="3"/>
  <c r="FO86" i="3"/>
  <c r="FP86" i="3"/>
  <c r="FQ86" i="3"/>
  <c r="FR86" i="3"/>
  <c r="FS86" i="3"/>
  <c r="FT86" i="3"/>
  <c r="FU86" i="3"/>
  <c r="FV86" i="3"/>
  <c r="FW86" i="3"/>
  <c r="FX86" i="3"/>
  <c r="FY86" i="3"/>
  <c r="FZ86" i="3"/>
  <c r="GA86" i="3"/>
  <c r="GB86" i="3"/>
  <c r="GC86" i="3"/>
  <c r="GD86" i="3"/>
  <c r="GE86" i="3"/>
  <c r="GF86" i="3"/>
  <c r="GG86" i="3"/>
  <c r="GH86" i="3"/>
  <c r="GI86" i="3"/>
  <c r="GJ86" i="3"/>
  <c r="GK86" i="3"/>
  <c r="GL86" i="3"/>
  <c r="GM86" i="3"/>
  <c r="GN86" i="3"/>
  <c r="GO86" i="3"/>
  <c r="GP86" i="3"/>
  <c r="GQ86" i="3"/>
  <c r="GR86" i="3"/>
  <c r="GS86" i="3"/>
  <c r="GT86" i="3"/>
  <c r="GU86" i="3"/>
  <c r="GV86" i="3"/>
  <c r="GW86" i="3"/>
  <c r="GX86" i="3"/>
  <c r="GY86" i="3"/>
  <c r="GZ86" i="3"/>
  <c r="HA86" i="3"/>
  <c r="HB86" i="3"/>
  <c r="HC86" i="3"/>
  <c r="HD86" i="3"/>
  <c r="HE86" i="3"/>
  <c r="HF86" i="3"/>
  <c r="HG86" i="3"/>
  <c r="HH86" i="3"/>
  <c r="HI86" i="3"/>
  <c r="HJ86" i="3"/>
  <c r="HK86" i="3"/>
  <c r="HL86" i="3"/>
  <c r="HM86" i="3"/>
  <c r="HN86" i="3"/>
  <c r="HO86" i="3"/>
  <c r="HP86" i="3"/>
  <c r="HQ86" i="3"/>
  <c r="HR86" i="3"/>
  <c r="HS86" i="3"/>
  <c r="HT86" i="3"/>
  <c r="HU86" i="3"/>
  <c r="HV86" i="3"/>
  <c r="HW86" i="3"/>
  <c r="HX86" i="3"/>
  <c r="HY86" i="3"/>
  <c r="HZ86" i="3"/>
  <c r="IA86" i="3"/>
  <c r="IB86" i="3"/>
  <c r="IC86" i="3"/>
  <c r="ID86" i="3"/>
  <c r="IE86" i="3"/>
  <c r="IF86" i="3"/>
  <c r="IG86" i="3"/>
  <c r="IH86" i="3"/>
  <c r="II86" i="3"/>
  <c r="IJ86" i="3"/>
  <c r="IK86" i="3"/>
  <c r="IL86" i="3"/>
  <c r="IM86" i="3"/>
  <c r="IN86" i="3"/>
  <c r="IO86" i="3"/>
  <c r="IP86" i="3"/>
  <c r="IQ86" i="3"/>
  <c r="IR86" i="3"/>
  <c r="IS86" i="3"/>
  <c r="IT86" i="3"/>
  <c r="IU86" i="3"/>
  <c r="IV86" i="3"/>
  <c r="A85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U85" i="3"/>
  <c r="AV85" i="3"/>
  <c r="AW85" i="3"/>
  <c r="AX85" i="3"/>
  <c r="AY85" i="3"/>
  <c r="AZ85" i="3"/>
  <c r="BA85" i="3"/>
  <c r="BB85" i="3"/>
  <c r="BC85" i="3"/>
  <c r="BD85" i="3"/>
  <c r="BE85" i="3"/>
  <c r="BF85" i="3"/>
  <c r="BG85" i="3"/>
  <c r="BH85" i="3"/>
  <c r="BI85" i="3"/>
  <c r="BJ85" i="3"/>
  <c r="BK85" i="3"/>
  <c r="BL85" i="3"/>
  <c r="BM85" i="3"/>
  <c r="BN85" i="3"/>
  <c r="BO85" i="3"/>
  <c r="BP85" i="3"/>
  <c r="BQ85" i="3"/>
  <c r="BR85" i="3"/>
  <c r="BS85" i="3"/>
  <c r="BT85" i="3"/>
  <c r="BU85" i="3"/>
  <c r="BV85" i="3"/>
  <c r="BW85" i="3"/>
  <c r="BX85" i="3"/>
  <c r="BY85" i="3"/>
  <c r="BZ85" i="3"/>
  <c r="CA85" i="3"/>
  <c r="CB85" i="3"/>
  <c r="CC85" i="3"/>
  <c r="CD85" i="3"/>
  <c r="CE85" i="3"/>
  <c r="CF85" i="3"/>
  <c r="CG85" i="3"/>
  <c r="CH85" i="3"/>
  <c r="CI85" i="3"/>
  <c r="CJ85" i="3"/>
  <c r="CK85" i="3"/>
  <c r="CL85" i="3"/>
  <c r="CM85" i="3"/>
  <c r="CN85" i="3"/>
  <c r="CO85" i="3"/>
  <c r="CP85" i="3"/>
  <c r="CQ85" i="3"/>
  <c r="CR85" i="3"/>
  <c r="CS85" i="3"/>
  <c r="CT85" i="3"/>
  <c r="CU85" i="3"/>
  <c r="CV85" i="3"/>
  <c r="CW85" i="3"/>
  <c r="CX85" i="3"/>
  <c r="CY85" i="3"/>
  <c r="CZ85" i="3"/>
  <c r="DA85" i="3"/>
  <c r="DB85" i="3"/>
  <c r="DC85" i="3"/>
  <c r="DD85" i="3"/>
  <c r="DE85" i="3"/>
  <c r="DF85" i="3"/>
  <c r="DG85" i="3"/>
  <c r="DH85" i="3"/>
  <c r="DI85" i="3"/>
  <c r="DJ85" i="3"/>
  <c r="DK85" i="3"/>
  <c r="DL85" i="3"/>
  <c r="DM85" i="3"/>
  <c r="DN85" i="3"/>
  <c r="DO85" i="3"/>
  <c r="DP85" i="3"/>
  <c r="DQ85" i="3"/>
  <c r="DR85" i="3"/>
  <c r="DS85" i="3"/>
  <c r="DT85" i="3"/>
  <c r="DU85" i="3"/>
  <c r="DV85" i="3"/>
  <c r="DW85" i="3"/>
  <c r="DX85" i="3"/>
  <c r="DY85" i="3"/>
  <c r="DZ85" i="3"/>
  <c r="EA85" i="3"/>
  <c r="EB85" i="3"/>
  <c r="EC85" i="3"/>
  <c r="ED85" i="3"/>
  <c r="EE85" i="3"/>
  <c r="EF85" i="3"/>
  <c r="EG85" i="3"/>
  <c r="EH85" i="3"/>
  <c r="EI85" i="3"/>
  <c r="EJ85" i="3"/>
  <c r="EK85" i="3"/>
  <c r="EL85" i="3"/>
  <c r="EM85" i="3"/>
  <c r="EN85" i="3"/>
  <c r="EO85" i="3"/>
  <c r="EP85" i="3"/>
  <c r="EQ85" i="3"/>
  <c r="ER85" i="3"/>
  <c r="ES85" i="3"/>
  <c r="ET85" i="3"/>
  <c r="EU85" i="3"/>
  <c r="EV85" i="3"/>
  <c r="EW85" i="3"/>
  <c r="EX85" i="3"/>
  <c r="EY85" i="3"/>
  <c r="EZ85" i="3"/>
  <c r="FA85" i="3"/>
  <c r="FB85" i="3"/>
  <c r="FC85" i="3"/>
  <c r="FD85" i="3"/>
  <c r="FE85" i="3"/>
  <c r="FF85" i="3"/>
  <c r="FG85" i="3"/>
  <c r="FH85" i="3"/>
  <c r="FI85" i="3"/>
  <c r="FJ85" i="3"/>
  <c r="FK85" i="3"/>
  <c r="FL85" i="3"/>
  <c r="FM85" i="3"/>
  <c r="FN85" i="3"/>
  <c r="FO85" i="3"/>
  <c r="FP85" i="3"/>
  <c r="FQ85" i="3"/>
  <c r="FR85" i="3"/>
  <c r="FS85" i="3"/>
  <c r="FT85" i="3"/>
  <c r="FU85" i="3"/>
  <c r="FV85" i="3"/>
  <c r="FW85" i="3"/>
  <c r="FX85" i="3"/>
  <c r="FY85" i="3"/>
  <c r="FZ85" i="3"/>
  <c r="GA85" i="3"/>
  <c r="GB85" i="3"/>
  <c r="GC85" i="3"/>
  <c r="GD85" i="3"/>
  <c r="GE85" i="3"/>
  <c r="GF85" i="3"/>
  <c r="GG85" i="3"/>
  <c r="GH85" i="3"/>
  <c r="GI85" i="3"/>
  <c r="GJ85" i="3"/>
  <c r="GK85" i="3"/>
  <c r="GL85" i="3"/>
  <c r="GM85" i="3"/>
  <c r="GN85" i="3"/>
  <c r="GO85" i="3"/>
  <c r="GP85" i="3"/>
  <c r="GQ85" i="3"/>
  <c r="GR85" i="3"/>
  <c r="GS85" i="3"/>
  <c r="GT85" i="3"/>
  <c r="GU85" i="3"/>
  <c r="GV85" i="3"/>
  <c r="GW85" i="3"/>
  <c r="GX85" i="3"/>
  <c r="GY85" i="3"/>
  <c r="GZ85" i="3"/>
  <c r="HA85" i="3"/>
  <c r="HB85" i="3"/>
  <c r="HC85" i="3"/>
  <c r="HD85" i="3"/>
  <c r="HE85" i="3"/>
  <c r="HF85" i="3"/>
  <c r="HG85" i="3"/>
  <c r="HH85" i="3"/>
  <c r="HI85" i="3"/>
  <c r="HJ85" i="3"/>
  <c r="HK85" i="3"/>
  <c r="HL85" i="3"/>
  <c r="HM85" i="3"/>
  <c r="HN85" i="3"/>
  <c r="HO85" i="3"/>
  <c r="HP85" i="3"/>
  <c r="HQ85" i="3"/>
  <c r="HR85" i="3"/>
  <c r="HS85" i="3"/>
  <c r="HT85" i="3"/>
  <c r="HU85" i="3"/>
  <c r="HV85" i="3"/>
  <c r="HW85" i="3"/>
  <c r="HX85" i="3"/>
  <c r="HY85" i="3"/>
  <c r="HZ85" i="3"/>
  <c r="IA85" i="3"/>
  <c r="IB85" i="3"/>
  <c r="IC85" i="3"/>
  <c r="ID85" i="3"/>
  <c r="IE85" i="3"/>
  <c r="IF85" i="3"/>
  <c r="IG85" i="3"/>
  <c r="IH85" i="3"/>
  <c r="II85" i="3"/>
  <c r="IJ85" i="3"/>
  <c r="IK85" i="3"/>
  <c r="IL85" i="3"/>
  <c r="IM85" i="3"/>
  <c r="IN85" i="3"/>
  <c r="IO85" i="3"/>
  <c r="IP85" i="3"/>
  <c r="IQ85" i="3"/>
  <c r="IR85" i="3"/>
  <c r="IS85" i="3"/>
  <c r="IT85" i="3"/>
  <c r="IU85" i="3"/>
  <c r="IV85" i="3"/>
  <c r="A84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U84" i="3"/>
  <c r="AV84" i="3"/>
  <c r="AW84" i="3"/>
  <c r="AX84" i="3"/>
  <c r="AY84" i="3"/>
  <c r="AZ84" i="3"/>
  <c r="BA84" i="3"/>
  <c r="BB84" i="3"/>
  <c r="BC84" i="3"/>
  <c r="BD84" i="3"/>
  <c r="BE84" i="3"/>
  <c r="BF84" i="3"/>
  <c r="BG84" i="3"/>
  <c r="BH84" i="3"/>
  <c r="BI84" i="3"/>
  <c r="BJ84" i="3"/>
  <c r="BK84" i="3"/>
  <c r="BL84" i="3"/>
  <c r="BM84" i="3"/>
  <c r="BN84" i="3"/>
  <c r="BO84" i="3"/>
  <c r="BP84" i="3"/>
  <c r="BQ84" i="3"/>
  <c r="BR84" i="3"/>
  <c r="BS84" i="3"/>
  <c r="BT84" i="3"/>
  <c r="BU84" i="3"/>
  <c r="BV84" i="3"/>
  <c r="BW84" i="3"/>
  <c r="BX84" i="3"/>
  <c r="BY84" i="3"/>
  <c r="BZ84" i="3"/>
  <c r="CA84" i="3"/>
  <c r="CB84" i="3"/>
  <c r="CC84" i="3"/>
  <c r="CD84" i="3"/>
  <c r="CE84" i="3"/>
  <c r="CF84" i="3"/>
  <c r="CG84" i="3"/>
  <c r="CH84" i="3"/>
  <c r="CI84" i="3"/>
  <c r="CJ84" i="3"/>
  <c r="CK84" i="3"/>
  <c r="CL84" i="3"/>
  <c r="CM84" i="3"/>
  <c r="CN84" i="3"/>
  <c r="CO84" i="3"/>
  <c r="CP84" i="3"/>
  <c r="CQ84" i="3"/>
  <c r="CR84" i="3"/>
  <c r="CS84" i="3"/>
  <c r="CT84" i="3"/>
  <c r="CU84" i="3"/>
  <c r="CV84" i="3"/>
  <c r="CW84" i="3"/>
  <c r="CX84" i="3"/>
  <c r="CY84" i="3"/>
  <c r="CZ84" i="3"/>
  <c r="DA84" i="3"/>
  <c r="DB84" i="3"/>
  <c r="DC84" i="3"/>
  <c r="DD84" i="3"/>
  <c r="DE84" i="3"/>
  <c r="DF84" i="3"/>
  <c r="DG84" i="3"/>
  <c r="DH84" i="3"/>
  <c r="DI84" i="3"/>
  <c r="DJ84" i="3"/>
  <c r="DK84" i="3"/>
  <c r="DL84" i="3"/>
  <c r="DM84" i="3"/>
  <c r="DN84" i="3"/>
  <c r="DO84" i="3"/>
  <c r="DP84" i="3"/>
  <c r="DQ84" i="3"/>
  <c r="DR84" i="3"/>
  <c r="DS84" i="3"/>
  <c r="DT84" i="3"/>
  <c r="DU84" i="3"/>
  <c r="DV84" i="3"/>
  <c r="DW84" i="3"/>
  <c r="DX84" i="3"/>
  <c r="DY84" i="3"/>
  <c r="DZ84" i="3"/>
  <c r="EA84" i="3"/>
  <c r="EB84" i="3"/>
  <c r="EC84" i="3"/>
  <c r="ED84" i="3"/>
  <c r="EE84" i="3"/>
  <c r="EF84" i="3"/>
  <c r="EG84" i="3"/>
  <c r="EH84" i="3"/>
  <c r="EI84" i="3"/>
  <c r="EJ84" i="3"/>
  <c r="EK84" i="3"/>
  <c r="EL84" i="3"/>
  <c r="EM84" i="3"/>
  <c r="EN84" i="3"/>
  <c r="EO84" i="3"/>
  <c r="EP84" i="3"/>
  <c r="EQ84" i="3"/>
  <c r="ER84" i="3"/>
  <c r="ES84" i="3"/>
  <c r="ET84" i="3"/>
  <c r="EU84" i="3"/>
  <c r="EV84" i="3"/>
  <c r="EW84" i="3"/>
  <c r="EX84" i="3"/>
  <c r="EY84" i="3"/>
  <c r="EZ84" i="3"/>
  <c r="FA84" i="3"/>
  <c r="FB84" i="3"/>
  <c r="FC84" i="3"/>
  <c r="FD84" i="3"/>
  <c r="FE84" i="3"/>
  <c r="FF84" i="3"/>
  <c r="FG84" i="3"/>
  <c r="FH84" i="3"/>
  <c r="FI84" i="3"/>
  <c r="FJ84" i="3"/>
  <c r="FK84" i="3"/>
  <c r="FL84" i="3"/>
  <c r="FM84" i="3"/>
  <c r="FN84" i="3"/>
  <c r="FO84" i="3"/>
  <c r="FP84" i="3"/>
  <c r="FQ84" i="3"/>
  <c r="FR84" i="3"/>
  <c r="FS84" i="3"/>
  <c r="FT84" i="3"/>
  <c r="FU84" i="3"/>
  <c r="FV84" i="3"/>
  <c r="FW84" i="3"/>
  <c r="FX84" i="3"/>
  <c r="FY84" i="3"/>
  <c r="FZ84" i="3"/>
  <c r="GA84" i="3"/>
  <c r="GB84" i="3"/>
  <c r="GC84" i="3"/>
  <c r="GD84" i="3"/>
  <c r="GE84" i="3"/>
  <c r="GF84" i="3"/>
  <c r="GG84" i="3"/>
  <c r="GH84" i="3"/>
  <c r="GI84" i="3"/>
  <c r="GJ84" i="3"/>
  <c r="GK84" i="3"/>
  <c r="GL84" i="3"/>
  <c r="GM84" i="3"/>
  <c r="GN84" i="3"/>
  <c r="GO84" i="3"/>
  <c r="GP84" i="3"/>
  <c r="GQ84" i="3"/>
  <c r="GR84" i="3"/>
  <c r="GS84" i="3"/>
  <c r="GT84" i="3"/>
  <c r="GU84" i="3"/>
  <c r="GV84" i="3"/>
  <c r="GW84" i="3"/>
  <c r="GX84" i="3"/>
  <c r="GY84" i="3"/>
  <c r="GZ84" i="3"/>
  <c r="HA84" i="3"/>
  <c r="HB84" i="3"/>
  <c r="HC84" i="3"/>
  <c r="HD84" i="3"/>
  <c r="HE84" i="3"/>
  <c r="HF84" i="3"/>
  <c r="HG84" i="3"/>
  <c r="HH84" i="3"/>
  <c r="HI84" i="3"/>
  <c r="HJ84" i="3"/>
  <c r="HK84" i="3"/>
  <c r="HL84" i="3"/>
  <c r="HM84" i="3"/>
  <c r="HN84" i="3"/>
  <c r="HO84" i="3"/>
  <c r="HP84" i="3"/>
  <c r="HQ84" i="3"/>
  <c r="HR84" i="3"/>
  <c r="HS84" i="3"/>
  <c r="HT84" i="3"/>
  <c r="HU84" i="3"/>
  <c r="HV84" i="3"/>
  <c r="HW84" i="3"/>
  <c r="HX84" i="3"/>
  <c r="HY84" i="3"/>
  <c r="HZ84" i="3"/>
  <c r="IA84" i="3"/>
  <c r="IB84" i="3"/>
  <c r="IC84" i="3"/>
  <c r="ID84" i="3"/>
  <c r="IE84" i="3"/>
  <c r="IF84" i="3"/>
  <c r="IG84" i="3"/>
  <c r="IH84" i="3"/>
  <c r="II84" i="3"/>
  <c r="IJ84" i="3"/>
  <c r="IK84" i="3"/>
  <c r="IL84" i="3"/>
  <c r="IM84" i="3"/>
  <c r="IN84" i="3"/>
  <c r="IO84" i="3"/>
  <c r="IP84" i="3"/>
  <c r="IQ84" i="3"/>
  <c r="IR84" i="3"/>
  <c r="IS84" i="3"/>
  <c r="IT84" i="3"/>
  <c r="IU84" i="3"/>
  <c r="IV84" i="3"/>
  <c r="A83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V83" i="3"/>
  <c r="AW83" i="3"/>
  <c r="AX83" i="3"/>
  <c r="AY83" i="3"/>
  <c r="AZ83" i="3"/>
  <c r="BA83" i="3"/>
  <c r="BB83" i="3"/>
  <c r="BC83" i="3"/>
  <c r="BD83" i="3"/>
  <c r="BE83" i="3"/>
  <c r="BF83" i="3"/>
  <c r="BG83" i="3"/>
  <c r="BH83" i="3"/>
  <c r="BI83" i="3"/>
  <c r="BJ83" i="3"/>
  <c r="BK83" i="3"/>
  <c r="BL83" i="3"/>
  <c r="BM83" i="3"/>
  <c r="BN83" i="3"/>
  <c r="BO83" i="3"/>
  <c r="BP83" i="3"/>
  <c r="BQ83" i="3"/>
  <c r="BR83" i="3"/>
  <c r="BS83" i="3"/>
  <c r="BT83" i="3"/>
  <c r="BU83" i="3"/>
  <c r="BV83" i="3"/>
  <c r="BW83" i="3"/>
  <c r="BX83" i="3"/>
  <c r="BY83" i="3"/>
  <c r="BZ83" i="3"/>
  <c r="CA83" i="3"/>
  <c r="CB83" i="3"/>
  <c r="CC83" i="3"/>
  <c r="CD83" i="3"/>
  <c r="CE83" i="3"/>
  <c r="CF83" i="3"/>
  <c r="CG83" i="3"/>
  <c r="CH83" i="3"/>
  <c r="CI83" i="3"/>
  <c r="CJ83" i="3"/>
  <c r="CK83" i="3"/>
  <c r="CL83" i="3"/>
  <c r="CM83" i="3"/>
  <c r="CN83" i="3"/>
  <c r="CO83" i="3"/>
  <c r="CP83" i="3"/>
  <c r="CQ83" i="3"/>
  <c r="CR83" i="3"/>
  <c r="CS83" i="3"/>
  <c r="CT83" i="3"/>
  <c r="CU83" i="3"/>
  <c r="CV83" i="3"/>
  <c r="CW83" i="3"/>
  <c r="CX83" i="3"/>
  <c r="CY83" i="3"/>
  <c r="CZ83" i="3"/>
  <c r="DA83" i="3"/>
  <c r="DB83" i="3"/>
  <c r="DC83" i="3"/>
  <c r="DD83" i="3"/>
  <c r="DE83" i="3"/>
  <c r="DF83" i="3"/>
  <c r="DG83" i="3"/>
  <c r="DH83" i="3"/>
  <c r="DI83" i="3"/>
  <c r="DJ83" i="3"/>
  <c r="DK83" i="3"/>
  <c r="DL83" i="3"/>
  <c r="DM83" i="3"/>
  <c r="DN83" i="3"/>
  <c r="DO83" i="3"/>
  <c r="DP83" i="3"/>
  <c r="DQ83" i="3"/>
  <c r="DR83" i="3"/>
  <c r="DS83" i="3"/>
  <c r="DT83" i="3"/>
  <c r="DU83" i="3"/>
  <c r="DV83" i="3"/>
  <c r="DW83" i="3"/>
  <c r="DX83" i="3"/>
  <c r="DY83" i="3"/>
  <c r="DZ83" i="3"/>
  <c r="EA83" i="3"/>
  <c r="EB83" i="3"/>
  <c r="EC83" i="3"/>
  <c r="ED83" i="3"/>
  <c r="EE83" i="3"/>
  <c r="EF83" i="3"/>
  <c r="EG83" i="3"/>
  <c r="EH83" i="3"/>
  <c r="EI83" i="3"/>
  <c r="EJ83" i="3"/>
  <c r="EK83" i="3"/>
  <c r="EL83" i="3"/>
  <c r="EM83" i="3"/>
  <c r="EN83" i="3"/>
  <c r="EO83" i="3"/>
  <c r="EP83" i="3"/>
  <c r="EQ83" i="3"/>
  <c r="ER83" i="3"/>
  <c r="ES83" i="3"/>
  <c r="ET83" i="3"/>
  <c r="EU83" i="3"/>
  <c r="EV83" i="3"/>
  <c r="EW83" i="3"/>
  <c r="EX83" i="3"/>
  <c r="EY83" i="3"/>
  <c r="EZ83" i="3"/>
  <c r="FA83" i="3"/>
  <c r="FB83" i="3"/>
  <c r="FC83" i="3"/>
  <c r="FD83" i="3"/>
  <c r="FE83" i="3"/>
  <c r="FF83" i="3"/>
  <c r="FG83" i="3"/>
  <c r="FH83" i="3"/>
  <c r="FI83" i="3"/>
  <c r="FJ83" i="3"/>
  <c r="FK83" i="3"/>
  <c r="FL83" i="3"/>
  <c r="FM83" i="3"/>
  <c r="FN83" i="3"/>
  <c r="FO83" i="3"/>
  <c r="FP83" i="3"/>
  <c r="FQ83" i="3"/>
  <c r="FR83" i="3"/>
  <c r="FS83" i="3"/>
  <c r="FT83" i="3"/>
  <c r="FU83" i="3"/>
  <c r="FV83" i="3"/>
  <c r="FW83" i="3"/>
  <c r="FX83" i="3"/>
  <c r="FY83" i="3"/>
  <c r="FZ83" i="3"/>
  <c r="GA83" i="3"/>
  <c r="GB83" i="3"/>
  <c r="GC83" i="3"/>
  <c r="GD83" i="3"/>
  <c r="GE83" i="3"/>
  <c r="GF83" i="3"/>
  <c r="GG83" i="3"/>
  <c r="GH83" i="3"/>
  <c r="GI83" i="3"/>
  <c r="GJ83" i="3"/>
  <c r="GK83" i="3"/>
  <c r="GL83" i="3"/>
  <c r="GM83" i="3"/>
  <c r="GN83" i="3"/>
  <c r="GO83" i="3"/>
  <c r="GP83" i="3"/>
  <c r="GQ83" i="3"/>
  <c r="GR83" i="3"/>
  <c r="GS83" i="3"/>
  <c r="GT83" i="3"/>
  <c r="GU83" i="3"/>
  <c r="GV83" i="3"/>
  <c r="GW83" i="3"/>
  <c r="GX83" i="3"/>
  <c r="GY83" i="3"/>
  <c r="GZ83" i="3"/>
  <c r="HA83" i="3"/>
  <c r="HB83" i="3"/>
  <c r="HC83" i="3"/>
  <c r="HD83" i="3"/>
  <c r="HE83" i="3"/>
  <c r="HF83" i="3"/>
  <c r="HG83" i="3"/>
  <c r="HH83" i="3"/>
  <c r="HI83" i="3"/>
  <c r="HJ83" i="3"/>
  <c r="HK83" i="3"/>
  <c r="HL83" i="3"/>
  <c r="HM83" i="3"/>
  <c r="HN83" i="3"/>
  <c r="HO83" i="3"/>
  <c r="HP83" i="3"/>
  <c r="HQ83" i="3"/>
  <c r="HR83" i="3"/>
  <c r="HS83" i="3"/>
  <c r="HT83" i="3"/>
  <c r="HU83" i="3"/>
  <c r="HV83" i="3"/>
  <c r="HW83" i="3"/>
  <c r="HX83" i="3"/>
  <c r="HY83" i="3"/>
  <c r="HZ83" i="3"/>
  <c r="IA83" i="3"/>
  <c r="IB83" i="3"/>
  <c r="IC83" i="3"/>
  <c r="ID83" i="3"/>
  <c r="IE83" i="3"/>
  <c r="IF83" i="3"/>
  <c r="IG83" i="3"/>
  <c r="IH83" i="3"/>
  <c r="II83" i="3"/>
  <c r="IJ83" i="3"/>
  <c r="IK83" i="3"/>
  <c r="IL83" i="3"/>
  <c r="IM83" i="3"/>
  <c r="IN83" i="3"/>
  <c r="IO83" i="3"/>
  <c r="IP83" i="3"/>
  <c r="IQ83" i="3"/>
  <c r="IR83" i="3"/>
  <c r="IS83" i="3"/>
  <c r="IT83" i="3"/>
  <c r="IU83" i="3"/>
  <c r="IV83" i="3"/>
  <c r="A82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V82" i="3"/>
  <c r="AW82" i="3"/>
  <c r="AX82" i="3"/>
  <c r="AY82" i="3"/>
  <c r="AZ82" i="3"/>
  <c r="BA82" i="3"/>
  <c r="BB82" i="3"/>
  <c r="BC82" i="3"/>
  <c r="BD82" i="3"/>
  <c r="BE82" i="3"/>
  <c r="BF82" i="3"/>
  <c r="BG82" i="3"/>
  <c r="BH82" i="3"/>
  <c r="BI82" i="3"/>
  <c r="BJ82" i="3"/>
  <c r="BK82" i="3"/>
  <c r="BL82" i="3"/>
  <c r="BM82" i="3"/>
  <c r="BN82" i="3"/>
  <c r="BO82" i="3"/>
  <c r="BP82" i="3"/>
  <c r="BQ82" i="3"/>
  <c r="BR82" i="3"/>
  <c r="BS82" i="3"/>
  <c r="BT82" i="3"/>
  <c r="BU82" i="3"/>
  <c r="BV82" i="3"/>
  <c r="BW82" i="3"/>
  <c r="BX82" i="3"/>
  <c r="BY82" i="3"/>
  <c r="BZ82" i="3"/>
  <c r="CA82" i="3"/>
  <c r="CB82" i="3"/>
  <c r="CC82" i="3"/>
  <c r="CD82" i="3"/>
  <c r="CE82" i="3"/>
  <c r="CF82" i="3"/>
  <c r="CG82" i="3"/>
  <c r="CH82" i="3"/>
  <c r="CI82" i="3"/>
  <c r="CJ82" i="3"/>
  <c r="CK82" i="3"/>
  <c r="CL82" i="3"/>
  <c r="CM82" i="3"/>
  <c r="CN82" i="3"/>
  <c r="CO82" i="3"/>
  <c r="CP82" i="3"/>
  <c r="CQ82" i="3"/>
  <c r="CR82" i="3"/>
  <c r="CS82" i="3"/>
  <c r="CT82" i="3"/>
  <c r="CU82" i="3"/>
  <c r="CV82" i="3"/>
  <c r="CW82" i="3"/>
  <c r="CX82" i="3"/>
  <c r="CY82" i="3"/>
  <c r="CZ82" i="3"/>
  <c r="DA82" i="3"/>
  <c r="DB82" i="3"/>
  <c r="DC82" i="3"/>
  <c r="DD82" i="3"/>
  <c r="DE82" i="3"/>
  <c r="DF82" i="3"/>
  <c r="DG82" i="3"/>
  <c r="DH82" i="3"/>
  <c r="DI82" i="3"/>
  <c r="DJ82" i="3"/>
  <c r="DK82" i="3"/>
  <c r="DL82" i="3"/>
  <c r="DM82" i="3"/>
  <c r="DN82" i="3"/>
  <c r="DO82" i="3"/>
  <c r="DP82" i="3"/>
  <c r="DQ82" i="3"/>
  <c r="DR82" i="3"/>
  <c r="DS82" i="3"/>
  <c r="DT82" i="3"/>
  <c r="DU82" i="3"/>
  <c r="DV82" i="3"/>
  <c r="DW82" i="3"/>
  <c r="DX82" i="3"/>
  <c r="DY82" i="3"/>
  <c r="DZ82" i="3"/>
  <c r="EA82" i="3"/>
  <c r="EB82" i="3"/>
  <c r="EC82" i="3"/>
  <c r="ED82" i="3"/>
  <c r="EE82" i="3"/>
  <c r="EF82" i="3"/>
  <c r="EG82" i="3"/>
  <c r="EH82" i="3"/>
  <c r="EI82" i="3"/>
  <c r="EJ82" i="3"/>
  <c r="EK82" i="3"/>
  <c r="EL82" i="3"/>
  <c r="EM82" i="3"/>
  <c r="EN82" i="3"/>
  <c r="EO82" i="3"/>
  <c r="EP82" i="3"/>
  <c r="EQ82" i="3"/>
  <c r="ER82" i="3"/>
  <c r="ES82" i="3"/>
  <c r="ET82" i="3"/>
  <c r="EU82" i="3"/>
  <c r="EV82" i="3"/>
  <c r="EW82" i="3"/>
  <c r="EX82" i="3"/>
  <c r="EY82" i="3"/>
  <c r="EZ82" i="3"/>
  <c r="FA82" i="3"/>
  <c r="FB82" i="3"/>
  <c r="FC82" i="3"/>
  <c r="FD82" i="3"/>
  <c r="FE82" i="3"/>
  <c r="FF82" i="3"/>
  <c r="FG82" i="3"/>
  <c r="FH82" i="3"/>
  <c r="FI82" i="3"/>
  <c r="FJ82" i="3"/>
  <c r="FK82" i="3"/>
  <c r="FL82" i="3"/>
  <c r="FM82" i="3"/>
  <c r="FN82" i="3"/>
  <c r="FO82" i="3"/>
  <c r="FP82" i="3"/>
  <c r="FQ82" i="3"/>
  <c r="FR82" i="3"/>
  <c r="FS82" i="3"/>
  <c r="FT82" i="3"/>
  <c r="FU82" i="3"/>
  <c r="FV82" i="3"/>
  <c r="FW82" i="3"/>
  <c r="FX82" i="3"/>
  <c r="FY82" i="3"/>
  <c r="FZ82" i="3"/>
  <c r="GA82" i="3"/>
  <c r="GB82" i="3"/>
  <c r="GC82" i="3"/>
  <c r="GD82" i="3"/>
  <c r="GE82" i="3"/>
  <c r="GF82" i="3"/>
  <c r="GG82" i="3"/>
  <c r="GH82" i="3"/>
  <c r="GI82" i="3"/>
  <c r="GJ82" i="3"/>
  <c r="GK82" i="3"/>
  <c r="GL82" i="3"/>
  <c r="GM82" i="3"/>
  <c r="GN82" i="3"/>
  <c r="GO82" i="3"/>
  <c r="GP82" i="3"/>
  <c r="GQ82" i="3"/>
  <c r="GR82" i="3"/>
  <c r="GS82" i="3"/>
  <c r="GT82" i="3"/>
  <c r="GU82" i="3"/>
  <c r="GV82" i="3"/>
  <c r="GW82" i="3"/>
  <c r="GX82" i="3"/>
  <c r="GY82" i="3"/>
  <c r="GZ82" i="3"/>
  <c r="HA82" i="3"/>
  <c r="HB82" i="3"/>
  <c r="HC82" i="3"/>
  <c r="HD82" i="3"/>
  <c r="HE82" i="3"/>
  <c r="HF82" i="3"/>
  <c r="HG82" i="3"/>
  <c r="HH82" i="3"/>
  <c r="HI82" i="3"/>
  <c r="HJ82" i="3"/>
  <c r="HK82" i="3"/>
  <c r="HL82" i="3"/>
  <c r="HM82" i="3"/>
  <c r="HN82" i="3"/>
  <c r="HO82" i="3"/>
  <c r="HP82" i="3"/>
  <c r="HQ82" i="3"/>
  <c r="HR82" i="3"/>
  <c r="HS82" i="3"/>
  <c r="HT82" i="3"/>
  <c r="HU82" i="3"/>
  <c r="HV82" i="3"/>
  <c r="HW82" i="3"/>
  <c r="HX82" i="3"/>
  <c r="HY82" i="3"/>
  <c r="HZ82" i="3"/>
  <c r="IA82" i="3"/>
  <c r="IB82" i="3"/>
  <c r="IC82" i="3"/>
  <c r="ID82" i="3"/>
  <c r="IE82" i="3"/>
  <c r="IF82" i="3"/>
  <c r="IG82" i="3"/>
  <c r="IH82" i="3"/>
  <c r="II82" i="3"/>
  <c r="IJ82" i="3"/>
  <c r="IK82" i="3"/>
  <c r="IL82" i="3"/>
  <c r="IM82" i="3"/>
  <c r="IN82" i="3"/>
  <c r="IO82" i="3"/>
  <c r="IP82" i="3"/>
  <c r="IQ82" i="3"/>
  <c r="IR82" i="3"/>
  <c r="IS82" i="3"/>
  <c r="IT82" i="3"/>
  <c r="IU82" i="3"/>
  <c r="IV82" i="3"/>
  <c r="A81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V81" i="3"/>
  <c r="AW81" i="3"/>
  <c r="AX81" i="3"/>
  <c r="AY81" i="3"/>
  <c r="AZ81" i="3"/>
  <c r="BA81" i="3"/>
  <c r="BB81" i="3"/>
  <c r="BC81" i="3"/>
  <c r="BD81" i="3"/>
  <c r="BE81" i="3"/>
  <c r="BF81" i="3"/>
  <c r="BG81" i="3"/>
  <c r="BH81" i="3"/>
  <c r="BI81" i="3"/>
  <c r="BJ81" i="3"/>
  <c r="BK81" i="3"/>
  <c r="BL81" i="3"/>
  <c r="BM81" i="3"/>
  <c r="BN81" i="3"/>
  <c r="BO81" i="3"/>
  <c r="BP81" i="3"/>
  <c r="BQ81" i="3"/>
  <c r="BR81" i="3"/>
  <c r="BS81" i="3"/>
  <c r="BT81" i="3"/>
  <c r="BU81" i="3"/>
  <c r="BV81" i="3"/>
  <c r="BW81" i="3"/>
  <c r="BX81" i="3"/>
  <c r="BY81" i="3"/>
  <c r="BZ81" i="3"/>
  <c r="CA81" i="3"/>
  <c r="CB81" i="3"/>
  <c r="CC81" i="3"/>
  <c r="CD81" i="3"/>
  <c r="CE81" i="3"/>
  <c r="CF81" i="3"/>
  <c r="CG81" i="3"/>
  <c r="CH81" i="3"/>
  <c r="CI81" i="3"/>
  <c r="CJ81" i="3"/>
  <c r="CK81" i="3"/>
  <c r="CL81" i="3"/>
  <c r="CM81" i="3"/>
  <c r="CN81" i="3"/>
  <c r="CO81" i="3"/>
  <c r="CP81" i="3"/>
  <c r="CQ81" i="3"/>
  <c r="CR81" i="3"/>
  <c r="CS81" i="3"/>
  <c r="CT81" i="3"/>
  <c r="CU81" i="3"/>
  <c r="CV81" i="3"/>
  <c r="CW81" i="3"/>
  <c r="CX81" i="3"/>
  <c r="CY81" i="3"/>
  <c r="CZ81" i="3"/>
  <c r="DA81" i="3"/>
  <c r="DB81" i="3"/>
  <c r="DC81" i="3"/>
  <c r="DD81" i="3"/>
  <c r="DE81" i="3"/>
  <c r="DF81" i="3"/>
  <c r="DG81" i="3"/>
  <c r="DH81" i="3"/>
  <c r="DI81" i="3"/>
  <c r="DJ81" i="3"/>
  <c r="DK81" i="3"/>
  <c r="DL81" i="3"/>
  <c r="DM81" i="3"/>
  <c r="DN81" i="3"/>
  <c r="DO81" i="3"/>
  <c r="DP81" i="3"/>
  <c r="DQ81" i="3"/>
  <c r="DR81" i="3"/>
  <c r="DS81" i="3"/>
  <c r="DT81" i="3"/>
  <c r="DU81" i="3"/>
  <c r="DV81" i="3"/>
  <c r="DW81" i="3"/>
  <c r="DX81" i="3"/>
  <c r="DY81" i="3"/>
  <c r="DZ81" i="3"/>
  <c r="EA81" i="3"/>
  <c r="EB81" i="3"/>
  <c r="EC81" i="3"/>
  <c r="ED81" i="3"/>
  <c r="EE81" i="3"/>
  <c r="EF81" i="3"/>
  <c r="EG81" i="3"/>
  <c r="EH81" i="3"/>
  <c r="EI81" i="3"/>
  <c r="EJ81" i="3"/>
  <c r="EK81" i="3"/>
  <c r="EL81" i="3"/>
  <c r="EM81" i="3"/>
  <c r="EN81" i="3"/>
  <c r="EO81" i="3"/>
  <c r="EP81" i="3"/>
  <c r="EQ81" i="3"/>
  <c r="ER81" i="3"/>
  <c r="ES81" i="3"/>
  <c r="ET81" i="3"/>
  <c r="EU81" i="3"/>
  <c r="EV81" i="3"/>
  <c r="EW81" i="3"/>
  <c r="EX81" i="3"/>
  <c r="EY81" i="3"/>
  <c r="EZ81" i="3"/>
  <c r="FA81" i="3"/>
  <c r="FB81" i="3"/>
  <c r="FC81" i="3"/>
  <c r="FD81" i="3"/>
  <c r="FE81" i="3"/>
  <c r="FF81" i="3"/>
  <c r="FG81" i="3"/>
  <c r="FH81" i="3"/>
  <c r="FI81" i="3"/>
  <c r="FJ81" i="3"/>
  <c r="FK81" i="3"/>
  <c r="FL81" i="3"/>
  <c r="FM81" i="3"/>
  <c r="FN81" i="3"/>
  <c r="FO81" i="3"/>
  <c r="FP81" i="3"/>
  <c r="FQ81" i="3"/>
  <c r="FR81" i="3"/>
  <c r="FS81" i="3"/>
  <c r="FT81" i="3"/>
  <c r="FU81" i="3"/>
  <c r="FV81" i="3"/>
  <c r="FW81" i="3"/>
  <c r="FX81" i="3"/>
  <c r="FY81" i="3"/>
  <c r="FZ81" i="3"/>
  <c r="GA81" i="3"/>
  <c r="GB81" i="3"/>
  <c r="GC81" i="3"/>
  <c r="GD81" i="3"/>
  <c r="GE81" i="3"/>
  <c r="GF81" i="3"/>
  <c r="GG81" i="3"/>
  <c r="GH81" i="3"/>
  <c r="GI81" i="3"/>
  <c r="GJ81" i="3"/>
  <c r="GK81" i="3"/>
  <c r="GL81" i="3"/>
  <c r="GM81" i="3"/>
  <c r="GN81" i="3"/>
  <c r="GO81" i="3"/>
  <c r="GP81" i="3"/>
  <c r="GQ81" i="3"/>
  <c r="GR81" i="3"/>
  <c r="GS81" i="3"/>
  <c r="GT81" i="3"/>
  <c r="GU81" i="3"/>
  <c r="GV81" i="3"/>
  <c r="GW81" i="3"/>
  <c r="GX81" i="3"/>
  <c r="GY81" i="3"/>
  <c r="GZ81" i="3"/>
  <c r="HA81" i="3"/>
  <c r="HB81" i="3"/>
  <c r="HC81" i="3"/>
  <c r="HD81" i="3"/>
  <c r="HE81" i="3"/>
  <c r="HF81" i="3"/>
  <c r="HG81" i="3"/>
  <c r="HH81" i="3"/>
  <c r="HI81" i="3"/>
  <c r="HJ81" i="3"/>
  <c r="HK81" i="3"/>
  <c r="HL81" i="3"/>
  <c r="HM81" i="3"/>
  <c r="HN81" i="3"/>
  <c r="HO81" i="3"/>
  <c r="HP81" i="3"/>
  <c r="HQ81" i="3"/>
  <c r="HR81" i="3"/>
  <c r="HS81" i="3"/>
  <c r="HT81" i="3"/>
  <c r="HU81" i="3"/>
  <c r="HV81" i="3"/>
  <c r="HW81" i="3"/>
  <c r="HX81" i="3"/>
  <c r="HY81" i="3"/>
  <c r="HZ81" i="3"/>
  <c r="IA81" i="3"/>
  <c r="IB81" i="3"/>
  <c r="IC81" i="3"/>
  <c r="ID81" i="3"/>
  <c r="IE81" i="3"/>
  <c r="IF81" i="3"/>
  <c r="IG81" i="3"/>
  <c r="IH81" i="3"/>
  <c r="II81" i="3"/>
  <c r="IJ81" i="3"/>
  <c r="IK81" i="3"/>
  <c r="IL81" i="3"/>
  <c r="IM81" i="3"/>
  <c r="IN81" i="3"/>
  <c r="IO81" i="3"/>
  <c r="IP81" i="3"/>
  <c r="IQ81" i="3"/>
  <c r="IR81" i="3"/>
  <c r="IS81" i="3"/>
  <c r="IT81" i="3"/>
  <c r="IU81" i="3"/>
  <c r="IV81" i="3"/>
  <c r="A80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V80" i="3"/>
  <c r="AW80" i="3"/>
  <c r="AX80" i="3"/>
  <c r="AY80" i="3"/>
  <c r="AZ80" i="3"/>
  <c r="BA80" i="3"/>
  <c r="BB80" i="3"/>
  <c r="BC80" i="3"/>
  <c r="BD80" i="3"/>
  <c r="BE80" i="3"/>
  <c r="BF80" i="3"/>
  <c r="BG80" i="3"/>
  <c r="BH80" i="3"/>
  <c r="BI80" i="3"/>
  <c r="BJ80" i="3"/>
  <c r="BK80" i="3"/>
  <c r="BL80" i="3"/>
  <c r="BM80" i="3"/>
  <c r="BN80" i="3"/>
  <c r="BO80" i="3"/>
  <c r="BP80" i="3"/>
  <c r="BQ80" i="3"/>
  <c r="BR80" i="3"/>
  <c r="BS80" i="3"/>
  <c r="BT80" i="3"/>
  <c r="BU80" i="3"/>
  <c r="BV80" i="3"/>
  <c r="BW80" i="3"/>
  <c r="BX80" i="3"/>
  <c r="BY80" i="3"/>
  <c r="BZ80" i="3"/>
  <c r="CA80" i="3"/>
  <c r="CB80" i="3"/>
  <c r="CC80" i="3"/>
  <c r="CD80" i="3"/>
  <c r="CE80" i="3"/>
  <c r="CF80" i="3"/>
  <c r="CG80" i="3"/>
  <c r="CH80" i="3"/>
  <c r="CI80" i="3"/>
  <c r="CJ80" i="3"/>
  <c r="CK80" i="3"/>
  <c r="CL80" i="3"/>
  <c r="CM80" i="3"/>
  <c r="CN80" i="3"/>
  <c r="CO80" i="3"/>
  <c r="CP80" i="3"/>
  <c r="CQ80" i="3"/>
  <c r="CR80" i="3"/>
  <c r="CS80" i="3"/>
  <c r="CT80" i="3"/>
  <c r="CU80" i="3"/>
  <c r="CV80" i="3"/>
  <c r="CW80" i="3"/>
  <c r="CX80" i="3"/>
  <c r="CY80" i="3"/>
  <c r="CZ80" i="3"/>
  <c r="DA80" i="3"/>
  <c r="DB80" i="3"/>
  <c r="DC80" i="3"/>
  <c r="DD80" i="3"/>
  <c r="DE80" i="3"/>
  <c r="DF80" i="3"/>
  <c r="DG80" i="3"/>
  <c r="DH80" i="3"/>
  <c r="DI80" i="3"/>
  <c r="DJ80" i="3"/>
  <c r="DK80" i="3"/>
  <c r="DL80" i="3"/>
  <c r="DM80" i="3"/>
  <c r="DN80" i="3"/>
  <c r="DO80" i="3"/>
  <c r="DP80" i="3"/>
  <c r="DQ80" i="3"/>
  <c r="DR80" i="3"/>
  <c r="DS80" i="3"/>
  <c r="DT80" i="3"/>
  <c r="DU80" i="3"/>
  <c r="DV80" i="3"/>
  <c r="DW80" i="3"/>
  <c r="DX80" i="3"/>
  <c r="DY80" i="3"/>
  <c r="DZ80" i="3"/>
  <c r="EA80" i="3"/>
  <c r="EB80" i="3"/>
  <c r="EC80" i="3"/>
  <c r="ED80" i="3"/>
  <c r="EE80" i="3"/>
  <c r="EF80" i="3"/>
  <c r="EG80" i="3"/>
  <c r="EH80" i="3"/>
  <c r="EI80" i="3"/>
  <c r="EJ80" i="3"/>
  <c r="EK80" i="3"/>
  <c r="EL80" i="3"/>
  <c r="EM80" i="3"/>
  <c r="EN80" i="3"/>
  <c r="EO80" i="3"/>
  <c r="EP80" i="3"/>
  <c r="EQ80" i="3"/>
  <c r="ER80" i="3"/>
  <c r="ES80" i="3"/>
  <c r="ET80" i="3"/>
  <c r="EU80" i="3"/>
  <c r="EV80" i="3"/>
  <c r="EW80" i="3"/>
  <c r="EX80" i="3"/>
  <c r="EY80" i="3"/>
  <c r="EZ80" i="3"/>
  <c r="FA80" i="3"/>
  <c r="FB80" i="3"/>
  <c r="FC80" i="3"/>
  <c r="FD80" i="3"/>
  <c r="FE80" i="3"/>
  <c r="FF80" i="3"/>
  <c r="FG80" i="3"/>
  <c r="FH80" i="3"/>
  <c r="FI80" i="3"/>
  <c r="FJ80" i="3"/>
  <c r="FK80" i="3"/>
  <c r="FL80" i="3"/>
  <c r="FM80" i="3"/>
  <c r="FN80" i="3"/>
  <c r="FO80" i="3"/>
  <c r="FP80" i="3"/>
  <c r="FQ80" i="3"/>
  <c r="FR80" i="3"/>
  <c r="FS80" i="3"/>
  <c r="FT80" i="3"/>
  <c r="FU80" i="3"/>
  <c r="FV80" i="3"/>
  <c r="FW80" i="3"/>
  <c r="FX80" i="3"/>
  <c r="FY80" i="3"/>
  <c r="FZ80" i="3"/>
  <c r="GA80" i="3"/>
  <c r="GB80" i="3"/>
  <c r="GC80" i="3"/>
  <c r="GD80" i="3"/>
  <c r="GE80" i="3"/>
  <c r="GF80" i="3"/>
  <c r="GG80" i="3"/>
  <c r="GH80" i="3"/>
  <c r="GI80" i="3"/>
  <c r="GJ80" i="3"/>
  <c r="GK80" i="3"/>
  <c r="GL80" i="3"/>
  <c r="GM80" i="3"/>
  <c r="GN80" i="3"/>
  <c r="GO80" i="3"/>
  <c r="GP80" i="3"/>
  <c r="GQ80" i="3"/>
  <c r="GR80" i="3"/>
  <c r="GS80" i="3"/>
  <c r="GT80" i="3"/>
  <c r="GU80" i="3"/>
  <c r="GV80" i="3"/>
  <c r="GW80" i="3"/>
  <c r="GX80" i="3"/>
  <c r="GY80" i="3"/>
  <c r="GZ80" i="3"/>
  <c r="HA80" i="3"/>
  <c r="HB80" i="3"/>
  <c r="HC80" i="3"/>
  <c r="HD80" i="3"/>
  <c r="HE80" i="3"/>
  <c r="HF80" i="3"/>
  <c r="HG80" i="3"/>
  <c r="HH80" i="3"/>
  <c r="HI80" i="3"/>
  <c r="HJ80" i="3"/>
  <c r="HK80" i="3"/>
  <c r="HL80" i="3"/>
  <c r="HM80" i="3"/>
  <c r="HN80" i="3"/>
  <c r="HO80" i="3"/>
  <c r="HP80" i="3"/>
  <c r="HQ80" i="3"/>
  <c r="HR80" i="3"/>
  <c r="HS80" i="3"/>
  <c r="HT80" i="3"/>
  <c r="HU80" i="3"/>
  <c r="HV80" i="3"/>
  <c r="HW80" i="3"/>
  <c r="HX80" i="3"/>
  <c r="HY80" i="3"/>
  <c r="HZ80" i="3"/>
  <c r="IA80" i="3"/>
  <c r="IB80" i="3"/>
  <c r="IC80" i="3"/>
  <c r="ID80" i="3"/>
  <c r="IE80" i="3"/>
  <c r="IF80" i="3"/>
  <c r="IG80" i="3"/>
  <c r="IH80" i="3"/>
  <c r="II80" i="3"/>
  <c r="IJ80" i="3"/>
  <c r="IK80" i="3"/>
  <c r="IL80" i="3"/>
  <c r="IM80" i="3"/>
  <c r="IN80" i="3"/>
  <c r="IO80" i="3"/>
  <c r="IP80" i="3"/>
  <c r="IQ80" i="3"/>
  <c r="IR80" i="3"/>
  <c r="IS80" i="3"/>
  <c r="IT80" i="3"/>
  <c r="IU80" i="3"/>
  <c r="IV80" i="3"/>
  <c r="A79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V79" i="3"/>
  <c r="AW79" i="3"/>
  <c r="AX79" i="3"/>
  <c r="AY79" i="3"/>
  <c r="AZ79" i="3"/>
  <c r="BA79" i="3"/>
  <c r="BB79" i="3"/>
  <c r="BC79" i="3"/>
  <c r="BD79" i="3"/>
  <c r="BE79" i="3"/>
  <c r="BF79" i="3"/>
  <c r="BG79" i="3"/>
  <c r="BH79" i="3"/>
  <c r="BI79" i="3"/>
  <c r="BJ79" i="3"/>
  <c r="BK79" i="3"/>
  <c r="BL79" i="3"/>
  <c r="BM79" i="3"/>
  <c r="BN79" i="3"/>
  <c r="BO79" i="3"/>
  <c r="BP79" i="3"/>
  <c r="BQ79" i="3"/>
  <c r="BR79" i="3"/>
  <c r="BS79" i="3"/>
  <c r="BT79" i="3"/>
  <c r="BU79" i="3"/>
  <c r="BV79" i="3"/>
  <c r="BW79" i="3"/>
  <c r="BX79" i="3"/>
  <c r="BY79" i="3"/>
  <c r="BZ79" i="3"/>
  <c r="CA79" i="3"/>
  <c r="CB79" i="3"/>
  <c r="CC79" i="3"/>
  <c r="CD79" i="3"/>
  <c r="CE79" i="3"/>
  <c r="CF79" i="3"/>
  <c r="CG79" i="3"/>
  <c r="CH79" i="3"/>
  <c r="CI79" i="3"/>
  <c r="CJ79" i="3"/>
  <c r="CK79" i="3"/>
  <c r="CL79" i="3"/>
  <c r="CM79" i="3"/>
  <c r="CN79" i="3"/>
  <c r="CO79" i="3"/>
  <c r="CP79" i="3"/>
  <c r="CQ79" i="3"/>
  <c r="CR79" i="3"/>
  <c r="CS79" i="3"/>
  <c r="CT79" i="3"/>
  <c r="CU79" i="3"/>
  <c r="CV79" i="3"/>
  <c r="CW79" i="3"/>
  <c r="CX79" i="3"/>
  <c r="CY79" i="3"/>
  <c r="CZ79" i="3"/>
  <c r="DA79" i="3"/>
  <c r="DB79" i="3"/>
  <c r="DC79" i="3"/>
  <c r="DD79" i="3"/>
  <c r="DE79" i="3"/>
  <c r="DF79" i="3"/>
  <c r="DG79" i="3"/>
  <c r="DH79" i="3"/>
  <c r="DI79" i="3"/>
  <c r="DJ79" i="3"/>
  <c r="DK79" i="3"/>
  <c r="DL79" i="3"/>
  <c r="DM79" i="3"/>
  <c r="DN79" i="3"/>
  <c r="DO79" i="3"/>
  <c r="DP79" i="3"/>
  <c r="DQ79" i="3"/>
  <c r="DR79" i="3"/>
  <c r="DS79" i="3"/>
  <c r="DT79" i="3"/>
  <c r="DU79" i="3"/>
  <c r="DV79" i="3"/>
  <c r="DW79" i="3"/>
  <c r="DX79" i="3"/>
  <c r="DY79" i="3"/>
  <c r="DZ79" i="3"/>
  <c r="EA79" i="3"/>
  <c r="EB79" i="3"/>
  <c r="EC79" i="3"/>
  <c r="ED79" i="3"/>
  <c r="EE79" i="3"/>
  <c r="EF79" i="3"/>
  <c r="EG79" i="3"/>
  <c r="EH79" i="3"/>
  <c r="EI79" i="3"/>
  <c r="EJ79" i="3"/>
  <c r="EK79" i="3"/>
  <c r="EL79" i="3"/>
  <c r="EM79" i="3"/>
  <c r="EN79" i="3"/>
  <c r="EO79" i="3"/>
  <c r="EP79" i="3"/>
  <c r="EQ79" i="3"/>
  <c r="ER79" i="3"/>
  <c r="ES79" i="3"/>
  <c r="ET79" i="3"/>
  <c r="EU79" i="3"/>
  <c r="EV79" i="3"/>
  <c r="EW79" i="3"/>
  <c r="EX79" i="3"/>
  <c r="EY79" i="3"/>
  <c r="EZ79" i="3"/>
  <c r="FA79" i="3"/>
  <c r="FB79" i="3"/>
  <c r="FC79" i="3"/>
  <c r="FD79" i="3"/>
  <c r="FE79" i="3"/>
  <c r="FF79" i="3"/>
  <c r="FG79" i="3"/>
  <c r="FH79" i="3"/>
  <c r="FI79" i="3"/>
  <c r="FJ79" i="3"/>
  <c r="FK79" i="3"/>
  <c r="FL79" i="3"/>
  <c r="FM79" i="3"/>
  <c r="FN79" i="3"/>
  <c r="FO79" i="3"/>
  <c r="FP79" i="3"/>
  <c r="FQ79" i="3"/>
  <c r="FR79" i="3"/>
  <c r="FS79" i="3"/>
  <c r="FT79" i="3"/>
  <c r="FU79" i="3"/>
  <c r="FV79" i="3"/>
  <c r="FW79" i="3"/>
  <c r="FX79" i="3"/>
  <c r="FY79" i="3"/>
  <c r="FZ79" i="3"/>
  <c r="GA79" i="3"/>
  <c r="GB79" i="3"/>
  <c r="GC79" i="3"/>
  <c r="GD79" i="3"/>
  <c r="GE79" i="3"/>
  <c r="GF79" i="3"/>
  <c r="GG79" i="3"/>
  <c r="GH79" i="3"/>
  <c r="GI79" i="3"/>
  <c r="GJ79" i="3"/>
  <c r="GK79" i="3"/>
  <c r="GL79" i="3"/>
  <c r="GM79" i="3"/>
  <c r="GN79" i="3"/>
  <c r="GO79" i="3"/>
  <c r="GP79" i="3"/>
  <c r="GQ79" i="3"/>
  <c r="GR79" i="3"/>
  <c r="GS79" i="3"/>
  <c r="GT79" i="3"/>
  <c r="GU79" i="3"/>
  <c r="GV79" i="3"/>
  <c r="GW79" i="3"/>
  <c r="GX79" i="3"/>
  <c r="GY79" i="3"/>
  <c r="GZ79" i="3"/>
  <c r="HA79" i="3"/>
  <c r="HB79" i="3"/>
  <c r="HC79" i="3"/>
  <c r="HD79" i="3"/>
  <c r="HE79" i="3"/>
  <c r="HF79" i="3"/>
  <c r="HG79" i="3"/>
  <c r="HH79" i="3"/>
  <c r="HI79" i="3"/>
  <c r="HJ79" i="3"/>
  <c r="HK79" i="3"/>
  <c r="HL79" i="3"/>
  <c r="HM79" i="3"/>
  <c r="HN79" i="3"/>
  <c r="HO79" i="3"/>
  <c r="HP79" i="3"/>
  <c r="HQ79" i="3"/>
  <c r="HR79" i="3"/>
  <c r="HS79" i="3"/>
  <c r="HT79" i="3"/>
  <c r="HU79" i="3"/>
  <c r="HV79" i="3"/>
  <c r="HW79" i="3"/>
  <c r="HX79" i="3"/>
  <c r="HY79" i="3"/>
  <c r="HZ79" i="3"/>
  <c r="IA79" i="3"/>
  <c r="IB79" i="3"/>
  <c r="IC79" i="3"/>
  <c r="ID79" i="3"/>
  <c r="IE79" i="3"/>
  <c r="IF79" i="3"/>
  <c r="IG79" i="3"/>
  <c r="IH79" i="3"/>
  <c r="II79" i="3"/>
  <c r="IJ79" i="3"/>
  <c r="IK79" i="3"/>
  <c r="IL79" i="3"/>
  <c r="IM79" i="3"/>
  <c r="IN79" i="3"/>
  <c r="IO79" i="3"/>
  <c r="IP79" i="3"/>
  <c r="IQ79" i="3"/>
  <c r="IR79" i="3"/>
  <c r="IS79" i="3"/>
  <c r="IT79" i="3"/>
  <c r="IU79" i="3"/>
  <c r="IV79" i="3"/>
  <c r="A78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BJ78" i="3"/>
  <c r="BK78" i="3"/>
  <c r="BL78" i="3"/>
  <c r="BM78" i="3"/>
  <c r="BN78" i="3"/>
  <c r="BO78" i="3"/>
  <c r="BP78" i="3"/>
  <c r="BQ78" i="3"/>
  <c r="BR78" i="3"/>
  <c r="BS78" i="3"/>
  <c r="BT78" i="3"/>
  <c r="BU78" i="3"/>
  <c r="BV78" i="3"/>
  <c r="BW78" i="3"/>
  <c r="BX78" i="3"/>
  <c r="BY78" i="3"/>
  <c r="BZ78" i="3"/>
  <c r="CA78" i="3"/>
  <c r="CB78" i="3"/>
  <c r="CC78" i="3"/>
  <c r="CD78" i="3"/>
  <c r="CE78" i="3"/>
  <c r="CF78" i="3"/>
  <c r="CG78" i="3"/>
  <c r="CH78" i="3"/>
  <c r="CI78" i="3"/>
  <c r="CJ78" i="3"/>
  <c r="CK78" i="3"/>
  <c r="CL78" i="3"/>
  <c r="CM78" i="3"/>
  <c r="CN78" i="3"/>
  <c r="CO78" i="3"/>
  <c r="CP78" i="3"/>
  <c r="CQ78" i="3"/>
  <c r="CR78" i="3"/>
  <c r="CS78" i="3"/>
  <c r="CT78" i="3"/>
  <c r="CU78" i="3"/>
  <c r="CV78" i="3"/>
  <c r="CW78" i="3"/>
  <c r="CX78" i="3"/>
  <c r="CY78" i="3"/>
  <c r="CZ78" i="3"/>
  <c r="DA78" i="3"/>
  <c r="DB78" i="3"/>
  <c r="DC78" i="3"/>
  <c r="DD78" i="3"/>
  <c r="DE78" i="3"/>
  <c r="DF78" i="3"/>
  <c r="DG78" i="3"/>
  <c r="DH78" i="3"/>
  <c r="DI78" i="3"/>
  <c r="DJ78" i="3"/>
  <c r="DK78" i="3"/>
  <c r="DL78" i="3"/>
  <c r="DM78" i="3"/>
  <c r="DN78" i="3"/>
  <c r="DO78" i="3"/>
  <c r="DP78" i="3"/>
  <c r="DQ78" i="3"/>
  <c r="DR78" i="3"/>
  <c r="DS78" i="3"/>
  <c r="DT78" i="3"/>
  <c r="DU78" i="3"/>
  <c r="DV78" i="3"/>
  <c r="DW78" i="3"/>
  <c r="DX78" i="3"/>
  <c r="DY78" i="3"/>
  <c r="DZ78" i="3"/>
  <c r="EA78" i="3"/>
  <c r="EB78" i="3"/>
  <c r="EC78" i="3"/>
  <c r="ED78" i="3"/>
  <c r="EE78" i="3"/>
  <c r="EF78" i="3"/>
  <c r="EG78" i="3"/>
  <c r="EH78" i="3"/>
  <c r="EI78" i="3"/>
  <c r="EJ78" i="3"/>
  <c r="EK78" i="3"/>
  <c r="EL78" i="3"/>
  <c r="EM78" i="3"/>
  <c r="EN78" i="3"/>
  <c r="EO78" i="3"/>
  <c r="EP78" i="3"/>
  <c r="EQ78" i="3"/>
  <c r="ER78" i="3"/>
  <c r="ES78" i="3"/>
  <c r="ET78" i="3"/>
  <c r="EU78" i="3"/>
  <c r="EV78" i="3"/>
  <c r="EW78" i="3"/>
  <c r="EX78" i="3"/>
  <c r="EY78" i="3"/>
  <c r="EZ78" i="3"/>
  <c r="FA78" i="3"/>
  <c r="FB78" i="3"/>
  <c r="FC78" i="3"/>
  <c r="FD78" i="3"/>
  <c r="FE78" i="3"/>
  <c r="FF78" i="3"/>
  <c r="FG78" i="3"/>
  <c r="FH78" i="3"/>
  <c r="FI78" i="3"/>
  <c r="FJ78" i="3"/>
  <c r="FK78" i="3"/>
  <c r="FL78" i="3"/>
  <c r="FM78" i="3"/>
  <c r="FN78" i="3"/>
  <c r="FO78" i="3"/>
  <c r="FP78" i="3"/>
  <c r="FQ78" i="3"/>
  <c r="FR78" i="3"/>
  <c r="FS78" i="3"/>
  <c r="FT78" i="3"/>
  <c r="FU78" i="3"/>
  <c r="FV78" i="3"/>
  <c r="FW78" i="3"/>
  <c r="FX78" i="3"/>
  <c r="FY78" i="3"/>
  <c r="FZ78" i="3"/>
  <c r="GA78" i="3"/>
  <c r="GB78" i="3"/>
  <c r="GC78" i="3"/>
  <c r="GD78" i="3"/>
  <c r="GE78" i="3"/>
  <c r="GF78" i="3"/>
  <c r="GG78" i="3"/>
  <c r="GH78" i="3"/>
  <c r="GI78" i="3"/>
  <c r="GJ78" i="3"/>
  <c r="GK78" i="3"/>
  <c r="GL78" i="3"/>
  <c r="GM78" i="3"/>
  <c r="GN78" i="3"/>
  <c r="GO78" i="3"/>
  <c r="GP78" i="3"/>
  <c r="GQ78" i="3"/>
  <c r="GR78" i="3"/>
  <c r="GS78" i="3"/>
  <c r="GT78" i="3"/>
  <c r="GU78" i="3"/>
  <c r="GV78" i="3"/>
  <c r="GW78" i="3"/>
  <c r="GX78" i="3"/>
  <c r="GY78" i="3"/>
  <c r="GZ78" i="3"/>
  <c r="HA78" i="3"/>
  <c r="HB78" i="3"/>
  <c r="HC78" i="3"/>
  <c r="HD78" i="3"/>
  <c r="HE78" i="3"/>
  <c r="HF78" i="3"/>
  <c r="HG78" i="3"/>
  <c r="HH78" i="3"/>
  <c r="HI78" i="3"/>
  <c r="HJ78" i="3"/>
  <c r="HK78" i="3"/>
  <c r="HL78" i="3"/>
  <c r="HM78" i="3"/>
  <c r="HN78" i="3"/>
  <c r="HO78" i="3"/>
  <c r="HP78" i="3"/>
  <c r="HQ78" i="3"/>
  <c r="HR78" i="3"/>
  <c r="HS78" i="3"/>
  <c r="HT78" i="3"/>
  <c r="HU78" i="3"/>
  <c r="HV78" i="3"/>
  <c r="HW78" i="3"/>
  <c r="HX78" i="3"/>
  <c r="HY78" i="3"/>
  <c r="HZ78" i="3"/>
  <c r="IA78" i="3"/>
  <c r="IB78" i="3"/>
  <c r="IC78" i="3"/>
  <c r="ID78" i="3"/>
  <c r="IE78" i="3"/>
  <c r="IF78" i="3"/>
  <c r="IG78" i="3"/>
  <c r="IH78" i="3"/>
  <c r="II78" i="3"/>
  <c r="IJ78" i="3"/>
  <c r="IK78" i="3"/>
  <c r="IL78" i="3"/>
  <c r="IM78" i="3"/>
  <c r="IN78" i="3"/>
  <c r="IO78" i="3"/>
  <c r="IP78" i="3"/>
  <c r="IQ78" i="3"/>
  <c r="IR78" i="3"/>
  <c r="IS78" i="3"/>
  <c r="IT78" i="3"/>
  <c r="IU78" i="3"/>
  <c r="IV78" i="3"/>
  <c r="A77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V77" i="3"/>
  <c r="AW77" i="3"/>
  <c r="AX77" i="3"/>
  <c r="AY77" i="3"/>
  <c r="AZ77" i="3"/>
  <c r="BA77" i="3"/>
  <c r="BB77" i="3"/>
  <c r="BC77" i="3"/>
  <c r="BD77" i="3"/>
  <c r="BE77" i="3"/>
  <c r="BF77" i="3"/>
  <c r="BG77" i="3"/>
  <c r="BH77" i="3"/>
  <c r="BI77" i="3"/>
  <c r="BJ77" i="3"/>
  <c r="BK77" i="3"/>
  <c r="BL77" i="3"/>
  <c r="BM77" i="3"/>
  <c r="BN77" i="3"/>
  <c r="BO77" i="3"/>
  <c r="BP77" i="3"/>
  <c r="BQ77" i="3"/>
  <c r="BR77" i="3"/>
  <c r="BS77" i="3"/>
  <c r="BT77" i="3"/>
  <c r="BU77" i="3"/>
  <c r="BV77" i="3"/>
  <c r="BW77" i="3"/>
  <c r="BX77" i="3"/>
  <c r="BY77" i="3"/>
  <c r="BZ77" i="3"/>
  <c r="CA77" i="3"/>
  <c r="CB77" i="3"/>
  <c r="CC77" i="3"/>
  <c r="CD77" i="3"/>
  <c r="CE77" i="3"/>
  <c r="CF77" i="3"/>
  <c r="CG77" i="3"/>
  <c r="CH77" i="3"/>
  <c r="CI77" i="3"/>
  <c r="CJ77" i="3"/>
  <c r="CK77" i="3"/>
  <c r="CL77" i="3"/>
  <c r="CM77" i="3"/>
  <c r="CN77" i="3"/>
  <c r="CO77" i="3"/>
  <c r="CP77" i="3"/>
  <c r="CQ77" i="3"/>
  <c r="CR77" i="3"/>
  <c r="CS77" i="3"/>
  <c r="CT77" i="3"/>
  <c r="CU77" i="3"/>
  <c r="CV77" i="3"/>
  <c r="CW77" i="3"/>
  <c r="CX77" i="3"/>
  <c r="CY77" i="3"/>
  <c r="CZ77" i="3"/>
  <c r="DA77" i="3"/>
  <c r="DB77" i="3"/>
  <c r="DC77" i="3"/>
  <c r="DD77" i="3"/>
  <c r="DE77" i="3"/>
  <c r="DF77" i="3"/>
  <c r="DG77" i="3"/>
  <c r="DH77" i="3"/>
  <c r="DI77" i="3"/>
  <c r="DJ77" i="3"/>
  <c r="DK77" i="3"/>
  <c r="DL77" i="3"/>
  <c r="DM77" i="3"/>
  <c r="DN77" i="3"/>
  <c r="DO77" i="3"/>
  <c r="DP77" i="3"/>
  <c r="DQ77" i="3"/>
  <c r="DR77" i="3"/>
  <c r="DS77" i="3"/>
  <c r="DT77" i="3"/>
  <c r="DU77" i="3"/>
  <c r="DV77" i="3"/>
  <c r="DW77" i="3"/>
  <c r="DX77" i="3"/>
  <c r="DY77" i="3"/>
  <c r="DZ77" i="3"/>
  <c r="EA77" i="3"/>
  <c r="EB77" i="3"/>
  <c r="EC77" i="3"/>
  <c r="ED77" i="3"/>
  <c r="EE77" i="3"/>
  <c r="EF77" i="3"/>
  <c r="EG77" i="3"/>
  <c r="EH77" i="3"/>
  <c r="EI77" i="3"/>
  <c r="EJ77" i="3"/>
  <c r="EK77" i="3"/>
  <c r="EL77" i="3"/>
  <c r="EM77" i="3"/>
  <c r="EN77" i="3"/>
  <c r="EO77" i="3"/>
  <c r="EP77" i="3"/>
  <c r="EQ77" i="3"/>
  <c r="ER77" i="3"/>
  <c r="ES77" i="3"/>
  <c r="ET77" i="3"/>
  <c r="EU77" i="3"/>
  <c r="EV77" i="3"/>
  <c r="EW77" i="3"/>
  <c r="EX77" i="3"/>
  <c r="EY77" i="3"/>
  <c r="EZ77" i="3"/>
  <c r="FA77" i="3"/>
  <c r="FB77" i="3"/>
  <c r="FC77" i="3"/>
  <c r="FD77" i="3"/>
  <c r="FE77" i="3"/>
  <c r="FF77" i="3"/>
  <c r="FG77" i="3"/>
  <c r="FH77" i="3"/>
  <c r="FI77" i="3"/>
  <c r="FJ77" i="3"/>
  <c r="FK77" i="3"/>
  <c r="FL77" i="3"/>
  <c r="FM77" i="3"/>
  <c r="FN77" i="3"/>
  <c r="FO77" i="3"/>
  <c r="FP77" i="3"/>
  <c r="FQ77" i="3"/>
  <c r="FR77" i="3"/>
  <c r="FS77" i="3"/>
  <c r="FT77" i="3"/>
  <c r="FU77" i="3"/>
  <c r="FV77" i="3"/>
  <c r="FW77" i="3"/>
  <c r="FX77" i="3"/>
  <c r="FY77" i="3"/>
  <c r="FZ77" i="3"/>
  <c r="GA77" i="3"/>
  <c r="GB77" i="3"/>
  <c r="GC77" i="3"/>
  <c r="GD77" i="3"/>
  <c r="GE77" i="3"/>
  <c r="GF77" i="3"/>
  <c r="GG77" i="3"/>
  <c r="GH77" i="3"/>
  <c r="GI77" i="3"/>
  <c r="GJ77" i="3"/>
  <c r="GK77" i="3"/>
  <c r="GL77" i="3"/>
  <c r="GM77" i="3"/>
  <c r="GN77" i="3"/>
  <c r="GO77" i="3"/>
  <c r="GP77" i="3"/>
  <c r="GQ77" i="3"/>
  <c r="GR77" i="3"/>
  <c r="GS77" i="3"/>
  <c r="GT77" i="3"/>
  <c r="GU77" i="3"/>
  <c r="GV77" i="3"/>
  <c r="GW77" i="3"/>
  <c r="GX77" i="3"/>
  <c r="GY77" i="3"/>
  <c r="GZ77" i="3"/>
  <c r="HA77" i="3"/>
  <c r="HB77" i="3"/>
  <c r="HC77" i="3"/>
  <c r="HD77" i="3"/>
  <c r="HE77" i="3"/>
  <c r="HF77" i="3"/>
  <c r="HG77" i="3"/>
  <c r="HH77" i="3"/>
  <c r="HI77" i="3"/>
  <c r="HJ77" i="3"/>
  <c r="HK77" i="3"/>
  <c r="HL77" i="3"/>
  <c r="HM77" i="3"/>
  <c r="HN77" i="3"/>
  <c r="HO77" i="3"/>
  <c r="HP77" i="3"/>
  <c r="HQ77" i="3"/>
  <c r="HR77" i="3"/>
  <c r="HS77" i="3"/>
  <c r="HT77" i="3"/>
  <c r="HU77" i="3"/>
  <c r="HV77" i="3"/>
  <c r="HW77" i="3"/>
  <c r="HX77" i="3"/>
  <c r="HY77" i="3"/>
  <c r="HZ77" i="3"/>
  <c r="IA77" i="3"/>
  <c r="IB77" i="3"/>
  <c r="IC77" i="3"/>
  <c r="ID77" i="3"/>
  <c r="IE77" i="3"/>
  <c r="IF77" i="3"/>
  <c r="IG77" i="3"/>
  <c r="IH77" i="3"/>
  <c r="II77" i="3"/>
  <c r="IJ77" i="3"/>
  <c r="IK77" i="3"/>
  <c r="IL77" i="3"/>
  <c r="IM77" i="3"/>
  <c r="IN77" i="3"/>
  <c r="IO77" i="3"/>
  <c r="IP77" i="3"/>
  <c r="IQ77" i="3"/>
  <c r="IR77" i="3"/>
  <c r="IS77" i="3"/>
  <c r="IT77" i="3"/>
  <c r="IU77" i="3"/>
  <c r="IV77" i="3"/>
  <c r="A76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V76" i="3"/>
  <c r="AW76" i="3"/>
  <c r="AX76" i="3"/>
  <c r="AY76" i="3"/>
  <c r="AZ76" i="3"/>
  <c r="BA76" i="3"/>
  <c r="BB76" i="3"/>
  <c r="BC76" i="3"/>
  <c r="BD76" i="3"/>
  <c r="BE76" i="3"/>
  <c r="BF76" i="3"/>
  <c r="BG76" i="3"/>
  <c r="BH76" i="3"/>
  <c r="BI76" i="3"/>
  <c r="BJ76" i="3"/>
  <c r="BK76" i="3"/>
  <c r="BL76" i="3"/>
  <c r="BM76" i="3"/>
  <c r="BN76" i="3"/>
  <c r="BO76" i="3"/>
  <c r="BP76" i="3"/>
  <c r="BQ76" i="3"/>
  <c r="BR76" i="3"/>
  <c r="BS76" i="3"/>
  <c r="BT76" i="3"/>
  <c r="BU76" i="3"/>
  <c r="BV76" i="3"/>
  <c r="BW76" i="3"/>
  <c r="BX76" i="3"/>
  <c r="BY76" i="3"/>
  <c r="BZ76" i="3"/>
  <c r="CA76" i="3"/>
  <c r="CB76" i="3"/>
  <c r="CC76" i="3"/>
  <c r="CD76" i="3"/>
  <c r="CE76" i="3"/>
  <c r="CF76" i="3"/>
  <c r="CG76" i="3"/>
  <c r="CH76" i="3"/>
  <c r="CI76" i="3"/>
  <c r="CJ76" i="3"/>
  <c r="CK76" i="3"/>
  <c r="CL76" i="3"/>
  <c r="CM76" i="3"/>
  <c r="CN76" i="3"/>
  <c r="CO76" i="3"/>
  <c r="CP76" i="3"/>
  <c r="CQ76" i="3"/>
  <c r="CR76" i="3"/>
  <c r="CS76" i="3"/>
  <c r="CT76" i="3"/>
  <c r="CU76" i="3"/>
  <c r="CV76" i="3"/>
  <c r="CW76" i="3"/>
  <c r="CX76" i="3"/>
  <c r="CY76" i="3"/>
  <c r="CZ76" i="3"/>
  <c r="DA76" i="3"/>
  <c r="DB76" i="3"/>
  <c r="DC76" i="3"/>
  <c r="DD76" i="3"/>
  <c r="DE76" i="3"/>
  <c r="DF76" i="3"/>
  <c r="DG76" i="3"/>
  <c r="DH76" i="3"/>
  <c r="DI76" i="3"/>
  <c r="DJ76" i="3"/>
  <c r="DK76" i="3"/>
  <c r="DL76" i="3"/>
  <c r="DM76" i="3"/>
  <c r="DN76" i="3"/>
  <c r="DO76" i="3"/>
  <c r="DP76" i="3"/>
  <c r="DQ76" i="3"/>
  <c r="DR76" i="3"/>
  <c r="DS76" i="3"/>
  <c r="DT76" i="3"/>
  <c r="DU76" i="3"/>
  <c r="DV76" i="3"/>
  <c r="DW76" i="3"/>
  <c r="DX76" i="3"/>
  <c r="DY76" i="3"/>
  <c r="DZ76" i="3"/>
  <c r="EA76" i="3"/>
  <c r="EB76" i="3"/>
  <c r="EC76" i="3"/>
  <c r="ED76" i="3"/>
  <c r="EE76" i="3"/>
  <c r="EF76" i="3"/>
  <c r="EG76" i="3"/>
  <c r="EH76" i="3"/>
  <c r="EI76" i="3"/>
  <c r="EJ76" i="3"/>
  <c r="EK76" i="3"/>
  <c r="EL76" i="3"/>
  <c r="EM76" i="3"/>
  <c r="EN76" i="3"/>
  <c r="EO76" i="3"/>
  <c r="EP76" i="3"/>
  <c r="EQ76" i="3"/>
  <c r="ER76" i="3"/>
  <c r="ES76" i="3"/>
  <c r="ET76" i="3"/>
  <c r="EU76" i="3"/>
  <c r="EV76" i="3"/>
  <c r="EW76" i="3"/>
  <c r="EX76" i="3"/>
  <c r="EY76" i="3"/>
  <c r="EZ76" i="3"/>
  <c r="FA76" i="3"/>
  <c r="FB76" i="3"/>
  <c r="FC76" i="3"/>
  <c r="FD76" i="3"/>
  <c r="FE76" i="3"/>
  <c r="FF76" i="3"/>
  <c r="FG76" i="3"/>
  <c r="FH76" i="3"/>
  <c r="FI76" i="3"/>
  <c r="FJ76" i="3"/>
  <c r="FK76" i="3"/>
  <c r="FL76" i="3"/>
  <c r="FM76" i="3"/>
  <c r="FN76" i="3"/>
  <c r="FO76" i="3"/>
  <c r="FP76" i="3"/>
  <c r="FQ76" i="3"/>
  <c r="FR76" i="3"/>
  <c r="FS76" i="3"/>
  <c r="FT76" i="3"/>
  <c r="FU76" i="3"/>
  <c r="FV76" i="3"/>
  <c r="FW76" i="3"/>
  <c r="FX76" i="3"/>
  <c r="FY76" i="3"/>
  <c r="FZ76" i="3"/>
  <c r="GA76" i="3"/>
  <c r="GB76" i="3"/>
  <c r="GC76" i="3"/>
  <c r="GD76" i="3"/>
  <c r="GE76" i="3"/>
  <c r="GF76" i="3"/>
  <c r="GG76" i="3"/>
  <c r="GH76" i="3"/>
  <c r="GI76" i="3"/>
  <c r="GJ76" i="3"/>
  <c r="GK76" i="3"/>
  <c r="GL76" i="3"/>
  <c r="GM76" i="3"/>
  <c r="GN76" i="3"/>
  <c r="GO76" i="3"/>
  <c r="GP76" i="3"/>
  <c r="GQ76" i="3"/>
  <c r="GR76" i="3"/>
  <c r="GS76" i="3"/>
  <c r="GT76" i="3"/>
  <c r="GU76" i="3"/>
  <c r="GV76" i="3"/>
  <c r="GW76" i="3"/>
  <c r="GX76" i="3"/>
  <c r="GY76" i="3"/>
  <c r="GZ76" i="3"/>
  <c r="HA76" i="3"/>
  <c r="HB76" i="3"/>
  <c r="HC76" i="3"/>
  <c r="HD76" i="3"/>
  <c r="HE76" i="3"/>
  <c r="HF76" i="3"/>
  <c r="HG76" i="3"/>
  <c r="HH76" i="3"/>
  <c r="HI76" i="3"/>
  <c r="HJ76" i="3"/>
  <c r="HK76" i="3"/>
  <c r="HL76" i="3"/>
  <c r="HM76" i="3"/>
  <c r="HN76" i="3"/>
  <c r="HO76" i="3"/>
  <c r="HP76" i="3"/>
  <c r="HQ76" i="3"/>
  <c r="HR76" i="3"/>
  <c r="HS76" i="3"/>
  <c r="HT76" i="3"/>
  <c r="HU76" i="3"/>
  <c r="HV76" i="3"/>
  <c r="HW76" i="3"/>
  <c r="HX76" i="3"/>
  <c r="HY76" i="3"/>
  <c r="HZ76" i="3"/>
  <c r="IA76" i="3"/>
  <c r="IB76" i="3"/>
  <c r="IC76" i="3"/>
  <c r="ID76" i="3"/>
  <c r="IE76" i="3"/>
  <c r="IF76" i="3"/>
  <c r="IG76" i="3"/>
  <c r="IH76" i="3"/>
  <c r="II76" i="3"/>
  <c r="IJ76" i="3"/>
  <c r="IK76" i="3"/>
  <c r="IL76" i="3"/>
  <c r="IM76" i="3"/>
  <c r="IN76" i="3"/>
  <c r="IO76" i="3"/>
  <c r="IP76" i="3"/>
  <c r="IQ76" i="3"/>
  <c r="IR76" i="3"/>
  <c r="IS76" i="3"/>
  <c r="IT76" i="3"/>
  <c r="IU76" i="3"/>
  <c r="IV76" i="3"/>
  <c r="A75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V75" i="3"/>
  <c r="AW75" i="3"/>
  <c r="AX75" i="3"/>
  <c r="AY75" i="3"/>
  <c r="AZ75" i="3"/>
  <c r="BA75" i="3"/>
  <c r="BB75" i="3"/>
  <c r="BC75" i="3"/>
  <c r="BD75" i="3"/>
  <c r="BE75" i="3"/>
  <c r="BF75" i="3"/>
  <c r="BG75" i="3"/>
  <c r="BH75" i="3"/>
  <c r="BI75" i="3"/>
  <c r="BJ75" i="3"/>
  <c r="BK75" i="3"/>
  <c r="BL75" i="3"/>
  <c r="BM75" i="3"/>
  <c r="BN75" i="3"/>
  <c r="BO75" i="3"/>
  <c r="BP75" i="3"/>
  <c r="BQ75" i="3"/>
  <c r="BR75" i="3"/>
  <c r="BS75" i="3"/>
  <c r="BT75" i="3"/>
  <c r="BU75" i="3"/>
  <c r="BV75" i="3"/>
  <c r="BW75" i="3"/>
  <c r="BX75" i="3"/>
  <c r="BY75" i="3"/>
  <c r="BZ75" i="3"/>
  <c r="CA75" i="3"/>
  <c r="CB75" i="3"/>
  <c r="CC75" i="3"/>
  <c r="CD75" i="3"/>
  <c r="CE75" i="3"/>
  <c r="CF75" i="3"/>
  <c r="CG75" i="3"/>
  <c r="CH75" i="3"/>
  <c r="CI75" i="3"/>
  <c r="CJ75" i="3"/>
  <c r="CK75" i="3"/>
  <c r="CL75" i="3"/>
  <c r="CM75" i="3"/>
  <c r="CN75" i="3"/>
  <c r="CO75" i="3"/>
  <c r="CP75" i="3"/>
  <c r="CQ75" i="3"/>
  <c r="CR75" i="3"/>
  <c r="CS75" i="3"/>
  <c r="CT75" i="3"/>
  <c r="CU75" i="3"/>
  <c r="CV75" i="3"/>
  <c r="CW75" i="3"/>
  <c r="CX75" i="3"/>
  <c r="CY75" i="3"/>
  <c r="CZ75" i="3"/>
  <c r="DA75" i="3"/>
  <c r="DB75" i="3"/>
  <c r="DC75" i="3"/>
  <c r="DD75" i="3"/>
  <c r="DE75" i="3"/>
  <c r="DF75" i="3"/>
  <c r="DG75" i="3"/>
  <c r="DH75" i="3"/>
  <c r="DI75" i="3"/>
  <c r="DJ75" i="3"/>
  <c r="DK75" i="3"/>
  <c r="DL75" i="3"/>
  <c r="DM75" i="3"/>
  <c r="DN75" i="3"/>
  <c r="DO75" i="3"/>
  <c r="DP75" i="3"/>
  <c r="DQ75" i="3"/>
  <c r="DR75" i="3"/>
  <c r="DS75" i="3"/>
  <c r="DT75" i="3"/>
  <c r="DU75" i="3"/>
  <c r="DV75" i="3"/>
  <c r="DW75" i="3"/>
  <c r="DX75" i="3"/>
  <c r="DY75" i="3"/>
  <c r="DZ75" i="3"/>
  <c r="EA75" i="3"/>
  <c r="EB75" i="3"/>
  <c r="EC75" i="3"/>
  <c r="ED75" i="3"/>
  <c r="EE75" i="3"/>
  <c r="EF75" i="3"/>
  <c r="EG75" i="3"/>
  <c r="EH75" i="3"/>
  <c r="EI75" i="3"/>
  <c r="EJ75" i="3"/>
  <c r="EK75" i="3"/>
  <c r="EL75" i="3"/>
  <c r="EM75" i="3"/>
  <c r="EN75" i="3"/>
  <c r="EO75" i="3"/>
  <c r="EP75" i="3"/>
  <c r="EQ75" i="3"/>
  <c r="ER75" i="3"/>
  <c r="ES75" i="3"/>
  <c r="ET75" i="3"/>
  <c r="EU75" i="3"/>
  <c r="EV75" i="3"/>
  <c r="EW75" i="3"/>
  <c r="EX75" i="3"/>
  <c r="EY75" i="3"/>
  <c r="EZ75" i="3"/>
  <c r="FA75" i="3"/>
  <c r="FB75" i="3"/>
  <c r="FC75" i="3"/>
  <c r="FD75" i="3"/>
  <c r="FE75" i="3"/>
  <c r="FF75" i="3"/>
  <c r="FG75" i="3"/>
  <c r="FH75" i="3"/>
  <c r="FI75" i="3"/>
  <c r="FJ75" i="3"/>
  <c r="FK75" i="3"/>
  <c r="FL75" i="3"/>
  <c r="FM75" i="3"/>
  <c r="FN75" i="3"/>
  <c r="FO75" i="3"/>
  <c r="FP75" i="3"/>
  <c r="FQ75" i="3"/>
  <c r="FR75" i="3"/>
  <c r="FS75" i="3"/>
  <c r="FT75" i="3"/>
  <c r="FU75" i="3"/>
  <c r="FV75" i="3"/>
  <c r="FW75" i="3"/>
  <c r="FX75" i="3"/>
  <c r="FY75" i="3"/>
  <c r="FZ75" i="3"/>
  <c r="GA75" i="3"/>
  <c r="GB75" i="3"/>
  <c r="GC75" i="3"/>
  <c r="GD75" i="3"/>
  <c r="GE75" i="3"/>
  <c r="GF75" i="3"/>
  <c r="GG75" i="3"/>
  <c r="GH75" i="3"/>
  <c r="GI75" i="3"/>
  <c r="GJ75" i="3"/>
  <c r="GK75" i="3"/>
  <c r="GL75" i="3"/>
  <c r="GM75" i="3"/>
  <c r="GN75" i="3"/>
  <c r="GO75" i="3"/>
  <c r="GP75" i="3"/>
  <c r="GQ75" i="3"/>
  <c r="GR75" i="3"/>
  <c r="GS75" i="3"/>
  <c r="GT75" i="3"/>
  <c r="GU75" i="3"/>
  <c r="GV75" i="3"/>
  <c r="GW75" i="3"/>
  <c r="GX75" i="3"/>
  <c r="GY75" i="3"/>
  <c r="GZ75" i="3"/>
  <c r="HA75" i="3"/>
  <c r="HB75" i="3"/>
  <c r="HC75" i="3"/>
  <c r="HD75" i="3"/>
  <c r="HE75" i="3"/>
  <c r="HF75" i="3"/>
  <c r="HG75" i="3"/>
  <c r="HH75" i="3"/>
  <c r="HI75" i="3"/>
  <c r="HJ75" i="3"/>
  <c r="HK75" i="3"/>
  <c r="HL75" i="3"/>
  <c r="HM75" i="3"/>
  <c r="HN75" i="3"/>
  <c r="HO75" i="3"/>
  <c r="HP75" i="3"/>
  <c r="HQ75" i="3"/>
  <c r="HR75" i="3"/>
  <c r="HS75" i="3"/>
  <c r="HT75" i="3"/>
  <c r="HU75" i="3"/>
  <c r="HV75" i="3"/>
  <c r="HW75" i="3"/>
  <c r="HX75" i="3"/>
  <c r="HY75" i="3"/>
  <c r="HZ75" i="3"/>
  <c r="IA75" i="3"/>
  <c r="IB75" i="3"/>
  <c r="IC75" i="3"/>
  <c r="ID75" i="3"/>
  <c r="IE75" i="3"/>
  <c r="IF75" i="3"/>
  <c r="IG75" i="3"/>
  <c r="IH75" i="3"/>
  <c r="II75" i="3"/>
  <c r="IJ75" i="3"/>
  <c r="IK75" i="3"/>
  <c r="IL75" i="3"/>
  <c r="IM75" i="3"/>
  <c r="IN75" i="3"/>
  <c r="IO75" i="3"/>
  <c r="IP75" i="3"/>
  <c r="IQ75" i="3"/>
  <c r="IR75" i="3"/>
  <c r="IS75" i="3"/>
  <c r="IT75" i="3"/>
  <c r="IU75" i="3"/>
  <c r="IV75" i="3"/>
  <c r="A74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V74" i="3"/>
  <c r="AW74" i="3"/>
  <c r="AX74" i="3"/>
  <c r="AY74" i="3"/>
  <c r="AZ74" i="3"/>
  <c r="BA74" i="3"/>
  <c r="BB74" i="3"/>
  <c r="BC74" i="3"/>
  <c r="BD74" i="3"/>
  <c r="BE74" i="3"/>
  <c r="BF74" i="3"/>
  <c r="BG74" i="3"/>
  <c r="BH74" i="3"/>
  <c r="BI74" i="3"/>
  <c r="BJ74" i="3"/>
  <c r="BK74" i="3"/>
  <c r="BL74" i="3"/>
  <c r="BM74" i="3"/>
  <c r="BN74" i="3"/>
  <c r="BO74" i="3"/>
  <c r="BP74" i="3"/>
  <c r="BQ74" i="3"/>
  <c r="BR74" i="3"/>
  <c r="BS74" i="3"/>
  <c r="BT74" i="3"/>
  <c r="BU74" i="3"/>
  <c r="BV74" i="3"/>
  <c r="BW74" i="3"/>
  <c r="BX74" i="3"/>
  <c r="BY74" i="3"/>
  <c r="BZ74" i="3"/>
  <c r="CA74" i="3"/>
  <c r="CB74" i="3"/>
  <c r="CC74" i="3"/>
  <c r="CD74" i="3"/>
  <c r="CE74" i="3"/>
  <c r="CF74" i="3"/>
  <c r="CG74" i="3"/>
  <c r="CH74" i="3"/>
  <c r="CI74" i="3"/>
  <c r="CJ74" i="3"/>
  <c r="CK74" i="3"/>
  <c r="CL74" i="3"/>
  <c r="CM74" i="3"/>
  <c r="CN74" i="3"/>
  <c r="CO74" i="3"/>
  <c r="CP74" i="3"/>
  <c r="CQ74" i="3"/>
  <c r="CR74" i="3"/>
  <c r="CS74" i="3"/>
  <c r="CT74" i="3"/>
  <c r="CU74" i="3"/>
  <c r="CV74" i="3"/>
  <c r="CW74" i="3"/>
  <c r="CX74" i="3"/>
  <c r="CY74" i="3"/>
  <c r="CZ74" i="3"/>
  <c r="DA74" i="3"/>
  <c r="DB74" i="3"/>
  <c r="DC74" i="3"/>
  <c r="DD74" i="3"/>
  <c r="DE74" i="3"/>
  <c r="DF74" i="3"/>
  <c r="DG74" i="3"/>
  <c r="DH74" i="3"/>
  <c r="DI74" i="3"/>
  <c r="DJ74" i="3"/>
  <c r="DK74" i="3"/>
  <c r="DL74" i="3"/>
  <c r="DM74" i="3"/>
  <c r="DN74" i="3"/>
  <c r="DO74" i="3"/>
  <c r="DP74" i="3"/>
  <c r="DQ74" i="3"/>
  <c r="DR74" i="3"/>
  <c r="DS74" i="3"/>
  <c r="DT74" i="3"/>
  <c r="DU74" i="3"/>
  <c r="DV74" i="3"/>
  <c r="DW74" i="3"/>
  <c r="DX74" i="3"/>
  <c r="DY74" i="3"/>
  <c r="DZ74" i="3"/>
  <c r="EA74" i="3"/>
  <c r="EB74" i="3"/>
  <c r="EC74" i="3"/>
  <c r="ED74" i="3"/>
  <c r="EE74" i="3"/>
  <c r="EF74" i="3"/>
  <c r="EG74" i="3"/>
  <c r="EH74" i="3"/>
  <c r="EI74" i="3"/>
  <c r="EJ74" i="3"/>
  <c r="EK74" i="3"/>
  <c r="EL74" i="3"/>
  <c r="EM74" i="3"/>
  <c r="EN74" i="3"/>
  <c r="EO74" i="3"/>
  <c r="EP74" i="3"/>
  <c r="EQ74" i="3"/>
  <c r="ER74" i="3"/>
  <c r="ES74" i="3"/>
  <c r="ET74" i="3"/>
  <c r="EU74" i="3"/>
  <c r="EV74" i="3"/>
  <c r="EW74" i="3"/>
  <c r="EX74" i="3"/>
  <c r="EY74" i="3"/>
  <c r="EZ74" i="3"/>
  <c r="FA74" i="3"/>
  <c r="FB74" i="3"/>
  <c r="FC74" i="3"/>
  <c r="FD74" i="3"/>
  <c r="FE74" i="3"/>
  <c r="FF74" i="3"/>
  <c r="FG74" i="3"/>
  <c r="FH74" i="3"/>
  <c r="FI74" i="3"/>
  <c r="FJ74" i="3"/>
  <c r="FK74" i="3"/>
  <c r="FL74" i="3"/>
  <c r="FM74" i="3"/>
  <c r="FN74" i="3"/>
  <c r="FO74" i="3"/>
  <c r="FP74" i="3"/>
  <c r="FQ74" i="3"/>
  <c r="FR74" i="3"/>
  <c r="FS74" i="3"/>
  <c r="FT74" i="3"/>
  <c r="FU74" i="3"/>
  <c r="FV74" i="3"/>
  <c r="FW74" i="3"/>
  <c r="FX74" i="3"/>
  <c r="FY74" i="3"/>
  <c r="FZ74" i="3"/>
  <c r="GA74" i="3"/>
  <c r="GB74" i="3"/>
  <c r="GC74" i="3"/>
  <c r="GD74" i="3"/>
  <c r="GE74" i="3"/>
  <c r="GF74" i="3"/>
  <c r="GG74" i="3"/>
  <c r="GH74" i="3"/>
  <c r="GI74" i="3"/>
  <c r="GJ74" i="3"/>
  <c r="GK74" i="3"/>
  <c r="GL74" i="3"/>
  <c r="GM74" i="3"/>
  <c r="GN74" i="3"/>
  <c r="GO74" i="3"/>
  <c r="GP74" i="3"/>
  <c r="GQ74" i="3"/>
  <c r="GR74" i="3"/>
  <c r="GS74" i="3"/>
  <c r="GT74" i="3"/>
  <c r="GU74" i="3"/>
  <c r="GV74" i="3"/>
  <c r="GW74" i="3"/>
  <c r="GX74" i="3"/>
  <c r="GY74" i="3"/>
  <c r="GZ74" i="3"/>
  <c r="HA74" i="3"/>
  <c r="HB74" i="3"/>
  <c r="HC74" i="3"/>
  <c r="HD74" i="3"/>
  <c r="HE74" i="3"/>
  <c r="HF74" i="3"/>
  <c r="HG74" i="3"/>
  <c r="HH74" i="3"/>
  <c r="HI74" i="3"/>
  <c r="HJ74" i="3"/>
  <c r="HK74" i="3"/>
  <c r="HL74" i="3"/>
  <c r="HM74" i="3"/>
  <c r="HN74" i="3"/>
  <c r="HO74" i="3"/>
  <c r="HP74" i="3"/>
  <c r="HQ74" i="3"/>
  <c r="HR74" i="3"/>
  <c r="HS74" i="3"/>
  <c r="HT74" i="3"/>
  <c r="HU74" i="3"/>
  <c r="HV74" i="3"/>
  <c r="HW74" i="3"/>
  <c r="HX74" i="3"/>
  <c r="HY74" i="3"/>
  <c r="HZ74" i="3"/>
  <c r="IA74" i="3"/>
  <c r="IB74" i="3"/>
  <c r="IC74" i="3"/>
  <c r="ID74" i="3"/>
  <c r="IE74" i="3"/>
  <c r="IF74" i="3"/>
  <c r="IG74" i="3"/>
  <c r="IH74" i="3"/>
  <c r="II74" i="3"/>
  <c r="IJ74" i="3"/>
  <c r="IK74" i="3"/>
  <c r="IL74" i="3"/>
  <c r="IM74" i="3"/>
  <c r="IN74" i="3"/>
  <c r="IO74" i="3"/>
  <c r="IP74" i="3"/>
  <c r="IQ74" i="3"/>
  <c r="IR74" i="3"/>
  <c r="IS74" i="3"/>
  <c r="IT74" i="3"/>
  <c r="IU74" i="3"/>
  <c r="IV74" i="3"/>
  <c r="A73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V73" i="3"/>
  <c r="AW73" i="3"/>
  <c r="AX73" i="3"/>
  <c r="AY73" i="3"/>
  <c r="AZ73" i="3"/>
  <c r="BA73" i="3"/>
  <c r="BB73" i="3"/>
  <c r="BC73" i="3"/>
  <c r="BD73" i="3"/>
  <c r="BE73" i="3"/>
  <c r="BF73" i="3"/>
  <c r="BG73" i="3"/>
  <c r="BH73" i="3"/>
  <c r="BI73" i="3"/>
  <c r="BJ73" i="3"/>
  <c r="BK73" i="3"/>
  <c r="BL73" i="3"/>
  <c r="BM73" i="3"/>
  <c r="BN73" i="3"/>
  <c r="BO73" i="3"/>
  <c r="BP73" i="3"/>
  <c r="BQ73" i="3"/>
  <c r="BR73" i="3"/>
  <c r="BS73" i="3"/>
  <c r="BT73" i="3"/>
  <c r="BU73" i="3"/>
  <c r="BV73" i="3"/>
  <c r="BW73" i="3"/>
  <c r="BX73" i="3"/>
  <c r="BY73" i="3"/>
  <c r="BZ73" i="3"/>
  <c r="CA73" i="3"/>
  <c r="CB73" i="3"/>
  <c r="CC73" i="3"/>
  <c r="CD73" i="3"/>
  <c r="CE73" i="3"/>
  <c r="CF73" i="3"/>
  <c r="CG73" i="3"/>
  <c r="CH73" i="3"/>
  <c r="CI73" i="3"/>
  <c r="CJ73" i="3"/>
  <c r="CK73" i="3"/>
  <c r="CL73" i="3"/>
  <c r="CM73" i="3"/>
  <c r="CN73" i="3"/>
  <c r="CO73" i="3"/>
  <c r="CP73" i="3"/>
  <c r="CQ73" i="3"/>
  <c r="CR73" i="3"/>
  <c r="CS73" i="3"/>
  <c r="CT73" i="3"/>
  <c r="CU73" i="3"/>
  <c r="CV73" i="3"/>
  <c r="CW73" i="3"/>
  <c r="CX73" i="3"/>
  <c r="CY73" i="3"/>
  <c r="CZ73" i="3"/>
  <c r="DA73" i="3"/>
  <c r="DB73" i="3"/>
  <c r="DC73" i="3"/>
  <c r="DD73" i="3"/>
  <c r="DE73" i="3"/>
  <c r="DF73" i="3"/>
  <c r="DG73" i="3"/>
  <c r="DH73" i="3"/>
  <c r="DI73" i="3"/>
  <c r="DJ73" i="3"/>
  <c r="DK73" i="3"/>
  <c r="DL73" i="3"/>
  <c r="DM73" i="3"/>
  <c r="DN73" i="3"/>
  <c r="DO73" i="3"/>
  <c r="DP73" i="3"/>
  <c r="DQ73" i="3"/>
  <c r="DR73" i="3"/>
  <c r="DS73" i="3"/>
  <c r="DT73" i="3"/>
  <c r="DU73" i="3"/>
  <c r="DV73" i="3"/>
  <c r="DW73" i="3"/>
  <c r="DX73" i="3"/>
  <c r="DY73" i="3"/>
  <c r="DZ73" i="3"/>
  <c r="EA73" i="3"/>
  <c r="EB73" i="3"/>
  <c r="EC73" i="3"/>
  <c r="ED73" i="3"/>
  <c r="EE73" i="3"/>
  <c r="EF73" i="3"/>
  <c r="EG73" i="3"/>
  <c r="EH73" i="3"/>
  <c r="EI73" i="3"/>
  <c r="EJ73" i="3"/>
  <c r="EK73" i="3"/>
  <c r="EL73" i="3"/>
  <c r="EM73" i="3"/>
  <c r="EN73" i="3"/>
  <c r="EO73" i="3"/>
  <c r="EP73" i="3"/>
  <c r="EQ73" i="3"/>
  <c r="ER73" i="3"/>
  <c r="ES73" i="3"/>
  <c r="ET73" i="3"/>
  <c r="EU73" i="3"/>
  <c r="EV73" i="3"/>
  <c r="EW73" i="3"/>
  <c r="EX73" i="3"/>
  <c r="EY73" i="3"/>
  <c r="EZ73" i="3"/>
  <c r="FA73" i="3"/>
  <c r="FB73" i="3"/>
  <c r="FC73" i="3"/>
  <c r="FD73" i="3"/>
  <c r="FE73" i="3"/>
  <c r="FF73" i="3"/>
  <c r="FG73" i="3"/>
  <c r="FH73" i="3"/>
  <c r="FI73" i="3"/>
  <c r="FJ73" i="3"/>
  <c r="FK73" i="3"/>
  <c r="FL73" i="3"/>
  <c r="FM73" i="3"/>
  <c r="FN73" i="3"/>
  <c r="FO73" i="3"/>
  <c r="FP73" i="3"/>
  <c r="FQ73" i="3"/>
  <c r="FR73" i="3"/>
  <c r="FS73" i="3"/>
  <c r="FT73" i="3"/>
  <c r="FU73" i="3"/>
  <c r="FV73" i="3"/>
  <c r="FW73" i="3"/>
  <c r="FX73" i="3"/>
  <c r="FY73" i="3"/>
  <c r="FZ73" i="3"/>
  <c r="GA73" i="3"/>
  <c r="GB73" i="3"/>
  <c r="GC73" i="3"/>
  <c r="GD73" i="3"/>
  <c r="GE73" i="3"/>
  <c r="GF73" i="3"/>
  <c r="GG73" i="3"/>
  <c r="GH73" i="3"/>
  <c r="GI73" i="3"/>
  <c r="GJ73" i="3"/>
  <c r="GK73" i="3"/>
  <c r="GL73" i="3"/>
  <c r="GM73" i="3"/>
  <c r="GN73" i="3"/>
  <c r="GO73" i="3"/>
  <c r="GP73" i="3"/>
  <c r="GQ73" i="3"/>
  <c r="GR73" i="3"/>
  <c r="GS73" i="3"/>
  <c r="GT73" i="3"/>
  <c r="GU73" i="3"/>
  <c r="GV73" i="3"/>
  <c r="GW73" i="3"/>
  <c r="GX73" i="3"/>
  <c r="GY73" i="3"/>
  <c r="GZ73" i="3"/>
  <c r="HA73" i="3"/>
  <c r="HB73" i="3"/>
  <c r="HC73" i="3"/>
  <c r="HD73" i="3"/>
  <c r="HE73" i="3"/>
  <c r="HF73" i="3"/>
  <c r="HG73" i="3"/>
  <c r="HH73" i="3"/>
  <c r="HI73" i="3"/>
  <c r="HJ73" i="3"/>
  <c r="HK73" i="3"/>
  <c r="HL73" i="3"/>
  <c r="HM73" i="3"/>
  <c r="HN73" i="3"/>
  <c r="HO73" i="3"/>
  <c r="HP73" i="3"/>
  <c r="HQ73" i="3"/>
  <c r="HR73" i="3"/>
  <c r="HS73" i="3"/>
  <c r="HT73" i="3"/>
  <c r="HU73" i="3"/>
  <c r="HV73" i="3"/>
  <c r="HW73" i="3"/>
  <c r="HX73" i="3"/>
  <c r="HY73" i="3"/>
  <c r="HZ73" i="3"/>
  <c r="IA73" i="3"/>
  <c r="IB73" i="3"/>
  <c r="IC73" i="3"/>
  <c r="ID73" i="3"/>
  <c r="IE73" i="3"/>
  <c r="IF73" i="3"/>
  <c r="IG73" i="3"/>
  <c r="IH73" i="3"/>
  <c r="II73" i="3"/>
  <c r="IJ73" i="3"/>
  <c r="IK73" i="3"/>
  <c r="IL73" i="3"/>
  <c r="IM73" i="3"/>
  <c r="IN73" i="3"/>
  <c r="IO73" i="3"/>
  <c r="IP73" i="3"/>
  <c r="IQ73" i="3"/>
  <c r="IR73" i="3"/>
  <c r="IS73" i="3"/>
  <c r="IT73" i="3"/>
  <c r="IU73" i="3"/>
  <c r="IV73" i="3"/>
  <c r="A72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V72" i="3"/>
  <c r="AW72" i="3"/>
  <c r="AX72" i="3"/>
  <c r="AY72" i="3"/>
  <c r="AZ72" i="3"/>
  <c r="BA72" i="3"/>
  <c r="BB72" i="3"/>
  <c r="BC72" i="3"/>
  <c r="BD72" i="3"/>
  <c r="BE72" i="3"/>
  <c r="BF72" i="3"/>
  <c r="BG72" i="3"/>
  <c r="BH72" i="3"/>
  <c r="BI72" i="3"/>
  <c r="BJ72" i="3"/>
  <c r="BK72" i="3"/>
  <c r="BL72" i="3"/>
  <c r="BM72" i="3"/>
  <c r="BN72" i="3"/>
  <c r="BO72" i="3"/>
  <c r="BP72" i="3"/>
  <c r="BQ72" i="3"/>
  <c r="BR72" i="3"/>
  <c r="BS72" i="3"/>
  <c r="BT72" i="3"/>
  <c r="BU72" i="3"/>
  <c r="BV72" i="3"/>
  <c r="BW72" i="3"/>
  <c r="BX72" i="3"/>
  <c r="BY72" i="3"/>
  <c r="BZ72" i="3"/>
  <c r="CA72" i="3"/>
  <c r="CB72" i="3"/>
  <c r="CC72" i="3"/>
  <c r="CD72" i="3"/>
  <c r="CE72" i="3"/>
  <c r="CF72" i="3"/>
  <c r="CG72" i="3"/>
  <c r="CH72" i="3"/>
  <c r="CI72" i="3"/>
  <c r="CJ72" i="3"/>
  <c r="CK72" i="3"/>
  <c r="CL72" i="3"/>
  <c r="CM72" i="3"/>
  <c r="CN72" i="3"/>
  <c r="CO72" i="3"/>
  <c r="CP72" i="3"/>
  <c r="CQ72" i="3"/>
  <c r="CR72" i="3"/>
  <c r="CS72" i="3"/>
  <c r="CT72" i="3"/>
  <c r="CU72" i="3"/>
  <c r="CV72" i="3"/>
  <c r="CW72" i="3"/>
  <c r="CX72" i="3"/>
  <c r="CY72" i="3"/>
  <c r="CZ72" i="3"/>
  <c r="DA72" i="3"/>
  <c r="DB72" i="3"/>
  <c r="DC72" i="3"/>
  <c r="DD72" i="3"/>
  <c r="DE72" i="3"/>
  <c r="DF72" i="3"/>
  <c r="DG72" i="3"/>
  <c r="DH72" i="3"/>
  <c r="DI72" i="3"/>
  <c r="DJ72" i="3"/>
  <c r="DK72" i="3"/>
  <c r="DL72" i="3"/>
  <c r="DM72" i="3"/>
  <c r="DN72" i="3"/>
  <c r="DO72" i="3"/>
  <c r="DP72" i="3"/>
  <c r="DQ72" i="3"/>
  <c r="DR72" i="3"/>
  <c r="DS72" i="3"/>
  <c r="DT72" i="3"/>
  <c r="DU72" i="3"/>
  <c r="DV72" i="3"/>
  <c r="DW72" i="3"/>
  <c r="DX72" i="3"/>
  <c r="DY72" i="3"/>
  <c r="DZ72" i="3"/>
  <c r="EA72" i="3"/>
  <c r="EB72" i="3"/>
  <c r="EC72" i="3"/>
  <c r="ED72" i="3"/>
  <c r="EE72" i="3"/>
  <c r="EF72" i="3"/>
  <c r="EG72" i="3"/>
  <c r="EH72" i="3"/>
  <c r="EI72" i="3"/>
  <c r="EJ72" i="3"/>
  <c r="EK72" i="3"/>
  <c r="EL72" i="3"/>
  <c r="EM72" i="3"/>
  <c r="EN72" i="3"/>
  <c r="EO72" i="3"/>
  <c r="EP72" i="3"/>
  <c r="EQ72" i="3"/>
  <c r="ER72" i="3"/>
  <c r="ES72" i="3"/>
  <c r="ET72" i="3"/>
  <c r="EU72" i="3"/>
  <c r="EV72" i="3"/>
  <c r="EW72" i="3"/>
  <c r="EX72" i="3"/>
  <c r="EY72" i="3"/>
  <c r="EZ72" i="3"/>
  <c r="FA72" i="3"/>
  <c r="FB72" i="3"/>
  <c r="FC72" i="3"/>
  <c r="FD72" i="3"/>
  <c r="FE72" i="3"/>
  <c r="FF72" i="3"/>
  <c r="FG72" i="3"/>
  <c r="FH72" i="3"/>
  <c r="FI72" i="3"/>
  <c r="FJ72" i="3"/>
  <c r="FK72" i="3"/>
  <c r="FL72" i="3"/>
  <c r="FM72" i="3"/>
  <c r="FN72" i="3"/>
  <c r="FO72" i="3"/>
  <c r="FP72" i="3"/>
  <c r="FQ72" i="3"/>
  <c r="FR72" i="3"/>
  <c r="FS72" i="3"/>
  <c r="FT72" i="3"/>
  <c r="FU72" i="3"/>
  <c r="FV72" i="3"/>
  <c r="FW72" i="3"/>
  <c r="FX72" i="3"/>
  <c r="FY72" i="3"/>
  <c r="FZ72" i="3"/>
  <c r="GA72" i="3"/>
  <c r="GB72" i="3"/>
  <c r="GC72" i="3"/>
  <c r="GD72" i="3"/>
  <c r="GE72" i="3"/>
  <c r="GF72" i="3"/>
  <c r="GG72" i="3"/>
  <c r="GH72" i="3"/>
  <c r="GI72" i="3"/>
  <c r="GJ72" i="3"/>
  <c r="GK72" i="3"/>
  <c r="GL72" i="3"/>
  <c r="GM72" i="3"/>
  <c r="GN72" i="3"/>
  <c r="GO72" i="3"/>
  <c r="GP72" i="3"/>
  <c r="GQ72" i="3"/>
  <c r="GR72" i="3"/>
  <c r="GS72" i="3"/>
  <c r="GT72" i="3"/>
  <c r="GU72" i="3"/>
  <c r="GV72" i="3"/>
  <c r="GW72" i="3"/>
  <c r="GX72" i="3"/>
  <c r="GY72" i="3"/>
  <c r="GZ72" i="3"/>
  <c r="HA72" i="3"/>
  <c r="HB72" i="3"/>
  <c r="HC72" i="3"/>
  <c r="HD72" i="3"/>
  <c r="HE72" i="3"/>
  <c r="HF72" i="3"/>
  <c r="HG72" i="3"/>
  <c r="HH72" i="3"/>
  <c r="HI72" i="3"/>
  <c r="HJ72" i="3"/>
  <c r="HK72" i="3"/>
  <c r="HL72" i="3"/>
  <c r="HM72" i="3"/>
  <c r="HN72" i="3"/>
  <c r="HO72" i="3"/>
  <c r="HP72" i="3"/>
  <c r="HQ72" i="3"/>
  <c r="HR72" i="3"/>
  <c r="HS72" i="3"/>
  <c r="HT72" i="3"/>
  <c r="HU72" i="3"/>
  <c r="HV72" i="3"/>
  <c r="HW72" i="3"/>
  <c r="HX72" i="3"/>
  <c r="HY72" i="3"/>
  <c r="HZ72" i="3"/>
  <c r="IA72" i="3"/>
  <c r="IB72" i="3"/>
  <c r="IC72" i="3"/>
  <c r="ID72" i="3"/>
  <c r="IE72" i="3"/>
  <c r="IF72" i="3"/>
  <c r="IG72" i="3"/>
  <c r="IH72" i="3"/>
  <c r="II72" i="3"/>
  <c r="IJ72" i="3"/>
  <c r="IK72" i="3"/>
  <c r="IL72" i="3"/>
  <c r="IM72" i="3"/>
  <c r="IN72" i="3"/>
  <c r="IO72" i="3"/>
  <c r="IP72" i="3"/>
  <c r="IQ72" i="3"/>
  <c r="IR72" i="3"/>
  <c r="IS72" i="3"/>
  <c r="IT72" i="3"/>
  <c r="IU72" i="3"/>
  <c r="IV72" i="3"/>
  <c r="A71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BJ71" i="3"/>
  <c r="BK71" i="3"/>
  <c r="BL71" i="3"/>
  <c r="BM71" i="3"/>
  <c r="BN71" i="3"/>
  <c r="BO71" i="3"/>
  <c r="BP71" i="3"/>
  <c r="BQ71" i="3"/>
  <c r="BR71" i="3"/>
  <c r="BS71" i="3"/>
  <c r="BT71" i="3"/>
  <c r="BU71" i="3"/>
  <c r="BV71" i="3"/>
  <c r="BW71" i="3"/>
  <c r="BX71" i="3"/>
  <c r="BY71" i="3"/>
  <c r="BZ71" i="3"/>
  <c r="CA71" i="3"/>
  <c r="CB71" i="3"/>
  <c r="CC71" i="3"/>
  <c r="CD71" i="3"/>
  <c r="CE71" i="3"/>
  <c r="CF71" i="3"/>
  <c r="CG71" i="3"/>
  <c r="CH71" i="3"/>
  <c r="CI71" i="3"/>
  <c r="CJ71" i="3"/>
  <c r="CK71" i="3"/>
  <c r="CL71" i="3"/>
  <c r="CM71" i="3"/>
  <c r="CN71" i="3"/>
  <c r="CO71" i="3"/>
  <c r="CP71" i="3"/>
  <c r="CQ71" i="3"/>
  <c r="CR71" i="3"/>
  <c r="CS71" i="3"/>
  <c r="CT71" i="3"/>
  <c r="CU71" i="3"/>
  <c r="CV71" i="3"/>
  <c r="CW71" i="3"/>
  <c r="CX71" i="3"/>
  <c r="CY71" i="3"/>
  <c r="CZ71" i="3"/>
  <c r="DA71" i="3"/>
  <c r="DB71" i="3"/>
  <c r="DC71" i="3"/>
  <c r="DD71" i="3"/>
  <c r="DE71" i="3"/>
  <c r="DF71" i="3"/>
  <c r="DG71" i="3"/>
  <c r="DH71" i="3"/>
  <c r="DI71" i="3"/>
  <c r="DJ71" i="3"/>
  <c r="DK71" i="3"/>
  <c r="DL71" i="3"/>
  <c r="DM71" i="3"/>
  <c r="DN71" i="3"/>
  <c r="DO71" i="3"/>
  <c r="DP71" i="3"/>
  <c r="DQ71" i="3"/>
  <c r="DR71" i="3"/>
  <c r="DS71" i="3"/>
  <c r="DT71" i="3"/>
  <c r="DU71" i="3"/>
  <c r="DV71" i="3"/>
  <c r="DW71" i="3"/>
  <c r="DX71" i="3"/>
  <c r="DY71" i="3"/>
  <c r="DZ71" i="3"/>
  <c r="EA71" i="3"/>
  <c r="EB71" i="3"/>
  <c r="EC71" i="3"/>
  <c r="ED71" i="3"/>
  <c r="EE71" i="3"/>
  <c r="EF71" i="3"/>
  <c r="EG71" i="3"/>
  <c r="EH71" i="3"/>
  <c r="EI71" i="3"/>
  <c r="EJ71" i="3"/>
  <c r="EK71" i="3"/>
  <c r="EL71" i="3"/>
  <c r="EM71" i="3"/>
  <c r="EN71" i="3"/>
  <c r="EO71" i="3"/>
  <c r="EP71" i="3"/>
  <c r="EQ71" i="3"/>
  <c r="ER71" i="3"/>
  <c r="ES71" i="3"/>
  <c r="ET71" i="3"/>
  <c r="EU71" i="3"/>
  <c r="EV71" i="3"/>
  <c r="EW71" i="3"/>
  <c r="EX71" i="3"/>
  <c r="EY71" i="3"/>
  <c r="EZ71" i="3"/>
  <c r="FA71" i="3"/>
  <c r="FB71" i="3"/>
  <c r="FC71" i="3"/>
  <c r="FD71" i="3"/>
  <c r="FE71" i="3"/>
  <c r="FF71" i="3"/>
  <c r="FG71" i="3"/>
  <c r="FH71" i="3"/>
  <c r="FI71" i="3"/>
  <c r="FJ71" i="3"/>
  <c r="FK71" i="3"/>
  <c r="FL71" i="3"/>
  <c r="FM71" i="3"/>
  <c r="FN71" i="3"/>
  <c r="FO71" i="3"/>
  <c r="FP71" i="3"/>
  <c r="FQ71" i="3"/>
  <c r="FR71" i="3"/>
  <c r="FS71" i="3"/>
  <c r="FT71" i="3"/>
  <c r="FU71" i="3"/>
  <c r="FV71" i="3"/>
  <c r="FW71" i="3"/>
  <c r="FX71" i="3"/>
  <c r="FY71" i="3"/>
  <c r="FZ71" i="3"/>
  <c r="GA71" i="3"/>
  <c r="GB71" i="3"/>
  <c r="GC71" i="3"/>
  <c r="GD71" i="3"/>
  <c r="GE71" i="3"/>
  <c r="GF71" i="3"/>
  <c r="GG71" i="3"/>
  <c r="GH71" i="3"/>
  <c r="GI71" i="3"/>
  <c r="GJ71" i="3"/>
  <c r="GK71" i="3"/>
  <c r="GL71" i="3"/>
  <c r="GM71" i="3"/>
  <c r="GN71" i="3"/>
  <c r="GO71" i="3"/>
  <c r="GP71" i="3"/>
  <c r="GQ71" i="3"/>
  <c r="GR71" i="3"/>
  <c r="GS71" i="3"/>
  <c r="GT71" i="3"/>
  <c r="GU71" i="3"/>
  <c r="GV71" i="3"/>
  <c r="GW71" i="3"/>
  <c r="GX71" i="3"/>
  <c r="GY71" i="3"/>
  <c r="GZ71" i="3"/>
  <c r="HA71" i="3"/>
  <c r="HB71" i="3"/>
  <c r="HC71" i="3"/>
  <c r="HD71" i="3"/>
  <c r="HE71" i="3"/>
  <c r="HF71" i="3"/>
  <c r="HG71" i="3"/>
  <c r="HH71" i="3"/>
  <c r="HI71" i="3"/>
  <c r="HJ71" i="3"/>
  <c r="HK71" i="3"/>
  <c r="HL71" i="3"/>
  <c r="HM71" i="3"/>
  <c r="HN71" i="3"/>
  <c r="HO71" i="3"/>
  <c r="HP71" i="3"/>
  <c r="HQ71" i="3"/>
  <c r="HR71" i="3"/>
  <c r="HS71" i="3"/>
  <c r="HT71" i="3"/>
  <c r="HU71" i="3"/>
  <c r="HV71" i="3"/>
  <c r="HW71" i="3"/>
  <c r="HX71" i="3"/>
  <c r="HY71" i="3"/>
  <c r="HZ71" i="3"/>
  <c r="IA71" i="3"/>
  <c r="IB71" i="3"/>
  <c r="IC71" i="3"/>
  <c r="ID71" i="3"/>
  <c r="IE71" i="3"/>
  <c r="IF71" i="3"/>
  <c r="IG71" i="3"/>
  <c r="IH71" i="3"/>
  <c r="II71" i="3"/>
  <c r="IJ71" i="3"/>
  <c r="IK71" i="3"/>
  <c r="IL71" i="3"/>
  <c r="IM71" i="3"/>
  <c r="IN71" i="3"/>
  <c r="IO71" i="3"/>
  <c r="IP71" i="3"/>
  <c r="IQ71" i="3"/>
  <c r="IR71" i="3"/>
  <c r="IS71" i="3"/>
  <c r="IT71" i="3"/>
  <c r="IU71" i="3"/>
  <c r="IV71" i="3"/>
  <c r="A70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V70" i="3"/>
  <c r="AW70" i="3"/>
  <c r="AX70" i="3"/>
  <c r="AY70" i="3"/>
  <c r="AZ70" i="3"/>
  <c r="BA70" i="3"/>
  <c r="BB70" i="3"/>
  <c r="BC70" i="3"/>
  <c r="BD70" i="3"/>
  <c r="BE70" i="3"/>
  <c r="BF70" i="3"/>
  <c r="BG70" i="3"/>
  <c r="BH70" i="3"/>
  <c r="BI70" i="3"/>
  <c r="BJ70" i="3"/>
  <c r="BK70" i="3"/>
  <c r="BL70" i="3"/>
  <c r="BM70" i="3"/>
  <c r="BN70" i="3"/>
  <c r="BO70" i="3"/>
  <c r="BP70" i="3"/>
  <c r="BQ70" i="3"/>
  <c r="BR70" i="3"/>
  <c r="BS70" i="3"/>
  <c r="BT70" i="3"/>
  <c r="BU70" i="3"/>
  <c r="BV70" i="3"/>
  <c r="BW70" i="3"/>
  <c r="BX70" i="3"/>
  <c r="BY70" i="3"/>
  <c r="BZ70" i="3"/>
  <c r="CA70" i="3"/>
  <c r="CB70" i="3"/>
  <c r="CC70" i="3"/>
  <c r="CD70" i="3"/>
  <c r="CE70" i="3"/>
  <c r="CF70" i="3"/>
  <c r="CG70" i="3"/>
  <c r="CH70" i="3"/>
  <c r="CI70" i="3"/>
  <c r="CJ70" i="3"/>
  <c r="CK70" i="3"/>
  <c r="CL70" i="3"/>
  <c r="CM70" i="3"/>
  <c r="CN70" i="3"/>
  <c r="CO70" i="3"/>
  <c r="CP70" i="3"/>
  <c r="CQ70" i="3"/>
  <c r="CR70" i="3"/>
  <c r="CS70" i="3"/>
  <c r="CT70" i="3"/>
  <c r="CU70" i="3"/>
  <c r="CV70" i="3"/>
  <c r="CW70" i="3"/>
  <c r="CX70" i="3"/>
  <c r="CY70" i="3"/>
  <c r="CZ70" i="3"/>
  <c r="DA70" i="3"/>
  <c r="DB70" i="3"/>
  <c r="DC70" i="3"/>
  <c r="DD70" i="3"/>
  <c r="DE70" i="3"/>
  <c r="DF70" i="3"/>
  <c r="DG70" i="3"/>
  <c r="DH70" i="3"/>
  <c r="DI70" i="3"/>
  <c r="DJ70" i="3"/>
  <c r="DK70" i="3"/>
  <c r="DL70" i="3"/>
  <c r="DM70" i="3"/>
  <c r="DN70" i="3"/>
  <c r="DO70" i="3"/>
  <c r="DP70" i="3"/>
  <c r="DQ70" i="3"/>
  <c r="DR70" i="3"/>
  <c r="DS70" i="3"/>
  <c r="DT70" i="3"/>
  <c r="DU70" i="3"/>
  <c r="DV70" i="3"/>
  <c r="DW70" i="3"/>
  <c r="DX70" i="3"/>
  <c r="DY70" i="3"/>
  <c r="DZ70" i="3"/>
  <c r="EA70" i="3"/>
  <c r="EB70" i="3"/>
  <c r="EC70" i="3"/>
  <c r="ED70" i="3"/>
  <c r="EE70" i="3"/>
  <c r="EF70" i="3"/>
  <c r="EG70" i="3"/>
  <c r="EH70" i="3"/>
  <c r="EI70" i="3"/>
  <c r="EJ70" i="3"/>
  <c r="EK70" i="3"/>
  <c r="EL70" i="3"/>
  <c r="EM70" i="3"/>
  <c r="EN70" i="3"/>
  <c r="EO70" i="3"/>
  <c r="EP70" i="3"/>
  <c r="EQ70" i="3"/>
  <c r="ER70" i="3"/>
  <c r="ES70" i="3"/>
  <c r="ET70" i="3"/>
  <c r="EU70" i="3"/>
  <c r="EV70" i="3"/>
  <c r="EW70" i="3"/>
  <c r="EX70" i="3"/>
  <c r="EY70" i="3"/>
  <c r="EZ70" i="3"/>
  <c r="FA70" i="3"/>
  <c r="FB70" i="3"/>
  <c r="FC70" i="3"/>
  <c r="FD70" i="3"/>
  <c r="FE70" i="3"/>
  <c r="FF70" i="3"/>
  <c r="FG70" i="3"/>
  <c r="FH70" i="3"/>
  <c r="FI70" i="3"/>
  <c r="FJ70" i="3"/>
  <c r="FK70" i="3"/>
  <c r="FL70" i="3"/>
  <c r="FM70" i="3"/>
  <c r="FN70" i="3"/>
  <c r="FO70" i="3"/>
  <c r="FP70" i="3"/>
  <c r="FQ70" i="3"/>
  <c r="FR70" i="3"/>
  <c r="FS70" i="3"/>
  <c r="FT70" i="3"/>
  <c r="FU70" i="3"/>
  <c r="FV70" i="3"/>
  <c r="FW70" i="3"/>
  <c r="FX70" i="3"/>
  <c r="FY70" i="3"/>
  <c r="FZ70" i="3"/>
  <c r="GA70" i="3"/>
  <c r="GB70" i="3"/>
  <c r="GC70" i="3"/>
  <c r="GD70" i="3"/>
  <c r="GE70" i="3"/>
  <c r="GF70" i="3"/>
  <c r="GG70" i="3"/>
  <c r="GH70" i="3"/>
  <c r="GI70" i="3"/>
  <c r="GJ70" i="3"/>
  <c r="GK70" i="3"/>
  <c r="GL70" i="3"/>
  <c r="GM70" i="3"/>
  <c r="GN70" i="3"/>
  <c r="GO70" i="3"/>
  <c r="GP70" i="3"/>
  <c r="GQ70" i="3"/>
  <c r="GR70" i="3"/>
  <c r="GS70" i="3"/>
  <c r="GT70" i="3"/>
  <c r="GU70" i="3"/>
  <c r="GV70" i="3"/>
  <c r="GW70" i="3"/>
  <c r="GX70" i="3"/>
  <c r="GY70" i="3"/>
  <c r="GZ70" i="3"/>
  <c r="HA70" i="3"/>
  <c r="HB70" i="3"/>
  <c r="HC70" i="3"/>
  <c r="HD70" i="3"/>
  <c r="HE70" i="3"/>
  <c r="HF70" i="3"/>
  <c r="HG70" i="3"/>
  <c r="HH70" i="3"/>
  <c r="HI70" i="3"/>
  <c r="HJ70" i="3"/>
  <c r="HK70" i="3"/>
  <c r="HL70" i="3"/>
  <c r="HM70" i="3"/>
  <c r="HN70" i="3"/>
  <c r="HO70" i="3"/>
  <c r="HP70" i="3"/>
  <c r="HQ70" i="3"/>
  <c r="HR70" i="3"/>
  <c r="HS70" i="3"/>
  <c r="HT70" i="3"/>
  <c r="HU70" i="3"/>
  <c r="HV70" i="3"/>
  <c r="HW70" i="3"/>
  <c r="HX70" i="3"/>
  <c r="HY70" i="3"/>
  <c r="HZ70" i="3"/>
  <c r="IA70" i="3"/>
  <c r="IB70" i="3"/>
  <c r="IC70" i="3"/>
  <c r="ID70" i="3"/>
  <c r="IE70" i="3"/>
  <c r="IF70" i="3"/>
  <c r="IG70" i="3"/>
  <c r="IH70" i="3"/>
  <c r="II70" i="3"/>
  <c r="IJ70" i="3"/>
  <c r="IK70" i="3"/>
  <c r="IL70" i="3"/>
  <c r="IM70" i="3"/>
  <c r="IN70" i="3"/>
  <c r="IO70" i="3"/>
  <c r="IP70" i="3"/>
  <c r="IQ70" i="3"/>
  <c r="IR70" i="3"/>
  <c r="IS70" i="3"/>
  <c r="IT70" i="3"/>
  <c r="IU70" i="3"/>
  <c r="IV70" i="3"/>
  <c r="A69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BJ69" i="3"/>
  <c r="BK69" i="3"/>
  <c r="BL69" i="3"/>
  <c r="BM69" i="3"/>
  <c r="BN69" i="3"/>
  <c r="BO69" i="3"/>
  <c r="BP69" i="3"/>
  <c r="BQ69" i="3"/>
  <c r="BR69" i="3"/>
  <c r="BS69" i="3"/>
  <c r="BT69" i="3"/>
  <c r="BU69" i="3"/>
  <c r="BV69" i="3"/>
  <c r="BW69" i="3"/>
  <c r="BX69" i="3"/>
  <c r="BY69" i="3"/>
  <c r="BZ69" i="3"/>
  <c r="CA69" i="3"/>
  <c r="CB69" i="3"/>
  <c r="CC69" i="3"/>
  <c r="CD69" i="3"/>
  <c r="CE69" i="3"/>
  <c r="CF69" i="3"/>
  <c r="CG69" i="3"/>
  <c r="CH69" i="3"/>
  <c r="CI69" i="3"/>
  <c r="CJ69" i="3"/>
  <c r="CK69" i="3"/>
  <c r="CL69" i="3"/>
  <c r="CM69" i="3"/>
  <c r="CN69" i="3"/>
  <c r="CO69" i="3"/>
  <c r="CP69" i="3"/>
  <c r="CQ69" i="3"/>
  <c r="CR69" i="3"/>
  <c r="CS69" i="3"/>
  <c r="CT69" i="3"/>
  <c r="CU69" i="3"/>
  <c r="CV69" i="3"/>
  <c r="CW69" i="3"/>
  <c r="CX69" i="3"/>
  <c r="CY69" i="3"/>
  <c r="CZ69" i="3"/>
  <c r="DA69" i="3"/>
  <c r="DB69" i="3"/>
  <c r="DC69" i="3"/>
  <c r="DD69" i="3"/>
  <c r="DE69" i="3"/>
  <c r="DF69" i="3"/>
  <c r="DG69" i="3"/>
  <c r="DH69" i="3"/>
  <c r="DI69" i="3"/>
  <c r="DJ69" i="3"/>
  <c r="DK69" i="3"/>
  <c r="DL69" i="3"/>
  <c r="DM69" i="3"/>
  <c r="DN69" i="3"/>
  <c r="DO69" i="3"/>
  <c r="DP69" i="3"/>
  <c r="DQ69" i="3"/>
  <c r="DR69" i="3"/>
  <c r="DS69" i="3"/>
  <c r="DT69" i="3"/>
  <c r="DU69" i="3"/>
  <c r="DV69" i="3"/>
  <c r="DW69" i="3"/>
  <c r="DX69" i="3"/>
  <c r="DY69" i="3"/>
  <c r="DZ69" i="3"/>
  <c r="EA69" i="3"/>
  <c r="EB69" i="3"/>
  <c r="EC69" i="3"/>
  <c r="ED69" i="3"/>
  <c r="EE69" i="3"/>
  <c r="EF69" i="3"/>
  <c r="EG69" i="3"/>
  <c r="EH69" i="3"/>
  <c r="EI69" i="3"/>
  <c r="EJ69" i="3"/>
  <c r="EK69" i="3"/>
  <c r="EL69" i="3"/>
  <c r="EM69" i="3"/>
  <c r="EN69" i="3"/>
  <c r="EO69" i="3"/>
  <c r="EP69" i="3"/>
  <c r="EQ69" i="3"/>
  <c r="ER69" i="3"/>
  <c r="ES69" i="3"/>
  <c r="ET69" i="3"/>
  <c r="EU69" i="3"/>
  <c r="EV69" i="3"/>
  <c r="EW69" i="3"/>
  <c r="EX69" i="3"/>
  <c r="EY69" i="3"/>
  <c r="EZ69" i="3"/>
  <c r="FA69" i="3"/>
  <c r="FB69" i="3"/>
  <c r="FC69" i="3"/>
  <c r="FD69" i="3"/>
  <c r="FE69" i="3"/>
  <c r="FF69" i="3"/>
  <c r="FG69" i="3"/>
  <c r="FH69" i="3"/>
  <c r="FI69" i="3"/>
  <c r="FJ69" i="3"/>
  <c r="FK69" i="3"/>
  <c r="FL69" i="3"/>
  <c r="FM69" i="3"/>
  <c r="FN69" i="3"/>
  <c r="FO69" i="3"/>
  <c r="FP69" i="3"/>
  <c r="FQ69" i="3"/>
  <c r="FR69" i="3"/>
  <c r="FS69" i="3"/>
  <c r="FT69" i="3"/>
  <c r="FU69" i="3"/>
  <c r="FV69" i="3"/>
  <c r="FW69" i="3"/>
  <c r="FX69" i="3"/>
  <c r="FY69" i="3"/>
  <c r="FZ69" i="3"/>
  <c r="GA69" i="3"/>
  <c r="GB69" i="3"/>
  <c r="GC69" i="3"/>
  <c r="GD69" i="3"/>
  <c r="GE69" i="3"/>
  <c r="GF69" i="3"/>
  <c r="GG69" i="3"/>
  <c r="GH69" i="3"/>
  <c r="GI69" i="3"/>
  <c r="GJ69" i="3"/>
  <c r="GK69" i="3"/>
  <c r="GL69" i="3"/>
  <c r="GM69" i="3"/>
  <c r="GN69" i="3"/>
  <c r="GO69" i="3"/>
  <c r="GP69" i="3"/>
  <c r="GQ69" i="3"/>
  <c r="GR69" i="3"/>
  <c r="GS69" i="3"/>
  <c r="GT69" i="3"/>
  <c r="GU69" i="3"/>
  <c r="GV69" i="3"/>
  <c r="GW69" i="3"/>
  <c r="GX69" i="3"/>
  <c r="GY69" i="3"/>
  <c r="GZ69" i="3"/>
  <c r="HA69" i="3"/>
  <c r="HB69" i="3"/>
  <c r="HC69" i="3"/>
  <c r="HD69" i="3"/>
  <c r="HE69" i="3"/>
  <c r="HF69" i="3"/>
  <c r="HG69" i="3"/>
  <c r="HH69" i="3"/>
  <c r="HI69" i="3"/>
  <c r="HJ69" i="3"/>
  <c r="HK69" i="3"/>
  <c r="HL69" i="3"/>
  <c r="HM69" i="3"/>
  <c r="HN69" i="3"/>
  <c r="HO69" i="3"/>
  <c r="HP69" i="3"/>
  <c r="HQ69" i="3"/>
  <c r="HR69" i="3"/>
  <c r="HS69" i="3"/>
  <c r="HT69" i="3"/>
  <c r="HU69" i="3"/>
  <c r="HV69" i="3"/>
  <c r="HW69" i="3"/>
  <c r="HX69" i="3"/>
  <c r="HY69" i="3"/>
  <c r="HZ69" i="3"/>
  <c r="IA69" i="3"/>
  <c r="IB69" i="3"/>
  <c r="IC69" i="3"/>
  <c r="ID69" i="3"/>
  <c r="IE69" i="3"/>
  <c r="IF69" i="3"/>
  <c r="IG69" i="3"/>
  <c r="IH69" i="3"/>
  <c r="II69" i="3"/>
  <c r="IJ69" i="3"/>
  <c r="IK69" i="3"/>
  <c r="IL69" i="3"/>
  <c r="IM69" i="3"/>
  <c r="IN69" i="3"/>
  <c r="IO69" i="3"/>
  <c r="IP69" i="3"/>
  <c r="IQ69" i="3"/>
  <c r="IR69" i="3"/>
  <c r="IS69" i="3"/>
  <c r="IT69" i="3"/>
  <c r="IU69" i="3"/>
  <c r="IV69" i="3"/>
  <c r="A68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V68" i="3"/>
  <c r="AW68" i="3"/>
  <c r="AX68" i="3"/>
  <c r="AY68" i="3"/>
  <c r="AZ68" i="3"/>
  <c r="BA68" i="3"/>
  <c r="BB68" i="3"/>
  <c r="BC68" i="3"/>
  <c r="BD68" i="3"/>
  <c r="BE68" i="3"/>
  <c r="BF68" i="3"/>
  <c r="BG68" i="3"/>
  <c r="BH68" i="3"/>
  <c r="BI68" i="3"/>
  <c r="BJ68" i="3"/>
  <c r="BK68" i="3"/>
  <c r="BL68" i="3"/>
  <c r="BM68" i="3"/>
  <c r="BN68" i="3"/>
  <c r="BO68" i="3"/>
  <c r="BP68" i="3"/>
  <c r="BQ68" i="3"/>
  <c r="BR68" i="3"/>
  <c r="BS68" i="3"/>
  <c r="BT68" i="3"/>
  <c r="BU68" i="3"/>
  <c r="BV68" i="3"/>
  <c r="BW68" i="3"/>
  <c r="BX68" i="3"/>
  <c r="BY68" i="3"/>
  <c r="BZ68" i="3"/>
  <c r="CA68" i="3"/>
  <c r="CB68" i="3"/>
  <c r="CC68" i="3"/>
  <c r="CD68" i="3"/>
  <c r="CE68" i="3"/>
  <c r="CF68" i="3"/>
  <c r="CG68" i="3"/>
  <c r="CH68" i="3"/>
  <c r="CI68" i="3"/>
  <c r="CJ68" i="3"/>
  <c r="CK68" i="3"/>
  <c r="CL68" i="3"/>
  <c r="CM68" i="3"/>
  <c r="CN68" i="3"/>
  <c r="CO68" i="3"/>
  <c r="CP68" i="3"/>
  <c r="CQ68" i="3"/>
  <c r="CR68" i="3"/>
  <c r="CS68" i="3"/>
  <c r="CT68" i="3"/>
  <c r="CU68" i="3"/>
  <c r="CV68" i="3"/>
  <c r="CW68" i="3"/>
  <c r="CX68" i="3"/>
  <c r="CY68" i="3"/>
  <c r="CZ68" i="3"/>
  <c r="DA68" i="3"/>
  <c r="DB68" i="3"/>
  <c r="DC68" i="3"/>
  <c r="DD68" i="3"/>
  <c r="DE68" i="3"/>
  <c r="DF68" i="3"/>
  <c r="DG68" i="3"/>
  <c r="DH68" i="3"/>
  <c r="DI68" i="3"/>
  <c r="DJ68" i="3"/>
  <c r="DK68" i="3"/>
  <c r="DL68" i="3"/>
  <c r="DM68" i="3"/>
  <c r="DN68" i="3"/>
  <c r="DO68" i="3"/>
  <c r="DP68" i="3"/>
  <c r="DQ68" i="3"/>
  <c r="DR68" i="3"/>
  <c r="DS68" i="3"/>
  <c r="DT68" i="3"/>
  <c r="DU68" i="3"/>
  <c r="DV68" i="3"/>
  <c r="DW68" i="3"/>
  <c r="DX68" i="3"/>
  <c r="DY68" i="3"/>
  <c r="DZ68" i="3"/>
  <c r="EA68" i="3"/>
  <c r="EB68" i="3"/>
  <c r="EC68" i="3"/>
  <c r="ED68" i="3"/>
  <c r="EE68" i="3"/>
  <c r="EF68" i="3"/>
  <c r="EG68" i="3"/>
  <c r="EH68" i="3"/>
  <c r="EI68" i="3"/>
  <c r="EJ68" i="3"/>
  <c r="EK68" i="3"/>
  <c r="EL68" i="3"/>
  <c r="EM68" i="3"/>
  <c r="EN68" i="3"/>
  <c r="EO68" i="3"/>
  <c r="EP68" i="3"/>
  <c r="EQ68" i="3"/>
  <c r="ER68" i="3"/>
  <c r="ES68" i="3"/>
  <c r="ET68" i="3"/>
  <c r="EU68" i="3"/>
  <c r="EV68" i="3"/>
  <c r="EW68" i="3"/>
  <c r="EX68" i="3"/>
  <c r="EY68" i="3"/>
  <c r="EZ68" i="3"/>
  <c r="FA68" i="3"/>
  <c r="FB68" i="3"/>
  <c r="FC68" i="3"/>
  <c r="FD68" i="3"/>
  <c r="FE68" i="3"/>
  <c r="FF68" i="3"/>
  <c r="FG68" i="3"/>
  <c r="FH68" i="3"/>
  <c r="FI68" i="3"/>
  <c r="FJ68" i="3"/>
  <c r="FK68" i="3"/>
  <c r="FL68" i="3"/>
  <c r="FM68" i="3"/>
  <c r="FN68" i="3"/>
  <c r="FO68" i="3"/>
  <c r="FP68" i="3"/>
  <c r="FQ68" i="3"/>
  <c r="FR68" i="3"/>
  <c r="FS68" i="3"/>
  <c r="FT68" i="3"/>
  <c r="FU68" i="3"/>
  <c r="FV68" i="3"/>
  <c r="FW68" i="3"/>
  <c r="FX68" i="3"/>
  <c r="FY68" i="3"/>
  <c r="FZ68" i="3"/>
  <c r="GA68" i="3"/>
  <c r="GB68" i="3"/>
  <c r="GC68" i="3"/>
  <c r="GD68" i="3"/>
  <c r="GE68" i="3"/>
  <c r="GF68" i="3"/>
  <c r="GG68" i="3"/>
  <c r="GH68" i="3"/>
  <c r="GI68" i="3"/>
  <c r="GJ68" i="3"/>
  <c r="GK68" i="3"/>
  <c r="GL68" i="3"/>
  <c r="GM68" i="3"/>
  <c r="GN68" i="3"/>
  <c r="GO68" i="3"/>
  <c r="GP68" i="3"/>
  <c r="GQ68" i="3"/>
  <c r="GR68" i="3"/>
  <c r="GS68" i="3"/>
  <c r="GT68" i="3"/>
  <c r="GU68" i="3"/>
  <c r="GV68" i="3"/>
  <c r="GW68" i="3"/>
  <c r="GX68" i="3"/>
  <c r="GY68" i="3"/>
  <c r="GZ68" i="3"/>
  <c r="HA68" i="3"/>
  <c r="HB68" i="3"/>
  <c r="HC68" i="3"/>
  <c r="HD68" i="3"/>
  <c r="HE68" i="3"/>
  <c r="HF68" i="3"/>
  <c r="HG68" i="3"/>
  <c r="HH68" i="3"/>
  <c r="HI68" i="3"/>
  <c r="HJ68" i="3"/>
  <c r="HK68" i="3"/>
  <c r="HL68" i="3"/>
  <c r="HM68" i="3"/>
  <c r="HN68" i="3"/>
  <c r="HO68" i="3"/>
  <c r="HP68" i="3"/>
  <c r="HQ68" i="3"/>
  <c r="HR68" i="3"/>
  <c r="HS68" i="3"/>
  <c r="HT68" i="3"/>
  <c r="HU68" i="3"/>
  <c r="HV68" i="3"/>
  <c r="HW68" i="3"/>
  <c r="HX68" i="3"/>
  <c r="HY68" i="3"/>
  <c r="HZ68" i="3"/>
  <c r="IA68" i="3"/>
  <c r="IB68" i="3"/>
  <c r="IC68" i="3"/>
  <c r="ID68" i="3"/>
  <c r="IE68" i="3"/>
  <c r="IF68" i="3"/>
  <c r="IG68" i="3"/>
  <c r="IH68" i="3"/>
  <c r="II68" i="3"/>
  <c r="IJ68" i="3"/>
  <c r="IK68" i="3"/>
  <c r="IL68" i="3"/>
  <c r="IM68" i="3"/>
  <c r="IN68" i="3"/>
  <c r="IO68" i="3"/>
  <c r="IP68" i="3"/>
  <c r="IQ68" i="3"/>
  <c r="IR68" i="3"/>
  <c r="IS68" i="3"/>
  <c r="IT68" i="3"/>
  <c r="IU68" i="3"/>
  <c r="IV68" i="3"/>
  <c r="A67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V67" i="3"/>
  <c r="AW67" i="3"/>
  <c r="AX67" i="3"/>
  <c r="AY67" i="3"/>
  <c r="AZ67" i="3"/>
  <c r="BA67" i="3"/>
  <c r="BB67" i="3"/>
  <c r="BC67" i="3"/>
  <c r="BD67" i="3"/>
  <c r="BE67" i="3"/>
  <c r="BF67" i="3"/>
  <c r="BG67" i="3"/>
  <c r="BH67" i="3"/>
  <c r="BI67" i="3"/>
  <c r="BJ67" i="3"/>
  <c r="BK67" i="3"/>
  <c r="BL67" i="3"/>
  <c r="BM67" i="3"/>
  <c r="BN67" i="3"/>
  <c r="BO67" i="3"/>
  <c r="BP67" i="3"/>
  <c r="BQ67" i="3"/>
  <c r="BR67" i="3"/>
  <c r="BS67" i="3"/>
  <c r="BT67" i="3"/>
  <c r="BU67" i="3"/>
  <c r="BV67" i="3"/>
  <c r="BW67" i="3"/>
  <c r="BX67" i="3"/>
  <c r="BY67" i="3"/>
  <c r="BZ67" i="3"/>
  <c r="CA67" i="3"/>
  <c r="CB67" i="3"/>
  <c r="CC67" i="3"/>
  <c r="CD67" i="3"/>
  <c r="CE67" i="3"/>
  <c r="CF67" i="3"/>
  <c r="CG67" i="3"/>
  <c r="CH67" i="3"/>
  <c r="CI67" i="3"/>
  <c r="CJ67" i="3"/>
  <c r="CK67" i="3"/>
  <c r="CL67" i="3"/>
  <c r="CM67" i="3"/>
  <c r="CN67" i="3"/>
  <c r="CO67" i="3"/>
  <c r="CP67" i="3"/>
  <c r="CQ67" i="3"/>
  <c r="CR67" i="3"/>
  <c r="CS67" i="3"/>
  <c r="CT67" i="3"/>
  <c r="CU67" i="3"/>
  <c r="CV67" i="3"/>
  <c r="CW67" i="3"/>
  <c r="CX67" i="3"/>
  <c r="CY67" i="3"/>
  <c r="CZ67" i="3"/>
  <c r="DA67" i="3"/>
  <c r="DB67" i="3"/>
  <c r="DC67" i="3"/>
  <c r="DD67" i="3"/>
  <c r="DE67" i="3"/>
  <c r="DF67" i="3"/>
  <c r="DG67" i="3"/>
  <c r="DH67" i="3"/>
  <c r="DI67" i="3"/>
  <c r="DJ67" i="3"/>
  <c r="DK67" i="3"/>
  <c r="DL67" i="3"/>
  <c r="DM67" i="3"/>
  <c r="DN67" i="3"/>
  <c r="DO67" i="3"/>
  <c r="DP67" i="3"/>
  <c r="DQ67" i="3"/>
  <c r="DR67" i="3"/>
  <c r="DS67" i="3"/>
  <c r="DT67" i="3"/>
  <c r="DU67" i="3"/>
  <c r="DV67" i="3"/>
  <c r="DW67" i="3"/>
  <c r="DX67" i="3"/>
  <c r="DY67" i="3"/>
  <c r="DZ67" i="3"/>
  <c r="EA67" i="3"/>
  <c r="EB67" i="3"/>
  <c r="EC67" i="3"/>
  <c r="ED67" i="3"/>
  <c r="EE67" i="3"/>
  <c r="EF67" i="3"/>
  <c r="EG67" i="3"/>
  <c r="EH67" i="3"/>
  <c r="EI67" i="3"/>
  <c r="EJ67" i="3"/>
  <c r="EK67" i="3"/>
  <c r="EL67" i="3"/>
  <c r="EM67" i="3"/>
  <c r="EN67" i="3"/>
  <c r="EO67" i="3"/>
  <c r="EP67" i="3"/>
  <c r="EQ67" i="3"/>
  <c r="ER67" i="3"/>
  <c r="ES67" i="3"/>
  <c r="ET67" i="3"/>
  <c r="EU67" i="3"/>
  <c r="EV67" i="3"/>
  <c r="EW67" i="3"/>
  <c r="EX67" i="3"/>
  <c r="EY67" i="3"/>
  <c r="EZ67" i="3"/>
  <c r="FA67" i="3"/>
  <c r="FB67" i="3"/>
  <c r="FC67" i="3"/>
  <c r="FD67" i="3"/>
  <c r="FE67" i="3"/>
  <c r="FF67" i="3"/>
  <c r="FG67" i="3"/>
  <c r="FH67" i="3"/>
  <c r="FI67" i="3"/>
  <c r="FJ67" i="3"/>
  <c r="FK67" i="3"/>
  <c r="FL67" i="3"/>
  <c r="FM67" i="3"/>
  <c r="FN67" i="3"/>
  <c r="FO67" i="3"/>
  <c r="FP67" i="3"/>
  <c r="FQ67" i="3"/>
  <c r="FR67" i="3"/>
  <c r="FS67" i="3"/>
  <c r="FT67" i="3"/>
  <c r="FU67" i="3"/>
  <c r="FV67" i="3"/>
  <c r="FW67" i="3"/>
  <c r="FX67" i="3"/>
  <c r="FY67" i="3"/>
  <c r="FZ67" i="3"/>
  <c r="GA67" i="3"/>
  <c r="GB67" i="3"/>
  <c r="GC67" i="3"/>
  <c r="GD67" i="3"/>
  <c r="GE67" i="3"/>
  <c r="GF67" i="3"/>
  <c r="GG67" i="3"/>
  <c r="GH67" i="3"/>
  <c r="GI67" i="3"/>
  <c r="GJ67" i="3"/>
  <c r="GK67" i="3"/>
  <c r="GL67" i="3"/>
  <c r="GM67" i="3"/>
  <c r="GN67" i="3"/>
  <c r="GO67" i="3"/>
  <c r="GP67" i="3"/>
  <c r="GQ67" i="3"/>
  <c r="GR67" i="3"/>
  <c r="GS67" i="3"/>
  <c r="GT67" i="3"/>
  <c r="GU67" i="3"/>
  <c r="GV67" i="3"/>
  <c r="GW67" i="3"/>
  <c r="GX67" i="3"/>
  <c r="GY67" i="3"/>
  <c r="GZ67" i="3"/>
  <c r="HA67" i="3"/>
  <c r="HB67" i="3"/>
  <c r="HC67" i="3"/>
  <c r="HD67" i="3"/>
  <c r="HE67" i="3"/>
  <c r="HF67" i="3"/>
  <c r="HG67" i="3"/>
  <c r="HH67" i="3"/>
  <c r="HI67" i="3"/>
  <c r="HJ67" i="3"/>
  <c r="HK67" i="3"/>
  <c r="HL67" i="3"/>
  <c r="HM67" i="3"/>
  <c r="HN67" i="3"/>
  <c r="HO67" i="3"/>
  <c r="HP67" i="3"/>
  <c r="HQ67" i="3"/>
  <c r="HR67" i="3"/>
  <c r="HS67" i="3"/>
  <c r="HT67" i="3"/>
  <c r="HU67" i="3"/>
  <c r="HV67" i="3"/>
  <c r="HW67" i="3"/>
  <c r="HX67" i="3"/>
  <c r="HY67" i="3"/>
  <c r="HZ67" i="3"/>
  <c r="IA67" i="3"/>
  <c r="IB67" i="3"/>
  <c r="IC67" i="3"/>
  <c r="ID67" i="3"/>
  <c r="IE67" i="3"/>
  <c r="IF67" i="3"/>
  <c r="IG67" i="3"/>
  <c r="IH67" i="3"/>
  <c r="II67" i="3"/>
  <c r="IJ67" i="3"/>
  <c r="IK67" i="3"/>
  <c r="IL67" i="3"/>
  <c r="IM67" i="3"/>
  <c r="IN67" i="3"/>
  <c r="IO67" i="3"/>
  <c r="IP67" i="3"/>
  <c r="IQ67" i="3"/>
  <c r="IR67" i="3"/>
  <c r="IS67" i="3"/>
  <c r="IT67" i="3"/>
  <c r="IU67" i="3"/>
  <c r="IV67" i="3"/>
  <c r="A66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V66" i="3"/>
  <c r="AW66" i="3"/>
  <c r="AX66" i="3"/>
  <c r="AY66" i="3"/>
  <c r="AZ66" i="3"/>
  <c r="BA66" i="3"/>
  <c r="BB66" i="3"/>
  <c r="BC66" i="3"/>
  <c r="BD66" i="3"/>
  <c r="BE66" i="3"/>
  <c r="BF66" i="3"/>
  <c r="BG66" i="3"/>
  <c r="BH66" i="3"/>
  <c r="BI66" i="3"/>
  <c r="BJ66" i="3"/>
  <c r="BK66" i="3"/>
  <c r="BL66" i="3"/>
  <c r="BM66" i="3"/>
  <c r="BN66" i="3"/>
  <c r="BO66" i="3"/>
  <c r="BP66" i="3"/>
  <c r="BQ66" i="3"/>
  <c r="BR66" i="3"/>
  <c r="BS66" i="3"/>
  <c r="BT66" i="3"/>
  <c r="BU66" i="3"/>
  <c r="BV66" i="3"/>
  <c r="BW66" i="3"/>
  <c r="BX66" i="3"/>
  <c r="BY66" i="3"/>
  <c r="BZ66" i="3"/>
  <c r="CA66" i="3"/>
  <c r="CB66" i="3"/>
  <c r="CC66" i="3"/>
  <c r="CD66" i="3"/>
  <c r="CE66" i="3"/>
  <c r="CF66" i="3"/>
  <c r="CG66" i="3"/>
  <c r="CH66" i="3"/>
  <c r="CI66" i="3"/>
  <c r="CJ66" i="3"/>
  <c r="CK66" i="3"/>
  <c r="CL66" i="3"/>
  <c r="CM66" i="3"/>
  <c r="CN66" i="3"/>
  <c r="CO66" i="3"/>
  <c r="CP66" i="3"/>
  <c r="CQ66" i="3"/>
  <c r="CR66" i="3"/>
  <c r="CS66" i="3"/>
  <c r="CT66" i="3"/>
  <c r="CU66" i="3"/>
  <c r="CV66" i="3"/>
  <c r="CW66" i="3"/>
  <c r="CX66" i="3"/>
  <c r="CY66" i="3"/>
  <c r="CZ66" i="3"/>
  <c r="DA66" i="3"/>
  <c r="DB66" i="3"/>
  <c r="DC66" i="3"/>
  <c r="DD66" i="3"/>
  <c r="DE66" i="3"/>
  <c r="DF66" i="3"/>
  <c r="DG66" i="3"/>
  <c r="DH66" i="3"/>
  <c r="DI66" i="3"/>
  <c r="DJ66" i="3"/>
  <c r="DK66" i="3"/>
  <c r="DL66" i="3"/>
  <c r="DM66" i="3"/>
  <c r="DN66" i="3"/>
  <c r="DO66" i="3"/>
  <c r="DP66" i="3"/>
  <c r="DQ66" i="3"/>
  <c r="DR66" i="3"/>
  <c r="DS66" i="3"/>
  <c r="DT66" i="3"/>
  <c r="DU66" i="3"/>
  <c r="DV66" i="3"/>
  <c r="DW66" i="3"/>
  <c r="DX66" i="3"/>
  <c r="DY66" i="3"/>
  <c r="DZ66" i="3"/>
  <c r="EA66" i="3"/>
  <c r="EB66" i="3"/>
  <c r="EC66" i="3"/>
  <c r="ED66" i="3"/>
  <c r="EE66" i="3"/>
  <c r="EF66" i="3"/>
  <c r="EG66" i="3"/>
  <c r="EH66" i="3"/>
  <c r="EI66" i="3"/>
  <c r="EJ66" i="3"/>
  <c r="EK66" i="3"/>
  <c r="EL66" i="3"/>
  <c r="EM66" i="3"/>
  <c r="EN66" i="3"/>
  <c r="EO66" i="3"/>
  <c r="EP66" i="3"/>
  <c r="EQ66" i="3"/>
  <c r="ER66" i="3"/>
  <c r="ES66" i="3"/>
  <c r="ET66" i="3"/>
  <c r="EU66" i="3"/>
  <c r="EV66" i="3"/>
  <c r="EW66" i="3"/>
  <c r="EX66" i="3"/>
  <c r="EY66" i="3"/>
  <c r="EZ66" i="3"/>
  <c r="FA66" i="3"/>
  <c r="FB66" i="3"/>
  <c r="FC66" i="3"/>
  <c r="FD66" i="3"/>
  <c r="FE66" i="3"/>
  <c r="FF66" i="3"/>
  <c r="FG66" i="3"/>
  <c r="FH66" i="3"/>
  <c r="FI66" i="3"/>
  <c r="FJ66" i="3"/>
  <c r="FK66" i="3"/>
  <c r="FL66" i="3"/>
  <c r="FM66" i="3"/>
  <c r="FN66" i="3"/>
  <c r="FO66" i="3"/>
  <c r="FP66" i="3"/>
  <c r="FQ66" i="3"/>
  <c r="FR66" i="3"/>
  <c r="FS66" i="3"/>
  <c r="FT66" i="3"/>
  <c r="FU66" i="3"/>
  <c r="FV66" i="3"/>
  <c r="FW66" i="3"/>
  <c r="FX66" i="3"/>
  <c r="FY66" i="3"/>
  <c r="FZ66" i="3"/>
  <c r="GA66" i="3"/>
  <c r="GB66" i="3"/>
  <c r="GC66" i="3"/>
  <c r="GD66" i="3"/>
  <c r="GE66" i="3"/>
  <c r="GF66" i="3"/>
  <c r="GG66" i="3"/>
  <c r="GH66" i="3"/>
  <c r="GI66" i="3"/>
  <c r="GJ66" i="3"/>
  <c r="GK66" i="3"/>
  <c r="GL66" i="3"/>
  <c r="GM66" i="3"/>
  <c r="GN66" i="3"/>
  <c r="GO66" i="3"/>
  <c r="GP66" i="3"/>
  <c r="GQ66" i="3"/>
  <c r="GR66" i="3"/>
  <c r="GS66" i="3"/>
  <c r="GT66" i="3"/>
  <c r="GU66" i="3"/>
  <c r="GV66" i="3"/>
  <c r="GW66" i="3"/>
  <c r="GX66" i="3"/>
  <c r="GY66" i="3"/>
  <c r="GZ66" i="3"/>
  <c r="HA66" i="3"/>
  <c r="HB66" i="3"/>
  <c r="HC66" i="3"/>
  <c r="HD66" i="3"/>
  <c r="HE66" i="3"/>
  <c r="HF66" i="3"/>
  <c r="HG66" i="3"/>
  <c r="HH66" i="3"/>
  <c r="HI66" i="3"/>
  <c r="HJ66" i="3"/>
  <c r="HK66" i="3"/>
  <c r="HL66" i="3"/>
  <c r="HM66" i="3"/>
  <c r="HN66" i="3"/>
  <c r="HO66" i="3"/>
  <c r="HP66" i="3"/>
  <c r="HQ66" i="3"/>
  <c r="HR66" i="3"/>
  <c r="HS66" i="3"/>
  <c r="HT66" i="3"/>
  <c r="HU66" i="3"/>
  <c r="HV66" i="3"/>
  <c r="HW66" i="3"/>
  <c r="HX66" i="3"/>
  <c r="HY66" i="3"/>
  <c r="HZ66" i="3"/>
  <c r="IA66" i="3"/>
  <c r="IB66" i="3"/>
  <c r="IC66" i="3"/>
  <c r="ID66" i="3"/>
  <c r="IE66" i="3"/>
  <c r="IF66" i="3"/>
  <c r="IG66" i="3"/>
  <c r="IH66" i="3"/>
  <c r="II66" i="3"/>
  <c r="IJ66" i="3"/>
  <c r="IK66" i="3"/>
  <c r="IL66" i="3"/>
  <c r="IM66" i="3"/>
  <c r="IN66" i="3"/>
  <c r="IO66" i="3"/>
  <c r="IP66" i="3"/>
  <c r="IQ66" i="3"/>
  <c r="IR66" i="3"/>
  <c r="IS66" i="3"/>
  <c r="IT66" i="3"/>
  <c r="IU66" i="3"/>
  <c r="IV66" i="3"/>
  <c r="A65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V65" i="3"/>
  <c r="AW65" i="3"/>
  <c r="AX65" i="3"/>
  <c r="AY65" i="3"/>
  <c r="AZ65" i="3"/>
  <c r="BA65" i="3"/>
  <c r="BB65" i="3"/>
  <c r="BC65" i="3"/>
  <c r="BD65" i="3"/>
  <c r="BE65" i="3"/>
  <c r="BF65" i="3"/>
  <c r="BG65" i="3"/>
  <c r="BH65" i="3"/>
  <c r="BI65" i="3"/>
  <c r="BJ65" i="3"/>
  <c r="BK65" i="3"/>
  <c r="BL65" i="3"/>
  <c r="BM65" i="3"/>
  <c r="BN65" i="3"/>
  <c r="BO65" i="3"/>
  <c r="BP65" i="3"/>
  <c r="BQ65" i="3"/>
  <c r="BR65" i="3"/>
  <c r="BS65" i="3"/>
  <c r="BT65" i="3"/>
  <c r="BU65" i="3"/>
  <c r="BV65" i="3"/>
  <c r="BW65" i="3"/>
  <c r="BX65" i="3"/>
  <c r="BY65" i="3"/>
  <c r="BZ65" i="3"/>
  <c r="CA65" i="3"/>
  <c r="CB65" i="3"/>
  <c r="CC65" i="3"/>
  <c r="CD65" i="3"/>
  <c r="CE65" i="3"/>
  <c r="CF65" i="3"/>
  <c r="CG65" i="3"/>
  <c r="CH65" i="3"/>
  <c r="CI65" i="3"/>
  <c r="CJ65" i="3"/>
  <c r="CK65" i="3"/>
  <c r="CL65" i="3"/>
  <c r="CM65" i="3"/>
  <c r="CN65" i="3"/>
  <c r="CO65" i="3"/>
  <c r="CP65" i="3"/>
  <c r="CQ65" i="3"/>
  <c r="CR65" i="3"/>
  <c r="CS65" i="3"/>
  <c r="CT65" i="3"/>
  <c r="CU65" i="3"/>
  <c r="CV65" i="3"/>
  <c r="CW65" i="3"/>
  <c r="CX65" i="3"/>
  <c r="CY65" i="3"/>
  <c r="CZ65" i="3"/>
  <c r="DA65" i="3"/>
  <c r="DB65" i="3"/>
  <c r="DC65" i="3"/>
  <c r="DD65" i="3"/>
  <c r="DE65" i="3"/>
  <c r="DF65" i="3"/>
  <c r="DG65" i="3"/>
  <c r="DH65" i="3"/>
  <c r="DI65" i="3"/>
  <c r="DJ65" i="3"/>
  <c r="DK65" i="3"/>
  <c r="DL65" i="3"/>
  <c r="DM65" i="3"/>
  <c r="DN65" i="3"/>
  <c r="DO65" i="3"/>
  <c r="DP65" i="3"/>
  <c r="DQ65" i="3"/>
  <c r="DR65" i="3"/>
  <c r="DS65" i="3"/>
  <c r="DT65" i="3"/>
  <c r="DU65" i="3"/>
  <c r="DV65" i="3"/>
  <c r="DW65" i="3"/>
  <c r="DX65" i="3"/>
  <c r="DY65" i="3"/>
  <c r="DZ65" i="3"/>
  <c r="EA65" i="3"/>
  <c r="EB65" i="3"/>
  <c r="EC65" i="3"/>
  <c r="ED65" i="3"/>
  <c r="EE65" i="3"/>
  <c r="EF65" i="3"/>
  <c r="EG65" i="3"/>
  <c r="EH65" i="3"/>
  <c r="EI65" i="3"/>
  <c r="EJ65" i="3"/>
  <c r="EK65" i="3"/>
  <c r="EL65" i="3"/>
  <c r="EM65" i="3"/>
  <c r="EN65" i="3"/>
  <c r="EO65" i="3"/>
  <c r="EP65" i="3"/>
  <c r="EQ65" i="3"/>
  <c r="ER65" i="3"/>
  <c r="ES65" i="3"/>
  <c r="ET65" i="3"/>
  <c r="EU65" i="3"/>
  <c r="EV65" i="3"/>
  <c r="EW65" i="3"/>
  <c r="EX65" i="3"/>
  <c r="EY65" i="3"/>
  <c r="EZ65" i="3"/>
  <c r="FA65" i="3"/>
  <c r="FB65" i="3"/>
  <c r="FC65" i="3"/>
  <c r="FD65" i="3"/>
  <c r="FE65" i="3"/>
  <c r="FF65" i="3"/>
  <c r="FG65" i="3"/>
  <c r="FH65" i="3"/>
  <c r="FI65" i="3"/>
  <c r="FJ65" i="3"/>
  <c r="FK65" i="3"/>
  <c r="FL65" i="3"/>
  <c r="FM65" i="3"/>
  <c r="FN65" i="3"/>
  <c r="FO65" i="3"/>
  <c r="FP65" i="3"/>
  <c r="FQ65" i="3"/>
  <c r="FR65" i="3"/>
  <c r="FS65" i="3"/>
  <c r="FT65" i="3"/>
  <c r="FU65" i="3"/>
  <c r="FV65" i="3"/>
  <c r="FW65" i="3"/>
  <c r="FX65" i="3"/>
  <c r="FY65" i="3"/>
  <c r="FZ65" i="3"/>
  <c r="GA65" i="3"/>
  <c r="GB65" i="3"/>
  <c r="GC65" i="3"/>
  <c r="GD65" i="3"/>
  <c r="GE65" i="3"/>
  <c r="GF65" i="3"/>
  <c r="GG65" i="3"/>
  <c r="GH65" i="3"/>
  <c r="GI65" i="3"/>
  <c r="GJ65" i="3"/>
  <c r="GK65" i="3"/>
  <c r="GL65" i="3"/>
  <c r="GM65" i="3"/>
  <c r="GN65" i="3"/>
  <c r="GO65" i="3"/>
  <c r="GP65" i="3"/>
  <c r="GQ65" i="3"/>
  <c r="GR65" i="3"/>
  <c r="GS65" i="3"/>
  <c r="GT65" i="3"/>
  <c r="GU65" i="3"/>
  <c r="GV65" i="3"/>
  <c r="GW65" i="3"/>
  <c r="GX65" i="3"/>
  <c r="GY65" i="3"/>
  <c r="GZ65" i="3"/>
  <c r="HA65" i="3"/>
  <c r="HB65" i="3"/>
  <c r="HC65" i="3"/>
  <c r="HD65" i="3"/>
  <c r="HE65" i="3"/>
  <c r="HF65" i="3"/>
  <c r="HG65" i="3"/>
  <c r="HH65" i="3"/>
  <c r="HI65" i="3"/>
  <c r="HJ65" i="3"/>
  <c r="HK65" i="3"/>
  <c r="HL65" i="3"/>
  <c r="HM65" i="3"/>
  <c r="HN65" i="3"/>
  <c r="HO65" i="3"/>
  <c r="HP65" i="3"/>
  <c r="HQ65" i="3"/>
  <c r="HR65" i="3"/>
  <c r="HS65" i="3"/>
  <c r="HT65" i="3"/>
  <c r="HU65" i="3"/>
  <c r="HV65" i="3"/>
  <c r="HW65" i="3"/>
  <c r="HX65" i="3"/>
  <c r="HY65" i="3"/>
  <c r="HZ65" i="3"/>
  <c r="IA65" i="3"/>
  <c r="IB65" i="3"/>
  <c r="IC65" i="3"/>
  <c r="ID65" i="3"/>
  <c r="IE65" i="3"/>
  <c r="IF65" i="3"/>
  <c r="IG65" i="3"/>
  <c r="IH65" i="3"/>
  <c r="II65" i="3"/>
  <c r="IJ65" i="3"/>
  <c r="IK65" i="3"/>
  <c r="IL65" i="3"/>
  <c r="IM65" i="3"/>
  <c r="IN65" i="3"/>
  <c r="IO65" i="3"/>
  <c r="IP65" i="3"/>
  <c r="IQ65" i="3"/>
  <c r="IR65" i="3"/>
  <c r="IS65" i="3"/>
  <c r="IT65" i="3"/>
  <c r="IU65" i="3"/>
  <c r="IV65" i="3"/>
  <c r="A64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V64" i="3"/>
  <c r="AW64" i="3"/>
  <c r="AX64" i="3"/>
  <c r="AY64" i="3"/>
  <c r="AZ64" i="3"/>
  <c r="BA64" i="3"/>
  <c r="BB64" i="3"/>
  <c r="BC64" i="3"/>
  <c r="BD64" i="3"/>
  <c r="BE64" i="3"/>
  <c r="BF64" i="3"/>
  <c r="BG64" i="3"/>
  <c r="BH64" i="3"/>
  <c r="BI64" i="3"/>
  <c r="BJ64" i="3"/>
  <c r="BK64" i="3"/>
  <c r="BL64" i="3"/>
  <c r="BM64" i="3"/>
  <c r="BN64" i="3"/>
  <c r="BO64" i="3"/>
  <c r="BP64" i="3"/>
  <c r="BQ64" i="3"/>
  <c r="BR64" i="3"/>
  <c r="BS64" i="3"/>
  <c r="BT64" i="3"/>
  <c r="BU64" i="3"/>
  <c r="BV64" i="3"/>
  <c r="BW64" i="3"/>
  <c r="BX64" i="3"/>
  <c r="BY64" i="3"/>
  <c r="BZ64" i="3"/>
  <c r="CA64" i="3"/>
  <c r="CB64" i="3"/>
  <c r="CC64" i="3"/>
  <c r="CD64" i="3"/>
  <c r="CE64" i="3"/>
  <c r="CF64" i="3"/>
  <c r="CG64" i="3"/>
  <c r="CH64" i="3"/>
  <c r="CI64" i="3"/>
  <c r="CJ64" i="3"/>
  <c r="CK64" i="3"/>
  <c r="CL64" i="3"/>
  <c r="CM64" i="3"/>
  <c r="CN64" i="3"/>
  <c r="CO64" i="3"/>
  <c r="CP64" i="3"/>
  <c r="CQ64" i="3"/>
  <c r="CR64" i="3"/>
  <c r="CS64" i="3"/>
  <c r="CT64" i="3"/>
  <c r="CU64" i="3"/>
  <c r="CV64" i="3"/>
  <c r="CW64" i="3"/>
  <c r="CX64" i="3"/>
  <c r="CY64" i="3"/>
  <c r="CZ64" i="3"/>
  <c r="DA64" i="3"/>
  <c r="DB64" i="3"/>
  <c r="DC64" i="3"/>
  <c r="DD64" i="3"/>
  <c r="DE64" i="3"/>
  <c r="DF64" i="3"/>
  <c r="DG64" i="3"/>
  <c r="DH64" i="3"/>
  <c r="DI64" i="3"/>
  <c r="DJ64" i="3"/>
  <c r="DK64" i="3"/>
  <c r="DL64" i="3"/>
  <c r="DM64" i="3"/>
  <c r="DN64" i="3"/>
  <c r="DO64" i="3"/>
  <c r="DP64" i="3"/>
  <c r="DQ64" i="3"/>
  <c r="DR64" i="3"/>
  <c r="DS64" i="3"/>
  <c r="DT64" i="3"/>
  <c r="DU64" i="3"/>
  <c r="DV64" i="3"/>
  <c r="DW64" i="3"/>
  <c r="DX64" i="3"/>
  <c r="DY64" i="3"/>
  <c r="DZ64" i="3"/>
  <c r="EA64" i="3"/>
  <c r="EB64" i="3"/>
  <c r="EC64" i="3"/>
  <c r="ED64" i="3"/>
  <c r="EE64" i="3"/>
  <c r="EF64" i="3"/>
  <c r="EG64" i="3"/>
  <c r="EH64" i="3"/>
  <c r="EI64" i="3"/>
  <c r="EJ64" i="3"/>
  <c r="EK64" i="3"/>
  <c r="EL64" i="3"/>
  <c r="EM64" i="3"/>
  <c r="EN64" i="3"/>
  <c r="EO64" i="3"/>
  <c r="EP64" i="3"/>
  <c r="EQ64" i="3"/>
  <c r="ER64" i="3"/>
  <c r="ES64" i="3"/>
  <c r="ET64" i="3"/>
  <c r="EU64" i="3"/>
  <c r="EV64" i="3"/>
  <c r="EW64" i="3"/>
  <c r="EX64" i="3"/>
  <c r="EY64" i="3"/>
  <c r="EZ64" i="3"/>
  <c r="FA64" i="3"/>
  <c r="FB64" i="3"/>
  <c r="FC64" i="3"/>
  <c r="FD64" i="3"/>
  <c r="FE64" i="3"/>
  <c r="FF64" i="3"/>
  <c r="FG64" i="3"/>
  <c r="FH64" i="3"/>
  <c r="FI64" i="3"/>
  <c r="FJ64" i="3"/>
  <c r="FK64" i="3"/>
  <c r="FL64" i="3"/>
  <c r="FM64" i="3"/>
  <c r="FN64" i="3"/>
  <c r="FO64" i="3"/>
  <c r="FP64" i="3"/>
  <c r="FQ64" i="3"/>
  <c r="FR64" i="3"/>
  <c r="FS64" i="3"/>
  <c r="FT64" i="3"/>
  <c r="FU64" i="3"/>
  <c r="FV64" i="3"/>
  <c r="FW64" i="3"/>
  <c r="FX64" i="3"/>
  <c r="FY64" i="3"/>
  <c r="FZ64" i="3"/>
  <c r="GA64" i="3"/>
  <c r="GB64" i="3"/>
  <c r="GC64" i="3"/>
  <c r="GD64" i="3"/>
  <c r="GE64" i="3"/>
  <c r="GF64" i="3"/>
  <c r="GG64" i="3"/>
  <c r="GH64" i="3"/>
  <c r="GI64" i="3"/>
  <c r="GJ64" i="3"/>
  <c r="GK64" i="3"/>
  <c r="GL64" i="3"/>
  <c r="GM64" i="3"/>
  <c r="GN64" i="3"/>
  <c r="GO64" i="3"/>
  <c r="GP64" i="3"/>
  <c r="GQ64" i="3"/>
  <c r="GR64" i="3"/>
  <c r="GS64" i="3"/>
  <c r="GT64" i="3"/>
  <c r="GU64" i="3"/>
  <c r="GV64" i="3"/>
  <c r="GW64" i="3"/>
  <c r="GX64" i="3"/>
  <c r="GY64" i="3"/>
  <c r="GZ64" i="3"/>
  <c r="HA64" i="3"/>
  <c r="HB64" i="3"/>
  <c r="HC64" i="3"/>
  <c r="HD64" i="3"/>
  <c r="HE64" i="3"/>
  <c r="HF64" i="3"/>
  <c r="HG64" i="3"/>
  <c r="HH64" i="3"/>
  <c r="HI64" i="3"/>
  <c r="HJ64" i="3"/>
  <c r="HK64" i="3"/>
  <c r="HL64" i="3"/>
  <c r="HM64" i="3"/>
  <c r="HN64" i="3"/>
  <c r="HO64" i="3"/>
  <c r="HP64" i="3"/>
  <c r="HQ64" i="3"/>
  <c r="HR64" i="3"/>
  <c r="HS64" i="3"/>
  <c r="HT64" i="3"/>
  <c r="HU64" i="3"/>
  <c r="HV64" i="3"/>
  <c r="HW64" i="3"/>
  <c r="HX64" i="3"/>
  <c r="HY64" i="3"/>
  <c r="HZ64" i="3"/>
  <c r="IA64" i="3"/>
  <c r="IB64" i="3"/>
  <c r="IC64" i="3"/>
  <c r="ID64" i="3"/>
  <c r="IE64" i="3"/>
  <c r="IF64" i="3"/>
  <c r="IG64" i="3"/>
  <c r="IH64" i="3"/>
  <c r="II64" i="3"/>
  <c r="IJ64" i="3"/>
  <c r="IK64" i="3"/>
  <c r="IL64" i="3"/>
  <c r="IM64" i="3"/>
  <c r="IN64" i="3"/>
  <c r="IO64" i="3"/>
  <c r="IP64" i="3"/>
  <c r="IQ64" i="3"/>
  <c r="IR64" i="3"/>
  <c r="IS64" i="3"/>
  <c r="IT64" i="3"/>
  <c r="IU64" i="3"/>
  <c r="IV64" i="3"/>
  <c r="A63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V63" i="3"/>
  <c r="AW63" i="3"/>
  <c r="AX63" i="3"/>
  <c r="AY63" i="3"/>
  <c r="AZ63" i="3"/>
  <c r="BA63" i="3"/>
  <c r="BB63" i="3"/>
  <c r="BC63" i="3"/>
  <c r="BD63" i="3"/>
  <c r="BE63" i="3"/>
  <c r="BF63" i="3"/>
  <c r="BG63" i="3"/>
  <c r="BH63" i="3"/>
  <c r="BI63" i="3"/>
  <c r="BJ63" i="3"/>
  <c r="BK63" i="3"/>
  <c r="BL63" i="3"/>
  <c r="BM63" i="3"/>
  <c r="BN63" i="3"/>
  <c r="BO63" i="3"/>
  <c r="BP63" i="3"/>
  <c r="BQ63" i="3"/>
  <c r="BR63" i="3"/>
  <c r="BS63" i="3"/>
  <c r="BT63" i="3"/>
  <c r="BU63" i="3"/>
  <c r="BV63" i="3"/>
  <c r="BW63" i="3"/>
  <c r="BX63" i="3"/>
  <c r="BY63" i="3"/>
  <c r="BZ63" i="3"/>
  <c r="CA63" i="3"/>
  <c r="CB63" i="3"/>
  <c r="CC63" i="3"/>
  <c r="CD63" i="3"/>
  <c r="CE63" i="3"/>
  <c r="CF63" i="3"/>
  <c r="CG63" i="3"/>
  <c r="CH63" i="3"/>
  <c r="CI63" i="3"/>
  <c r="CJ63" i="3"/>
  <c r="CK63" i="3"/>
  <c r="CL63" i="3"/>
  <c r="CM63" i="3"/>
  <c r="CN63" i="3"/>
  <c r="CO63" i="3"/>
  <c r="CP63" i="3"/>
  <c r="CQ63" i="3"/>
  <c r="CR63" i="3"/>
  <c r="CS63" i="3"/>
  <c r="CT63" i="3"/>
  <c r="CU63" i="3"/>
  <c r="CV63" i="3"/>
  <c r="CW63" i="3"/>
  <c r="CX63" i="3"/>
  <c r="CY63" i="3"/>
  <c r="CZ63" i="3"/>
  <c r="DA63" i="3"/>
  <c r="DB63" i="3"/>
  <c r="DC63" i="3"/>
  <c r="DD63" i="3"/>
  <c r="DE63" i="3"/>
  <c r="DF63" i="3"/>
  <c r="DG63" i="3"/>
  <c r="DH63" i="3"/>
  <c r="DI63" i="3"/>
  <c r="DJ63" i="3"/>
  <c r="DK63" i="3"/>
  <c r="DL63" i="3"/>
  <c r="DM63" i="3"/>
  <c r="DN63" i="3"/>
  <c r="DO63" i="3"/>
  <c r="DP63" i="3"/>
  <c r="DQ63" i="3"/>
  <c r="DR63" i="3"/>
  <c r="DS63" i="3"/>
  <c r="DT63" i="3"/>
  <c r="DU63" i="3"/>
  <c r="DV63" i="3"/>
  <c r="DW63" i="3"/>
  <c r="DX63" i="3"/>
  <c r="DY63" i="3"/>
  <c r="DZ63" i="3"/>
  <c r="EA63" i="3"/>
  <c r="EB63" i="3"/>
  <c r="EC63" i="3"/>
  <c r="ED63" i="3"/>
  <c r="EE63" i="3"/>
  <c r="EF63" i="3"/>
  <c r="EG63" i="3"/>
  <c r="EH63" i="3"/>
  <c r="EI63" i="3"/>
  <c r="EJ63" i="3"/>
  <c r="EK63" i="3"/>
  <c r="EL63" i="3"/>
  <c r="EM63" i="3"/>
  <c r="EN63" i="3"/>
  <c r="EO63" i="3"/>
  <c r="EP63" i="3"/>
  <c r="EQ63" i="3"/>
  <c r="ER63" i="3"/>
  <c r="ES63" i="3"/>
  <c r="ET63" i="3"/>
  <c r="EU63" i="3"/>
  <c r="EV63" i="3"/>
  <c r="EW63" i="3"/>
  <c r="EX63" i="3"/>
  <c r="EY63" i="3"/>
  <c r="EZ63" i="3"/>
  <c r="FA63" i="3"/>
  <c r="FB63" i="3"/>
  <c r="FC63" i="3"/>
  <c r="FD63" i="3"/>
  <c r="FE63" i="3"/>
  <c r="FF63" i="3"/>
  <c r="FG63" i="3"/>
  <c r="FH63" i="3"/>
  <c r="FI63" i="3"/>
  <c r="FJ63" i="3"/>
  <c r="FK63" i="3"/>
  <c r="FL63" i="3"/>
  <c r="FM63" i="3"/>
  <c r="FN63" i="3"/>
  <c r="FO63" i="3"/>
  <c r="FP63" i="3"/>
  <c r="FQ63" i="3"/>
  <c r="FR63" i="3"/>
  <c r="FS63" i="3"/>
  <c r="FT63" i="3"/>
  <c r="FU63" i="3"/>
  <c r="FV63" i="3"/>
  <c r="FW63" i="3"/>
  <c r="FX63" i="3"/>
  <c r="FY63" i="3"/>
  <c r="FZ63" i="3"/>
  <c r="GA63" i="3"/>
  <c r="GB63" i="3"/>
  <c r="GC63" i="3"/>
  <c r="GD63" i="3"/>
  <c r="GE63" i="3"/>
  <c r="GF63" i="3"/>
  <c r="GG63" i="3"/>
  <c r="GH63" i="3"/>
  <c r="GI63" i="3"/>
  <c r="GJ63" i="3"/>
  <c r="GK63" i="3"/>
  <c r="GL63" i="3"/>
  <c r="GM63" i="3"/>
  <c r="GN63" i="3"/>
  <c r="GO63" i="3"/>
  <c r="GP63" i="3"/>
  <c r="GQ63" i="3"/>
  <c r="GR63" i="3"/>
  <c r="GS63" i="3"/>
  <c r="GT63" i="3"/>
  <c r="GU63" i="3"/>
  <c r="GV63" i="3"/>
  <c r="GW63" i="3"/>
  <c r="GX63" i="3"/>
  <c r="GY63" i="3"/>
  <c r="GZ63" i="3"/>
  <c r="HA63" i="3"/>
  <c r="HB63" i="3"/>
  <c r="HC63" i="3"/>
  <c r="HD63" i="3"/>
  <c r="HE63" i="3"/>
  <c r="HF63" i="3"/>
  <c r="HG63" i="3"/>
  <c r="HH63" i="3"/>
  <c r="HI63" i="3"/>
  <c r="HJ63" i="3"/>
  <c r="HK63" i="3"/>
  <c r="HL63" i="3"/>
  <c r="HM63" i="3"/>
  <c r="HN63" i="3"/>
  <c r="HO63" i="3"/>
  <c r="HP63" i="3"/>
  <c r="HQ63" i="3"/>
  <c r="HR63" i="3"/>
  <c r="HS63" i="3"/>
  <c r="HT63" i="3"/>
  <c r="HU63" i="3"/>
  <c r="HV63" i="3"/>
  <c r="HW63" i="3"/>
  <c r="HX63" i="3"/>
  <c r="HY63" i="3"/>
  <c r="HZ63" i="3"/>
  <c r="IA63" i="3"/>
  <c r="IB63" i="3"/>
  <c r="IC63" i="3"/>
  <c r="ID63" i="3"/>
  <c r="IE63" i="3"/>
  <c r="IF63" i="3"/>
  <c r="IG63" i="3"/>
  <c r="IH63" i="3"/>
  <c r="II63" i="3"/>
  <c r="IJ63" i="3"/>
  <c r="IK63" i="3"/>
  <c r="IL63" i="3"/>
  <c r="IM63" i="3"/>
  <c r="IN63" i="3"/>
  <c r="IO63" i="3"/>
  <c r="IP63" i="3"/>
  <c r="IQ63" i="3"/>
  <c r="IR63" i="3"/>
  <c r="IS63" i="3"/>
  <c r="IT63" i="3"/>
  <c r="IU63" i="3"/>
  <c r="IV63" i="3"/>
  <c r="A62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BK62" i="3"/>
  <c r="BL62" i="3"/>
  <c r="BM62" i="3"/>
  <c r="BN62" i="3"/>
  <c r="BO62" i="3"/>
  <c r="BP62" i="3"/>
  <c r="BQ62" i="3"/>
  <c r="BR62" i="3"/>
  <c r="BS62" i="3"/>
  <c r="BT62" i="3"/>
  <c r="BU62" i="3"/>
  <c r="BV62" i="3"/>
  <c r="BW62" i="3"/>
  <c r="BX62" i="3"/>
  <c r="BY62" i="3"/>
  <c r="BZ62" i="3"/>
  <c r="CA62" i="3"/>
  <c r="CB62" i="3"/>
  <c r="CC62" i="3"/>
  <c r="CD62" i="3"/>
  <c r="CE62" i="3"/>
  <c r="CF62" i="3"/>
  <c r="CG62" i="3"/>
  <c r="CH62" i="3"/>
  <c r="CI62" i="3"/>
  <c r="CJ62" i="3"/>
  <c r="CK62" i="3"/>
  <c r="CL62" i="3"/>
  <c r="CM62" i="3"/>
  <c r="CN62" i="3"/>
  <c r="CO62" i="3"/>
  <c r="CP62" i="3"/>
  <c r="CQ62" i="3"/>
  <c r="CR62" i="3"/>
  <c r="CS62" i="3"/>
  <c r="CT62" i="3"/>
  <c r="CU62" i="3"/>
  <c r="CV62" i="3"/>
  <c r="CW62" i="3"/>
  <c r="CX62" i="3"/>
  <c r="CY62" i="3"/>
  <c r="CZ62" i="3"/>
  <c r="DA62" i="3"/>
  <c r="DB62" i="3"/>
  <c r="DC62" i="3"/>
  <c r="DD62" i="3"/>
  <c r="DE62" i="3"/>
  <c r="DF62" i="3"/>
  <c r="DG62" i="3"/>
  <c r="DH62" i="3"/>
  <c r="DI62" i="3"/>
  <c r="DJ62" i="3"/>
  <c r="DK62" i="3"/>
  <c r="DL62" i="3"/>
  <c r="DM62" i="3"/>
  <c r="DN62" i="3"/>
  <c r="DO62" i="3"/>
  <c r="DP62" i="3"/>
  <c r="DQ62" i="3"/>
  <c r="DR62" i="3"/>
  <c r="DS62" i="3"/>
  <c r="DT62" i="3"/>
  <c r="DU62" i="3"/>
  <c r="DV62" i="3"/>
  <c r="DW62" i="3"/>
  <c r="DX62" i="3"/>
  <c r="DY62" i="3"/>
  <c r="DZ62" i="3"/>
  <c r="EA62" i="3"/>
  <c r="EB62" i="3"/>
  <c r="EC62" i="3"/>
  <c r="ED62" i="3"/>
  <c r="EE62" i="3"/>
  <c r="EF62" i="3"/>
  <c r="EG62" i="3"/>
  <c r="EH62" i="3"/>
  <c r="EI62" i="3"/>
  <c r="EJ62" i="3"/>
  <c r="EK62" i="3"/>
  <c r="EL62" i="3"/>
  <c r="EM62" i="3"/>
  <c r="EN62" i="3"/>
  <c r="EO62" i="3"/>
  <c r="EP62" i="3"/>
  <c r="EQ62" i="3"/>
  <c r="ER62" i="3"/>
  <c r="ES62" i="3"/>
  <c r="ET62" i="3"/>
  <c r="EU62" i="3"/>
  <c r="EV62" i="3"/>
  <c r="EW62" i="3"/>
  <c r="EX62" i="3"/>
  <c r="EY62" i="3"/>
  <c r="EZ62" i="3"/>
  <c r="FA62" i="3"/>
  <c r="FB62" i="3"/>
  <c r="FC62" i="3"/>
  <c r="FD62" i="3"/>
  <c r="FE62" i="3"/>
  <c r="FF62" i="3"/>
  <c r="FG62" i="3"/>
  <c r="FH62" i="3"/>
  <c r="FI62" i="3"/>
  <c r="FJ62" i="3"/>
  <c r="FK62" i="3"/>
  <c r="FL62" i="3"/>
  <c r="FM62" i="3"/>
  <c r="FN62" i="3"/>
  <c r="FO62" i="3"/>
  <c r="FP62" i="3"/>
  <c r="FQ62" i="3"/>
  <c r="FR62" i="3"/>
  <c r="FS62" i="3"/>
  <c r="FT62" i="3"/>
  <c r="FU62" i="3"/>
  <c r="FV62" i="3"/>
  <c r="FW62" i="3"/>
  <c r="FX62" i="3"/>
  <c r="FY62" i="3"/>
  <c r="FZ62" i="3"/>
  <c r="GA62" i="3"/>
  <c r="GB62" i="3"/>
  <c r="GC62" i="3"/>
  <c r="GD62" i="3"/>
  <c r="GE62" i="3"/>
  <c r="GF62" i="3"/>
  <c r="GG62" i="3"/>
  <c r="GH62" i="3"/>
  <c r="GI62" i="3"/>
  <c r="GJ62" i="3"/>
  <c r="GK62" i="3"/>
  <c r="GL62" i="3"/>
  <c r="GM62" i="3"/>
  <c r="GN62" i="3"/>
  <c r="GO62" i="3"/>
  <c r="GP62" i="3"/>
  <c r="GQ62" i="3"/>
  <c r="GR62" i="3"/>
  <c r="GS62" i="3"/>
  <c r="GT62" i="3"/>
  <c r="GU62" i="3"/>
  <c r="GV62" i="3"/>
  <c r="GW62" i="3"/>
  <c r="GX62" i="3"/>
  <c r="GY62" i="3"/>
  <c r="GZ62" i="3"/>
  <c r="HA62" i="3"/>
  <c r="HB62" i="3"/>
  <c r="HC62" i="3"/>
  <c r="HD62" i="3"/>
  <c r="HE62" i="3"/>
  <c r="HF62" i="3"/>
  <c r="HG62" i="3"/>
  <c r="HH62" i="3"/>
  <c r="HI62" i="3"/>
  <c r="HJ62" i="3"/>
  <c r="HK62" i="3"/>
  <c r="HL62" i="3"/>
  <c r="HM62" i="3"/>
  <c r="HN62" i="3"/>
  <c r="HO62" i="3"/>
  <c r="HP62" i="3"/>
  <c r="HQ62" i="3"/>
  <c r="HR62" i="3"/>
  <c r="HS62" i="3"/>
  <c r="HT62" i="3"/>
  <c r="HU62" i="3"/>
  <c r="HV62" i="3"/>
  <c r="HW62" i="3"/>
  <c r="HX62" i="3"/>
  <c r="HY62" i="3"/>
  <c r="HZ62" i="3"/>
  <c r="IA62" i="3"/>
  <c r="IB62" i="3"/>
  <c r="IC62" i="3"/>
  <c r="ID62" i="3"/>
  <c r="IE62" i="3"/>
  <c r="IF62" i="3"/>
  <c r="IG62" i="3"/>
  <c r="IH62" i="3"/>
  <c r="II62" i="3"/>
  <c r="IJ62" i="3"/>
  <c r="IK62" i="3"/>
  <c r="IL62" i="3"/>
  <c r="IM62" i="3"/>
  <c r="IN62" i="3"/>
  <c r="IO62" i="3"/>
  <c r="IP62" i="3"/>
  <c r="IQ62" i="3"/>
  <c r="IR62" i="3"/>
  <c r="IS62" i="3"/>
  <c r="IT62" i="3"/>
  <c r="IU62" i="3"/>
  <c r="IV62" i="3"/>
  <c r="A61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BK61" i="3"/>
  <c r="BL61" i="3"/>
  <c r="BM61" i="3"/>
  <c r="BN61" i="3"/>
  <c r="BO61" i="3"/>
  <c r="BP61" i="3"/>
  <c r="BQ61" i="3"/>
  <c r="BR61" i="3"/>
  <c r="BS61" i="3"/>
  <c r="BT61" i="3"/>
  <c r="BU61" i="3"/>
  <c r="BV61" i="3"/>
  <c r="BW61" i="3"/>
  <c r="BX61" i="3"/>
  <c r="BY61" i="3"/>
  <c r="BZ61" i="3"/>
  <c r="CA61" i="3"/>
  <c r="CB61" i="3"/>
  <c r="CC61" i="3"/>
  <c r="CD61" i="3"/>
  <c r="CE61" i="3"/>
  <c r="CF61" i="3"/>
  <c r="CG61" i="3"/>
  <c r="CH61" i="3"/>
  <c r="CI61" i="3"/>
  <c r="CJ61" i="3"/>
  <c r="CK61" i="3"/>
  <c r="CL61" i="3"/>
  <c r="CM61" i="3"/>
  <c r="CN61" i="3"/>
  <c r="CO61" i="3"/>
  <c r="CP61" i="3"/>
  <c r="CQ61" i="3"/>
  <c r="CR61" i="3"/>
  <c r="CS61" i="3"/>
  <c r="CT61" i="3"/>
  <c r="CU61" i="3"/>
  <c r="CV61" i="3"/>
  <c r="CW61" i="3"/>
  <c r="CX61" i="3"/>
  <c r="CY61" i="3"/>
  <c r="CZ61" i="3"/>
  <c r="DA61" i="3"/>
  <c r="DB61" i="3"/>
  <c r="DC61" i="3"/>
  <c r="DD61" i="3"/>
  <c r="DE61" i="3"/>
  <c r="DF61" i="3"/>
  <c r="DG61" i="3"/>
  <c r="DH61" i="3"/>
  <c r="DI61" i="3"/>
  <c r="DJ61" i="3"/>
  <c r="DK61" i="3"/>
  <c r="DL61" i="3"/>
  <c r="DM61" i="3"/>
  <c r="DN61" i="3"/>
  <c r="DO61" i="3"/>
  <c r="DP61" i="3"/>
  <c r="DQ61" i="3"/>
  <c r="DR61" i="3"/>
  <c r="DS61" i="3"/>
  <c r="DT61" i="3"/>
  <c r="DU61" i="3"/>
  <c r="DV61" i="3"/>
  <c r="DW61" i="3"/>
  <c r="DX61" i="3"/>
  <c r="DY61" i="3"/>
  <c r="DZ61" i="3"/>
  <c r="EA61" i="3"/>
  <c r="EB61" i="3"/>
  <c r="EC61" i="3"/>
  <c r="ED61" i="3"/>
  <c r="EE61" i="3"/>
  <c r="EF61" i="3"/>
  <c r="EG61" i="3"/>
  <c r="EH61" i="3"/>
  <c r="EI61" i="3"/>
  <c r="EJ61" i="3"/>
  <c r="EK61" i="3"/>
  <c r="EL61" i="3"/>
  <c r="EM61" i="3"/>
  <c r="EN61" i="3"/>
  <c r="EO61" i="3"/>
  <c r="EP61" i="3"/>
  <c r="EQ61" i="3"/>
  <c r="ER61" i="3"/>
  <c r="ES61" i="3"/>
  <c r="ET61" i="3"/>
  <c r="EU61" i="3"/>
  <c r="EV61" i="3"/>
  <c r="EW61" i="3"/>
  <c r="EX61" i="3"/>
  <c r="EY61" i="3"/>
  <c r="EZ61" i="3"/>
  <c r="FA61" i="3"/>
  <c r="FB61" i="3"/>
  <c r="FC61" i="3"/>
  <c r="FD61" i="3"/>
  <c r="FE61" i="3"/>
  <c r="FF61" i="3"/>
  <c r="FG61" i="3"/>
  <c r="FH61" i="3"/>
  <c r="FI61" i="3"/>
  <c r="FJ61" i="3"/>
  <c r="FK61" i="3"/>
  <c r="FL61" i="3"/>
  <c r="FM61" i="3"/>
  <c r="FN61" i="3"/>
  <c r="FO61" i="3"/>
  <c r="FP61" i="3"/>
  <c r="FQ61" i="3"/>
  <c r="FR61" i="3"/>
  <c r="FS61" i="3"/>
  <c r="FT61" i="3"/>
  <c r="FU61" i="3"/>
  <c r="FV61" i="3"/>
  <c r="FW61" i="3"/>
  <c r="FX61" i="3"/>
  <c r="FY61" i="3"/>
  <c r="FZ61" i="3"/>
  <c r="GA61" i="3"/>
  <c r="GB61" i="3"/>
  <c r="GC61" i="3"/>
  <c r="GD61" i="3"/>
  <c r="GE61" i="3"/>
  <c r="GF61" i="3"/>
  <c r="GG61" i="3"/>
  <c r="GH61" i="3"/>
  <c r="GI61" i="3"/>
  <c r="GJ61" i="3"/>
  <c r="GK61" i="3"/>
  <c r="GL61" i="3"/>
  <c r="GM61" i="3"/>
  <c r="GN61" i="3"/>
  <c r="GO61" i="3"/>
  <c r="GP61" i="3"/>
  <c r="GQ61" i="3"/>
  <c r="GR61" i="3"/>
  <c r="GS61" i="3"/>
  <c r="GT61" i="3"/>
  <c r="GU61" i="3"/>
  <c r="GV61" i="3"/>
  <c r="GW61" i="3"/>
  <c r="GX61" i="3"/>
  <c r="GY61" i="3"/>
  <c r="GZ61" i="3"/>
  <c r="HA61" i="3"/>
  <c r="HB61" i="3"/>
  <c r="HC61" i="3"/>
  <c r="HD61" i="3"/>
  <c r="HE61" i="3"/>
  <c r="HF61" i="3"/>
  <c r="HG61" i="3"/>
  <c r="HH61" i="3"/>
  <c r="HI61" i="3"/>
  <c r="HJ61" i="3"/>
  <c r="HK61" i="3"/>
  <c r="HL61" i="3"/>
  <c r="HM61" i="3"/>
  <c r="HN61" i="3"/>
  <c r="HO61" i="3"/>
  <c r="HP61" i="3"/>
  <c r="HQ61" i="3"/>
  <c r="HR61" i="3"/>
  <c r="HS61" i="3"/>
  <c r="HT61" i="3"/>
  <c r="HU61" i="3"/>
  <c r="HV61" i="3"/>
  <c r="HW61" i="3"/>
  <c r="HX61" i="3"/>
  <c r="HY61" i="3"/>
  <c r="HZ61" i="3"/>
  <c r="IA61" i="3"/>
  <c r="IB61" i="3"/>
  <c r="IC61" i="3"/>
  <c r="ID61" i="3"/>
  <c r="IE61" i="3"/>
  <c r="IF61" i="3"/>
  <c r="IG61" i="3"/>
  <c r="IH61" i="3"/>
  <c r="II61" i="3"/>
  <c r="IJ61" i="3"/>
  <c r="IK61" i="3"/>
  <c r="IL61" i="3"/>
  <c r="IM61" i="3"/>
  <c r="IN61" i="3"/>
  <c r="IO61" i="3"/>
  <c r="IP61" i="3"/>
  <c r="IQ61" i="3"/>
  <c r="IR61" i="3"/>
  <c r="IS61" i="3"/>
  <c r="IT61" i="3"/>
  <c r="IU61" i="3"/>
  <c r="IV61" i="3"/>
  <c r="A60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BJ60" i="3"/>
  <c r="BK60" i="3"/>
  <c r="BL60" i="3"/>
  <c r="BM60" i="3"/>
  <c r="BN60" i="3"/>
  <c r="BO60" i="3"/>
  <c r="BP60" i="3"/>
  <c r="BQ60" i="3"/>
  <c r="BR60" i="3"/>
  <c r="BS60" i="3"/>
  <c r="BT60" i="3"/>
  <c r="BU60" i="3"/>
  <c r="BV60" i="3"/>
  <c r="BW60" i="3"/>
  <c r="BX60" i="3"/>
  <c r="BY60" i="3"/>
  <c r="BZ60" i="3"/>
  <c r="CA60" i="3"/>
  <c r="CB60" i="3"/>
  <c r="CC60" i="3"/>
  <c r="CD60" i="3"/>
  <c r="CE60" i="3"/>
  <c r="CF60" i="3"/>
  <c r="CG60" i="3"/>
  <c r="CH60" i="3"/>
  <c r="CI60" i="3"/>
  <c r="CJ60" i="3"/>
  <c r="CK60" i="3"/>
  <c r="CL60" i="3"/>
  <c r="CM60" i="3"/>
  <c r="CN60" i="3"/>
  <c r="CO60" i="3"/>
  <c r="CP60" i="3"/>
  <c r="CQ60" i="3"/>
  <c r="CR60" i="3"/>
  <c r="CS60" i="3"/>
  <c r="CT60" i="3"/>
  <c r="CU60" i="3"/>
  <c r="CV60" i="3"/>
  <c r="CW60" i="3"/>
  <c r="CX60" i="3"/>
  <c r="CY60" i="3"/>
  <c r="CZ60" i="3"/>
  <c r="DA60" i="3"/>
  <c r="DB60" i="3"/>
  <c r="DC60" i="3"/>
  <c r="DD60" i="3"/>
  <c r="DE60" i="3"/>
  <c r="DF60" i="3"/>
  <c r="DG60" i="3"/>
  <c r="DH60" i="3"/>
  <c r="DI60" i="3"/>
  <c r="DJ60" i="3"/>
  <c r="DK60" i="3"/>
  <c r="DL60" i="3"/>
  <c r="DM60" i="3"/>
  <c r="DN60" i="3"/>
  <c r="DO60" i="3"/>
  <c r="DP60" i="3"/>
  <c r="DQ60" i="3"/>
  <c r="DR60" i="3"/>
  <c r="DS60" i="3"/>
  <c r="DT60" i="3"/>
  <c r="DU60" i="3"/>
  <c r="DV60" i="3"/>
  <c r="DW60" i="3"/>
  <c r="DX60" i="3"/>
  <c r="DY60" i="3"/>
  <c r="DZ60" i="3"/>
  <c r="EA60" i="3"/>
  <c r="EB60" i="3"/>
  <c r="EC60" i="3"/>
  <c r="ED60" i="3"/>
  <c r="EE60" i="3"/>
  <c r="EF60" i="3"/>
  <c r="EG60" i="3"/>
  <c r="EH60" i="3"/>
  <c r="EI60" i="3"/>
  <c r="EJ60" i="3"/>
  <c r="EK60" i="3"/>
  <c r="EL60" i="3"/>
  <c r="EM60" i="3"/>
  <c r="EN60" i="3"/>
  <c r="EO60" i="3"/>
  <c r="EP60" i="3"/>
  <c r="EQ60" i="3"/>
  <c r="ER60" i="3"/>
  <c r="ES60" i="3"/>
  <c r="ET60" i="3"/>
  <c r="EU60" i="3"/>
  <c r="EV60" i="3"/>
  <c r="EW60" i="3"/>
  <c r="EX60" i="3"/>
  <c r="EY60" i="3"/>
  <c r="EZ60" i="3"/>
  <c r="FA60" i="3"/>
  <c r="FB60" i="3"/>
  <c r="FC60" i="3"/>
  <c r="FD60" i="3"/>
  <c r="FE60" i="3"/>
  <c r="FF60" i="3"/>
  <c r="FG60" i="3"/>
  <c r="FH60" i="3"/>
  <c r="FI60" i="3"/>
  <c r="FJ60" i="3"/>
  <c r="FK60" i="3"/>
  <c r="FL60" i="3"/>
  <c r="FM60" i="3"/>
  <c r="FN60" i="3"/>
  <c r="FO60" i="3"/>
  <c r="FP60" i="3"/>
  <c r="FQ60" i="3"/>
  <c r="FR60" i="3"/>
  <c r="FS60" i="3"/>
  <c r="FT60" i="3"/>
  <c r="FU60" i="3"/>
  <c r="FV60" i="3"/>
  <c r="FW60" i="3"/>
  <c r="FX60" i="3"/>
  <c r="FY60" i="3"/>
  <c r="FZ60" i="3"/>
  <c r="GA60" i="3"/>
  <c r="GB60" i="3"/>
  <c r="GC60" i="3"/>
  <c r="GD60" i="3"/>
  <c r="GE60" i="3"/>
  <c r="GF60" i="3"/>
  <c r="GG60" i="3"/>
  <c r="GH60" i="3"/>
  <c r="GI60" i="3"/>
  <c r="GJ60" i="3"/>
  <c r="GK60" i="3"/>
  <c r="GL60" i="3"/>
  <c r="GM60" i="3"/>
  <c r="GN60" i="3"/>
  <c r="GO60" i="3"/>
  <c r="GP60" i="3"/>
  <c r="GQ60" i="3"/>
  <c r="GR60" i="3"/>
  <c r="GS60" i="3"/>
  <c r="GT60" i="3"/>
  <c r="GU60" i="3"/>
  <c r="GV60" i="3"/>
  <c r="GW60" i="3"/>
  <c r="GX60" i="3"/>
  <c r="GY60" i="3"/>
  <c r="GZ60" i="3"/>
  <c r="HA60" i="3"/>
  <c r="HB60" i="3"/>
  <c r="HC60" i="3"/>
  <c r="HD60" i="3"/>
  <c r="HE60" i="3"/>
  <c r="HF60" i="3"/>
  <c r="HG60" i="3"/>
  <c r="HH60" i="3"/>
  <c r="HI60" i="3"/>
  <c r="HJ60" i="3"/>
  <c r="HK60" i="3"/>
  <c r="HL60" i="3"/>
  <c r="HM60" i="3"/>
  <c r="HN60" i="3"/>
  <c r="HO60" i="3"/>
  <c r="HP60" i="3"/>
  <c r="HQ60" i="3"/>
  <c r="HR60" i="3"/>
  <c r="HS60" i="3"/>
  <c r="HT60" i="3"/>
  <c r="HU60" i="3"/>
  <c r="HV60" i="3"/>
  <c r="HW60" i="3"/>
  <c r="HX60" i="3"/>
  <c r="HY60" i="3"/>
  <c r="HZ60" i="3"/>
  <c r="IA60" i="3"/>
  <c r="IB60" i="3"/>
  <c r="IC60" i="3"/>
  <c r="ID60" i="3"/>
  <c r="IE60" i="3"/>
  <c r="IF60" i="3"/>
  <c r="IG60" i="3"/>
  <c r="IH60" i="3"/>
  <c r="II60" i="3"/>
  <c r="IJ60" i="3"/>
  <c r="IK60" i="3"/>
  <c r="IL60" i="3"/>
  <c r="IM60" i="3"/>
  <c r="IN60" i="3"/>
  <c r="IO60" i="3"/>
  <c r="IP60" i="3"/>
  <c r="IQ60" i="3"/>
  <c r="IR60" i="3"/>
  <c r="IS60" i="3"/>
  <c r="IT60" i="3"/>
  <c r="IU60" i="3"/>
  <c r="IV60" i="3"/>
  <c r="A59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BG59" i="3"/>
  <c r="BH59" i="3"/>
  <c r="BI59" i="3"/>
  <c r="BJ59" i="3"/>
  <c r="BK59" i="3"/>
  <c r="BL59" i="3"/>
  <c r="BM59" i="3"/>
  <c r="BN59" i="3"/>
  <c r="BO59" i="3"/>
  <c r="BP59" i="3"/>
  <c r="BQ59" i="3"/>
  <c r="BR59" i="3"/>
  <c r="BS59" i="3"/>
  <c r="BT59" i="3"/>
  <c r="BU59" i="3"/>
  <c r="BV59" i="3"/>
  <c r="BW59" i="3"/>
  <c r="BX59" i="3"/>
  <c r="BY59" i="3"/>
  <c r="BZ59" i="3"/>
  <c r="CA59" i="3"/>
  <c r="CB59" i="3"/>
  <c r="CC59" i="3"/>
  <c r="CD59" i="3"/>
  <c r="CE59" i="3"/>
  <c r="CF59" i="3"/>
  <c r="CG59" i="3"/>
  <c r="CH59" i="3"/>
  <c r="CI59" i="3"/>
  <c r="CJ59" i="3"/>
  <c r="CK59" i="3"/>
  <c r="CL59" i="3"/>
  <c r="CM59" i="3"/>
  <c r="CN59" i="3"/>
  <c r="CO59" i="3"/>
  <c r="CP59" i="3"/>
  <c r="CQ59" i="3"/>
  <c r="CR59" i="3"/>
  <c r="CS59" i="3"/>
  <c r="CT59" i="3"/>
  <c r="CU59" i="3"/>
  <c r="CV59" i="3"/>
  <c r="CW59" i="3"/>
  <c r="CX59" i="3"/>
  <c r="CY59" i="3"/>
  <c r="CZ59" i="3"/>
  <c r="DA59" i="3"/>
  <c r="DB59" i="3"/>
  <c r="DC59" i="3"/>
  <c r="DD59" i="3"/>
  <c r="DE59" i="3"/>
  <c r="DF59" i="3"/>
  <c r="DG59" i="3"/>
  <c r="DH59" i="3"/>
  <c r="DI59" i="3"/>
  <c r="DJ59" i="3"/>
  <c r="DK59" i="3"/>
  <c r="DL59" i="3"/>
  <c r="DM59" i="3"/>
  <c r="DN59" i="3"/>
  <c r="DO59" i="3"/>
  <c r="DP59" i="3"/>
  <c r="DQ59" i="3"/>
  <c r="DR59" i="3"/>
  <c r="DS59" i="3"/>
  <c r="DT59" i="3"/>
  <c r="DU59" i="3"/>
  <c r="DV59" i="3"/>
  <c r="DW59" i="3"/>
  <c r="DX59" i="3"/>
  <c r="DY59" i="3"/>
  <c r="DZ59" i="3"/>
  <c r="EA59" i="3"/>
  <c r="EB59" i="3"/>
  <c r="EC59" i="3"/>
  <c r="ED59" i="3"/>
  <c r="EE59" i="3"/>
  <c r="EF59" i="3"/>
  <c r="EG59" i="3"/>
  <c r="EH59" i="3"/>
  <c r="EI59" i="3"/>
  <c r="EJ59" i="3"/>
  <c r="EK59" i="3"/>
  <c r="EL59" i="3"/>
  <c r="EM59" i="3"/>
  <c r="EN59" i="3"/>
  <c r="EO59" i="3"/>
  <c r="EP59" i="3"/>
  <c r="EQ59" i="3"/>
  <c r="ER59" i="3"/>
  <c r="ES59" i="3"/>
  <c r="ET59" i="3"/>
  <c r="EU59" i="3"/>
  <c r="EV59" i="3"/>
  <c r="EW59" i="3"/>
  <c r="EX59" i="3"/>
  <c r="EY59" i="3"/>
  <c r="EZ59" i="3"/>
  <c r="FA59" i="3"/>
  <c r="FB59" i="3"/>
  <c r="FC59" i="3"/>
  <c r="FD59" i="3"/>
  <c r="FE59" i="3"/>
  <c r="FF59" i="3"/>
  <c r="FG59" i="3"/>
  <c r="FH59" i="3"/>
  <c r="FI59" i="3"/>
  <c r="FJ59" i="3"/>
  <c r="FK59" i="3"/>
  <c r="FL59" i="3"/>
  <c r="FM59" i="3"/>
  <c r="FN59" i="3"/>
  <c r="FO59" i="3"/>
  <c r="FP59" i="3"/>
  <c r="FQ59" i="3"/>
  <c r="FR59" i="3"/>
  <c r="FS59" i="3"/>
  <c r="FT59" i="3"/>
  <c r="FU59" i="3"/>
  <c r="FV59" i="3"/>
  <c r="FW59" i="3"/>
  <c r="FX59" i="3"/>
  <c r="FY59" i="3"/>
  <c r="FZ59" i="3"/>
  <c r="GA59" i="3"/>
  <c r="GB59" i="3"/>
  <c r="GC59" i="3"/>
  <c r="GD59" i="3"/>
  <c r="GE59" i="3"/>
  <c r="GF59" i="3"/>
  <c r="GG59" i="3"/>
  <c r="GH59" i="3"/>
  <c r="GI59" i="3"/>
  <c r="GJ59" i="3"/>
  <c r="GK59" i="3"/>
  <c r="GL59" i="3"/>
  <c r="GM59" i="3"/>
  <c r="GN59" i="3"/>
  <c r="GO59" i="3"/>
  <c r="GP59" i="3"/>
  <c r="GQ59" i="3"/>
  <c r="GR59" i="3"/>
  <c r="GS59" i="3"/>
  <c r="GT59" i="3"/>
  <c r="GU59" i="3"/>
  <c r="GV59" i="3"/>
  <c r="GW59" i="3"/>
  <c r="GX59" i="3"/>
  <c r="GY59" i="3"/>
  <c r="GZ59" i="3"/>
  <c r="HA59" i="3"/>
  <c r="HB59" i="3"/>
  <c r="HC59" i="3"/>
  <c r="HD59" i="3"/>
  <c r="HE59" i="3"/>
  <c r="HF59" i="3"/>
  <c r="HG59" i="3"/>
  <c r="HH59" i="3"/>
  <c r="HI59" i="3"/>
  <c r="HJ59" i="3"/>
  <c r="HK59" i="3"/>
  <c r="HL59" i="3"/>
  <c r="HM59" i="3"/>
  <c r="HN59" i="3"/>
  <c r="HO59" i="3"/>
  <c r="HP59" i="3"/>
  <c r="HQ59" i="3"/>
  <c r="HR59" i="3"/>
  <c r="HS59" i="3"/>
  <c r="HT59" i="3"/>
  <c r="HU59" i="3"/>
  <c r="HV59" i="3"/>
  <c r="HW59" i="3"/>
  <c r="HX59" i="3"/>
  <c r="HY59" i="3"/>
  <c r="HZ59" i="3"/>
  <c r="IA59" i="3"/>
  <c r="IB59" i="3"/>
  <c r="IC59" i="3"/>
  <c r="ID59" i="3"/>
  <c r="IE59" i="3"/>
  <c r="IF59" i="3"/>
  <c r="IG59" i="3"/>
  <c r="IH59" i="3"/>
  <c r="II59" i="3"/>
  <c r="IJ59" i="3"/>
  <c r="IK59" i="3"/>
  <c r="IL59" i="3"/>
  <c r="IM59" i="3"/>
  <c r="IN59" i="3"/>
  <c r="IO59" i="3"/>
  <c r="IP59" i="3"/>
  <c r="IQ59" i="3"/>
  <c r="IR59" i="3"/>
  <c r="IS59" i="3"/>
  <c r="IT59" i="3"/>
  <c r="IU59" i="3"/>
  <c r="IV59" i="3"/>
  <c r="A58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V58" i="3"/>
  <c r="AW58" i="3"/>
  <c r="AX58" i="3"/>
  <c r="AY58" i="3"/>
  <c r="AZ58" i="3"/>
  <c r="BA58" i="3"/>
  <c r="BB58" i="3"/>
  <c r="BC58" i="3"/>
  <c r="BD58" i="3"/>
  <c r="BE58" i="3"/>
  <c r="BF58" i="3"/>
  <c r="BG58" i="3"/>
  <c r="BH58" i="3"/>
  <c r="BI58" i="3"/>
  <c r="BJ58" i="3"/>
  <c r="BK58" i="3"/>
  <c r="BL58" i="3"/>
  <c r="BM58" i="3"/>
  <c r="BN58" i="3"/>
  <c r="BO58" i="3"/>
  <c r="BP58" i="3"/>
  <c r="BQ58" i="3"/>
  <c r="BR58" i="3"/>
  <c r="BS58" i="3"/>
  <c r="BT58" i="3"/>
  <c r="BU58" i="3"/>
  <c r="BV58" i="3"/>
  <c r="BW58" i="3"/>
  <c r="BX58" i="3"/>
  <c r="BY58" i="3"/>
  <c r="BZ58" i="3"/>
  <c r="CA58" i="3"/>
  <c r="CB58" i="3"/>
  <c r="CC58" i="3"/>
  <c r="CD58" i="3"/>
  <c r="CE58" i="3"/>
  <c r="CF58" i="3"/>
  <c r="CG58" i="3"/>
  <c r="CH58" i="3"/>
  <c r="CI58" i="3"/>
  <c r="CJ58" i="3"/>
  <c r="CK58" i="3"/>
  <c r="CL58" i="3"/>
  <c r="CM58" i="3"/>
  <c r="CN58" i="3"/>
  <c r="CO58" i="3"/>
  <c r="CP58" i="3"/>
  <c r="CQ58" i="3"/>
  <c r="CR58" i="3"/>
  <c r="CS58" i="3"/>
  <c r="CT58" i="3"/>
  <c r="CU58" i="3"/>
  <c r="CV58" i="3"/>
  <c r="CW58" i="3"/>
  <c r="CX58" i="3"/>
  <c r="CY58" i="3"/>
  <c r="CZ58" i="3"/>
  <c r="DA58" i="3"/>
  <c r="DB58" i="3"/>
  <c r="DC58" i="3"/>
  <c r="DD58" i="3"/>
  <c r="DE58" i="3"/>
  <c r="DF58" i="3"/>
  <c r="DG58" i="3"/>
  <c r="DH58" i="3"/>
  <c r="DI58" i="3"/>
  <c r="DJ58" i="3"/>
  <c r="DK58" i="3"/>
  <c r="DL58" i="3"/>
  <c r="DM58" i="3"/>
  <c r="DN58" i="3"/>
  <c r="DO58" i="3"/>
  <c r="DP58" i="3"/>
  <c r="DQ58" i="3"/>
  <c r="DR58" i="3"/>
  <c r="DS58" i="3"/>
  <c r="DT58" i="3"/>
  <c r="DU58" i="3"/>
  <c r="DV58" i="3"/>
  <c r="DW58" i="3"/>
  <c r="DX58" i="3"/>
  <c r="DY58" i="3"/>
  <c r="DZ58" i="3"/>
  <c r="EA58" i="3"/>
  <c r="EB58" i="3"/>
  <c r="EC58" i="3"/>
  <c r="ED58" i="3"/>
  <c r="EE58" i="3"/>
  <c r="EF58" i="3"/>
  <c r="EG58" i="3"/>
  <c r="EH58" i="3"/>
  <c r="EI58" i="3"/>
  <c r="EJ58" i="3"/>
  <c r="EK58" i="3"/>
  <c r="EL58" i="3"/>
  <c r="EM58" i="3"/>
  <c r="EN58" i="3"/>
  <c r="EO58" i="3"/>
  <c r="EP58" i="3"/>
  <c r="EQ58" i="3"/>
  <c r="ER58" i="3"/>
  <c r="ES58" i="3"/>
  <c r="ET58" i="3"/>
  <c r="EU58" i="3"/>
  <c r="EV58" i="3"/>
  <c r="EW58" i="3"/>
  <c r="EX58" i="3"/>
  <c r="EY58" i="3"/>
  <c r="EZ58" i="3"/>
  <c r="FA58" i="3"/>
  <c r="FB58" i="3"/>
  <c r="FC58" i="3"/>
  <c r="FD58" i="3"/>
  <c r="FE58" i="3"/>
  <c r="FF58" i="3"/>
  <c r="FG58" i="3"/>
  <c r="FH58" i="3"/>
  <c r="FI58" i="3"/>
  <c r="FJ58" i="3"/>
  <c r="FK58" i="3"/>
  <c r="FL58" i="3"/>
  <c r="FM58" i="3"/>
  <c r="FN58" i="3"/>
  <c r="FO58" i="3"/>
  <c r="FP58" i="3"/>
  <c r="FQ58" i="3"/>
  <c r="FR58" i="3"/>
  <c r="FS58" i="3"/>
  <c r="FT58" i="3"/>
  <c r="FU58" i="3"/>
  <c r="FV58" i="3"/>
  <c r="FW58" i="3"/>
  <c r="FX58" i="3"/>
  <c r="FY58" i="3"/>
  <c r="FZ58" i="3"/>
  <c r="GA58" i="3"/>
  <c r="GB58" i="3"/>
  <c r="GC58" i="3"/>
  <c r="GD58" i="3"/>
  <c r="GE58" i="3"/>
  <c r="GF58" i="3"/>
  <c r="GG58" i="3"/>
  <c r="GH58" i="3"/>
  <c r="GI58" i="3"/>
  <c r="GJ58" i="3"/>
  <c r="GK58" i="3"/>
  <c r="GL58" i="3"/>
  <c r="GM58" i="3"/>
  <c r="GN58" i="3"/>
  <c r="GO58" i="3"/>
  <c r="GP58" i="3"/>
  <c r="GQ58" i="3"/>
  <c r="GR58" i="3"/>
  <c r="GS58" i="3"/>
  <c r="GT58" i="3"/>
  <c r="GU58" i="3"/>
  <c r="GV58" i="3"/>
  <c r="GW58" i="3"/>
  <c r="GX58" i="3"/>
  <c r="GY58" i="3"/>
  <c r="GZ58" i="3"/>
  <c r="HA58" i="3"/>
  <c r="HB58" i="3"/>
  <c r="HC58" i="3"/>
  <c r="HD58" i="3"/>
  <c r="HE58" i="3"/>
  <c r="HF58" i="3"/>
  <c r="HG58" i="3"/>
  <c r="HH58" i="3"/>
  <c r="HI58" i="3"/>
  <c r="HJ58" i="3"/>
  <c r="HK58" i="3"/>
  <c r="HL58" i="3"/>
  <c r="HM58" i="3"/>
  <c r="HN58" i="3"/>
  <c r="HO58" i="3"/>
  <c r="HP58" i="3"/>
  <c r="HQ58" i="3"/>
  <c r="HR58" i="3"/>
  <c r="HS58" i="3"/>
  <c r="HT58" i="3"/>
  <c r="HU58" i="3"/>
  <c r="HV58" i="3"/>
  <c r="HW58" i="3"/>
  <c r="HX58" i="3"/>
  <c r="HY58" i="3"/>
  <c r="HZ58" i="3"/>
  <c r="IA58" i="3"/>
  <c r="IB58" i="3"/>
  <c r="IC58" i="3"/>
  <c r="ID58" i="3"/>
  <c r="IE58" i="3"/>
  <c r="IF58" i="3"/>
  <c r="IG58" i="3"/>
  <c r="IH58" i="3"/>
  <c r="II58" i="3"/>
  <c r="IJ58" i="3"/>
  <c r="IK58" i="3"/>
  <c r="IL58" i="3"/>
  <c r="IM58" i="3"/>
  <c r="IN58" i="3"/>
  <c r="IO58" i="3"/>
  <c r="IP58" i="3"/>
  <c r="IQ58" i="3"/>
  <c r="IR58" i="3"/>
  <c r="IS58" i="3"/>
  <c r="IT58" i="3"/>
  <c r="IU58" i="3"/>
  <c r="IV58" i="3"/>
  <c r="A57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V57" i="3"/>
  <c r="AW57" i="3"/>
  <c r="AX57" i="3"/>
  <c r="AY57" i="3"/>
  <c r="AZ57" i="3"/>
  <c r="BA57" i="3"/>
  <c r="BB57" i="3"/>
  <c r="BC57" i="3"/>
  <c r="BD57" i="3"/>
  <c r="BE57" i="3"/>
  <c r="BF57" i="3"/>
  <c r="BG57" i="3"/>
  <c r="BH57" i="3"/>
  <c r="BI57" i="3"/>
  <c r="BJ57" i="3"/>
  <c r="BK57" i="3"/>
  <c r="BL57" i="3"/>
  <c r="BM57" i="3"/>
  <c r="BN57" i="3"/>
  <c r="BO57" i="3"/>
  <c r="BP57" i="3"/>
  <c r="BQ57" i="3"/>
  <c r="BR57" i="3"/>
  <c r="BS57" i="3"/>
  <c r="BT57" i="3"/>
  <c r="BU57" i="3"/>
  <c r="BV57" i="3"/>
  <c r="BW57" i="3"/>
  <c r="BX57" i="3"/>
  <c r="BY57" i="3"/>
  <c r="BZ57" i="3"/>
  <c r="CA57" i="3"/>
  <c r="CB57" i="3"/>
  <c r="CC57" i="3"/>
  <c r="CD57" i="3"/>
  <c r="CE57" i="3"/>
  <c r="CF57" i="3"/>
  <c r="CG57" i="3"/>
  <c r="CH57" i="3"/>
  <c r="CI57" i="3"/>
  <c r="CJ57" i="3"/>
  <c r="CK57" i="3"/>
  <c r="CL57" i="3"/>
  <c r="CM57" i="3"/>
  <c r="CN57" i="3"/>
  <c r="CO57" i="3"/>
  <c r="CP57" i="3"/>
  <c r="CQ57" i="3"/>
  <c r="CR57" i="3"/>
  <c r="CS57" i="3"/>
  <c r="CT57" i="3"/>
  <c r="CU57" i="3"/>
  <c r="CV57" i="3"/>
  <c r="CW57" i="3"/>
  <c r="CX57" i="3"/>
  <c r="CY57" i="3"/>
  <c r="CZ57" i="3"/>
  <c r="DA57" i="3"/>
  <c r="DB57" i="3"/>
  <c r="DC57" i="3"/>
  <c r="DD57" i="3"/>
  <c r="DE57" i="3"/>
  <c r="DF57" i="3"/>
  <c r="DG57" i="3"/>
  <c r="DH57" i="3"/>
  <c r="DI57" i="3"/>
  <c r="DJ57" i="3"/>
  <c r="DK57" i="3"/>
  <c r="DL57" i="3"/>
  <c r="DM57" i="3"/>
  <c r="DN57" i="3"/>
  <c r="DO57" i="3"/>
  <c r="DP57" i="3"/>
  <c r="DQ57" i="3"/>
  <c r="DR57" i="3"/>
  <c r="DS57" i="3"/>
  <c r="DT57" i="3"/>
  <c r="DU57" i="3"/>
  <c r="DV57" i="3"/>
  <c r="DW57" i="3"/>
  <c r="DX57" i="3"/>
  <c r="DY57" i="3"/>
  <c r="DZ57" i="3"/>
  <c r="EA57" i="3"/>
  <c r="EB57" i="3"/>
  <c r="EC57" i="3"/>
  <c r="ED57" i="3"/>
  <c r="EE57" i="3"/>
  <c r="EF57" i="3"/>
  <c r="EG57" i="3"/>
  <c r="EH57" i="3"/>
  <c r="EI57" i="3"/>
  <c r="EJ57" i="3"/>
  <c r="EK57" i="3"/>
  <c r="EL57" i="3"/>
  <c r="EM57" i="3"/>
  <c r="EN57" i="3"/>
  <c r="EO57" i="3"/>
  <c r="EP57" i="3"/>
  <c r="EQ57" i="3"/>
  <c r="ER57" i="3"/>
  <c r="ES57" i="3"/>
  <c r="ET57" i="3"/>
  <c r="EU57" i="3"/>
  <c r="EV57" i="3"/>
  <c r="EW57" i="3"/>
  <c r="EX57" i="3"/>
  <c r="EY57" i="3"/>
  <c r="EZ57" i="3"/>
  <c r="FA57" i="3"/>
  <c r="FB57" i="3"/>
  <c r="FC57" i="3"/>
  <c r="FD57" i="3"/>
  <c r="FE57" i="3"/>
  <c r="FF57" i="3"/>
  <c r="FG57" i="3"/>
  <c r="FH57" i="3"/>
  <c r="FI57" i="3"/>
  <c r="FJ57" i="3"/>
  <c r="FK57" i="3"/>
  <c r="FL57" i="3"/>
  <c r="FM57" i="3"/>
  <c r="FN57" i="3"/>
  <c r="FO57" i="3"/>
  <c r="FP57" i="3"/>
  <c r="FQ57" i="3"/>
  <c r="FR57" i="3"/>
  <c r="FS57" i="3"/>
  <c r="FT57" i="3"/>
  <c r="FU57" i="3"/>
  <c r="FV57" i="3"/>
  <c r="FW57" i="3"/>
  <c r="FX57" i="3"/>
  <c r="FY57" i="3"/>
  <c r="FZ57" i="3"/>
  <c r="GA57" i="3"/>
  <c r="GB57" i="3"/>
  <c r="GC57" i="3"/>
  <c r="GD57" i="3"/>
  <c r="GE57" i="3"/>
  <c r="GF57" i="3"/>
  <c r="GG57" i="3"/>
  <c r="GH57" i="3"/>
  <c r="GI57" i="3"/>
  <c r="GJ57" i="3"/>
  <c r="GK57" i="3"/>
  <c r="GL57" i="3"/>
  <c r="GM57" i="3"/>
  <c r="GN57" i="3"/>
  <c r="GO57" i="3"/>
  <c r="GP57" i="3"/>
  <c r="GQ57" i="3"/>
  <c r="GR57" i="3"/>
  <c r="GS57" i="3"/>
  <c r="GT57" i="3"/>
  <c r="GU57" i="3"/>
  <c r="GV57" i="3"/>
  <c r="GW57" i="3"/>
  <c r="GX57" i="3"/>
  <c r="GY57" i="3"/>
  <c r="GZ57" i="3"/>
  <c r="HA57" i="3"/>
  <c r="HB57" i="3"/>
  <c r="HC57" i="3"/>
  <c r="HD57" i="3"/>
  <c r="HE57" i="3"/>
  <c r="HF57" i="3"/>
  <c r="HG57" i="3"/>
  <c r="HH57" i="3"/>
  <c r="HI57" i="3"/>
  <c r="HJ57" i="3"/>
  <c r="HK57" i="3"/>
  <c r="HL57" i="3"/>
  <c r="HM57" i="3"/>
  <c r="HN57" i="3"/>
  <c r="HO57" i="3"/>
  <c r="HP57" i="3"/>
  <c r="HQ57" i="3"/>
  <c r="HR57" i="3"/>
  <c r="HS57" i="3"/>
  <c r="HT57" i="3"/>
  <c r="HU57" i="3"/>
  <c r="HV57" i="3"/>
  <c r="HW57" i="3"/>
  <c r="HX57" i="3"/>
  <c r="HY57" i="3"/>
  <c r="HZ57" i="3"/>
  <c r="IA57" i="3"/>
  <c r="IB57" i="3"/>
  <c r="IC57" i="3"/>
  <c r="ID57" i="3"/>
  <c r="IE57" i="3"/>
  <c r="IF57" i="3"/>
  <c r="IG57" i="3"/>
  <c r="IH57" i="3"/>
  <c r="II57" i="3"/>
  <c r="IJ57" i="3"/>
  <c r="IK57" i="3"/>
  <c r="IL57" i="3"/>
  <c r="IM57" i="3"/>
  <c r="IN57" i="3"/>
  <c r="IO57" i="3"/>
  <c r="IP57" i="3"/>
  <c r="IQ57" i="3"/>
  <c r="IR57" i="3"/>
  <c r="IS57" i="3"/>
  <c r="IT57" i="3"/>
  <c r="IU57" i="3"/>
  <c r="IV57" i="3"/>
  <c r="A56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V56" i="3"/>
  <c r="AW56" i="3"/>
  <c r="AX56" i="3"/>
  <c r="AY56" i="3"/>
  <c r="AZ56" i="3"/>
  <c r="BA56" i="3"/>
  <c r="BB56" i="3"/>
  <c r="BC56" i="3"/>
  <c r="BD56" i="3"/>
  <c r="BE56" i="3"/>
  <c r="BF56" i="3"/>
  <c r="BG56" i="3"/>
  <c r="BH56" i="3"/>
  <c r="BI56" i="3"/>
  <c r="BJ56" i="3"/>
  <c r="BK56" i="3"/>
  <c r="BL56" i="3"/>
  <c r="BM56" i="3"/>
  <c r="BN56" i="3"/>
  <c r="BO56" i="3"/>
  <c r="BP56" i="3"/>
  <c r="BQ56" i="3"/>
  <c r="BR56" i="3"/>
  <c r="BS56" i="3"/>
  <c r="BT56" i="3"/>
  <c r="BU56" i="3"/>
  <c r="BV56" i="3"/>
  <c r="BW56" i="3"/>
  <c r="BX56" i="3"/>
  <c r="BY56" i="3"/>
  <c r="BZ56" i="3"/>
  <c r="CA56" i="3"/>
  <c r="CB56" i="3"/>
  <c r="CC56" i="3"/>
  <c r="CD56" i="3"/>
  <c r="CE56" i="3"/>
  <c r="CF56" i="3"/>
  <c r="CG56" i="3"/>
  <c r="CH56" i="3"/>
  <c r="CI56" i="3"/>
  <c r="CJ56" i="3"/>
  <c r="CK56" i="3"/>
  <c r="CL56" i="3"/>
  <c r="CM56" i="3"/>
  <c r="CN56" i="3"/>
  <c r="CO56" i="3"/>
  <c r="CP56" i="3"/>
  <c r="CQ56" i="3"/>
  <c r="CR56" i="3"/>
  <c r="CS56" i="3"/>
  <c r="CT56" i="3"/>
  <c r="CU56" i="3"/>
  <c r="CV56" i="3"/>
  <c r="CW56" i="3"/>
  <c r="CX56" i="3"/>
  <c r="CY56" i="3"/>
  <c r="CZ56" i="3"/>
  <c r="DA56" i="3"/>
  <c r="DB56" i="3"/>
  <c r="DC56" i="3"/>
  <c r="DD56" i="3"/>
  <c r="DE56" i="3"/>
  <c r="DF56" i="3"/>
  <c r="DG56" i="3"/>
  <c r="DH56" i="3"/>
  <c r="DI56" i="3"/>
  <c r="DJ56" i="3"/>
  <c r="DK56" i="3"/>
  <c r="DL56" i="3"/>
  <c r="DM56" i="3"/>
  <c r="DN56" i="3"/>
  <c r="DO56" i="3"/>
  <c r="DP56" i="3"/>
  <c r="DQ56" i="3"/>
  <c r="DR56" i="3"/>
  <c r="DS56" i="3"/>
  <c r="DT56" i="3"/>
  <c r="DU56" i="3"/>
  <c r="DV56" i="3"/>
  <c r="DW56" i="3"/>
  <c r="DX56" i="3"/>
  <c r="DY56" i="3"/>
  <c r="DZ56" i="3"/>
  <c r="EA56" i="3"/>
  <c r="EB56" i="3"/>
  <c r="EC56" i="3"/>
  <c r="ED56" i="3"/>
  <c r="EE56" i="3"/>
  <c r="EF56" i="3"/>
  <c r="EG56" i="3"/>
  <c r="EH56" i="3"/>
  <c r="EI56" i="3"/>
  <c r="EJ56" i="3"/>
  <c r="EK56" i="3"/>
  <c r="EL56" i="3"/>
  <c r="EM56" i="3"/>
  <c r="EN56" i="3"/>
  <c r="EO56" i="3"/>
  <c r="EP56" i="3"/>
  <c r="EQ56" i="3"/>
  <c r="ER56" i="3"/>
  <c r="ES56" i="3"/>
  <c r="ET56" i="3"/>
  <c r="EU56" i="3"/>
  <c r="EV56" i="3"/>
  <c r="EW56" i="3"/>
  <c r="EX56" i="3"/>
  <c r="EY56" i="3"/>
  <c r="EZ56" i="3"/>
  <c r="FA56" i="3"/>
  <c r="FB56" i="3"/>
  <c r="FC56" i="3"/>
  <c r="FD56" i="3"/>
  <c r="FE56" i="3"/>
  <c r="FF56" i="3"/>
  <c r="FG56" i="3"/>
  <c r="FH56" i="3"/>
  <c r="FI56" i="3"/>
  <c r="FJ56" i="3"/>
  <c r="FK56" i="3"/>
  <c r="FL56" i="3"/>
  <c r="FM56" i="3"/>
  <c r="FN56" i="3"/>
  <c r="FO56" i="3"/>
  <c r="FP56" i="3"/>
  <c r="FQ56" i="3"/>
  <c r="FR56" i="3"/>
  <c r="FS56" i="3"/>
  <c r="FT56" i="3"/>
  <c r="FU56" i="3"/>
  <c r="FV56" i="3"/>
  <c r="FW56" i="3"/>
  <c r="FX56" i="3"/>
  <c r="FY56" i="3"/>
  <c r="FZ56" i="3"/>
  <c r="GA56" i="3"/>
  <c r="GB56" i="3"/>
  <c r="GC56" i="3"/>
  <c r="GD56" i="3"/>
  <c r="GE56" i="3"/>
  <c r="GF56" i="3"/>
  <c r="GG56" i="3"/>
  <c r="GH56" i="3"/>
  <c r="GI56" i="3"/>
  <c r="GJ56" i="3"/>
  <c r="GK56" i="3"/>
  <c r="GL56" i="3"/>
  <c r="GM56" i="3"/>
  <c r="GN56" i="3"/>
  <c r="GO56" i="3"/>
  <c r="GP56" i="3"/>
  <c r="GQ56" i="3"/>
  <c r="GR56" i="3"/>
  <c r="GS56" i="3"/>
  <c r="GT56" i="3"/>
  <c r="GU56" i="3"/>
  <c r="GV56" i="3"/>
  <c r="GW56" i="3"/>
  <c r="GX56" i="3"/>
  <c r="GY56" i="3"/>
  <c r="GZ56" i="3"/>
  <c r="HA56" i="3"/>
  <c r="HB56" i="3"/>
  <c r="HC56" i="3"/>
  <c r="HD56" i="3"/>
  <c r="HE56" i="3"/>
  <c r="HF56" i="3"/>
  <c r="HG56" i="3"/>
  <c r="HH56" i="3"/>
  <c r="HI56" i="3"/>
  <c r="HJ56" i="3"/>
  <c r="HK56" i="3"/>
  <c r="HL56" i="3"/>
  <c r="HM56" i="3"/>
  <c r="HN56" i="3"/>
  <c r="HO56" i="3"/>
  <c r="HP56" i="3"/>
  <c r="HQ56" i="3"/>
  <c r="HR56" i="3"/>
  <c r="HS56" i="3"/>
  <c r="HT56" i="3"/>
  <c r="HU56" i="3"/>
  <c r="HV56" i="3"/>
  <c r="HW56" i="3"/>
  <c r="HX56" i="3"/>
  <c r="HY56" i="3"/>
  <c r="HZ56" i="3"/>
  <c r="IA56" i="3"/>
  <c r="IB56" i="3"/>
  <c r="IC56" i="3"/>
  <c r="ID56" i="3"/>
  <c r="IE56" i="3"/>
  <c r="IF56" i="3"/>
  <c r="IG56" i="3"/>
  <c r="IH56" i="3"/>
  <c r="II56" i="3"/>
  <c r="IJ56" i="3"/>
  <c r="IK56" i="3"/>
  <c r="IL56" i="3"/>
  <c r="IM56" i="3"/>
  <c r="IN56" i="3"/>
  <c r="IO56" i="3"/>
  <c r="IP56" i="3"/>
  <c r="IQ56" i="3"/>
  <c r="IR56" i="3"/>
  <c r="IS56" i="3"/>
  <c r="IT56" i="3"/>
  <c r="IU56" i="3"/>
  <c r="IV56" i="3"/>
  <c r="A55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V55" i="3"/>
  <c r="AW55" i="3"/>
  <c r="AX55" i="3"/>
  <c r="AY55" i="3"/>
  <c r="AZ55" i="3"/>
  <c r="BA55" i="3"/>
  <c r="BB55" i="3"/>
  <c r="BC55" i="3"/>
  <c r="BD55" i="3"/>
  <c r="BE55" i="3"/>
  <c r="BF55" i="3"/>
  <c r="BG55" i="3"/>
  <c r="BH55" i="3"/>
  <c r="BI55" i="3"/>
  <c r="BJ55" i="3"/>
  <c r="BK55" i="3"/>
  <c r="BL55" i="3"/>
  <c r="BM55" i="3"/>
  <c r="BN55" i="3"/>
  <c r="BO55" i="3"/>
  <c r="BP55" i="3"/>
  <c r="BQ55" i="3"/>
  <c r="BR55" i="3"/>
  <c r="BS55" i="3"/>
  <c r="BT55" i="3"/>
  <c r="BU55" i="3"/>
  <c r="BV55" i="3"/>
  <c r="BW55" i="3"/>
  <c r="BX55" i="3"/>
  <c r="BY55" i="3"/>
  <c r="BZ55" i="3"/>
  <c r="CA55" i="3"/>
  <c r="CB55" i="3"/>
  <c r="CC55" i="3"/>
  <c r="CD55" i="3"/>
  <c r="CE55" i="3"/>
  <c r="CF55" i="3"/>
  <c r="CG55" i="3"/>
  <c r="CH55" i="3"/>
  <c r="CI55" i="3"/>
  <c r="CJ55" i="3"/>
  <c r="CK55" i="3"/>
  <c r="CL55" i="3"/>
  <c r="CM55" i="3"/>
  <c r="CN55" i="3"/>
  <c r="CO55" i="3"/>
  <c r="CP55" i="3"/>
  <c r="CQ55" i="3"/>
  <c r="CR55" i="3"/>
  <c r="CS55" i="3"/>
  <c r="CT55" i="3"/>
  <c r="CU55" i="3"/>
  <c r="CV55" i="3"/>
  <c r="CW55" i="3"/>
  <c r="CX55" i="3"/>
  <c r="CY55" i="3"/>
  <c r="CZ55" i="3"/>
  <c r="DA55" i="3"/>
  <c r="DB55" i="3"/>
  <c r="DC55" i="3"/>
  <c r="DD55" i="3"/>
  <c r="DE55" i="3"/>
  <c r="DF55" i="3"/>
  <c r="DG55" i="3"/>
  <c r="DH55" i="3"/>
  <c r="DI55" i="3"/>
  <c r="DJ55" i="3"/>
  <c r="DK55" i="3"/>
  <c r="DL55" i="3"/>
  <c r="DM55" i="3"/>
  <c r="DN55" i="3"/>
  <c r="DO55" i="3"/>
  <c r="DP55" i="3"/>
  <c r="DQ55" i="3"/>
  <c r="DR55" i="3"/>
  <c r="DS55" i="3"/>
  <c r="DT55" i="3"/>
  <c r="DU55" i="3"/>
  <c r="DV55" i="3"/>
  <c r="DW55" i="3"/>
  <c r="DX55" i="3"/>
  <c r="DY55" i="3"/>
  <c r="DZ55" i="3"/>
  <c r="EA55" i="3"/>
  <c r="EB55" i="3"/>
  <c r="EC55" i="3"/>
  <c r="ED55" i="3"/>
  <c r="EE55" i="3"/>
  <c r="EF55" i="3"/>
  <c r="EG55" i="3"/>
  <c r="EH55" i="3"/>
  <c r="EI55" i="3"/>
  <c r="EJ55" i="3"/>
  <c r="EK55" i="3"/>
  <c r="EL55" i="3"/>
  <c r="EM55" i="3"/>
  <c r="EN55" i="3"/>
  <c r="EO55" i="3"/>
  <c r="EP55" i="3"/>
  <c r="EQ55" i="3"/>
  <c r="ER55" i="3"/>
  <c r="ES55" i="3"/>
  <c r="ET55" i="3"/>
  <c r="EU55" i="3"/>
  <c r="EV55" i="3"/>
  <c r="EW55" i="3"/>
  <c r="EX55" i="3"/>
  <c r="EY55" i="3"/>
  <c r="EZ55" i="3"/>
  <c r="FA55" i="3"/>
  <c r="FB55" i="3"/>
  <c r="FC55" i="3"/>
  <c r="FD55" i="3"/>
  <c r="FE55" i="3"/>
  <c r="FF55" i="3"/>
  <c r="FG55" i="3"/>
  <c r="FH55" i="3"/>
  <c r="FI55" i="3"/>
  <c r="FJ55" i="3"/>
  <c r="FK55" i="3"/>
  <c r="FL55" i="3"/>
  <c r="FM55" i="3"/>
  <c r="FN55" i="3"/>
  <c r="FO55" i="3"/>
  <c r="FP55" i="3"/>
  <c r="FQ55" i="3"/>
  <c r="FR55" i="3"/>
  <c r="FS55" i="3"/>
  <c r="FT55" i="3"/>
  <c r="FU55" i="3"/>
  <c r="FV55" i="3"/>
  <c r="FW55" i="3"/>
  <c r="FX55" i="3"/>
  <c r="FY55" i="3"/>
  <c r="FZ55" i="3"/>
  <c r="GA55" i="3"/>
  <c r="GB55" i="3"/>
  <c r="GC55" i="3"/>
  <c r="GD55" i="3"/>
  <c r="GE55" i="3"/>
  <c r="GF55" i="3"/>
  <c r="GG55" i="3"/>
  <c r="GH55" i="3"/>
  <c r="GI55" i="3"/>
  <c r="GJ55" i="3"/>
  <c r="GK55" i="3"/>
  <c r="GL55" i="3"/>
  <c r="GM55" i="3"/>
  <c r="GN55" i="3"/>
  <c r="GO55" i="3"/>
  <c r="GP55" i="3"/>
  <c r="GQ55" i="3"/>
  <c r="GR55" i="3"/>
  <c r="GS55" i="3"/>
  <c r="GT55" i="3"/>
  <c r="GU55" i="3"/>
  <c r="GV55" i="3"/>
  <c r="GW55" i="3"/>
  <c r="GX55" i="3"/>
  <c r="GY55" i="3"/>
  <c r="GZ55" i="3"/>
  <c r="HA55" i="3"/>
  <c r="HB55" i="3"/>
  <c r="HC55" i="3"/>
  <c r="HD55" i="3"/>
  <c r="HE55" i="3"/>
  <c r="HF55" i="3"/>
  <c r="HG55" i="3"/>
  <c r="HH55" i="3"/>
  <c r="HI55" i="3"/>
  <c r="HJ55" i="3"/>
  <c r="HK55" i="3"/>
  <c r="HL55" i="3"/>
  <c r="HM55" i="3"/>
  <c r="HN55" i="3"/>
  <c r="HO55" i="3"/>
  <c r="HP55" i="3"/>
  <c r="HQ55" i="3"/>
  <c r="HR55" i="3"/>
  <c r="HS55" i="3"/>
  <c r="HT55" i="3"/>
  <c r="HU55" i="3"/>
  <c r="HV55" i="3"/>
  <c r="HW55" i="3"/>
  <c r="HX55" i="3"/>
  <c r="HY55" i="3"/>
  <c r="HZ55" i="3"/>
  <c r="IA55" i="3"/>
  <c r="IB55" i="3"/>
  <c r="IC55" i="3"/>
  <c r="ID55" i="3"/>
  <c r="IE55" i="3"/>
  <c r="IF55" i="3"/>
  <c r="IG55" i="3"/>
  <c r="IH55" i="3"/>
  <c r="II55" i="3"/>
  <c r="IJ55" i="3"/>
  <c r="IK55" i="3"/>
  <c r="IL55" i="3"/>
  <c r="IM55" i="3"/>
  <c r="IN55" i="3"/>
  <c r="IO55" i="3"/>
  <c r="IP55" i="3"/>
  <c r="IQ55" i="3"/>
  <c r="IR55" i="3"/>
  <c r="IS55" i="3"/>
  <c r="IT55" i="3"/>
  <c r="IU55" i="3"/>
  <c r="IV55" i="3"/>
  <c r="A54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BO54" i="3"/>
  <c r="BP54" i="3"/>
  <c r="BQ54" i="3"/>
  <c r="BR54" i="3"/>
  <c r="BS54" i="3"/>
  <c r="BT54" i="3"/>
  <c r="BU54" i="3"/>
  <c r="BV54" i="3"/>
  <c r="BW54" i="3"/>
  <c r="BX54" i="3"/>
  <c r="BY54" i="3"/>
  <c r="BZ54" i="3"/>
  <c r="CA54" i="3"/>
  <c r="CB54" i="3"/>
  <c r="CC54" i="3"/>
  <c r="CD54" i="3"/>
  <c r="CE54" i="3"/>
  <c r="CF54" i="3"/>
  <c r="CG54" i="3"/>
  <c r="CH54" i="3"/>
  <c r="CI54" i="3"/>
  <c r="CJ54" i="3"/>
  <c r="CK54" i="3"/>
  <c r="CL54" i="3"/>
  <c r="CM54" i="3"/>
  <c r="CN54" i="3"/>
  <c r="CO54" i="3"/>
  <c r="CP54" i="3"/>
  <c r="CQ54" i="3"/>
  <c r="CR54" i="3"/>
  <c r="CS54" i="3"/>
  <c r="CT54" i="3"/>
  <c r="CU54" i="3"/>
  <c r="CV54" i="3"/>
  <c r="CW54" i="3"/>
  <c r="CX54" i="3"/>
  <c r="CY54" i="3"/>
  <c r="CZ54" i="3"/>
  <c r="DA54" i="3"/>
  <c r="DB54" i="3"/>
  <c r="DC54" i="3"/>
  <c r="DD54" i="3"/>
  <c r="DE54" i="3"/>
  <c r="DF54" i="3"/>
  <c r="DG54" i="3"/>
  <c r="DH54" i="3"/>
  <c r="DI54" i="3"/>
  <c r="DJ54" i="3"/>
  <c r="DK54" i="3"/>
  <c r="DL54" i="3"/>
  <c r="DM54" i="3"/>
  <c r="DN54" i="3"/>
  <c r="DO54" i="3"/>
  <c r="DP54" i="3"/>
  <c r="DQ54" i="3"/>
  <c r="DR54" i="3"/>
  <c r="DS54" i="3"/>
  <c r="DT54" i="3"/>
  <c r="DU54" i="3"/>
  <c r="DV54" i="3"/>
  <c r="DW54" i="3"/>
  <c r="DX54" i="3"/>
  <c r="DY54" i="3"/>
  <c r="DZ54" i="3"/>
  <c r="EA54" i="3"/>
  <c r="EB54" i="3"/>
  <c r="EC54" i="3"/>
  <c r="ED54" i="3"/>
  <c r="EE54" i="3"/>
  <c r="EF54" i="3"/>
  <c r="EG54" i="3"/>
  <c r="EH54" i="3"/>
  <c r="EI54" i="3"/>
  <c r="EJ54" i="3"/>
  <c r="EK54" i="3"/>
  <c r="EL54" i="3"/>
  <c r="EM54" i="3"/>
  <c r="EN54" i="3"/>
  <c r="EO54" i="3"/>
  <c r="EP54" i="3"/>
  <c r="EQ54" i="3"/>
  <c r="ER54" i="3"/>
  <c r="ES54" i="3"/>
  <c r="ET54" i="3"/>
  <c r="EU54" i="3"/>
  <c r="EV54" i="3"/>
  <c r="EW54" i="3"/>
  <c r="EX54" i="3"/>
  <c r="EY54" i="3"/>
  <c r="EZ54" i="3"/>
  <c r="FA54" i="3"/>
  <c r="FB54" i="3"/>
  <c r="FC54" i="3"/>
  <c r="FD54" i="3"/>
  <c r="FE54" i="3"/>
  <c r="FF54" i="3"/>
  <c r="FG54" i="3"/>
  <c r="FH54" i="3"/>
  <c r="FI54" i="3"/>
  <c r="FJ54" i="3"/>
  <c r="FK54" i="3"/>
  <c r="FL54" i="3"/>
  <c r="FM54" i="3"/>
  <c r="FN54" i="3"/>
  <c r="FO54" i="3"/>
  <c r="FP54" i="3"/>
  <c r="FQ54" i="3"/>
  <c r="FR54" i="3"/>
  <c r="FS54" i="3"/>
  <c r="FT54" i="3"/>
  <c r="FU54" i="3"/>
  <c r="FV54" i="3"/>
  <c r="FW54" i="3"/>
  <c r="FX54" i="3"/>
  <c r="FY54" i="3"/>
  <c r="FZ54" i="3"/>
  <c r="GA54" i="3"/>
  <c r="GB54" i="3"/>
  <c r="GC54" i="3"/>
  <c r="GD54" i="3"/>
  <c r="GE54" i="3"/>
  <c r="GF54" i="3"/>
  <c r="GG54" i="3"/>
  <c r="GH54" i="3"/>
  <c r="GI54" i="3"/>
  <c r="GJ54" i="3"/>
  <c r="GK54" i="3"/>
  <c r="GL54" i="3"/>
  <c r="GM54" i="3"/>
  <c r="GN54" i="3"/>
  <c r="GO54" i="3"/>
  <c r="GP54" i="3"/>
  <c r="GQ54" i="3"/>
  <c r="GR54" i="3"/>
  <c r="GS54" i="3"/>
  <c r="GT54" i="3"/>
  <c r="GU54" i="3"/>
  <c r="GV54" i="3"/>
  <c r="GW54" i="3"/>
  <c r="GX54" i="3"/>
  <c r="GY54" i="3"/>
  <c r="GZ54" i="3"/>
  <c r="HA54" i="3"/>
  <c r="HB54" i="3"/>
  <c r="HC54" i="3"/>
  <c r="HD54" i="3"/>
  <c r="HE54" i="3"/>
  <c r="HF54" i="3"/>
  <c r="HG54" i="3"/>
  <c r="HH54" i="3"/>
  <c r="HI54" i="3"/>
  <c r="HJ54" i="3"/>
  <c r="HK54" i="3"/>
  <c r="HL54" i="3"/>
  <c r="HM54" i="3"/>
  <c r="HN54" i="3"/>
  <c r="HO54" i="3"/>
  <c r="HP54" i="3"/>
  <c r="HQ54" i="3"/>
  <c r="HR54" i="3"/>
  <c r="HS54" i="3"/>
  <c r="HT54" i="3"/>
  <c r="HU54" i="3"/>
  <c r="HV54" i="3"/>
  <c r="HW54" i="3"/>
  <c r="HX54" i="3"/>
  <c r="HY54" i="3"/>
  <c r="HZ54" i="3"/>
  <c r="IA54" i="3"/>
  <c r="IB54" i="3"/>
  <c r="IC54" i="3"/>
  <c r="ID54" i="3"/>
  <c r="IE54" i="3"/>
  <c r="IF54" i="3"/>
  <c r="IG54" i="3"/>
  <c r="IH54" i="3"/>
  <c r="II54" i="3"/>
  <c r="IJ54" i="3"/>
  <c r="IK54" i="3"/>
  <c r="IL54" i="3"/>
  <c r="IM54" i="3"/>
  <c r="IN54" i="3"/>
  <c r="IO54" i="3"/>
  <c r="IP54" i="3"/>
  <c r="IQ54" i="3"/>
  <c r="IR54" i="3"/>
  <c r="IS54" i="3"/>
  <c r="IT54" i="3"/>
  <c r="IU54" i="3"/>
  <c r="IV54" i="3"/>
  <c r="A53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V53" i="3"/>
  <c r="AW53" i="3"/>
  <c r="AX53" i="3"/>
  <c r="AY53" i="3"/>
  <c r="AZ53" i="3"/>
  <c r="BA53" i="3"/>
  <c r="BB53" i="3"/>
  <c r="BC53" i="3"/>
  <c r="BD53" i="3"/>
  <c r="BE53" i="3"/>
  <c r="BF53" i="3"/>
  <c r="BG53" i="3"/>
  <c r="BH53" i="3"/>
  <c r="BI53" i="3"/>
  <c r="BJ53" i="3"/>
  <c r="BK53" i="3"/>
  <c r="BL53" i="3"/>
  <c r="BM53" i="3"/>
  <c r="BN53" i="3"/>
  <c r="BO53" i="3"/>
  <c r="BP53" i="3"/>
  <c r="BQ53" i="3"/>
  <c r="BR53" i="3"/>
  <c r="BS53" i="3"/>
  <c r="BT53" i="3"/>
  <c r="BU53" i="3"/>
  <c r="BV53" i="3"/>
  <c r="BW53" i="3"/>
  <c r="BX53" i="3"/>
  <c r="BY53" i="3"/>
  <c r="BZ53" i="3"/>
  <c r="CA53" i="3"/>
  <c r="CB53" i="3"/>
  <c r="CC53" i="3"/>
  <c r="CD53" i="3"/>
  <c r="CE53" i="3"/>
  <c r="CF53" i="3"/>
  <c r="CG53" i="3"/>
  <c r="CH53" i="3"/>
  <c r="CI53" i="3"/>
  <c r="CJ53" i="3"/>
  <c r="CK53" i="3"/>
  <c r="CL53" i="3"/>
  <c r="CM53" i="3"/>
  <c r="CN53" i="3"/>
  <c r="CO53" i="3"/>
  <c r="CP53" i="3"/>
  <c r="CQ53" i="3"/>
  <c r="CR53" i="3"/>
  <c r="CS53" i="3"/>
  <c r="CT53" i="3"/>
  <c r="CU53" i="3"/>
  <c r="CV53" i="3"/>
  <c r="CW53" i="3"/>
  <c r="CX53" i="3"/>
  <c r="CY53" i="3"/>
  <c r="CZ53" i="3"/>
  <c r="DA53" i="3"/>
  <c r="DB53" i="3"/>
  <c r="DC53" i="3"/>
  <c r="DD53" i="3"/>
  <c r="DE53" i="3"/>
  <c r="DF53" i="3"/>
  <c r="DG53" i="3"/>
  <c r="DH53" i="3"/>
  <c r="DI53" i="3"/>
  <c r="DJ53" i="3"/>
  <c r="DK53" i="3"/>
  <c r="DL53" i="3"/>
  <c r="DM53" i="3"/>
  <c r="DN53" i="3"/>
  <c r="DO53" i="3"/>
  <c r="DP53" i="3"/>
  <c r="DQ53" i="3"/>
  <c r="DR53" i="3"/>
  <c r="DS53" i="3"/>
  <c r="DT53" i="3"/>
  <c r="DU53" i="3"/>
  <c r="DV53" i="3"/>
  <c r="DW53" i="3"/>
  <c r="DX53" i="3"/>
  <c r="DY53" i="3"/>
  <c r="DZ53" i="3"/>
  <c r="EA53" i="3"/>
  <c r="EB53" i="3"/>
  <c r="EC53" i="3"/>
  <c r="ED53" i="3"/>
  <c r="EE53" i="3"/>
  <c r="EF53" i="3"/>
  <c r="EG53" i="3"/>
  <c r="EH53" i="3"/>
  <c r="EI53" i="3"/>
  <c r="EJ53" i="3"/>
  <c r="EK53" i="3"/>
  <c r="EL53" i="3"/>
  <c r="EM53" i="3"/>
  <c r="EN53" i="3"/>
  <c r="EO53" i="3"/>
  <c r="EP53" i="3"/>
  <c r="EQ53" i="3"/>
  <c r="ER53" i="3"/>
  <c r="ES53" i="3"/>
  <c r="ET53" i="3"/>
  <c r="EU53" i="3"/>
  <c r="EV53" i="3"/>
  <c r="EW53" i="3"/>
  <c r="EX53" i="3"/>
  <c r="EY53" i="3"/>
  <c r="EZ53" i="3"/>
  <c r="FA53" i="3"/>
  <c r="FB53" i="3"/>
  <c r="FC53" i="3"/>
  <c r="FD53" i="3"/>
  <c r="FE53" i="3"/>
  <c r="FF53" i="3"/>
  <c r="FG53" i="3"/>
  <c r="FH53" i="3"/>
  <c r="FI53" i="3"/>
  <c r="FJ53" i="3"/>
  <c r="FK53" i="3"/>
  <c r="FL53" i="3"/>
  <c r="FM53" i="3"/>
  <c r="FN53" i="3"/>
  <c r="FO53" i="3"/>
  <c r="FP53" i="3"/>
  <c r="FQ53" i="3"/>
  <c r="FR53" i="3"/>
  <c r="FS53" i="3"/>
  <c r="FT53" i="3"/>
  <c r="FU53" i="3"/>
  <c r="FV53" i="3"/>
  <c r="FW53" i="3"/>
  <c r="FX53" i="3"/>
  <c r="FY53" i="3"/>
  <c r="FZ53" i="3"/>
  <c r="GA53" i="3"/>
  <c r="GB53" i="3"/>
  <c r="GC53" i="3"/>
  <c r="GD53" i="3"/>
  <c r="GE53" i="3"/>
  <c r="GF53" i="3"/>
  <c r="GG53" i="3"/>
  <c r="GH53" i="3"/>
  <c r="GI53" i="3"/>
  <c r="GJ53" i="3"/>
  <c r="GK53" i="3"/>
  <c r="GL53" i="3"/>
  <c r="GM53" i="3"/>
  <c r="GN53" i="3"/>
  <c r="GO53" i="3"/>
  <c r="GP53" i="3"/>
  <c r="GQ53" i="3"/>
  <c r="GR53" i="3"/>
  <c r="GS53" i="3"/>
  <c r="GT53" i="3"/>
  <c r="GU53" i="3"/>
  <c r="GV53" i="3"/>
  <c r="GW53" i="3"/>
  <c r="GX53" i="3"/>
  <c r="GY53" i="3"/>
  <c r="GZ53" i="3"/>
  <c r="HA53" i="3"/>
  <c r="HB53" i="3"/>
  <c r="HC53" i="3"/>
  <c r="HD53" i="3"/>
  <c r="HE53" i="3"/>
  <c r="HF53" i="3"/>
  <c r="HG53" i="3"/>
  <c r="HH53" i="3"/>
  <c r="HI53" i="3"/>
  <c r="HJ53" i="3"/>
  <c r="HK53" i="3"/>
  <c r="HL53" i="3"/>
  <c r="HM53" i="3"/>
  <c r="HN53" i="3"/>
  <c r="HO53" i="3"/>
  <c r="HP53" i="3"/>
  <c r="HQ53" i="3"/>
  <c r="HR53" i="3"/>
  <c r="HS53" i="3"/>
  <c r="HT53" i="3"/>
  <c r="HU53" i="3"/>
  <c r="HV53" i="3"/>
  <c r="HW53" i="3"/>
  <c r="HX53" i="3"/>
  <c r="HY53" i="3"/>
  <c r="HZ53" i="3"/>
  <c r="IA53" i="3"/>
  <c r="IB53" i="3"/>
  <c r="IC53" i="3"/>
  <c r="ID53" i="3"/>
  <c r="IE53" i="3"/>
  <c r="IF53" i="3"/>
  <c r="IG53" i="3"/>
  <c r="IH53" i="3"/>
  <c r="II53" i="3"/>
  <c r="IJ53" i="3"/>
  <c r="IK53" i="3"/>
  <c r="IL53" i="3"/>
  <c r="IM53" i="3"/>
  <c r="IN53" i="3"/>
  <c r="IO53" i="3"/>
  <c r="IP53" i="3"/>
  <c r="IQ53" i="3"/>
  <c r="IR53" i="3"/>
  <c r="IS53" i="3"/>
  <c r="IT53" i="3"/>
  <c r="IU53" i="3"/>
  <c r="IV53" i="3"/>
  <c r="A52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BK52" i="3"/>
  <c r="BL52" i="3"/>
  <c r="BM52" i="3"/>
  <c r="BN52" i="3"/>
  <c r="BO52" i="3"/>
  <c r="BP52" i="3"/>
  <c r="BQ52" i="3"/>
  <c r="BR52" i="3"/>
  <c r="BS52" i="3"/>
  <c r="BT52" i="3"/>
  <c r="BU52" i="3"/>
  <c r="BV52" i="3"/>
  <c r="BW52" i="3"/>
  <c r="BX52" i="3"/>
  <c r="BY52" i="3"/>
  <c r="BZ52" i="3"/>
  <c r="CA52" i="3"/>
  <c r="CB52" i="3"/>
  <c r="CC52" i="3"/>
  <c r="CD52" i="3"/>
  <c r="CE52" i="3"/>
  <c r="CF52" i="3"/>
  <c r="CG52" i="3"/>
  <c r="CH52" i="3"/>
  <c r="CI52" i="3"/>
  <c r="CJ52" i="3"/>
  <c r="CK52" i="3"/>
  <c r="CL52" i="3"/>
  <c r="CM52" i="3"/>
  <c r="CN52" i="3"/>
  <c r="CO52" i="3"/>
  <c r="CP52" i="3"/>
  <c r="CQ52" i="3"/>
  <c r="CR52" i="3"/>
  <c r="CS52" i="3"/>
  <c r="CT52" i="3"/>
  <c r="CU52" i="3"/>
  <c r="CV52" i="3"/>
  <c r="CW52" i="3"/>
  <c r="CX52" i="3"/>
  <c r="CY52" i="3"/>
  <c r="CZ52" i="3"/>
  <c r="DA52" i="3"/>
  <c r="DB52" i="3"/>
  <c r="DC52" i="3"/>
  <c r="DD52" i="3"/>
  <c r="DE52" i="3"/>
  <c r="DF52" i="3"/>
  <c r="DG52" i="3"/>
  <c r="DH52" i="3"/>
  <c r="DI52" i="3"/>
  <c r="DJ52" i="3"/>
  <c r="DK52" i="3"/>
  <c r="DL52" i="3"/>
  <c r="DM52" i="3"/>
  <c r="DN52" i="3"/>
  <c r="DO52" i="3"/>
  <c r="DP52" i="3"/>
  <c r="DQ52" i="3"/>
  <c r="DR52" i="3"/>
  <c r="DS52" i="3"/>
  <c r="DT52" i="3"/>
  <c r="DU52" i="3"/>
  <c r="DV52" i="3"/>
  <c r="DW52" i="3"/>
  <c r="DX52" i="3"/>
  <c r="DY52" i="3"/>
  <c r="DZ52" i="3"/>
  <c r="EA52" i="3"/>
  <c r="EB52" i="3"/>
  <c r="EC52" i="3"/>
  <c r="ED52" i="3"/>
  <c r="EE52" i="3"/>
  <c r="EF52" i="3"/>
  <c r="EG52" i="3"/>
  <c r="EH52" i="3"/>
  <c r="EI52" i="3"/>
  <c r="EJ52" i="3"/>
  <c r="EK52" i="3"/>
  <c r="EL52" i="3"/>
  <c r="EM52" i="3"/>
  <c r="EN52" i="3"/>
  <c r="EO52" i="3"/>
  <c r="EP52" i="3"/>
  <c r="EQ52" i="3"/>
  <c r="ER52" i="3"/>
  <c r="ES52" i="3"/>
  <c r="ET52" i="3"/>
  <c r="EU52" i="3"/>
  <c r="EV52" i="3"/>
  <c r="EW52" i="3"/>
  <c r="EX52" i="3"/>
  <c r="EY52" i="3"/>
  <c r="EZ52" i="3"/>
  <c r="FA52" i="3"/>
  <c r="FB52" i="3"/>
  <c r="FC52" i="3"/>
  <c r="FD52" i="3"/>
  <c r="FE52" i="3"/>
  <c r="FF52" i="3"/>
  <c r="FG52" i="3"/>
  <c r="FH52" i="3"/>
  <c r="FI52" i="3"/>
  <c r="FJ52" i="3"/>
  <c r="FK52" i="3"/>
  <c r="FL52" i="3"/>
  <c r="FM52" i="3"/>
  <c r="FN52" i="3"/>
  <c r="FO52" i="3"/>
  <c r="FP52" i="3"/>
  <c r="FQ52" i="3"/>
  <c r="FR52" i="3"/>
  <c r="FS52" i="3"/>
  <c r="FT52" i="3"/>
  <c r="FU52" i="3"/>
  <c r="FV52" i="3"/>
  <c r="FW52" i="3"/>
  <c r="FX52" i="3"/>
  <c r="FY52" i="3"/>
  <c r="FZ52" i="3"/>
  <c r="GA52" i="3"/>
  <c r="GB52" i="3"/>
  <c r="GC52" i="3"/>
  <c r="GD52" i="3"/>
  <c r="GE52" i="3"/>
  <c r="GF52" i="3"/>
  <c r="GG52" i="3"/>
  <c r="GH52" i="3"/>
  <c r="GI52" i="3"/>
  <c r="GJ52" i="3"/>
  <c r="GK52" i="3"/>
  <c r="GL52" i="3"/>
  <c r="GM52" i="3"/>
  <c r="GN52" i="3"/>
  <c r="GO52" i="3"/>
  <c r="GP52" i="3"/>
  <c r="GQ52" i="3"/>
  <c r="GR52" i="3"/>
  <c r="GS52" i="3"/>
  <c r="GT52" i="3"/>
  <c r="GU52" i="3"/>
  <c r="GV52" i="3"/>
  <c r="GW52" i="3"/>
  <c r="GX52" i="3"/>
  <c r="GY52" i="3"/>
  <c r="GZ52" i="3"/>
  <c r="HA52" i="3"/>
  <c r="HB52" i="3"/>
  <c r="HC52" i="3"/>
  <c r="HD52" i="3"/>
  <c r="HE52" i="3"/>
  <c r="HF52" i="3"/>
  <c r="HG52" i="3"/>
  <c r="HH52" i="3"/>
  <c r="HI52" i="3"/>
  <c r="HJ52" i="3"/>
  <c r="HK52" i="3"/>
  <c r="HL52" i="3"/>
  <c r="HM52" i="3"/>
  <c r="HN52" i="3"/>
  <c r="HO52" i="3"/>
  <c r="HP52" i="3"/>
  <c r="HQ52" i="3"/>
  <c r="HR52" i="3"/>
  <c r="HS52" i="3"/>
  <c r="HT52" i="3"/>
  <c r="HU52" i="3"/>
  <c r="HV52" i="3"/>
  <c r="HW52" i="3"/>
  <c r="HX52" i="3"/>
  <c r="HY52" i="3"/>
  <c r="HZ52" i="3"/>
  <c r="IA52" i="3"/>
  <c r="IB52" i="3"/>
  <c r="IC52" i="3"/>
  <c r="ID52" i="3"/>
  <c r="IE52" i="3"/>
  <c r="IF52" i="3"/>
  <c r="IG52" i="3"/>
  <c r="IH52" i="3"/>
  <c r="II52" i="3"/>
  <c r="IJ52" i="3"/>
  <c r="IK52" i="3"/>
  <c r="IL52" i="3"/>
  <c r="IM52" i="3"/>
  <c r="IN52" i="3"/>
  <c r="IO52" i="3"/>
  <c r="IP52" i="3"/>
  <c r="IQ52" i="3"/>
  <c r="IR52" i="3"/>
  <c r="IS52" i="3"/>
  <c r="IT52" i="3"/>
  <c r="IU52" i="3"/>
  <c r="IV52" i="3"/>
  <c r="A51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V51" i="3"/>
  <c r="AW51" i="3"/>
  <c r="AX51" i="3"/>
  <c r="AY51" i="3"/>
  <c r="AZ51" i="3"/>
  <c r="BA51" i="3"/>
  <c r="BB51" i="3"/>
  <c r="BC51" i="3"/>
  <c r="BD51" i="3"/>
  <c r="BE51" i="3"/>
  <c r="BF51" i="3"/>
  <c r="BG51" i="3"/>
  <c r="BH51" i="3"/>
  <c r="BI51" i="3"/>
  <c r="BJ51" i="3"/>
  <c r="BK51" i="3"/>
  <c r="BL51" i="3"/>
  <c r="BM51" i="3"/>
  <c r="BN51" i="3"/>
  <c r="BO51" i="3"/>
  <c r="BP51" i="3"/>
  <c r="BQ51" i="3"/>
  <c r="BR51" i="3"/>
  <c r="BS51" i="3"/>
  <c r="BT51" i="3"/>
  <c r="BU51" i="3"/>
  <c r="BV51" i="3"/>
  <c r="BW51" i="3"/>
  <c r="BX51" i="3"/>
  <c r="BY51" i="3"/>
  <c r="BZ51" i="3"/>
  <c r="CA51" i="3"/>
  <c r="CB51" i="3"/>
  <c r="CC51" i="3"/>
  <c r="CD51" i="3"/>
  <c r="CE51" i="3"/>
  <c r="CF51" i="3"/>
  <c r="CG51" i="3"/>
  <c r="CH51" i="3"/>
  <c r="CI51" i="3"/>
  <c r="CJ51" i="3"/>
  <c r="CK51" i="3"/>
  <c r="CL51" i="3"/>
  <c r="CM51" i="3"/>
  <c r="CN51" i="3"/>
  <c r="CO51" i="3"/>
  <c r="CP51" i="3"/>
  <c r="CQ51" i="3"/>
  <c r="CR51" i="3"/>
  <c r="CS51" i="3"/>
  <c r="CT51" i="3"/>
  <c r="CU51" i="3"/>
  <c r="CV51" i="3"/>
  <c r="CW51" i="3"/>
  <c r="CX51" i="3"/>
  <c r="CY51" i="3"/>
  <c r="CZ51" i="3"/>
  <c r="DA51" i="3"/>
  <c r="DB51" i="3"/>
  <c r="DC51" i="3"/>
  <c r="DD51" i="3"/>
  <c r="DE51" i="3"/>
  <c r="DF51" i="3"/>
  <c r="DG51" i="3"/>
  <c r="DH51" i="3"/>
  <c r="DI51" i="3"/>
  <c r="DJ51" i="3"/>
  <c r="DK51" i="3"/>
  <c r="DL51" i="3"/>
  <c r="DM51" i="3"/>
  <c r="DN51" i="3"/>
  <c r="DO51" i="3"/>
  <c r="DP51" i="3"/>
  <c r="DQ51" i="3"/>
  <c r="DR51" i="3"/>
  <c r="DS51" i="3"/>
  <c r="DT51" i="3"/>
  <c r="DU51" i="3"/>
  <c r="DV51" i="3"/>
  <c r="DW51" i="3"/>
  <c r="DX51" i="3"/>
  <c r="DY51" i="3"/>
  <c r="DZ51" i="3"/>
  <c r="EA51" i="3"/>
  <c r="EB51" i="3"/>
  <c r="EC51" i="3"/>
  <c r="ED51" i="3"/>
  <c r="EE51" i="3"/>
  <c r="EF51" i="3"/>
  <c r="EG51" i="3"/>
  <c r="EH51" i="3"/>
  <c r="EI51" i="3"/>
  <c r="EJ51" i="3"/>
  <c r="EK51" i="3"/>
  <c r="EL51" i="3"/>
  <c r="EM51" i="3"/>
  <c r="EN51" i="3"/>
  <c r="EO51" i="3"/>
  <c r="EP51" i="3"/>
  <c r="EQ51" i="3"/>
  <c r="ER51" i="3"/>
  <c r="ES51" i="3"/>
  <c r="ET51" i="3"/>
  <c r="EU51" i="3"/>
  <c r="EV51" i="3"/>
  <c r="EW51" i="3"/>
  <c r="EX51" i="3"/>
  <c r="EY51" i="3"/>
  <c r="EZ51" i="3"/>
  <c r="FA51" i="3"/>
  <c r="FB51" i="3"/>
  <c r="FC51" i="3"/>
  <c r="FD51" i="3"/>
  <c r="FE51" i="3"/>
  <c r="FF51" i="3"/>
  <c r="FG51" i="3"/>
  <c r="FH51" i="3"/>
  <c r="FI51" i="3"/>
  <c r="FJ51" i="3"/>
  <c r="FK51" i="3"/>
  <c r="FL51" i="3"/>
  <c r="FM51" i="3"/>
  <c r="FN51" i="3"/>
  <c r="FO51" i="3"/>
  <c r="FP51" i="3"/>
  <c r="FQ51" i="3"/>
  <c r="FR51" i="3"/>
  <c r="FS51" i="3"/>
  <c r="FT51" i="3"/>
  <c r="FU51" i="3"/>
  <c r="FV51" i="3"/>
  <c r="FW51" i="3"/>
  <c r="FX51" i="3"/>
  <c r="FY51" i="3"/>
  <c r="FZ51" i="3"/>
  <c r="GA51" i="3"/>
  <c r="GB51" i="3"/>
  <c r="GC51" i="3"/>
  <c r="GD51" i="3"/>
  <c r="GE51" i="3"/>
  <c r="GF51" i="3"/>
  <c r="GG51" i="3"/>
  <c r="GH51" i="3"/>
  <c r="GI51" i="3"/>
  <c r="GJ51" i="3"/>
  <c r="GK51" i="3"/>
  <c r="GL51" i="3"/>
  <c r="GM51" i="3"/>
  <c r="GN51" i="3"/>
  <c r="GO51" i="3"/>
  <c r="GP51" i="3"/>
  <c r="GQ51" i="3"/>
  <c r="GR51" i="3"/>
  <c r="GS51" i="3"/>
  <c r="GT51" i="3"/>
  <c r="GU51" i="3"/>
  <c r="GV51" i="3"/>
  <c r="GW51" i="3"/>
  <c r="GX51" i="3"/>
  <c r="GY51" i="3"/>
  <c r="GZ51" i="3"/>
  <c r="HA51" i="3"/>
  <c r="HB51" i="3"/>
  <c r="HC51" i="3"/>
  <c r="HD51" i="3"/>
  <c r="HE51" i="3"/>
  <c r="HF51" i="3"/>
  <c r="HG51" i="3"/>
  <c r="HH51" i="3"/>
  <c r="HI51" i="3"/>
  <c r="HJ51" i="3"/>
  <c r="HK51" i="3"/>
  <c r="HL51" i="3"/>
  <c r="HM51" i="3"/>
  <c r="HN51" i="3"/>
  <c r="HO51" i="3"/>
  <c r="HP51" i="3"/>
  <c r="HQ51" i="3"/>
  <c r="HR51" i="3"/>
  <c r="HS51" i="3"/>
  <c r="HT51" i="3"/>
  <c r="HU51" i="3"/>
  <c r="HV51" i="3"/>
  <c r="HW51" i="3"/>
  <c r="HX51" i="3"/>
  <c r="HY51" i="3"/>
  <c r="HZ51" i="3"/>
  <c r="IA51" i="3"/>
  <c r="IB51" i="3"/>
  <c r="IC51" i="3"/>
  <c r="ID51" i="3"/>
  <c r="IE51" i="3"/>
  <c r="IF51" i="3"/>
  <c r="IG51" i="3"/>
  <c r="IH51" i="3"/>
  <c r="II51" i="3"/>
  <c r="IJ51" i="3"/>
  <c r="IK51" i="3"/>
  <c r="IL51" i="3"/>
  <c r="IM51" i="3"/>
  <c r="IN51" i="3"/>
  <c r="IO51" i="3"/>
  <c r="IP51" i="3"/>
  <c r="IQ51" i="3"/>
  <c r="IR51" i="3"/>
  <c r="IS51" i="3"/>
  <c r="IT51" i="3"/>
  <c r="IU51" i="3"/>
  <c r="IV51" i="3"/>
  <c r="A50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V50" i="3"/>
  <c r="AW50" i="3"/>
  <c r="AX50" i="3"/>
  <c r="AY50" i="3"/>
  <c r="AZ50" i="3"/>
  <c r="BA50" i="3"/>
  <c r="BB50" i="3"/>
  <c r="BC50" i="3"/>
  <c r="BD50" i="3"/>
  <c r="BE50" i="3"/>
  <c r="BF50" i="3"/>
  <c r="BG50" i="3"/>
  <c r="BH50" i="3"/>
  <c r="BI50" i="3"/>
  <c r="BJ50" i="3"/>
  <c r="BK50" i="3"/>
  <c r="BL50" i="3"/>
  <c r="BM50" i="3"/>
  <c r="BN50" i="3"/>
  <c r="BO50" i="3"/>
  <c r="BP50" i="3"/>
  <c r="BQ50" i="3"/>
  <c r="BR50" i="3"/>
  <c r="BS50" i="3"/>
  <c r="BT50" i="3"/>
  <c r="BU50" i="3"/>
  <c r="BV50" i="3"/>
  <c r="BW50" i="3"/>
  <c r="BX50" i="3"/>
  <c r="BY50" i="3"/>
  <c r="BZ50" i="3"/>
  <c r="CA50" i="3"/>
  <c r="CB50" i="3"/>
  <c r="CC50" i="3"/>
  <c r="CD50" i="3"/>
  <c r="CE50" i="3"/>
  <c r="CF50" i="3"/>
  <c r="CG50" i="3"/>
  <c r="CH50" i="3"/>
  <c r="CI50" i="3"/>
  <c r="CJ50" i="3"/>
  <c r="CK50" i="3"/>
  <c r="CL50" i="3"/>
  <c r="CM50" i="3"/>
  <c r="CN50" i="3"/>
  <c r="CO50" i="3"/>
  <c r="CP50" i="3"/>
  <c r="CQ50" i="3"/>
  <c r="CR50" i="3"/>
  <c r="CS50" i="3"/>
  <c r="CT50" i="3"/>
  <c r="CU50" i="3"/>
  <c r="CV50" i="3"/>
  <c r="CW50" i="3"/>
  <c r="CX50" i="3"/>
  <c r="CY50" i="3"/>
  <c r="CZ50" i="3"/>
  <c r="DA50" i="3"/>
  <c r="DB50" i="3"/>
  <c r="DC50" i="3"/>
  <c r="DD50" i="3"/>
  <c r="DE50" i="3"/>
  <c r="DF50" i="3"/>
  <c r="DG50" i="3"/>
  <c r="DH50" i="3"/>
  <c r="DI50" i="3"/>
  <c r="DJ50" i="3"/>
  <c r="DK50" i="3"/>
  <c r="DL50" i="3"/>
  <c r="DM50" i="3"/>
  <c r="DN50" i="3"/>
  <c r="DO50" i="3"/>
  <c r="DP50" i="3"/>
  <c r="DQ50" i="3"/>
  <c r="DR50" i="3"/>
  <c r="DS50" i="3"/>
  <c r="DT50" i="3"/>
  <c r="DU50" i="3"/>
  <c r="DV50" i="3"/>
  <c r="DW50" i="3"/>
  <c r="DX50" i="3"/>
  <c r="DY50" i="3"/>
  <c r="DZ50" i="3"/>
  <c r="EA50" i="3"/>
  <c r="EB50" i="3"/>
  <c r="EC50" i="3"/>
  <c r="ED50" i="3"/>
  <c r="EE50" i="3"/>
  <c r="EF50" i="3"/>
  <c r="EG50" i="3"/>
  <c r="EH50" i="3"/>
  <c r="EI50" i="3"/>
  <c r="EJ50" i="3"/>
  <c r="EK50" i="3"/>
  <c r="EL50" i="3"/>
  <c r="EM50" i="3"/>
  <c r="EN50" i="3"/>
  <c r="EO50" i="3"/>
  <c r="EP50" i="3"/>
  <c r="EQ50" i="3"/>
  <c r="ER50" i="3"/>
  <c r="ES50" i="3"/>
  <c r="ET50" i="3"/>
  <c r="EU50" i="3"/>
  <c r="EV50" i="3"/>
  <c r="EW50" i="3"/>
  <c r="EX50" i="3"/>
  <c r="EY50" i="3"/>
  <c r="EZ50" i="3"/>
  <c r="FA50" i="3"/>
  <c r="FB50" i="3"/>
  <c r="FC50" i="3"/>
  <c r="FD50" i="3"/>
  <c r="FE50" i="3"/>
  <c r="FF50" i="3"/>
  <c r="FG50" i="3"/>
  <c r="FH50" i="3"/>
  <c r="FI50" i="3"/>
  <c r="FJ50" i="3"/>
  <c r="FK50" i="3"/>
  <c r="FL50" i="3"/>
  <c r="FM50" i="3"/>
  <c r="FN50" i="3"/>
  <c r="FO50" i="3"/>
  <c r="FP50" i="3"/>
  <c r="FQ50" i="3"/>
  <c r="FR50" i="3"/>
  <c r="FS50" i="3"/>
  <c r="FT50" i="3"/>
  <c r="FU50" i="3"/>
  <c r="FV50" i="3"/>
  <c r="FW50" i="3"/>
  <c r="FX50" i="3"/>
  <c r="FY50" i="3"/>
  <c r="FZ50" i="3"/>
  <c r="GA50" i="3"/>
  <c r="GB50" i="3"/>
  <c r="GC50" i="3"/>
  <c r="GD50" i="3"/>
  <c r="GE50" i="3"/>
  <c r="GF50" i="3"/>
  <c r="GG50" i="3"/>
  <c r="GH50" i="3"/>
  <c r="GI50" i="3"/>
  <c r="GJ50" i="3"/>
  <c r="GK50" i="3"/>
  <c r="GL50" i="3"/>
  <c r="GM50" i="3"/>
  <c r="GN50" i="3"/>
  <c r="GO50" i="3"/>
  <c r="GP50" i="3"/>
  <c r="GQ50" i="3"/>
  <c r="GR50" i="3"/>
  <c r="GS50" i="3"/>
  <c r="GT50" i="3"/>
  <c r="GU50" i="3"/>
  <c r="GV50" i="3"/>
  <c r="GW50" i="3"/>
  <c r="GX50" i="3"/>
  <c r="GY50" i="3"/>
  <c r="GZ50" i="3"/>
  <c r="HA50" i="3"/>
  <c r="HB50" i="3"/>
  <c r="HC50" i="3"/>
  <c r="HD50" i="3"/>
  <c r="HE50" i="3"/>
  <c r="HF50" i="3"/>
  <c r="HG50" i="3"/>
  <c r="HH50" i="3"/>
  <c r="HI50" i="3"/>
  <c r="HJ50" i="3"/>
  <c r="HK50" i="3"/>
  <c r="HL50" i="3"/>
  <c r="HM50" i="3"/>
  <c r="HN50" i="3"/>
  <c r="HO50" i="3"/>
  <c r="HP50" i="3"/>
  <c r="HQ50" i="3"/>
  <c r="HR50" i="3"/>
  <c r="HS50" i="3"/>
  <c r="HT50" i="3"/>
  <c r="HU50" i="3"/>
  <c r="HV50" i="3"/>
  <c r="HW50" i="3"/>
  <c r="HX50" i="3"/>
  <c r="HY50" i="3"/>
  <c r="HZ50" i="3"/>
  <c r="IA50" i="3"/>
  <c r="IB50" i="3"/>
  <c r="IC50" i="3"/>
  <c r="ID50" i="3"/>
  <c r="IE50" i="3"/>
  <c r="IF50" i="3"/>
  <c r="IG50" i="3"/>
  <c r="IH50" i="3"/>
  <c r="II50" i="3"/>
  <c r="IJ50" i="3"/>
  <c r="IK50" i="3"/>
  <c r="IL50" i="3"/>
  <c r="IM50" i="3"/>
  <c r="IN50" i="3"/>
  <c r="IO50" i="3"/>
  <c r="IP50" i="3"/>
  <c r="IQ50" i="3"/>
  <c r="IR50" i="3"/>
  <c r="IS50" i="3"/>
  <c r="IT50" i="3"/>
  <c r="IU50" i="3"/>
  <c r="IV50" i="3"/>
  <c r="A49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CD49" i="3"/>
  <c r="CE49" i="3"/>
  <c r="CF49" i="3"/>
  <c r="CG49" i="3"/>
  <c r="CH49" i="3"/>
  <c r="CI49" i="3"/>
  <c r="CJ49" i="3"/>
  <c r="CK49" i="3"/>
  <c r="CL49" i="3"/>
  <c r="CM49" i="3"/>
  <c r="CN49" i="3"/>
  <c r="CO49" i="3"/>
  <c r="CP49" i="3"/>
  <c r="CQ49" i="3"/>
  <c r="CR49" i="3"/>
  <c r="CS49" i="3"/>
  <c r="CT49" i="3"/>
  <c r="CU49" i="3"/>
  <c r="CV49" i="3"/>
  <c r="CW49" i="3"/>
  <c r="CX49" i="3"/>
  <c r="CY49" i="3"/>
  <c r="CZ49" i="3"/>
  <c r="DA49" i="3"/>
  <c r="DB49" i="3"/>
  <c r="DC49" i="3"/>
  <c r="DD49" i="3"/>
  <c r="DE49" i="3"/>
  <c r="DF49" i="3"/>
  <c r="DG49" i="3"/>
  <c r="DH49" i="3"/>
  <c r="DI49" i="3"/>
  <c r="DJ49" i="3"/>
  <c r="DK49" i="3"/>
  <c r="DL49" i="3"/>
  <c r="DM49" i="3"/>
  <c r="DN49" i="3"/>
  <c r="DO49" i="3"/>
  <c r="DP49" i="3"/>
  <c r="DQ49" i="3"/>
  <c r="DR49" i="3"/>
  <c r="DS49" i="3"/>
  <c r="DT49" i="3"/>
  <c r="DU49" i="3"/>
  <c r="DV49" i="3"/>
  <c r="DW49" i="3"/>
  <c r="DX49" i="3"/>
  <c r="DY49" i="3"/>
  <c r="DZ49" i="3"/>
  <c r="EA49" i="3"/>
  <c r="EB49" i="3"/>
  <c r="EC49" i="3"/>
  <c r="ED49" i="3"/>
  <c r="EE49" i="3"/>
  <c r="EF49" i="3"/>
  <c r="EG49" i="3"/>
  <c r="EH49" i="3"/>
  <c r="EI49" i="3"/>
  <c r="EJ49" i="3"/>
  <c r="EK49" i="3"/>
  <c r="EL49" i="3"/>
  <c r="EM49" i="3"/>
  <c r="EN49" i="3"/>
  <c r="EO49" i="3"/>
  <c r="EP49" i="3"/>
  <c r="EQ49" i="3"/>
  <c r="ER49" i="3"/>
  <c r="ES49" i="3"/>
  <c r="ET49" i="3"/>
  <c r="EU49" i="3"/>
  <c r="EV49" i="3"/>
  <c r="EW49" i="3"/>
  <c r="EX49" i="3"/>
  <c r="EY49" i="3"/>
  <c r="EZ49" i="3"/>
  <c r="FA49" i="3"/>
  <c r="FB49" i="3"/>
  <c r="FC49" i="3"/>
  <c r="FD49" i="3"/>
  <c r="FE49" i="3"/>
  <c r="FF49" i="3"/>
  <c r="FG49" i="3"/>
  <c r="FH49" i="3"/>
  <c r="FI49" i="3"/>
  <c r="FJ49" i="3"/>
  <c r="FK49" i="3"/>
  <c r="FL49" i="3"/>
  <c r="FM49" i="3"/>
  <c r="FN49" i="3"/>
  <c r="FO49" i="3"/>
  <c r="FP49" i="3"/>
  <c r="FQ49" i="3"/>
  <c r="FR49" i="3"/>
  <c r="FS49" i="3"/>
  <c r="FT49" i="3"/>
  <c r="FU49" i="3"/>
  <c r="FV49" i="3"/>
  <c r="FW49" i="3"/>
  <c r="FX49" i="3"/>
  <c r="FY49" i="3"/>
  <c r="FZ49" i="3"/>
  <c r="GA49" i="3"/>
  <c r="GB49" i="3"/>
  <c r="GC49" i="3"/>
  <c r="GD49" i="3"/>
  <c r="GE49" i="3"/>
  <c r="GF49" i="3"/>
  <c r="GG49" i="3"/>
  <c r="GH49" i="3"/>
  <c r="GI49" i="3"/>
  <c r="GJ49" i="3"/>
  <c r="GK49" i="3"/>
  <c r="GL49" i="3"/>
  <c r="GM49" i="3"/>
  <c r="GN49" i="3"/>
  <c r="GO49" i="3"/>
  <c r="GP49" i="3"/>
  <c r="GQ49" i="3"/>
  <c r="GR49" i="3"/>
  <c r="GS49" i="3"/>
  <c r="GT49" i="3"/>
  <c r="GU49" i="3"/>
  <c r="GV49" i="3"/>
  <c r="GW49" i="3"/>
  <c r="GX49" i="3"/>
  <c r="GY49" i="3"/>
  <c r="GZ49" i="3"/>
  <c r="HA49" i="3"/>
  <c r="HB49" i="3"/>
  <c r="HC49" i="3"/>
  <c r="HD49" i="3"/>
  <c r="HE49" i="3"/>
  <c r="HF49" i="3"/>
  <c r="HG49" i="3"/>
  <c r="HH49" i="3"/>
  <c r="HI49" i="3"/>
  <c r="HJ49" i="3"/>
  <c r="HK49" i="3"/>
  <c r="HL49" i="3"/>
  <c r="HM49" i="3"/>
  <c r="HN49" i="3"/>
  <c r="HO49" i="3"/>
  <c r="HP49" i="3"/>
  <c r="HQ49" i="3"/>
  <c r="HR49" i="3"/>
  <c r="HS49" i="3"/>
  <c r="HT49" i="3"/>
  <c r="HU49" i="3"/>
  <c r="HV49" i="3"/>
  <c r="HW49" i="3"/>
  <c r="HX49" i="3"/>
  <c r="HY49" i="3"/>
  <c r="HZ49" i="3"/>
  <c r="IA49" i="3"/>
  <c r="IB49" i="3"/>
  <c r="IC49" i="3"/>
  <c r="ID49" i="3"/>
  <c r="IE49" i="3"/>
  <c r="IF49" i="3"/>
  <c r="IG49" i="3"/>
  <c r="IH49" i="3"/>
  <c r="II49" i="3"/>
  <c r="IJ49" i="3"/>
  <c r="IK49" i="3"/>
  <c r="IL49" i="3"/>
  <c r="IM49" i="3"/>
  <c r="IN49" i="3"/>
  <c r="IO49" i="3"/>
  <c r="IP49" i="3"/>
  <c r="IQ49" i="3"/>
  <c r="IR49" i="3"/>
  <c r="IS49" i="3"/>
  <c r="IT49" i="3"/>
  <c r="IU49" i="3"/>
  <c r="IV49" i="3"/>
  <c r="A48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D48" i="3"/>
  <c r="CE48" i="3"/>
  <c r="CF48" i="3"/>
  <c r="CG48" i="3"/>
  <c r="CH48" i="3"/>
  <c r="CI48" i="3"/>
  <c r="CJ48" i="3"/>
  <c r="CK48" i="3"/>
  <c r="CL48" i="3"/>
  <c r="CM48" i="3"/>
  <c r="CN48" i="3"/>
  <c r="CO48" i="3"/>
  <c r="CP48" i="3"/>
  <c r="CQ48" i="3"/>
  <c r="CR48" i="3"/>
  <c r="CS48" i="3"/>
  <c r="CT48" i="3"/>
  <c r="CU48" i="3"/>
  <c r="CV48" i="3"/>
  <c r="CW48" i="3"/>
  <c r="CX48" i="3"/>
  <c r="CY48" i="3"/>
  <c r="CZ48" i="3"/>
  <c r="DA48" i="3"/>
  <c r="DB48" i="3"/>
  <c r="DC48" i="3"/>
  <c r="DD48" i="3"/>
  <c r="DE48" i="3"/>
  <c r="DF48" i="3"/>
  <c r="DG48" i="3"/>
  <c r="DH48" i="3"/>
  <c r="DI48" i="3"/>
  <c r="DJ48" i="3"/>
  <c r="DK48" i="3"/>
  <c r="DL48" i="3"/>
  <c r="DM48" i="3"/>
  <c r="DN48" i="3"/>
  <c r="DO48" i="3"/>
  <c r="DP48" i="3"/>
  <c r="DQ48" i="3"/>
  <c r="DR48" i="3"/>
  <c r="DS48" i="3"/>
  <c r="DT48" i="3"/>
  <c r="DU48" i="3"/>
  <c r="DV48" i="3"/>
  <c r="DW48" i="3"/>
  <c r="DX48" i="3"/>
  <c r="DY48" i="3"/>
  <c r="DZ48" i="3"/>
  <c r="EA48" i="3"/>
  <c r="EB48" i="3"/>
  <c r="EC48" i="3"/>
  <c r="ED48" i="3"/>
  <c r="EE48" i="3"/>
  <c r="EF48" i="3"/>
  <c r="EG48" i="3"/>
  <c r="EH48" i="3"/>
  <c r="EI48" i="3"/>
  <c r="EJ48" i="3"/>
  <c r="EK48" i="3"/>
  <c r="EL48" i="3"/>
  <c r="EM48" i="3"/>
  <c r="EN48" i="3"/>
  <c r="EO48" i="3"/>
  <c r="EP48" i="3"/>
  <c r="EQ48" i="3"/>
  <c r="ER48" i="3"/>
  <c r="ES48" i="3"/>
  <c r="ET48" i="3"/>
  <c r="EU48" i="3"/>
  <c r="EV48" i="3"/>
  <c r="EW48" i="3"/>
  <c r="EX48" i="3"/>
  <c r="EY48" i="3"/>
  <c r="EZ48" i="3"/>
  <c r="FA48" i="3"/>
  <c r="FB48" i="3"/>
  <c r="FC48" i="3"/>
  <c r="FD48" i="3"/>
  <c r="FE48" i="3"/>
  <c r="FF48" i="3"/>
  <c r="FG48" i="3"/>
  <c r="FH48" i="3"/>
  <c r="FI48" i="3"/>
  <c r="FJ48" i="3"/>
  <c r="FK48" i="3"/>
  <c r="FL48" i="3"/>
  <c r="FM48" i="3"/>
  <c r="FN48" i="3"/>
  <c r="FO48" i="3"/>
  <c r="FP48" i="3"/>
  <c r="FQ48" i="3"/>
  <c r="FR48" i="3"/>
  <c r="FS48" i="3"/>
  <c r="FT48" i="3"/>
  <c r="FU48" i="3"/>
  <c r="FV48" i="3"/>
  <c r="FW48" i="3"/>
  <c r="FX48" i="3"/>
  <c r="FY48" i="3"/>
  <c r="FZ48" i="3"/>
  <c r="GA48" i="3"/>
  <c r="GB48" i="3"/>
  <c r="GC48" i="3"/>
  <c r="GD48" i="3"/>
  <c r="GE48" i="3"/>
  <c r="GF48" i="3"/>
  <c r="GG48" i="3"/>
  <c r="GH48" i="3"/>
  <c r="GI48" i="3"/>
  <c r="GJ48" i="3"/>
  <c r="GK48" i="3"/>
  <c r="GL48" i="3"/>
  <c r="GM48" i="3"/>
  <c r="GN48" i="3"/>
  <c r="GO48" i="3"/>
  <c r="GP48" i="3"/>
  <c r="GQ48" i="3"/>
  <c r="GR48" i="3"/>
  <c r="GS48" i="3"/>
  <c r="GT48" i="3"/>
  <c r="GU48" i="3"/>
  <c r="GV48" i="3"/>
  <c r="GW48" i="3"/>
  <c r="GX48" i="3"/>
  <c r="GY48" i="3"/>
  <c r="GZ48" i="3"/>
  <c r="HA48" i="3"/>
  <c r="HB48" i="3"/>
  <c r="HC48" i="3"/>
  <c r="HD48" i="3"/>
  <c r="HE48" i="3"/>
  <c r="HF48" i="3"/>
  <c r="HG48" i="3"/>
  <c r="HH48" i="3"/>
  <c r="HI48" i="3"/>
  <c r="HJ48" i="3"/>
  <c r="HK48" i="3"/>
  <c r="HL48" i="3"/>
  <c r="HM48" i="3"/>
  <c r="HN48" i="3"/>
  <c r="HO48" i="3"/>
  <c r="HP48" i="3"/>
  <c r="HQ48" i="3"/>
  <c r="HR48" i="3"/>
  <c r="HS48" i="3"/>
  <c r="HT48" i="3"/>
  <c r="HU48" i="3"/>
  <c r="HV48" i="3"/>
  <c r="HW48" i="3"/>
  <c r="HX48" i="3"/>
  <c r="HY48" i="3"/>
  <c r="HZ48" i="3"/>
  <c r="IA48" i="3"/>
  <c r="IB48" i="3"/>
  <c r="IC48" i="3"/>
  <c r="ID48" i="3"/>
  <c r="IE48" i="3"/>
  <c r="IF48" i="3"/>
  <c r="IG48" i="3"/>
  <c r="IH48" i="3"/>
  <c r="II48" i="3"/>
  <c r="IJ48" i="3"/>
  <c r="IK48" i="3"/>
  <c r="IL48" i="3"/>
  <c r="IM48" i="3"/>
  <c r="IN48" i="3"/>
  <c r="IO48" i="3"/>
  <c r="IP48" i="3"/>
  <c r="IQ48" i="3"/>
  <c r="IR48" i="3"/>
  <c r="IS48" i="3"/>
  <c r="IT48" i="3"/>
  <c r="IU48" i="3"/>
  <c r="IV48" i="3"/>
  <c r="A47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D47" i="3"/>
  <c r="CE47" i="3"/>
  <c r="CF47" i="3"/>
  <c r="CG47" i="3"/>
  <c r="CH47" i="3"/>
  <c r="CI47" i="3"/>
  <c r="CJ47" i="3"/>
  <c r="CK47" i="3"/>
  <c r="CL47" i="3"/>
  <c r="CM47" i="3"/>
  <c r="CN47" i="3"/>
  <c r="CO47" i="3"/>
  <c r="CP47" i="3"/>
  <c r="CQ47" i="3"/>
  <c r="CR47" i="3"/>
  <c r="CS47" i="3"/>
  <c r="CT47" i="3"/>
  <c r="CU47" i="3"/>
  <c r="CV47" i="3"/>
  <c r="CW47" i="3"/>
  <c r="CX47" i="3"/>
  <c r="CY47" i="3"/>
  <c r="CZ47" i="3"/>
  <c r="DA47" i="3"/>
  <c r="DB47" i="3"/>
  <c r="DC47" i="3"/>
  <c r="DD47" i="3"/>
  <c r="DE47" i="3"/>
  <c r="DF47" i="3"/>
  <c r="DG47" i="3"/>
  <c r="DH47" i="3"/>
  <c r="DI47" i="3"/>
  <c r="DJ47" i="3"/>
  <c r="DK47" i="3"/>
  <c r="DL47" i="3"/>
  <c r="DM47" i="3"/>
  <c r="DN47" i="3"/>
  <c r="DO47" i="3"/>
  <c r="DP47" i="3"/>
  <c r="DQ47" i="3"/>
  <c r="DR47" i="3"/>
  <c r="DS47" i="3"/>
  <c r="DT47" i="3"/>
  <c r="DU47" i="3"/>
  <c r="DV47" i="3"/>
  <c r="DW47" i="3"/>
  <c r="DX47" i="3"/>
  <c r="DY47" i="3"/>
  <c r="DZ47" i="3"/>
  <c r="EA47" i="3"/>
  <c r="EB47" i="3"/>
  <c r="EC47" i="3"/>
  <c r="ED47" i="3"/>
  <c r="EE47" i="3"/>
  <c r="EF47" i="3"/>
  <c r="EG47" i="3"/>
  <c r="EH47" i="3"/>
  <c r="EI47" i="3"/>
  <c r="EJ47" i="3"/>
  <c r="EK47" i="3"/>
  <c r="EL47" i="3"/>
  <c r="EM47" i="3"/>
  <c r="EN47" i="3"/>
  <c r="EO47" i="3"/>
  <c r="EP47" i="3"/>
  <c r="EQ47" i="3"/>
  <c r="ER47" i="3"/>
  <c r="ES47" i="3"/>
  <c r="ET47" i="3"/>
  <c r="EU47" i="3"/>
  <c r="EV47" i="3"/>
  <c r="EW47" i="3"/>
  <c r="EX47" i="3"/>
  <c r="EY47" i="3"/>
  <c r="EZ47" i="3"/>
  <c r="FA47" i="3"/>
  <c r="FB47" i="3"/>
  <c r="FC47" i="3"/>
  <c r="FD47" i="3"/>
  <c r="FE47" i="3"/>
  <c r="FF47" i="3"/>
  <c r="FG47" i="3"/>
  <c r="FH47" i="3"/>
  <c r="FI47" i="3"/>
  <c r="FJ47" i="3"/>
  <c r="FK47" i="3"/>
  <c r="FL47" i="3"/>
  <c r="FM47" i="3"/>
  <c r="FN47" i="3"/>
  <c r="FO47" i="3"/>
  <c r="FP47" i="3"/>
  <c r="FQ47" i="3"/>
  <c r="FR47" i="3"/>
  <c r="FS47" i="3"/>
  <c r="FT47" i="3"/>
  <c r="FU47" i="3"/>
  <c r="FV47" i="3"/>
  <c r="FW47" i="3"/>
  <c r="FX47" i="3"/>
  <c r="FY47" i="3"/>
  <c r="FZ47" i="3"/>
  <c r="GA47" i="3"/>
  <c r="GB47" i="3"/>
  <c r="GC47" i="3"/>
  <c r="GD47" i="3"/>
  <c r="GE47" i="3"/>
  <c r="GF47" i="3"/>
  <c r="GG47" i="3"/>
  <c r="GH47" i="3"/>
  <c r="GI47" i="3"/>
  <c r="GJ47" i="3"/>
  <c r="GK47" i="3"/>
  <c r="GL47" i="3"/>
  <c r="GM47" i="3"/>
  <c r="GN47" i="3"/>
  <c r="GO47" i="3"/>
  <c r="GP47" i="3"/>
  <c r="GQ47" i="3"/>
  <c r="GR47" i="3"/>
  <c r="GS47" i="3"/>
  <c r="GT47" i="3"/>
  <c r="GU47" i="3"/>
  <c r="GV47" i="3"/>
  <c r="GW47" i="3"/>
  <c r="GX47" i="3"/>
  <c r="GY47" i="3"/>
  <c r="GZ47" i="3"/>
  <c r="HA47" i="3"/>
  <c r="HB47" i="3"/>
  <c r="HC47" i="3"/>
  <c r="HD47" i="3"/>
  <c r="HE47" i="3"/>
  <c r="HF47" i="3"/>
  <c r="HG47" i="3"/>
  <c r="HH47" i="3"/>
  <c r="HI47" i="3"/>
  <c r="HJ47" i="3"/>
  <c r="HK47" i="3"/>
  <c r="HL47" i="3"/>
  <c r="HM47" i="3"/>
  <c r="HN47" i="3"/>
  <c r="HO47" i="3"/>
  <c r="HP47" i="3"/>
  <c r="HQ47" i="3"/>
  <c r="HR47" i="3"/>
  <c r="HS47" i="3"/>
  <c r="HT47" i="3"/>
  <c r="HU47" i="3"/>
  <c r="HV47" i="3"/>
  <c r="HW47" i="3"/>
  <c r="HX47" i="3"/>
  <c r="HY47" i="3"/>
  <c r="HZ47" i="3"/>
  <c r="IA47" i="3"/>
  <c r="IB47" i="3"/>
  <c r="IC47" i="3"/>
  <c r="ID47" i="3"/>
  <c r="IE47" i="3"/>
  <c r="IF47" i="3"/>
  <c r="IG47" i="3"/>
  <c r="IH47" i="3"/>
  <c r="II47" i="3"/>
  <c r="IJ47" i="3"/>
  <c r="IK47" i="3"/>
  <c r="IL47" i="3"/>
  <c r="IM47" i="3"/>
  <c r="IN47" i="3"/>
  <c r="IO47" i="3"/>
  <c r="IP47" i="3"/>
  <c r="IQ47" i="3"/>
  <c r="IR47" i="3"/>
  <c r="IS47" i="3"/>
  <c r="IT47" i="3"/>
  <c r="IU47" i="3"/>
  <c r="IV47" i="3"/>
  <c r="A46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D46" i="3"/>
  <c r="CE46" i="3"/>
  <c r="CF46" i="3"/>
  <c r="CG46" i="3"/>
  <c r="CH46" i="3"/>
  <c r="CI46" i="3"/>
  <c r="CJ46" i="3"/>
  <c r="CK46" i="3"/>
  <c r="CL46" i="3"/>
  <c r="CM46" i="3"/>
  <c r="CN46" i="3"/>
  <c r="CO46" i="3"/>
  <c r="CP46" i="3"/>
  <c r="CQ46" i="3"/>
  <c r="CR46" i="3"/>
  <c r="CS46" i="3"/>
  <c r="CT46" i="3"/>
  <c r="CU46" i="3"/>
  <c r="CV46" i="3"/>
  <c r="CW46" i="3"/>
  <c r="CX46" i="3"/>
  <c r="CY46" i="3"/>
  <c r="CZ46" i="3"/>
  <c r="DA46" i="3"/>
  <c r="DB46" i="3"/>
  <c r="DC46" i="3"/>
  <c r="DD46" i="3"/>
  <c r="DE46" i="3"/>
  <c r="DF46" i="3"/>
  <c r="DG46" i="3"/>
  <c r="DH46" i="3"/>
  <c r="DI46" i="3"/>
  <c r="DJ46" i="3"/>
  <c r="DK46" i="3"/>
  <c r="DL46" i="3"/>
  <c r="DM46" i="3"/>
  <c r="DN46" i="3"/>
  <c r="DO46" i="3"/>
  <c r="DP46" i="3"/>
  <c r="DQ46" i="3"/>
  <c r="DR46" i="3"/>
  <c r="DS46" i="3"/>
  <c r="DT46" i="3"/>
  <c r="DU46" i="3"/>
  <c r="DV46" i="3"/>
  <c r="DW46" i="3"/>
  <c r="DX46" i="3"/>
  <c r="DY46" i="3"/>
  <c r="DZ46" i="3"/>
  <c r="EA46" i="3"/>
  <c r="EB46" i="3"/>
  <c r="EC46" i="3"/>
  <c r="ED46" i="3"/>
  <c r="EE46" i="3"/>
  <c r="EF46" i="3"/>
  <c r="EG46" i="3"/>
  <c r="EH46" i="3"/>
  <c r="EI46" i="3"/>
  <c r="EJ46" i="3"/>
  <c r="EK46" i="3"/>
  <c r="EL46" i="3"/>
  <c r="EM46" i="3"/>
  <c r="EN46" i="3"/>
  <c r="EO46" i="3"/>
  <c r="EP46" i="3"/>
  <c r="EQ46" i="3"/>
  <c r="ER46" i="3"/>
  <c r="ES46" i="3"/>
  <c r="ET46" i="3"/>
  <c r="EU46" i="3"/>
  <c r="EV46" i="3"/>
  <c r="EW46" i="3"/>
  <c r="EX46" i="3"/>
  <c r="EY46" i="3"/>
  <c r="EZ46" i="3"/>
  <c r="FA46" i="3"/>
  <c r="FB46" i="3"/>
  <c r="FC46" i="3"/>
  <c r="FD46" i="3"/>
  <c r="FE46" i="3"/>
  <c r="FF46" i="3"/>
  <c r="FG46" i="3"/>
  <c r="FH46" i="3"/>
  <c r="FI46" i="3"/>
  <c r="FJ46" i="3"/>
  <c r="FK46" i="3"/>
  <c r="FL46" i="3"/>
  <c r="FM46" i="3"/>
  <c r="FN46" i="3"/>
  <c r="FO46" i="3"/>
  <c r="FP46" i="3"/>
  <c r="FQ46" i="3"/>
  <c r="FR46" i="3"/>
  <c r="FS46" i="3"/>
  <c r="FT46" i="3"/>
  <c r="FU46" i="3"/>
  <c r="FV46" i="3"/>
  <c r="FW46" i="3"/>
  <c r="FX46" i="3"/>
  <c r="FY46" i="3"/>
  <c r="FZ46" i="3"/>
  <c r="GA46" i="3"/>
  <c r="GB46" i="3"/>
  <c r="GC46" i="3"/>
  <c r="GD46" i="3"/>
  <c r="GE46" i="3"/>
  <c r="GF46" i="3"/>
  <c r="GG46" i="3"/>
  <c r="GH46" i="3"/>
  <c r="GI46" i="3"/>
  <c r="GJ46" i="3"/>
  <c r="GK46" i="3"/>
  <c r="GL46" i="3"/>
  <c r="GM46" i="3"/>
  <c r="GN46" i="3"/>
  <c r="GO46" i="3"/>
  <c r="GP46" i="3"/>
  <c r="GQ46" i="3"/>
  <c r="GR46" i="3"/>
  <c r="GS46" i="3"/>
  <c r="GT46" i="3"/>
  <c r="GU46" i="3"/>
  <c r="GV46" i="3"/>
  <c r="GW46" i="3"/>
  <c r="GX46" i="3"/>
  <c r="GY46" i="3"/>
  <c r="GZ46" i="3"/>
  <c r="HA46" i="3"/>
  <c r="HB46" i="3"/>
  <c r="HC46" i="3"/>
  <c r="HD46" i="3"/>
  <c r="HE46" i="3"/>
  <c r="HF46" i="3"/>
  <c r="HG46" i="3"/>
  <c r="HH46" i="3"/>
  <c r="HI46" i="3"/>
  <c r="HJ46" i="3"/>
  <c r="HK46" i="3"/>
  <c r="HL46" i="3"/>
  <c r="HM46" i="3"/>
  <c r="HN46" i="3"/>
  <c r="HO46" i="3"/>
  <c r="HP46" i="3"/>
  <c r="HQ46" i="3"/>
  <c r="HR46" i="3"/>
  <c r="HS46" i="3"/>
  <c r="HT46" i="3"/>
  <c r="HU46" i="3"/>
  <c r="HV46" i="3"/>
  <c r="HW46" i="3"/>
  <c r="HX46" i="3"/>
  <c r="HY46" i="3"/>
  <c r="HZ46" i="3"/>
  <c r="IA46" i="3"/>
  <c r="IB46" i="3"/>
  <c r="IC46" i="3"/>
  <c r="ID46" i="3"/>
  <c r="IE46" i="3"/>
  <c r="IF46" i="3"/>
  <c r="IG46" i="3"/>
  <c r="IH46" i="3"/>
  <c r="II46" i="3"/>
  <c r="IJ46" i="3"/>
  <c r="IK46" i="3"/>
  <c r="IL46" i="3"/>
  <c r="IM46" i="3"/>
  <c r="IN46" i="3"/>
  <c r="IO46" i="3"/>
  <c r="IP46" i="3"/>
  <c r="IQ46" i="3"/>
  <c r="IR46" i="3"/>
  <c r="IS46" i="3"/>
  <c r="IT46" i="3"/>
  <c r="IU46" i="3"/>
  <c r="IV46" i="3"/>
  <c r="A45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D45" i="3"/>
  <c r="CE45" i="3"/>
  <c r="CF45" i="3"/>
  <c r="CG45" i="3"/>
  <c r="CH45" i="3"/>
  <c r="CI45" i="3"/>
  <c r="CJ45" i="3"/>
  <c r="CK45" i="3"/>
  <c r="CL45" i="3"/>
  <c r="CM45" i="3"/>
  <c r="CN45" i="3"/>
  <c r="CO45" i="3"/>
  <c r="CP45" i="3"/>
  <c r="CQ45" i="3"/>
  <c r="CR45" i="3"/>
  <c r="CS45" i="3"/>
  <c r="CT45" i="3"/>
  <c r="CU45" i="3"/>
  <c r="CV45" i="3"/>
  <c r="CW45" i="3"/>
  <c r="CX45" i="3"/>
  <c r="CY45" i="3"/>
  <c r="CZ45" i="3"/>
  <c r="DA45" i="3"/>
  <c r="DB45" i="3"/>
  <c r="DC45" i="3"/>
  <c r="DD45" i="3"/>
  <c r="DE45" i="3"/>
  <c r="DF45" i="3"/>
  <c r="DG45" i="3"/>
  <c r="DH45" i="3"/>
  <c r="DI45" i="3"/>
  <c r="DJ45" i="3"/>
  <c r="DK45" i="3"/>
  <c r="DL45" i="3"/>
  <c r="DM45" i="3"/>
  <c r="DN45" i="3"/>
  <c r="DO45" i="3"/>
  <c r="DP45" i="3"/>
  <c r="DQ45" i="3"/>
  <c r="DR45" i="3"/>
  <c r="DS45" i="3"/>
  <c r="DT45" i="3"/>
  <c r="DU45" i="3"/>
  <c r="DV45" i="3"/>
  <c r="DW45" i="3"/>
  <c r="DX45" i="3"/>
  <c r="DY45" i="3"/>
  <c r="DZ45" i="3"/>
  <c r="EA45" i="3"/>
  <c r="EB45" i="3"/>
  <c r="EC45" i="3"/>
  <c r="ED45" i="3"/>
  <c r="EE45" i="3"/>
  <c r="EF45" i="3"/>
  <c r="EG45" i="3"/>
  <c r="EH45" i="3"/>
  <c r="EI45" i="3"/>
  <c r="EJ45" i="3"/>
  <c r="EK45" i="3"/>
  <c r="EL45" i="3"/>
  <c r="EM45" i="3"/>
  <c r="EN45" i="3"/>
  <c r="EO45" i="3"/>
  <c r="EP45" i="3"/>
  <c r="EQ45" i="3"/>
  <c r="ER45" i="3"/>
  <c r="ES45" i="3"/>
  <c r="ET45" i="3"/>
  <c r="EU45" i="3"/>
  <c r="EV45" i="3"/>
  <c r="EW45" i="3"/>
  <c r="EX45" i="3"/>
  <c r="EY45" i="3"/>
  <c r="EZ45" i="3"/>
  <c r="FA45" i="3"/>
  <c r="FB45" i="3"/>
  <c r="FC45" i="3"/>
  <c r="FD45" i="3"/>
  <c r="FE45" i="3"/>
  <c r="FF45" i="3"/>
  <c r="FG45" i="3"/>
  <c r="FH45" i="3"/>
  <c r="FI45" i="3"/>
  <c r="FJ45" i="3"/>
  <c r="FK45" i="3"/>
  <c r="FL45" i="3"/>
  <c r="FM45" i="3"/>
  <c r="FN45" i="3"/>
  <c r="FO45" i="3"/>
  <c r="FP45" i="3"/>
  <c r="FQ45" i="3"/>
  <c r="FR45" i="3"/>
  <c r="FS45" i="3"/>
  <c r="FT45" i="3"/>
  <c r="FU45" i="3"/>
  <c r="FV45" i="3"/>
  <c r="FW45" i="3"/>
  <c r="FX45" i="3"/>
  <c r="FY45" i="3"/>
  <c r="FZ45" i="3"/>
  <c r="GA45" i="3"/>
  <c r="GB45" i="3"/>
  <c r="GC45" i="3"/>
  <c r="GD45" i="3"/>
  <c r="GE45" i="3"/>
  <c r="GF45" i="3"/>
  <c r="GG45" i="3"/>
  <c r="GH45" i="3"/>
  <c r="GI45" i="3"/>
  <c r="GJ45" i="3"/>
  <c r="GK45" i="3"/>
  <c r="GL45" i="3"/>
  <c r="GM45" i="3"/>
  <c r="GN45" i="3"/>
  <c r="GO45" i="3"/>
  <c r="GP45" i="3"/>
  <c r="GQ45" i="3"/>
  <c r="GR45" i="3"/>
  <c r="GS45" i="3"/>
  <c r="GT45" i="3"/>
  <c r="GU45" i="3"/>
  <c r="GV45" i="3"/>
  <c r="GW45" i="3"/>
  <c r="GX45" i="3"/>
  <c r="GY45" i="3"/>
  <c r="GZ45" i="3"/>
  <c r="HA45" i="3"/>
  <c r="HB45" i="3"/>
  <c r="HC45" i="3"/>
  <c r="HD45" i="3"/>
  <c r="HE45" i="3"/>
  <c r="HF45" i="3"/>
  <c r="HG45" i="3"/>
  <c r="HH45" i="3"/>
  <c r="HI45" i="3"/>
  <c r="HJ45" i="3"/>
  <c r="HK45" i="3"/>
  <c r="HL45" i="3"/>
  <c r="HM45" i="3"/>
  <c r="HN45" i="3"/>
  <c r="HO45" i="3"/>
  <c r="HP45" i="3"/>
  <c r="HQ45" i="3"/>
  <c r="HR45" i="3"/>
  <c r="HS45" i="3"/>
  <c r="HT45" i="3"/>
  <c r="HU45" i="3"/>
  <c r="HV45" i="3"/>
  <c r="HW45" i="3"/>
  <c r="HX45" i="3"/>
  <c r="HY45" i="3"/>
  <c r="HZ45" i="3"/>
  <c r="IA45" i="3"/>
  <c r="IB45" i="3"/>
  <c r="IC45" i="3"/>
  <c r="ID45" i="3"/>
  <c r="IE45" i="3"/>
  <c r="IF45" i="3"/>
  <c r="IG45" i="3"/>
  <c r="IH45" i="3"/>
  <c r="II45" i="3"/>
  <c r="IJ45" i="3"/>
  <c r="IK45" i="3"/>
  <c r="IL45" i="3"/>
  <c r="IM45" i="3"/>
  <c r="IN45" i="3"/>
  <c r="IO45" i="3"/>
  <c r="IP45" i="3"/>
  <c r="IQ45" i="3"/>
  <c r="IR45" i="3"/>
  <c r="IS45" i="3"/>
  <c r="IT45" i="3"/>
  <c r="IU45" i="3"/>
  <c r="IV45" i="3"/>
  <c r="A44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D44" i="3"/>
  <c r="CE44" i="3"/>
  <c r="CF44" i="3"/>
  <c r="CG44" i="3"/>
  <c r="CH44" i="3"/>
  <c r="CI44" i="3"/>
  <c r="CJ44" i="3"/>
  <c r="CK44" i="3"/>
  <c r="CL44" i="3"/>
  <c r="CM44" i="3"/>
  <c r="CN44" i="3"/>
  <c r="CO44" i="3"/>
  <c r="CP44" i="3"/>
  <c r="CQ44" i="3"/>
  <c r="CR44" i="3"/>
  <c r="CS44" i="3"/>
  <c r="CT44" i="3"/>
  <c r="CU44" i="3"/>
  <c r="CV44" i="3"/>
  <c r="CW44" i="3"/>
  <c r="CX44" i="3"/>
  <c r="CY44" i="3"/>
  <c r="CZ44" i="3"/>
  <c r="DA44" i="3"/>
  <c r="DB44" i="3"/>
  <c r="DC44" i="3"/>
  <c r="DD44" i="3"/>
  <c r="DE44" i="3"/>
  <c r="DF44" i="3"/>
  <c r="DG44" i="3"/>
  <c r="DH44" i="3"/>
  <c r="DI44" i="3"/>
  <c r="DJ44" i="3"/>
  <c r="DK44" i="3"/>
  <c r="DL44" i="3"/>
  <c r="DM44" i="3"/>
  <c r="DN44" i="3"/>
  <c r="DO44" i="3"/>
  <c r="DP44" i="3"/>
  <c r="DQ44" i="3"/>
  <c r="DR44" i="3"/>
  <c r="DS44" i="3"/>
  <c r="DT44" i="3"/>
  <c r="DU44" i="3"/>
  <c r="DV44" i="3"/>
  <c r="DW44" i="3"/>
  <c r="DX44" i="3"/>
  <c r="DY44" i="3"/>
  <c r="DZ44" i="3"/>
  <c r="EA44" i="3"/>
  <c r="EB44" i="3"/>
  <c r="EC44" i="3"/>
  <c r="ED44" i="3"/>
  <c r="EE44" i="3"/>
  <c r="EF44" i="3"/>
  <c r="EG44" i="3"/>
  <c r="EH44" i="3"/>
  <c r="EI44" i="3"/>
  <c r="EJ44" i="3"/>
  <c r="EK44" i="3"/>
  <c r="EL44" i="3"/>
  <c r="EM44" i="3"/>
  <c r="EN44" i="3"/>
  <c r="EO44" i="3"/>
  <c r="EP44" i="3"/>
  <c r="EQ44" i="3"/>
  <c r="ER44" i="3"/>
  <c r="ES44" i="3"/>
  <c r="ET44" i="3"/>
  <c r="EU44" i="3"/>
  <c r="EV44" i="3"/>
  <c r="EW44" i="3"/>
  <c r="EX44" i="3"/>
  <c r="EY44" i="3"/>
  <c r="EZ44" i="3"/>
  <c r="FA44" i="3"/>
  <c r="FB44" i="3"/>
  <c r="FC44" i="3"/>
  <c r="FD44" i="3"/>
  <c r="FE44" i="3"/>
  <c r="FF44" i="3"/>
  <c r="FG44" i="3"/>
  <c r="FH44" i="3"/>
  <c r="FI44" i="3"/>
  <c r="FJ44" i="3"/>
  <c r="FK44" i="3"/>
  <c r="FL44" i="3"/>
  <c r="FM44" i="3"/>
  <c r="FN44" i="3"/>
  <c r="FO44" i="3"/>
  <c r="FP44" i="3"/>
  <c r="FQ44" i="3"/>
  <c r="FR44" i="3"/>
  <c r="FS44" i="3"/>
  <c r="FT44" i="3"/>
  <c r="FU44" i="3"/>
  <c r="FV44" i="3"/>
  <c r="FW44" i="3"/>
  <c r="FX44" i="3"/>
  <c r="FY44" i="3"/>
  <c r="FZ44" i="3"/>
  <c r="GA44" i="3"/>
  <c r="GB44" i="3"/>
  <c r="GC44" i="3"/>
  <c r="GD44" i="3"/>
  <c r="GE44" i="3"/>
  <c r="GF44" i="3"/>
  <c r="GG44" i="3"/>
  <c r="GH44" i="3"/>
  <c r="GI44" i="3"/>
  <c r="GJ44" i="3"/>
  <c r="GK44" i="3"/>
  <c r="GL44" i="3"/>
  <c r="GM44" i="3"/>
  <c r="GN44" i="3"/>
  <c r="GO44" i="3"/>
  <c r="GP44" i="3"/>
  <c r="GQ44" i="3"/>
  <c r="GR44" i="3"/>
  <c r="GS44" i="3"/>
  <c r="GT44" i="3"/>
  <c r="GU44" i="3"/>
  <c r="GV44" i="3"/>
  <c r="GW44" i="3"/>
  <c r="GX44" i="3"/>
  <c r="GY44" i="3"/>
  <c r="GZ44" i="3"/>
  <c r="HA44" i="3"/>
  <c r="HB44" i="3"/>
  <c r="HC44" i="3"/>
  <c r="HD44" i="3"/>
  <c r="HE44" i="3"/>
  <c r="HF44" i="3"/>
  <c r="HG44" i="3"/>
  <c r="HH44" i="3"/>
  <c r="HI44" i="3"/>
  <c r="HJ44" i="3"/>
  <c r="HK44" i="3"/>
  <c r="HL44" i="3"/>
  <c r="HM44" i="3"/>
  <c r="HN44" i="3"/>
  <c r="HO44" i="3"/>
  <c r="HP44" i="3"/>
  <c r="HQ44" i="3"/>
  <c r="HR44" i="3"/>
  <c r="HS44" i="3"/>
  <c r="HT44" i="3"/>
  <c r="HU44" i="3"/>
  <c r="HV44" i="3"/>
  <c r="HW44" i="3"/>
  <c r="HX44" i="3"/>
  <c r="HY44" i="3"/>
  <c r="HZ44" i="3"/>
  <c r="IA44" i="3"/>
  <c r="IB44" i="3"/>
  <c r="IC44" i="3"/>
  <c r="ID44" i="3"/>
  <c r="IE44" i="3"/>
  <c r="IF44" i="3"/>
  <c r="IG44" i="3"/>
  <c r="IH44" i="3"/>
  <c r="II44" i="3"/>
  <c r="IJ44" i="3"/>
  <c r="IK44" i="3"/>
  <c r="IL44" i="3"/>
  <c r="IM44" i="3"/>
  <c r="IN44" i="3"/>
  <c r="IO44" i="3"/>
  <c r="IP44" i="3"/>
  <c r="IQ44" i="3"/>
  <c r="IR44" i="3"/>
  <c r="IS44" i="3"/>
  <c r="IT44" i="3"/>
  <c r="IU44" i="3"/>
  <c r="IV44" i="3"/>
  <c r="A43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D43" i="3"/>
  <c r="CE43" i="3"/>
  <c r="CF43" i="3"/>
  <c r="CG43" i="3"/>
  <c r="CH43" i="3"/>
  <c r="CI43" i="3"/>
  <c r="CJ43" i="3"/>
  <c r="CK43" i="3"/>
  <c r="CL43" i="3"/>
  <c r="CM43" i="3"/>
  <c r="CN43" i="3"/>
  <c r="CO43" i="3"/>
  <c r="CP43" i="3"/>
  <c r="CQ43" i="3"/>
  <c r="CR43" i="3"/>
  <c r="CS43" i="3"/>
  <c r="CT43" i="3"/>
  <c r="CU43" i="3"/>
  <c r="CV43" i="3"/>
  <c r="CW43" i="3"/>
  <c r="CX43" i="3"/>
  <c r="CY43" i="3"/>
  <c r="CZ43" i="3"/>
  <c r="DA43" i="3"/>
  <c r="DB43" i="3"/>
  <c r="DC43" i="3"/>
  <c r="DD43" i="3"/>
  <c r="DE43" i="3"/>
  <c r="DF43" i="3"/>
  <c r="DG43" i="3"/>
  <c r="DH43" i="3"/>
  <c r="DI43" i="3"/>
  <c r="DJ43" i="3"/>
  <c r="DK43" i="3"/>
  <c r="DL43" i="3"/>
  <c r="DM43" i="3"/>
  <c r="DN43" i="3"/>
  <c r="DO43" i="3"/>
  <c r="DP43" i="3"/>
  <c r="DQ43" i="3"/>
  <c r="DR43" i="3"/>
  <c r="DS43" i="3"/>
  <c r="DT43" i="3"/>
  <c r="DU43" i="3"/>
  <c r="DV43" i="3"/>
  <c r="DW43" i="3"/>
  <c r="DX43" i="3"/>
  <c r="DY43" i="3"/>
  <c r="DZ43" i="3"/>
  <c r="EA43" i="3"/>
  <c r="EB43" i="3"/>
  <c r="EC43" i="3"/>
  <c r="ED43" i="3"/>
  <c r="EE43" i="3"/>
  <c r="EF43" i="3"/>
  <c r="EG43" i="3"/>
  <c r="EH43" i="3"/>
  <c r="EI43" i="3"/>
  <c r="EJ43" i="3"/>
  <c r="EK43" i="3"/>
  <c r="EL43" i="3"/>
  <c r="EM43" i="3"/>
  <c r="EN43" i="3"/>
  <c r="EO43" i="3"/>
  <c r="EP43" i="3"/>
  <c r="EQ43" i="3"/>
  <c r="ER43" i="3"/>
  <c r="ES43" i="3"/>
  <c r="ET43" i="3"/>
  <c r="EU43" i="3"/>
  <c r="EV43" i="3"/>
  <c r="EW43" i="3"/>
  <c r="EX43" i="3"/>
  <c r="EY43" i="3"/>
  <c r="EZ43" i="3"/>
  <c r="FA43" i="3"/>
  <c r="FB43" i="3"/>
  <c r="FC43" i="3"/>
  <c r="FD43" i="3"/>
  <c r="FE43" i="3"/>
  <c r="FF43" i="3"/>
  <c r="FG43" i="3"/>
  <c r="FH43" i="3"/>
  <c r="FI43" i="3"/>
  <c r="FJ43" i="3"/>
  <c r="FK43" i="3"/>
  <c r="FL43" i="3"/>
  <c r="FM43" i="3"/>
  <c r="FN43" i="3"/>
  <c r="FO43" i="3"/>
  <c r="FP43" i="3"/>
  <c r="FQ43" i="3"/>
  <c r="FR43" i="3"/>
  <c r="FS43" i="3"/>
  <c r="FT43" i="3"/>
  <c r="FU43" i="3"/>
  <c r="FV43" i="3"/>
  <c r="FW43" i="3"/>
  <c r="FX43" i="3"/>
  <c r="FY43" i="3"/>
  <c r="FZ43" i="3"/>
  <c r="GA43" i="3"/>
  <c r="GB43" i="3"/>
  <c r="GC43" i="3"/>
  <c r="GD43" i="3"/>
  <c r="GE43" i="3"/>
  <c r="GF43" i="3"/>
  <c r="GG43" i="3"/>
  <c r="GH43" i="3"/>
  <c r="GI43" i="3"/>
  <c r="GJ43" i="3"/>
  <c r="GK43" i="3"/>
  <c r="GL43" i="3"/>
  <c r="GM43" i="3"/>
  <c r="GN43" i="3"/>
  <c r="GO43" i="3"/>
  <c r="GP43" i="3"/>
  <c r="GQ43" i="3"/>
  <c r="GR43" i="3"/>
  <c r="GS43" i="3"/>
  <c r="GT43" i="3"/>
  <c r="GU43" i="3"/>
  <c r="GV43" i="3"/>
  <c r="GW43" i="3"/>
  <c r="GX43" i="3"/>
  <c r="GY43" i="3"/>
  <c r="GZ43" i="3"/>
  <c r="HA43" i="3"/>
  <c r="HB43" i="3"/>
  <c r="HC43" i="3"/>
  <c r="HD43" i="3"/>
  <c r="HE43" i="3"/>
  <c r="HF43" i="3"/>
  <c r="HG43" i="3"/>
  <c r="HH43" i="3"/>
  <c r="HI43" i="3"/>
  <c r="HJ43" i="3"/>
  <c r="HK43" i="3"/>
  <c r="HL43" i="3"/>
  <c r="HM43" i="3"/>
  <c r="HN43" i="3"/>
  <c r="HO43" i="3"/>
  <c r="HP43" i="3"/>
  <c r="HQ43" i="3"/>
  <c r="HR43" i="3"/>
  <c r="HS43" i="3"/>
  <c r="HT43" i="3"/>
  <c r="HU43" i="3"/>
  <c r="HV43" i="3"/>
  <c r="HW43" i="3"/>
  <c r="HX43" i="3"/>
  <c r="HY43" i="3"/>
  <c r="HZ43" i="3"/>
  <c r="IA43" i="3"/>
  <c r="IB43" i="3"/>
  <c r="IC43" i="3"/>
  <c r="ID43" i="3"/>
  <c r="IE43" i="3"/>
  <c r="IF43" i="3"/>
  <c r="IG43" i="3"/>
  <c r="IH43" i="3"/>
  <c r="II43" i="3"/>
  <c r="IJ43" i="3"/>
  <c r="IK43" i="3"/>
  <c r="IL43" i="3"/>
  <c r="IM43" i="3"/>
  <c r="IN43" i="3"/>
  <c r="IO43" i="3"/>
  <c r="IP43" i="3"/>
  <c r="IQ43" i="3"/>
  <c r="IR43" i="3"/>
  <c r="IS43" i="3"/>
  <c r="IT43" i="3"/>
  <c r="IU43" i="3"/>
  <c r="IV43" i="3"/>
  <c r="A42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D42" i="3"/>
  <c r="CE42" i="3"/>
  <c r="CF42" i="3"/>
  <c r="CG42" i="3"/>
  <c r="CH42" i="3"/>
  <c r="CI42" i="3"/>
  <c r="CJ42" i="3"/>
  <c r="CK42" i="3"/>
  <c r="CL42" i="3"/>
  <c r="CM42" i="3"/>
  <c r="CN42" i="3"/>
  <c r="CO42" i="3"/>
  <c r="CP42" i="3"/>
  <c r="CQ42" i="3"/>
  <c r="CR42" i="3"/>
  <c r="CS42" i="3"/>
  <c r="CT42" i="3"/>
  <c r="CU42" i="3"/>
  <c r="CV42" i="3"/>
  <c r="CW42" i="3"/>
  <c r="CX42" i="3"/>
  <c r="CY42" i="3"/>
  <c r="CZ42" i="3"/>
  <c r="DA42" i="3"/>
  <c r="DB42" i="3"/>
  <c r="DC42" i="3"/>
  <c r="DD42" i="3"/>
  <c r="DE42" i="3"/>
  <c r="DF42" i="3"/>
  <c r="DG42" i="3"/>
  <c r="DH42" i="3"/>
  <c r="DI42" i="3"/>
  <c r="DJ42" i="3"/>
  <c r="DK42" i="3"/>
  <c r="DL42" i="3"/>
  <c r="DM42" i="3"/>
  <c r="DN42" i="3"/>
  <c r="DO42" i="3"/>
  <c r="DP42" i="3"/>
  <c r="DQ42" i="3"/>
  <c r="DR42" i="3"/>
  <c r="DS42" i="3"/>
  <c r="DT42" i="3"/>
  <c r="DU42" i="3"/>
  <c r="DV42" i="3"/>
  <c r="DW42" i="3"/>
  <c r="DX42" i="3"/>
  <c r="DY42" i="3"/>
  <c r="DZ42" i="3"/>
  <c r="EA42" i="3"/>
  <c r="EB42" i="3"/>
  <c r="EC42" i="3"/>
  <c r="ED42" i="3"/>
  <c r="EE42" i="3"/>
  <c r="EF42" i="3"/>
  <c r="EG42" i="3"/>
  <c r="EH42" i="3"/>
  <c r="EI42" i="3"/>
  <c r="EJ42" i="3"/>
  <c r="EK42" i="3"/>
  <c r="EL42" i="3"/>
  <c r="EM42" i="3"/>
  <c r="EN42" i="3"/>
  <c r="EO42" i="3"/>
  <c r="EP42" i="3"/>
  <c r="EQ42" i="3"/>
  <c r="ER42" i="3"/>
  <c r="ES42" i="3"/>
  <c r="ET42" i="3"/>
  <c r="EU42" i="3"/>
  <c r="EV42" i="3"/>
  <c r="EW42" i="3"/>
  <c r="EX42" i="3"/>
  <c r="EY42" i="3"/>
  <c r="EZ42" i="3"/>
  <c r="FA42" i="3"/>
  <c r="FB42" i="3"/>
  <c r="FC42" i="3"/>
  <c r="FD42" i="3"/>
  <c r="FE42" i="3"/>
  <c r="FF42" i="3"/>
  <c r="FG42" i="3"/>
  <c r="FH42" i="3"/>
  <c r="FI42" i="3"/>
  <c r="FJ42" i="3"/>
  <c r="FK42" i="3"/>
  <c r="FL42" i="3"/>
  <c r="FM42" i="3"/>
  <c r="FN42" i="3"/>
  <c r="FO42" i="3"/>
  <c r="FP42" i="3"/>
  <c r="FQ42" i="3"/>
  <c r="FR42" i="3"/>
  <c r="FS42" i="3"/>
  <c r="FT42" i="3"/>
  <c r="FU42" i="3"/>
  <c r="FV42" i="3"/>
  <c r="FW42" i="3"/>
  <c r="FX42" i="3"/>
  <c r="FY42" i="3"/>
  <c r="FZ42" i="3"/>
  <c r="GA42" i="3"/>
  <c r="GB42" i="3"/>
  <c r="GC42" i="3"/>
  <c r="GD42" i="3"/>
  <c r="GE42" i="3"/>
  <c r="GF42" i="3"/>
  <c r="GG42" i="3"/>
  <c r="GH42" i="3"/>
  <c r="GI42" i="3"/>
  <c r="GJ42" i="3"/>
  <c r="GK42" i="3"/>
  <c r="GL42" i="3"/>
  <c r="GM42" i="3"/>
  <c r="GN42" i="3"/>
  <c r="GO42" i="3"/>
  <c r="GP42" i="3"/>
  <c r="GQ42" i="3"/>
  <c r="GR42" i="3"/>
  <c r="GS42" i="3"/>
  <c r="GT42" i="3"/>
  <c r="GU42" i="3"/>
  <c r="GV42" i="3"/>
  <c r="GW42" i="3"/>
  <c r="GX42" i="3"/>
  <c r="GY42" i="3"/>
  <c r="GZ42" i="3"/>
  <c r="HA42" i="3"/>
  <c r="HB42" i="3"/>
  <c r="HC42" i="3"/>
  <c r="HD42" i="3"/>
  <c r="HE42" i="3"/>
  <c r="HF42" i="3"/>
  <c r="HG42" i="3"/>
  <c r="HH42" i="3"/>
  <c r="HI42" i="3"/>
  <c r="HJ42" i="3"/>
  <c r="HK42" i="3"/>
  <c r="HL42" i="3"/>
  <c r="HM42" i="3"/>
  <c r="HN42" i="3"/>
  <c r="HO42" i="3"/>
  <c r="HP42" i="3"/>
  <c r="HQ42" i="3"/>
  <c r="HR42" i="3"/>
  <c r="HS42" i="3"/>
  <c r="HT42" i="3"/>
  <c r="HU42" i="3"/>
  <c r="HV42" i="3"/>
  <c r="HW42" i="3"/>
  <c r="HX42" i="3"/>
  <c r="HY42" i="3"/>
  <c r="HZ42" i="3"/>
  <c r="IA42" i="3"/>
  <c r="IB42" i="3"/>
  <c r="IC42" i="3"/>
  <c r="ID42" i="3"/>
  <c r="IE42" i="3"/>
  <c r="IF42" i="3"/>
  <c r="IG42" i="3"/>
  <c r="IH42" i="3"/>
  <c r="II42" i="3"/>
  <c r="IJ42" i="3"/>
  <c r="IK42" i="3"/>
  <c r="IL42" i="3"/>
  <c r="IM42" i="3"/>
  <c r="IN42" i="3"/>
  <c r="IO42" i="3"/>
  <c r="IP42" i="3"/>
  <c r="IQ42" i="3"/>
  <c r="IR42" i="3"/>
  <c r="IS42" i="3"/>
  <c r="IT42" i="3"/>
  <c r="IU42" i="3"/>
  <c r="IV42" i="3"/>
  <c r="A41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D41" i="3"/>
  <c r="CE41" i="3"/>
  <c r="CF41" i="3"/>
  <c r="CG41" i="3"/>
  <c r="CH41" i="3"/>
  <c r="CI41" i="3"/>
  <c r="CJ41" i="3"/>
  <c r="CK41" i="3"/>
  <c r="CL41" i="3"/>
  <c r="CM41" i="3"/>
  <c r="CN41" i="3"/>
  <c r="CO41" i="3"/>
  <c r="CP41" i="3"/>
  <c r="CQ41" i="3"/>
  <c r="CR41" i="3"/>
  <c r="CS41" i="3"/>
  <c r="CT41" i="3"/>
  <c r="CU41" i="3"/>
  <c r="CV41" i="3"/>
  <c r="CW41" i="3"/>
  <c r="CX41" i="3"/>
  <c r="CY41" i="3"/>
  <c r="CZ41" i="3"/>
  <c r="DA41" i="3"/>
  <c r="DB41" i="3"/>
  <c r="DC41" i="3"/>
  <c r="DD41" i="3"/>
  <c r="DE41" i="3"/>
  <c r="DF41" i="3"/>
  <c r="DG41" i="3"/>
  <c r="DH41" i="3"/>
  <c r="DI41" i="3"/>
  <c r="DJ41" i="3"/>
  <c r="DK41" i="3"/>
  <c r="DL41" i="3"/>
  <c r="DM41" i="3"/>
  <c r="DN41" i="3"/>
  <c r="DO41" i="3"/>
  <c r="DP41" i="3"/>
  <c r="DQ41" i="3"/>
  <c r="DR41" i="3"/>
  <c r="DS41" i="3"/>
  <c r="DT41" i="3"/>
  <c r="DU41" i="3"/>
  <c r="DV41" i="3"/>
  <c r="DW41" i="3"/>
  <c r="DX41" i="3"/>
  <c r="DY41" i="3"/>
  <c r="DZ41" i="3"/>
  <c r="EA41" i="3"/>
  <c r="EB41" i="3"/>
  <c r="EC41" i="3"/>
  <c r="ED41" i="3"/>
  <c r="EE41" i="3"/>
  <c r="EF41" i="3"/>
  <c r="EG41" i="3"/>
  <c r="EH41" i="3"/>
  <c r="EI41" i="3"/>
  <c r="EJ41" i="3"/>
  <c r="EK41" i="3"/>
  <c r="EL41" i="3"/>
  <c r="EM41" i="3"/>
  <c r="EN41" i="3"/>
  <c r="EO41" i="3"/>
  <c r="EP41" i="3"/>
  <c r="EQ41" i="3"/>
  <c r="ER41" i="3"/>
  <c r="ES41" i="3"/>
  <c r="ET41" i="3"/>
  <c r="EU41" i="3"/>
  <c r="EV41" i="3"/>
  <c r="EW41" i="3"/>
  <c r="EX41" i="3"/>
  <c r="EY41" i="3"/>
  <c r="EZ41" i="3"/>
  <c r="FA41" i="3"/>
  <c r="FB41" i="3"/>
  <c r="FC41" i="3"/>
  <c r="FD41" i="3"/>
  <c r="FE41" i="3"/>
  <c r="FF41" i="3"/>
  <c r="FG41" i="3"/>
  <c r="FH41" i="3"/>
  <c r="FI41" i="3"/>
  <c r="FJ41" i="3"/>
  <c r="FK41" i="3"/>
  <c r="FL41" i="3"/>
  <c r="FM41" i="3"/>
  <c r="FN41" i="3"/>
  <c r="FO41" i="3"/>
  <c r="FP41" i="3"/>
  <c r="FQ41" i="3"/>
  <c r="FR41" i="3"/>
  <c r="FS41" i="3"/>
  <c r="FT41" i="3"/>
  <c r="FU41" i="3"/>
  <c r="FV41" i="3"/>
  <c r="FW41" i="3"/>
  <c r="FX41" i="3"/>
  <c r="FY41" i="3"/>
  <c r="FZ41" i="3"/>
  <c r="GA41" i="3"/>
  <c r="GB41" i="3"/>
  <c r="GC41" i="3"/>
  <c r="GD41" i="3"/>
  <c r="GE41" i="3"/>
  <c r="GF41" i="3"/>
  <c r="GG41" i="3"/>
  <c r="GH41" i="3"/>
  <c r="GI41" i="3"/>
  <c r="GJ41" i="3"/>
  <c r="GK41" i="3"/>
  <c r="GL41" i="3"/>
  <c r="GM41" i="3"/>
  <c r="GN41" i="3"/>
  <c r="GO41" i="3"/>
  <c r="GP41" i="3"/>
  <c r="GQ41" i="3"/>
  <c r="GR41" i="3"/>
  <c r="GS41" i="3"/>
  <c r="GT41" i="3"/>
  <c r="GU41" i="3"/>
  <c r="GV41" i="3"/>
  <c r="GW41" i="3"/>
  <c r="GX41" i="3"/>
  <c r="GY41" i="3"/>
  <c r="GZ41" i="3"/>
  <c r="HA41" i="3"/>
  <c r="HB41" i="3"/>
  <c r="HC41" i="3"/>
  <c r="HD41" i="3"/>
  <c r="HE41" i="3"/>
  <c r="HF41" i="3"/>
  <c r="HG41" i="3"/>
  <c r="HH41" i="3"/>
  <c r="HI41" i="3"/>
  <c r="HJ41" i="3"/>
  <c r="HK41" i="3"/>
  <c r="HL41" i="3"/>
  <c r="HM41" i="3"/>
  <c r="HN41" i="3"/>
  <c r="HO41" i="3"/>
  <c r="HP41" i="3"/>
  <c r="HQ41" i="3"/>
  <c r="HR41" i="3"/>
  <c r="HS41" i="3"/>
  <c r="HT41" i="3"/>
  <c r="HU41" i="3"/>
  <c r="HV41" i="3"/>
  <c r="HW41" i="3"/>
  <c r="HX41" i="3"/>
  <c r="HY41" i="3"/>
  <c r="HZ41" i="3"/>
  <c r="IA41" i="3"/>
  <c r="IB41" i="3"/>
  <c r="IC41" i="3"/>
  <c r="ID41" i="3"/>
  <c r="IE41" i="3"/>
  <c r="IF41" i="3"/>
  <c r="IG41" i="3"/>
  <c r="IH41" i="3"/>
  <c r="II41" i="3"/>
  <c r="IJ41" i="3"/>
  <c r="IK41" i="3"/>
  <c r="IL41" i="3"/>
  <c r="IM41" i="3"/>
  <c r="IN41" i="3"/>
  <c r="IO41" i="3"/>
  <c r="IP41" i="3"/>
  <c r="IQ41" i="3"/>
  <c r="IR41" i="3"/>
  <c r="IS41" i="3"/>
  <c r="IT41" i="3"/>
  <c r="IU41" i="3"/>
  <c r="IV41" i="3"/>
  <c r="A40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L40" i="3"/>
  <c r="FM40" i="3"/>
  <c r="FN40" i="3"/>
  <c r="FO40" i="3"/>
  <c r="FP40" i="3"/>
  <c r="FQ40" i="3"/>
  <c r="FR40" i="3"/>
  <c r="FS40" i="3"/>
  <c r="FT40" i="3"/>
  <c r="FU40" i="3"/>
  <c r="FV40" i="3"/>
  <c r="FW40" i="3"/>
  <c r="FX40" i="3"/>
  <c r="FY40" i="3"/>
  <c r="FZ40" i="3"/>
  <c r="GA40" i="3"/>
  <c r="GB40" i="3"/>
  <c r="GC40" i="3"/>
  <c r="GD40" i="3"/>
  <c r="GE40" i="3"/>
  <c r="GF40" i="3"/>
  <c r="GG40" i="3"/>
  <c r="GH40" i="3"/>
  <c r="GI40" i="3"/>
  <c r="GJ40" i="3"/>
  <c r="GK40" i="3"/>
  <c r="GL40" i="3"/>
  <c r="GM40" i="3"/>
  <c r="GN40" i="3"/>
  <c r="GO40" i="3"/>
  <c r="GP40" i="3"/>
  <c r="GQ40" i="3"/>
  <c r="GR40" i="3"/>
  <c r="GS40" i="3"/>
  <c r="GT40" i="3"/>
  <c r="GU40" i="3"/>
  <c r="GV40" i="3"/>
  <c r="GW40" i="3"/>
  <c r="GX40" i="3"/>
  <c r="GY40" i="3"/>
  <c r="GZ40" i="3"/>
  <c r="HA40" i="3"/>
  <c r="HB40" i="3"/>
  <c r="HC40" i="3"/>
  <c r="HD40" i="3"/>
  <c r="HE40" i="3"/>
  <c r="HF40" i="3"/>
  <c r="HG40" i="3"/>
  <c r="HH40" i="3"/>
  <c r="HI40" i="3"/>
  <c r="HJ40" i="3"/>
  <c r="HK40" i="3"/>
  <c r="HL40" i="3"/>
  <c r="HM40" i="3"/>
  <c r="HN40" i="3"/>
  <c r="HO40" i="3"/>
  <c r="HP40" i="3"/>
  <c r="HQ40" i="3"/>
  <c r="HR40" i="3"/>
  <c r="HS40" i="3"/>
  <c r="HT40" i="3"/>
  <c r="HU40" i="3"/>
  <c r="HV40" i="3"/>
  <c r="HW40" i="3"/>
  <c r="HX40" i="3"/>
  <c r="HY40" i="3"/>
  <c r="HZ40" i="3"/>
  <c r="IA40" i="3"/>
  <c r="IB40" i="3"/>
  <c r="IC40" i="3"/>
  <c r="ID40" i="3"/>
  <c r="IE40" i="3"/>
  <c r="IF40" i="3"/>
  <c r="IG40" i="3"/>
  <c r="IH40" i="3"/>
  <c r="II40" i="3"/>
  <c r="IJ40" i="3"/>
  <c r="IK40" i="3"/>
  <c r="IL40" i="3"/>
  <c r="IM40" i="3"/>
  <c r="IN40" i="3"/>
  <c r="IO40" i="3"/>
  <c r="IP40" i="3"/>
  <c r="IQ40" i="3"/>
  <c r="IR40" i="3"/>
  <c r="IS40" i="3"/>
  <c r="IT40" i="3"/>
  <c r="IU40" i="3"/>
  <c r="IV40" i="3"/>
  <c r="A39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A38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D38" i="3"/>
  <c r="CE38" i="3"/>
  <c r="CF38" i="3"/>
  <c r="CG38" i="3"/>
  <c r="CH38" i="3"/>
  <c r="CI38" i="3"/>
  <c r="CJ38" i="3"/>
  <c r="CK38" i="3"/>
  <c r="CL38" i="3"/>
  <c r="CM38" i="3"/>
  <c r="CN38" i="3"/>
  <c r="CO38" i="3"/>
  <c r="CP38" i="3"/>
  <c r="CQ38" i="3"/>
  <c r="CR38" i="3"/>
  <c r="CS38" i="3"/>
  <c r="CT38" i="3"/>
  <c r="CU38" i="3"/>
  <c r="CV38" i="3"/>
  <c r="CW38" i="3"/>
  <c r="CX38" i="3"/>
  <c r="CY38" i="3"/>
  <c r="CZ38" i="3"/>
  <c r="DA38" i="3"/>
  <c r="DB38" i="3"/>
  <c r="DC38" i="3"/>
  <c r="DD38" i="3"/>
  <c r="DE38" i="3"/>
  <c r="DF38" i="3"/>
  <c r="DG38" i="3"/>
  <c r="DH38" i="3"/>
  <c r="DI38" i="3"/>
  <c r="DJ38" i="3"/>
  <c r="DK38" i="3"/>
  <c r="DL38" i="3"/>
  <c r="DM38" i="3"/>
  <c r="DN38" i="3"/>
  <c r="DO38" i="3"/>
  <c r="DP38" i="3"/>
  <c r="DQ38" i="3"/>
  <c r="DR38" i="3"/>
  <c r="DS38" i="3"/>
  <c r="DT38" i="3"/>
  <c r="DU38" i="3"/>
  <c r="DV38" i="3"/>
  <c r="DW38" i="3"/>
  <c r="DX38" i="3"/>
  <c r="DY38" i="3"/>
  <c r="DZ38" i="3"/>
  <c r="EA38" i="3"/>
  <c r="EB38" i="3"/>
  <c r="EC38" i="3"/>
  <c r="ED38" i="3"/>
  <c r="EE38" i="3"/>
  <c r="EF38" i="3"/>
  <c r="EG38" i="3"/>
  <c r="EH38" i="3"/>
  <c r="EI38" i="3"/>
  <c r="EJ38" i="3"/>
  <c r="EK38" i="3"/>
  <c r="EL38" i="3"/>
  <c r="EM38" i="3"/>
  <c r="EN38" i="3"/>
  <c r="EO38" i="3"/>
  <c r="EP38" i="3"/>
  <c r="EQ38" i="3"/>
  <c r="ER38" i="3"/>
  <c r="ES38" i="3"/>
  <c r="ET38" i="3"/>
  <c r="EU38" i="3"/>
  <c r="EV38" i="3"/>
  <c r="EW38" i="3"/>
  <c r="EX38" i="3"/>
  <c r="EY38" i="3"/>
  <c r="EZ38" i="3"/>
  <c r="FA38" i="3"/>
  <c r="FB38" i="3"/>
  <c r="FC38" i="3"/>
  <c r="FD38" i="3"/>
  <c r="FE38" i="3"/>
  <c r="FF38" i="3"/>
  <c r="FG38" i="3"/>
  <c r="FH38" i="3"/>
  <c r="FI38" i="3"/>
  <c r="FJ38" i="3"/>
  <c r="FK38" i="3"/>
  <c r="FL38" i="3"/>
  <c r="FM38" i="3"/>
  <c r="FN38" i="3"/>
  <c r="FO38" i="3"/>
  <c r="FP38" i="3"/>
  <c r="FQ38" i="3"/>
  <c r="FR38" i="3"/>
  <c r="FS38" i="3"/>
  <c r="FT38" i="3"/>
  <c r="FU38" i="3"/>
  <c r="FV38" i="3"/>
  <c r="FW38" i="3"/>
  <c r="FX38" i="3"/>
  <c r="FY38" i="3"/>
  <c r="FZ38" i="3"/>
  <c r="GA38" i="3"/>
  <c r="GB38" i="3"/>
  <c r="GC38" i="3"/>
  <c r="GD38" i="3"/>
  <c r="GE38" i="3"/>
  <c r="GF38" i="3"/>
  <c r="GG38" i="3"/>
  <c r="GH38" i="3"/>
  <c r="GI38" i="3"/>
  <c r="GJ38" i="3"/>
  <c r="GK38" i="3"/>
  <c r="GL38" i="3"/>
  <c r="GM38" i="3"/>
  <c r="GN38" i="3"/>
  <c r="GO38" i="3"/>
  <c r="GP38" i="3"/>
  <c r="GQ38" i="3"/>
  <c r="GR38" i="3"/>
  <c r="GS38" i="3"/>
  <c r="GT38" i="3"/>
  <c r="GU38" i="3"/>
  <c r="GV38" i="3"/>
  <c r="GW38" i="3"/>
  <c r="GX38" i="3"/>
  <c r="GY38" i="3"/>
  <c r="GZ38" i="3"/>
  <c r="HA38" i="3"/>
  <c r="HB38" i="3"/>
  <c r="HC38" i="3"/>
  <c r="HD38" i="3"/>
  <c r="HE38" i="3"/>
  <c r="HF38" i="3"/>
  <c r="HG38" i="3"/>
  <c r="HH38" i="3"/>
  <c r="HI38" i="3"/>
  <c r="HJ38" i="3"/>
  <c r="HK38" i="3"/>
  <c r="HL38" i="3"/>
  <c r="HM38" i="3"/>
  <c r="HN38" i="3"/>
  <c r="HO38" i="3"/>
  <c r="HP38" i="3"/>
  <c r="HQ38" i="3"/>
  <c r="HR38" i="3"/>
  <c r="HS38" i="3"/>
  <c r="HT38" i="3"/>
  <c r="HU38" i="3"/>
  <c r="HV38" i="3"/>
  <c r="HW38" i="3"/>
  <c r="HX38" i="3"/>
  <c r="HY38" i="3"/>
  <c r="HZ38" i="3"/>
  <c r="IA38" i="3"/>
  <c r="IB38" i="3"/>
  <c r="IC38" i="3"/>
  <c r="ID38" i="3"/>
  <c r="IE38" i="3"/>
  <c r="IF38" i="3"/>
  <c r="IG38" i="3"/>
  <c r="IH38" i="3"/>
  <c r="II38" i="3"/>
  <c r="IJ38" i="3"/>
  <c r="IK38" i="3"/>
  <c r="IL38" i="3"/>
  <c r="IM38" i="3"/>
  <c r="IN38" i="3"/>
  <c r="IO38" i="3"/>
  <c r="IP38" i="3"/>
  <c r="IQ38" i="3"/>
  <c r="IR38" i="3"/>
  <c r="IS38" i="3"/>
  <c r="IT38" i="3"/>
  <c r="IU38" i="3"/>
  <c r="IV38" i="3"/>
  <c r="A37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D37" i="3"/>
  <c r="CE37" i="3"/>
  <c r="CF37" i="3"/>
  <c r="CG37" i="3"/>
  <c r="CH37" i="3"/>
  <c r="CI37" i="3"/>
  <c r="CJ37" i="3"/>
  <c r="CK37" i="3"/>
  <c r="CL37" i="3"/>
  <c r="CM37" i="3"/>
  <c r="CN37" i="3"/>
  <c r="CO37" i="3"/>
  <c r="CP37" i="3"/>
  <c r="CQ37" i="3"/>
  <c r="CR37" i="3"/>
  <c r="CS37" i="3"/>
  <c r="CT37" i="3"/>
  <c r="CU37" i="3"/>
  <c r="CV37" i="3"/>
  <c r="CW37" i="3"/>
  <c r="CX37" i="3"/>
  <c r="CY37" i="3"/>
  <c r="CZ37" i="3"/>
  <c r="DA37" i="3"/>
  <c r="DB37" i="3"/>
  <c r="DC37" i="3"/>
  <c r="DD37" i="3"/>
  <c r="DE37" i="3"/>
  <c r="DF37" i="3"/>
  <c r="DG37" i="3"/>
  <c r="DH37" i="3"/>
  <c r="DI37" i="3"/>
  <c r="DJ37" i="3"/>
  <c r="DK37" i="3"/>
  <c r="DL37" i="3"/>
  <c r="DM37" i="3"/>
  <c r="DN37" i="3"/>
  <c r="DO37" i="3"/>
  <c r="DP37" i="3"/>
  <c r="DQ37" i="3"/>
  <c r="DR37" i="3"/>
  <c r="DS37" i="3"/>
  <c r="DT37" i="3"/>
  <c r="DU37" i="3"/>
  <c r="DV37" i="3"/>
  <c r="DW37" i="3"/>
  <c r="DX37" i="3"/>
  <c r="DY37" i="3"/>
  <c r="DZ37" i="3"/>
  <c r="EA37" i="3"/>
  <c r="EB37" i="3"/>
  <c r="EC37" i="3"/>
  <c r="ED37" i="3"/>
  <c r="EE37" i="3"/>
  <c r="EF37" i="3"/>
  <c r="EG37" i="3"/>
  <c r="EH37" i="3"/>
  <c r="EI37" i="3"/>
  <c r="EJ37" i="3"/>
  <c r="EK37" i="3"/>
  <c r="EL37" i="3"/>
  <c r="EM37" i="3"/>
  <c r="EN37" i="3"/>
  <c r="EO37" i="3"/>
  <c r="EP37" i="3"/>
  <c r="EQ37" i="3"/>
  <c r="ER37" i="3"/>
  <c r="ES37" i="3"/>
  <c r="ET37" i="3"/>
  <c r="EU37" i="3"/>
  <c r="EV37" i="3"/>
  <c r="EW37" i="3"/>
  <c r="EX37" i="3"/>
  <c r="EY37" i="3"/>
  <c r="EZ37" i="3"/>
  <c r="FA37" i="3"/>
  <c r="FB37" i="3"/>
  <c r="FC37" i="3"/>
  <c r="FD37" i="3"/>
  <c r="FE37" i="3"/>
  <c r="FF37" i="3"/>
  <c r="FG37" i="3"/>
  <c r="FH37" i="3"/>
  <c r="FI37" i="3"/>
  <c r="FJ37" i="3"/>
  <c r="FK37" i="3"/>
  <c r="FL37" i="3"/>
  <c r="FM37" i="3"/>
  <c r="FN37" i="3"/>
  <c r="FO37" i="3"/>
  <c r="FP37" i="3"/>
  <c r="FQ37" i="3"/>
  <c r="FR37" i="3"/>
  <c r="FS37" i="3"/>
  <c r="FT37" i="3"/>
  <c r="FU37" i="3"/>
  <c r="FV37" i="3"/>
  <c r="FW37" i="3"/>
  <c r="FX37" i="3"/>
  <c r="FY37" i="3"/>
  <c r="FZ37" i="3"/>
  <c r="GA37" i="3"/>
  <c r="GB37" i="3"/>
  <c r="GC37" i="3"/>
  <c r="GD37" i="3"/>
  <c r="GE37" i="3"/>
  <c r="GF37" i="3"/>
  <c r="GG37" i="3"/>
  <c r="GH37" i="3"/>
  <c r="GI37" i="3"/>
  <c r="GJ37" i="3"/>
  <c r="GK37" i="3"/>
  <c r="GL37" i="3"/>
  <c r="GM37" i="3"/>
  <c r="GN37" i="3"/>
  <c r="GO37" i="3"/>
  <c r="GP37" i="3"/>
  <c r="GQ37" i="3"/>
  <c r="GR37" i="3"/>
  <c r="GS37" i="3"/>
  <c r="GT37" i="3"/>
  <c r="GU37" i="3"/>
  <c r="GV37" i="3"/>
  <c r="GW37" i="3"/>
  <c r="GX37" i="3"/>
  <c r="GY37" i="3"/>
  <c r="GZ37" i="3"/>
  <c r="HA37" i="3"/>
  <c r="HB37" i="3"/>
  <c r="HC37" i="3"/>
  <c r="HD37" i="3"/>
  <c r="HE37" i="3"/>
  <c r="HF37" i="3"/>
  <c r="HG37" i="3"/>
  <c r="HH37" i="3"/>
  <c r="HI37" i="3"/>
  <c r="HJ37" i="3"/>
  <c r="HK37" i="3"/>
  <c r="HL37" i="3"/>
  <c r="HM37" i="3"/>
  <c r="HN37" i="3"/>
  <c r="HO37" i="3"/>
  <c r="HP37" i="3"/>
  <c r="HQ37" i="3"/>
  <c r="HR37" i="3"/>
  <c r="HS37" i="3"/>
  <c r="HT37" i="3"/>
  <c r="HU37" i="3"/>
  <c r="HV37" i="3"/>
  <c r="HW37" i="3"/>
  <c r="HX37" i="3"/>
  <c r="HY37" i="3"/>
  <c r="HZ37" i="3"/>
  <c r="IA37" i="3"/>
  <c r="IB37" i="3"/>
  <c r="IC37" i="3"/>
  <c r="ID37" i="3"/>
  <c r="IE37" i="3"/>
  <c r="IF37" i="3"/>
  <c r="IG37" i="3"/>
  <c r="IH37" i="3"/>
  <c r="II37" i="3"/>
  <c r="IJ37" i="3"/>
  <c r="IK37" i="3"/>
  <c r="IL37" i="3"/>
  <c r="IM37" i="3"/>
  <c r="IN37" i="3"/>
  <c r="IO37" i="3"/>
  <c r="IP37" i="3"/>
  <c r="IQ37" i="3"/>
  <c r="IR37" i="3"/>
  <c r="IS37" i="3"/>
  <c r="IT37" i="3"/>
  <c r="IU37" i="3"/>
  <c r="IV37" i="3"/>
  <c r="A36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D36" i="3"/>
  <c r="CE36" i="3"/>
  <c r="CF36" i="3"/>
  <c r="CG36" i="3"/>
  <c r="CH36" i="3"/>
  <c r="CI36" i="3"/>
  <c r="CJ36" i="3"/>
  <c r="CK36" i="3"/>
  <c r="CL36" i="3"/>
  <c r="CM36" i="3"/>
  <c r="CN36" i="3"/>
  <c r="CO36" i="3"/>
  <c r="CP36" i="3"/>
  <c r="CQ36" i="3"/>
  <c r="CR36" i="3"/>
  <c r="CS36" i="3"/>
  <c r="CT36" i="3"/>
  <c r="CU36" i="3"/>
  <c r="CV36" i="3"/>
  <c r="CW36" i="3"/>
  <c r="CX36" i="3"/>
  <c r="CY36" i="3"/>
  <c r="CZ36" i="3"/>
  <c r="DA36" i="3"/>
  <c r="DB36" i="3"/>
  <c r="DC36" i="3"/>
  <c r="DD36" i="3"/>
  <c r="DE36" i="3"/>
  <c r="DF36" i="3"/>
  <c r="DG36" i="3"/>
  <c r="DH36" i="3"/>
  <c r="DI36" i="3"/>
  <c r="DJ36" i="3"/>
  <c r="DK36" i="3"/>
  <c r="DL36" i="3"/>
  <c r="DM36" i="3"/>
  <c r="DN36" i="3"/>
  <c r="DO36" i="3"/>
  <c r="DP36" i="3"/>
  <c r="DQ36" i="3"/>
  <c r="DR36" i="3"/>
  <c r="DS36" i="3"/>
  <c r="DT36" i="3"/>
  <c r="DU36" i="3"/>
  <c r="DV36" i="3"/>
  <c r="DW36" i="3"/>
  <c r="DX36" i="3"/>
  <c r="DY36" i="3"/>
  <c r="DZ36" i="3"/>
  <c r="EA36" i="3"/>
  <c r="EB36" i="3"/>
  <c r="EC36" i="3"/>
  <c r="ED36" i="3"/>
  <c r="EE36" i="3"/>
  <c r="EF36" i="3"/>
  <c r="EG36" i="3"/>
  <c r="EH36" i="3"/>
  <c r="EI36" i="3"/>
  <c r="EJ36" i="3"/>
  <c r="EK36" i="3"/>
  <c r="EL36" i="3"/>
  <c r="EM36" i="3"/>
  <c r="EN36" i="3"/>
  <c r="EO36" i="3"/>
  <c r="EP36" i="3"/>
  <c r="EQ36" i="3"/>
  <c r="ER36" i="3"/>
  <c r="ES36" i="3"/>
  <c r="ET36" i="3"/>
  <c r="EU36" i="3"/>
  <c r="EV36" i="3"/>
  <c r="EW36" i="3"/>
  <c r="EX36" i="3"/>
  <c r="EY36" i="3"/>
  <c r="EZ36" i="3"/>
  <c r="FA36" i="3"/>
  <c r="FB36" i="3"/>
  <c r="FC36" i="3"/>
  <c r="FD36" i="3"/>
  <c r="FE36" i="3"/>
  <c r="FF36" i="3"/>
  <c r="FG36" i="3"/>
  <c r="FH36" i="3"/>
  <c r="FI36" i="3"/>
  <c r="FJ36" i="3"/>
  <c r="FK36" i="3"/>
  <c r="FL36" i="3"/>
  <c r="FM36" i="3"/>
  <c r="FN36" i="3"/>
  <c r="FO36" i="3"/>
  <c r="FP36" i="3"/>
  <c r="FQ36" i="3"/>
  <c r="FR36" i="3"/>
  <c r="FS36" i="3"/>
  <c r="FT36" i="3"/>
  <c r="FU36" i="3"/>
  <c r="FV36" i="3"/>
  <c r="FW36" i="3"/>
  <c r="FX36" i="3"/>
  <c r="FY36" i="3"/>
  <c r="FZ36" i="3"/>
  <c r="GA36" i="3"/>
  <c r="GB36" i="3"/>
  <c r="GC36" i="3"/>
  <c r="GD36" i="3"/>
  <c r="GE36" i="3"/>
  <c r="GF36" i="3"/>
  <c r="GG36" i="3"/>
  <c r="GH36" i="3"/>
  <c r="GI36" i="3"/>
  <c r="GJ36" i="3"/>
  <c r="GK36" i="3"/>
  <c r="GL36" i="3"/>
  <c r="GM36" i="3"/>
  <c r="GN36" i="3"/>
  <c r="GO36" i="3"/>
  <c r="GP36" i="3"/>
  <c r="GQ36" i="3"/>
  <c r="GR36" i="3"/>
  <c r="GS36" i="3"/>
  <c r="GT36" i="3"/>
  <c r="GU36" i="3"/>
  <c r="GV36" i="3"/>
  <c r="GW36" i="3"/>
  <c r="GX36" i="3"/>
  <c r="GY36" i="3"/>
  <c r="GZ36" i="3"/>
  <c r="HA36" i="3"/>
  <c r="HB36" i="3"/>
  <c r="HC36" i="3"/>
  <c r="HD36" i="3"/>
  <c r="HE36" i="3"/>
  <c r="HF36" i="3"/>
  <c r="HG36" i="3"/>
  <c r="HH36" i="3"/>
  <c r="HI36" i="3"/>
  <c r="HJ36" i="3"/>
  <c r="HK36" i="3"/>
  <c r="HL36" i="3"/>
  <c r="HM36" i="3"/>
  <c r="HN36" i="3"/>
  <c r="HO36" i="3"/>
  <c r="HP36" i="3"/>
  <c r="HQ36" i="3"/>
  <c r="HR36" i="3"/>
  <c r="HS36" i="3"/>
  <c r="HT36" i="3"/>
  <c r="HU36" i="3"/>
  <c r="HV36" i="3"/>
  <c r="HW36" i="3"/>
  <c r="HX36" i="3"/>
  <c r="HY36" i="3"/>
  <c r="HZ36" i="3"/>
  <c r="IA36" i="3"/>
  <c r="IB36" i="3"/>
  <c r="IC36" i="3"/>
  <c r="ID36" i="3"/>
  <c r="IE36" i="3"/>
  <c r="IF36" i="3"/>
  <c r="IG36" i="3"/>
  <c r="IH36" i="3"/>
  <c r="II36" i="3"/>
  <c r="IJ36" i="3"/>
  <c r="IK36" i="3"/>
  <c r="IL36" i="3"/>
  <c r="IM36" i="3"/>
  <c r="IN36" i="3"/>
  <c r="IO36" i="3"/>
  <c r="IP36" i="3"/>
  <c r="IQ36" i="3"/>
  <c r="IR36" i="3"/>
  <c r="IS36" i="3"/>
  <c r="IT36" i="3"/>
  <c r="IU36" i="3"/>
  <c r="IV36" i="3"/>
  <c r="A35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D35" i="3"/>
  <c r="CE35" i="3"/>
  <c r="CF35" i="3"/>
  <c r="CG35" i="3"/>
  <c r="CH35" i="3"/>
  <c r="CI35" i="3"/>
  <c r="CJ35" i="3"/>
  <c r="CK35" i="3"/>
  <c r="CL35" i="3"/>
  <c r="CM35" i="3"/>
  <c r="CN35" i="3"/>
  <c r="CO35" i="3"/>
  <c r="CP35" i="3"/>
  <c r="CQ35" i="3"/>
  <c r="CR35" i="3"/>
  <c r="CS35" i="3"/>
  <c r="CT35" i="3"/>
  <c r="CU35" i="3"/>
  <c r="CV35" i="3"/>
  <c r="CW35" i="3"/>
  <c r="CX35" i="3"/>
  <c r="CY35" i="3"/>
  <c r="CZ35" i="3"/>
  <c r="DA35" i="3"/>
  <c r="DB35" i="3"/>
  <c r="DC35" i="3"/>
  <c r="DD35" i="3"/>
  <c r="DE35" i="3"/>
  <c r="DF35" i="3"/>
  <c r="DG35" i="3"/>
  <c r="DH35" i="3"/>
  <c r="DI35" i="3"/>
  <c r="DJ35" i="3"/>
  <c r="DK35" i="3"/>
  <c r="DL35" i="3"/>
  <c r="DM35" i="3"/>
  <c r="DN35" i="3"/>
  <c r="DO35" i="3"/>
  <c r="DP35" i="3"/>
  <c r="DQ35" i="3"/>
  <c r="DR35" i="3"/>
  <c r="DS35" i="3"/>
  <c r="DT35" i="3"/>
  <c r="DU35" i="3"/>
  <c r="DV35" i="3"/>
  <c r="DW35" i="3"/>
  <c r="DX35" i="3"/>
  <c r="DY35" i="3"/>
  <c r="DZ35" i="3"/>
  <c r="EA35" i="3"/>
  <c r="EB35" i="3"/>
  <c r="EC35" i="3"/>
  <c r="ED35" i="3"/>
  <c r="EE35" i="3"/>
  <c r="EF35" i="3"/>
  <c r="EG35" i="3"/>
  <c r="EH35" i="3"/>
  <c r="EI35" i="3"/>
  <c r="EJ35" i="3"/>
  <c r="EK35" i="3"/>
  <c r="EL35" i="3"/>
  <c r="EM35" i="3"/>
  <c r="EN35" i="3"/>
  <c r="EO35" i="3"/>
  <c r="EP35" i="3"/>
  <c r="EQ35" i="3"/>
  <c r="ER35" i="3"/>
  <c r="ES35" i="3"/>
  <c r="ET35" i="3"/>
  <c r="EU35" i="3"/>
  <c r="EV35" i="3"/>
  <c r="EW35" i="3"/>
  <c r="EX35" i="3"/>
  <c r="EY35" i="3"/>
  <c r="EZ35" i="3"/>
  <c r="FA35" i="3"/>
  <c r="FB35" i="3"/>
  <c r="FC35" i="3"/>
  <c r="FD35" i="3"/>
  <c r="FE35" i="3"/>
  <c r="FF35" i="3"/>
  <c r="FG35" i="3"/>
  <c r="FH35" i="3"/>
  <c r="FI35" i="3"/>
  <c r="FJ35" i="3"/>
  <c r="FK35" i="3"/>
  <c r="FL35" i="3"/>
  <c r="FM35" i="3"/>
  <c r="FN35" i="3"/>
  <c r="FO35" i="3"/>
  <c r="FP35" i="3"/>
  <c r="FQ35" i="3"/>
  <c r="FR35" i="3"/>
  <c r="FS35" i="3"/>
  <c r="FT35" i="3"/>
  <c r="FU35" i="3"/>
  <c r="FV35" i="3"/>
  <c r="FW35" i="3"/>
  <c r="FX35" i="3"/>
  <c r="FY35" i="3"/>
  <c r="FZ35" i="3"/>
  <c r="GA35" i="3"/>
  <c r="GB35" i="3"/>
  <c r="GC35" i="3"/>
  <c r="GD35" i="3"/>
  <c r="GE35" i="3"/>
  <c r="GF35" i="3"/>
  <c r="GG35" i="3"/>
  <c r="GH35" i="3"/>
  <c r="GI35" i="3"/>
  <c r="GJ35" i="3"/>
  <c r="GK35" i="3"/>
  <c r="GL35" i="3"/>
  <c r="GM35" i="3"/>
  <c r="GN35" i="3"/>
  <c r="GO35" i="3"/>
  <c r="GP35" i="3"/>
  <c r="GQ35" i="3"/>
  <c r="GR35" i="3"/>
  <c r="GS35" i="3"/>
  <c r="GT35" i="3"/>
  <c r="GU35" i="3"/>
  <c r="GV35" i="3"/>
  <c r="GW35" i="3"/>
  <c r="GX35" i="3"/>
  <c r="GY35" i="3"/>
  <c r="GZ35" i="3"/>
  <c r="HA35" i="3"/>
  <c r="HB35" i="3"/>
  <c r="HC35" i="3"/>
  <c r="HD35" i="3"/>
  <c r="HE35" i="3"/>
  <c r="HF35" i="3"/>
  <c r="HG35" i="3"/>
  <c r="HH35" i="3"/>
  <c r="HI35" i="3"/>
  <c r="HJ35" i="3"/>
  <c r="HK35" i="3"/>
  <c r="HL35" i="3"/>
  <c r="HM35" i="3"/>
  <c r="HN35" i="3"/>
  <c r="HO35" i="3"/>
  <c r="HP35" i="3"/>
  <c r="HQ35" i="3"/>
  <c r="HR35" i="3"/>
  <c r="HS35" i="3"/>
  <c r="HT35" i="3"/>
  <c r="HU35" i="3"/>
  <c r="HV35" i="3"/>
  <c r="HW35" i="3"/>
  <c r="HX35" i="3"/>
  <c r="HY35" i="3"/>
  <c r="HZ35" i="3"/>
  <c r="IA35" i="3"/>
  <c r="IB35" i="3"/>
  <c r="IC35" i="3"/>
  <c r="ID35" i="3"/>
  <c r="IE35" i="3"/>
  <c r="IF35" i="3"/>
  <c r="IG35" i="3"/>
  <c r="IH35" i="3"/>
  <c r="II35" i="3"/>
  <c r="IJ35" i="3"/>
  <c r="IK35" i="3"/>
  <c r="IL35" i="3"/>
  <c r="IM35" i="3"/>
  <c r="IN35" i="3"/>
  <c r="IO35" i="3"/>
  <c r="IP35" i="3"/>
  <c r="IQ35" i="3"/>
  <c r="IR35" i="3"/>
  <c r="IS35" i="3"/>
  <c r="IT35" i="3"/>
  <c r="IU35" i="3"/>
  <c r="IV35" i="3"/>
  <c r="A34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D34" i="3"/>
  <c r="CE34" i="3"/>
  <c r="CF34" i="3"/>
  <c r="CG34" i="3"/>
  <c r="CH34" i="3"/>
  <c r="CI34" i="3"/>
  <c r="CJ34" i="3"/>
  <c r="CK34" i="3"/>
  <c r="CL34" i="3"/>
  <c r="CM34" i="3"/>
  <c r="CN34" i="3"/>
  <c r="CO34" i="3"/>
  <c r="CP34" i="3"/>
  <c r="CQ34" i="3"/>
  <c r="CR34" i="3"/>
  <c r="CS34" i="3"/>
  <c r="CT34" i="3"/>
  <c r="CU34" i="3"/>
  <c r="CV34" i="3"/>
  <c r="CW34" i="3"/>
  <c r="CX34" i="3"/>
  <c r="CY34" i="3"/>
  <c r="CZ34" i="3"/>
  <c r="DA34" i="3"/>
  <c r="DB34" i="3"/>
  <c r="DC34" i="3"/>
  <c r="DD34" i="3"/>
  <c r="DE34" i="3"/>
  <c r="DF34" i="3"/>
  <c r="DG34" i="3"/>
  <c r="DH34" i="3"/>
  <c r="DI34" i="3"/>
  <c r="DJ34" i="3"/>
  <c r="DK34" i="3"/>
  <c r="DL34" i="3"/>
  <c r="DM34" i="3"/>
  <c r="DN34" i="3"/>
  <c r="DO34" i="3"/>
  <c r="DP34" i="3"/>
  <c r="DQ34" i="3"/>
  <c r="DR34" i="3"/>
  <c r="DS34" i="3"/>
  <c r="DT34" i="3"/>
  <c r="DU34" i="3"/>
  <c r="DV34" i="3"/>
  <c r="DW34" i="3"/>
  <c r="DX34" i="3"/>
  <c r="DY34" i="3"/>
  <c r="DZ34" i="3"/>
  <c r="EA34" i="3"/>
  <c r="EB34" i="3"/>
  <c r="EC34" i="3"/>
  <c r="ED34" i="3"/>
  <c r="EE34" i="3"/>
  <c r="EF34" i="3"/>
  <c r="EG34" i="3"/>
  <c r="EH34" i="3"/>
  <c r="EI34" i="3"/>
  <c r="EJ34" i="3"/>
  <c r="EK34" i="3"/>
  <c r="EL34" i="3"/>
  <c r="EM34" i="3"/>
  <c r="EN34" i="3"/>
  <c r="EO34" i="3"/>
  <c r="EP34" i="3"/>
  <c r="EQ34" i="3"/>
  <c r="ER34" i="3"/>
  <c r="ES34" i="3"/>
  <c r="ET34" i="3"/>
  <c r="EU34" i="3"/>
  <c r="EV34" i="3"/>
  <c r="EW34" i="3"/>
  <c r="EX34" i="3"/>
  <c r="EY34" i="3"/>
  <c r="EZ34" i="3"/>
  <c r="FA34" i="3"/>
  <c r="FB34" i="3"/>
  <c r="FC34" i="3"/>
  <c r="FD34" i="3"/>
  <c r="FE34" i="3"/>
  <c r="FF34" i="3"/>
  <c r="FG34" i="3"/>
  <c r="FH34" i="3"/>
  <c r="FI34" i="3"/>
  <c r="FJ34" i="3"/>
  <c r="FK34" i="3"/>
  <c r="FL34" i="3"/>
  <c r="FM34" i="3"/>
  <c r="FN34" i="3"/>
  <c r="FO34" i="3"/>
  <c r="FP34" i="3"/>
  <c r="FQ34" i="3"/>
  <c r="FR34" i="3"/>
  <c r="FS34" i="3"/>
  <c r="FT34" i="3"/>
  <c r="FU34" i="3"/>
  <c r="FV34" i="3"/>
  <c r="FW34" i="3"/>
  <c r="FX34" i="3"/>
  <c r="FY34" i="3"/>
  <c r="FZ34" i="3"/>
  <c r="GA34" i="3"/>
  <c r="GB34" i="3"/>
  <c r="GC34" i="3"/>
  <c r="GD34" i="3"/>
  <c r="GE34" i="3"/>
  <c r="GF34" i="3"/>
  <c r="GG34" i="3"/>
  <c r="GH34" i="3"/>
  <c r="GI34" i="3"/>
  <c r="GJ34" i="3"/>
  <c r="GK34" i="3"/>
  <c r="GL34" i="3"/>
  <c r="GM34" i="3"/>
  <c r="GN34" i="3"/>
  <c r="GO34" i="3"/>
  <c r="GP34" i="3"/>
  <c r="GQ34" i="3"/>
  <c r="GR34" i="3"/>
  <c r="GS34" i="3"/>
  <c r="GT34" i="3"/>
  <c r="GU34" i="3"/>
  <c r="GV34" i="3"/>
  <c r="GW34" i="3"/>
  <c r="GX34" i="3"/>
  <c r="GY34" i="3"/>
  <c r="GZ34" i="3"/>
  <c r="HA34" i="3"/>
  <c r="HB34" i="3"/>
  <c r="HC34" i="3"/>
  <c r="HD34" i="3"/>
  <c r="HE34" i="3"/>
  <c r="HF34" i="3"/>
  <c r="HG34" i="3"/>
  <c r="HH34" i="3"/>
  <c r="HI34" i="3"/>
  <c r="HJ34" i="3"/>
  <c r="HK34" i="3"/>
  <c r="HL34" i="3"/>
  <c r="HM34" i="3"/>
  <c r="HN34" i="3"/>
  <c r="HO34" i="3"/>
  <c r="HP34" i="3"/>
  <c r="HQ34" i="3"/>
  <c r="HR34" i="3"/>
  <c r="HS34" i="3"/>
  <c r="HT34" i="3"/>
  <c r="HU34" i="3"/>
  <c r="HV34" i="3"/>
  <c r="HW34" i="3"/>
  <c r="HX34" i="3"/>
  <c r="HY34" i="3"/>
  <c r="HZ34" i="3"/>
  <c r="IA34" i="3"/>
  <c r="IB34" i="3"/>
  <c r="IC34" i="3"/>
  <c r="ID34" i="3"/>
  <c r="IE34" i="3"/>
  <c r="IF34" i="3"/>
  <c r="IG34" i="3"/>
  <c r="IH34" i="3"/>
  <c r="II34" i="3"/>
  <c r="IJ34" i="3"/>
  <c r="IK34" i="3"/>
  <c r="IL34" i="3"/>
  <c r="IM34" i="3"/>
  <c r="IN34" i="3"/>
  <c r="IO34" i="3"/>
  <c r="IP34" i="3"/>
  <c r="IQ34" i="3"/>
  <c r="IR34" i="3"/>
  <c r="IS34" i="3"/>
  <c r="IT34" i="3"/>
  <c r="IU34" i="3"/>
  <c r="IV34" i="3"/>
  <c r="A33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D33" i="3"/>
  <c r="CE33" i="3"/>
  <c r="CF33" i="3"/>
  <c r="CG33" i="3"/>
  <c r="CH33" i="3"/>
  <c r="CI33" i="3"/>
  <c r="CJ33" i="3"/>
  <c r="CK33" i="3"/>
  <c r="CL33" i="3"/>
  <c r="CM33" i="3"/>
  <c r="CN33" i="3"/>
  <c r="CO33" i="3"/>
  <c r="CP33" i="3"/>
  <c r="CQ33" i="3"/>
  <c r="CR33" i="3"/>
  <c r="CS33" i="3"/>
  <c r="CT33" i="3"/>
  <c r="CU33" i="3"/>
  <c r="CV33" i="3"/>
  <c r="CW33" i="3"/>
  <c r="CX33" i="3"/>
  <c r="CY33" i="3"/>
  <c r="CZ33" i="3"/>
  <c r="DA33" i="3"/>
  <c r="DB33" i="3"/>
  <c r="DC33" i="3"/>
  <c r="DD33" i="3"/>
  <c r="DE33" i="3"/>
  <c r="DF33" i="3"/>
  <c r="DG33" i="3"/>
  <c r="DH33" i="3"/>
  <c r="DI33" i="3"/>
  <c r="DJ33" i="3"/>
  <c r="DK33" i="3"/>
  <c r="DL33" i="3"/>
  <c r="DM33" i="3"/>
  <c r="DN33" i="3"/>
  <c r="DO33" i="3"/>
  <c r="DP33" i="3"/>
  <c r="DQ33" i="3"/>
  <c r="DR33" i="3"/>
  <c r="DS33" i="3"/>
  <c r="DT33" i="3"/>
  <c r="DU33" i="3"/>
  <c r="DV33" i="3"/>
  <c r="DW33" i="3"/>
  <c r="DX33" i="3"/>
  <c r="DY33" i="3"/>
  <c r="DZ33" i="3"/>
  <c r="EA33" i="3"/>
  <c r="EB33" i="3"/>
  <c r="EC33" i="3"/>
  <c r="ED33" i="3"/>
  <c r="EE33" i="3"/>
  <c r="EF33" i="3"/>
  <c r="EG33" i="3"/>
  <c r="EH33" i="3"/>
  <c r="EI33" i="3"/>
  <c r="EJ33" i="3"/>
  <c r="EK33" i="3"/>
  <c r="EL33" i="3"/>
  <c r="EM33" i="3"/>
  <c r="EN33" i="3"/>
  <c r="EO33" i="3"/>
  <c r="EP33" i="3"/>
  <c r="EQ33" i="3"/>
  <c r="ER33" i="3"/>
  <c r="ES33" i="3"/>
  <c r="ET33" i="3"/>
  <c r="EU33" i="3"/>
  <c r="EV33" i="3"/>
  <c r="EW33" i="3"/>
  <c r="EX33" i="3"/>
  <c r="EY33" i="3"/>
  <c r="EZ33" i="3"/>
  <c r="FA33" i="3"/>
  <c r="FB33" i="3"/>
  <c r="FC33" i="3"/>
  <c r="FD33" i="3"/>
  <c r="FE33" i="3"/>
  <c r="FF33" i="3"/>
  <c r="FG33" i="3"/>
  <c r="FH33" i="3"/>
  <c r="FI33" i="3"/>
  <c r="FJ33" i="3"/>
  <c r="FK33" i="3"/>
  <c r="FL33" i="3"/>
  <c r="FM33" i="3"/>
  <c r="FN33" i="3"/>
  <c r="FO33" i="3"/>
  <c r="FP33" i="3"/>
  <c r="FQ33" i="3"/>
  <c r="FR33" i="3"/>
  <c r="FS33" i="3"/>
  <c r="FT33" i="3"/>
  <c r="FU33" i="3"/>
  <c r="FV33" i="3"/>
  <c r="FW33" i="3"/>
  <c r="FX33" i="3"/>
  <c r="FY33" i="3"/>
  <c r="FZ33" i="3"/>
  <c r="GA33" i="3"/>
  <c r="GB33" i="3"/>
  <c r="GC33" i="3"/>
  <c r="GD33" i="3"/>
  <c r="GE33" i="3"/>
  <c r="GF33" i="3"/>
  <c r="GG33" i="3"/>
  <c r="GH33" i="3"/>
  <c r="GI33" i="3"/>
  <c r="GJ33" i="3"/>
  <c r="GK33" i="3"/>
  <c r="GL33" i="3"/>
  <c r="GM33" i="3"/>
  <c r="GN33" i="3"/>
  <c r="GO33" i="3"/>
  <c r="GP33" i="3"/>
  <c r="GQ33" i="3"/>
  <c r="GR33" i="3"/>
  <c r="GS33" i="3"/>
  <c r="GT33" i="3"/>
  <c r="GU33" i="3"/>
  <c r="GV33" i="3"/>
  <c r="GW33" i="3"/>
  <c r="GX33" i="3"/>
  <c r="GY33" i="3"/>
  <c r="GZ33" i="3"/>
  <c r="HA33" i="3"/>
  <c r="HB33" i="3"/>
  <c r="HC33" i="3"/>
  <c r="HD33" i="3"/>
  <c r="HE33" i="3"/>
  <c r="HF33" i="3"/>
  <c r="HG33" i="3"/>
  <c r="HH33" i="3"/>
  <c r="HI33" i="3"/>
  <c r="HJ33" i="3"/>
  <c r="HK33" i="3"/>
  <c r="HL33" i="3"/>
  <c r="HM33" i="3"/>
  <c r="HN33" i="3"/>
  <c r="HO33" i="3"/>
  <c r="HP33" i="3"/>
  <c r="HQ33" i="3"/>
  <c r="HR33" i="3"/>
  <c r="HS33" i="3"/>
  <c r="HT33" i="3"/>
  <c r="HU33" i="3"/>
  <c r="HV33" i="3"/>
  <c r="HW33" i="3"/>
  <c r="HX33" i="3"/>
  <c r="HY33" i="3"/>
  <c r="HZ33" i="3"/>
  <c r="IA33" i="3"/>
  <c r="IB33" i="3"/>
  <c r="IC33" i="3"/>
  <c r="ID33" i="3"/>
  <c r="IE33" i="3"/>
  <c r="IF33" i="3"/>
  <c r="IG33" i="3"/>
  <c r="IH33" i="3"/>
  <c r="II33" i="3"/>
  <c r="IJ33" i="3"/>
  <c r="IK33" i="3"/>
  <c r="IL33" i="3"/>
  <c r="IM33" i="3"/>
  <c r="IN33" i="3"/>
  <c r="IO33" i="3"/>
  <c r="IP33" i="3"/>
  <c r="IQ33" i="3"/>
  <c r="IR33" i="3"/>
  <c r="IS33" i="3"/>
  <c r="IT33" i="3"/>
  <c r="IU33" i="3"/>
  <c r="IV33" i="3"/>
  <c r="A32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D32" i="3"/>
  <c r="CE32" i="3"/>
  <c r="CF32" i="3"/>
  <c r="CG32" i="3"/>
  <c r="CH32" i="3"/>
  <c r="CI32" i="3"/>
  <c r="CJ32" i="3"/>
  <c r="CK32" i="3"/>
  <c r="CL32" i="3"/>
  <c r="CM32" i="3"/>
  <c r="CN32" i="3"/>
  <c r="CO32" i="3"/>
  <c r="CP32" i="3"/>
  <c r="CQ32" i="3"/>
  <c r="CR32" i="3"/>
  <c r="CS32" i="3"/>
  <c r="CT32" i="3"/>
  <c r="CU32" i="3"/>
  <c r="CV32" i="3"/>
  <c r="CW32" i="3"/>
  <c r="CX32" i="3"/>
  <c r="CY32" i="3"/>
  <c r="CZ32" i="3"/>
  <c r="DA32" i="3"/>
  <c r="DB32" i="3"/>
  <c r="DC32" i="3"/>
  <c r="DD32" i="3"/>
  <c r="DE32" i="3"/>
  <c r="DF32" i="3"/>
  <c r="DG32" i="3"/>
  <c r="DH32" i="3"/>
  <c r="DI32" i="3"/>
  <c r="DJ32" i="3"/>
  <c r="DK32" i="3"/>
  <c r="DL32" i="3"/>
  <c r="DM32" i="3"/>
  <c r="DN32" i="3"/>
  <c r="DO32" i="3"/>
  <c r="DP32" i="3"/>
  <c r="DQ32" i="3"/>
  <c r="DR32" i="3"/>
  <c r="DS32" i="3"/>
  <c r="DT32" i="3"/>
  <c r="DU32" i="3"/>
  <c r="DV32" i="3"/>
  <c r="DW32" i="3"/>
  <c r="DX32" i="3"/>
  <c r="DY32" i="3"/>
  <c r="DZ32" i="3"/>
  <c r="EA32" i="3"/>
  <c r="EB32" i="3"/>
  <c r="EC32" i="3"/>
  <c r="ED32" i="3"/>
  <c r="EE32" i="3"/>
  <c r="EF32" i="3"/>
  <c r="EG32" i="3"/>
  <c r="EH32" i="3"/>
  <c r="EI32" i="3"/>
  <c r="EJ32" i="3"/>
  <c r="EK32" i="3"/>
  <c r="EL32" i="3"/>
  <c r="EM32" i="3"/>
  <c r="EN32" i="3"/>
  <c r="EO32" i="3"/>
  <c r="EP32" i="3"/>
  <c r="EQ32" i="3"/>
  <c r="ER32" i="3"/>
  <c r="ES32" i="3"/>
  <c r="ET32" i="3"/>
  <c r="EU32" i="3"/>
  <c r="EV32" i="3"/>
  <c r="EW32" i="3"/>
  <c r="EX32" i="3"/>
  <c r="EY32" i="3"/>
  <c r="EZ32" i="3"/>
  <c r="FA32" i="3"/>
  <c r="FB32" i="3"/>
  <c r="FC32" i="3"/>
  <c r="FD32" i="3"/>
  <c r="FE32" i="3"/>
  <c r="FF32" i="3"/>
  <c r="FG32" i="3"/>
  <c r="FH32" i="3"/>
  <c r="FI32" i="3"/>
  <c r="FJ32" i="3"/>
  <c r="FK32" i="3"/>
  <c r="FL32" i="3"/>
  <c r="FM32" i="3"/>
  <c r="FN32" i="3"/>
  <c r="FO32" i="3"/>
  <c r="FP32" i="3"/>
  <c r="FQ32" i="3"/>
  <c r="FR32" i="3"/>
  <c r="FS32" i="3"/>
  <c r="FT32" i="3"/>
  <c r="FU32" i="3"/>
  <c r="FV32" i="3"/>
  <c r="FW32" i="3"/>
  <c r="FX32" i="3"/>
  <c r="FY32" i="3"/>
  <c r="FZ32" i="3"/>
  <c r="GA32" i="3"/>
  <c r="GB32" i="3"/>
  <c r="GC32" i="3"/>
  <c r="GD32" i="3"/>
  <c r="GE32" i="3"/>
  <c r="GF32" i="3"/>
  <c r="GG32" i="3"/>
  <c r="GH32" i="3"/>
  <c r="GI32" i="3"/>
  <c r="GJ32" i="3"/>
  <c r="GK32" i="3"/>
  <c r="GL32" i="3"/>
  <c r="GM32" i="3"/>
  <c r="GN32" i="3"/>
  <c r="GO32" i="3"/>
  <c r="GP32" i="3"/>
  <c r="GQ32" i="3"/>
  <c r="GR32" i="3"/>
  <c r="GS32" i="3"/>
  <c r="GT32" i="3"/>
  <c r="GU32" i="3"/>
  <c r="GV32" i="3"/>
  <c r="GW32" i="3"/>
  <c r="GX32" i="3"/>
  <c r="GY32" i="3"/>
  <c r="GZ32" i="3"/>
  <c r="HA32" i="3"/>
  <c r="HB32" i="3"/>
  <c r="HC32" i="3"/>
  <c r="HD32" i="3"/>
  <c r="HE32" i="3"/>
  <c r="HF32" i="3"/>
  <c r="HG32" i="3"/>
  <c r="HH32" i="3"/>
  <c r="HI32" i="3"/>
  <c r="HJ32" i="3"/>
  <c r="HK32" i="3"/>
  <c r="HL32" i="3"/>
  <c r="HM32" i="3"/>
  <c r="HN32" i="3"/>
  <c r="HO32" i="3"/>
  <c r="HP32" i="3"/>
  <c r="HQ32" i="3"/>
  <c r="HR32" i="3"/>
  <c r="HS32" i="3"/>
  <c r="HT32" i="3"/>
  <c r="HU32" i="3"/>
  <c r="HV32" i="3"/>
  <c r="HW32" i="3"/>
  <c r="HX32" i="3"/>
  <c r="HY32" i="3"/>
  <c r="HZ32" i="3"/>
  <c r="IA32" i="3"/>
  <c r="IB32" i="3"/>
  <c r="IC32" i="3"/>
  <c r="ID32" i="3"/>
  <c r="IE32" i="3"/>
  <c r="IF32" i="3"/>
  <c r="IG32" i="3"/>
  <c r="IH32" i="3"/>
  <c r="II32" i="3"/>
  <c r="IJ32" i="3"/>
  <c r="IK32" i="3"/>
  <c r="IL32" i="3"/>
  <c r="IM32" i="3"/>
  <c r="IN32" i="3"/>
  <c r="IO32" i="3"/>
  <c r="IP32" i="3"/>
  <c r="IQ32" i="3"/>
  <c r="IR32" i="3"/>
  <c r="IS32" i="3"/>
  <c r="IT32" i="3"/>
  <c r="IU32" i="3"/>
  <c r="IV32" i="3"/>
  <c r="A31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D31" i="3"/>
  <c r="CE31" i="3"/>
  <c r="CF31" i="3"/>
  <c r="CG31" i="3"/>
  <c r="CH31" i="3"/>
  <c r="CI31" i="3"/>
  <c r="CJ31" i="3"/>
  <c r="CK31" i="3"/>
  <c r="CL31" i="3"/>
  <c r="CM31" i="3"/>
  <c r="CN31" i="3"/>
  <c r="CO31" i="3"/>
  <c r="CP31" i="3"/>
  <c r="CQ31" i="3"/>
  <c r="CR31" i="3"/>
  <c r="CS31" i="3"/>
  <c r="CT31" i="3"/>
  <c r="CU31" i="3"/>
  <c r="CV31" i="3"/>
  <c r="CW31" i="3"/>
  <c r="CX31" i="3"/>
  <c r="CY31" i="3"/>
  <c r="CZ31" i="3"/>
  <c r="DA31" i="3"/>
  <c r="DB31" i="3"/>
  <c r="DC31" i="3"/>
  <c r="DD31" i="3"/>
  <c r="DE31" i="3"/>
  <c r="DF31" i="3"/>
  <c r="DG31" i="3"/>
  <c r="DH31" i="3"/>
  <c r="DI31" i="3"/>
  <c r="DJ31" i="3"/>
  <c r="DK31" i="3"/>
  <c r="DL31" i="3"/>
  <c r="DM31" i="3"/>
  <c r="DN31" i="3"/>
  <c r="DO31" i="3"/>
  <c r="DP31" i="3"/>
  <c r="DQ31" i="3"/>
  <c r="DR31" i="3"/>
  <c r="DS31" i="3"/>
  <c r="DT31" i="3"/>
  <c r="DU31" i="3"/>
  <c r="DV31" i="3"/>
  <c r="DW31" i="3"/>
  <c r="DX31" i="3"/>
  <c r="DY31" i="3"/>
  <c r="DZ31" i="3"/>
  <c r="EA31" i="3"/>
  <c r="EB31" i="3"/>
  <c r="EC31" i="3"/>
  <c r="ED31" i="3"/>
  <c r="EE31" i="3"/>
  <c r="EF31" i="3"/>
  <c r="EG31" i="3"/>
  <c r="EH31" i="3"/>
  <c r="EI31" i="3"/>
  <c r="EJ31" i="3"/>
  <c r="EK31" i="3"/>
  <c r="EL31" i="3"/>
  <c r="EM31" i="3"/>
  <c r="EN31" i="3"/>
  <c r="EO31" i="3"/>
  <c r="EP31" i="3"/>
  <c r="EQ31" i="3"/>
  <c r="ER31" i="3"/>
  <c r="ES31" i="3"/>
  <c r="ET31" i="3"/>
  <c r="EU31" i="3"/>
  <c r="EV31" i="3"/>
  <c r="EW31" i="3"/>
  <c r="EX31" i="3"/>
  <c r="EY31" i="3"/>
  <c r="EZ31" i="3"/>
  <c r="FA31" i="3"/>
  <c r="FB31" i="3"/>
  <c r="FC31" i="3"/>
  <c r="FD31" i="3"/>
  <c r="FE31" i="3"/>
  <c r="FF31" i="3"/>
  <c r="FG31" i="3"/>
  <c r="FH31" i="3"/>
  <c r="FI31" i="3"/>
  <c r="FJ31" i="3"/>
  <c r="FK31" i="3"/>
  <c r="FL31" i="3"/>
  <c r="FM31" i="3"/>
  <c r="FN31" i="3"/>
  <c r="FO31" i="3"/>
  <c r="FP31" i="3"/>
  <c r="FQ31" i="3"/>
  <c r="FR31" i="3"/>
  <c r="FS31" i="3"/>
  <c r="FT31" i="3"/>
  <c r="FU31" i="3"/>
  <c r="FV31" i="3"/>
  <c r="FW31" i="3"/>
  <c r="FX31" i="3"/>
  <c r="FY31" i="3"/>
  <c r="FZ31" i="3"/>
  <c r="GA31" i="3"/>
  <c r="GB31" i="3"/>
  <c r="GC31" i="3"/>
  <c r="GD31" i="3"/>
  <c r="GE31" i="3"/>
  <c r="GF31" i="3"/>
  <c r="GG31" i="3"/>
  <c r="GH31" i="3"/>
  <c r="GI31" i="3"/>
  <c r="GJ31" i="3"/>
  <c r="GK31" i="3"/>
  <c r="GL31" i="3"/>
  <c r="GM31" i="3"/>
  <c r="GN31" i="3"/>
  <c r="GO31" i="3"/>
  <c r="GP31" i="3"/>
  <c r="GQ31" i="3"/>
  <c r="GR31" i="3"/>
  <c r="GS31" i="3"/>
  <c r="GT31" i="3"/>
  <c r="GU31" i="3"/>
  <c r="GV31" i="3"/>
  <c r="GW31" i="3"/>
  <c r="GX31" i="3"/>
  <c r="GY31" i="3"/>
  <c r="GZ31" i="3"/>
  <c r="HA31" i="3"/>
  <c r="HB31" i="3"/>
  <c r="HC31" i="3"/>
  <c r="HD31" i="3"/>
  <c r="HE31" i="3"/>
  <c r="HF31" i="3"/>
  <c r="HG31" i="3"/>
  <c r="HH31" i="3"/>
  <c r="HI31" i="3"/>
  <c r="HJ31" i="3"/>
  <c r="HK31" i="3"/>
  <c r="HL31" i="3"/>
  <c r="HM31" i="3"/>
  <c r="HN31" i="3"/>
  <c r="HO31" i="3"/>
  <c r="HP31" i="3"/>
  <c r="HQ31" i="3"/>
  <c r="HR31" i="3"/>
  <c r="HS31" i="3"/>
  <c r="HT31" i="3"/>
  <c r="HU31" i="3"/>
  <c r="HV31" i="3"/>
  <c r="HW31" i="3"/>
  <c r="HX31" i="3"/>
  <c r="HY31" i="3"/>
  <c r="HZ31" i="3"/>
  <c r="IA31" i="3"/>
  <c r="IB31" i="3"/>
  <c r="IC31" i="3"/>
  <c r="ID31" i="3"/>
  <c r="IE31" i="3"/>
  <c r="IF31" i="3"/>
  <c r="IG31" i="3"/>
  <c r="IH31" i="3"/>
  <c r="II31" i="3"/>
  <c r="IJ31" i="3"/>
  <c r="IK31" i="3"/>
  <c r="IL31" i="3"/>
  <c r="IM31" i="3"/>
  <c r="IN31" i="3"/>
  <c r="IO31" i="3"/>
  <c r="IP31" i="3"/>
  <c r="IQ31" i="3"/>
  <c r="IR31" i="3"/>
  <c r="IS31" i="3"/>
  <c r="IT31" i="3"/>
  <c r="IU31" i="3"/>
  <c r="IV31" i="3"/>
  <c r="A30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D30" i="3"/>
  <c r="CE30" i="3"/>
  <c r="CF30" i="3"/>
  <c r="CG30" i="3"/>
  <c r="CH30" i="3"/>
  <c r="CI30" i="3"/>
  <c r="CJ30" i="3"/>
  <c r="CK30" i="3"/>
  <c r="CL30" i="3"/>
  <c r="CM30" i="3"/>
  <c r="CN30" i="3"/>
  <c r="CO30" i="3"/>
  <c r="CP30" i="3"/>
  <c r="CQ30" i="3"/>
  <c r="CR30" i="3"/>
  <c r="CS30" i="3"/>
  <c r="CT30" i="3"/>
  <c r="CU30" i="3"/>
  <c r="CV30" i="3"/>
  <c r="CW30" i="3"/>
  <c r="CX30" i="3"/>
  <c r="CY30" i="3"/>
  <c r="CZ30" i="3"/>
  <c r="DA30" i="3"/>
  <c r="DB30" i="3"/>
  <c r="DC30" i="3"/>
  <c r="DD30" i="3"/>
  <c r="DE30" i="3"/>
  <c r="DF30" i="3"/>
  <c r="DG30" i="3"/>
  <c r="DH30" i="3"/>
  <c r="DI30" i="3"/>
  <c r="DJ30" i="3"/>
  <c r="DK30" i="3"/>
  <c r="DL30" i="3"/>
  <c r="DM30" i="3"/>
  <c r="DN30" i="3"/>
  <c r="DO30" i="3"/>
  <c r="DP30" i="3"/>
  <c r="DQ30" i="3"/>
  <c r="DR30" i="3"/>
  <c r="DS30" i="3"/>
  <c r="DT30" i="3"/>
  <c r="DU30" i="3"/>
  <c r="DV30" i="3"/>
  <c r="DW30" i="3"/>
  <c r="DX30" i="3"/>
  <c r="DY30" i="3"/>
  <c r="DZ30" i="3"/>
  <c r="EA30" i="3"/>
  <c r="EB30" i="3"/>
  <c r="EC30" i="3"/>
  <c r="ED30" i="3"/>
  <c r="EE30" i="3"/>
  <c r="EF30" i="3"/>
  <c r="EG30" i="3"/>
  <c r="EH30" i="3"/>
  <c r="EI30" i="3"/>
  <c r="EJ30" i="3"/>
  <c r="EK30" i="3"/>
  <c r="EL30" i="3"/>
  <c r="EM30" i="3"/>
  <c r="EN30" i="3"/>
  <c r="EO30" i="3"/>
  <c r="EP30" i="3"/>
  <c r="EQ30" i="3"/>
  <c r="ER30" i="3"/>
  <c r="ES30" i="3"/>
  <c r="ET30" i="3"/>
  <c r="EU30" i="3"/>
  <c r="EV30" i="3"/>
  <c r="EW30" i="3"/>
  <c r="EX30" i="3"/>
  <c r="EY30" i="3"/>
  <c r="EZ30" i="3"/>
  <c r="FA30" i="3"/>
  <c r="FB30" i="3"/>
  <c r="FC30" i="3"/>
  <c r="FD30" i="3"/>
  <c r="FE30" i="3"/>
  <c r="FF30" i="3"/>
  <c r="FG30" i="3"/>
  <c r="FH30" i="3"/>
  <c r="FI30" i="3"/>
  <c r="FJ30" i="3"/>
  <c r="FK30" i="3"/>
  <c r="FL30" i="3"/>
  <c r="FM30" i="3"/>
  <c r="FN30" i="3"/>
  <c r="FO30" i="3"/>
  <c r="FP30" i="3"/>
  <c r="FQ30" i="3"/>
  <c r="FR30" i="3"/>
  <c r="FS30" i="3"/>
  <c r="FT30" i="3"/>
  <c r="FU30" i="3"/>
  <c r="FV30" i="3"/>
  <c r="FW30" i="3"/>
  <c r="FX30" i="3"/>
  <c r="FY30" i="3"/>
  <c r="FZ30" i="3"/>
  <c r="GA30" i="3"/>
  <c r="GB30" i="3"/>
  <c r="GC30" i="3"/>
  <c r="GD30" i="3"/>
  <c r="GE30" i="3"/>
  <c r="GF30" i="3"/>
  <c r="GG30" i="3"/>
  <c r="GH30" i="3"/>
  <c r="GI30" i="3"/>
  <c r="GJ30" i="3"/>
  <c r="GK30" i="3"/>
  <c r="GL30" i="3"/>
  <c r="GM30" i="3"/>
  <c r="GN30" i="3"/>
  <c r="GO30" i="3"/>
  <c r="GP30" i="3"/>
  <c r="GQ30" i="3"/>
  <c r="GR30" i="3"/>
  <c r="GS30" i="3"/>
  <c r="GT30" i="3"/>
  <c r="GU30" i="3"/>
  <c r="GV30" i="3"/>
  <c r="GW30" i="3"/>
  <c r="GX30" i="3"/>
  <c r="GY30" i="3"/>
  <c r="GZ30" i="3"/>
  <c r="HA30" i="3"/>
  <c r="HB30" i="3"/>
  <c r="HC30" i="3"/>
  <c r="HD30" i="3"/>
  <c r="HE30" i="3"/>
  <c r="HF30" i="3"/>
  <c r="HG30" i="3"/>
  <c r="HH30" i="3"/>
  <c r="HI30" i="3"/>
  <c r="HJ30" i="3"/>
  <c r="HK30" i="3"/>
  <c r="HL30" i="3"/>
  <c r="HM30" i="3"/>
  <c r="HN30" i="3"/>
  <c r="HO30" i="3"/>
  <c r="HP30" i="3"/>
  <c r="HQ30" i="3"/>
  <c r="HR30" i="3"/>
  <c r="HS30" i="3"/>
  <c r="HT30" i="3"/>
  <c r="HU30" i="3"/>
  <c r="HV30" i="3"/>
  <c r="HW30" i="3"/>
  <c r="HX30" i="3"/>
  <c r="HY30" i="3"/>
  <c r="HZ30" i="3"/>
  <c r="IA30" i="3"/>
  <c r="IB30" i="3"/>
  <c r="IC30" i="3"/>
  <c r="ID30" i="3"/>
  <c r="IE30" i="3"/>
  <c r="IF30" i="3"/>
  <c r="IG30" i="3"/>
  <c r="IH30" i="3"/>
  <c r="II30" i="3"/>
  <c r="IJ30" i="3"/>
  <c r="IK30" i="3"/>
  <c r="IL30" i="3"/>
  <c r="IM30" i="3"/>
  <c r="IN30" i="3"/>
  <c r="IO30" i="3"/>
  <c r="IP30" i="3"/>
  <c r="IQ30" i="3"/>
  <c r="IR30" i="3"/>
  <c r="IS30" i="3"/>
  <c r="IT30" i="3"/>
  <c r="IU30" i="3"/>
  <c r="IV30" i="3"/>
  <c r="A29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CD29" i="3"/>
  <c r="CE29" i="3"/>
  <c r="CF29" i="3"/>
  <c r="CG29" i="3"/>
  <c r="CH29" i="3"/>
  <c r="CI29" i="3"/>
  <c r="CJ29" i="3"/>
  <c r="CK29" i="3"/>
  <c r="CL29" i="3"/>
  <c r="CM29" i="3"/>
  <c r="CN29" i="3"/>
  <c r="CO29" i="3"/>
  <c r="CP29" i="3"/>
  <c r="CQ29" i="3"/>
  <c r="CR29" i="3"/>
  <c r="CS29" i="3"/>
  <c r="CT29" i="3"/>
  <c r="CU29" i="3"/>
  <c r="CV29" i="3"/>
  <c r="CW29" i="3"/>
  <c r="CX29" i="3"/>
  <c r="CY29" i="3"/>
  <c r="CZ29" i="3"/>
  <c r="DA29" i="3"/>
  <c r="DB29" i="3"/>
  <c r="DC29" i="3"/>
  <c r="DD29" i="3"/>
  <c r="DE29" i="3"/>
  <c r="DF29" i="3"/>
  <c r="DG29" i="3"/>
  <c r="DH29" i="3"/>
  <c r="DI29" i="3"/>
  <c r="DJ29" i="3"/>
  <c r="DK29" i="3"/>
  <c r="DL29" i="3"/>
  <c r="DM29" i="3"/>
  <c r="DN29" i="3"/>
  <c r="DO29" i="3"/>
  <c r="DP29" i="3"/>
  <c r="DQ29" i="3"/>
  <c r="DR29" i="3"/>
  <c r="DS29" i="3"/>
  <c r="DT29" i="3"/>
  <c r="DU29" i="3"/>
  <c r="DV29" i="3"/>
  <c r="DW29" i="3"/>
  <c r="DX29" i="3"/>
  <c r="DY29" i="3"/>
  <c r="DZ29" i="3"/>
  <c r="EA29" i="3"/>
  <c r="EB29" i="3"/>
  <c r="EC29" i="3"/>
  <c r="ED29" i="3"/>
  <c r="EE29" i="3"/>
  <c r="EF29" i="3"/>
  <c r="EG29" i="3"/>
  <c r="EH29" i="3"/>
  <c r="EI29" i="3"/>
  <c r="EJ29" i="3"/>
  <c r="EK29" i="3"/>
  <c r="EL29" i="3"/>
  <c r="EM29" i="3"/>
  <c r="EN29" i="3"/>
  <c r="EO29" i="3"/>
  <c r="EP29" i="3"/>
  <c r="EQ29" i="3"/>
  <c r="ER29" i="3"/>
  <c r="ES29" i="3"/>
  <c r="ET29" i="3"/>
  <c r="EU29" i="3"/>
  <c r="EV29" i="3"/>
  <c r="EW29" i="3"/>
  <c r="EX29" i="3"/>
  <c r="EY29" i="3"/>
  <c r="EZ29" i="3"/>
  <c r="FA29" i="3"/>
  <c r="FB29" i="3"/>
  <c r="FC29" i="3"/>
  <c r="FD29" i="3"/>
  <c r="FE29" i="3"/>
  <c r="FF29" i="3"/>
  <c r="FG29" i="3"/>
  <c r="FH29" i="3"/>
  <c r="FI29" i="3"/>
  <c r="FJ29" i="3"/>
  <c r="FK29" i="3"/>
  <c r="FL29" i="3"/>
  <c r="FM29" i="3"/>
  <c r="FN29" i="3"/>
  <c r="FO29" i="3"/>
  <c r="FP29" i="3"/>
  <c r="FQ29" i="3"/>
  <c r="FR29" i="3"/>
  <c r="FS29" i="3"/>
  <c r="FT29" i="3"/>
  <c r="FU29" i="3"/>
  <c r="FV29" i="3"/>
  <c r="FW29" i="3"/>
  <c r="FX29" i="3"/>
  <c r="FY29" i="3"/>
  <c r="FZ29" i="3"/>
  <c r="GA29" i="3"/>
  <c r="GB29" i="3"/>
  <c r="GC29" i="3"/>
  <c r="GD29" i="3"/>
  <c r="GE29" i="3"/>
  <c r="GF29" i="3"/>
  <c r="GG29" i="3"/>
  <c r="GH29" i="3"/>
  <c r="GI29" i="3"/>
  <c r="GJ29" i="3"/>
  <c r="GK29" i="3"/>
  <c r="GL29" i="3"/>
  <c r="GM29" i="3"/>
  <c r="GN29" i="3"/>
  <c r="GO29" i="3"/>
  <c r="GP29" i="3"/>
  <c r="GQ29" i="3"/>
  <c r="GR29" i="3"/>
  <c r="GS29" i="3"/>
  <c r="GT29" i="3"/>
  <c r="GU29" i="3"/>
  <c r="GV29" i="3"/>
  <c r="GW29" i="3"/>
  <c r="GX29" i="3"/>
  <c r="GY29" i="3"/>
  <c r="GZ29" i="3"/>
  <c r="HA29" i="3"/>
  <c r="HB29" i="3"/>
  <c r="HC29" i="3"/>
  <c r="HD29" i="3"/>
  <c r="HE29" i="3"/>
  <c r="HF29" i="3"/>
  <c r="HG29" i="3"/>
  <c r="HH29" i="3"/>
  <c r="HI29" i="3"/>
  <c r="HJ29" i="3"/>
  <c r="HK29" i="3"/>
  <c r="HL29" i="3"/>
  <c r="HM29" i="3"/>
  <c r="HN29" i="3"/>
  <c r="HO29" i="3"/>
  <c r="HP29" i="3"/>
  <c r="HQ29" i="3"/>
  <c r="HR29" i="3"/>
  <c r="HS29" i="3"/>
  <c r="HT29" i="3"/>
  <c r="HU29" i="3"/>
  <c r="HV29" i="3"/>
  <c r="HW29" i="3"/>
  <c r="HX29" i="3"/>
  <c r="HY29" i="3"/>
  <c r="HZ29" i="3"/>
  <c r="IA29" i="3"/>
  <c r="IB29" i="3"/>
  <c r="IC29" i="3"/>
  <c r="ID29" i="3"/>
  <c r="IE29" i="3"/>
  <c r="IF29" i="3"/>
  <c r="IG29" i="3"/>
  <c r="IH29" i="3"/>
  <c r="II29" i="3"/>
  <c r="IJ29" i="3"/>
  <c r="IK29" i="3"/>
  <c r="IL29" i="3"/>
  <c r="IM29" i="3"/>
  <c r="IN29" i="3"/>
  <c r="IO29" i="3"/>
  <c r="IP29" i="3"/>
  <c r="IQ29" i="3"/>
  <c r="IR29" i="3"/>
  <c r="IS29" i="3"/>
  <c r="IT29" i="3"/>
  <c r="IU29" i="3"/>
  <c r="IV29" i="3"/>
  <c r="A28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BK28" i="3"/>
  <c r="BL28" i="3"/>
  <c r="BM28" i="3"/>
  <c r="BN28" i="3"/>
  <c r="BO28" i="3"/>
  <c r="BP28" i="3"/>
  <c r="BQ28" i="3"/>
  <c r="BR28" i="3"/>
  <c r="BS28" i="3"/>
  <c r="BT28" i="3"/>
  <c r="BU28" i="3"/>
  <c r="BV28" i="3"/>
  <c r="BW28" i="3"/>
  <c r="BX28" i="3"/>
  <c r="BY28" i="3"/>
  <c r="BZ28" i="3"/>
  <c r="CA28" i="3"/>
  <c r="CB28" i="3"/>
  <c r="CC28" i="3"/>
  <c r="CD28" i="3"/>
  <c r="CE28" i="3"/>
  <c r="CF28" i="3"/>
  <c r="CG28" i="3"/>
  <c r="CH28" i="3"/>
  <c r="CI28" i="3"/>
  <c r="CJ28" i="3"/>
  <c r="CK28" i="3"/>
  <c r="CL28" i="3"/>
  <c r="CM28" i="3"/>
  <c r="CN28" i="3"/>
  <c r="CO28" i="3"/>
  <c r="CP28" i="3"/>
  <c r="CQ28" i="3"/>
  <c r="CR28" i="3"/>
  <c r="CS28" i="3"/>
  <c r="CT28" i="3"/>
  <c r="CU28" i="3"/>
  <c r="CV28" i="3"/>
  <c r="CW28" i="3"/>
  <c r="CX28" i="3"/>
  <c r="CY28" i="3"/>
  <c r="CZ28" i="3"/>
  <c r="DA28" i="3"/>
  <c r="DB28" i="3"/>
  <c r="DC28" i="3"/>
  <c r="DD28" i="3"/>
  <c r="DE28" i="3"/>
  <c r="DF28" i="3"/>
  <c r="DG28" i="3"/>
  <c r="DH28" i="3"/>
  <c r="DI28" i="3"/>
  <c r="DJ28" i="3"/>
  <c r="DK28" i="3"/>
  <c r="DL28" i="3"/>
  <c r="DM28" i="3"/>
  <c r="DN28" i="3"/>
  <c r="DO28" i="3"/>
  <c r="DP28" i="3"/>
  <c r="DQ28" i="3"/>
  <c r="DR28" i="3"/>
  <c r="DS28" i="3"/>
  <c r="DT28" i="3"/>
  <c r="DU28" i="3"/>
  <c r="DV28" i="3"/>
  <c r="DW28" i="3"/>
  <c r="DX28" i="3"/>
  <c r="DY28" i="3"/>
  <c r="DZ28" i="3"/>
  <c r="EA28" i="3"/>
  <c r="EB28" i="3"/>
  <c r="EC28" i="3"/>
  <c r="ED28" i="3"/>
  <c r="EE28" i="3"/>
  <c r="EF28" i="3"/>
  <c r="EG28" i="3"/>
  <c r="EH28" i="3"/>
  <c r="EI28" i="3"/>
  <c r="EJ28" i="3"/>
  <c r="EK28" i="3"/>
  <c r="EL28" i="3"/>
  <c r="EM28" i="3"/>
  <c r="EN28" i="3"/>
  <c r="EO28" i="3"/>
  <c r="EP28" i="3"/>
  <c r="EQ28" i="3"/>
  <c r="ER28" i="3"/>
  <c r="ES28" i="3"/>
  <c r="ET28" i="3"/>
  <c r="EU28" i="3"/>
  <c r="EV28" i="3"/>
  <c r="EW28" i="3"/>
  <c r="EX28" i="3"/>
  <c r="EY28" i="3"/>
  <c r="EZ28" i="3"/>
  <c r="FA28" i="3"/>
  <c r="FB28" i="3"/>
  <c r="FC28" i="3"/>
  <c r="FD28" i="3"/>
  <c r="FE28" i="3"/>
  <c r="FF28" i="3"/>
  <c r="FG28" i="3"/>
  <c r="FH28" i="3"/>
  <c r="FI28" i="3"/>
  <c r="FJ28" i="3"/>
  <c r="FK28" i="3"/>
  <c r="FL28" i="3"/>
  <c r="FM28" i="3"/>
  <c r="FN28" i="3"/>
  <c r="FO28" i="3"/>
  <c r="FP28" i="3"/>
  <c r="FQ28" i="3"/>
  <c r="FR28" i="3"/>
  <c r="FS28" i="3"/>
  <c r="FT28" i="3"/>
  <c r="FU28" i="3"/>
  <c r="FV28" i="3"/>
  <c r="FW28" i="3"/>
  <c r="FX28" i="3"/>
  <c r="FY28" i="3"/>
  <c r="FZ28" i="3"/>
  <c r="GA28" i="3"/>
  <c r="GB28" i="3"/>
  <c r="GC28" i="3"/>
  <c r="GD28" i="3"/>
  <c r="GE28" i="3"/>
  <c r="GF28" i="3"/>
  <c r="GG28" i="3"/>
  <c r="GH28" i="3"/>
  <c r="GI28" i="3"/>
  <c r="GJ28" i="3"/>
  <c r="GK28" i="3"/>
  <c r="GL28" i="3"/>
  <c r="GM28" i="3"/>
  <c r="GN28" i="3"/>
  <c r="GO28" i="3"/>
  <c r="GP28" i="3"/>
  <c r="GQ28" i="3"/>
  <c r="GR28" i="3"/>
  <c r="GS28" i="3"/>
  <c r="GT28" i="3"/>
  <c r="GU28" i="3"/>
  <c r="GV28" i="3"/>
  <c r="GW28" i="3"/>
  <c r="GX28" i="3"/>
  <c r="GY28" i="3"/>
  <c r="GZ28" i="3"/>
  <c r="HA28" i="3"/>
  <c r="HB28" i="3"/>
  <c r="HC28" i="3"/>
  <c r="HD28" i="3"/>
  <c r="HE28" i="3"/>
  <c r="HF28" i="3"/>
  <c r="HG28" i="3"/>
  <c r="HH28" i="3"/>
  <c r="HI28" i="3"/>
  <c r="HJ28" i="3"/>
  <c r="HK28" i="3"/>
  <c r="HL28" i="3"/>
  <c r="HM28" i="3"/>
  <c r="HN28" i="3"/>
  <c r="HO28" i="3"/>
  <c r="HP28" i="3"/>
  <c r="HQ28" i="3"/>
  <c r="HR28" i="3"/>
  <c r="HS28" i="3"/>
  <c r="HT28" i="3"/>
  <c r="HU28" i="3"/>
  <c r="HV28" i="3"/>
  <c r="HW28" i="3"/>
  <c r="HX28" i="3"/>
  <c r="HY28" i="3"/>
  <c r="HZ28" i="3"/>
  <c r="IA28" i="3"/>
  <c r="IB28" i="3"/>
  <c r="IC28" i="3"/>
  <c r="ID28" i="3"/>
  <c r="IE28" i="3"/>
  <c r="IF28" i="3"/>
  <c r="IG28" i="3"/>
  <c r="IH28" i="3"/>
  <c r="II28" i="3"/>
  <c r="IJ28" i="3"/>
  <c r="IK28" i="3"/>
  <c r="IL28" i="3"/>
  <c r="IM28" i="3"/>
  <c r="IN28" i="3"/>
  <c r="IO28" i="3"/>
  <c r="IP28" i="3"/>
  <c r="IQ28" i="3"/>
  <c r="IR28" i="3"/>
  <c r="IS28" i="3"/>
  <c r="IT28" i="3"/>
  <c r="IU28" i="3"/>
  <c r="IV28" i="3"/>
  <c r="A27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L27" i="3"/>
  <c r="BM27" i="3"/>
  <c r="BN27" i="3"/>
  <c r="BO27" i="3"/>
  <c r="BP27" i="3"/>
  <c r="BQ27" i="3"/>
  <c r="BR27" i="3"/>
  <c r="BS27" i="3"/>
  <c r="BT27" i="3"/>
  <c r="BU27" i="3"/>
  <c r="BV27" i="3"/>
  <c r="BW27" i="3"/>
  <c r="BX27" i="3"/>
  <c r="BY27" i="3"/>
  <c r="BZ27" i="3"/>
  <c r="CA27" i="3"/>
  <c r="CB27" i="3"/>
  <c r="CC27" i="3"/>
  <c r="CD27" i="3"/>
  <c r="CE27" i="3"/>
  <c r="CF27" i="3"/>
  <c r="CG27" i="3"/>
  <c r="CH27" i="3"/>
  <c r="CI27" i="3"/>
  <c r="CJ27" i="3"/>
  <c r="CK27" i="3"/>
  <c r="CL27" i="3"/>
  <c r="CM27" i="3"/>
  <c r="CN27" i="3"/>
  <c r="CO27" i="3"/>
  <c r="CP27" i="3"/>
  <c r="CQ27" i="3"/>
  <c r="CR27" i="3"/>
  <c r="CS27" i="3"/>
  <c r="CT27" i="3"/>
  <c r="CU27" i="3"/>
  <c r="CV27" i="3"/>
  <c r="CW27" i="3"/>
  <c r="CX27" i="3"/>
  <c r="CY27" i="3"/>
  <c r="CZ27" i="3"/>
  <c r="DA27" i="3"/>
  <c r="DB27" i="3"/>
  <c r="DC27" i="3"/>
  <c r="DD27" i="3"/>
  <c r="DE27" i="3"/>
  <c r="DF27" i="3"/>
  <c r="DG27" i="3"/>
  <c r="DH27" i="3"/>
  <c r="DI27" i="3"/>
  <c r="DJ27" i="3"/>
  <c r="DK27" i="3"/>
  <c r="DL27" i="3"/>
  <c r="DM27" i="3"/>
  <c r="DN27" i="3"/>
  <c r="DO27" i="3"/>
  <c r="DP27" i="3"/>
  <c r="DQ27" i="3"/>
  <c r="DR27" i="3"/>
  <c r="DS27" i="3"/>
  <c r="DT27" i="3"/>
  <c r="DU27" i="3"/>
  <c r="DV27" i="3"/>
  <c r="DW27" i="3"/>
  <c r="DX27" i="3"/>
  <c r="DY27" i="3"/>
  <c r="DZ27" i="3"/>
  <c r="EA27" i="3"/>
  <c r="EB27" i="3"/>
  <c r="EC27" i="3"/>
  <c r="ED27" i="3"/>
  <c r="EE27" i="3"/>
  <c r="EF27" i="3"/>
  <c r="EG27" i="3"/>
  <c r="EH27" i="3"/>
  <c r="EI27" i="3"/>
  <c r="EJ27" i="3"/>
  <c r="EK27" i="3"/>
  <c r="EL27" i="3"/>
  <c r="EM27" i="3"/>
  <c r="EN27" i="3"/>
  <c r="EO27" i="3"/>
  <c r="EP27" i="3"/>
  <c r="EQ27" i="3"/>
  <c r="ER27" i="3"/>
  <c r="ES27" i="3"/>
  <c r="ET27" i="3"/>
  <c r="EU27" i="3"/>
  <c r="EV27" i="3"/>
  <c r="EW27" i="3"/>
  <c r="EX27" i="3"/>
  <c r="EY27" i="3"/>
  <c r="EZ27" i="3"/>
  <c r="FA27" i="3"/>
  <c r="FB27" i="3"/>
  <c r="FC27" i="3"/>
  <c r="FD27" i="3"/>
  <c r="FE27" i="3"/>
  <c r="FF27" i="3"/>
  <c r="FG27" i="3"/>
  <c r="FH27" i="3"/>
  <c r="FI27" i="3"/>
  <c r="FJ27" i="3"/>
  <c r="FK27" i="3"/>
  <c r="FL27" i="3"/>
  <c r="FM27" i="3"/>
  <c r="FN27" i="3"/>
  <c r="FO27" i="3"/>
  <c r="FP27" i="3"/>
  <c r="FQ27" i="3"/>
  <c r="FR27" i="3"/>
  <c r="FS27" i="3"/>
  <c r="FT27" i="3"/>
  <c r="FU27" i="3"/>
  <c r="FV27" i="3"/>
  <c r="FW27" i="3"/>
  <c r="FX27" i="3"/>
  <c r="FY27" i="3"/>
  <c r="FZ27" i="3"/>
  <c r="GA27" i="3"/>
  <c r="GB27" i="3"/>
  <c r="GC27" i="3"/>
  <c r="GD27" i="3"/>
  <c r="GE27" i="3"/>
  <c r="GF27" i="3"/>
  <c r="GG27" i="3"/>
  <c r="GH27" i="3"/>
  <c r="GI27" i="3"/>
  <c r="GJ27" i="3"/>
  <c r="GK27" i="3"/>
  <c r="GL27" i="3"/>
  <c r="GM27" i="3"/>
  <c r="GN27" i="3"/>
  <c r="GO27" i="3"/>
  <c r="GP27" i="3"/>
  <c r="GQ27" i="3"/>
  <c r="GR27" i="3"/>
  <c r="GS27" i="3"/>
  <c r="GT27" i="3"/>
  <c r="GU27" i="3"/>
  <c r="GV27" i="3"/>
  <c r="GW27" i="3"/>
  <c r="GX27" i="3"/>
  <c r="GY27" i="3"/>
  <c r="GZ27" i="3"/>
  <c r="HA27" i="3"/>
  <c r="HB27" i="3"/>
  <c r="HC27" i="3"/>
  <c r="HD27" i="3"/>
  <c r="HE27" i="3"/>
  <c r="HF27" i="3"/>
  <c r="HG27" i="3"/>
  <c r="HH27" i="3"/>
  <c r="HI27" i="3"/>
  <c r="HJ27" i="3"/>
  <c r="HK27" i="3"/>
  <c r="HL27" i="3"/>
  <c r="HM27" i="3"/>
  <c r="HN27" i="3"/>
  <c r="HO27" i="3"/>
  <c r="HP27" i="3"/>
  <c r="HQ27" i="3"/>
  <c r="HR27" i="3"/>
  <c r="HS27" i="3"/>
  <c r="HT27" i="3"/>
  <c r="HU27" i="3"/>
  <c r="HV27" i="3"/>
  <c r="HW27" i="3"/>
  <c r="HX27" i="3"/>
  <c r="HY27" i="3"/>
  <c r="HZ27" i="3"/>
  <c r="IA27" i="3"/>
  <c r="IB27" i="3"/>
  <c r="IC27" i="3"/>
  <c r="ID27" i="3"/>
  <c r="IE27" i="3"/>
  <c r="IF27" i="3"/>
  <c r="IG27" i="3"/>
  <c r="IH27" i="3"/>
  <c r="II27" i="3"/>
  <c r="IJ27" i="3"/>
  <c r="IK27" i="3"/>
  <c r="IL27" i="3"/>
  <c r="IM27" i="3"/>
  <c r="IN27" i="3"/>
  <c r="IO27" i="3"/>
  <c r="IP27" i="3"/>
  <c r="IQ27" i="3"/>
  <c r="IR27" i="3"/>
  <c r="IS27" i="3"/>
  <c r="IT27" i="3"/>
  <c r="IU27" i="3"/>
  <c r="IV27" i="3"/>
  <c r="A26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O26" i="3"/>
  <c r="BP26" i="3"/>
  <c r="BQ26" i="3"/>
  <c r="BR26" i="3"/>
  <c r="BS26" i="3"/>
  <c r="BT26" i="3"/>
  <c r="BU26" i="3"/>
  <c r="BV26" i="3"/>
  <c r="BW26" i="3"/>
  <c r="BX26" i="3"/>
  <c r="BY26" i="3"/>
  <c r="BZ26" i="3"/>
  <c r="CA26" i="3"/>
  <c r="CB26" i="3"/>
  <c r="CC26" i="3"/>
  <c r="CD26" i="3"/>
  <c r="CE26" i="3"/>
  <c r="CF26" i="3"/>
  <c r="CG26" i="3"/>
  <c r="CH26" i="3"/>
  <c r="CI26" i="3"/>
  <c r="CJ26" i="3"/>
  <c r="CK26" i="3"/>
  <c r="CL26" i="3"/>
  <c r="CM26" i="3"/>
  <c r="CN26" i="3"/>
  <c r="CO26" i="3"/>
  <c r="CP26" i="3"/>
  <c r="CQ26" i="3"/>
  <c r="CR26" i="3"/>
  <c r="CS26" i="3"/>
  <c r="CT26" i="3"/>
  <c r="CU26" i="3"/>
  <c r="CV26" i="3"/>
  <c r="CW26" i="3"/>
  <c r="CX26" i="3"/>
  <c r="CY26" i="3"/>
  <c r="CZ26" i="3"/>
  <c r="DA26" i="3"/>
  <c r="DB26" i="3"/>
  <c r="DC26" i="3"/>
  <c r="DD26" i="3"/>
  <c r="DE26" i="3"/>
  <c r="DF26" i="3"/>
  <c r="DG26" i="3"/>
  <c r="DH26" i="3"/>
  <c r="DI26" i="3"/>
  <c r="DJ26" i="3"/>
  <c r="DK26" i="3"/>
  <c r="DL26" i="3"/>
  <c r="DM26" i="3"/>
  <c r="DN26" i="3"/>
  <c r="DO26" i="3"/>
  <c r="DP26" i="3"/>
  <c r="DQ26" i="3"/>
  <c r="DR26" i="3"/>
  <c r="DS26" i="3"/>
  <c r="DT26" i="3"/>
  <c r="DU26" i="3"/>
  <c r="DV26" i="3"/>
  <c r="DW26" i="3"/>
  <c r="DX26" i="3"/>
  <c r="DY26" i="3"/>
  <c r="DZ26" i="3"/>
  <c r="EA26" i="3"/>
  <c r="EB26" i="3"/>
  <c r="EC26" i="3"/>
  <c r="ED26" i="3"/>
  <c r="EE26" i="3"/>
  <c r="EF26" i="3"/>
  <c r="EG26" i="3"/>
  <c r="EH26" i="3"/>
  <c r="EI26" i="3"/>
  <c r="EJ26" i="3"/>
  <c r="EK26" i="3"/>
  <c r="EL26" i="3"/>
  <c r="EM26" i="3"/>
  <c r="EN26" i="3"/>
  <c r="EO26" i="3"/>
  <c r="EP26" i="3"/>
  <c r="EQ26" i="3"/>
  <c r="ER26" i="3"/>
  <c r="ES26" i="3"/>
  <c r="ET26" i="3"/>
  <c r="EU26" i="3"/>
  <c r="EV26" i="3"/>
  <c r="EW26" i="3"/>
  <c r="EX26" i="3"/>
  <c r="EY26" i="3"/>
  <c r="EZ26" i="3"/>
  <c r="FA26" i="3"/>
  <c r="FB26" i="3"/>
  <c r="FC26" i="3"/>
  <c r="FD26" i="3"/>
  <c r="FE26" i="3"/>
  <c r="FF26" i="3"/>
  <c r="FG26" i="3"/>
  <c r="FH26" i="3"/>
  <c r="FI26" i="3"/>
  <c r="FJ26" i="3"/>
  <c r="FK26" i="3"/>
  <c r="FL26" i="3"/>
  <c r="FM26" i="3"/>
  <c r="FN26" i="3"/>
  <c r="FO26" i="3"/>
  <c r="FP26" i="3"/>
  <c r="FQ26" i="3"/>
  <c r="FR26" i="3"/>
  <c r="FS26" i="3"/>
  <c r="FT26" i="3"/>
  <c r="FU26" i="3"/>
  <c r="FV26" i="3"/>
  <c r="FW26" i="3"/>
  <c r="FX26" i="3"/>
  <c r="FY26" i="3"/>
  <c r="FZ26" i="3"/>
  <c r="GA26" i="3"/>
  <c r="GB26" i="3"/>
  <c r="GC26" i="3"/>
  <c r="GD26" i="3"/>
  <c r="GE26" i="3"/>
  <c r="GF26" i="3"/>
  <c r="GG26" i="3"/>
  <c r="GH26" i="3"/>
  <c r="GI26" i="3"/>
  <c r="GJ26" i="3"/>
  <c r="GK26" i="3"/>
  <c r="GL26" i="3"/>
  <c r="GM26" i="3"/>
  <c r="GN26" i="3"/>
  <c r="GO26" i="3"/>
  <c r="GP26" i="3"/>
  <c r="GQ26" i="3"/>
  <c r="GR26" i="3"/>
  <c r="GS26" i="3"/>
  <c r="GT26" i="3"/>
  <c r="GU26" i="3"/>
  <c r="GV26" i="3"/>
  <c r="GW26" i="3"/>
  <c r="GX26" i="3"/>
  <c r="GY26" i="3"/>
  <c r="GZ26" i="3"/>
  <c r="HA26" i="3"/>
  <c r="HB26" i="3"/>
  <c r="HC26" i="3"/>
  <c r="HD26" i="3"/>
  <c r="HE26" i="3"/>
  <c r="HF26" i="3"/>
  <c r="HG26" i="3"/>
  <c r="HH26" i="3"/>
  <c r="HI26" i="3"/>
  <c r="HJ26" i="3"/>
  <c r="HK26" i="3"/>
  <c r="HL26" i="3"/>
  <c r="HM26" i="3"/>
  <c r="HN26" i="3"/>
  <c r="HO26" i="3"/>
  <c r="HP26" i="3"/>
  <c r="HQ26" i="3"/>
  <c r="HR26" i="3"/>
  <c r="HS26" i="3"/>
  <c r="HT26" i="3"/>
  <c r="HU26" i="3"/>
  <c r="HV26" i="3"/>
  <c r="HW26" i="3"/>
  <c r="HX26" i="3"/>
  <c r="HY26" i="3"/>
  <c r="HZ26" i="3"/>
  <c r="IA26" i="3"/>
  <c r="IB26" i="3"/>
  <c r="IC26" i="3"/>
  <c r="ID26" i="3"/>
  <c r="IE26" i="3"/>
  <c r="IF26" i="3"/>
  <c r="IG26" i="3"/>
  <c r="IH26" i="3"/>
  <c r="II26" i="3"/>
  <c r="IJ26" i="3"/>
  <c r="IK26" i="3"/>
  <c r="IL26" i="3"/>
  <c r="IM26" i="3"/>
  <c r="IN26" i="3"/>
  <c r="IO26" i="3"/>
  <c r="IP26" i="3"/>
  <c r="IQ26" i="3"/>
  <c r="IR26" i="3"/>
  <c r="IS26" i="3"/>
  <c r="IT26" i="3"/>
  <c r="IU26" i="3"/>
  <c r="IV26" i="3"/>
  <c r="A25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BO25" i="3"/>
  <c r="BP25" i="3"/>
  <c r="BQ25" i="3"/>
  <c r="BR25" i="3"/>
  <c r="BS25" i="3"/>
  <c r="BT25" i="3"/>
  <c r="BU25" i="3"/>
  <c r="BV25" i="3"/>
  <c r="BW25" i="3"/>
  <c r="BX25" i="3"/>
  <c r="BY25" i="3"/>
  <c r="BZ25" i="3"/>
  <c r="CA25" i="3"/>
  <c r="CB25" i="3"/>
  <c r="CC25" i="3"/>
  <c r="CD25" i="3"/>
  <c r="CE25" i="3"/>
  <c r="CF25" i="3"/>
  <c r="CG25" i="3"/>
  <c r="CH25" i="3"/>
  <c r="CI25" i="3"/>
  <c r="CJ25" i="3"/>
  <c r="CK25" i="3"/>
  <c r="CL25" i="3"/>
  <c r="CM25" i="3"/>
  <c r="CN25" i="3"/>
  <c r="CO25" i="3"/>
  <c r="CP25" i="3"/>
  <c r="CQ25" i="3"/>
  <c r="CR25" i="3"/>
  <c r="CS25" i="3"/>
  <c r="CT25" i="3"/>
  <c r="CU25" i="3"/>
  <c r="CV25" i="3"/>
  <c r="CW25" i="3"/>
  <c r="CX25" i="3"/>
  <c r="CY25" i="3"/>
  <c r="CZ25" i="3"/>
  <c r="DA25" i="3"/>
  <c r="DB25" i="3"/>
  <c r="DC25" i="3"/>
  <c r="DD25" i="3"/>
  <c r="DE25" i="3"/>
  <c r="DF25" i="3"/>
  <c r="DG25" i="3"/>
  <c r="DH25" i="3"/>
  <c r="DI25" i="3"/>
  <c r="DJ25" i="3"/>
  <c r="DK25" i="3"/>
  <c r="DL25" i="3"/>
  <c r="DM25" i="3"/>
  <c r="DN25" i="3"/>
  <c r="DO25" i="3"/>
  <c r="DP25" i="3"/>
  <c r="DQ25" i="3"/>
  <c r="DR25" i="3"/>
  <c r="DS25" i="3"/>
  <c r="DT25" i="3"/>
  <c r="DU25" i="3"/>
  <c r="DV25" i="3"/>
  <c r="DW25" i="3"/>
  <c r="DX25" i="3"/>
  <c r="DY25" i="3"/>
  <c r="DZ25" i="3"/>
  <c r="EA25" i="3"/>
  <c r="EB25" i="3"/>
  <c r="EC25" i="3"/>
  <c r="ED25" i="3"/>
  <c r="EE25" i="3"/>
  <c r="EF25" i="3"/>
  <c r="EG25" i="3"/>
  <c r="EH25" i="3"/>
  <c r="EI25" i="3"/>
  <c r="EJ25" i="3"/>
  <c r="EK25" i="3"/>
  <c r="EL25" i="3"/>
  <c r="EM25" i="3"/>
  <c r="EN25" i="3"/>
  <c r="EO25" i="3"/>
  <c r="EP25" i="3"/>
  <c r="EQ25" i="3"/>
  <c r="ER25" i="3"/>
  <c r="ES25" i="3"/>
  <c r="ET25" i="3"/>
  <c r="EU25" i="3"/>
  <c r="EV25" i="3"/>
  <c r="EW25" i="3"/>
  <c r="EX25" i="3"/>
  <c r="EY25" i="3"/>
  <c r="EZ25" i="3"/>
  <c r="FA25" i="3"/>
  <c r="FB25" i="3"/>
  <c r="FC25" i="3"/>
  <c r="FD25" i="3"/>
  <c r="FE25" i="3"/>
  <c r="FF25" i="3"/>
  <c r="FG25" i="3"/>
  <c r="FH25" i="3"/>
  <c r="FI25" i="3"/>
  <c r="FJ25" i="3"/>
  <c r="FK25" i="3"/>
  <c r="FL25" i="3"/>
  <c r="FM25" i="3"/>
  <c r="FN25" i="3"/>
  <c r="FO25" i="3"/>
  <c r="FP25" i="3"/>
  <c r="FQ25" i="3"/>
  <c r="FR25" i="3"/>
  <c r="FS25" i="3"/>
  <c r="FT25" i="3"/>
  <c r="FU25" i="3"/>
  <c r="FV25" i="3"/>
  <c r="FW25" i="3"/>
  <c r="FX25" i="3"/>
  <c r="FY25" i="3"/>
  <c r="FZ25" i="3"/>
  <c r="GA25" i="3"/>
  <c r="GB25" i="3"/>
  <c r="GC25" i="3"/>
  <c r="GD25" i="3"/>
  <c r="GE25" i="3"/>
  <c r="GF25" i="3"/>
  <c r="GG25" i="3"/>
  <c r="GH25" i="3"/>
  <c r="GI25" i="3"/>
  <c r="GJ25" i="3"/>
  <c r="GK25" i="3"/>
  <c r="GL25" i="3"/>
  <c r="GM25" i="3"/>
  <c r="GN25" i="3"/>
  <c r="GO25" i="3"/>
  <c r="GP25" i="3"/>
  <c r="GQ25" i="3"/>
  <c r="GR25" i="3"/>
  <c r="GS25" i="3"/>
  <c r="GT25" i="3"/>
  <c r="GU25" i="3"/>
  <c r="GV25" i="3"/>
  <c r="GW25" i="3"/>
  <c r="GX25" i="3"/>
  <c r="GY25" i="3"/>
  <c r="GZ25" i="3"/>
  <c r="HA25" i="3"/>
  <c r="HB25" i="3"/>
  <c r="HC25" i="3"/>
  <c r="HD25" i="3"/>
  <c r="HE25" i="3"/>
  <c r="HF25" i="3"/>
  <c r="HG25" i="3"/>
  <c r="HH25" i="3"/>
  <c r="HI25" i="3"/>
  <c r="HJ25" i="3"/>
  <c r="HK25" i="3"/>
  <c r="HL25" i="3"/>
  <c r="HM25" i="3"/>
  <c r="HN25" i="3"/>
  <c r="HO25" i="3"/>
  <c r="HP25" i="3"/>
  <c r="HQ25" i="3"/>
  <c r="HR25" i="3"/>
  <c r="HS25" i="3"/>
  <c r="HT25" i="3"/>
  <c r="HU25" i="3"/>
  <c r="HV25" i="3"/>
  <c r="HW25" i="3"/>
  <c r="HX25" i="3"/>
  <c r="HY25" i="3"/>
  <c r="HZ25" i="3"/>
  <c r="IA25" i="3"/>
  <c r="IB25" i="3"/>
  <c r="IC25" i="3"/>
  <c r="ID25" i="3"/>
  <c r="IE25" i="3"/>
  <c r="IF25" i="3"/>
  <c r="IG25" i="3"/>
  <c r="IH25" i="3"/>
  <c r="II25" i="3"/>
  <c r="IJ25" i="3"/>
  <c r="IK25" i="3"/>
  <c r="IL25" i="3"/>
  <c r="IM25" i="3"/>
  <c r="IN25" i="3"/>
  <c r="IO25" i="3"/>
  <c r="IP25" i="3"/>
  <c r="IQ25" i="3"/>
  <c r="IR25" i="3"/>
  <c r="IS25" i="3"/>
  <c r="IT25" i="3"/>
  <c r="IU25" i="3"/>
  <c r="IV25" i="3"/>
  <c r="A24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L24" i="3"/>
  <c r="BM24" i="3"/>
  <c r="BN24" i="3"/>
  <c r="BO24" i="3"/>
  <c r="BP24" i="3"/>
  <c r="BQ24" i="3"/>
  <c r="BR24" i="3"/>
  <c r="BS24" i="3"/>
  <c r="BT24" i="3"/>
  <c r="BU24" i="3"/>
  <c r="BV24" i="3"/>
  <c r="BW24" i="3"/>
  <c r="BX24" i="3"/>
  <c r="BY24" i="3"/>
  <c r="BZ24" i="3"/>
  <c r="CA24" i="3"/>
  <c r="CB24" i="3"/>
  <c r="CC24" i="3"/>
  <c r="CD24" i="3"/>
  <c r="CE24" i="3"/>
  <c r="CF24" i="3"/>
  <c r="CG24" i="3"/>
  <c r="CH24" i="3"/>
  <c r="CI24" i="3"/>
  <c r="CJ24" i="3"/>
  <c r="CK24" i="3"/>
  <c r="CL24" i="3"/>
  <c r="CM24" i="3"/>
  <c r="CN24" i="3"/>
  <c r="CO24" i="3"/>
  <c r="CP24" i="3"/>
  <c r="CQ24" i="3"/>
  <c r="CR24" i="3"/>
  <c r="CS24" i="3"/>
  <c r="CT24" i="3"/>
  <c r="CU24" i="3"/>
  <c r="CV24" i="3"/>
  <c r="CW24" i="3"/>
  <c r="CX24" i="3"/>
  <c r="CY24" i="3"/>
  <c r="CZ24" i="3"/>
  <c r="DA24" i="3"/>
  <c r="DB24" i="3"/>
  <c r="DC24" i="3"/>
  <c r="DD24" i="3"/>
  <c r="DE24" i="3"/>
  <c r="DF24" i="3"/>
  <c r="DG24" i="3"/>
  <c r="DH24" i="3"/>
  <c r="DI24" i="3"/>
  <c r="DJ24" i="3"/>
  <c r="DK24" i="3"/>
  <c r="DL24" i="3"/>
  <c r="DM24" i="3"/>
  <c r="DN24" i="3"/>
  <c r="DO24" i="3"/>
  <c r="DP24" i="3"/>
  <c r="DQ24" i="3"/>
  <c r="DR24" i="3"/>
  <c r="DS24" i="3"/>
  <c r="DT24" i="3"/>
  <c r="DU24" i="3"/>
  <c r="DV24" i="3"/>
  <c r="DW24" i="3"/>
  <c r="DX24" i="3"/>
  <c r="DY24" i="3"/>
  <c r="DZ24" i="3"/>
  <c r="EA24" i="3"/>
  <c r="EB24" i="3"/>
  <c r="EC24" i="3"/>
  <c r="ED24" i="3"/>
  <c r="EE24" i="3"/>
  <c r="EF24" i="3"/>
  <c r="EG24" i="3"/>
  <c r="EH24" i="3"/>
  <c r="EI24" i="3"/>
  <c r="EJ24" i="3"/>
  <c r="EK24" i="3"/>
  <c r="EL24" i="3"/>
  <c r="EM24" i="3"/>
  <c r="EN24" i="3"/>
  <c r="EO24" i="3"/>
  <c r="EP24" i="3"/>
  <c r="EQ24" i="3"/>
  <c r="ER24" i="3"/>
  <c r="ES24" i="3"/>
  <c r="ET24" i="3"/>
  <c r="EU24" i="3"/>
  <c r="EV24" i="3"/>
  <c r="EW24" i="3"/>
  <c r="EX24" i="3"/>
  <c r="EY24" i="3"/>
  <c r="EZ24" i="3"/>
  <c r="FA24" i="3"/>
  <c r="FB24" i="3"/>
  <c r="FC24" i="3"/>
  <c r="FD24" i="3"/>
  <c r="FE24" i="3"/>
  <c r="FF24" i="3"/>
  <c r="FG24" i="3"/>
  <c r="FH24" i="3"/>
  <c r="FI24" i="3"/>
  <c r="FJ24" i="3"/>
  <c r="FK24" i="3"/>
  <c r="FL24" i="3"/>
  <c r="FM24" i="3"/>
  <c r="FN24" i="3"/>
  <c r="FO24" i="3"/>
  <c r="FP24" i="3"/>
  <c r="FQ24" i="3"/>
  <c r="FR24" i="3"/>
  <c r="FS24" i="3"/>
  <c r="FT24" i="3"/>
  <c r="FU24" i="3"/>
  <c r="FV24" i="3"/>
  <c r="FW24" i="3"/>
  <c r="FX24" i="3"/>
  <c r="FY24" i="3"/>
  <c r="FZ24" i="3"/>
  <c r="GA24" i="3"/>
  <c r="GB24" i="3"/>
  <c r="GC24" i="3"/>
  <c r="GD24" i="3"/>
  <c r="GE24" i="3"/>
  <c r="GF24" i="3"/>
  <c r="GG24" i="3"/>
  <c r="GH24" i="3"/>
  <c r="GI24" i="3"/>
  <c r="GJ24" i="3"/>
  <c r="GK24" i="3"/>
  <c r="GL24" i="3"/>
  <c r="GM24" i="3"/>
  <c r="GN24" i="3"/>
  <c r="GO24" i="3"/>
  <c r="GP24" i="3"/>
  <c r="GQ24" i="3"/>
  <c r="GR24" i="3"/>
  <c r="GS24" i="3"/>
  <c r="GT24" i="3"/>
  <c r="GU24" i="3"/>
  <c r="GV24" i="3"/>
  <c r="GW24" i="3"/>
  <c r="GX24" i="3"/>
  <c r="GY24" i="3"/>
  <c r="GZ24" i="3"/>
  <c r="HA24" i="3"/>
  <c r="HB24" i="3"/>
  <c r="HC24" i="3"/>
  <c r="HD24" i="3"/>
  <c r="HE24" i="3"/>
  <c r="HF24" i="3"/>
  <c r="HG24" i="3"/>
  <c r="HH24" i="3"/>
  <c r="HI24" i="3"/>
  <c r="HJ24" i="3"/>
  <c r="HK24" i="3"/>
  <c r="HL24" i="3"/>
  <c r="HM24" i="3"/>
  <c r="HN24" i="3"/>
  <c r="HO24" i="3"/>
  <c r="HP24" i="3"/>
  <c r="HQ24" i="3"/>
  <c r="HR24" i="3"/>
  <c r="HS24" i="3"/>
  <c r="HT24" i="3"/>
  <c r="HU24" i="3"/>
  <c r="HV24" i="3"/>
  <c r="HW24" i="3"/>
  <c r="HX24" i="3"/>
  <c r="HY24" i="3"/>
  <c r="HZ24" i="3"/>
  <c r="IA24" i="3"/>
  <c r="IB24" i="3"/>
  <c r="IC24" i="3"/>
  <c r="ID24" i="3"/>
  <c r="IE24" i="3"/>
  <c r="IF24" i="3"/>
  <c r="IG24" i="3"/>
  <c r="IH24" i="3"/>
  <c r="II24" i="3"/>
  <c r="IJ24" i="3"/>
  <c r="IK24" i="3"/>
  <c r="IL24" i="3"/>
  <c r="IM24" i="3"/>
  <c r="IN24" i="3"/>
  <c r="IO24" i="3"/>
  <c r="IP24" i="3"/>
  <c r="IQ24" i="3"/>
  <c r="IR24" i="3"/>
  <c r="IS24" i="3"/>
  <c r="IT24" i="3"/>
  <c r="IU24" i="3"/>
  <c r="IV24" i="3"/>
  <c r="A23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BL23" i="3"/>
  <c r="BM23" i="3"/>
  <c r="BN23" i="3"/>
  <c r="BO23" i="3"/>
  <c r="BP23" i="3"/>
  <c r="BQ23" i="3"/>
  <c r="BR23" i="3"/>
  <c r="BS23" i="3"/>
  <c r="BT23" i="3"/>
  <c r="BU23" i="3"/>
  <c r="BV23" i="3"/>
  <c r="BW23" i="3"/>
  <c r="BX23" i="3"/>
  <c r="BY23" i="3"/>
  <c r="BZ23" i="3"/>
  <c r="CA23" i="3"/>
  <c r="CB23" i="3"/>
  <c r="CC23" i="3"/>
  <c r="CD23" i="3"/>
  <c r="CE23" i="3"/>
  <c r="CF23" i="3"/>
  <c r="CG23" i="3"/>
  <c r="CH23" i="3"/>
  <c r="CI23" i="3"/>
  <c r="CJ23" i="3"/>
  <c r="CK23" i="3"/>
  <c r="CL23" i="3"/>
  <c r="CM23" i="3"/>
  <c r="CN23" i="3"/>
  <c r="CO23" i="3"/>
  <c r="CP23" i="3"/>
  <c r="CQ23" i="3"/>
  <c r="CR23" i="3"/>
  <c r="CS23" i="3"/>
  <c r="CT23" i="3"/>
  <c r="CU23" i="3"/>
  <c r="CV23" i="3"/>
  <c r="CW23" i="3"/>
  <c r="CX23" i="3"/>
  <c r="CY23" i="3"/>
  <c r="CZ23" i="3"/>
  <c r="DA23" i="3"/>
  <c r="DB23" i="3"/>
  <c r="DC23" i="3"/>
  <c r="DD23" i="3"/>
  <c r="DE23" i="3"/>
  <c r="DF23" i="3"/>
  <c r="DG23" i="3"/>
  <c r="DH23" i="3"/>
  <c r="DI23" i="3"/>
  <c r="DJ23" i="3"/>
  <c r="DK23" i="3"/>
  <c r="DL23" i="3"/>
  <c r="DM23" i="3"/>
  <c r="DN23" i="3"/>
  <c r="DO23" i="3"/>
  <c r="DP23" i="3"/>
  <c r="DQ23" i="3"/>
  <c r="DR23" i="3"/>
  <c r="DS23" i="3"/>
  <c r="DT23" i="3"/>
  <c r="DU23" i="3"/>
  <c r="DV23" i="3"/>
  <c r="DW23" i="3"/>
  <c r="DX23" i="3"/>
  <c r="DY23" i="3"/>
  <c r="DZ23" i="3"/>
  <c r="EA23" i="3"/>
  <c r="EB23" i="3"/>
  <c r="EC23" i="3"/>
  <c r="ED23" i="3"/>
  <c r="EE23" i="3"/>
  <c r="EF23" i="3"/>
  <c r="EG23" i="3"/>
  <c r="EH23" i="3"/>
  <c r="EI23" i="3"/>
  <c r="EJ23" i="3"/>
  <c r="EK23" i="3"/>
  <c r="EL23" i="3"/>
  <c r="EM23" i="3"/>
  <c r="EN23" i="3"/>
  <c r="EO23" i="3"/>
  <c r="EP23" i="3"/>
  <c r="EQ23" i="3"/>
  <c r="ER23" i="3"/>
  <c r="ES23" i="3"/>
  <c r="ET23" i="3"/>
  <c r="EU23" i="3"/>
  <c r="EV23" i="3"/>
  <c r="EW23" i="3"/>
  <c r="EX23" i="3"/>
  <c r="EY23" i="3"/>
  <c r="EZ23" i="3"/>
  <c r="FA23" i="3"/>
  <c r="FB23" i="3"/>
  <c r="FC23" i="3"/>
  <c r="FD23" i="3"/>
  <c r="FE23" i="3"/>
  <c r="FF23" i="3"/>
  <c r="FG23" i="3"/>
  <c r="FH23" i="3"/>
  <c r="FI23" i="3"/>
  <c r="FJ23" i="3"/>
  <c r="FK23" i="3"/>
  <c r="FL23" i="3"/>
  <c r="FM23" i="3"/>
  <c r="FN23" i="3"/>
  <c r="FO23" i="3"/>
  <c r="FP23" i="3"/>
  <c r="FQ23" i="3"/>
  <c r="FR23" i="3"/>
  <c r="FS23" i="3"/>
  <c r="FT23" i="3"/>
  <c r="FU23" i="3"/>
  <c r="FV23" i="3"/>
  <c r="FW23" i="3"/>
  <c r="FX23" i="3"/>
  <c r="FY23" i="3"/>
  <c r="FZ23" i="3"/>
  <c r="GA23" i="3"/>
  <c r="GB23" i="3"/>
  <c r="GC23" i="3"/>
  <c r="GD23" i="3"/>
  <c r="GE23" i="3"/>
  <c r="GF23" i="3"/>
  <c r="GG23" i="3"/>
  <c r="GH23" i="3"/>
  <c r="GI23" i="3"/>
  <c r="GJ23" i="3"/>
  <c r="GK23" i="3"/>
  <c r="GL23" i="3"/>
  <c r="GM23" i="3"/>
  <c r="GN23" i="3"/>
  <c r="GO23" i="3"/>
  <c r="GP23" i="3"/>
  <c r="GQ23" i="3"/>
  <c r="GR23" i="3"/>
  <c r="GS23" i="3"/>
  <c r="GT23" i="3"/>
  <c r="GU23" i="3"/>
  <c r="GV23" i="3"/>
  <c r="GW23" i="3"/>
  <c r="GX23" i="3"/>
  <c r="GY23" i="3"/>
  <c r="GZ23" i="3"/>
  <c r="HA23" i="3"/>
  <c r="HB23" i="3"/>
  <c r="HC23" i="3"/>
  <c r="HD23" i="3"/>
  <c r="HE23" i="3"/>
  <c r="HF23" i="3"/>
  <c r="HG23" i="3"/>
  <c r="HH23" i="3"/>
  <c r="HI23" i="3"/>
  <c r="HJ23" i="3"/>
  <c r="HK23" i="3"/>
  <c r="HL23" i="3"/>
  <c r="HM23" i="3"/>
  <c r="HN23" i="3"/>
  <c r="HO23" i="3"/>
  <c r="HP23" i="3"/>
  <c r="HQ23" i="3"/>
  <c r="HR23" i="3"/>
  <c r="HS23" i="3"/>
  <c r="HT23" i="3"/>
  <c r="HU23" i="3"/>
  <c r="HV23" i="3"/>
  <c r="HW23" i="3"/>
  <c r="HX23" i="3"/>
  <c r="HY23" i="3"/>
  <c r="HZ23" i="3"/>
  <c r="IA23" i="3"/>
  <c r="IB23" i="3"/>
  <c r="IC23" i="3"/>
  <c r="ID23" i="3"/>
  <c r="IE23" i="3"/>
  <c r="IF23" i="3"/>
  <c r="IG23" i="3"/>
  <c r="IH23" i="3"/>
  <c r="II23" i="3"/>
  <c r="IJ23" i="3"/>
  <c r="IK23" i="3"/>
  <c r="IL23" i="3"/>
  <c r="IM23" i="3"/>
  <c r="IN23" i="3"/>
  <c r="IO23" i="3"/>
  <c r="IP23" i="3"/>
  <c r="IQ23" i="3"/>
  <c r="IR23" i="3"/>
  <c r="IS23" i="3"/>
  <c r="IT23" i="3"/>
  <c r="IU23" i="3"/>
  <c r="IV23" i="3"/>
  <c r="A22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BO22" i="3"/>
  <c r="BP22" i="3"/>
  <c r="BQ22" i="3"/>
  <c r="BR22" i="3"/>
  <c r="BS22" i="3"/>
  <c r="BT22" i="3"/>
  <c r="BU22" i="3"/>
  <c r="BV22" i="3"/>
  <c r="BW22" i="3"/>
  <c r="BX22" i="3"/>
  <c r="BY22" i="3"/>
  <c r="BZ22" i="3"/>
  <c r="CA22" i="3"/>
  <c r="CB22" i="3"/>
  <c r="CC22" i="3"/>
  <c r="CD22" i="3"/>
  <c r="CE22" i="3"/>
  <c r="CF22" i="3"/>
  <c r="CG22" i="3"/>
  <c r="CH22" i="3"/>
  <c r="CI22" i="3"/>
  <c r="CJ22" i="3"/>
  <c r="CK22" i="3"/>
  <c r="CL22" i="3"/>
  <c r="CM22" i="3"/>
  <c r="CN22" i="3"/>
  <c r="CO22" i="3"/>
  <c r="CP22" i="3"/>
  <c r="CQ22" i="3"/>
  <c r="CR22" i="3"/>
  <c r="CS22" i="3"/>
  <c r="CT22" i="3"/>
  <c r="CU22" i="3"/>
  <c r="CV22" i="3"/>
  <c r="CW22" i="3"/>
  <c r="CX22" i="3"/>
  <c r="CY22" i="3"/>
  <c r="CZ22" i="3"/>
  <c r="DA22" i="3"/>
  <c r="DB22" i="3"/>
  <c r="DC22" i="3"/>
  <c r="DD22" i="3"/>
  <c r="DE22" i="3"/>
  <c r="DF22" i="3"/>
  <c r="DG22" i="3"/>
  <c r="DH22" i="3"/>
  <c r="DI22" i="3"/>
  <c r="DJ22" i="3"/>
  <c r="DK22" i="3"/>
  <c r="DL22" i="3"/>
  <c r="DM22" i="3"/>
  <c r="DN22" i="3"/>
  <c r="DO22" i="3"/>
  <c r="DP22" i="3"/>
  <c r="DQ22" i="3"/>
  <c r="DR22" i="3"/>
  <c r="DS22" i="3"/>
  <c r="DT22" i="3"/>
  <c r="DU22" i="3"/>
  <c r="DV22" i="3"/>
  <c r="DW22" i="3"/>
  <c r="DX22" i="3"/>
  <c r="DY22" i="3"/>
  <c r="DZ22" i="3"/>
  <c r="EA22" i="3"/>
  <c r="EB22" i="3"/>
  <c r="EC22" i="3"/>
  <c r="ED22" i="3"/>
  <c r="EE22" i="3"/>
  <c r="EF22" i="3"/>
  <c r="EG22" i="3"/>
  <c r="EH22" i="3"/>
  <c r="EI22" i="3"/>
  <c r="EJ22" i="3"/>
  <c r="EK22" i="3"/>
  <c r="EL22" i="3"/>
  <c r="EM22" i="3"/>
  <c r="EN22" i="3"/>
  <c r="EO22" i="3"/>
  <c r="EP22" i="3"/>
  <c r="EQ22" i="3"/>
  <c r="ER22" i="3"/>
  <c r="ES22" i="3"/>
  <c r="ET22" i="3"/>
  <c r="EU22" i="3"/>
  <c r="EV22" i="3"/>
  <c r="EW22" i="3"/>
  <c r="EX22" i="3"/>
  <c r="EY22" i="3"/>
  <c r="EZ22" i="3"/>
  <c r="FA22" i="3"/>
  <c r="FB22" i="3"/>
  <c r="FC22" i="3"/>
  <c r="FD22" i="3"/>
  <c r="FE22" i="3"/>
  <c r="FF22" i="3"/>
  <c r="FG22" i="3"/>
  <c r="FH22" i="3"/>
  <c r="FI22" i="3"/>
  <c r="FJ22" i="3"/>
  <c r="FK22" i="3"/>
  <c r="FL22" i="3"/>
  <c r="FM22" i="3"/>
  <c r="FN22" i="3"/>
  <c r="FO22" i="3"/>
  <c r="FP22" i="3"/>
  <c r="FQ22" i="3"/>
  <c r="FR22" i="3"/>
  <c r="FS22" i="3"/>
  <c r="FT22" i="3"/>
  <c r="FU22" i="3"/>
  <c r="FV22" i="3"/>
  <c r="FW22" i="3"/>
  <c r="FX22" i="3"/>
  <c r="FY22" i="3"/>
  <c r="FZ22" i="3"/>
  <c r="GA22" i="3"/>
  <c r="GB22" i="3"/>
  <c r="GC22" i="3"/>
  <c r="GD22" i="3"/>
  <c r="GE22" i="3"/>
  <c r="GF22" i="3"/>
  <c r="GG22" i="3"/>
  <c r="GH22" i="3"/>
  <c r="GI22" i="3"/>
  <c r="GJ22" i="3"/>
  <c r="GK22" i="3"/>
  <c r="GL22" i="3"/>
  <c r="GM22" i="3"/>
  <c r="GN22" i="3"/>
  <c r="GO22" i="3"/>
  <c r="GP22" i="3"/>
  <c r="GQ22" i="3"/>
  <c r="GR22" i="3"/>
  <c r="GS22" i="3"/>
  <c r="GT22" i="3"/>
  <c r="GU22" i="3"/>
  <c r="GV22" i="3"/>
  <c r="GW22" i="3"/>
  <c r="GX22" i="3"/>
  <c r="GY22" i="3"/>
  <c r="GZ22" i="3"/>
  <c r="HA22" i="3"/>
  <c r="HB22" i="3"/>
  <c r="HC22" i="3"/>
  <c r="HD22" i="3"/>
  <c r="HE22" i="3"/>
  <c r="HF22" i="3"/>
  <c r="HG22" i="3"/>
  <c r="HH22" i="3"/>
  <c r="HI22" i="3"/>
  <c r="HJ22" i="3"/>
  <c r="HK22" i="3"/>
  <c r="HL22" i="3"/>
  <c r="HM22" i="3"/>
  <c r="HN22" i="3"/>
  <c r="HO22" i="3"/>
  <c r="HP22" i="3"/>
  <c r="HQ22" i="3"/>
  <c r="HR22" i="3"/>
  <c r="HS22" i="3"/>
  <c r="HT22" i="3"/>
  <c r="HU22" i="3"/>
  <c r="HV22" i="3"/>
  <c r="HW22" i="3"/>
  <c r="HX22" i="3"/>
  <c r="HY22" i="3"/>
  <c r="HZ22" i="3"/>
  <c r="IA22" i="3"/>
  <c r="IB22" i="3"/>
  <c r="IC22" i="3"/>
  <c r="ID22" i="3"/>
  <c r="IE22" i="3"/>
  <c r="IF22" i="3"/>
  <c r="IG22" i="3"/>
  <c r="IH22" i="3"/>
  <c r="II22" i="3"/>
  <c r="IJ22" i="3"/>
  <c r="IK22" i="3"/>
  <c r="IL22" i="3"/>
  <c r="IM22" i="3"/>
  <c r="IN22" i="3"/>
  <c r="IO22" i="3"/>
  <c r="IP22" i="3"/>
  <c r="IQ22" i="3"/>
  <c r="IR22" i="3"/>
  <c r="IS22" i="3"/>
  <c r="IT22" i="3"/>
  <c r="IU22" i="3"/>
  <c r="IV22" i="3"/>
  <c r="A21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BL21" i="3"/>
  <c r="BM21" i="3"/>
  <c r="BN21" i="3"/>
  <c r="BO21" i="3"/>
  <c r="BP21" i="3"/>
  <c r="BQ21" i="3"/>
  <c r="BR21" i="3"/>
  <c r="BS21" i="3"/>
  <c r="BT21" i="3"/>
  <c r="BU21" i="3"/>
  <c r="BV21" i="3"/>
  <c r="BW21" i="3"/>
  <c r="BX21" i="3"/>
  <c r="BY21" i="3"/>
  <c r="BZ21" i="3"/>
  <c r="CA21" i="3"/>
  <c r="CB21" i="3"/>
  <c r="CC21" i="3"/>
  <c r="CD21" i="3"/>
  <c r="CE21" i="3"/>
  <c r="CF21" i="3"/>
  <c r="CG21" i="3"/>
  <c r="CH21" i="3"/>
  <c r="CI21" i="3"/>
  <c r="CJ21" i="3"/>
  <c r="CK21" i="3"/>
  <c r="CL21" i="3"/>
  <c r="CM21" i="3"/>
  <c r="CN21" i="3"/>
  <c r="CO21" i="3"/>
  <c r="CP21" i="3"/>
  <c r="CQ21" i="3"/>
  <c r="CR21" i="3"/>
  <c r="CS21" i="3"/>
  <c r="CT21" i="3"/>
  <c r="CU21" i="3"/>
  <c r="CV21" i="3"/>
  <c r="CW21" i="3"/>
  <c r="CX21" i="3"/>
  <c r="CY21" i="3"/>
  <c r="CZ21" i="3"/>
  <c r="DA21" i="3"/>
  <c r="DB21" i="3"/>
  <c r="DC21" i="3"/>
  <c r="DD21" i="3"/>
  <c r="DE21" i="3"/>
  <c r="DF21" i="3"/>
  <c r="DG21" i="3"/>
  <c r="DH21" i="3"/>
  <c r="DI21" i="3"/>
  <c r="DJ21" i="3"/>
  <c r="DK21" i="3"/>
  <c r="DL21" i="3"/>
  <c r="DM21" i="3"/>
  <c r="DN21" i="3"/>
  <c r="DO21" i="3"/>
  <c r="DP21" i="3"/>
  <c r="DQ21" i="3"/>
  <c r="DR21" i="3"/>
  <c r="DS21" i="3"/>
  <c r="DT21" i="3"/>
  <c r="DU21" i="3"/>
  <c r="DV21" i="3"/>
  <c r="DW21" i="3"/>
  <c r="DX21" i="3"/>
  <c r="DY21" i="3"/>
  <c r="DZ21" i="3"/>
  <c r="EA21" i="3"/>
  <c r="EB21" i="3"/>
  <c r="EC21" i="3"/>
  <c r="ED21" i="3"/>
  <c r="EE21" i="3"/>
  <c r="EF21" i="3"/>
  <c r="EG21" i="3"/>
  <c r="EH21" i="3"/>
  <c r="EI21" i="3"/>
  <c r="EJ21" i="3"/>
  <c r="EK21" i="3"/>
  <c r="EL21" i="3"/>
  <c r="EM21" i="3"/>
  <c r="EN21" i="3"/>
  <c r="EO21" i="3"/>
  <c r="EP21" i="3"/>
  <c r="EQ21" i="3"/>
  <c r="ER21" i="3"/>
  <c r="ES21" i="3"/>
  <c r="ET21" i="3"/>
  <c r="EU21" i="3"/>
  <c r="EV21" i="3"/>
  <c r="EW21" i="3"/>
  <c r="EX21" i="3"/>
  <c r="EY21" i="3"/>
  <c r="EZ21" i="3"/>
  <c r="FA21" i="3"/>
  <c r="FB21" i="3"/>
  <c r="FC21" i="3"/>
  <c r="FD21" i="3"/>
  <c r="FE21" i="3"/>
  <c r="FF21" i="3"/>
  <c r="FG21" i="3"/>
  <c r="FH21" i="3"/>
  <c r="FI21" i="3"/>
  <c r="FJ21" i="3"/>
  <c r="FK21" i="3"/>
  <c r="FL21" i="3"/>
  <c r="FM21" i="3"/>
  <c r="FN21" i="3"/>
  <c r="FO21" i="3"/>
  <c r="FP21" i="3"/>
  <c r="FQ21" i="3"/>
  <c r="FR21" i="3"/>
  <c r="FS21" i="3"/>
  <c r="FT21" i="3"/>
  <c r="FU21" i="3"/>
  <c r="FV21" i="3"/>
  <c r="FW21" i="3"/>
  <c r="FX21" i="3"/>
  <c r="FY21" i="3"/>
  <c r="FZ21" i="3"/>
  <c r="GA21" i="3"/>
  <c r="GB21" i="3"/>
  <c r="GC21" i="3"/>
  <c r="GD21" i="3"/>
  <c r="GE21" i="3"/>
  <c r="GF21" i="3"/>
  <c r="GG21" i="3"/>
  <c r="GH21" i="3"/>
  <c r="GI21" i="3"/>
  <c r="GJ21" i="3"/>
  <c r="GK21" i="3"/>
  <c r="GL21" i="3"/>
  <c r="GM21" i="3"/>
  <c r="GN21" i="3"/>
  <c r="GO21" i="3"/>
  <c r="GP21" i="3"/>
  <c r="GQ21" i="3"/>
  <c r="GR21" i="3"/>
  <c r="GS21" i="3"/>
  <c r="GT21" i="3"/>
  <c r="GU21" i="3"/>
  <c r="GV21" i="3"/>
  <c r="GW21" i="3"/>
  <c r="GX21" i="3"/>
  <c r="GY21" i="3"/>
  <c r="GZ21" i="3"/>
  <c r="HA21" i="3"/>
  <c r="HB21" i="3"/>
  <c r="HC21" i="3"/>
  <c r="HD21" i="3"/>
  <c r="HE21" i="3"/>
  <c r="HF21" i="3"/>
  <c r="HG21" i="3"/>
  <c r="HH21" i="3"/>
  <c r="HI21" i="3"/>
  <c r="HJ21" i="3"/>
  <c r="HK21" i="3"/>
  <c r="HL21" i="3"/>
  <c r="HM21" i="3"/>
  <c r="HN21" i="3"/>
  <c r="HO21" i="3"/>
  <c r="HP21" i="3"/>
  <c r="HQ21" i="3"/>
  <c r="HR21" i="3"/>
  <c r="HS21" i="3"/>
  <c r="HT21" i="3"/>
  <c r="HU21" i="3"/>
  <c r="HV21" i="3"/>
  <c r="HW21" i="3"/>
  <c r="HX21" i="3"/>
  <c r="HY21" i="3"/>
  <c r="HZ21" i="3"/>
  <c r="IA21" i="3"/>
  <c r="IB21" i="3"/>
  <c r="IC21" i="3"/>
  <c r="ID21" i="3"/>
  <c r="IE21" i="3"/>
  <c r="IF21" i="3"/>
  <c r="IG21" i="3"/>
  <c r="IH21" i="3"/>
  <c r="II21" i="3"/>
  <c r="IJ21" i="3"/>
  <c r="IK21" i="3"/>
  <c r="IL21" i="3"/>
  <c r="IM21" i="3"/>
  <c r="IN21" i="3"/>
  <c r="IO21" i="3"/>
  <c r="IP21" i="3"/>
  <c r="IQ21" i="3"/>
  <c r="IR21" i="3"/>
  <c r="IS21" i="3"/>
  <c r="IT21" i="3"/>
  <c r="IU21" i="3"/>
  <c r="IV21" i="3"/>
  <c r="A20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CB20" i="3"/>
  <c r="CC20" i="3"/>
  <c r="CD20" i="3"/>
  <c r="CE20" i="3"/>
  <c r="CF20" i="3"/>
  <c r="CG20" i="3"/>
  <c r="CH20" i="3"/>
  <c r="CI20" i="3"/>
  <c r="CJ20" i="3"/>
  <c r="CK20" i="3"/>
  <c r="CL20" i="3"/>
  <c r="CM20" i="3"/>
  <c r="CN20" i="3"/>
  <c r="CO20" i="3"/>
  <c r="CP20" i="3"/>
  <c r="CQ20" i="3"/>
  <c r="CR20" i="3"/>
  <c r="CS20" i="3"/>
  <c r="CT20" i="3"/>
  <c r="CU20" i="3"/>
  <c r="CV20" i="3"/>
  <c r="CW20" i="3"/>
  <c r="CX20" i="3"/>
  <c r="CY20" i="3"/>
  <c r="CZ20" i="3"/>
  <c r="DA20" i="3"/>
  <c r="DB20" i="3"/>
  <c r="DC20" i="3"/>
  <c r="DD20" i="3"/>
  <c r="DE20" i="3"/>
  <c r="DF20" i="3"/>
  <c r="DG20" i="3"/>
  <c r="DH20" i="3"/>
  <c r="DI20" i="3"/>
  <c r="DJ20" i="3"/>
  <c r="DK20" i="3"/>
  <c r="DL20" i="3"/>
  <c r="DM20" i="3"/>
  <c r="DN20" i="3"/>
  <c r="DO20" i="3"/>
  <c r="DP20" i="3"/>
  <c r="DQ20" i="3"/>
  <c r="DR20" i="3"/>
  <c r="DS20" i="3"/>
  <c r="DT20" i="3"/>
  <c r="DU20" i="3"/>
  <c r="DV20" i="3"/>
  <c r="DW20" i="3"/>
  <c r="DX20" i="3"/>
  <c r="DY20" i="3"/>
  <c r="DZ20" i="3"/>
  <c r="EA20" i="3"/>
  <c r="EB20" i="3"/>
  <c r="EC20" i="3"/>
  <c r="ED20" i="3"/>
  <c r="EE20" i="3"/>
  <c r="EF20" i="3"/>
  <c r="EG20" i="3"/>
  <c r="EH20" i="3"/>
  <c r="EI20" i="3"/>
  <c r="EJ20" i="3"/>
  <c r="EK20" i="3"/>
  <c r="EL20" i="3"/>
  <c r="EM20" i="3"/>
  <c r="EN20" i="3"/>
  <c r="EO20" i="3"/>
  <c r="EP20" i="3"/>
  <c r="EQ20" i="3"/>
  <c r="ER20" i="3"/>
  <c r="ES20" i="3"/>
  <c r="ET20" i="3"/>
  <c r="EU20" i="3"/>
  <c r="EV20" i="3"/>
  <c r="EW20" i="3"/>
  <c r="EX20" i="3"/>
  <c r="EY20" i="3"/>
  <c r="EZ20" i="3"/>
  <c r="FA20" i="3"/>
  <c r="FB20" i="3"/>
  <c r="FC20" i="3"/>
  <c r="FD20" i="3"/>
  <c r="FE20" i="3"/>
  <c r="FF20" i="3"/>
  <c r="FG20" i="3"/>
  <c r="FH20" i="3"/>
  <c r="FI20" i="3"/>
  <c r="FJ20" i="3"/>
  <c r="FK20" i="3"/>
  <c r="FL20" i="3"/>
  <c r="FM20" i="3"/>
  <c r="FN20" i="3"/>
  <c r="FO20" i="3"/>
  <c r="FP20" i="3"/>
  <c r="FQ20" i="3"/>
  <c r="FR20" i="3"/>
  <c r="FS20" i="3"/>
  <c r="FT20" i="3"/>
  <c r="FU20" i="3"/>
  <c r="FV20" i="3"/>
  <c r="FW20" i="3"/>
  <c r="FX20" i="3"/>
  <c r="FY20" i="3"/>
  <c r="FZ20" i="3"/>
  <c r="GA20" i="3"/>
  <c r="GB20" i="3"/>
  <c r="GC20" i="3"/>
  <c r="GD20" i="3"/>
  <c r="GE20" i="3"/>
  <c r="GF20" i="3"/>
  <c r="GG20" i="3"/>
  <c r="GH20" i="3"/>
  <c r="GI20" i="3"/>
  <c r="GJ20" i="3"/>
  <c r="GK20" i="3"/>
  <c r="GL20" i="3"/>
  <c r="GM20" i="3"/>
  <c r="GN20" i="3"/>
  <c r="GO20" i="3"/>
  <c r="GP20" i="3"/>
  <c r="GQ20" i="3"/>
  <c r="GR20" i="3"/>
  <c r="GS20" i="3"/>
  <c r="GT20" i="3"/>
  <c r="GU20" i="3"/>
  <c r="GV20" i="3"/>
  <c r="GW20" i="3"/>
  <c r="GX20" i="3"/>
  <c r="GY20" i="3"/>
  <c r="GZ20" i="3"/>
  <c r="HA20" i="3"/>
  <c r="HB20" i="3"/>
  <c r="HC20" i="3"/>
  <c r="HD20" i="3"/>
  <c r="HE20" i="3"/>
  <c r="HF20" i="3"/>
  <c r="HG20" i="3"/>
  <c r="HH20" i="3"/>
  <c r="HI20" i="3"/>
  <c r="HJ20" i="3"/>
  <c r="HK20" i="3"/>
  <c r="HL20" i="3"/>
  <c r="HM20" i="3"/>
  <c r="HN20" i="3"/>
  <c r="HO20" i="3"/>
  <c r="HP20" i="3"/>
  <c r="HQ20" i="3"/>
  <c r="HR20" i="3"/>
  <c r="HS20" i="3"/>
  <c r="HT20" i="3"/>
  <c r="HU20" i="3"/>
  <c r="HV20" i="3"/>
  <c r="HW20" i="3"/>
  <c r="HX20" i="3"/>
  <c r="HY20" i="3"/>
  <c r="HZ20" i="3"/>
  <c r="IA20" i="3"/>
  <c r="IB20" i="3"/>
  <c r="IC20" i="3"/>
  <c r="ID20" i="3"/>
  <c r="IE20" i="3"/>
  <c r="IF20" i="3"/>
  <c r="IG20" i="3"/>
  <c r="IH20" i="3"/>
  <c r="II20" i="3"/>
  <c r="IJ20" i="3"/>
  <c r="IK20" i="3"/>
  <c r="IL20" i="3"/>
  <c r="IM20" i="3"/>
  <c r="IN20" i="3"/>
  <c r="IO20" i="3"/>
  <c r="IP20" i="3"/>
  <c r="IQ20" i="3"/>
  <c r="IR20" i="3"/>
  <c r="IS20" i="3"/>
  <c r="IT20" i="3"/>
  <c r="IU20" i="3"/>
  <c r="IV20" i="3"/>
  <c r="A19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BQ19" i="3"/>
  <c r="BR19" i="3"/>
  <c r="BS19" i="3"/>
  <c r="BT19" i="3"/>
  <c r="BU19" i="3"/>
  <c r="BV19" i="3"/>
  <c r="BW19" i="3"/>
  <c r="BX19" i="3"/>
  <c r="BY19" i="3"/>
  <c r="BZ19" i="3"/>
  <c r="CA19" i="3"/>
  <c r="CB19" i="3"/>
  <c r="CC19" i="3"/>
  <c r="CD19" i="3"/>
  <c r="CE19" i="3"/>
  <c r="CF19" i="3"/>
  <c r="CG19" i="3"/>
  <c r="CH19" i="3"/>
  <c r="CI19" i="3"/>
  <c r="CJ19" i="3"/>
  <c r="CK19" i="3"/>
  <c r="CL19" i="3"/>
  <c r="CM19" i="3"/>
  <c r="CN19" i="3"/>
  <c r="CO19" i="3"/>
  <c r="CP19" i="3"/>
  <c r="CQ19" i="3"/>
  <c r="CR19" i="3"/>
  <c r="CS19" i="3"/>
  <c r="CT19" i="3"/>
  <c r="CU19" i="3"/>
  <c r="CV19" i="3"/>
  <c r="CW19" i="3"/>
  <c r="CX19" i="3"/>
  <c r="CY19" i="3"/>
  <c r="CZ19" i="3"/>
  <c r="DA19" i="3"/>
  <c r="DB19" i="3"/>
  <c r="DC19" i="3"/>
  <c r="DD19" i="3"/>
  <c r="DE19" i="3"/>
  <c r="DF19" i="3"/>
  <c r="DG19" i="3"/>
  <c r="DH19" i="3"/>
  <c r="DI19" i="3"/>
  <c r="DJ19" i="3"/>
  <c r="DK19" i="3"/>
  <c r="DL19" i="3"/>
  <c r="DM19" i="3"/>
  <c r="DN19" i="3"/>
  <c r="DO19" i="3"/>
  <c r="DP19" i="3"/>
  <c r="DQ19" i="3"/>
  <c r="DR19" i="3"/>
  <c r="DS19" i="3"/>
  <c r="DT19" i="3"/>
  <c r="DU19" i="3"/>
  <c r="DV19" i="3"/>
  <c r="DW19" i="3"/>
  <c r="DX19" i="3"/>
  <c r="DY19" i="3"/>
  <c r="DZ19" i="3"/>
  <c r="EA19" i="3"/>
  <c r="EB19" i="3"/>
  <c r="EC19" i="3"/>
  <c r="ED19" i="3"/>
  <c r="EE19" i="3"/>
  <c r="EF19" i="3"/>
  <c r="EG19" i="3"/>
  <c r="EH19" i="3"/>
  <c r="EI19" i="3"/>
  <c r="EJ19" i="3"/>
  <c r="EK19" i="3"/>
  <c r="EL19" i="3"/>
  <c r="EM19" i="3"/>
  <c r="EN19" i="3"/>
  <c r="EO19" i="3"/>
  <c r="EP19" i="3"/>
  <c r="EQ19" i="3"/>
  <c r="ER19" i="3"/>
  <c r="ES19" i="3"/>
  <c r="ET19" i="3"/>
  <c r="EU19" i="3"/>
  <c r="EV19" i="3"/>
  <c r="EW19" i="3"/>
  <c r="EX19" i="3"/>
  <c r="EY19" i="3"/>
  <c r="EZ19" i="3"/>
  <c r="FA19" i="3"/>
  <c r="FB19" i="3"/>
  <c r="FC19" i="3"/>
  <c r="FD19" i="3"/>
  <c r="FE19" i="3"/>
  <c r="FF19" i="3"/>
  <c r="FG19" i="3"/>
  <c r="FH19" i="3"/>
  <c r="FI19" i="3"/>
  <c r="FJ19" i="3"/>
  <c r="FK19" i="3"/>
  <c r="FL19" i="3"/>
  <c r="FM19" i="3"/>
  <c r="FN19" i="3"/>
  <c r="FO19" i="3"/>
  <c r="FP19" i="3"/>
  <c r="FQ19" i="3"/>
  <c r="FR19" i="3"/>
  <c r="FS19" i="3"/>
  <c r="FT19" i="3"/>
  <c r="FU19" i="3"/>
  <c r="FV19" i="3"/>
  <c r="FW19" i="3"/>
  <c r="FX19" i="3"/>
  <c r="FY19" i="3"/>
  <c r="FZ19" i="3"/>
  <c r="GA19" i="3"/>
  <c r="GB19" i="3"/>
  <c r="GC19" i="3"/>
  <c r="GD19" i="3"/>
  <c r="GE19" i="3"/>
  <c r="GF19" i="3"/>
  <c r="GG19" i="3"/>
  <c r="GH19" i="3"/>
  <c r="GI19" i="3"/>
  <c r="GJ19" i="3"/>
  <c r="GK19" i="3"/>
  <c r="GL19" i="3"/>
  <c r="GM19" i="3"/>
  <c r="GN19" i="3"/>
  <c r="GO19" i="3"/>
  <c r="GP19" i="3"/>
  <c r="GQ19" i="3"/>
  <c r="GR19" i="3"/>
  <c r="GS19" i="3"/>
  <c r="GT19" i="3"/>
  <c r="GU19" i="3"/>
  <c r="GV19" i="3"/>
  <c r="GW19" i="3"/>
  <c r="GX19" i="3"/>
  <c r="GY19" i="3"/>
  <c r="GZ19" i="3"/>
  <c r="HA19" i="3"/>
  <c r="HB19" i="3"/>
  <c r="HC19" i="3"/>
  <c r="HD19" i="3"/>
  <c r="HE19" i="3"/>
  <c r="HF19" i="3"/>
  <c r="HG19" i="3"/>
  <c r="HH19" i="3"/>
  <c r="HI19" i="3"/>
  <c r="HJ19" i="3"/>
  <c r="HK19" i="3"/>
  <c r="HL19" i="3"/>
  <c r="HM19" i="3"/>
  <c r="HN19" i="3"/>
  <c r="HO19" i="3"/>
  <c r="HP19" i="3"/>
  <c r="HQ19" i="3"/>
  <c r="HR19" i="3"/>
  <c r="HS19" i="3"/>
  <c r="HT19" i="3"/>
  <c r="HU19" i="3"/>
  <c r="HV19" i="3"/>
  <c r="HW19" i="3"/>
  <c r="HX19" i="3"/>
  <c r="HY19" i="3"/>
  <c r="HZ19" i="3"/>
  <c r="IA19" i="3"/>
  <c r="IB19" i="3"/>
  <c r="IC19" i="3"/>
  <c r="ID19" i="3"/>
  <c r="IE19" i="3"/>
  <c r="IF19" i="3"/>
  <c r="IG19" i="3"/>
  <c r="IH19" i="3"/>
  <c r="II19" i="3"/>
  <c r="IJ19" i="3"/>
  <c r="IK19" i="3"/>
  <c r="IL19" i="3"/>
  <c r="IM19" i="3"/>
  <c r="IN19" i="3"/>
  <c r="IO19" i="3"/>
  <c r="IP19" i="3"/>
  <c r="IQ19" i="3"/>
  <c r="IR19" i="3"/>
  <c r="IS19" i="3"/>
  <c r="IT19" i="3"/>
  <c r="IU19" i="3"/>
  <c r="IV19" i="3"/>
  <c r="A18" i="3"/>
  <c r="B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BM18" i="3"/>
  <c r="BN18" i="3"/>
  <c r="BO18" i="3"/>
  <c r="BP18" i="3"/>
  <c r="BQ18" i="3"/>
  <c r="BR18" i="3"/>
  <c r="BS18" i="3"/>
  <c r="BT18" i="3"/>
  <c r="BU18" i="3"/>
  <c r="BV18" i="3"/>
  <c r="BW18" i="3"/>
  <c r="BX18" i="3"/>
  <c r="BY18" i="3"/>
  <c r="BZ18" i="3"/>
  <c r="CA18" i="3"/>
  <c r="CB18" i="3"/>
  <c r="CC18" i="3"/>
  <c r="CD18" i="3"/>
  <c r="CE18" i="3"/>
  <c r="CF18" i="3"/>
  <c r="CG18" i="3"/>
  <c r="CH18" i="3"/>
  <c r="CI18" i="3"/>
  <c r="CJ18" i="3"/>
  <c r="CK18" i="3"/>
  <c r="CL18" i="3"/>
  <c r="CM18" i="3"/>
  <c r="CN18" i="3"/>
  <c r="CO18" i="3"/>
  <c r="CP18" i="3"/>
  <c r="CQ18" i="3"/>
  <c r="CR18" i="3"/>
  <c r="CS18" i="3"/>
  <c r="CT18" i="3"/>
  <c r="CU18" i="3"/>
  <c r="CV18" i="3"/>
  <c r="CW18" i="3"/>
  <c r="CX18" i="3"/>
  <c r="CY18" i="3"/>
  <c r="CZ18" i="3"/>
  <c r="DA18" i="3"/>
  <c r="DB18" i="3"/>
  <c r="DC18" i="3"/>
  <c r="DD18" i="3"/>
  <c r="DE18" i="3"/>
  <c r="DF18" i="3"/>
  <c r="DG18" i="3"/>
  <c r="DH18" i="3"/>
  <c r="DI18" i="3"/>
  <c r="DJ18" i="3"/>
  <c r="DK18" i="3"/>
  <c r="DL18" i="3"/>
  <c r="DM18" i="3"/>
  <c r="DN18" i="3"/>
  <c r="DO18" i="3"/>
  <c r="DP18" i="3"/>
  <c r="DQ18" i="3"/>
  <c r="DR18" i="3"/>
  <c r="DS18" i="3"/>
  <c r="DT18" i="3"/>
  <c r="DU18" i="3"/>
  <c r="DV18" i="3"/>
  <c r="DW18" i="3"/>
  <c r="DX18" i="3"/>
  <c r="DY18" i="3"/>
  <c r="DZ18" i="3"/>
  <c r="EA18" i="3"/>
  <c r="EB18" i="3"/>
  <c r="EC18" i="3"/>
  <c r="ED18" i="3"/>
  <c r="EE18" i="3"/>
  <c r="EF18" i="3"/>
  <c r="EG18" i="3"/>
  <c r="EH18" i="3"/>
  <c r="EI18" i="3"/>
  <c r="EJ18" i="3"/>
  <c r="EK18" i="3"/>
  <c r="EL18" i="3"/>
  <c r="EM18" i="3"/>
  <c r="EN18" i="3"/>
  <c r="EO18" i="3"/>
  <c r="EP18" i="3"/>
  <c r="EQ18" i="3"/>
  <c r="ER18" i="3"/>
  <c r="ES18" i="3"/>
  <c r="ET18" i="3"/>
  <c r="EU18" i="3"/>
  <c r="EV18" i="3"/>
  <c r="EW18" i="3"/>
  <c r="EX18" i="3"/>
  <c r="EY18" i="3"/>
  <c r="EZ18" i="3"/>
  <c r="FA18" i="3"/>
  <c r="FB18" i="3"/>
  <c r="FC18" i="3"/>
  <c r="FD18" i="3"/>
  <c r="FE18" i="3"/>
  <c r="FF18" i="3"/>
  <c r="FG18" i="3"/>
  <c r="FH18" i="3"/>
  <c r="FI18" i="3"/>
  <c r="FJ18" i="3"/>
  <c r="FK18" i="3"/>
  <c r="FL18" i="3"/>
  <c r="FM18" i="3"/>
  <c r="FN18" i="3"/>
  <c r="FO18" i="3"/>
  <c r="FP18" i="3"/>
  <c r="FQ18" i="3"/>
  <c r="FR18" i="3"/>
  <c r="FS18" i="3"/>
  <c r="FT18" i="3"/>
  <c r="FU18" i="3"/>
  <c r="FV18" i="3"/>
  <c r="FW18" i="3"/>
  <c r="FX18" i="3"/>
  <c r="FY18" i="3"/>
  <c r="FZ18" i="3"/>
  <c r="GA18" i="3"/>
  <c r="GB18" i="3"/>
  <c r="GC18" i="3"/>
  <c r="GD18" i="3"/>
  <c r="GE18" i="3"/>
  <c r="GF18" i="3"/>
  <c r="GG18" i="3"/>
  <c r="GH18" i="3"/>
  <c r="GI18" i="3"/>
  <c r="GJ18" i="3"/>
  <c r="GK18" i="3"/>
  <c r="GL18" i="3"/>
  <c r="GM18" i="3"/>
  <c r="GN18" i="3"/>
  <c r="GO18" i="3"/>
  <c r="GP18" i="3"/>
  <c r="GQ18" i="3"/>
  <c r="GR18" i="3"/>
  <c r="GS18" i="3"/>
  <c r="GT18" i="3"/>
  <c r="GU18" i="3"/>
  <c r="GV18" i="3"/>
  <c r="GW18" i="3"/>
  <c r="GX18" i="3"/>
  <c r="GY18" i="3"/>
  <c r="GZ18" i="3"/>
  <c r="HA18" i="3"/>
  <c r="HB18" i="3"/>
  <c r="HC18" i="3"/>
  <c r="HD18" i="3"/>
  <c r="HE18" i="3"/>
  <c r="HF18" i="3"/>
  <c r="HG18" i="3"/>
  <c r="HH18" i="3"/>
  <c r="HI18" i="3"/>
  <c r="HJ18" i="3"/>
  <c r="HK18" i="3"/>
  <c r="HL18" i="3"/>
  <c r="HM18" i="3"/>
  <c r="HN18" i="3"/>
  <c r="HO18" i="3"/>
  <c r="HP18" i="3"/>
  <c r="HQ18" i="3"/>
  <c r="HR18" i="3"/>
  <c r="HS18" i="3"/>
  <c r="HT18" i="3"/>
  <c r="HU18" i="3"/>
  <c r="HV18" i="3"/>
  <c r="HW18" i="3"/>
  <c r="HX18" i="3"/>
  <c r="HY18" i="3"/>
  <c r="HZ18" i="3"/>
  <c r="IA18" i="3"/>
  <c r="IB18" i="3"/>
  <c r="IC18" i="3"/>
  <c r="ID18" i="3"/>
  <c r="IE18" i="3"/>
  <c r="IF18" i="3"/>
  <c r="IG18" i="3"/>
  <c r="IH18" i="3"/>
  <c r="II18" i="3"/>
  <c r="IJ18" i="3"/>
  <c r="IK18" i="3"/>
  <c r="IL18" i="3"/>
  <c r="IM18" i="3"/>
  <c r="IN18" i="3"/>
  <c r="IO18" i="3"/>
  <c r="IP18" i="3"/>
  <c r="IQ18" i="3"/>
  <c r="IR18" i="3"/>
  <c r="IS18" i="3"/>
  <c r="IT18" i="3"/>
  <c r="IU18" i="3"/>
  <c r="IV18" i="3"/>
  <c r="A17" i="3"/>
  <c r="B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W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BK17" i="3"/>
  <c r="BL17" i="3"/>
  <c r="BM17" i="3"/>
  <c r="BN17" i="3"/>
  <c r="BO17" i="3"/>
  <c r="BP17" i="3"/>
  <c r="BQ17" i="3"/>
  <c r="BR17" i="3"/>
  <c r="BS17" i="3"/>
  <c r="BT17" i="3"/>
  <c r="BU17" i="3"/>
  <c r="BV17" i="3"/>
  <c r="BW17" i="3"/>
  <c r="BX17" i="3"/>
  <c r="BY17" i="3"/>
  <c r="BZ17" i="3"/>
  <c r="CA17" i="3"/>
  <c r="CB17" i="3"/>
  <c r="CC17" i="3"/>
  <c r="CD17" i="3"/>
  <c r="CE17" i="3"/>
  <c r="CF17" i="3"/>
  <c r="CG17" i="3"/>
  <c r="CH17" i="3"/>
  <c r="CI17" i="3"/>
  <c r="CJ17" i="3"/>
  <c r="CK17" i="3"/>
  <c r="CL17" i="3"/>
  <c r="CM17" i="3"/>
  <c r="CN17" i="3"/>
  <c r="CO17" i="3"/>
  <c r="CP17" i="3"/>
  <c r="CQ17" i="3"/>
  <c r="CR17" i="3"/>
  <c r="CS17" i="3"/>
  <c r="CT17" i="3"/>
  <c r="CU17" i="3"/>
  <c r="CV17" i="3"/>
  <c r="CW17" i="3"/>
  <c r="CX17" i="3"/>
  <c r="CY17" i="3"/>
  <c r="CZ17" i="3"/>
  <c r="DA17" i="3"/>
  <c r="DB17" i="3"/>
  <c r="DC17" i="3"/>
  <c r="DD17" i="3"/>
  <c r="DE17" i="3"/>
  <c r="DF17" i="3"/>
  <c r="DG17" i="3"/>
  <c r="DH17" i="3"/>
  <c r="DI17" i="3"/>
  <c r="DJ17" i="3"/>
  <c r="DK17" i="3"/>
  <c r="DL17" i="3"/>
  <c r="DM17" i="3"/>
  <c r="DN17" i="3"/>
  <c r="DO17" i="3"/>
  <c r="DP17" i="3"/>
  <c r="DQ17" i="3"/>
  <c r="DR17" i="3"/>
  <c r="DS17" i="3"/>
  <c r="DT17" i="3"/>
  <c r="DU17" i="3"/>
  <c r="DV17" i="3"/>
  <c r="DW17" i="3"/>
  <c r="DX17" i="3"/>
  <c r="DY17" i="3"/>
  <c r="DZ17" i="3"/>
  <c r="EA17" i="3"/>
  <c r="EB17" i="3"/>
  <c r="EC17" i="3"/>
  <c r="ED17" i="3"/>
  <c r="EE17" i="3"/>
  <c r="EF17" i="3"/>
  <c r="EG17" i="3"/>
  <c r="EH17" i="3"/>
  <c r="EI17" i="3"/>
  <c r="EJ17" i="3"/>
  <c r="EK17" i="3"/>
  <c r="EL17" i="3"/>
  <c r="EM17" i="3"/>
  <c r="EN17" i="3"/>
  <c r="EO17" i="3"/>
  <c r="EP17" i="3"/>
  <c r="EQ17" i="3"/>
  <c r="ER17" i="3"/>
  <c r="ES17" i="3"/>
  <c r="ET17" i="3"/>
  <c r="EU17" i="3"/>
  <c r="EV17" i="3"/>
  <c r="EW17" i="3"/>
  <c r="EX17" i="3"/>
  <c r="EY17" i="3"/>
  <c r="EZ17" i="3"/>
  <c r="FA17" i="3"/>
  <c r="FB17" i="3"/>
  <c r="FC17" i="3"/>
  <c r="FD17" i="3"/>
  <c r="FE17" i="3"/>
  <c r="FF17" i="3"/>
  <c r="FG17" i="3"/>
  <c r="FH17" i="3"/>
  <c r="FI17" i="3"/>
  <c r="FJ17" i="3"/>
  <c r="FK17" i="3"/>
  <c r="FL17" i="3"/>
  <c r="FM17" i="3"/>
  <c r="FN17" i="3"/>
  <c r="FO17" i="3"/>
  <c r="FP17" i="3"/>
  <c r="FQ17" i="3"/>
  <c r="FR17" i="3"/>
  <c r="FS17" i="3"/>
  <c r="FT17" i="3"/>
  <c r="FU17" i="3"/>
  <c r="FV17" i="3"/>
  <c r="FW17" i="3"/>
  <c r="FX17" i="3"/>
  <c r="FY17" i="3"/>
  <c r="FZ17" i="3"/>
  <c r="GA17" i="3"/>
  <c r="GB17" i="3"/>
  <c r="GC17" i="3"/>
  <c r="GD17" i="3"/>
  <c r="GE17" i="3"/>
  <c r="GF17" i="3"/>
  <c r="GG17" i="3"/>
  <c r="GH17" i="3"/>
  <c r="GI17" i="3"/>
  <c r="GJ17" i="3"/>
  <c r="GK17" i="3"/>
  <c r="GL17" i="3"/>
  <c r="GM17" i="3"/>
  <c r="GN17" i="3"/>
  <c r="GO17" i="3"/>
  <c r="GP17" i="3"/>
  <c r="GQ17" i="3"/>
  <c r="GR17" i="3"/>
  <c r="GS17" i="3"/>
  <c r="GT17" i="3"/>
  <c r="GU17" i="3"/>
  <c r="GV17" i="3"/>
  <c r="GW17" i="3"/>
  <c r="GX17" i="3"/>
  <c r="GY17" i="3"/>
  <c r="GZ17" i="3"/>
  <c r="HA17" i="3"/>
  <c r="HB17" i="3"/>
  <c r="HC17" i="3"/>
  <c r="HD17" i="3"/>
  <c r="HE17" i="3"/>
  <c r="HF17" i="3"/>
  <c r="HG17" i="3"/>
  <c r="HH17" i="3"/>
  <c r="HI17" i="3"/>
  <c r="HJ17" i="3"/>
  <c r="HK17" i="3"/>
  <c r="HL17" i="3"/>
  <c r="HM17" i="3"/>
  <c r="HN17" i="3"/>
  <c r="HO17" i="3"/>
  <c r="HP17" i="3"/>
  <c r="HQ17" i="3"/>
  <c r="HR17" i="3"/>
  <c r="HS17" i="3"/>
  <c r="HT17" i="3"/>
  <c r="HU17" i="3"/>
  <c r="HV17" i="3"/>
  <c r="HW17" i="3"/>
  <c r="HX17" i="3"/>
  <c r="HY17" i="3"/>
  <c r="HZ17" i="3"/>
  <c r="IA17" i="3"/>
  <c r="IB17" i="3"/>
  <c r="IC17" i="3"/>
  <c r="ID17" i="3"/>
  <c r="IE17" i="3"/>
  <c r="IF17" i="3"/>
  <c r="IG17" i="3"/>
  <c r="IH17" i="3"/>
  <c r="II17" i="3"/>
  <c r="IJ17" i="3"/>
  <c r="IK17" i="3"/>
  <c r="IL17" i="3"/>
  <c r="IM17" i="3"/>
  <c r="IN17" i="3"/>
  <c r="IO17" i="3"/>
  <c r="IP17" i="3"/>
  <c r="IQ17" i="3"/>
  <c r="IR17" i="3"/>
  <c r="IS17" i="3"/>
  <c r="IT17" i="3"/>
  <c r="IU17" i="3"/>
  <c r="IV17" i="3"/>
  <c r="A16" i="3"/>
  <c r="B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L16" i="3"/>
  <c r="BM16" i="3"/>
  <c r="BN16" i="3"/>
  <c r="BO16" i="3"/>
  <c r="BP16" i="3"/>
  <c r="BQ16" i="3"/>
  <c r="BR16" i="3"/>
  <c r="BS16" i="3"/>
  <c r="BT16" i="3"/>
  <c r="BU16" i="3"/>
  <c r="BV16" i="3"/>
  <c r="BW16" i="3"/>
  <c r="BX16" i="3"/>
  <c r="BY16" i="3"/>
  <c r="BZ16" i="3"/>
  <c r="CA16" i="3"/>
  <c r="CB16" i="3"/>
  <c r="CC16" i="3"/>
  <c r="CD16" i="3"/>
  <c r="CE16" i="3"/>
  <c r="CF16" i="3"/>
  <c r="CG16" i="3"/>
  <c r="CH16" i="3"/>
  <c r="CI16" i="3"/>
  <c r="CJ16" i="3"/>
  <c r="CK16" i="3"/>
  <c r="CL16" i="3"/>
  <c r="CM16" i="3"/>
  <c r="CN16" i="3"/>
  <c r="CO16" i="3"/>
  <c r="CP16" i="3"/>
  <c r="CQ16" i="3"/>
  <c r="CR16" i="3"/>
  <c r="CS16" i="3"/>
  <c r="CT16" i="3"/>
  <c r="CU16" i="3"/>
  <c r="CV16" i="3"/>
  <c r="CW16" i="3"/>
  <c r="CX16" i="3"/>
  <c r="CY16" i="3"/>
  <c r="CZ16" i="3"/>
  <c r="DA16" i="3"/>
  <c r="DB16" i="3"/>
  <c r="DC16" i="3"/>
  <c r="DD16" i="3"/>
  <c r="DE16" i="3"/>
  <c r="DF16" i="3"/>
  <c r="DG16" i="3"/>
  <c r="DH16" i="3"/>
  <c r="DI16" i="3"/>
  <c r="DJ16" i="3"/>
  <c r="DK16" i="3"/>
  <c r="DL16" i="3"/>
  <c r="DM16" i="3"/>
  <c r="DN16" i="3"/>
  <c r="DO16" i="3"/>
  <c r="DP16" i="3"/>
  <c r="DQ16" i="3"/>
  <c r="DR16" i="3"/>
  <c r="DS16" i="3"/>
  <c r="DT16" i="3"/>
  <c r="DU16" i="3"/>
  <c r="DV16" i="3"/>
  <c r="DW16" i="3"/>
  <c r="DX16" i="3"/>
  <c r="DY16" i="3"/>
  <c r="DZ16" i="3"/>
  <c r="EA16" i="3"/>
  <c r="EB16" i="3"/>
  <c r="EC16" i="3"/>
  <c r="ED16" i="3"/>
  <c r="EE16" i="3"/>
  <c r="EF16" i="3"/>
  <c r="EG16" i="3"/>
  <c r="EH16" i="3"/>
  <c r="EI16" i="3"/>
  <c r="EJ16" i="3"/>
  <c r="EK16" i="3"/>
  <c r="EL16" i="3"/>
  <c r="EM16" i="3"/>
  <c r="EN16" i="3"/>
  <c r="EO16" i="3"/>
  <c r="EP16" i="3"/>
  <c r="EQ16" i="3"/>
  <c r="ER16" i="3"/>
  <c r="ES16" i="3"/>
  <c r="ET16" i="3"/>
  <c r="EU16" i="3"/>
  <c r="EV16" i="3"/>
  <c r="EW16" i="3"/>
  <c r="EX16" i="3"/>
  <c r="EY16" i="3"/>
  <c r="EZ16" i="3"/>
  <c r="FA16" i="3"/>
  <c r="FB16" i="3"/>
  <c r="FC16" i="3"/>
  <c r="FD16" i="3"/>
  <c r="FE16" i="3"/>
  <c r="FF16" i="3"/>
  <c r="FG16" i="3"/>
  <c r="FH16" i="3"/>
  <c r="FI16" i="3"/>
  <c r="FJ16" i="3"/>
  <c r="FK16" i="3"/>
  <c r="FL16" i="3"/>
  <c r="FM16" i="3"/>
  <c r="FN16" i="3"/>
  <c r="FO16" i="3"/>
  <c r="FP16" i="3"/>
  <c r="FQ16" i="3"/>
  <c r="FR16" i="3"/>
  <c r="FS16" i="3"/>
  <c r="FT16" i="3"/>
  <c r="FU16" i="3"/>
  <c r="FV16" i="3"/>
  <c r="FW16" i="3"/>
  <c r="FX16" i="3"/>
  <c r="FY16" i="3"/>
  <c r="FZ16" i="3"/>
  <c r="GA16" i="3"/>
  <c r="GB16" i="3"/>
  <c r="GC16" i="3"/>
  <c r="GD16" i="3"/>
  <c r="GE16" i="3"/>
  <c r="GF16" i="3"/>
  <c r="GG16" i="3"/>
  <c r="GH16" i="3"/>
  <c r="GI16" i="3"/>
  <c r="GJ16" i="3"/>
  <c r="GK16" i="3"/>
  <c r="GL16" i="3"/>
  <c r="GM16" i="3"/>
  <c r="GN16" i="3"/>
  <c r="GO16" i="3"/>
  <c r="GP16" i="3"/>
  <c r="GQ16" i="3"/>
  <c r="GR16" i="3"/>
  <c r="GS16" i="3"/>
  <c r="GT16" i="3"/>
  <c r="GU16" i="3"/>
  <c r="GV16" i="3"/>
  <c r="GW16" i="3"/>
  <c r="GX16" i="3"/>
  <c r="GY16" i="3"/>
  <c r="GZ16" i="3"/>
  <c r="HA16" i="3"/>
  <c r="HB16" i="3"/>
  <c r="HC16" i="3"/>
  <c r="HD16" i="3"/>
  <c r="HE16" i="3"/>
  <c r="HF16" i="3"/>
  <c r="HG16" i="3"/>
  <c r="HH16" i="3"/>
  <c r="HI16" i="3"/>
  <c r="HJ16" i="3"/>
  <c r="HK16" i="3"/>
  <c r="HL16" i="3"/>
  <c r="HM16" i="3"/>
  <c r="HN16" i="3"/>
  <c r="HO16" i="3"/>
  <c r="HP16" i="3"/>
  <c r="HQ16" i="3"/>
  <c r="HR16" i="3"/>
  <c r="HS16" i="3"/>
  <c r="HT16" i="3"/>
  <c r="HU16" i="3"/>
  <c r="HV16" i="3"/>
  <c r="HW16" i="3"/>
  <c r="HX16" i="3"/>
  <c r="HY16" i="3"/>
  <c r="HZ16" i="3"/>
  <c r="IA16" i="3"/>
  <c r="IB16" i="3"/>
  <c r="IC16" i="3"/>
  <c r="ID16" i="3"/>
  <c r="IE16" i="3"/>
  <c r="IF16" i="3"/>
  <c r="IG16" i="3"/>
  <c r="IH16" i="3"/>
  <c r="II16" i="3"/>
  <c r="IJ16" i="3"/>
  <c r="IK16" i="3"/>
  <c r="IL16" i="3"/>
  <c r="IM16" i="3"/>
  <c r="IN16" i="3"/>
  <c r="IO16" i="3"/>
  <c r="IP16" i="3"/>
  <c r="IQ16" i="3"/>
  <c r="IR16" i="3"/>
  <c r="IS16" i="3"/>
  <c r="IT16" i="3"/>
  <c r="IU16" i="3"/>
  <c r="IV16" i="3"/>
  <c r="A15" i="3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BQ15" i="3"/>
  <c r="BR15" i="3"/>
  <c r="BS15" i="3"/>
  <c r="BT15" i="3"/>
  <c r="BU15" i="3"/>
  <c r="BV15" i="3"/>
  <c r="BW15" i="3"/>
  <c r="BX15" i="3"/>
  <c r="BY15" i="3"/>
  <c r="BZ15" i="3"/>
  <c r="CA15" i="3"/>
  <c r="CB15" i="3"/>
  <c r="CC15" i="3"/>
  <c r="CD15" i="3"/>
  <c r="CE15" i="3"/>
  <c r="CF15" i="3"/>
  <c r="CG15" i="3"/>
  <c r="CH15" i="3"/>
  <c r="CI15" i="3"/>
  <c r="CJ15" i="3"/>
  <c r="CK15" i="3"/>
  <c r="CL15" i="3"/>
  <c r="CM15" i="3"/>
  <c r="CN15" i="3"/>
  <c r="CO15" i="3"/>
  <c r="CP15" i="3"/>
  <c r="CQ15" i="3"/>
  <c r="CR15" i="3"/>
  <c r="CS15" i="3"/>
  <c r="CT15" i="3"/>
  <c r="CU15" i="3"/>
  <c r="CV15" i="3"/>
  <c r="CW15" i="3"/>
  <c r="CX15" i="3"/>
  <c r="CY15" i="3"/>
  <c r="CZ15" i="3"/>
  <c r="DA15" i="3"/>
  <c r="DB15" i="3"/>
  <c r="DC15" i="3"/>
  <c r="DD15" i="3"/>
  <c r="DE15" i="3"/>
  <c r="DF15" i="3"/>
  <c r="DG15" i="3"/>
  <c r="DH15" i="3"/>
  <c r="DI15" i="3"/>
  <c r="DJ15" i="3"/>
  <c r="DK15" i="3"/>
  <c r="DL15" i="3"/>
  <c r="DM15" i="3"/>
  <c r="DN15" i="3"/>
  <c r="DO15" i="3"/>
  <c r="DP15" i="3"/>
  <c r="DQ15" i="3"/>
  <c r="DR15" i="3"/>
  <c r="DS15" i="3"/>
  <c r="DT15" i="3"/>
  <c r="DU15" i="3"/>
  <c r="DV15" i="3"/>
  <c r="DW15" i="3"/>
  <c r="DX15" i="3"/>
  <c r="DY15" i="3"/>
  <c r="DZ15" i="3"/>
  <c r="EA15" i="3"/>
  <c r="EB15" i="3"/>
  <c r="EC15" i="3"/>
  <c r="ED15" i="3"/>
  <c r="EE15" i="3"/>
  <c r="EF15" i="3"/>
  <c r="EG15" i="3"/>
  <c r="EH15" i="3"/>
  <c r="EI15" i="3"/>
  <c r="EJ15" i="3"/>
  <c r="EK15" i="3"/>
  <c r="EL15" i="3"/>
  <c r="EM15" i="3"/>
  <c r="EN15" i="3"/>
  <c r="EO15" i="3"/>
  <c r="EP15" i="3"/>
  <c r="EQ15" i="3"/>
  <c r="ER15" i="3"/>
  <c r="ES15" i="3"/>
  <c r="ET15" i="3"/>
  <c r="EU15" i="3"/>
  <c r="EV15" i="3"/>
  <c r="EW15" i="3"/>
  <c r="EX15" i="3"/>
  <c r="EY15" i="3"/>
  <c r="EZ15" i="3"/>
  <c r="FA15" i="3"/>
  <c r="FB15" i="3"/>
  <c r="FC15" i="3"/>
  <c r="FD15" i="3"/>
  <c r="FE15" i="3"/>
  <c r="FF15" i="3"/>
  <c r="FG15" i="3"/>
  <c r="FH15" i="3"/>
  <c r="FI15" i="3"/>
  <c r="FJ15" i="3"/>
  <c r="FK15" i="3"/>
  <c r="FL15" i="3"/>
  <c r="FM15" i="3"/>
  <c r="FN15" i="3"/>
  <c r="FO15" i="3"/>
  <c r="FP15" i="3"/>
  <c r="FQ15" i="3"/>
  <c r="FR15" i="3"/>
  <c r="FS15" i="3"/>
  <c r="FT15" i="3"/>
  <c r="FU15" i="3"/>
  <c r="FV15" i="3"/>
  <c r="FW15" i="3"/>
  <c r="FX15" i="3"/>
  <c r="FY15" i="3"/>
  <c r="FZ15" i="3"/>
  <c r="GA15" i="3"/>
  <c r="GB15" i="3"/>
  <c r="GC15" i="3"/>
  <c r="GD15" i="3"/>
  <c r="GE15" i="3"/>
  <c r="GF15" i="3"/>
  <c r="GG15" i="3"/>
  <c r="GH15" i="3"/>
  <c r="GI15" i="3"/>
  <c r="GJ15" i="3"/>
  <c r="GK15" i="3"/>
  <c r="GL15" i="3"/>
  <c r="GM15" i="3"/>
  <c r="GN15" i="3"/>
  <c r="GO15" i="3"/>
  <c r="GP15" i="3"/>
  <c r="GQ15" i="3"/>
  <c r="GR15" i="3"/>
  <c r="GS15" i="3"/>
  <c r="GT15" i="3"/>
  <c r="GU15" i="3"/>
  <c r="GV15" i="3"/>
  <c r="GW15" i="3"/>
  <c r="GX15" i="3"/>
  <c r="GY15" i="3"/>
  <c r="GZ15" i="3"/>
  <c r="HA15" i="3"/>
  <c r="HB15" i="3"/>
  <c r="HC15" i="3"/>
  <c r="HD15" i="3"/>
  <c r="HE15" i="3"/>
  <c r="HF15" i="3"/>
  <c r="HG15" i="3"/>
  <c r="HH15" i="3"/>
  <c r="HI15" i="3"/>
  <c r="HJ15" i="3"/>
  <c r="HK15" i="3"/>
  <c r="HL15" i="3"/>
  <c r="HM15" i="3"/>
  <c r="HN15" i="3"/>
  <c r="HO15" i="3"/>
  <c r="HP15" i="3"/>
  <c r="HQ15" i="3"/>
  <c r="HR15" i="3"/>
  <c r="HS15" i="3"/>
  <c r="HT15" i="3"/>
  <c r="HU15" i="3"/>
  <c r="HV15" i="3"/>
  <c r="HW15" i="3"/>
  <c r="HX15" i="3"/>
  <c r="HY15" i="3"/>
  <c r="HZ15" i="3"/>
  <c r="IA15" i="3"/>
  <c r="IB15" i="3"/>
  <c r="IC15" i="3"/>
  <c r="ID15" i="3"/>
  <c r="IE15" i="3"/>
  <c r="IF15" i="3"/>
  <c r="IG15" i="3"/>
  <c r="IH15" i="3"/>
  <c r="II15" i="3"/>
  <c r="IJ15" i="3"/>
  <c r="IK15" i="3"/>
  <c r="IL15" i="3"/>
  <c r="IM15" i="3"/>
  <c r="IN15" i="3"/>
  <c r="IO15" i="3"/>
  <c r="IP15" i="3"/>
  <c r="IQ15" i="3"/>
  <c r="IR15" i="3"/>
  <c r="IS15" i="3"/>
  <c r="IT15" i="3"/>
  <c r="IU15" i="3"/>
  <c r="IV15" i="3"/>
  <c r="A14" i="3"/>
  <c r="B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BG14" i="3"/>
  <c r="BH14" i="3"/>
  <c r="BI14" i="3"/>
  <c r="BJ14" i="3"/>
  <c r="BK14" i="3"/>
  <c r="BL14" i="3"/>
  <c r="BM14" i="3"/>
  <c r="BN14" i="3"/>
  <c r="BO14" i="3"/>
  <c r="BP14" i="3"/>
  <c r="BQ14" i="3"/>
  <c r="BR14" i="3"/>
  <c r="BS14" i="3"/>
  <c r="BT14" i="3"/>
  <c r="BU14" i="3"/>
  <c r="BV14" i="3"/>
  <c r="BW14" i="3"/>
  <c r="BX14" i="3"/>
  <c r="BY14" i="3"/>
  <c r="BZ14" i="3"/>
  <c r="CA14" i="3"/>
  <c r="CB14" i="3"/>
  <c r="CC14" i="3"/>
  <c r="CD14" i="3"/>
  <c r="CE14" i="3"/>
  <c r="CF14" i="3"/>
  <c r="CG14" i="3"/>
  <c r="CH14" i="3"/>
  <c r="CI14" i="3"/>
  <c r="CJ14" i="3"/>
  <c r="CK14" i="3"/>
  <c r="CL14" i="3"/>
  <c r="CM14" i="3"/>
  <c r="CN14" i="3"/>
  <c r="CO14" i="3"/>
  <c r="CP14" i="3"/>
  <c r="CQ14" i="3"/>
  <c r="CR14" i="3"/>
  <c r="CS14" i="3"/>
  <c r="CT14" i="3"/>
  <c r="CU14" i="3"/>
  <c r="CV14" i="3"/>
  <c r="CW14" i="3"/>
  <c r="CX14" i="3"/>
  <c r="CY14" i="3"/>
  <c r="CZ14" i="3"/>
  <c r="DA14" i="3"/>
  <c r="DB14" i="3"/>
  <c r="DC14" i="3"/>
  <c r="DD14" i="3"/>
  <c r="DE14" i="3"/>
  <c r="DF14" i="3"/>
  <c r="DG14" i="3"/>
  <c r="DH14" i="3"/>
  <c r="DI14" i="3"/>
  <c r="DJ14" i="3"/>
  <c r="DK14" i="3"/>
  <c r="DL14" i="3"/>
  <c r="DM14" i="3"/>
  <c r="DN14" i="3"/>
  <c r="DO14" i="3"/>
  <c r="DP14" i="3"/>
  <c r="DQ14" i="3"/>
  <c r="DR14" i="3"/>
  <c r="DS14" i="3"/>
  <c r="DT14" i="3"/>
  <c r="DU14" i="3"/>
  <c r="DV14" i="3"/>
  <c r="DW14" i="3"/>
  <c r="DX14" i="3"/>
  <c r="DY14" i="3"/>
  <c r="DZ14" i="3"/>
  <c r="EA14" i="3"/>
  <c r="EB14" i="3"/>
  <c r="EC14" i="3"/>
  <c r="ED14" i="3"/>
  <c r="EE14" i="3"/>
  <c r="EF14" i="3"/>
  <c r="EG14" i="3"/>
  <c r="EH14" i="3"/>
  <c r="EI14" i="3"/>
  <c r="EJ14" i="3"/>
  <c r="EK14" i="3"/>
  <c r="EL14" i="3"/>
  <c r="EM14" i="3"/>
  <c r="EN14" i="3"/>
  <c r="EO14" i="3"/>
  <c r="EP14" i="3"/>
  <c r="EQ14" i="3"/>
  <c r="ER14" i="3"/>
  <c r="ES14" i="3"/>
  <c r="ET14" i="3"/>
  <c r="EU14" i="3"/>
  <c r="EV14" i="3"/>
  <c r="EW14" i="3"/>
  <c r="EX14" i="3"/>
  <c r="EY14" i="3"/>
  <c r="EZ14" i="3"/>
  <c r="FA14" i="3"/>
  <c r="FB14" i="3"/>
  <c r="FC14" i="3"/>
  <c r="FD14" i="3"/>
  <c r="FE14" i="3"/>
  <c r="FF14" i="3"/>
  <c r="FG14" i="3"/>
  <c r="FH14" i="3"/>
  <c r="FI14" i="3"/>
  <c r="FJ14" i="3"/>
  <c r="FK14" i="3"/>
  <c r="FL14" i="3"/>
  <c r="FM14" i="3"/>
  <c r="FN14" i="3"/>
  <c r="FO14" i="3"/>
  <c r="FP14" i="3"/>
  <c r="FQ14" i="3"/>
  <c r="FR14" i="3"/>
  <c r="FS14" i="3"/>
  <c r="FT14" i="3"/>
  <c r="FU14" i="3"/>
  <c r="FV14" i="3"/>
  <c r="FW14" i="3"/>
  <c r="FX14" i="3"/>
  <c r="FY14" i="3"/>
  <c r="FZ14" i="3"/>
  <c r="GA14" i="3"/>
  <c r="GB14" i="3"/>
  <c r="GC14" i="3"/>
  <c r="GD14" i="3"/>
  <c r="GE14" i="3"/>
  <c r="GF14" i="3"/>
  <c r="GG14" i="3"/>
  <c r="GH14" i="3"/>
  <c r="GI14" i="3"/>
  <c r="GJ14" i="3"/>
  <c r="GK14" i="3"/>
  <c r="GL14" i="3"/>
  <c r="GM14" i="3"/>
  <c r="GN14" i="3"/>
  <c r="GO14" i="3"/>
  <c r="GP14" i="3"/>
  <c r="GQ14" i="3"/>
  <c r="GR14" i="3"/>
  <c r="GS14" i="3"/>
  <c r="GT14" i="3"/>
  <c r="GU14" i="3"/>
  <c r="GV14" i="3"/>
  <c r="GW14" i="3"/>
  <c r="GX14" i="3"/>
  <c r="GY14" i="3"/>
  <c r="GZ14" i="3"/>
  <c r="HA14" i="3"/>
  <c r="HB14" i="3"/>
  <c r="HC14" i="3"/>
  <c r="HD14" i="3"/>
  <c r="HE14" i="3"/>
  <c r="HF14" i="3"/>
  <c r="HG14" i="3"/>
  <c r="HH14" i="3"/>
  <c r="HI14" i="3"/>
  <c r="HJ14" i="3"/>
  <c r="HK14" i="3"/>
  <c r="HL14" i="3"/>
  <c r="HM14" i="3"/>
  <c r="HN14" i="3"/>
  <c r="HO14" i="3"/>
  <c r="HP14" i="3"/>
  <c r="HQ14" i="3"/>
  <c r="HR14" i="3"/>
  <c r="HS14" i="3"/>
  <c r="HT14" i="3"/>
  <c r="HU14" i="3"/>
  <c r="HV14" i="3"/>
  <c r="HW14" i="3"/>
  <c r="HX14" i="3"/>
  <c r="HY14" i="3"/>
  <c r="HZ14" i="3"/>
  <c r="IA14" i="3"/>
  <c r="IB14" i="3"/>
  <c r="IC14" i="3"/>
  <c r="ID14" i="3"/>
  <c r="IE14" i="3"/>
  <c r="IF14" i="3"/>
  <c r="IG14" i="3"/>
  <c r="IH14" i="3"/>
  <c r="II14" i="3"/>
  <c r="IJ14" i="3"/>
  <c r="IK14" i="3"/>
  <c r="IL14" i="3"/>
  <c r="IM14" i="3"/>
  <c r="IN14" i="3"/>
  <c r="IO14" i="3"/>
  <c r="IP14" i="3"/>
  <c r="IQ14" i="3"/>
  <c r="IR14" i="3"/>
  <c r="IS14" i="3"/>
  <c r="IT14" i="3"/>
  <c r="IU14" i="3"/>
  <c r="IV14" i="3"/>
  <c r="A13" i="3"/>
  <c r="B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V13" i="3"/>
  <c r="AW13" i="3"/>
  <c r="AX13" i="3"/>
  <c r="AY13" i="3"/>
  <c r="AZ13" i="3"/>
  <c r="BA13" i="3"/>
  <c r="BB13" i="3"/>
  <c r="BC13" i="3"/>
  <c r="BD13" i="3"/>
  <c r="BE13" i="3"/>
  <c r="BF13" i="3"/>
  <c r="BG13" i="3"/>
  <c r="BH13" i="3"/>
  <c r="BI13" i="3"/>
  <c r="BJ13" i="3"/>
  <c r="BK13" i="3"/>
  <c r="BL13" i="3"/>
  <c r="BM13" i="3"/>
  <c r="BN13" i="3"/>
  <c r="BO13" i="3"/>
  <c r="BP13" i="3"/>
  <c r="BQ13" i="3"/>
  <c r="BR13" i="3"/>
  <c r="BS13" i="3"/>
  <c r="BT13" i="3"/>
  <c r="BU13" i="3"/>
  <c r="BV13" i="3"/>
  <c r="BW13" i="3"/>
  <c r="BX13" i="3"/>
  <c r="BY13" i="3"/>
  <c r="BZ13" i="3"/>
  <c r="CA13" i="3"/>
  <c r="CB13" i="3"/>
  <c r="CC13" i="3"/>
  <c r="CD13" i="3"/>
  <c r="CE13" i="3"/>
  <c r="CF13" i="3"/>
  <c r="CG13" i="3"/>
  <c r="CH13" i="3"/>
  <c r="CI13" i="3"/>
  <c r="CJ13" i="3"/>
  <c r="CK13" i="3"/>
  <c r="CL13" i="3"/>
  <c r="CM13" i="3"/>
  <c r="CN13" i="3"/>
  <c r="CO13" i="3"/>
  <c r="CP13" i="3"/>
  <c r="CQ13" i="3"/>
  <c r="CR13" i="3"/>
  <c r="CS13" i="3"/>
  <c r="CT13" i="3"/>
  <c r="CU13" i="3"/>
  <c r="CV13" i="3"/>
  <c r="CW13" i="3"/>
  <c r="CX13" i="3"/>
  <c r="CY13" i="3"/>
  <c r="CZ13" i="3"/>
  <c r="DA13" i="3"/>
  <c r="DB13" i="3"/>
  <c r="DC13" i="3"/>
  <c r="DD13" i="3"/>
  <c r="DE13" i="3"/>
  <c r="DF13" i="3"/>
  <c r="DG13" i="3"/>
  <c r="DH13" i="3"/>
  <c r="DI13" i="3"/>
  <c r="DJ13" i="3"/>
  <c r="DK13" i="3"/>
  <c r="DL13" i="3"/>
  <c r="DM13" i="3"/>
  <c r="DN13" i="3"/>
  <c r="DO13" i="3"/>
  <c r="DP13" i="3"/>
  <c r="DQ13" i="3"/>
  <c r="DR13" i="3"/>
  <c r="DS13" i="3"/>
  <c r="DT13" i="3"/>
  <c r="DU13" i="3"/>
  <c r="DV13" i="3"/>
  <c r="DW13" i="3"/>
  <c r="DX13" i="3"/>
  <c r="DY13" i="3"/>
  <c r="DZ13" i="3"/>
  <c r="EA13" i="3"/>
  <c r="EB13" i="3"/>
  <c r="EC13" i="3"/>
  <c r="ED13" i="3"/>
  <c r="EE13" i="3"/>
  <c r="EF13" i="3"/>
  <c r="EG13" i="3"/>
  <c r="EH13" i="3"/>
  <c r="EI13" i="3"/>
  <c r="EJ13" i="3"/>
  <c r="EK13" i="3"/>
  <c r="EL13" i="3"/>
  <c r="EM13" i="3"/>
  <c r="EN13" i="3"/>
  <c r="EO13" i="3"/>
  <c r="EP13" i="3"/>
  <c r="EQ13" i="3"/>
  <c r="ER13" i="3"/>
  <c r="ES13" i="3"/>
  <c r="ET13" i="3"/>
  <c r="EU13" i="3"/>
  <c r="EV13" i="3"/>
  <c r="EW13" i="3"/>
  <c r="EX13" i="3"/>
  <c r="EY13" i="3"/>
  <c r="EZ13" i="3"/>
  <c r="FA13" i="3"/>
  <c r="FB13" i="3"/>
  <c r="FC13" i="3"/>
  <c r="FD13" i="3"/>
  <c r="FE13" i="3"/>
  <c r="FF13" i="3"/>
  <c r="FG13" i="3"/>
  <c r="FH13" i="3"/>
  <c r="FI13" i="3"/>
  <c r="FJ13" i="3"/>
  <c r="FK13" i="3"/>
  <c r="FL13" i="3"/>
  <c r="FM13" i="3"/>
  <c r="FN13" i="3"/>
  <c r="FO13" i="3"/>
  <c r="FP13" i="3"/>
  <c r="FQ13" i="3"/>
  <c r="FR13" i="3"/>
  <c r="FS13" i="3"/>
  <c r="FT13" i="3"/>
  <c r="FU13" i="3"/>
  <c r="FV13" i="3"/>
  <c r="FW13" i="3"/>
  <c r="FX13" i="3"/>
  <c r="FY13" i="3"/>
  <c r="FZ13" i="3"/>
  <c r="GA13" i="3"/>
  <c r="GB13" i="3"/>
  <c r="GC13" i="3"/>
  <c r="GD13" i="3"/>
  <c r="GE13" i="3"/>
  <c r="GF13" i="3"/>
  <c r="GG13" i="3"/>
  <c r="GH13" i="3"/>
  <c r="GI13" i="3"/>
  <c r="GJ13" i="3"/>
  <c r="GK13" i="3"/>
  <c r="GL13" i="3"/>
  <c r="GM13" i="3"/>
  <c r="GN13" i="3"/>
  <c r="GO13" i="3"/>
  <c r="GP13" i="3"/>
  <c r="GQ13" i="3"/>
  <c r="GR13" i="3"/>
  <c r="GS13" i="3"/>
  <c r="GT13" i="3"/>
  <c r="GU13" i="3"/>
  <c r="GV13" i="3"/>
  <c r="GW13" i="3"/>
  <c r="GX13" i="3"/>
  <c r="GY13" i="3"/>
  <c r="GZ13" i="3"/>
  <c r="HA13" i="3"/>
  <c r="HB13" i="3"/>
  <c r="HC13" i="3"/>
  <c r="HD13" i="3"/>
  <c r="HE13" i="3"/>
  <c r="HF13" i="3"/>
  <c r="HG13" i="3"/>
  <c r="HH13" i="3"/>
  <c r="HI13" i="3"/>
  <c r="HJ13" i="3"/>
  <c r="HK13" i="3"/>
  <c r="HL13" i="3"/>
  <c r="HM13" i="3"/>
  <c r="HN13" i="3"/>
  <c r="HO13" i="3"/>
  <c r="HP13" i="3"/>
  <c r="HQ13" i="3"/>
  <c r="HR13" i="3"/>
  <c r="HS13" i="3"/>
  <c r="HT13" i="3"/>
  <c r="HU13" i="3"/>
  <c r="HV13" i="3"/>
  <c r="HW13" i="3"/>
  <c r="HX13" i="3"/>
  <c r="HY13" i="3"/>
  <c r="HZ13" i="3"/>
  <c r="IA13" i="3"/>
  <c r="IB13" i="3"/>
  <c r="IC13" i="3"/>
  <c r="ID13" i="3"/>
  <c r="IE13" i="3"/>
  <c r="IF13" i="3"/>
  <c r="IG13" i="3"/>
  <c r="IH13" i="3"/>
  <c r="II13" i="3"/>
  <c r="IJ13" i="3"/>
  <c r="IK13" i="3"/>
  <c r="IL13" i="3"/>
  <c r="IM13" i="3"/>
  <c r="IN13" i="3"/>
  <c r="IO13" i="3"/>
  <c r="IP13" i="3"/>
  <c r="IQ13" i="3"/>
  <c r="IR13" i="3"/>
  <c r="IS13" i="3"/>
  <c r="IT13" i="3"/>
  <c r="IU13" i="3"/>
  <c r="IV13" i="3"/>
  <c r="A12" i="3"/>
  <c r="B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AW12" i="3"/>
  <c r="AX12" i="3"/>
  <c r="AY12" i="3"/>
  <c r="AZ12" i="3"/>
  <c r="BA12" i="3"/>
  <c r="BB12" i="3"/>
  <c r="BC12" i="3"/>
  <c r="BD12" i="3"/>
  <c r="BE12" i="3"/>
  <c r="BF12" i="3"/>
  <c r="BG12" i="3"/>
  <c r="BH12" i="3"/>
  <c r="BI12" i="3"/>
  <c r="BJ12" i="3"/>
  <c r="BK12" i="3"/>
  <c r="BL12" i="3"/>
  <c r="BM12" i="3"/>
  <c r="BN12" i="3"/>
  <c r="BO12" i="3"/>
  <c r="BP12" i="3"/>
  <c r="BQ12" i="3"/>
  <c r="BR12" i="3"/>
  <c r="BS12" i="3"/>
  <c r="BT12" i="3"/>
  <c r="BU12" i="3"/>
  <c r="BV12" i="3"/>
  <c r="BW12" i="3"/>
  <c r="BX12" i="3"/>
  <c r="BY12" i="3"/>
  <c r="BZ12" i="3"/>
  <c r="CA12" i="3"/>
  <c r="CB12" i="3"/>
  <c r="CC12" i="3"/>
  <c r="CD12" i="3"/>
  <c r="CE12" i="3"/>
  <c r="CF12" i="3"/>
  <c r="CG12" i="3"/>
  <c r="CH12" i="3"/>
  <c r="CI12" i="3"/>
  <c r="CJ12" i="3"/>
  <c r="CK12" i="3"/>
  <c r="CL12" i="3"/>
  <c r="CM12" i="3"/>
  <c r="CN12" i="3"/>
  <c r="CO12" i="3"/>
  <c r="CP12" i="3"/>
  <c r="CQ12" i="3"/>
  <c r="CR12" i="3"/>
  <c r="CS12" i="3"/>
  <c r="CT12" i="3"/>
  <c r="CU12" i="3"/>
  <c r="CV12" i="3"/>
  <c r="CW12" i="3"/>
  <c r="CX12" i="3"/>
  <c r="CY12" i="3"/>
  <c r="CZ12" i="3"/>
  <c r="DA12" i="3"/>
  <c r="DB12" i="3"/>
  <c r="DC12" i="3"/>
  <c r="DD12" i="3"/>
  <c r="DE12" i="3"/>
  <c r="DF12" i="3"/>
  <c r="DG12" i="3"/>
  <c r="DH12" i="3"/>
  <c r="DI12" i="3"/>
  <c r="DJ12" i="3"/>
  <c r="DK12" i="3"/>
  <c r="DL12" i="3"/>
  <c r="DM12" i="3"/>
  <c r="DN12" i="3"/>
  <c r="DO12" i="3"/>
  <c r="DP12" i="3"/>
  <c r="DQ12" i="3"/>
  <c r="DR12" i="3"/>
  <c r="DS12" i="3"/>
  <c r="DT12" i="3"/>
  <c r="DU12" i="3"/>
  <c r="DV12" i="3"/>
  <c r="DW12" i="3"/>
  <c r="DX12" i="3"/>
  <c r="DY12" i="3"/>
  <c r="DZ12" i="3"/>
  <c r="EA12" i="3"/>
  <c r="EB12" i="3"/>
  <c r="EC12" i="3"/>
  <c r="ED12" i="3"/>
  <c r="EE12" i="3"/>
  <c r="EF12" i="3"/>
  <c r="EG12" i="3"/>
  <c r="EH12" i="3"/>
  <c r="EI12" i="3"/>
  <c r="EJ12" i="3"/>
  <c r="EK12" i="3"/>
  <c r="EL12" i="3"/>
  <c r="EM12" i="3"/>
  <c r="EN12" i="3"/>
  <c r="EO12" i="3"/>
  <c r="EP12" i="3"/>
  <c r="EQ12" i="3"/>
  <c r="ER12" i="3"/>
  <c r="ES12" i="3"/>
  <c r="ET12" i="3"/>
  <c r="EU12" i="3"/>
  <c r="EV12" i="3"/>
  <c r="EW12" i="3"/>
  <c r="EX12" i="3"/>
  <c r="EY12" i="3"/>
  <c r="EZ12" i="3"/>
  <c r="FA12" i="3"/>
  <c r="FB12" i="3"/>
  <c r="FC12" i="3"/>
  <c r="FD12" i="3"/>
  <c r="FE12" i="3"/>
  <c r="FF12" i="3"/>
  <c r="FG12" i="3"/>
  <c r="FH12" i="3"/>
  <c r="FI12" i="3"/>
  <c r="FJ12" i="3"/>
  <c r="FK12" i="3"/>
  <c r="FL12" i="3"/>
  <c r="FM12" i="3"/>
  <c r="FN12" i="3"/>
  <c r="FO12" i="3"/>
  <c r="FP12" i="3"/>
  <c r="FQ12" i="3"/>
  <c r="FR12" i="3"/>
  <c r="FS12" i="3"/>
  <c r="FT12" i="3"/>
  <c r="FU12" i="3"/>
  <c r="FV12" i="3"/>
  <c r="FW12" i="3"/>
  <c r="FX12" i="3"/>
  <c r="FY12" i="3"/>
  <c r="FZ12" i="3"/>
  <c r="GA12" i="3"/>
  <c r="GB12" i="3"/>
  <c r="GC12" i="3"/>
  <c r="GD12" i="3"/>
  <c r="GE12" i="3"/>
  <c r="GF12" i="3"/>
  <c r="GG12" i="3"/>
  <c r="GH12" i="3"/>
  <c r="GI12" i="3"/>
  <c r="GJ12" i="3"/>
  <c r="GK12" i="3"/>
  <c r="GL12" i="3"/>
  <c r="GM12" i="3"/>
  <c r="GN12" i="3"/>
  <c r="GO12" i="3"/>
  <c r="GP12" i="3"/>
  <c r="GQ12" i="3"/>
  <c r="GR12" i="3"/>
  <c r="GS12" i="3"/>
  <c r="GT12" i="3"/>
  <c r="GU12" i="3"/>
  <c r="GV12" i="3"/>
  <c r="GW12" i="3"/>
  <c r="GX12" i="3"/>
  <c r="GY12" i="3"/>
  <c r="GZ12" i="3"/>
  <c r="HA12" i="3"/>
  <c r="HB12" i="3"/>
  <c r="HC12" i="3"/>
  <c r="HD12" i="3"/>
  <c r="HE12" i="3"/>
  <c r="HF12" i="3"/>
  <c r="HG12" i="3"/>
  <c r="HH12" i="3"/>
  <c r="HI12" i="3"/>
  <c r="HJ12" i="3"/>
  <c r="HK12" i="3"/>
  <c r="HL12" i="3"/>
  <c r="HM12" i="3"/>
  <c r="HN12" i="3"/>
  <c r="HO12" i="3"/>
  <c r="HP12" i="3"/>
  <c r="HQ12" i="3"/>
  <c r="HR12" i="3"/>
  <c r="HS12" i="3"/>
  <c r="HT12" i="3"/>
  <c r="HU12" i="3"/>
  <c r="HV12" i="3"/>
  <c r="HW12" i="3"/>
  <c r="HX12" i="3"/>
  <c r="HY12" i="3"/>
  <c r="HZ12" i="3"/>
  <c r="IA12" i="3"/>
  <c r="IB12" i="3"/>
  <c r="IC12" i="3"/>
  <c r="ID12" i="3"/>
  <c r="IE12" i="3"/>
  <c r="IF12" i="3"/>
  <c r="IG12" i="3"/>
  <c r="IH12" i="3"/>
  <c r="II12" i="3"/>
  <c r="IJ12" i="3"/>
  <c r="IK12" i="3"/>
  <c r="IL12" i="3"/>
  <c r="IM12" i="3"/>
  <c r="IN12" i="3"/>
  <c r="IO12" i="3"/>
  <c r="IP12" i="3"/>
  <c r="IQ12" i="3"/>
  <c r="IR12" i="3"/>
  <c r="IS12" i="3"/>
  <c r="IT12" i="3"/>
  <c r="IU12" i="3"/>
  <c r="IV12" i="3"/>
  <c r="A11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AW11" i="3"/>
  <c r="AX11" i="3"/>
  <c r="AY11" i="3"/>
  <c r="AZ11" i="3"/>
  <c r="BA11" i="3"/>
  <c r="BB11" i="3"/>
  <c r="BC11" i="3"/>
  <c r="BD11" i="3"/>
  <c r="BE11" i="3"/>
  <c r="BF11" i="3"/>
  <c r="BG11" i="3"/>
  <c r="BH11" i="3"/>
  <c r="BI11" i="3"/>
  <c r="BJ11" i="3"/>
  <c r="BK11" i="3"/>
  <c r="BL11" i="3"/>
  <c r="BM11" i="3"/>
  <c r="BN11" i="3"/>
  <c r="BO11" i="3"/>
  <c r="BP11" i="3"/>
  <c r="BQ11" i="3"/>
  <c r="BR11" i="3"/>
  <c r="BS11" i="3"/>
  <c r="BT11" i="3"/>
  <c r="BU11" i="3"/>
  <c r="BV11" i="3"/>
  <c r="BW11" i="3"/>
  <c r="BX11" i="3"/>
  <c r="BY11" i="3"/>
  <c r="BZ11" i="3"/>
  <c r="CA11" i="3"/>
  <c r="CB11" i="3"/>
  <c r="CC11" i="3"/>
  <c r="CD11" i="3"/>
  <c r="CE11" i="3"/>
  <c r="CF11" i="3"/>
  <c r="CG11" i="3"/>
  <c r="CH11" i="3"/>
  <c r="CI11" i="3"/>
  <c r="CJ11" i="3"/>
  <c r="CK11" i="3"/>
  <c r="CL11" i="3"/>
  <c r="CM11" i="3"/>
  <c r="CN11" i="3"/>
  <c r="CO11" i="3"/>
  <c r="CP11" i="3"/>
  <c r="CQ11" i="3"/>
  <c r="CR11" i="3"/>
  <c r="CS11" i="3"/>
  <c r="CT11" i="3"/>
  <c r="CU11" i="3"/>
  <c r="CV11" i="3"/>
  <c r="CW11" i="3"/>
  <c r="CX11" i="3"/>
  <c r="CY11" i="3"/>
  <c r="CZ11" i="3"/>
  <c r="DA11" i="3"/>
  <c r="DB11" i="3"/>
  <c r="DC11" i="3"/>
  <c r="DD11" i="3"/>
  <c r="DE11" i="3"/>
  <c r="DF11" i="3"/>
  <c r="DG11" i="3"/>
  <c r="DH11" i="3"/>
  <c r="DI11" i="3"/>
  <c r="DJ11" i="3"/>
  <c r="DK11" i="3"/>
  <c r="DL11" i="3"/>
  <c r="DM11" i="3"/>
  <c r="DN11" i="3"/>
  <c r="DO11" i="3"/>
  <c r="DP11" i="3"/>
  <c r="DQ11" i="3"/>
  <c r="DR11" i="3"/>
  <c r="DS11" i="3"/>
  <c r="DT11" i="3"/>
  <c r="DU11" i="3"/>
  <c r="DV11" i="3"/>
  <c r="DW11" i="3"/>
  <c r="DX11" i="3"/>
  <c r="DY11" i="3"/>
  <c r="DZ11" i="3"/>
  <c r="EA11" i="3"/>
  <c r="EB11" i="3"/>
  <c r="EC11" i="3"/>
  <c r="ED11" i="3"/>
  <c r="EE11" i="3"/>
  <c r="EF11" i="3"/>
  <c r="EG11" i="3"/>
  <c r="EH11" i="3"/>
  <c r="EI11" i="3"/>
  <c r="EJ11" i="3"/>
  <c r="EK11" i="3"/>
  <c r="EL11" i="3"/>
  <c r="EM11" i="3"/>
  <c r="EN11" i="3"/>
  <c r="EO11" i="3"/>
  <c r="EP11" i="3"/>
  <c r="EQ11" i="3"/>
  <c r="ER11" i="3"/>
  <c r="ES11" i="3"/>
  <c r="ET11" i="3"/>
  <c r="EU11" i="3"/>
  <c r="EV11" i="3"/>
  <c r="EW11" i="3"/>
  <c r="EX11" i="3"/>
  <c r="EY11" i="3"/>
  <c r="EZ11" i="3"/>
  <c r="FA11" i="3"/>
  <c r="FB11" i="3"/>
  <c r="FC11" i="3"/>
  <c r="FD11" i="3"/>
  <c r="FE11" i="3"/>
  <c r="FF11" i="3"/>
  <c r="FG11" i="3"/>
  <c r="FH11" i="3"/>
  <c r="FI11" i="3"/>
  <c r="FJ11" i="3"/>
  <c r="FK11" i="3"/>
  <c r="FL11" i="3"/>
  <c r="FM11" i="3"/>
  <c r="FN11" i="3"/>
  <c r="FO11" i="3"/>
  <c r="FP11" i="3"/>
  <c r="FQ11" i="3"/>
  <c r="FR11" i="3"/>
  <c r="FS11" i="3"/>
  <c r="FT11" i="3"/>
  <c r="FU11" i="3"/>
  <c r="FV11" i="3"/>
  <c r="FW11" i="3"/>
  <c r="FX11" i="3"/>
  <c r="FY11" i="3"/>
  <c r="FZ11" i="3"/>
  <c r="GA11" i="3"/>
  <c r="GB11" i="3"/>
  <c r="GC11" i="3"/>
  <c r="GD11" i="3"/>
  <c r="GE11" i="3"/>
  <c r="GF11" i="3"/>
  <c r="GG11" i="3"/>
  <c r="GH11" i="3"/>
  <c r="GI11" i="3"/>
  <c r="GJ11" i="3"/>
  <c r="GK11" i="3"/>
  <c r="GL11" i="3"/>
  <c r="GM11" i="3"/>
  <c r="GN11" i="3"/>
  <c r="GO11" i="3"/>
  <c r="GP11" i="3"/>
  <c r="GQ11" i="3"/>
  <c r="GR11" i="3"/>
  <c r="GS11" i="3"/>
  <c r="GT11" i="3"/>
  <c r="GU11" i="3"/>
  <c r="GV11" i="3"/>
  <c r="GW11" i="3"/>
  <c r="GX11" i="3"/>
  <c r="GY11" i="3"/>
  <c r="GZ11" i="3"/>
  <c r="HA11" i="3"/>
  <c r="HB11" i="3"/>
  <c r="HC11" i="3"/>
  <c r="HD11" i="3"/>
  <c r="HE11" i="3"/>
  <c r="HF11" i="3"/>
  <c r="HG11" i="3"/>
  <c r="HH11" i="3"/>
  <c r="HI11" i="3"/>
  <c r="HJ11" i="3"/>
  <c r="HK11" i="3"/>
  <c r="HL11" i="3"/>
  <c r="HM11" i="3"/>
  <c r="HN11" i="3"/>
  <c r="HO11" i="3"/>
  <c r="HP11" i="3"/>
  <c r="HQ11" i="3"/>
  <c r="HR11" i="3"/>
  <c r="HS11" i="3"/>
  <c r="HT11" i="3"/>
  <c r="HU11" i="3"/>
  <c r="HV11" i="3"/>
  <c r="HW11" i="3"/>
  <c r="HX11" i="3"/>
  <c r="HY11" i="3"/>
  <c r="HZ11" i="3"/>
  <c r="IA11" i="3"/>
  <c r="IB11" i="3"/>
  <c r="IC11" i="3"/>
  <c r="ID11" i="3"/>
  <c r="IE11" i="3"/>
  <c r="IF11" i="3"/>
  <c r="IG11" i="3"/>
  <c r="IH11" i="3"/>
  <c r="II11" i="3"/>
  <c r="IJ11" i="3"/>
  <c r="IK11" i="3"/>
  <c r="IL11" i="3"/>
  <c r="IM11" i="3"/>
  <c r="IN11" i="3"/>
  <c r="IO11" i="3"/>
  <c r="IP11" i="3"/>
  <c r="IQ11" i="3"/>
  <c r="IR11" i="3"/>
  <c r="IS11" i="3"/>
  <c r="IT11" i="3"/>
  <c r="IU11" i="3"/>
  <c r="IV11" i="3"/>
  <c r="A10" i="3"/>
  <c r="B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W10" i="3"/>
  <c r="AX10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BK10" i="3"/>
  <c r="BL10" i="3"/>
  <c r="BM10" i="3"/>
  <c r="BN10" i="3"/>
  <c r="BO10" i="3"/>
  <c r="BP10" i="3"/>
  <c r="BQ10" i="3"/>
  <c r="BR10" i="3"/>
  <c r="BS10" i="3"/>
  <c r="BT10" i="3"/>
  <c r="BU10" i="3"/>
  <c r="BV10" i="3"/>
  <c r="BW10" i="3"/>
  <c r="BX10" i="3"/>
  <c r="BY10" i="3"/>
  <c r="BZ10" i="3"/>
  <c r="CA10" i="3"/>
  <c r="CB10" i="3"/>
  <c r="CC10" i="3"/>
  <c r="CD10" i="3"/>
  <c r="CE10" i="3"/>
  <c r="CF10" i="3"/>
  <c r="CG10" i="3"/>
  <c r="CH10" i="3"/>
  <c r="CI10" i="3"/>
  <c r="CJ10" i="3"/>
  <c r="CK10" i="3"/>
  <c r="CL10" i="3"/>
  <c r="CM10" i="3"/>
  <c r="CN10" i="3"/>
  <c r="CO10" i="3"/>
  <c r="CP10" i="3"/>
  <c r="CQ10" i="3"/>
  <c r="CR10" i="3"/>
  <c r="CS10" i="3"/>
  <c r="CT10" i="3"/>
  <c r="CU10" i="3"/>
  <c r="CV10" i="3"/>
  <c r="CW10" i="3"/>
  <c r="CX10" i="3"/>
  <c r="CY10" i="3"/>
  <c r="CZ10" i="3"/>
  <c r="DA10" i="3"/>
  <c r="DB10" i="3"/>
  <c r="DC10" i="3"/>
  <c r="DD10" i="3"/>
  <c r="DE10" i="3"/>
  <c r="DF10" i="3"/>
  <c r="DG10" i="3"/>
  <c r="DH10" i="3"/>
  <c r="DI10" i="3"/>
  <c r="DJ10" i="3"/>
  <c r="DK10" i="3"/>
  <c r="DL10" i="3"/>
  <c r="DM10" i="3"/>
  <c r="DN10" i="3"/>
  <c r="DO10" i="3"/>
  <c r="DP10" i="3"/>
  <c r="DQ10" i="3"/>
  <c r="DR10" i="3"/>
  <c r="DS10" i="3"/>
  <c r="DT10" i="3"/>
  <c r="DU10" i="3"/>
  <c r="DV10" i="3"/>
  <c r="DW10" i="3"/>
  <c r="DX10" i="3"/>
  <c r="DY10" i="3"/>
  <c r="DZ10" i="3"/>
  <c r="EA10" i="3"/>
  <c r="EB10" i="3"/>
  <c r="EC10" i="3"/>
  <c r="ED10" i="3"/>
  <c r="EE10" i="3"/>
  <c r="EF10" i="3"/>
  <c r="EG10" i="3"/>
  <c r="EH10" i="3"/>
  <c r="EI10" i="3"/>
  <c r="EJ10" i="3"/>
  <c r="EK10" i="3"/>
  <c r="EL10" i="3"/>
  <c r="EM10" i="3"/>
  <c r="EN10" i="3"/>
  <c r="EO10" i="3"/>
  <c r="EP10" i="3"/>
  <c r="EQ10" i="3"/>
  <c r="ER10" i="3"/>
  <c r="ES10" i="3"/>
  <c r="ET10" i="3"/>
  <c r="EU10" i="3"/>
  <c r="EV10" i="3"/>
  <c r="EW10" i="3"/>
  <c r="EX10" i="3"/>
  <c r="EY10" i="3"/>
  <c r="EZ10" i="3"/>
  <c r="FA10" i="3"/>
  <c r="FB10" i="3"/>
  <c r="FC10" i="3"/>
  <c r="FD10" i="3"/>
  <c r="FE10" i="3"/>
  <c r="FF10" i="3"/>
  <c r="FG10" i="3"/>
  <c r="FH10" i="3"/>
  <c r="FI10" i="3"/>
  <c r="FJ10" i="3"/>
  <c r="FK10" i="3"/>
  <c r="FL10" i="3"/>
  <c r="FM10" i="3"/>
  <c r="FN10" i="3"/>
  <c r="FO10" i="3"/>
  <c r="FP10" i="3"/>
  <c r="FQ10" i="3"/>
  <c r="FR10" i="3"/>
  <c r="FS10" i="3"/>
  <c r="FT10" i="3"/>
  <c r="FU10" i="3"/>
  <c r="FV10" i="3"/>
  <c r="FW10" i="3"/>
  <c r="FX10" i="3"/>
  <c r="FY10" i="3"/>
  <c r="FZ10" i="3"/>
  <c r="GA10" i="3"/>
  <c r="GB10" i="3"/>
  <c r="GC10" i="3"/>
  <c r="GD10" i="3"/>
  <c r="GE10" i="3"/>
  <c r="GF10" i="3"/>
  <c r="GG10" i="3"/>
  <c r="GH10" i="3"/>
  <c r="GI10" i="3"/>
  <c r="GJ10" i="3"/>
  <c r="GK10" i="3"/>
  <c r="GL10" i="3"/>
  <c r="GM10" i="3"/>
  <c r="GN10" i="3"/>
  <c r="GO10" i="3"/>
  <c r="GP10" i="3"/>
  <c r="GQ10" i="3"/>
  <c r="GR10" i="3"/>
  <c r="GS10" i="3"/>
  <c r="GT10" i="3"/>
  <c r="GU10" i="3"/>
  <c r="GV10" i="3"/>
  <c r="GW10" i="3"/>
  <c r="GX10" i="3"/>
  <c r="GY10" i="3"/>
  <c r="GZ10" i="3"/>
  <c r="HA10" i="3"/>
  <c r="HB10" i="3"/>
  <c r="HC10" i="3"/>
  <c r="HD10" i="3"/>
  <c r="HE10" i="3"/>
  <c r="HF10" i="3"/>
  <c r="HG10" i="3"/>
  <c r="HH10" i="3"/>
  <c r="HI10" i="3"/>
  <c r="HJ10" i="3"/>
  <c r="HK10" i="3"/>
  <c r="HL10" i="3"/>
  <c r="HM10" i="3"/>
  <c r="HN10" i="3"/>
  <c r="HO10" i="3"/>
  <c r="HP10" i="3"/>
  <c r="HQ10" i="3"/>
  <c r="HR10" i="3"/>
  <c r="HS10" i="3"/>
  <c r="HT10" i="3"/>
  <c r="HU10" i="3"/>
  <c r="HV10" i="3"/>
  <c r="HW10" i="3"/>
  <c r="HX10" i="3"/>
  <c r="HY10" i="3"/>
  <c r="HZ10" i="3"/>
  <c r="IA10" i="3"/>
  <c r="IB10" i="3"/>
  <c r="IC10" i="3"/>
  <c r="ID10" i="3"/>
  <c r="IE10" i="3"/>
  <c r="IF10" i="3"/>
  <c r="IG10" i="3"/>
  <c r="IH10" i="3"/>
  <c r="II10" i="3"/>
  <c r="IJ10" i="3"/>
  <c r="IK10" i="3"/>
  <c r="IL10" i="3"/>
  <c r="IM10" i="3"/>
  <c r="IN10" i="3"/>
  <c r="IO10" i="3"/>
  <c r="IP10" i="3"/>
  <c r="IQ10" i="3"/>
  <c r="IR10" i="3"/>
  <c r="IS10" i="3"/>
  <c r="IT10" i="3"/>
  <c r="IU10" i="3"/>
  <c r="IV10" i="3"/>
  <c r="A9" i="3"/>
  <c r="B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V9" i="3"/>
  <c r="AW9" i="3"/>
  <c r="AX9" i="3"/>
  <c r="AY9" i="3"/>
  <c r="AZ9" i="3"/>
  <c r="BA9" i="3"/>
  <c r="BB9" i="3"/>
  <c r="BC9" i="3"/>
  <c r="BD9" i="3"/>
  <c r="BE9" i="3"/>
  <c r="BF9" i="3"/>
  <c r="BG9" i="3"/>
  <c r="BH9" i="3"/>
  <c r="BI9" i="3"/>
  <c r="BJ9" i="3"/>
  <c r="BK9" i="3"/>
  <c r="BL9" i="3"/>
  <c r="BM9" i="3"/>
  <c r="BN9" i="3"/>
  <c r="BO9" i="3"/>
  <c r="BP9" i="3"/>
  <c r="BQ9" i="3"/>
  <c r="BR9" i="3"/>
  <c r="BS9" i="3"/>
  <c r="BT9" i="3"/>
  <c r="BU9" i="3"/>
  <c r="BV9" i="3"/>
  <c r="BW9" i="3"/>
  <c r="BX9" i="3"/>
  <c r="BY9" i="3"/>
  <c r="BZ9" i="3"/>
  <c r="CA9" i="3"/>
  <c r="CB9" i="3"/>
  <c r="CC9" i="3"/>
  <c r="CD9" i="3"/>
  <c r="CE9" i="3"/>
  <c r="CF9" i="3"/>
  <c r="CG9" i="3"/>
  <c r="CH9" i="3"/>
  <c r="CI9" i="3"/>
  <c r="CJ9" i="3"/>
  <c r="CK9" i="3"/>
  <c r="CL9" i="3"/>
  <c r="CM9" i="3"/>
  <c r="CN9" i="3"/>
  <c r="CO9" i="3"/>
  <c r="CP9" i="3"/>
  <c r="CQ9" i="3"/>
  <c r="CR9" i="3"/>
  <c r="CS9" i="3"/>
  <c r="CT9" i="3"/>
  <c r="CU9" i="3"/>
  <c r="CV9" i="3"/>
  <c r="CW9" i="3"/>
  <c r="CX9" i="3"/>
  <c r="CY9" i="3"/>
  <c r="CZ9" i="3"/>
  <c r="DA9" i="3"/>
  <c r="DB9" i="3"/>
  <c r="DC9" i="3"/>
  <c r="DD9" i="3"/>
  <c r="DE9" i="3"/>
  <c r="DF9" i="3"/>
  <c r="DG9" i="3"/>
  <c r="DH9" i="3"/>
  <c r="DI9" i="3"/>
  <c r="DJ9" i="3"/>
  <c r="DK9" i="3"/>
  <c r="DL9" i="3"/>
  <c r="DM9" i="3"/>
  <c r="DN9" i="3"/>
  <c r="DO9" i="3"/>
  <c r="DP9" i="3"/>
  <c r="DQ9" i="3"/>
  <c r="DR9" i="3"/>
  <c r="DS9" i="3"/>
  <c r="DT9" i="3"/>
  <c r="DU9" i="3"/>
  <c r="DV9" i="3"/>
  <c r="DW9" i="3"/>
  <c r="DX9" i="3"/>
  <c r="DY9" i="3"/>
  <c r="DZ9" i="3"/>
  <c r="EA9" i="3"/>
  <c r="EB9" i="3"/>
  <c r="EC9" i="3"/>
  <c r="ED9" i="3"/>
  <c r="EE9" i="3"/>
  <c r="EF9" i="3"/>
  <c r="EG9" i="3"/>
  <c r="EH9" i="3"/>
  <c r="EI9" i="3"/>
  <c r="EJ9" i="3"/>
  <c r="EK9" i="3"/>
  <c r="EL9" i="3"/>
  <c r="EM9" i="3"/>
  <c r="EN9" i="3"/>
  <c r="EO9" i="3"/>
  <c r="EP9" i="3"/>
  <c r="EQ9" i="3"/>
  <c r="ER9" i="3"/>
  <c r="ES9" i="3"/>
  <c r="ET9" i="3"/>
  <c r="EU9" i="3"/>
  <c r="EV9" i="3"/>
  <c r="EW9" i="3"/>
  <c r="EX9" i="3"/>
  <c r="EY9" i="3"/>
  <c r="EZ9" i="3"/>
  <c r="FA9" i="3"/>
  <c r="FB9" i="3"/>
  <c r="FC9" i="3"/>
  <c r="FD9" i="3"/>
  <c r="FE9" i="3"/>
  <c r="FF9" i="3"/>
  <c r="FG9" i="3"/>
  <c r="FH9" i="3"/>
  <c r="FI9" i="3"/>
  <c r="FJ9" i="3"/>
  <c r="FK9" i="3"/>
  <c r="FL9" i="3"/>
  <c r="FM9" i="3"/>
  <c r="FN9" i="3"/>
  <c r="FO9" i="3"/>
  <c r="FP9" i="3"/>
  <c r="FQ9" i="3"/>
  <c r="FR9" i="3"/>
  <c r="FS9" i="3"/>
  <c r="FT9" i="3"/>
  <c r="FU9" i="3"/>
  <c r="FV9" i="3"/>
  <c r="FW9" i="3"/>
  <c r="FX9" i="3"/>
  <c r="FY9" i="3"/>
  <c r="FZ9" i="3"/>
  <c r="GA9" i="3"/>
  <c r="GB9" i="3"/>
  <c r="GC9" i="3"/>
  <c r="GD9" i="3"/>
  <c r="GE9" i="3"/>
  <c r="GF9" i="3"/>
  <c r="GG9" i="3"/>
  <c r="GH9" i="3"/>
  <c r="GI9" i="3"/>
  <c r="GJ9" i="3"/>
  <c r="GK9" i="3"/>
  <c r="GL9" i="3"/>
  <c r="GM9" i="3"/>
  <c r="GN9" i="3"/>
  <c r="GO9" i="3"/>
  <c r="GP9" i="3"/>
  <c r="GQ9" i="3"/>
  <c r="GR9" i="3"/>
  <c r="GS9" i="3"/>
  <c r="GT9" i="3"/>
  <c r="GU9" i="3"/>
  <c r="GV9" i="3"/>
  <c r="GW9" i="3"/>
  <c r="GX9" i="3"/>
  <c r="GY9" i="3"/>
  <c r="GZ9" i="3"/>
  <c r="HA9" i="3"/>
  <c r="HB9" i="3"/>
  <c r="HC9" i="3"/>
  <c r="HD9" i="3"/>
  <c r="HE9" i="3"/>
  <c r="HF9" i="3"/>
  <c r="HG9" i="3"/>
  <c r="HH9" i="3"/>
  <c r="HI9" i="3"/>
  <c r="HJ9" i="3"/>
  <c r="HK9" i="3"/>
  <c r="HL9" i="3"/>
  <c r="HM9" i="3"/>
  <c r="HN9" i="3"/>
  <c r="HO9" i="3"/>
  <c r="HP9" i="3"/>
  <c r="HQ9" i="3"/>
  <c r="HR9" i="3"/>
  <c r="HS9" i="3"/>
  <c r="HT9" i="3"/>
  <c r="HU9" i="3"/>
  <c r="HV9" i="3"/>
  <c r="HW9" i="3"/>
  <c r="HX9" i="3"/>
  <c r="HY9" i="3"/>
  <c r="HZ9" i="3"/>
  <c r="IA9" i="3"/>
  <c r="IB9" i="3"/>
  <c r="IC9" i="3"/>
  <c r="ID9" i="3"/>
  <c r="IE9" i="3"/>
  <c r="IF9" i="3"/>
  <c r="IG9" i="3"/>
  <c r="IH9" i="3"/>
  <c r="II9" i="3"/>
  <c r="IJ9" i="3"/>
  <c r="IK9" i="3"/>
  <c r="IL9" i="3"/>
  <c r="IM9" i="3"/>
  <c r="IN9" i="3"/>
  <c r="IO9" i="3"/>
  <c r="IP9" i="3"/>
  <c r="IQ9" i="3"/>
  <c r="IR9" i="3"/>
  <c r="IS9" i="3"/>
  <c r="IT9" i="3"/>
  <c r="IU9" i="3"/>
  <c r="IV9" i="3"/>
  <c r="A8" i="3"/>
  <c r="B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U8" i="3"/>
  <c r="AV8" i="3"/>
  <c r="AW8" i="3"/>
  <c r="AX8" i="3"/>
  <c r="AY8" i="3"/>
  <c r="AZ8" i="3"/>
  <c r="BA8" i="3"/>
  <c r="BB8" i="3"/>
  <c r="BC8" i="3"/>
  <c r="BD8" i="3"/>
  <c r="BE8" i="3"/>
  <c r="BF8" i="3"/>
  <c r="BG8" i="3"/>
  <c r="BH8" i="3"/>
  <c r="BI8" i="3"/>
  <c r="BJ8" i="3"/>
  <c r="BK8" i="3"/>
  <c r="BL8" i="3"/>
  <c r="BM8" i="3"/>
  <c r="BN8" i="3"/>
  <c r="BO8" i="3"/>
  <c r="BP8" i="3"/>
  <c r="BQ8" i="3"/>
  <c r="BR8" i="3"/>
  <c r="BS8" i="3"/>
  <c r="BT8" i="3"/>
  <c r="BU8" i="3"/>
  <c r="BV8" i="3"/>
  <c r="BW8" i="3"/>
  <c r="BX8" i="3"/>
  <c r="BY8" i="3"/>
  <c r="BZ8" i="3"/>
  <c r="CA8" i="3"/>
  <c r="CB8" i="3"/>
  <c r="CC8" i="3"/>
  <c r="CD8" i="3"/>
  <c r="CE8" i="3"/>
  <c r="CF8" i="3"/>
  <c r="CG8" i="3"/>
  <c r="CH8" i="3"/>
  <c r="CI8" i="3"/>
  <c r="CJ8" i="3"/>
  <c r="CK8" i="3"/>
  <c r="CL8" i="3"/>
  <c r="CM8" i="3"/>
  <c r="CN8" i="3"/>
  <c r="CO8" i="3"/>
  <c r="CP8" i="3"/>
  <c r="CQ8" i="3"/>
  <c r="CR8" i="3"/>
  <c r="CS8" i="3"/>
  <c r="CT8" i="3"/>
  <c r="CU8" i="3"/>
  <c r="CV8" i="3"/>
  <c r="CW8" i="3"/>
  <c r="CX8" i="3"/>
  <c r="CY8" i="3"/>
  <c r="CZ8" i="3"/>
  <c r="DA8" i="3"/>
  <c r="DB8" i="3"/>
  <c r="DC8" i="3"/>
  <c r="DD8" i="3"/>
  <c r="DE8" i="3"/>
  <c r="DF8" i="3"/>
  <c r="DG8" i="3"/>
  <c r="DH8" i="3"/>
  <c r="DI8" i="3"/>
  <c r="DJ8" i="3"/>
  <c r="DK8" i="3"/>
  <c r="DL8" i="3"/>
  <c r="DM8" i="3"/>
  <c r="DN8" i="3"/>
  <c r="DO8" i="3"/>
  <c r="DP8" i="3"/>
  <c r="DQ8" i="3"/>
  <c r="DR8" i="3"/>
  <c r="DS8" i="3"/>
  <c r="DT8" i="3"/>
  <c r="DU8" i="3"/>
  <c r="DV8" i="3"/>
  <c r="DW8" i="3"/>
  <c r="DX8" i="3"/>
  <c r="DY8" i="3"/>
  <c r="DZ8" i="3"/>
  <c r="EA8" i="3"/>
  <c r="EB8" i="3"/>
  <c r="EC8" i="3"/>
  <c r="ED8" i="3"/>
  <c r="EE8" i="3"/>
  <c r="EF8" i="3"/>
  <c r="EG8" i="3"/>
  <c r="EH8" i="3"/>
  <c r="EI8" i="3"/>
  <c r="EJ8" i="3"/>
  <c r="EK8" i="3"/>
  <c r="EL8" i="3"/>
  <c r="EM8" i="3"/>
  <c r="EN8" i="3"/>
  <c r="EO8" i="3"/>
  <c r="EP8" i="3"/>
  <c r="EQ8" i="3"/>
  <c r="ER8" i="3"/>
  <c r="ES8" i="3"/>
  <c r="ET8" i="3"/>
  <c r="EU8" i="3"/>
  <c r="EV8" i="3"/>
  <c r="EW8" i="3"/>
  <c r="EX8" i="3"/>
  <c r="EY8" i="3"/>
  <c r="EZ8" i="3"/>
  <c r="FA8" i="3"/>
  <c r="FB8" i="3"/>
  <c r="FC8" i="3"/>
  <c r="FD8" i="3"/>
  <c r="FE8" i="3"/>
  <c r="FF8" i="3"/>
  <c r="FG8" i="3"/>
  <c r="FH8" i="3"/>
  <c r="FI8" i="3"/>
  <c r="FJ8" i="3"/>
  <c r="FK8" i="3"/>
  <c r="FL8" i="3"/>
  <c r="FM8" i="3"/>
  <c r="FN8" i="3"/>
  <c r="FO8" i="3"/>
  <c r="FP8" i="3"/>
  <c r="FQ8" i="3"/>
  <c r="FR8" i="3"/>
  <c r="FS8" i="3"/>
  <c r="FT8" i="3"/>
  <c r="FU8" i="3"/>
  <c r="FV8" i="3"/>
  <c r="FW8" i="3"/>
  <c r="FX8" i="3"/>
  <c r="FY8" i="3"/>
  <c r="FZ8" i="3"/>
  <c r="GA8" i="3"/>
  <c r="GB8" i="3"/>
  <c r="GC8" i="3"/>
  <c r="GD8" i="3"/>
  <c r="GE8" i="3"/>
  <c r="GF8" i="3"/>
  <c r="GG8" i="3"/>
  <c r="GH8" i="3"/>
  <c r="GI8" i="3"/>
  <c r="GJ8" i="3"/>
  <c r="GK8" i="3"/>
  <c r="GL8" i="3"/>
  <c r="GM8" i="3"/>
  <c r="GN8" i="3"/>
  <c r="GO8" i="3"/>
  <c r="GP8" i="3"/>
  <c r="GQ8" i="3"/>
  <c r="GR8" i="3"/>
  <c r="GS8" i="3"/>
  <c r="GT8" i="3"/>
  <c r="GU8" i="3"/>
  <c r="GV8" i="3"/>
  <c r="GW8" i="3"/>
  <c r="GX8" i="3"/>
  <c r="GY8" i="3"/>
  <c r="GZ8" i="3"/>
  <c r="HA8" i="3"/>
  <c r="HB8" i="3"/>
  <c r="HC8" i="3"/>
  <c r="HD8" i="3"/>
  <c r="HE8" i="3"/>
  <c r="HF8" i="3"/>
  <c r="HG8" i="3"/>
  <c r="HH8" i="3"/>
  <c r="HI8" i="3"/>
  <c r="HJ8" i="3"/>
  <c r="HK8" i="3"/>
  <c r="HL8" i="3"/>
  <c r="HM8" i="3"/>
  <c r="HN8" i="3"/>
  <c r="HO8" i="3"/>
  <c r="HP8" i="3"/>
  <c r="HQ8" i="3"/>
  <c r="HR8" i="3"/>
  <c r="HS8" i="3"/>
  <c r="HT8" i="3"/>
  <c r="HU8" i="3"/>
  <c r="HV8" i="3"/>
  <c r="HW8" i="3"/>
  <c r="HX8" i="3"/>
  <c r="HY8" i="3"/>
  <c r="HZ8" i="3"/>
  <c r="IA8" i="3"/>
  <c r="IB8" i="3"/>
  <c r="IC8" i="3"/>
  <c r="ID8" i="3"/>
  <c r="IE8" i="3"/>
  <c r="IF8" i="3"/>
  <c r="IG8" i="3"/>
  <c r="IH8" i="3"/>
  <c r="II8" i="3"/>
  <c r="IJ8" i="3"/>
  <c r="IK8" i="3"/>
  <c r="IL8" i="3"/>
  <c r="IM8" i="3"/>
  <c r="IN8" i="3"/>
  <c r="IO8" i="3"/>
  <c r="IP8" i="3"/>
  <c r="IQ8" i="3"/>
  <c r="IR8" i="3"/>
  <c r="IS8" i="3"/>
  <c r="IT8" i="3"/>
  <c r="IU8" i="3"/>
  <c r="IV8" i="3"/>
  <c r="A7" i="3"/>
  <c r="B7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U7" i="3"/>
  <c r="AV7" i="3"/>
  <c r="AW7" i="3"/>
  <c r="AX7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BL7" i="3"/>
  <c r="BM7" i="3"/>
  <c r="BN7" i="3"/>
  <c r="BO7" i="3"/>
  <c r="BP7" i="3"/>
  <c r="BQ7" i="3"/>
  <c r="BR7" i="3"/>
  <c r="BS7" i="3"/>
  <c r="BT7" i="3"/>
  <c r="BU7" i="3"/>
  <c r="BV7" i="3"/>
  <c r="BW7" i="3"/>
  <c r="BX7" i="3"/>
  <c r="BY7" i="3"/>
  <c r="BZ7" i="3"/>
  <c r="CA7" i="3"/>
  <c r="CB7" i="3"/>
  <c r="CC7" i="3"/>
  <c r="CD7" i="3"/>
  <c r="CE7" i="3"/>
  <c r="CF7" i="3"/>
  <c r="CG7" i="3"/>
  <c r="CH7" i="3"/>
  <c r="CI7" i="3"/>
  <c r="CJ7" i="3"/>
  <c r="CK7" i="3"/>
  <c r="CL7" i="3"/>
  <c r="CM7" i="3"/>
  <c r="CN7" i="3"/>
  <c r="CO7" i="3"/>
  <c r="CP7" i="3"/>
  <c r="CQ7" i="3"/>
  <c r="CR7" i="3"/>
  <c r="CS7" i="3"/>
  <c r="CT7" i="3"/>
  <c r="CU7" i="3"/>
  <c r="CV7" i="3"/>
  <c r="CW7" i="3"/>
  <c r="CX7" i="3"/>
  <c r="CY7" i="3"/>
  <c r="CZ7" i="3"/>
  <c r="DA7" i="3"/>
  <c r="DB7" i="3"/>
  <c r="DC7" i="3"/>
  <c r="DD7" i="3"/>
  <c r="DE7" i="3"/>
  <c r="DF7" i="3"/>
  <c r="DG7" i="3"/>
  <c r="DH7" i="3"/>
  <c r="DI7" i="3"/>
  <c r="DJ7" i="3"/>
  <c r="DK7" i="3"/>
  <c r="DL7" i="3"/>
  <c r="DM7" i="3"/>
  <c r="DN7" i="3"/>
  <c r="DO7" i="3"/>
  <c r="DP7" i="3"/>
  <c r="DQ7" i="3"/>
  <c r="DR7" i="3"/>
  <c r="DS7" i="3"/>
  <c r="DT7" i="3"/>
  <c r="DU7" i="3"/>
  <c r="DV7" i="3"/>
  <c r="DW7" i="3"/>
  <c r="DX7" i="3"/>
  <c r="DY7" i="3"/>
  <c r="DZ7" i="3"/>
  <c r="EA7" i="3"/>
  <c r="EB7" i="3"/>
  <c r="EC7" i="3"/>
  <c r="ED7" i="3"/>
  <c r="EE7" i="3"/>
  <c r="EF7" i="3"/>
  <c r="EG7" i="3"/>
  <c r="EH7" i="3"/>
  <c r="EI7" i="3"/>
  <c r="EJ7" i="3"/>
  <c r="EK7" i="3"/>
  <c r="EL7" i="3"/>
  <c r="EM7" i="3"/>
  <c r="EN7" i="3"/>
  <c r="EO7" i="3"/>
  <c r="EP7" i="3"/>
  <c r="EQ7" i="3"/>
  <c r="ER7" i="3"/>
  <c r="ES7" i="3"/>
  <c r="ET7" i="3"/>
  <c r="EU7" i="3"/>
  <c r="EV7" i="3"/>
  <c r="EW7" i="3"/>
  <c r="EX7" i="3"/>
  <c r="EY7" i="3"/>
  <c r="EZ7" i="3"/>
  <c r="FA7" i="3"/>
  <c r="FB7" i="3"/>
  <c r="FC7" i="3"/>
  <c r="FD7" i="3"/>
  <c r="FE7" i="3"/>
  <c r="FF7" i="3"/>
  <c r="FG7" i="3"/>
  <c r="FH7" i="3"/>
  <c r="FI7" i="3"/>
  <c r="FJ7" i="3"/>
  <c r="FK7" i="3"/>
  <c r="FL7" i="3"/>
  <c r="FM7" i="3"/>
  <c r="FN7" i="3"/>
  <c r="FO7" i="3"/>
  <c r="FP7" i="3"/>
  <c r="FQ7" i="3"/>
  <c r="FR7" i="3"/>
  <c r="FS7" i="3"/>
  <c r="FT7" i="3"/>
  <c r="FU7" i="3"/>
  <c r="FV7" i="3"/>
  <c r="FW7" i="3"/>
  <c r="FX7" i="3"/>
  <c r="FY7" i="3"/>
  <c r="FZ7" i="3"/>
  <c r="GA7" i="3"/>
  <c r="GB7" i="3"/>
  <c r="GC7" i="3"/>
  <c r="GD7" i="3"/>
  <c r="GE7" i="3"/>
  <c r="GF7" i="3"/>
  <c r="GG7" i="3"/>
  <c r="GH7" i="3"/>
  <c r="GI7" i="3"/>
  <c r="GJ7" i="3"/>
  <c r="GK7" i="3"/>
  <c r="GL7" i="3"/>
  <c r="GM7" i="3"/>
  <c r="GN7" i="3"/>
  <c r="GO7" i="3"/>
  <c r="GP7" i="3"/>
  <c r="GQ7" i="3"/>
  <c r="GR7" i="3"/>
  <c r="GS7" i="3"/>
  <c r="GT7" i="3"/>
  <c r="GU7" i="3"/>
  <c r="GV7" i="3"/>
  <c r="GW7" i="3"/>
  <c r="GX7" i="3"/>
  <c r="GY7" i="3"/>
  <c r="GZ7" i="3"/>
  <c r="HA7" i="3"/>
  <c r="HB7" i="3"/>
  <c r="HC7" i="3"/>
  <c r="HD7" i="3"/>
  <c r="HE7" i="3"/>
  <c r="HF7" i="3"/>
  <c r="HG7" i="3"/>
  <c r="HH7" i="3"/>
  <c r="HI7" i="3"/>
  <c r="HJ7" i="3"/>
  <c r="HK7" i="3"/>
  <c r="HL7" i="3"/>
  <c r="HM7" i="3"/>
  <c r="HN7" i="3"/>
  <c r="HO7" i="3"/>
  <c r="HP7" i="3"/>
  <c r="HQ7" i="3"/>
  <c r="HR7" i="3"/>
  <c r="HS7" i="3"/>
  <c r="HT7" i="3"/>
  <c r="HU7" i="3"/>
  <c r="HV7" i="3"/>
  <c r="HW7" i="3"/>
  <c r="HX7" i="3"/>
  <c r="HY7" i="3"/>
  <c r="HZ7" i="3"/>
  <c r="IA7" i="3"/>
  <c r="IB7" i="3"/>
  <c r="IC7" i="3"/>
  <c r="ID7" i="3"/>
  <c r="IE7" i="3"/>
  <c r="IF7" i="3"/>
  <c r="IG7" i="3"/>
  <c r="IH7" i="3"/>
  <c r="II7" i="3"/>
  <c r="IJ7" i="3"/>
  <c r="IK7" i="3"/>
  <c r="IL7" i="3"/>
  <c r="IM7" i="3"/>
  <c r="IN7" i="3"/>
  <c r="IO7" i="3"/>
  <c r="IP7" i="3"/>
  <c r="IQ7" i="3"/>
  <c r="IR7" i="3"/>
  <c r="IS7" i="3"/>
  <c r="IT7" i="3"/>
  <c r="IU7" i="3"/>
  <c r="IV7" i="3"/>
  <c r="A6" i="3"/>
  <c r="B6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U6" i="3"/>
  <c r="AV6" i="3"/>
  <c r="AW6" i="3"/>
  <c r="AX6" i="3"/>
  <c r="AY6" i="3"/>
  <c r="AZ6" i="3"/>
  <c r="BA6" i="3"/>
  <c r="BB6" i="3"/>
  <c r="BC6" i="3"/>
  <c r="BD6" i="3"/>
  <c r="BE6" i="3"/>
  <c r="BF6" i="3"/>
  <c r="BG6" i="3"/>
  <c r="BH6" i="3"/>
  <c r="BI6" i="3"/>
  <c r="BJ6" i="3"/>
  <c r="BK6" i="3"/>
  <c r="BL6" i="3"/>
  <c r="BM6" i="3"/>
  <c r="BN6" i="3"/>
  <c r="BO6" i="3"/>
  <c r="BP6" i="3"/>
  <c r="BQ6" i="3"/>
  <c r="BR6" i="3"/>
  <c r="BS6" i="3"/>
  <c r="BT6" i="3"/>
  <c r="BU6" i="3"/>
  <c r="BV6" i="3"/>
  <c r="BW6" i="3"/>
  <c r="BX6" i="3"/>
  <c r="BY6" i="3"/>
  <c r="BZ6" i="3"/>
  <c r="CA6" i="3"/>
  <c r="CB6" i="3"/>
  <c r="CC6" i="3"/>
  <c r="CD6" i="3"/>
  <c r="CE6" i="3"/>
  <c r="CF6" i="3"/>
  <c r="CG6" i="3"/>
  <c r="CH6" i="3"/>
  <c r="CI6" i="3"/>
  <c r="CJ6" i="3"/>
  <c r="CK6" i="3"/>
  <c r="CL6" i="3"/>
  <c r="CM6" i="3"/>
  <c r="CN6" i="3"/>
  <c r="CO6" i="3"/>
  <c r="CP6" i="3"/>
  <c r="CQ6" i="3"/>
  <c r="CR6" i="3"/>
  <c r="CS6" i="3"/>
  <c r="CT6" i="3"/>
  <c r="CU6" i="3"/>
  <c r="CV6" i="3"/>
  <c r="CW6" i="3"/>
  <c r="CX6" i="3"/>
  <c r="CY6" i="3"/>
  <c r="CZ6" i="3"/>
  <c r="DA6" i="3"/>
  <c r="DB6" i="3"/>
  <c r="DC6" i="3"/>
  <c r="DD6" i="3"/>
  <c r="DE6" i="3"/>
  <c r="DF6" i="3"/>
  <c r="DG6" i="3"/>
  <c r="DH6" i="3"/>
  <c r="DI6" i="3"/>
  <c r="DJ6" i="3"/>
  <c r="DK6" i="3"/>
  <c r="DL6" i="3"/>
  <c r="DM6" i="3"/>
  <c r="DN6" i="3"/>
  <c r="DO6" i="3"/>
  <c r="DP6" i="3"/>
  <c r="DQ6" i="3"/>
  <c r="DR6" i="3"/>
  <c r="DS6" i="3"/>
  <c r="DT6" i="3"/>
  <c r="DU6" i="3"/>
  <c r="DV6" i="3"/>
  <c r="DW6" i="3"/>
  <c r="DX6" i="3"/>
  <c r="DY6" i="3"/>
  <c r="DZ6" i="3"/>
  <c r="EA6" i="3"/>
  <c r="EB6" i="3"/>
  <c r="EC6" i="3"/>
  <c r="ED6" i="3"/>
  <c r="EE6" i="3"/>
  <c r="EF6" i="3"/>
  <c r="EG6" i="3"/>
  <c r="EH6" i="3"/>
  <c r="EI6" i="3"/>
  <c r="EJ6" i="3"/>
  <c r="EK6" i="3"/>
  <c r="EL6" i="3"/>
  <c r="EM6" i="3"/>
  <c r="EN6" i="3"/>
  <c r="EO6" i="3"/>
  <c r="EP6" i="3"/>
  <c r="EQ6" i="3"/>
  <c r="ER6" i="3"/>
  <c r="ES6" i="3"/>
  <c r="ET6" i="3"/>
  <c r="EU6" i="3"/>
  <c r="EV6" i="3"/>
  <c r="EW6" i="3"/>
  <c r="EX6" i="3"/>
  <c r="EY6" i="3"/>
  <c r="EZ6" i="3"/>
  <c r="FA6" i="3"/>
  <c r="FB6" i="3"/>
  <c r="FC6" i="3"/>
  <c r="FD6" i="3"/>
  <c r="FE6" i="3"/>
  <c r="FF6" i="3"/>
  <c r="FG6" i="3"/>
  <c r="FH6" i="3"/>
  <c r="FI6" i="3"/>
  <c r="FJ6" i="3"/>
  <c r="FK6" i="3"/>
  <c r="FL6" i="3"/>
  <c r="FM6" i="3"/>
  <c r="FN6" i="3"/>
  <c r="FO6" i="3"/>
  <c r="FP6" i="3"/>
  <c r="FQ6" i="3"/>
  <c r="FR6" i="3"/>
  <c r="FS6" i="3"/>
  <c r="FT6" i="3"/>
  <c r="FU6" i="3"/>
  <c r="FV6" i="3"/>
  <c r="FW6" i="3"/>
  <c r="FX6" i="3"/>
  <c r="FY6" i="3"/>
  <c r="FZ6" i="3"/>
  <c r="GA6" i="3"/>
  <c r="GB6" i="3"/>
  <c r="GC6" i="3"/>
  <c r="GD6" i="3"/>
  <c r="GE6" i="3"/>
  <c r="GF6" i="3"/>
  <c r="GG6" i="3"/>
  <c r="GH6" i="3"/>
  <c r="GI6" i="3"/>
  <c r="GJ6" i="3"/>
  <c r="GK6" i="3"/>
  <c r="GL6" i="3"/>
  <c r="GM6" i="3"/>
  <c r="GN6" i="3"/>
  <c r="GO6" i="3"/>
  <c r="GP6" i="3"/>
  <c r="GQ6" i="3"/>
  <c r="GR6" i="3"/>
  <c r="GS6" i="3"/>
  <c r="GT6" i="3"/>
  <c r="GU6" i="3"/>
  <c r="GV6" i="3"/>
  <c r="GW6" i="3"/>
  <c r="GX6" i="3"/>
  <c r="GY6" i="3"/>
  <c r="GZ6" i="3"/>
  <c r="HA6" i="3"/>
  <c r="HB6" i="3"/>
  <c r="HC6" i="3"/>
  <c r="HD6" i="3"/>
  <c r="HE6" i="3"/>
  <c r="HF6" i="3"/>
  <c r="HG6" i="3"/>
  <c r="HH6" i="3"/>
  <c r="HI6" i="3"/>
  <c r="HJ6" i="3"/>
  <c r="HK6" i="3"/>
  <c r="HL6" i="3"/>
  <c r="HM6" i="3"/>
  <c r="HN6" i="3"/>
  <c r="HO6" i="3"/>
  <c r="HP6" i="3"/>
  <c r="HQ6" i="3"/>
  <c r="HR6" i="3"/>
  <c r="HS6" i="3"/>
  <c r="HT6" i="3"/>
  <c r="HU6" i="3"/>
  <c r="HV6" i="3"/>
  <c r="HW6" i="3"/>
  <c r="HX6" i="3"/>
  <c r="HY6" i="3"/>
  <c r="HZ6" i="3"/>
  <c r="IA6" i="3"/>
  <c r="IB6" i="3"/>
  <c r="IC6" i="3"/>
  <c r="ID6" i="3"/>
  <c r="IE6" i="3"/>
  <c r="IF6" i="3"/>
  <c r="IG6" i="3"/>
  <c r="IH6" i="3"/>
  <c r="II6" i="3"/>
  <c r="IJ6" i="3"/>
  <c r="IK6" i="3"/>
  <c r="IL6" i="3"/>
  <c r="IM6" i="3"/>
  <c r="IN6" i="3"/>
  <c r="IO6" i="3"/>
  <c r="IP6" i="3"/>
  <c r="IQ6" i="3"/>
  <c r="IR6" i="3"/>
  <c r="IS6" i="3"/>
  <c r="IT6" i="3"/>
  <c r="IU6" i="3"/>
  <c r="IV6" i="3"/>
  <c r="A5" i="3"/>
  <c r="B5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U5" i="3"/>
  <c r="AV5" i="3"/>
  <c r="AW5" i="3"/>
  <c r="AX5" i="3"/>
  <c r="AY5" i="3"/>
  <c r="AZ5" i="3"/>
  <c r="BA5" i="3"/>
  <c r="BB5" i="3"/>
  <c r="BC5" i="3"/>
  <c r="BD5" i="3"/>
  <c r="BE5" i="3"/>
  <c r="BF5" i="3"/>
  <c r="BG5" i="3"/>
  <c r="BH5" i="3"/>
  <c r="BI5" i="3"/>
  <c r="BJ5" i="3"/>
  <c r="BK5" i="3"/>
  <c r="BL5" i="3"/>
  <c r="BM5" i="3"/>
  <c r="BN5" i="3"/>
  <c r="BO5" i="3"/>
  <c r="BP5" i="3"/>
  <c r="BQ5" i="3"/>
  <c r="BR5" i="3"/>
  <c r="BS5" i="3"/>
  <c r="BT5" i="3"/>
  <c r="BU5" i="3"/>
  <c r="BV5" i="3"/>
  <c r="BW5" i="3"/>
  <c r="BX5" i="3"/>
  <c r="BY5" i="3"/>
  <c r="BZ5" i="3"/>
  <c r="CA5" i="3"/>
  <c r="CB5" i="3"/>
  <c r="CC5" i="3"/>
  <c r="CD5" i="3"/>
  <c r="CE5" i="3"/>
  <c r="CF5" i="3"/>
  <c r="CG5" i="3"/>
  <c r="CH5" i="3"/>
  <c r="CI5" i="3"/>
  <c r="CJ5" i="3"/>
  <c r="CK5" i="3"/>
  <c r="CL5" i="3"/>
  <c r="CM5" i="3"/>
  <c r="CN5" i="3"/>
  <c r="CO5" i="3"/>
  <c r="CP5" i="3"/>
  <c r="CQ5" i="3"/>
  <c r="CR5" i="3"/>
  <c r="CS5" i="3"/>
  <c r="CT5" i="3"/>
  <c r="CU5" i="3"/>
  <c r="CV5" i="3"/>
  <c r="CW5" i="3"/>
  <c r="CX5" i="3"/>
  <c r="CY5" i="3"/>
  <c r="CZ5" i="3"/>
  <c r="DA5" i="3"/>
  <c r="DB5" i="3"/>
  <c r="DC5" i="3"/>
  <c r="DD5" i="3"/>
  <c r="DE5" i="3"/>
  <c r="DF5" i="3"/>
  <c r="DG5" i="3"/>
  <c r="DH5" i="3"/>
  <c r="DI5" i="3"/>
  <c r="DJ5" i="3"/>
  <c r="DK5" i="3"/>
  <c r="DL5" i="3"/>
  <c r="DM5" i="3"/>
  <c r="DN5" i="3"/>
  <c r="DO5" i="3"/>
  <c r="DP5" i="3"/>
  <c r="DQ5" i="3"/>
  <c r="DR5" i="3"/>
  <c r="DS5" i="3"/>
  <c r="DT5" i="3"/>
  <c r="DU5" i="3"/>
  <c r="DV5" i="3"/>
  <c r="DW5" i="3"/>
  <c r="DX5" i="3"/>
  <c r="DY5" i="3"/>
  <c r="DZ5" i="3"/>
  <c r="EA5" i="3"/>
  <c r="EB5" i="3"/>
  <c r="EC5" i="3"/>
  <c r="ED5" i="3"/>
  <c r="EE5" i="3"/>
  <c r="EF5" i="3"/>
  <c r="EG5" i="3"/>
  <c r="EH5" i="3"/>
  <c r="EI5" i="3"/>
  <c r="EJ5" i="3"/>
  <c r="EK5" i="3"/>
  <c r="EL5" i="3"/>
  <c r="EM5" i="3"/>
  <c r="EN5" i="3"/>
  <c r="EO5" i="3"/>
  <c r="EP5" i="3"/>
  <c r="EQ5" i="3"/>
  <c r="ER5" i="3"/>
  <c r="ES5" i="3"/>
  <c r="ET5" i="3"/>
  <c r="EU5" i="3"/>
  <c r="EV5" i="3"/>
  <c r="EW5" i="3"/>
  <c r="EX5" i="3"/>
  <c r="EY5" i="3"/>
  <c r="EZ5" i="3"/>
  <c r="FA5" i="3"/>
  <c r="FB5" i="3"/>
  <c r="FC5" i="3"/>
  <c r="FD5" i="3"/>
  <c r="FE5" i="3"/>
  <c r="FF5" i="3"/>
  <c r="FG5" i="3"/>
  <c r="FH5" i="3"/>
  <c r="FI5" i="3"/>
  <c r="FJ5" i="3"/>
  <c r="FK5" i="3"/>
  <c r="FL5" i="3"/>
  <c r="FM5" i="3"/>
  <c r="FN5" i="3"/>
  <c r="FO5" i="3"/>
  <c r="FP5" i="3"/>
  <c r="FQ5" i="3"/>
  <c r="FR5" i="3"/>
  <c r="FS5" i="3"/>
  <c r="FT5" i="3"/>
  <c r="FU5" i="3"/>
  <c r="FV5" i="3"/>
  <c r="FW5" i="3"/>
  <c r="FX5" i="3"/>
  <c r="FY5" i="3"/>
  <c r="FZ5" i="3"/>
  <c r="GA5" i="3"/>
  <c r="GB5" i="3"/>
  <c r="GC5" i="3"/>
  <c r="GD5" i="3"/>
  <c r="GE5" i="3"/>
  <c r="GF5" i="3"/>
  <c r="GG5" i="3"/>
  <c r="GH5" i="3"/>
  <c r="GI5" i="3"/>
  <c r="GJ5" i="3"/>
  <c r="GK5" i="3"/>
  <c r="GL5" i="3"/>
  <c r="GM5" i="3"/>
  <c r="GN5" i="3"/>
  <c r="GO5" i="3"/>
  <c r="GP5" i="3"/>
  <c r="GQ5" i="3"/>
  <c r="GR5" i="3"/>
  <c r="GS5" i="3"/>
  <c r="GT5" i="3"/>
  <c r="GU5" i="3"/>
  <c r="GV5" i="3"/>
  <c r="GW5" i="3"/>
  <c r="GX5" i="3"/>
  <c r="GY5" i="3"/>
  <c r="GZ5" i="3"/>
  <c r="HA5" i="3"/>
  <c r="HB5" i="3"/>
  <c r="HC5" i="3"/>
  <c r="HD5" i="3"/>
  <c r="HE5" i="3"/>
  <c r="HF5" i="3"/>
  <c r="HG5" i="3"/>
  <c r="HH5" i="3"/>
  <c r="HI5" i="3"/>
  <c r="HJ5" i="3"/>
  <c r="HK5" i="3"/>
  <c r="HL5" i="3"/>
  <c r="HM5" i="3"/>
  <c r="HN5" i="3"/>
  <c r="HO5" i="3"/>
  <c r="HP5" i="3"/>
  <c r="HQ5" i="3"/>
  <c r="HR5" i="3"/>
  <c r="HS5" i="3"/>
  <c r="HT5" i="3"/>
  <c r="HU5" i="3"/>
  <c r="HV5" i="3"/>
  <c r="HW5" i="3"/>
  <c r="HX5" i="3"/>
  <c r="HY5" i="3"/>
  <c r="HZ5" i="3"/>
  <c r="IA5" i="3"/>
  <c r="IB5" i="3"/>
  <c r="IC5" i="3"/>
  <c r="ID5" i="3"/>
  <c r="IE5" i="3"/>
  <c r="IF5" i="3"/>
  <c r="IG5" i="3"/>
  <c r="IH5" i="3"/>
  <c r="II5" i="3"/>
  <c r="IJ5" i="3"/>
  <c r="IK5" i="3"/>
  <c r="IL5" i="3"/>
  <c r="IM5" i="3"/>
  <c r="IN5" i="3"/>
  <c r="IO5" i="3"/>
  <c r="IP5" i="3"/>
  <c r="IQ5" i="3"/>
  <c r="IR5" i="3"/>
  <c r="IS5" i="3"/>
  <c r="IT5" i="3"/>
  <c r="IU5" i="3"/>
  <c r="IV5" i="3"/>
  <c r="A4" i="3"/>
  <c r="B4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BN4" i="3"/>
  <c r="BO4" i="3"/>
  <c r="BP4" i="3"/>
  <c r="BQ4" i="3"/>
  <c r="BR4" i="3"/>
  <c r="BS4" i="3"/>
  <c r="BT4" i="3"/>
  <c r="BU4" i="3"/>
  <c r="BV4" i="3"/>
  <c r="BW4" i="3"/>
  <c r="BX4" i="3"/>
  <c r="BY4" i="3"/>
  <c r="BZ4" i="3"/>
  <c r="CA4" i="3"/>
  <c r="CB4" i="3"/>
  <c r="CC4" i="3"/>
  <c r="CD4" i="3"/>
  <c r="CE4" i="3"/>
  <c r="CF4" i="3"/>
  <c r="CG4" i="3"/>
  <c r="CH4" i="3"/>
  <c r="CI4" i="3"/>
  <c r="CJ4" i="3"/>
  <c r="CK4" i="3"/>
  <c r="CL4" i="3"/>
  <c r="CM4" i="3"/>
  <c r="CN4" i="3"/>
  <c r="CO4" i="3"/>
  <c r="CP4" i="3"/>
  <c r="CQ4" i="3"/>
  <c r="CR4" i="3"/>
  <c r="CS4" i="3"/>
  <c r="CT4" i="3"/>
  <c r="CU4" i="3"/>
  <c r="CV4" i="3"/>
  <c r="CW4" i="3"/>
  <c r="CX4" i="3"/>
  <c r="CY4" i="3"/>
  <c r="CZ4" i="3"/>
  <c r="DA4" i="3"/>
  <c r="DB4" i="3"/>
  <c r="DC4" i="3"/>
  <c r="DD4" i="3"/>
  <c r="DE4" i="3"/>
  <c r="DF4" i="3"/>
  <c r="DG4" i="3"/>
  <c r="DH4" i="3"/>
  <c r="DI4" i="3"/>
  <c r="DJ4" i="3"/>
  <c r="DK4" i="3"/>
  <c r="DL4" i="3"/>
  <c r="DM4" i="3"/>
  <c r="DN4" i="3"/>
  <c r="DO4" i="3"/>
  <c r="DP4" i="3"/>
  <c r="DQ4" i="3"/>
  <c r="DR4" i="3"/>
  <c r="DS4" i="3"/>
  <c r="DT4" i="3"/>
  <c r="DU4" i="3"/>
  <c r="DV4" i="3"/>
  <c r="DW4" i="3"/>
  <c r="DX4" i="3"/>
  <c r="DY4" i="3"/>
  <c r="DZ4" i="3"/>
  <c r="EA4" i="3"/>
  <c r="EB4" i="3"/>
  <c r="EC4" i="3"/>
  <c r="ED4" i="3"/>
  <c r="EE4" i="3"/>
  <c r="EF4" i="3"/>
  <c r="EG4" i="3"/>
  <c r="EH4" i="3"/>
  <c r="EI4" i="3"/>
  <c r="EJ4" i="3"/>
  <c r="EK4" i="3"/>
  <c r="EL4" i="3"/>
  <c r="EM4" i="3"/>
  <c r="EN4" i="3"/>
  <c r="EO4" i="3"/>
  <c r="EP4" i="3"/>
  <c r="EQ4" i="3"/>
  <c r="ER4" i="3"/>
  <c r="ES4" i="3"/>
  <c r="ET4" i="3"/>
  <c r="EU4" i="3"/>
  <c r="EV4" i="3"/>
  <c r="EW4" i="3"/>
  <c r="EX4" i="3"/>
  <c r="EY4" i="3"/>
  <c r="EZ4" i="3"/>
  <c r="FA4" i="3"/>
  <c r="FB4" i="3"/>
  <c r="FC4" i="3"/>
  <c r="FD4" i="3"/>
  <c r="FE4" i="3"/>
  <c r="FF4" i="3"/>
  <c r="FG4" i="3"/>
  <c r="FH4" i="3"/>
  <c r="FI4" i="3"/>
  <c r="FJ4" i="3"/>
  <c r="FK4" i="3"/>
  <c r="FL4" i="3"/>
  <c r="FM4" i="3"/>
  <c r="FN4" i="3"/>
  <c r="FO4" i="3"/>
  <c r="FP4" i="3"/>
  <c r="FQ4" i="3"/>
  <c r="FR4" i="3"/>
  <c r="FS4" i="3"/>
  <c r="FT4" i="3"/>
  <c r="FU4" i="3"/>
  <c r="FV4" i="3"/>
  <c r="FW4" i="3"/>
  <c r="FX4" i="3"/>
  <c r="FY4" i="3"/>
  <c r="FZ4" i="3"/>
  <c r="GA4" i="3"/>
  <c r="GB4" i="3"/>
  <c r="GC4" i="3"/>
  <c r="GD4" i="3"/>
  <c r="GE4" i="3"/>
  <c r="GF4" i="3"/>
  <c r="GG4" i="3"/>
  <c r="GH4" i="3"/>
  <c r="GI4" i="3"/>
  <c r="GJ4" i="3"/>
  <c r="GK4" i="3"/>
  <c r="GL4" i="3"/>
  <c r="GM4" i="3"/>
  <c r="GN4" i="3"/>
  <c r="GO4" i="3"/>
  <c r="GP4" i="3"/>
  <c r="GQ4" i="3"/>
  <c r="GR4" i="3"/>
  <c r="GS4" i="3"/>
  <c r="GT4" i="3"/>
  <c r="GU4" i="3"/>
  <c r="GV4" i="3"/>
  <c r="GW4" i="3"/>
  <c r="GX4" i="3"/>
  <c r="GY4" i="3"/>
  <c r="GZ4" i="3"/>
  <c r="HA4" i="3"/>
  <c r="HB4" i="3"/>
  <c r="HC4" i="3"/>
  <c r="HD4" i="3"/>
  <c r="HE4" i="3"/>
  <c r="HF4" i="3"/>
  <c r="HG4" i="3"/>
  <c r="HH4" i="3"/>
  <c r="HI4" i="3"/>
  <c r="HJ4" i="3"/>
  <c r="HK4" i="3"/>
  <c r="HL4" i="3"/>
  <c r="HM4" i="3"/>
  <c r="HN4" i="3"/>
  <c r="HO4" i="3"/>
  <c r="HP4" i="3"/>
  <c r="HQ4" i="3"/>
  <c r="HR4" i="3"/>
  <c r="HS4" i="3"/>
  <c r="HT4" i="3"/>
  <c r="HU4" i="3"/>
  <c r="HV4" i="3"/>
  <c r="HW4" i="3"/>
  <c r="HX4" i="3"/>
  <c r="HY4" i="3"/>
  <c r="HZ4" i="3"/>
  <c r="IA4" i="3"/>
  <c r="IB4" i="3"/>
  <c r="IC4" i="3"/>
  <c r="ID4" i="3"/>
  <c r="IE4" i="3"/>
  <c r="IF4" i="3"/>
  <c r="IG4" i="3"/>
  <c r="IH4" i="3"/>
  <c r="II4" i="3"/>
  <c r="IJ4" i="3"/>
  <c r="IK4" i="3"/>
  <c r="IL4" i="3"/>
  <c r="IM4" i="3"/>
  <c r="IN4" i="3"/>
  <c r="IO4" i="3"/>
  <c r="IP4" i="3"/>
  <c r="IQ4" i="3"/>
  <c r="IR4" i="3"/>
  <c r="IS4" i="3"/>
  <c r="IT4" i="3"/>
  <c r="IU4" i="3"/>
  <c r="IV4" i="3"/>
  <c r="A3" i="3"/>
  <c r="B3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AT3" i="3"/>
  <c r="AU3" i="3"/>
  <c r="AV3" i="3"/>
  <c r="AW3" i="3"/>
  <c r="AX3" i="3"/>
  <c r="AY3" i="3"/>
  <c r="AZ3" i="3"/>
  <c r="BA3" i="3"/>
  <c r="BB3" i="3"/>
  <c r="BC3" i="3"/>
  <c r="BD3" i="3"/>
  <c r="BE3" i="3"/>
  <c r="BF3" i="3"/>
  <c r="BG3" i="3"/>
  <c r="BH3" i="3"/>
  <c r="BI3" i="3"/>
  <c r="BJ3" i="3"/>
  <c r="BK3" i="3"/>
  <c r="BL3" i="3"/>
  <c r="BM3" i="3"/>
  <c r="BN3" i="3"/>
  <c r="BO3" i="3"/>
  <c r="BP3" i="3"/>
  <c r="BQ3" i="3"/>
  <c r="BR3" i="3"/>
  <c r="BS3" i="3"/>
  <c r="BT3" i="3"/>
  <c r="BU3" i="3"/>
  <c r="BV3" i="3"/>
  <c r="BW3" i="3"/>
  <c r="BX3" i="3"/>
  <c r="BY3" i="3"/>
  <c r="BZ3" i="3"/>
  <c r="CA3" i="3"/>
  <c r="CB3" i="3"/>
  <c r="CC3" i="3"/>
  <c r="CD3" i="3"/>
  <c r="CE3" i="3"/>
  <c r="CF3" i="3"/>
  <c r="CG3" i="3"/>
  <c r="CH3" i="3"/>
  <c r="CI3" i="3"/>
  <c r="CJ3" i="3"/>
  <c r="CK3" i="3"/>
  <c r="CL3" i="3"/>
  <c r="CM3" i="3"/>
  <c r="CN3" i="3"/>
  <c r="CO3" i="3"/>
  <c r="CP3" i="3"/>
  <c r="CQ3" i="3"/>
  <c r="CR3" i="3"/>
  <c r="CS3" i="3"/>
  <c r="CT3" i="3"/>
  <c r="CU3" i="3"/>
  <c r="CV3" i="3"/>
  <c r="CW3" i="3"/>
  <c r="CX3" i="3"/>
  <c r="CY3" i="3"/>
  <c r="CZ3" i="3"/>
  <c r="DA3" i="3"/>
  <c r="DB3" i="3"/>
  <c r="DC3" i="3"/>
  <c r="DD3" i="3"/>
  <c r="DE3" i="3"/>
  <c r="DF3" i="3"/>
  <c r="DG3" i="3"/>
  <c r="DH3" i="3"/>
  <c r="DI3" i="3"/>
  <c r="DJ3" i="3"/>
  <c r="DK3" i="3"/>
  <c r="DL3" i="3"/>
  <c r="DM3" i="3"/>
  <c r="DN3" i="3"/>
  <c r="DO3" i="3"/>
  <c r="DP3" i="3"/>
  <c r="DQ3" i="3"/>
  <c r="DR3" i="3"/>
  <c r="DS3" i="3"/>
  <c r="DT3" i="3"/>
  <c r="DU3" i="3"/>
  <c r="DV3" i="3"/>
  <c r="DW3" i="3"/>
  <c r="DX3" i="3"/>
  <c r="DY3" i="3"/>
  <c r="DZ3" i="3"/>
  <c r="EA3" i="3"/>
  <c r="EB3" i="3"/>
  <c r="EC3" i="3"/>
  <c r="ED3" i="3"/>
  <c r="EE3" i="3"/>
  <c r="EF3" i="3"/>
  <c r="EG3" i="3"/>
  <c r="EH3" i="3"/>
  <c r="EI3" i="3"/>
  <c r="EJ3" i="3"/>
  <c r="EK3" i="3"/>
  <c r="EL3" i="3"/>
  <c r="EM3" i="3"/>
  <c r="EN3" i="3"/>
  <c r="EO3" i="3"/>
  <c r="EP3" i="3"/>
  <c r="EQ3" i="3"/>
  <c r="ER3" i="3"/>
  <c r="ES3" i="3"/>
  <c r="ET3" i="3"/>
  <c r="EU3" i="3"/>
  <c r="EV3" i="3"/>
  <c r="EW3" i="3"/>
  <c r="EX3" i="3"/>
  <c r="EY3" i="3"/>
  <c r="EZ3" i="3"/>
  <c r="FA3" i="3"/>
  <c r="FB3" i="3"/>
  <c r="FC3" i="3"/>
  <c r="FD3" i="3"/>
  <c r="FE3" i="3"/>
  <c r="FF3" i="3"/>
  <c r="FG3" i="3"/>
  <c r="FH3" i="3"/>
  <c r="FI3" i="3"/>
  <c r="FJ3" i="3"/>
  <c r="FK3" i="3"/>
  <c r="FL3" i="3"/>
  <c r="FM3" i="3"/>
  <c r="FN3" i="3"/>
  <c r="FO3" i="3"/>
  <c r="FP3" i="3"/>
  <c r="FQ3" i="3"/>
  <c r="FR3" i="3"/>
  <c r="FS3" i="3"/>
  <c r="FT3" i="3"/>
  <c r="FU3" i="3"/>
  <c r="FV3" i="3"/>
  <c r="FW3" i="3"/>
  <c r="FX3" i="3"/>
  <c r="FY3" i="3"/>
  <c r="FZ3" i="3"/>
  <c r="GA3" i="3"/>
  <c r="GB3" i="3"/>
  <c r="GC3" i="3"/>
  <c r="GD3" i="3"/>
  <c r="GE3" i="3"/>
  <c r="GF3" i="3"/>
  <c r="GG3" i="3"/>
  <c r="GH3" i="3"/>
  <c r="GI3" i="3"/>
  <c r="GJ3" i="3"/>
  <c r="GK3" i="3"/>
  <c r="GL3" i="3"/>
  <c r="GM3" i="3"/>
  <c r="GN3" i="3"/>
  <c r="GO3" i="3"/>
  <c r="GP3" i="3"/>
  <c r="GQ3" i="3"/>
  <c r="GR3" i="3"/>
  <c r="GS3" i="3"/>
  <c r="GT3" i="3"/>
  <c r="GU3" i="3"/>
  <c r="GV3" i="3"/>
  <c r="GW3" i="3"/>
  <c r="GX3" i="3"/>
  <c r="GY3" i="3"/>
  <c r="GZ3" i="3"/>
  <c r="HA3" i="3"/>
  <c r="HB3" i="3"/>
  <c r="HC3" i="3"/>
  <c r="HD3" i="3"/>
  <c r="HE3" i="3"/>
  <c r="HF3" i="3"/>
  <c r="HG3" i="3"/>
  <c r="HH3" i="3"/>
  <c r="HI3" i="3"/>
  <c r="HJ3" i="3"/>
  <c r="HK3" i="3"/>
  <c r="HL3" i="3"/>
  <c r="HM3" i="3"/>
  <c r="HN3" i="3"/>
  <c r="HO3" i="3"/>
  <c r="HP3" i="3"/>
  <c r="HQ3" i="3"/>
  <c r="HR3" i="3"/>
  <c r="HS3" i="3"/>
  <c r="HT3" i="3"/>
  <c r="HU3" i="3"/>
  <c r="HV3" i="3"/>
  <c r="HW3" i="3"/>
  <c r="HX3" i="3"/>
  <c r="HY3" i="3"/>
  <c r="HZ3" i="3"/>
  <c r="IA3" i="3"/>
  <c r="IB3" i="3"/>
  <c r="IC3" i="3"/>
  <c r="ID3" i="3"/>
  <c r="IE3" i="3"/>
  <c r="IF3" i="3"/>
  <c r="IG3" i="3"/>
  <c r="IH3" i="3"/>
  <c r="II3" i="3"/>
  <c r="IJ3" i="3"/>
  <c r="IK3" i="3"/>
  <c r="IL3" i="3"/>
  <c r="IM3" i="3"/>
  <c r="IN3" i="3"/>
  <c r="IO3" i="3"/>
  <c r="IP3" i="3"/>
  <c r="IQ3" i="3"/>
  <c r="IR3" i="3"/>
  <c r="IS3" i="3"/>
  <c r="IT3" i="3"/>
  <c r="IU3" i="3"/>
  <c r="IV3" i="3"/>
  <c r="A2" i="3"/>
  <c r="B2" i="3"/>
  <c r="C2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AL2" i="3"/>
  <c r="AM2" i="3"/>
  <c r="AN2" i="3"/>
  <c r="AO2" i="3"/>
  <c r="AP2" i="3"/>
  <c r="AQ2" i="3"/>
  <c r="AR2" i="3"/>
  <c r="AS2" i="3"/>
  <c r="AT2" i="3"/>
  <c r="AU2" i="3"/>
  <c r="AV2" i="3"/>
  <c r="AW2" i="3"/>
  <c r="AX2" i="3"/>
  <c r="AY2" i="3"/>
  <c r="AZ2" i="3"/>
  <c r="BA2" i="3"/>
  <c r="BB2" i="3"/>
  <c r="BC2" i="3"/>
  <c r="BD2" i="3"/>
  <c r="BE2" i="3"/>
  <c r="BF2" i="3"/>
  <c r="BG2" i="3"/>
  <c r="BH2" i="3"/>
  <c r="BI2" i="3"/>
  <c r="BJ2" i="3"/>
  <c r="BK2" i="3"/>
  <c r="BL2" i="3"/>
  <c r="BM2" i="3"/>
  <c r="BN2" i="3"/>
  <c r="BO2" i="3"/>
  <c r="BP2" i="3"/>
  <c r="BQ2" i="3"/>
  <c r="BR2" i="3"/>
  <c r="BS2" i="3"/>
  <c r="BT2" i="3"/>
  <c r="BU2" i="3"/>
  <c r="BV2" i="3"/>
  <c r="BW2" i="3"/>
  <c r="BX2" i="3"/>
  <c r="BY2" i="3"/>
  <c r="BZ2" i="3"/>
  <c r="CA2" i="3"/>
  <c r="CB2" i="3"/>
  <c r="CC2" i="3"/>
  <c r="CD2" i="3"/>
  <c r="CE2" i="3"/>
  <c r="CF2" i="3"/>
  <c r="CG2" i="3"/>
  <c r="CH2" i="3"/>
  <c r="CI2" i="3"/>
  <c r="CJ2" i="3"/>
  <c r="CK2" i="3"/>
  <c r="CL2" i="3"/>
  <c r="CM2" i="3"/>
  <c r="CN2" i="3"/>
  <c r="CO2" i="3"/>
  <c r="CP2" i="3"/>
  <c r="CQ2" i="3"/>
  <c r="CR2" i="3"/>
  <c r="CS2" i="3"/>
  <c r="CT2" i="3"/>
  <c r="CU2" i="3"/>
  <c r="CV2" i="3"/>
  <c r="CW2" i="3"/>
  <c r="CX2" i="3"/>
  <c r="CY2" i="3"/>
  <c r="CZ2" i="3"/>
  <c r="DA2" i="3"/>
  <c r="DB2" i="3"/>
  <c r="DC2" i="3"/>
  <c r="DD2" i="3"/>
  <c r="DE2" i="3"/>
  <c r="DF2" i="3"/>
  <c r="DG2" i="3"/>
  <c r="DH2" i="3"/>
  <c r="DI2" i="3"/>
  <c r="DJ2" i="3"/>
  <c r="DK2" i="3"/>
  <c r="DL2" i="3"/>
  <c r="DM2" i="3"/>
  <c r="DN2" i="3"/>
  <c r="DO2" i="3"/>
  <c r="DP2" i="3"/>
  <c r="DQ2" i="3"/>
  <c r="DR2" i="3"/>
  <c r="DS2" i="3"/>
  <c r="DT2" i="3"/>
  <c r="DU2" i="3"/>
  <c r="DV2" i="3"/>
  <c r="DW2" i="3"/>
  <c r="DX2" i="3"/>
  <c r="DY2" i="3"/>
  <c r="DZ2" i="3"/>
  <c r="EA2" i="3"/>
  <c r="EB2" i="3"/>
  <c r="EC2" i="3"/>
  <c r="ED2" i="3"/>
  <c r="EE2" i="3"/>
  <c r="EF2" i="3"/>
  <c r="EG2" i="3"/>
  <c r="EH2" i="3"/>
  <c r="EI2" i="3"/>
  <c r="EJ2" i="3"/>
  <c r="EK2" i="3"/>
  <c r="EL2" i="3"/>
  <c r="EM2" i="3"/>
  <c r="EN2" i="3"/>
  <c r="EO2" i="3"/>
  <c r="EP2" i="3"/>
  <c r="EQ2" i="3"/>
  <c r="ER2" i="3"/>
  <c r="ES2" i="3"/>
  <c r="ET2" i="3"/>
  <c r="EU2" i="3"/>
  <c r="EV2" i="3"/>
  <c r="EW2" i="3"/>
  <c r="EX2" i="3"/>
  <c r="EY2" i="3"/>
  <c r="EZ2" i="3"/>
  <c r="FA2" i="3"/>
  <c r="FB2" i="3"/>
  <c r="FC2" i="3"/>
  <c r="FD2" i="3"/>
  <c r="FE2" i="3"/>
  <c r="FF2" i="3"/>
  <c r="FG2" i="3"/>
  <c r="FH2" i="3"/>
  <c r="FI2" i="3"/>
  <c r="FJ2" i="3"/>
  <c r="FK2" i="3"/>
  <c r="FL2" i="3"/>
  <c r="FM2" i="3"/>
  <c r="FN2" i="3"/>
  <c r="FO2" i="3"/>
  <c r="FP2" i="3"/>
  <c r="FQ2" i="3"/>
  <c r="FR2" i="3"/>
  <c r="FS2" i="3"/>
  <c r="FT2" i="3"/>
  <c r="FU2" i="3"/>
  <c r="FV2" i="3"/>
  <c r="FW2" i="3"/>
  <c r="FX2" i="3"/>
  <c r="FY2" i="3"/>
  <c r="FZ2" i="3"/>
  <c r="GA2" i="3"/>
  <c r="GB2" i="3"/>
  <c r="GC2" i="3"/>
  <c r="GD2" i="3"/>
  <c r="GE2" i="3"/>
  <c r="GF2" i="3"/>
  <c r="GG2" i="3"/>
  <c r="GH2" i="3"/>
  <c r="GI2" i="3"/>
  <c r="GJ2" i="3"/>
  <c r="GK2" i="3"/>
  <c r="GL2" i="3"/>
  <c r="GM2" i="3"/>
  <c r="GN2" i="3"/>
  <c r="GO2" i="3"/>
  <c r="GP2" i="3"/>
  <c r="GQ2" i="3"/>
  <c r="GR2" i="3"/>
  <c r="GS2" i="3"/>
  <c r="GT2" i="3"/>
  <c r="GU2" i="3"/>
  <c r="GV2" i="3"/>
  <c r="GW2" i="3"/>
  <c r="GX2" i="3"/>
  <c r="GY2" i="3"/>
  <c r="GZ2" i="3"/>
  <c r="HA2" i="3"/>
  <c r="HB2" i="3"/>
  <c r="HC2" i="3"/>
  <c r="HD2" i="3"/>
  <c r="HE2" i="3"/>
  <c r="HF2" i="3"/>
  <c r="HG2" i="3"/>
  <c r="HH2" i="3"/>
  <c r="HI2" i="3"/>
  <c r="HJ2" i="3"/>
  <c r="HK2" i="3"/>
  <c r="HL2" i="3"/>
  <c r="HM2" i="3"/>
  <c r="HN2" i="3"/>
  <c r="HO2" i="3"/>
  <c r="HP2" i="3"/>
  <c r="HQ2" i="3"/>
  <c r="HR2" i="3"/>
  <c r="HS2" i="3"/>
  <c r="HT2" i="3"/>
  <c r="HU2" i="3"/>
  <c r="HV2" i="3"/>
  <c r="HW2" i="3"/>
  <c r="HX2" i="3"/>
  <c r="HY2" i="3"/>
  <c r="HZ2" i="3"/>
  <c r="IA2" i="3"/>
  <c r="IB2" i="3"/>
  <c r="IC2" i="3"/>
  <c r="ID2" i="3"/>
  <c r="IE2" i="3"/>
  <c r="IF2" i="3"/>
  <c r="IG2" i="3"/>
  <c r="IH2" i="3"/>
  <c r="II2" i="3"/>
  <c r="IJ2" i="3"/>
  <c r="IK2" i="3"/>
  <c r="IL2" i="3"/>
  <c r="IM2" i="3"/>
  <c r="IN2" i="3"/>
  <c r="IO2" i="3"/>
  <c r="IP2" i="3"/>
  <c r="IQ2" i="3"/>
  <c r="IR2" i="3"/>
  <c r="IS2" i="3"/>
  <c r="IT2" i="3"/>
  <c r="IU2" i="3"/>
  <c r="IV2" i="3"/>
  <c r="A1" i="3"/>
  <c r="B1" i="3"/>
  <c r="C1" i="3"/>
  <c r="D1" i="3"/>
  <c r="E1" i="3"/>
  <c r="F1" i="3"/>
  <c r="G1" i="3"/>
  <c r="H1" i="3"/>
  <c r="I1" i="3"/>
  <c r="J1" i="3"/>
  <c r="K1" i="3"/>
  <c r="L1" i="3"/>
  <c r="M1" i="3"/>
  <c r="N1" i="3"/>
  <c r="O1" i="3"/>
  <c r="P1" i="3"/>
  <c r="Q1" i="3"/>
  <c r="R1" i="3"/>
  <c r="S1" i="3"/>
  <c r="T1" i="3"/>
  <c r="U1" i="3"/>
  <c r="V1" i="3"/>
  <c r="W1" i="3"/>
  <c r="X1" i="3"/>
  <c r="Y1" i="3"/>
  <c r="Z1" i="3"/>
  <c r="AA1" i="3"/>
  <c r="AB1" i="3"/>
  <c r="AC1" i="3"/>
  <c r="AD1" i="3"/>
  <c r="AE1" i="3"/>
  <c r="AF1" i="3"/>
  <c r="AG1" i="3"/>
  <c r="AH1" i="3"/>
  <c r="AI1" i="3"/>
  <c r="AJ1" i="3"/>
  <c r="AK1" i="3"/>
  <c r="AL1" i="3"/>
  <c r="AM1" i="3"/>
  <c r="AN1" i="3"/>
  <c r="AO1" i="3"/>
  <c r="AP1" i="3"/>
  <c r="AQ1" i="3"/>
  <c r="AR1" i="3"/>
  <c r="AS1" i="3"/>
  <c r="AT1" i="3"/>
  <c r="AU1" i="3"/>
  <c r="AV1" i="3"/>
  <c r="AW1" i="3"/>
  <c r="AX1" i="3"/>
  <c r="AY1" i="3"/>
  <c r="AZ1" i="3"/>
  <c r="BA1" i="3"/>
  <c r="BB1" i="3"/>
  <c r="BC1" i="3"/>
  <c r="BD1" i="3"/>
  <c r="BE1" i="3"/>
  <c r="BF1" i="3"/>
  <c r="BG1" i="3"/>
  <c r="BH1" i="3"/>
  <c r="BI1" i="3"/>
  <c r="BJ1" i="3"/>
  <c r="BK1" i="3"/>
  <c r="BL1" i="3"/>
  <c r="BM1" i="3"/>
  <c r="BN1" i="3"/>
  <c r="BO1" i="3"/>
  <c r="BP1" i="3"/>
  <c r="BQ1" i="3"/>
  <c r="BR1" i="3"/>
  <c r="BS1" i="3"/>
  <c r="BT1" i="3"/>
  <c r="BU1" i="3"/>
  <c r="BV1" i="3"/>
  <c r="BW1" i="3"/>
  <c r="BX1" i="3"/>
  <c r="BY1" i="3"/>
  <c r="BZ1" i="3"/>
  <c r="CA1" i="3"/>
  <c r="CB1" i="3"/>
  <c r="CC1" i="3"/>
  <c r="CD1" i="3"/>
  <c r="CE1" i="3"/>
  <c r="CF1" i="3"/>
  <c r="CG1" i="3"/>
  <c r="CH1" i="3"/>
  <c r="CI1" i="3"/>
  <c r="CJ1" i="3"/>
  <c r="CK1" i="3"/>
  <c r="CL1" i="3"/>
  <c r="CM1" i="3"/>
  <c r="CN1" i="3"/>
  <c r="CO1" i="3"/>
  <c r="CP1" i="3"/>
  <c r="CQ1" i="3"/>
  <c r="CR1" i="3"/>
  <c r="CS1" i="3"/>
  <c r="CT1" i="3"/>
  <c r="CU1" i="3"/>
  <c r="CV1" i="3"/>
  <c r="CW1" i="3"/>
  <c r="CX1" i="3"/>
  <c r="CY1" i="3"/>
  <c r="CZ1" i="3"/>
  <c r="DA1" i="3"/>
  <c r="DB1" i="3"/>
  <c r="DC1" i="3"/>
  <c r="DD1" i="3"/>
  <c r="DE1" i="3"/>
  <c r="DF1" i="3"/>
  <c r="DG1" i="3"/>
  <c r="DH1" i="3"/>
  <c r="DI1" i="3"/>
  <c r="DJ1" i="3"/>
  <c r="DK1" i="3"/>
  <c r="DL1" i="3"/>
  <c r="DM1" i="3"/>
  <c r="DN1" i="3"/>
  <c r="DO1" i="3"/>
  <c r="DP1" i="3"/>
  <c r="DQ1" i="3"/>
  <c r="DR1" i="3"/>
  <c r="DS1" i="3"/>
  <c r="DT1" i="3"/>
  <c r="DU1" i="3"/>
  <c r="DV1" i="3"/>
  <c r="DW1" i="3"/>
  <c r="DX1" i="3"/>
  <c r="DY1" i="3"/>
  <c r="DZ1" i="3"/>
  <c r="EA1" i="3"/>
  <c r="EB1" i="3"/>
  <c r="EC1" i="3"/>
  <c r="ED1" i="3"/>
  <c r="EE1" i="3"/>
  <c r="EF1" i="3"/>
  <c r="EG1" i="3"/>
  <c r="EH1" i="3"/>
  <c r="EI1" i="3"/>
  <c r="EJ1" i="3"/>
  <c r="EK1" i="3"/>
  <c r="EL1" i="3"/>
  <c r="EM1" i="3"/>
  <c r="EN1" i="3"/>
  <c r="EO1" i="3"/>
  <c r="EP1" i="3"/>
  <c r="EQ1" i="3"/>
  <c r="ER1" i="3"/>
  <c r="ES1" i="3"/>
  <c r="ET1" i="3"/>
  <c r="EU1" i="3"/>
  <c r="EV1" i="3"/>
  <c r="EW1" i="3"/>
  <c r="EX1" i="3"/>
  <c r="EY1" i="3"/>
  <c r="EZ1" i="3"/>
  <c r="FA1" i="3"/>
  <c r="FB1" i="3"/>
  <c r="FC1" i="3"/>
  <c r="FD1" i="3"/>
  <c r="FE1" i="3"/>
  <c r="FF1" i="3"/>
  <c r="FG1" i="3"/>
  <c r="FH1" i="3"/>
  <c r="FI1" i="3"/>
  <c r="FJ1" i="3"/>
  <c r="FK1" i="3"/>
  <c r="FL1" i="3"/>
  <c r="FM1" i="3"/>
  <c r="FN1" i="3"/>
  <c r="FO1" i="3"/>
  <c r="FP1" i="3"/>
  <c r="FQ1" i="3"/>
  <c r="FR1" i="3"/>
  <c r="FS1" i="3"/>
  <c r="FT1" i="3"/>
  <c r="FU1" i="3"/>
  <c r="FV1" i="3"/>
  <c r="FW1" i="3"/>
  <c r="FX1" i="3"/>
  <c r="FY1" i="3"/>
  <c r="FZ1" i="3"/>
  <c r="GA1" i="3"/>
  <c r="GB1" i="3"/>
  <c r="GC1" i="3"/>
  <c r="GD1" i="3"/>
  <c r="GE1" i="3"/>
  <c r="GF1" i="3"/>
  <c r="GG1" i="3"/>
  <c r="GH1" i="3"/>
  <c r="GI1" i="3"/>
  <c r="GJ1" i="3"/>
  <c r="GK1" i="3"/>
  <c r="GL1" i="3"/>
  <c r="GM1" i="3"/>
  <c r="GN1" i="3"/>
  <c r="GO1" i="3"/>
  <c r="GP1" i="3"/>
  <c r="GQ1" i="3"/>
  <c r="GR1" i="3"/>
  <c r="GS1" i="3"/>
  <c r="GT1" i="3"/>
  <c r="GU1" i="3"/>
  <c r="GV1" i="3"/>
  <c r="GW1" i="3"/>
  <c r="GX1" i="3"/>
  <c r="GY1" i="3"/>
  <c r="GZ1" i="3"/>
  <c r="HA1" i="3"/>
  <c r="HB1" i="3"/>
  <c r="HC1" i="3"/>
  <c r="HD1" i="3"/>
  <c r="HE1" i="3"/>
  <c r="HF1" i="3"/>
  <c r="HG1" i="3"/>
  <c r="HH1" i="3"/>
  <c r="HI1" i="3"/>
  <c r="HJ1" i="3"/>
  <c r="HK1" i="3"/>
  <c r="HL1" i="3"/>
  <c r="HM1" i="3"/>
  <c r="HN1" i="3"/>
  <c r="HO1" i="3"/>
  <c r="HP1" i="3"/>
  <c r="HQ1" i="3"/>
  <c r="HR1" i="3"/>
  <c r="HS1" i="3"/>
  <c r="HT1" i="3"/>
  <c r="HU1" i="3"/>
  <c r="HV1" i="3"/>
  <c r="HW1" i="3"/>
  <c r="HX1" i="3"/>
  <c r="HY1" i="3"/>
  <c r="HZ1" i="3"/>
  <c r="IA1" i="3"/>
  <c r="IB1" i="3"/>
  <c r="IC1" i="3"/>
  <c r="ID1" i="3"/>
  <c r="IE1" i="3"/>
  <c r="IF1" i="3"/>
  <c r="IG1" i="3"/>
  <c r="IH1" i="3"/>
  <c r="II1" i="3"/>
  <c r="IJ1" i="3"/>
  <c r="IK1" i="3"/>
  <c r="IL1" i="3"/>
  <c r="IM1" i="3"/>
  <c r="IN1" i="3"/>
  <c r="IO1" i="3"/>
  <c r="IP1" i="3"/>
  <c r="IQ1" i="3"/>
  <c r="IR1" i="3"/>
  <c r="IS1" i="3"/>
  <c r="IT1" i="3"/>
  <c r="IU1" i="3"/>
  <c r="IV1" i="3"/>
</calcChain>
</file>

<file path=xl/sharedStrings.xml><?xml version="1.0" encoding="utf-8"?>
<sst xmlns="http://schemas.openxmlformats.org/spreadsheetml/2006/main" count="31060" uniqueCount="772">
  <si>
    <t>Sub Tipo</t>
  </si>
  <si>
    <t>Productor</t>
  </si>
  <si>
    <t>Región</t>
  </si>
  <si>
    <t>Comuna</t>
  </si>
  <si>
    <t>Localidad</t>
  </si>
  <si>
    <t>Especie</t>
  </si>
  <si>
    <t>Tipo Variedad</t>
  </si>
  <si>
    <t>Evento Hembra</t>
  </si>
  <si>
    <t>Evento Macho</t>
  </si>
  <si>
    <t>Norte (y)</t>
  </si>
  <si>
    <t>Este (x)</t>
  </si>
  <si>
    <t>Huso</t>
  </si>
  <si>
    <t>Nº Potreros</t>
  </si>
  <si>
    <t>Sup. Insc</t>
  </si>
  <si>
    <t>CORRIENTE OVM</t>
  </si>
  <si>
    <t>AGRÍCOLA PURUTUN</t>
  </si>
  <si>
    <t>V</t>
  </si>
  <si>
    <t>NOGALES</t>
  </si>
  <si>
    <t>TOMATE</t>
  </si>
  <si>
    <t>LINEA PURA</t>
  </si>
  <si>
    <t>G</t>
  </si>
  <si>
    <t>K</t>
  </si>
  <si>
    <t>ENSAYO OVM</t>
  </si>
  <si>
    <t>AGROSEARCH</t>
  </si>
  <si>
    <t>XIII</t>
  </si>
  <si>
    <t>BUIN</t>
  </si>
  <si>
    <t>VILLASECA</t>
  </si>
  <si>
    <t>CARTAMO</t>
  </si>
  <si>
    <t>CERTIFICADA Y OVM</t>
  </si>
  <si>
    <t>ANASAC CHILE</t>
  </si>
  <si>
    <t>SAN PEDRO</t>
  </si>
  <si>
    <t>MELIPILLA</t>
  </si>
  <si>
    <t>MAÍZ</t>
  </si>
  <si>
    <t>HÍBRIDO</t>
  </si>
  <si>
    <t>MON-88017-3</t>
  </si>
  <si>
    <t>MON-00810-6</t>
  </si>
  <si>
    <t>MON-00603-6</t>
  </si>
  <si>
    <t>TALAGANTE</t>
  </si>
  <si>
    <t>EL MONTE</t>
  </si>
  <si>
    <t>VII</t>
  </si>
  <si>
    <t>CURICO</t>
  </si>
  <si>
    <t>SAGRADA FAMILIA</t>
  </si>
  <si>
    <t>VI</t>
  </si>
  <si>
    <t>RENGO</t>
  </si>
  <si>
    <t>ROSARIO</t>
  </si>
  <si>
    <t>SAN FERNANDO</t>
  </si>
  <si>
    <t>ROMA</t>
  </si>
  <si>
    <t>LO ESPEJO</t>
  </si>
  <si>
    <t>CIS</t>
  </si>
  <si>
    <t>PIRQUE</t>
  </si>
  <si>
    <t>RAPS</t>
  </si>
  <si>
    <t>CHIMBARONGO</t>
  </si>
  <si>
    <t>PEREJIL</t>
  </si>
  <si>
    <t>TENO</t>
  </si>
  <si>
    <t>MORZA</t>
  </si>
  <si>
    <t>TINGUIRIRICA</t>
  </si>
  <si>
    <t>SAN BERNARDO</t>
  </si>
  <si>
    <t>LA ESTANCILLA</t>
  </si>
  <si>
    <t>LONGAVÍ</t>
  </si>
  <si>
    <t>LAS MARCEDES</t>
  </si>
  <si>
    <t>LAS ROSAS</t>
  </si>
  <si>
    <t>EL CISNE</t>
  </si>
  <si>
    <t>PEÑAFLOR</t>
  </si>
  <si>
    <t>SANTA CRUZ</t>
  </si>
  <si>
    <t>PALMILLA</t>
  </si>
  <si>
    <t>AGUA SANTA</t>
  </si>
  <si>
    <t>CODEGUA</t>
  </si>
  <si>
    <t>LOS CRISTALES</t>
  </si>
  <si>
    <t>LOS LINGUES</t>
  </si>
  <si>
    <t>CRUZ DEL SUR</t>
  </si>
  <si>
    <t>TALCA</t>
  </si>
  <si>
    <t>LAS RASTRAS</t>
  </si>
  <si>
    <t>SAN CLEMENTE</t>
  </si>
  <si>
    <t>PUNTA DIAMANTE</t>
  </si>
  <si>
    <t>EL ALBA</t>
  </si>
  <si>
    <t>SN. CLEMENTE</t>
  </si>
  <si>
    <t>EL SAUCE</t>
  </si>
  <si>
    <t>CAMINO LAS RASTRAS</t>
  </si>
  <si>
    <t>CHEQUENLEMU</t>
  </si>
  <si>
    <t>HUEMUL</t>
  </si>
  <si>
    <t>PELARCO</t>
  </si>
  <si>
    <t>SANTA RITA</t>
  </si>
  <si>
    <t>EL YACAL</t>
  </si>
  <si>
    <t>SAN RAFAEL</t>
  </si>
  <si>
    <t>SAN DARIO</t>
  </si>
  <si>
    <t>LA PLATINA</t>
  </si>
  <si>
    <t>ZAPALLAR</t>
  </si>
  <si>
    <t>RIO CLARO</t>
  </si>
  <si>
    <t>ODESSA</t>
  </si>
  <si>
    <t>SOYA</t>
  </si>
  <si>
    <t>TROPEZON</t>
  </si>
  <si>
    <t>SAN LUIS DE ALICO</t>
  </si>
  <si>
    <t>PURISIMA</t>
  </si>
  <si>
    <t>QUINTA</t>
  </si>
  <si>
    <t>PIDIHUINCO</t>
  </si>
  <si>
    <t>SANTA ELISA</t>
  </si>
  <si>
    <t>PAINE</t>
  </si>
  <si>
    <t>EL TRÁNSITO</t>
  </si>
  <si>
    <t>VIII</t>
  </si>
  <si>
    <t>LOS ANGELES</t>
  </si>
  <si>
    <t>MUNILQUE</t>
  </si>
  <si>
    <t>VARIEDAD</t>
  </si>
  <si>
    <t>MON-89788-1</t>
  </si>
  <si>
    <t>PATA DE GALLINA</t>
  </si>
  <si>
    <t>BULNES</t>
  </si>
  <si>
    <t>SANTA FE</t>
  </si>
  <si>
    <t>CAMINO A STA BARBARA</t>
  </si>
  <si>
    <t>PENCAHUE</t>
  </si>
  <si>
    <t>LONGAVI</t>
  </si>
  <si>
    <t>VILLA ALEGRE</t>
  </si>
  <si>
    <t>MONTE GRANDE</t>
  </si>
  <si>
    <t>PIDIGUINCO</t>
  </si>
  <si>
    <t>MON-00073-7</t>
  </si>
  <si>
    <t>CURIMAPU EXPORT</t>
  </si>
  <si>
    <t>COIHUECO</t>
  </si>
  <si>
    <t>TANILVORO</t>
  </si>
  <si>
    <t>ACS-BN005-8</t>
  </si>
  <si>
    <t>ACS-BN003-6</t>
  </si>
  <si>
    <t>CATO</t>
  </si>
  <si>
    <t>CHILLAN</t>
  </si>
  <si>
    <t>CHILLÁN</t>
  </si>
  <si>
    <t>SAN NICOLAS</t>
  </si>
  <si>
    <t>SAN NICOLÁS</t>
  </si>
  <si>
    <t>CERRO COLORADO</t>
  </si>
  <si>
    <t>STA. BÁRBARA</t>
  </si>
  <si>
    <t>DUQUECO</t>
  </si>
  <si>
    <t>EL CARMEN</t>
  </si>
  <si>
    <t>PUENTE URRUTIA</t>
  </si>
  <si>
    <t>CABRERO</t>
  </si>
  <si>
    <t>CHARRÚA</t>
  </si>
  <si>
    <t>SAN IGNACIO</t>
  </si>
  <si>
    <t>MARIPOSAS</t>
  </si>
  <si>
    <t>LOS TILOS</t>
  </si>
  <si>
    <t>IX</t>
  </si>
  <si>
    <t>ANGOL</t>
  </si>
  <si>
    <t>LAJA</t>
  </si>
  <si>
    <t>QUIRIQUINA</t>
  </si>
  <si>
    <t>YUNGAY</t>
  </si>
  <si>
    <t>SECTOR ARRAYÁN</t>
  </si>
  <si>
    <t>PEMUCO</t>
  </si>
  <si>
    <t>SANTA FÉ</t>
  </si>
  <si>
    <t>CRUCE SAN GERARDO</t>
  </si>
  <si>
    <t>CAUQUENES</t>
  </si>
  <si>
    <t>QUELLA</t>
  </si>
  <si>
    <t>SELVA NEGRA</t>
  </si>
  <si>
    <t>SAN CARLOS</t>
  </si>
  <si>
    <t>MONTE BLANCO</t>
  </si>
  <si>
    <t>MON-00021-9 X SYN-BT011-1 X SYN-IR604-5</t>
  </si>
  <si>
    <t>NIQUÉN</t>
  </si>
  <si>
    <t>SAN GREGORIO</t>
  </si>
  <si>
    <t>MON-00021-9</t>
  </si>
  <si>
    <t>SYN-BT011-1 X SYN-IR604-5</t>
  </si>
  <si>
    <t>LA PALMA</t>
  </si>
  <si>
    <t>LINEA ESTERIL</t>
  </si>
  <si>
    <t>SANTA CLARA</t>
  </si>
  <si>
    <t>MON-00021-9 X SYN-BT011-1 X SYN-IR162-4 X SYN-IR604-5</t>
  </si>
  <si>
    <t>LINARES</t>
  </si>
  <si>
    <t>MIRAFLORES</t>
  </si>
  <si>
    <t>SYN-BT011-1 X SYN-IR162-4 X SYN-IR604-5</t>
  </si>
  <si>
    <t>PARRAL</t>
  </si>
  <si>
    <t>SAN LUIS DE CERRILLOS</t>
  </si>
  <si>
    <t>YUMBEL</t>
  </si>
  <si>
    <t>HIBRIDO EXPERIMENTAL</t>
  </si>
  <si>
    <t>TRES ESQUINAS</t>
  </si>
  <si>
    <t>MESAMAVIDA</t>
  </si>
  <si>
    <t>GREENSEED</t>
  </si>
  <si>
    <t>SAN MANUEL</t>
  </si>
  <si>
    <t>GRANEROS</t>
  </si>
  <si>
    <t>LA COMPAÑIA</t>
  </si>
  <si>
    <t>MAULE</t>
  </si>
  <si>
    <t>QUIÑIPEUMO</t>
  </si>
  <si>
    <t>LOMILLAS</t>
  </si>
  <si>
    <t>MON-00021-9 X SYN-BT011-1</t>
  </si>
  <si>
    <t>YERBAS BUENAS</t>
  </si>
  <si>
    <t>LA FLOR</t>
  </si>
  <si>
    <t>ORILLA DE MAULE</t>
  </si>
  <si>
    <t>PANIMAVIDA</t>
  </si>
  <si>
    <t>COLBUN</t>
  </si>
  <si>
    <t>MAULE SUR</t>
  </si>
  <si>
    <t>ROMERAL</t>
  </si>
  <si>
    <t>CHEQUEN</t>
  </si>
  <si>
    <t>LOS NICHES</t>
  </si>
  <si>
    <t>MERCEDES</t>
  </si>
  <si>
    <t>PENACHUE</t>
  </si>
  <si>
    <t>REQUINOA</t>
  </si>
  <si>
    <t>MARIPOSA</t>
  </si>
  <si>
    <t>SYN-BT011-1</t>
  </si>
  <si>
    <t>HUENUTIL</t>
  </si>
  <si>
    <t>PEUMO NEGRO</t>
  </si>
  <si>
    <t>SYN-BT011-1 X SYN-IR162-4</t>
  </si>
  <si>
    <t>LA MONTAÑA</t>
  </si>
  <si>
    <t>MON-00021-9 X SYN-BT011-1 X SYN-IR162-4</t>
  </si>
  <si>
    <t>SAN FRANCISCO DE MOSTAZAL</t>
  </si>
  <si>
    <t>MOSTAZAL</t>
  </si>
  <si>
    <t>LAS RASTAS</t>
  </si>
  <si>
    <t>TALCAREHUE</t>
  </si>
  <si>
    <t>RANCAGUA</t>
  </si>
  <si>
    <t>MAITENES</t>
  </si>
  <si>
    <t>CORRALONES</t>
  </si>
  <si>
    <t>LA PALOMA</t>
  </si>
  <si>
    <t>SAN ALBERTO</t>
  </si>
  <si>
    <t>LA HIGUERA</t>
  </si>
  <si>
    <t>QUILPUE</t>
  </si>
  <si>
    <t>SANTA ELENA</t>
  </si>
  <si>
    <t>BAJOS HUENUTIL</t>
  </si>
  <si>
    <t>LO OROZCO</t>
  </si>
  <si>
    <t>RETIRO</t>
  </si>
  <si>
    <t>DAS-01507-1</t>
  </si>
  <si>
    <t>LAS DELICIAS</t>
  </si>
  <si>
    <t>HUENCUECHO</t>
  </si>
  <si>
    <t>TRES PUERTAS</t>
  </si>
  <si>
    <t>SAN JOSE</t>
  </si>
  <si>
    <t>SANTA MONICA</t>
  </si>
  <si>
    <t>CUMPERO</t>
  </si>
  <si>
    <t>CUMPEO</t>
  </si>
  <si>
    <t>TRANA</t>
  </si>
  <si>
    <t>COPIHUE</t>
  </si>
  <si>
    <t>HUENCHUÑIR Y HUECHE</t>
  </si>
  <si>
    <t>VILCÚN</t>
  </si>
  <si>
    <t>VILCUN</t>
  </si>
  <si>
    <t>EL NATRE</t>
  </si>
  <si>
    <t>FREIRE</t>
  </si>
  <si>
    <t>QUEPE</t>
  </si>
  <si>
    <t>EL TESORO</t>
  </si>
  <si>
    <t>HYTECH</t>
  </si>
  <si>
    <t>PERALILLO</t>
  </si>
  <si>
    <t>LIHUEIMO</t>
  </si>
  <si>
    <t>TEODORO SCHMIDT</t>
  </si>
  <si>
    <t>HUILIO</t>
  </si>
  <si>
    <t>QUILLECO</t>
  </si>
  <si>
    <t>CURACAUTÍN</t>
  </si>
  <si>
    <t>CURACAUTIN</t>
  </si>
  <si>
    <t>CATILLO</t>
  </si>
  <si>
    <t>MORTANDAD</t>
  </si>
  <si>
    <t>EL PERAL</t>
  </si>
  <si>
    <t>CUNCO</t>
  </si>
  <si>
    <t>FAJA 24000</t>
  </si>
  <si>
    <t>SAN PATRICIO</t>
  </si>
  <si>
    <t>VENTRENCO</t>
  </si>
  <si>
    <t>HYTECH PRODUCTION CHILE S.A.</t>
  </si>
  <si>
    <t>LOS TALGUENES</t>
  </si>
  <si>
    <t>CHACAY</t>
  </si>
  <si>
    <t>NEGRETE</t>
  </si>
  <si>
    <t>MELIPEUCO</t>
  </si>
  <si>
    <t>SAHUELHUE</t>
  </si>
  <si>
    <t>CHACAICO</t>
  </si>
  <si>
    <t>TOTORAL</t>
  </si>
  <si>
    <t>IGUALDAD</t>
  </si>
  <si>
    <t>PLAYA PORMA</t>
  </si>
  <si>
    <t>PADRE LAS CASAS</t>
  </si>
  <si>
    <t>NIAGARA</t>
  </si>
  <si>
    <t>MEMBRILLO</t>
  </si>
  <si>
    <t>SANTA MARIA DE LLAIMA</t>
  </si>
  <si>
    <t>PRIMER NAHULCURA</t>
  </si>
  <si>
    <t>LUMACO</t>
  </si>
  <si>
    <t>LA ISLA</t>
  </si>
  <si>
    <t>CAMPANACURA</t>
  </si>
  <si>
    <t>HUILCULLICAN</t>
  </si>
  <si>
    <t>CHOL CHOL</t>
  </si>
  <si>
    <t>MALAUCHE BAJO</t>
  </si>
  <si>
    <t>VILLA GARCIA</t>
  </si>
  <si>
    <t>EL SALTO</t>
  </si>
  <si>
    <t>RANQUILCO</t>
  </si>
  <si>
    <t>PURÉN</t>
  </si>
  <si>
    <t>BOYECO</t>
  </si>
  <si>
    <t>REPUCURA</t>
  </si>
  <si>
    <t>LONCOCHE</t>
  </si>
  <si>
    <t>RAMPEHUE</t>
  </si>
  <si>
    <t>EL COIGUE</t>
  </si>
  <si>
    <t>QUIRMEL</t>
  </si>
  <si>
    <t>IMPERIAL</t>
  </si>
  <si>
    <t>ENTRE RIOS</t>
  </si>
  <si>
    <t>XIV</t>
  </si>
  <si>
    <t>MARIQUINA</t>
  </si>
  <si>
    <t>HUATRO N° 2</t>
  </si>
  <si>
    <t>LOS TRONCOS</t>
  </si>
  <si>
    <t>RENACO - PASTALES</t>
  </si>
  <si>
    <t>TEMUCO</t>
  </si>
  <si>
    <t>PIVINCO CHICO</t>
  </si>
  <si>
    <t>MOLCO BAJO</t>
  </si>
  <si>
    <t>BAJO HUERERE</t>
  </si>
  <si>
    <t>SANTA JULIA</t>
  </si>
  <si>
    <t>HUERERE</t>
  </si>
  <si>
    <t>MULCHÉN</t>
  </si>
  <si>
    <t>AURORA DE ENERO</t>
  </si>
  <si>
    <t>LAUNACHE</t>
  </si>
  <si>
    <t>KWS</t>
  </si>
  <si>
    <t>LA CABAÑA</t>
  </si>
  <si>
    <t>SAN JUAN DE LA SIERRA</t>
  </si>
  <si>
    <t>LA PUNTA</t>
  </si>
  <si>
    <t>MANSUR</t>
  </si>
  <si>
    <t>SAN ESTEBAN</t>
  </si>
  <si>
    <t>SAN MIGUEL</t>
  </si>
  <si>
    <t>SANTA MARÍA</t>
  </si>
  <si>
    <t>LAS CADENAS</t>
  </si>
  <si>
    <t>LOS ANDES</t>
  </si>
  <si>
    <t>MASSAI</t>
  </si>
  <si>
    <t>XV</t>
  </si>
  <si>
    <t>ARICA</t>
  </si>
  <si>
    <t>CALETA VITOR-CHACA</t>
  </si>
  <si>
    <t>LA GONZALINA</t>
  </si>
  <si>
    <t>MACHALÍ</t>
  </si>
  <si>
    <t>MACHALI</t>
  </si>
  <si>
    <t>CHANCON</t>
  </si>
  <si>
    <t>SANTA ADELA</t>
  </si>
  <si>
    <t>BELLA UNIÓN</t>
  </si>
  <si>
    <t>DISCO BLANCO</t>
  </si>
  <si>
    <t>SAN JOSE DE LOS LINGUES</t>
  </si>
  <si>
    <t>SAN JOSÉ DE LOS LINGUES</t>
  </si>
  <si>
    <t>PANGUILEMO</t>
  </si>
  <si>
    <t>MOLINA</t>
  </si>
  <si>
    <t>SAN JORGE DE ROMERAL</t>
  </si>
  <si>
    <t>ODESSA LOS MONTES</t>
  </si>
  <si>
    <t>LOS QUILLAYES</t>
  </si>
  <si>
    <t>QUECHEREGUAS</t>
  </si>
  <si>
    <t>SAN RAMON</t>
  </si>
  <si>
    <t>QUINTA DEL ALTO</t>
  </si>
  <si>
    <t>BUENA FE</t>
  </si>
  <si>
    <t>EL ARBOLITO</t>
  </si>
  <si>
    <t>LA RAMADA</t>
  </si>
  <si>
    <t>EL ESCUDO</t>
  </si>
  <si>
    <t>PROVIDENCIA</t>
  </si>
  <si>
    <t>LOS MONTES</t>
  </si>
  <si>
    <t>SAN VALENTIN</t>
  </si>
  <si>
    <t>LOS NOGALES</t>
  </si>
  <si>
    <t>CUNACO</t>
  </si>
  <si>
    <t>SAN FRANCISCO</t>
  </si>
  <si>
    <t>UNIHUE</t>
  </si>
  <si>
    <t>SANTA ANA DE QUERI</t>
  </si>
  <si>
    <t>SECTOR 7 MARIPOSAS</t>
  </si>
  <si>
    <t>HIJUELAS</t>
  </si>
  <si>
    <t>LAS MERCEDES</t>
  </si>
  <si>
    <t>LLAY LLAY</t>
  </si>
  <si>
    <t>LAS VEGAS</t>
  </si>
  <si>
    <t>LOS PINOS</t>
  </si>
  <si>
    <t>EL GUINDO</t>
  </si>
  <si>
    <t>EL PICASO</t>
  </si>
  <si>
    <t>PANGUE ARRIBA</t>
  </si>
  <si>
    <t>EL LLANO</t>
  </si>
  <si>
    <t>HUENCUECHO NORTE</t>
  </si>
  <si>
    <t>EL BOLSICO</t>
  </si>
  <si>
    <t>SAN GERARDO</t>
  </si>
  <si>
    <t>LOS ROBLES</t>
  </si>
  <si>
    <t>LOS TREILES</t>
  </si>
  <si>
    <t>SAN AGUSTIN</t>
  </si>
  <si>
    <t>LA RINCONADA DE TENO</t>
  </si>
  <si>
    <t>QUEREGUAS</t>
  </si>
  <si>
    <t>RINCONADA DE MALAMBO</t>
  </si>
  <si>
    <t>SANTA ROSA</t>
  </si>
  <si>
    <t>VENTANA DEL BAJO</t>
  </si>
  <si>
    <t>SANTA SUSANA</t>
  </si>
  <si>
    <t>QUESERÍA ALTO</t>
  </si>
  <si>
    <t>EL PORVENIR</t>
  </si>
  <si>
    <t>OCOA</t>
  </si>
  <si>
    <t>LA SOMBRA DE ROMERAL</t>
  </si>
  <si>
    <t>RABUCO DE OCOA</t>
  </si>
  <si>
    <t>LOS CUNCOS</t>
  </si>
  <si>
    <t>LAS PAREDES</t>
  </si>
  <si>
    <t>LA MORANINA</t>
  </si>
  <si>
    <t>ESCUDO DE CHILE</t>
  </si>
  <si>
    <t>LA INVERNADA</t>
  </si>
  <si>
    <t>SAN JUAN</t>
  </si>
  <si>
    <t>QUESERIA</t>
  </si>
  <si>
    <t>QUESERÍA</t>
  </si>
  <si>
    <t>LAS PARCELAS-LA MONTAÑA</t>
  </si>
  <si>
    <t>SANTA REBECA</t>
  </si>
  <si>
    <t>PORVENIR</t>
  </si>
  <si>
    <t>EL RETIRO</t>
  </si>
  <si>
    <t>SAN CAYETANO</t>
  </si>
  <si>
    <t>EL MAQUI</t>
  </si>
  <si>
    <t>STA. VICTORIA</t>
  </si>
  <si>
    <t>SAN RICARDO</t>
  </si>
  <si>
    <t>PANGUE ABAJO</t>
  </si>
  <si>
    <t>LIHUENO</t>
  </si>
  <si>
    <t>LAS LAGUNAS</t>
  </si>
  <si>
    <t>COMALLE</t>
  </si>
  <si>
    <t>GUAICO 1</t>
  </si>
  <si>
    <t>GUAICO 3</t>
  </si>
  <si>
    <t>QUILLOTA</t>
  </si>
  <si>
    <t>QUILVO ALTO</t>
  </si>
  <si>
    <t>QUESERIA ALTO</t>
  </si>
  <si>
    <t>LA LAGUNA</t>
  </si>
  <si>
    <t>TUNICHE</t>
  </si>
  <si>
    <t>CAMARICO</t>
  </si>
  <si>
    <t>LAS COLORADAS</t>
  </si>
  <si>
    <t>ALTO PANGUE</t>
  </si>
  <si>
    <t>RAUCO</t>
  </si>
  <si>
    <t>EL PLUMERO</t>
  </si>
  <si>
    <t>PULMODON</t>
  </si>
  <si>
    <t>EL PLUMERO-RAUCO</t>
  </si>
  <si>
    <t>EL MOLINO</t>
  </si>
  <si>
    <t>LOS ARRAYANES</t>
  </si>
  <si>
    <t>CATEMU</t>
  </si>
  <si>
    <t>CERRILLOS</t>
  </si>
  <si>
    <t>CUMPEO, LA CHISPA</t>
  </si>
  <si>
    <t>SANTA TERESA DE PERQUIN</t>
  </si>
  <si>
    <t>SAN JOSÉ DE PERQUIN</t>
  </si>
  <si>
    <t>CABRERIA</t>
  </si>
  <si>
    <t>PASO ANCHO</t>
  </si>
  <si>
    <t>SAN RAFAEL BAJO</t>
  </si>
  <si>
    <t>GUAICO 2</t>
  </si>
  <si>
    <t>PORTEZUELO</t>
  </si>
  <si>
    <t>LAS PALMAS</t>
  </si>
  <si>
    <t>LA RAMIRANA</t>
  </si>
  <si>
    <t>LA MONTAÑA, SAN JOSÉ</t>
  </si>
  <si>
    <t>PERQUIN</t>
  </si>
  <si>
    <t>GUAICO CENTRO</t>
  </si>
  <si>
    <t>GUICO 1</t>
  </si>
  <si>
    <t>LA OBRA</t>
  </si>
  <si>
    <t>PANGUILEMITO</t>
  </si>
  <si>
    <t>BAJO PERQUIN</t>
  </si>
  <si>
    <t>SAN RAMÓN</t>
  </si>
  <si>
    <t>LA CRUZ</t>
  </si>
  <si>
    <t>CHACA</t>
  </si>
  <si>
    <t>MONSANTO</t>
  </si>
  <si>
    <t>POMAIRE</t>
  </si>
  <si>
    <t>MALLOCO</t>
  </si>
  <si>
    <t>AGUILA SUR</t>
  </si>
  <si>
    <t>LO HERRERA</t>
  </si>
  <si>
    <t>NOS</t>
  </si>
  <si>
    <t>EL BOLDO</t>
  </si>
  <si>
    <t>ISLA DE MARCHANT</t>
  </si>
  <si>
    <t>LAUTARO</t>
  </si>
  <si>
    <t>PILLANLELBUN</t>
  </si>
  <si>
    <t>LA MONTAÑA DE TENO</t>
  </si>
  <si>
    <t>LINDEROS</t>
  </si>
  <si>
    <t>CAMPUSANO</t>
  </si>
  <si>
    <t>ISLA DEL MAIPO</t>
  </si>
  <si>
    <t>CAMINO LONQUEN</t>
  </si>
  <si>
    <t>PUDAHUEL</t>
  </si>
  <si>
    <t>EL NOVICIADO</t>
  </si>
  <si>
    <t>CUNAQUITO</t>
  </si>
  <si>
    <t>APALTA</t>
  </si>
  <si>
    <t>MAITENAL</t>
  </si>
  <si>
    <t>TUTUQUEN</t>
  </si>
  <si>
    <t>LA RINCONADA</t>
  </si>
  <si>
    <t>CALERA DE TANGO</t>
  </si>
  <si>
    <t>MONTAÑA DE TENO</t>
  </si>
  <si>
    <t>ESMERALDA</t>
  </si>
  <si>
    <t>LAS BANDURRIAS</t>
  </si>
  <si>
    <t>LA ESMERALDA</t>
  </si>
  <si>
    <t>SAN JORGE</t>
  </si>
  <si>
    <t>S.FCO. DE MOSTAZAL</t>
  </si>
  <si>
    <t>ISLA DE MAIPO</t>
  </si>
  <si>
    <t>LORETO</t>
  </si>
  <si>
    <t>VILUCO</t>
  </si>
  <si>
    <t>CASA BLANCA</t>
  </si>
  <si>
    <t>LONTUE</t>
  </si>
  <si>
    <t>NANCAGUA</t>
  </si>
  <si>
    <t>PLACILLA</t>
  </si>
  <si>
    <t>LA DEHESA BAJO</t>
  </si>
  <si>
    <t>MAQUEHUA</t>
  </si>
  <si>
    <t>EL PEUMAL</t>
  </si>
  <si>
    <t>LONS NICHES</t>
  </si>
  <si>
    <t>SAN ENRIQUE </t>
  </si>
  <si>
    <t>SAN ENRIQUE</t>
  </si>
  <si>
    <t>MAIPU</t>
  </si>
  <si>
    <t>LONQUEN</t>
  </si>
  <si>
    <t>DUAO</t>
  </si>
  <si>
    <t>LO DE LOBO</t>
  </si>
  <si>
    <t>BELLA UNION</t>
  </si>
  <si>
    <t>PALO SECO</t>
  </si>
  <si>
    <t>FLOR DEL LLANO</t>
  </si>
  <si>
    <t>LA PINTANA</t>
  </si>
  <si>
    <t>EL MARISCAL</t>
  </si>
  <si>
    <t>SANATORIO</t>
  </si>
  <si>
    <t>LAS CABRAS</t>
  </si>
  <si>
    <t>LOS MORROS</t>
  </si>
  <si>
    <t>HUASO CAMPESINO</t>
  </si>
  <si>
    <t>LA MONTAÑA TENO</t>
  </si>
  <si>
    <t>QUILPUE, MARIPOSAS</t>
  </si>
  <si>
    <t>SAN DIEGO</t>
  </si>
  <si>
    <t>LOS GUINDOS</t>
  </si>
  <si>
    <t>AGUSTIN AURORA</t>
  </si>
  <si>
    <t>HUILQUILEMU</t>
  </si>
  <si>
    <t>CLEMENTE</t>
  </si>
  <si>
    <t>BAQUEDANO</t>
  </si>
  <si>
    <t>EL TAMBO</t>
  </si>
  <si>
    <t>MACUL</t>
  </si>
  <si>
    <t>ROTONDA QUILIN</t>
  </si>
  <si>
    <t>CALLEJON SAN ANTONIO</t>
  </si>
  <si>
    <t>PORVENIR- RIO CLARO</t>
  </si>
  <si>
    <t>SAN JAVIER</t>
  </si>
  <si>
    <t>LONCOMILLA</t>
  </si>
  <si>
    <t>MILLAMALAL</t>
  </si>
  <si>
    <t>CALLEJONES</t>
  </si>
  <si>
    <t>SANTA MARIA</t>
  </si>
  <si>
    <t>SAN VALERIANO</t>
  </si>
  <si>
    <t>AURORA</t>
  </si>
  <si>
    <t>CAMINO LONQUEN /ROTO CHILENO</t>
  </si>
  <si>
    <t>PEUMO</t>
  </si>
  <si>
    <t>NOVICIADO</t>
  </si>
  <si>
    <t>CODAO</t>
  </si>
  <si>
    <t>SAN DIONISIO</t>
  </si>
  <si>
    <t>TOTIHUE</t>
  </si>
  <si>
    <t>PARCELA 93</t>
  </si>
  <si>
    <t>QUINTA DE TILCOCO</t>
  </si>
  <si>
    <t>RAMADILLAS</t>
  </si>
  <si>
    <t>EL CURATO</t>
  </si>
  <si>
    <t>CHIMABARONGO</t>
  </si>
  <si>
    <t>LOMILLA</t>
  </si>
  <si>
    <t>TIL TIL</t>
  </si>
  <si>
    <t>TRAPICHE</t>
  </si>
  <si>
    <t>SANTA GRACIELA</t>
  </si>
  <si>
    <t>SAN DIEGO SUR</t>
  </si>
  <si>
    <t>LOS LARGOS</t>
  </si>
  <si>
    <t>ZAPALLO</t>
  </si>
  <si>
    <t>NILO LIZAMA</t>
  </si>
  <si>
    <t>GORBEA</t>
  </si>
  <si>
    <t>SEXTA FAJA</t>
  </si>
  <si>
    <t>HUELLANTO ALTO</t>
  </si>
  <si>
    <t>PIGA</t>
  </si>
  <si>
    <t>CUREPTO</t>
  </si>
  <si>
    <t>PUENTE ALTO</t>
  </si>
  <si>
    <t>MALLARAUCO</t>
  </si>
  <si>
    <t>SORRENTO</t>
  </si>
  <si>
    <t>MARIA PINTO</t>
  </si>
  <si>
    <t>TONLEMO</t>
  </si>
  <si>
    <t>NALTAHUA</t>
  </si>
  <si>
    <t>LAS MERCEDEZ</t>
  </si>
  <si>
    <t>COLBÚN</t>
  </si>
  <si>
    <t>QUINAMAVIDA</t>
  </si>
  <si>
    <t>PIONEER</t>
  </si>
  <si>
    <t>AZAPA</t>
  </si>
  <si>
    <t>VIRQUENCO</t>
  </si>
  <si>
    <t>SANTA BARBARA</t>
  </si>
  <si>
    <t>CAIVICO</t>
  </si>
  <si>
    <t>DOÑIHUE</t>
  </si>
  <si>
    <t>CERVERA</t>
  </si>
  <si>
    <t>STA TERESA DE TANGO</t>
  </si>
  <si>
    <t>CHIÑIHUE</t>
  </si>
  <si>
    <t>PUANGUE</t>
  </si>
  <si>
    <t>SANTA TERESA DE TANGO</t>
  </si>
  <si>
    <t>PUELLO</t>
  </si>
  <si>
    <t>SANTA TERESA</t>
  </si>
  <si>
    <t>STA DELIA</t>
  </si>
  <si>
    <t>SAN VICENTE</t>
  </si>
  <si>
    <t>LA COMPAÑÍA</t>
  </si>
  <si>
    <t>MANSEL</t>
  </si>
  <si>
    <t>TRANSITO</t>
  </si>
  <si>
    <t>SANTA ANA DE LONQUÉN</t>
  </si>
  <si>
    <t>SYN-IR604-5</t>
  </si>
  <si>
    <t>RANGUE</t>
  </si>
  <si>
    <t>LAMPA</t>
  </si>
  <si>
    <t>PAINE-SANTA EUGENIA</t>
  </si>
  <si>
    <t>HUELQUÉN</t>
  </si>
  <si>
    <t>STA MARIANA</t>
  </si>
  <si>
    <t>LO INFANTE</t>
  </si>
  <si>
    <t>LONQUÉN</t>
  </si>
  <si>
    <t>CARRIZAL</t>
  </si>
  <si>
    <t>CULITRÍN</t>
  </si>
  <si>
    <t>EL HUIQUE</t>
  </si>
  <si>
    <t>EL BOSQUE</t>
  </si>
  <si>
    <t>LA VARA</t>
  </si>
  <si>
    <t>EL BARRANCÓN</t>
  </si>
  <si>
    <t>SARMIENTO</t>
  </si>
  <si>
    <t>VALDIVIA DE PAINE</t>
  </si>
  <si>
    <t>PADRE HURTADO</t>
  </si>
  <si>
    <t>RINCONADA DE MAIPÚ</t>
  </si>
  <si>
    <t>NUEVOS CAMPOS</t>
  </si>
  <si>
    <t>MILLAHUIN</t>
  </si>
  <si>
    <t>LAS GOLONDRINAS</t>
  </si>
  <si>
    <t>LIMANQUE</t>
  </si>
  <si>
    <t>CHIÑIGUE</t>
  </si>
  <si>
    <t>RENAICO</t>
  </si>
  <si>
    <t>ALTO JAHUE</t>
  </si>
  <si>
    <t>STA. ROSA</t>
  </si>
  <si>
    <t>OLIVETO</t>
  </si>
  <si>
    <t>RINCONADA</t>
  </si>
  <si>
    <t>CAMINO NOVICIADO</t>
  </si>
  <si>
    <t>QUILICURA</t>
  </si>
  <si>
    <t>LA FARFANA</t>
  </si>
  <si>
    <t>SANTA INES</t>
  </si>
  <si>
    <t>CHAMPA</t>
  </si>
  <si>
    <t>LO ECHEVERS</t>
  </si>
  <si>
    <t>ESTANCILLA</t>
  </si>
  <si>
    <t>EL PAICO</t>
  </si>
  <si>
    <t>EL OLIVETO</t>
  </si>
  <si>
    <t>POLPAICO</t>
  </si>
  <si>
    <t>REQUINGUA</t>
  </si>
  <si>
    <t>COLINA</t>
  </si>
  <si>
    <t>CHICUREO</t>
  </si>
  <si>
    <t>EL TRANSITO</t>
  </si>
  <si>
    <t>LONTUÉ</t>
  </si>
  <si>
    <t>SAN JOSÉ</t>
  </si>
  <si>
    <t>CAPERANA</t>
  </si>
  <si>
    <t>24 DE ABRIL</t>
  </si>
  <si>
    <t>HUELQUEN</t>
  </si>
  <si>
    <t>RIO BUENO</t>
  </si>
  <si>
    <t>SECTOR CACHILLAHUE</t>
  </si>
  <si>
    <t>NOVICIADO ALTO</t>
  </si>
  <si>
    <t>LOS QUILOS</t>
  </si>
  <si>
    <t>CATEMITO</t>
  </si>
  <si>
    <t>RUMAY</t>
  </si>
  <si>
    <t>PAJARITOS</t>
  </si>
  <si>
    <t>BARRANCÓN</t>
  </si>
  <si>
    <t>LA LUCANA</t>
  </si>
  <si>
    <t>ALTO RUMAY</t>
  </si>
  <si>
    <t>RÍO CLARO</t>
  </si>
  <si>
    <t>PAICO</t>
  </si>
  <si>
    <t>COYANCO</t>
  </si>
  <si>
    <t>APARICIÓN</t>
  </si>
  <si>
    <t>LO BOZA</t>
  </si>
  <si>
    <t>AITUÉ</t>
  </si>
  <si>
    <t>STA INÉS</t>
  </si>
  <si>
    <t>SANTA FILOMENA</t>
  </si>
  <si>
    <t>MARISCAL</t>
  </si>
  <si>
    <t>COQUIMBITO</t>
  </si>
  <si>
    <t>SAN JOSÉ DE TANGO</t>
  </si>
  <si>
    <t>TIL - TIL</t>
  </si>
  <si>
    <t>LONQUEN NORTE</t>
  </si>
  <si>
    <t>EL RINCÓN</t>
  </si>
  <si>
    <t>BATUCO</t>
  </si>
  <si>
    <t>LAS PALMERAS</t>
  </si>
  <si>
    <t>EL CANELO</t>
  </si>
  <si>
    <t>PAICO ALTO</t>
  </si>
  <si>
    <t>CAMINO DEL DIABLO</t>
  </si>
  <si>
    <t>TRÁNSITO</t>
  </si>
  <si>
    <t>MON-00603-6 X MON-00810-6</t>
  </si>
  <si>
    <t>LOMAS DE LO AGUIRRE</t>
  </si>
  <si>
    <t>APARICION</t>
  </si>
  <si>
    <t>LEPANTO</t>
  </si>
  <si>
    <t>7 PONIENTE</t>
  </si>
  <si>
    <t>SANTA ADRIANA</t>
  </si>
  <si>
    <t>LOS NARANJOS</t>
  </si>
  <si>
    <t>LOLOL</t>
  </si>
  <si>
    <t>AV. PEÑAFLOR</t>
  </si>
  <si>
    <t>CHORILLOS 2</t>
  </si>
  <si>
    <t>STA. TERESA DE TANGO</t>
  </si>
  <si>
    <t>PINTANA</t>
  </si>
  <si>
    <t>LA ESTRELLA</t>
  </si>
  <si>
    <t>MORALINA</t>
  </si>
  <si>
    <t>SAN FELIPE</t>
  </si>
  <si>
    <t>CALLE LARGA</t>
  </si>
  <si>
    <t>SAN BENITO</t>
  </si>
  <si>
    <t>LA COMPANÍA</t>
  </si>
  <si>
    <t>EL ALAMO</t>
  </si>
  <si>
    <t>LA RAYA</t>
  </si>
  <si>
    <t>SEMILLAS BAER</t>
  </si>
  <si>
    <t>CAJON</t>
  </si>
  <si>
    <t>SGS</t>
  </si>
  <si>
    <t>QUILAPILUN</t>
  </si>
  <si>
    <t>POPETA</t>
  </si>
  <si>
    <t>SG-2000</t>
  </si>
  <si>
    <t>SEMILLAS GENERACION 2000 LTDA.</t>
  </si>
  <si>
    <t>TRAIGUÉN</t>
  </si>
  <si>
    <t>QUINTRILPE</t>
  </si>
  <si>
    <t>PERQUENCO</t>
  </si>
  <si>
    <t>GENERAL LOPEZ</t>
  </si>
  <si>
    <t>CAMINO CERRO COLORADO</t>
  </si>
  <si>
    <t>VICUN</t>
  </si>
  <si>
    <t>NUEVA IMPERIAL</t>
  </si>
  <si>
    <t>VICTORIA</t>
  </si>
  <si>
    <t>QUINO</t>
  </si>
  <si>
    <t>TIJERAL</t>
  </si>
  <si>
    <t>SELVA OSCURA</t>
  </si>
  <si>
    <t>NACIMIENTO</t>
  </si>
  <si>
    <t>EL COIHUE</t>
  </si>
  <si>
    <t>GRANERO</t>
  </si>
  <si>
    <t>MULCHEN</t>
  </si>
  <si>
    <t>CHACAYAL</t>
  </si>
  <si>
    <t>LA PERLA</t>
  </si>
  <si>
    <t>PUA</t>
  </si>
  <si>
    <t>CURILEO</t>
  </si>
  <si>
    <t>PUMALAL</t>
  </si>
  <si>
    <t>GALVARINO</t>
  </si>
  <si>
    <t>CAMINO CAJON-TEMUCO</t>
  </si>
  <si>
    <t>MOLCO</t>
  </si>
  <si>
    <t>RAYOS DEL SOL</t>
  </si>
  <si>
    <t>QUILLEM</t>
  </si>
  <si>
    <t>CHACAYAN</t>
  </si>
  <si>
    <t>LAUTARO-QUILLEM</t>
  </si>
  <si>
    <t>PICHIDEGUA</t>
  </si>
  <si>
    <t>ALMAHUE</t>
  </si>
  <si>
    <t>CURICÓ</t>
  </si>
  <si>
    <t>RANCO</t>
  </si>
  <si>
    <t>EL CONDOR</t>
  </si>
  <si>
    <t>LA ESPERANZA</t>
  </si>
  <si>
    <t>EL TRANQUE</t>
  </si>
  <si>
    <t>PEUMAL</t>
  </si>
  <si>
    <t>CAMINO LA PUNTA CON LOS MARCOS S/N</t>
  </si>
  <si>
    <t>TIERRA BLANCA</t>
  </si>
  <si>
    <t>LOS MAITENES</t>
  </si>
  <si>
    <t>PUEBLO HUNDIDO</t>
  </si>
  <si>
    <t>LOS MANANTIALES</t>
  </si>
  <si>
    <t>CAMINO REAL S/N PARADERO 18</t>
  </si>
  <si>
    <t>CORDILLERILLA</t>
  </si>
  <si>
    <t>CHIPANA</t>
  </si>
  <si>
    <t>AITUE</t>
  </si>
  <si>
    <t>EL CULENAR (MONTAÑA DE TENO)</t>
  </si>
  <si>
    <t>CODEGUA/CHIMBARONGO</t>
  </si>
  <si>
    <t>CHÉPICA</t>
  </si>
  <si>
    <t>ORILLA DE AUQUINCO</t>
  </si>
  <si>
    <t>VALLE DE AZAPA</t>
  </si>
  <si>
    <t>PEOR ES NADA</t>
  </si>
  <si>
    <t>EL BARCO</t>
  </si>
  <si>
    <t>SAN JUAN DE PEDEHUA</t>
  </si>
  <si>
    <t>SAN JUAN DE PEDEHUE</t>
  </si>
  <si>
    <t>SECTOR POTRERO GRANDE CHICO</t>
  </si>
  <si>
    <t>EL HUAPI</t>
  </si>
  <si>
    <t>BUENA PAZ</t>
  </si>
  <si>
    <t>EL HOLLIN</t>
  </si>
  <si>
    <t>POTRERO GRANDE</t>
  </si>
  <si>
    <t>CHACARILLAS</t>
  </si>
  <si>
    <t>WINTERSEED</t>
  </si>
  <si>
    <t>EL ARROZAL</t>
  </si>
  <si>
    <t>SANTA BLANCA</t>
  </si>
  <si>
    <t>EL ARROZAL PARADERO 25 DE TUNICHE</t>
  </si>
  <si>
    <t>SAN JOAQUIN</t>
  </si>
  <si>
    <t>SAN LUIS</t>
  </si>
  <si>
    <t>QUERI</t>
  </si>
  <si>
    <t>MON-00021-9 X SYN-IR162-4</t>
  </si>
  <si>
    <t>PUNTA DEL SOL</t>
  </si>
  <si>
    <t>EL MAITÉN</t>
  </si>
  <si>
    <t>EL ALAMO NORTE</t>
  </si>
  <si>
    <t>MON-00021-9 X SYN-IR604-5</t>
  </si>
  <si>
    <t>EL MANZANO</t>
  </si>
  <si>
    <t>SOLICITUDID</t>
  </si>
  <si>
    <t>ESPECIE</t>
  </si>
  <si>
    <t>REGION</t>
  </si>
  <si>
    <t>COMUNA</t>
  </si>
  <si>
    <t>EVENTO</t>
  </si>
  <si>
    <t>2011-2012</t>
  </si>
  <si>
    <t>METROPOLITANA</t>
  </si>
  <si>
    <t>VALPARAISO</t>
  </si>
  <si>
    <t>SYN-IR162-4</t>
  </si>
  <si>
    <t xml:space="preserve">BERNARDO O'HIGGINS </t>
  </si>
  <si>
    <t>ARAUCANIA</t>
  </si>
  <si>
    <t>PSF10</t>
  </si>
  <si>
    <t>15777</t>
  </si>
  <si>
    <t>15777 X DAS-01507-1</t>
  </si>
  <si>
    <t>15777 X MON-00021-9 X SYN-BT011-1</t>
  </si>
  <si>
    <t>15777 X SYN-BT011-1</t>
  </si>
  <si>
    <t>15777 X SYN-BT011-1 X SYN-IR162-4 X SYN-IR604-5</t>
  </si>
  <si>
    <t>15777 X SYN-BT011-1 X SYN-IR604-5</t>
  </si>
  <si>
    <t>15777 X SYN-IR162-4</t>
  </si>
  <si>
    <t>15777 X SYN-IR604-5</t>
  </si>
  <si>
    <t>18184</t>
  </si>
  <si>
    <t>18282</t>
  </si>
  <si>
    <t>18284</t>
  </si>
  <si>
    <t>18362</t>
  </si>
  <si>
    <t>18535</t>
  </si>
  <si>
    <t>18625</t>
  </si>
  <si>
    <t>18632</t>
  </si>
  <si>
    <t>19181</t>
  </si>
  <si>
    <t>19182</t>
  </si>
  <si>
    <t>BIO-BIO</t>
  </si>
  <si>
    <t>PSBS4371</t>
  </si>
  <si>
    <t>TEMPORADA</t>
  </si>
  <si>
    <t>PRODUCTOR</t>
  </si>
  <si>
    <t>MANSUR AGRICULTURAL SERVICE LTDA.</t>
  </si>
  <si>
    <t>AGRÍCOLA HUENCHUÑIR Y HUECHE LTDA (AGRÍCOLA NEW SEED)</t>
  </si>
  <si>
    <t>NILO LIZAMA  ARIAS</t>
  </si>
  <si>
    <t>SOCIEDAD AGROSEARCH LTDA</t>
  </si>
  <si>
    <t>SEMILLAS KWS CHILE LIMITADA</t>
  </si>
  <si>
    <t>INIA</t>
  </si>
  <si>
    <t>VID</t>
  </si>
  <si>
    <t>N/A</t>
  </si>
  <si>
    <t>Ver en cuadro anexo</t>
  </si>
  <si>
    <t>2012-2013</t>
  </si>
  <si>
    <t>PCAMBIA34 4756 1 X</t>
  </si>
  <si>
    <t>PBIN(ENDONAG) 4756 1 X</t>
  </si>
  <si>
    <t>PBION19ESR 4756 1 X</t>
  </si>
  <si>
    <t>PBI121 C NAG</t>
  </si>
  <si>
    <t>Convencional no GMO</t>
  </si>
  <si>
    <t>No aplica</t>
  </si>
  <si>
    <t>Ver anexo</t>
  </si>
  <si>
    <t>Se opone a entrega de la información</t>
  </si>
  <si>
    <t>SYNGENTA</t>
  </si>
  <si>
    <t>Nº ID</t>
  </si>
  <si>
    <t>Ubicación georeferenciada de semilleros OGMs 2011-2012</t>
  </si>
  <si>
    <t>AAAAAF3/eyY=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</si>
</sst>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8"/>
      <color rgb="FF00B05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16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0" fillId="33" borderId="0" xfId="0" applyFill="1"/>
    <xf numFmtId="3" fontId="0" fillId="0" borderId="0" xfId="0" applyNumberFormat="1"/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0" fillId="0" borderId="10" xfId="0" applyBorder="1"/>
    <xf numFmtId="0" fontId="0" fillId="0" borderId="10" xfId="0" applyBorder="1" applyAlignment="1">
      <alignment horizontal="right"/>
    </xf>
    <xf numFmtId="0" fontId="18" fillId="0" borderId="10" xfId="0" applyFont="1" applyBorder="1"/>
    <xf numFmtId="0" fontId="19" fillId="0" borderId="0" xfId="0" applyFon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://csmtest.sag.gob.cl/img/i_logoCertificado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http://csmtest.sag.gob.cl/img/i_logoCertificado.JPG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1</xdr:row>
          <xdr:rowOff>38100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142875</xdr:colOff>
      <xdr:row>0</xdr:row>
      <xdr:rowOff>133350</xdr:rowOff>
    </xdr:from>
    <xdr:to>
      <xdr:col>1</xdr:col>
      <xdr:colOff>161925</xdr:colOff>
      <xdr:row>4</xdr:row>
      <xdr:rowOff>419100</xdr:rowOff>
    </xdr:to>
    <xdr:pic>
      <xdr:nvPicPr>
        <xdr:cNvPr id="1026" name="WucTopInforme1_asdasd" descr="Cargando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33350"/>
          <a:ext cx="127635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76200</xdr:rowOff>
    </xdr:from>
    <xdr:to>
      <xdr:col>2</xdr:col>
      <xdr:colOff>123825</xdr:colOff>
      <xdr:row>6</xdr:row>
      <xdr:rowOff>85725</xdr:rowOff>
    </xdr:to>
    <xdr:pic>
      <xdr:nvPicPr>
        <xdr:cNvPr id="2" name="WucTopInforme1_asdasd" descr="Cargando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76200"/>
          <a:ext cx="127635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2:O3382"/>
  <sheetViews>
    <sheetView showGridLines="0" tabSelected="1" zoomScaleNormal="100" workbookViewId="0">
      <selection activeCell="C3" sqref="C3"/>
    </sheetView>
  </sheetViews>
  <sheetFormatPr baseColWidth="10" defaultRowHeight="15" x14ac:dyDescent="0.25"/>
  <cols>
    <col min="1" max="1" width="18.85546875" bestFit="1" customWidth="1"/>
    <col min="2" max="2" width="24.42578125" bestFit="1" customWidth="1"/>
    <col min="3" max="3" width="11.5703125" bestFit="1" customWidth="1"/>
    <col min="4" max="4" width="7.140625" customWidth="1"/>
    <col min="5" max="5" width="28.42578125" bestFit="1" customWidth="1"/>
    <col min="6" max="6" width="38.42578125" bestFit="1" customWidth="1"/>
    <col min="7" max="7" width="12.140625" bestFit="1" customWidth="1"/>
    <col min="8" max="8" width="22.42578125" bestFit="1" customWidth="1"/>
    <col min="9" max="9" width="45.7109375" bestFit="1" customWidth="1"/>
    <col min="10" max="10" width="39.28515625" bestFit="1" customWidth="1"/>
    <col min="11" max="11" width="9" customWidth="1"/>
    <col min="12" max="12" width="7.5703125" customWidth="1"/>
    <col min="13" max="13" width="5.42578125" customWidth="1"/>
    <col min="15" max="15" width="9" customWidth="1"/>
  </cols>
  <sheetData>
    <row r="2" spans="1:15" x14ac:dyDescent="0.25">
      <c r="A2" s="1"/>
      <c r="B2" s="2"/>
    </row>
    <row r="3" spans="1:15" ht="23.25" x14ac:dyDescent="0.35">
      <c r="A3" s="1"/>
      <c r="B3" s="2"/>
      <c r="C3" s="10" t="s">
        <v>770</v>
      </c>
    </row>
    <row r="4" spans="1:15" x14ac:dyDescent="0.25">
      <c r="A4" s="1"/>
      <c r="B4" s="2"/>
    </row>
    <row r="5" spans="1:15" ht="56.25" customHeight="1" x14ac:dyDescent="0.25">
      <c r="A5" s="1"/>
      <c r="B5" s="2"/>
    </row>
    <row r="6" spans="1:15" x14ac:dyDescent="0.25">
      <c r="A6" s="5" t="s">
        <v>0</v>
      </c>
      <c r="B6" s="5" t="s">
        <v>1</v>
      </c>
      <c r="C6" s="5" t="s">
        <v>769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7</v>
      </c>
      <c r="J6" s="5" t="s">
        <v>8</v>
      </c>
      <c r="K6" s="5" t="s">
        <v>9</v>
      </c>
      <c r="L6" s="5" t="s">
        <v>10</v>
      </c>
      <c r="M6" s="5" t="s">
        <v>11</v>
      </c>
      <c r="N6" s="5" t="s">
        <v>12</v>
      </c>
      <c r="O6" s="5" t="s">
        <v>13</v>
      </c>
    </row>
    <row r="7" spans="1:15" x14ac:dyDescent="0.25">
      <c r="A7" s="6" t="s">
        <v>14</v>
      </c>
      <c r="B7" s="6" t="s">
        <v>15</v>
      </c>
      <c r="C7" s="7">
        <v>29703</v>
      </c>
      <c r="D7" s="6" t="s">
        <v>16</v>
      </c>
      <c r="E7" s="6" t="s">
        <v>17</v>
      </c>
      <c r="F7" s="6" t="s">
        <v>17</v>
      </c>
      <c r="G7" s="6" t="s">
        <v>18</v>
      </c>
      <c r="H7" s="6" t="s">
        <v>19</v>
      </c>
      <c r="I7" s="6">
        <v>5345</v>
      </c>
      <c r="J7" s="6">
        <v>5345</v>
      </c>
      <c r="K7" s="7">
        <v>6379975</v>
      </c>
      <c r="L7" s="7">
        <v>293038</v>
      </c>
      <c r="M7" s="7">
        <v>19</v>
      </c>
      <c r="N7" s="7">
        <v>1</v>
      </c>
      <c r="O7" s="7">
        <v>0.1</v>
      </c>
    </row>
    <row r="8" spans="1:15" x14ac:dyDescent="0.25">
      <c r="A8" s="6" t="s">
        <v>14</v>
      </c>
      <c r="B8" s="6" t="s">
        <v>15</v>
      </c>
      <c r="C8" s="7">
        <v>29704</v>
      </c>
      <c r="D8" s="6" t="s">
        <v>16</v>
      </c>
      <c r="E8" s="6" t="s">
        <v>17</v>
      </c>
      <c r="F8" s="6" t="s">
        <v>17</v>
      </c>
      <c r="G8" s="6" t="s">
        <v>18</v>
      </c>
      <c r="H8" s="6" t="s">
        <v>19</v>
      </c>
      <c r="I8" s="6" t="s">
        <v>20</v>
      </c>
      <c r="J8" s="6" t="s">
        <v>20</v>
      </c>
      <c r="K8" s="7">
        <v>6379975</v>
      </c>
      <c r="L8" s="7">
        <v>293038</v>
      </c>
      <c r="M8" s="7">
        <v>19</v>
      </c>
      <c r="N8" s="7">
        <v>1</v>
      </c>
      <c r="O8" s="7">
        <v>0.01</v>
      </c>
    </row>
    <row r="9" spans="1:15" x14ac:dyDescent="0.25">
      <c r="A9" s="6" t="s">
        <v>14</v>
      </c>
      <c r="B9" s="6" t="s">
        <v>15</v>
      </c>
      <c r="C9" s="7">
        <v>29705</v>
      </c>
      <c r="D9" s="6" t="s">
        <v>16</v>
      </c>
      <c r="E9" s="6" t="s">
        <v>17</v>
      </c>
      <c r="F9" s="6" t="s">
        <v>17</v>
      </c>
      <c r="G9" s="6" t="s">
        <v>18</v>
      </c>
      <c r="H9" s="6" t="s">
        <v>19</v>
      </c>
      <c r="I9" s="6" t="s">
        <v>21</v>
      </c>
      <c r="J9" s="6" t="s">
        <v>21</v>
      </c>
      <c r="K9" s="7">
        <v>6379975</v>
      </c>
      <c r="L9" s="7">
        <v>293038</v>
      </c>
      <c r="M9" s="7">
        <v>19</v>
      </c>
      <c r="N9" s="7">
        <v>1</v>
      </c>
      <c r="O9" s="7">
        <v>0.04</v>
      </c>
    </row>
    <row r="10" spans="1:15" x14ac:dyDescent="0.25">
      <c r="A10" s="6" t="s">
        <v>22</v>
      </c>
      <c r="B10" s="6" t="s">
        <v>23</v>
      </c>
      <c r="C10" s="7">
        <v>32916</v>
      </c>
      <c r="D10" s="6" t="s">
        <v>24</v>
      </c>
      <c r="E10" s="6" t="s">
        <v>25</v>
      </c>
      <c r="F10" s="6" t="s">
        <v>26</v>
      </c>
      <c r="G10" s="6" t="s">
        <v>27</v>
      </c>
      <c r="H10" s="6" t="s">
        <v>765</v>
      </c>
      <c r="I10" s="6" t="s">
        <v>766</v>
      </c>
      <c r="J10" s="6" t="s">
        <v>766</v>
      </c>
      <c r="K10" s="7">
        <v>6263470</v>
      </c>
      <c r="L10" s="7">
        <v>338483</v>
      </c>
      <c r="M10" s="7">
        <v>19</v>
      </c>
      <c r="N10" s="7">
        <v>1</v>
      </c>
      <c r="O10" s="7">
        <v>0.25</v>
      </c>
    </row>
    <row r="11" spans="1:15" x14ac:dyDescent="0.25">
      <c r="A11" s="6" t="s">
        <v>28</v>
      </c>
      <c r="B11" s="6" t="s">
        <v>29</v>
      </c>
      <c r="C11" s="7">
        <v>31491</v>
      </c>
      <c r="D11" s="6" t="s">
        <v>24</v>
      </c>
      <c r="E11" s="6" t="s">
        <v>30</v>
      </c>
      <c r="F11" s="6" t="s">
        <v>31</v>
      </c>
      <c r="G11" s="6" t="s">
        <v>32</v>
      </c>
      <c r="H11" s="6" t="s">
        <v>33</v>
      </c>
      <c r="I11" s="6" t="s">
        <v>767</v>
      </c>
      <c r="J11" s="6" t="s">
        <v>764</v>
      </c>
      <c r="K11" s="7">
        <v>6241917</v>
      </c>
      <c r="L11" s="7">
        <v>276196</v>
      </c>
      <c r="M11" s="7">
        <v>19</v>
      </c>
      <c r="N11" s="7">
        <v>5</v>
      </c>
      <c r="O11" s="7">
        <v>164</v>
      </c>
    </row>
    <row r="12" spans="1:15" x14ac:dyDescent="0.25">
      <c r="A12" s="6" t="s">
        <v>28</v>
      </c>
      <c r="B12" s="6" t="s">
        <v>29</v>
      </c>
      <c r="C12" s="7">
        <v>31536</v>
      </c>
      <c r="D12" s="6" t="s">
        <v>24</v>
      </c>
      <c r="E12" s="6" t="s">
        <v>30</v>
      </c>
      <c r="F12" s="6" t="s">
        <v>31</v>
      </c>
      <c r="G12" s="6" t="s">
        <v>32</v>
      </c>
      <c r="H12" s="6" t="s">
        <v>33</v>
      </c>
      <c r="I12" s="6" t="s">
        <v>767</v>
      </c>
      <c r="J12" s="6" t="s">
        <v>767</v>
      </c>
      <c r="K12" s="7">
        <v>6240123</v>
      </c>
      <c r="L12" s="7">
        <v>275828</v>
      </c>
      <c r="M12" s="7">
        <v>19</v>
      </c>
      <c r="N12" s="7">
        <v>2</v>
      </c>
      <c r="O12" s="7">
        <v>101</v>
      </c>
    </row>
    <row r="13" spans="1:15" x14ac:dyDescent="0.25">
      <c r="A13" s="6" t="s">
        <v>28</v>
      </c>
      <c r="B13" s="6" t="s">
        <v>29</v>
      </c>
      <c r="C13" s="7">
        <v>31569</v>
      </c>
      <c r="D13" s="6" t="s">
        <v>24</v>
      </c>
      <c r="E13" s="6" t="s">
        <v>30</v>
      </c>
      <c r="F13" s="6" t="s">
        <v>31</v>
      </c>
      <c r="G13" s="6" t="s">
        <v>32</v>
      </c>
      <c r="H13" s="6" t="s">
        <v>33</v>
      </c>
      <c r="I13" s="6" t="s">
        <v>767</v>
      </c>
      <c r="J13" s="6" t="s">
        <v>767</v>
      </c>
      <c r="K13" s="7">
        <v>6237334</v>
      </c>
      <c r="L13" s="7">
        <v>277085</v>
      </c>
      <c r="M13" s="7">
        <v>19</v>
      </c>
      <c r="N13" s="7">
        <v>1</v>
      </c>
      <c r="O13" s="7">
        <v>69</v>
      </c>
    </row>
    <row r="14" spans="1:15" x14ac:dyDescent="0.25">
      <c r="A14" s="6" t="s">
        <v>28</v>
      </c>
      <c r="B14" s="6" t="s">
        <v>29</v>
      </c>
      <c r="C14" s="7">
        <v>31770</v>
      </c>
      <c r="D14" s="6" t="s">
        <v>24</v>
      </c>
      <c r="E14" s="6" t="s">
        <v>37</v>
      </c>
      <c r="F14" s="6" t="s">
        <v>38</v>
      </c>
      <c r="G14" s="6" t="s">
        <v>32</v>
      </c>
      <c r="H14" s="6" t="s">
        <v>33</v>
      </c>
      <c r="I14" s="6" t="s">
        <v>767</v>
      </c>
      <c r="J14" s="6" t="s">
        <v>767</v>
      </c>
      <c r="K14" s="7">
        <v>6273020</v>
      </c>
      <c r="L14" s="7">
        <v>311036</v>
      </c>
      <c r="M14" s="7">
        <v>19</v>
      </c>
      <c r="N14" s="7">
        <v>1</v>
      </c>
      <c r="O14" s="7">
        <v>9</v>
      </c>
    </row>
    <row r="15" spans="1:15" x14ac:dyDescent="0.25">
      <c r="A15" s="6" t="s">
        <v>28</v>
      </c>
      <c r="B15" s="6" t="s">
        <v>29</v>
      </c>
      <c r="C15" s="7">
        <v>31772</v>
      </c>
      <c r="D15" s="6" t="s">
        <v>39</v>
      </c>
      <c r="E15" s="6" t="s">
        <v>40</v>
      </c>
      <c r="F15" s="6" t="s">
        <v>41</v>
      </c>
      <c r="G15" s="6" t="s">
        <v>32</v>
      </c>
      <c r="H15" s="6" t="s">
        <v>33</v>
      </c>
      <c r="I15" s="6" t="s">
        <v>767</v>
      </c>
      <c r="J15" s="6" t="s">
        <v>764</v>
      </c>
      <c r="K15" s="7">
        <v>6122046</v>
      </c>
      <c r="L15" s="7">
        <v>282977</v>
      </c>
      <c r="M15" s="7">
        <v>19</v>
      </c>
      <c r="N15" s="7">
        <v>1</v>
      </c>
      <c r="O15" s="7">
        <v>3.4</v>
      </c>
    </row>
    <row r="16" spans="1:15" x14ac:dyDescent="0.25">
      <c r="A16" s="6" t="s">
        <v>28</v>
      </c>
      <c r="B16" s="6" t="s">
        <v>29</v>
      </c>
      <c r="C16" s="7">
        <v>31775</v>
      </c>
      <c r="D16" s="6" t="s">
        <v>39</v>
      </c>
      <c r="E16" s="6" t="s">
        <v>40</v>
      </c>
      <c r="F16" s="6" t="s">
        <v>41</v>
      </c>
      <c r="G16" s="6" t="s">
        <v>32</v>
      </c>
      <c r="H16" s="6" t="s">
        <v>33</v>
      </c>
      <c r="I16" s="6" t="s">
        <v>767</v>
      </c>
      <c r="J16" s="6" t="s">
        <v>764</v>
      </c>
      <c r="K16" s="7">
        <v>6122046</v>
      </c>
      <c r="L16" s="7">
        <v>282977</v>
      </c>
      <c r="M16" s="7">
        <v>19</v>
      </c>
      <c r="N16" s="7">
        <v>1</v>
      </c>
      <c r="O16" s="7">
        <v>3.6</v>
      </c>
    </row>
    <row r="17" spans="1:15" x14ac:dyDescent="0.25">
      <c r="A17" s="6" t="s">
        <v>28</v>
      </c>
      <c r="B17" s="6" t="s">
        <v>29</v>
      </c>
      <c r="C17" s="7">
        <v>31783</v>
      </c>
      <c r="D17" s="6" t="s">
        <v>42</v>
      </c>
      <c r="E17" s="6" t="s">
        <v>43</v>
      </c>
      <c r="F17" s="6" t="s">
        <v>44</v>
      </c>
      <c r="G17" s="6" t="s">
        <v>32</v>
      </c>
      <c r="H17" s="6" t="s">
        <v>33</v>
      </c>
      <c r="I17" s="6" t="s">
        <v>767</v>
      </c>
      <c r="J17" s="6" t="s">
        <v>764</v>
      </c>
      <c r="K17" s="7">
        <v>6199444</v>
      </c>
      <c r="L17" s="7">
        <v>331493</v>
      </c>
      <c r="M17" s="7">
        <v>19</v>
      </c>
      <c r="N17" s="7">
        <v>2</v>
      </c>
      <c r="O17" s="7">
        <v>12</v>
      </c>
    </row>
    <row r="18" spans="1:15" x14ac:dyDescent="0.25">
      <c r="A18" s="6" t="s">
        <v>28</v>
      </c>
      <c r="B18" s="6" t="s">
        <v>29</v>
      </c>
      <c r="C18" s="7">
        <v>31785</v>
      </c>
      <c r="D18" s="6" t="s">
        <v>39</v>
      </c>
      <c r="E18" s="6" t="s">
        <v>40</v>
      </c>
      <c r="F18" s="6" t="s">
        <v>41</v>
      </c>
      <c r="G18" s="6" t="s">
        <v>32</v>
      </c>
      <c r="H18" s="6" t="s">
        <v>33</v>
      </c>
      <c r="I18" s="6" t="s">
        <v>767</v>
      </c>
      <c r="J18" s="6" t="s">
        <v>767</v>
      </c>
      <c r="K18" s="7">
        <v>6113289</v>
      </c>
      <c r="L18" s="7">
        <v>273868</v>
      </c>
      <c r="M18" s="7">
        <v>19</v>
      </c>
      <c r="N18" s="7">
        <v>1</v>
      </c>
      <c r="O18" s="7">
        <v>20</v>
      </c>
    </row>
    <row r="19" spans="1:15" x14ac:dyDescent="0.25">
      <c r="A19" s="6" t="s">
        <v>28</v>
      </c>
      <c r="B19" s="6" t="s">
        <v>29</v>
      </c>
      <c r="C19" s="7">
        <v>31789</v>
      </c>
      <c r="D19" s="6" t="s">
        <v>42</v>
      </c>
      <c r="E19" s="6" t="s">
        <v>45</v>
      </c>
      <c r="F19" s="6" t="s">
        <v>46</v>
      </c>
      <c r="G19" s="6" t="s">
        <v>32</v>
      </c>
      <c r="H19" s="6" t="s">
        <v>33</v>
      </c>
      <c r="I19" s="6" t="s">
        <v>767</v>
      </c>
      <c r="J19" s="6" t="s">
        <v>764</v>
      </c>
      <c r="K19" s="7">
        <v>6170284</v>
      </c>
      <c r="L19" s="7">
        <v>322107</v>
      </c>
      <c r="M19" s="7">
        <v>19</v>
      </c>
      <c r="N19" s="7">
        <v>1</v>
      </c>
      <c r="O19" s="7">
        <v>4.8</v>
      </c>
    </row>
    <row r="20" spans="1:15" x14ac:dyDescent="0.25">
      <c r="A20" s="6" t="s">
        <v>28</v>
      </c>
      <c r="B20" s="6" t="s">
        <v>29</v>
      </c>
      <c r="C20" s="7">
        <v>31790</v>
      </c>
      <c r="D20" s="6" t="s">
        <v>42</v>
      </c>
      <c r="E20" s="6" t="s">
        <v>45</v>
      </c>
      <c r="F20" s="6" t="s">
        <v>46</v>
      </c>
      <c r="G20" s="6" t="s">
        <v>32</v>
      </c>
      <c r="H20" s="6" t="s">
        <v>33</v>
      </c>
      <c r="I20" s="6" t="s">
        <v>767</v>
      </c>
      <c r="J20" s="6" t="s">
        <v>764</v>
      </c>
      <c r="K20" s="7">
        <v>6170284</v>
      </c>
      <c r="L20" s="7">
        <v>322107</v>
      </c>
      <c r="M20" s="7">
        <v>19</v>
      </c>
      <c r="N20" s="7">
        <v>1</v>
      </c>
      <c r="O20" s="7">
        <v>4.5999999999999996</v>
      </c>
    </row>
    <row r="21" spans="1:15" x14ac:dyDescent="0.25">
      <c r="A21" s="6" t="s">
        <v>28</v>
      </c>
      <c r="B21" s="6" t="s">
        <v>29</v>
      </c>
      <c r="C21" s="7">
        <v>31792</v>
      </c>
      <c r="D21" s="6" t="s">
        <v>42</v>
      </c>
      <c r="E21" s="6" t="s">
        <v>45</v>
      </c>
      <c r="F21" s="6" t="s">
        <v>46</v>
      </c>
      <c r="G21" s="6" t="s">
        <v>32</v>
      </c>
      <c r="H21" s="6" t="s">
        <v>33</v>
      </c>
      <c r="I21" s="6" t="s">
        <v>767</v>
      </c>
      <c r="J21" s="6" t="s">
        <v>764</v>
      </c>
      <c r="K21" s="7">
        <v>6170284</v>
      </c>
      <c r="L21" s="7">
        <v>322107</v>
      </c>
      <c r="M21" s="7">
        <v>19</v>
      </c>
      <c r="N21" s="7">
        <v>1</v>
      </c>
      <c r="O21" s="7">
        <v>6.6</v>
      </c>
    </row>
    <row r="22" spans="1:15" x14ac:dyDescent="0.25">
      <c r="A22" s="6" t="s">
        <v>28</v>
      </c>
      <c r="B22" s="6" t="s">
        <v>29</v>
      </c>
      <c r="C22" s="7">
        <v>33652</v>
      </c>
      <c r="D22" s="6" t="s">
        <v>24</v>
      </c>
      <c r="E22" s="6" t="s">
        <v>47</v>
      </c>
      <c r="F22" s="6" t="s">
        <v>47</v>
      </c>
      <c r="G22" s="6" t="s">
        <v>32</v>
      </c>
      <c r="H22" s="6" t="s">
        <v>33</v>
      </c>
      <c r="I22" s="6" t="s">
        <v>764</v>
      </c>
      <c r="J22" s="6" t="s">
        <v>767</v>
      </c>
      <c r="K22" s="7">
        <v>6288742</v>
      </c>
      <c r="L22" s="7">
        <v>337779</v>
      </c>
      <c r="M22" s="7">
        <v>19</v>
      </c>
      <c r="N22" s="7">
        <v>1</v>
      </c>
      <c r="O22" s="7">
        <v>0.5</v>
      </c>
    </row>
    <row r="23" spans="1:15" x14ac:dyDescent="0.25">
      <c r="A23" s="6" t="s">
        <v>22</v>
      </c>
      <c r="B23" s="6" t="s">
        <v>48</v>
      </c>
      <c r="C23" s="7">
        <v>30191</v>
      </c>
      <c r="D23" s="6" t="s">
        <v>24</v>
      </c>
      <c r="E23" s="6" t="s">
        <v>49</v>
      </c>
      <c r="F23" s="6" t="s">
        <v>49</v>
      </c>
      <c r="G23" s="6" t="s">
        <v>50</v>
      </c>
      <c r="H23" s="6" t="s">
        <v>765</v>
      </c>
      <c r="I23" s="6" t="s">
        <v>767</v>
      </c>
      <c r="J23" s="6" t="s">
        <v>767</v>
      </c>
      <c r="K23" s="7">
        <v>6272312</v>
      </c>
      <c r="L23" s="7">
        <v>353730</v>
      </c>
      <c r="M23" s="7">
        <v>19</v>
      </c>
      <c r="N23" s="7">
        <v>1</v>
      </c>
      <c r="O23" s="7">
        <v>1.1000000000000001</v>
      </c>
    </row>
    <row r="24" spans="1:15" x14ac:dyDescent="0.25">
      <c r="A24" s="6" t="s">
        <v>14</v>
      </c>
      <c r="B24" s="6" t="s">
        <v>48</v>
      </c>
      <c r="C24" s="7">
        <v>30753</v>
      </c>
      <c r="D24" s="6" t="s">
        <v>42</v>
      </c>
      <c r="E24" s="6" t="s">
        <v>51</v>
      </c>
      <c r="F24" s="6" t="s">
        <v>52</v>
      </c>
      <c r="G24" s="6" t="s">
        <v>32</v>
      </c>
      <c r="H24" s="6" t="s">
        <v>33</v>
      </c>
      <c r="I24" s="6" t="s">
        <v>767</v>
      </c>
      <c r="J24" s="6" t="s">
        <v>764</v>
      </c>
      <c r="K24" s="7">
        <v>6151577</v>
      </c>
      <c r="L24" s="7">
        <v>317293</v>
      </c>
      <c r="M24" s="7">
        <v>19</v>
      </c>
      <c r="N24" s="7">
        <v>5</v>
      </c>
      <c r="O24" s="7">
        <v>34.799999999999997</v>
      </c>
    </row>
    <row r="25" spans="1:15" x14ac:dyDescent="0.25">
      <c r="A25" s="6" t="s">
        <v>14</v>
      </c>
      <c r="B25" s="6" t="s">
        <v>48</v>
      </c>
      <c r="C25" s="7">
        <v>30754</v>
      </c>
      <c r="D25" s="6" t="s">
        <v>39</v>
      </c>
      <c r="E25" s="6" t="s">
        <v>53</v>
      </c>
      <c r="F25" s="6" t="s">
        <v>54</v>
      </c>
      <c r="G25" s="6" t="s">
        <v>32</v>
      </c>
      <c r="H25" s="6" t="s">
        <v>33</v>
      </c>
      <c r="I25" s="6" t="s">
        <v>767</v>
      </c>
      <c r="J25" s="6" t="s">
        <v>767</v>
      </c>
      <c r="K25" s="7">
        <v>6138800</v>
      </c>
      <c r="L25" s="7">
        <v>315367</v>
      </c>
      <c r="M25" s="7">
        <v>19</v>
      </c>
      <c r="N25" s="7">
        <v>1</v>
      </c>
      <c r="O25" s="7">
        <v>11.8</v>
      </c>
    </row>
    <row r="26" spans="1:15" x14ac:dyDescent="0.25">
      <c r="A26" s="6" t="s">
        <v>28</v>
      </c>
      <c r="B26" s="6" t="s">
        <v>48</v>
      </c>
      <c r="C26" s="7">
        <v>31615</v>
      </c>
      <c r="D26" s="6" t="s">
        <v>42</v>
      </c>
      <c r="E26" s="6" t="s">
        <v>51</v>
      </c>
      <c r="F26" s="6" t="s">
        <v>55</v>
      </c>
      <c r="G26" s="6" t="s">
        <v>32</v>
      </c>
      <c r="H26" s="6" t="s">
        <v>33</v>
      </c>
      <c r="I26" s="6" t="s">
        <v>767</v>
      </c>
      <c r="J26" s="6" t="s">
        <v>767</v>
      </c>
      <c r="K26" s="7">
        <v>6167040</v>
      </c>
      <c r="L26" s="7">
        <v>318597</v>
      </c>
      <c r="M26" s="7">
        <v>19</v>
      </c>
      <c r="N26" s="7">
        <v>1</v>
      </c>
      <c r="O26" s="7">
        <v>8</v>
      </c>
    </row>
    <row r="27" spans="1:15" x14ac:dyDescent="0.25">
      <c r="A27" s="6" t="s">
        <v>28</v>
      </c>
      <c r="B27" s="6" t="s">
        <v>48</v>
      </c>
      <c r="C27" s="7">
        <v>31616</v>
      </c>
      <c r="D27" s="6" t="s">
        <v>42</v>
      </c>
      <c r="E27" s="6" t="s">
        <v>45</v>
      </c>
      <c r="F27" s="6" t="s">
        <v>55</v>
      </c>
      <c r="G27" s="6" t="s">
        <v>32</v>
      </c>
      <c r="H27" s="6" t="s">
        <v>33</v>
      </c>
      <c r="I27" s="6" t="s">
        <v>767</v>
      </c>
      <c r="J27" s="6" t="s">
        <v>767</v>
      </c>
      <c r="K27" s="7">
        <v>6161532</v>
      </c>
      <c r="L27" s="7">
        <v>321641</v>
      </c>
      <c r="M27" s="7">
        <v>19</v>
      </c>
      <c r="N27" s="7">
        <v>1</v>
      </c>
      <c r="O27" s="7">
        <v>2.5</v>
      </c>
    </row>
    <row r="28" spans="1:15" x14ac:dyDescent="0.25">
      <c r="A28" s="6" t="s">
        <v>28</v>
      </c>
      <c r="B28" s="6" t="s">
        <v>48</v>
      </c>
      <c r="C28" s="7">
        <v>31617</v>
      </c>
      <c r="D28" s="6" t="s">
        <v>24</v>
      </c>
      <c r="E28" s="6" t="s">
        <v>56</v>
      </c>
      <c r="F28" s="6" t="s">
        <v>57</v>
      </c>
      <c r="G28" s="6" t="s">
        <v>32</v>
      </c>
      <c r="H28" s="6" t="s">
        <v>33</v>
      </c>
      <c r="I28" s="6" t="s">
        <v>767</v>
      </c>
      <c r="J28" s="6" t="s">
        <v>767</v>
      </c>
      <c r="K28" s="7">
        <v>6274356</v>
      </c>
      <c r="L28" s="7">
        <v>341615</v>
      </c>
      <c r="M28" s="7">
        <v>19</v>
      </c>
      <c r="N28" s="7">
        <v>1</v>
      </c>
      <c r="O28" s="7">
        <v>12</v>
      </c>
    </row>
    <row r="29" spans="1:15" x14ac:dyDescent="0.25">
      <c r="A29" s="6" t="s">
        <v>28</v>
      </c>
      <c r="B29" s="6" t="s">
        <v>48</v>
      </c>
      <c r="C29" s="7">
        <v>31618</v>
      </c>
      <c r="D29" s="6" t="s">
        <v>24</v>
      </c>
      <c r="E29" s="6" t="s">
        <v>56</v>
      </c>
      <c r="F29" s="6" t="s">
        <v>57</v>
      </c>
      <c r="G29" s="6" t="s">
        <v>32</v>
      </c>
      <c r="H29" s="6" t="s">
        <v>33</v>
      </c>
      <c r="I29" s="6" t="s">
        <v>767</v>
      </c>
      <c r="J29" s="6" t="s">
        <v>767</v>
      </c>
      <c r="K29" s="7">
        <v>6274480</v>
      </c>
      <c r="L29" s="7">
        <v>341535</v>
      </c>
      <c r="M29" s="7">
        <v>19</v>
      </c>
      <c r="N29" s="7">
        <v>1</v>
      </c>
      <c r="O29" s="7">
        <v>6.6</v>
      </c>
    </row>
    <row r="30" spans="1:15" x14ac:dyDescent="0.25">
      <c r="A30" s="6" t="s">
        <v>28</v>
      </c>
      <c r="B30" s="6" t="s">
        <v>48</v>
      </c>
      <c r="C30" s="7">
        <v>31619</v>
      </c>
      <c r="D30" s="6" t="s">
        <v>39</v>
      </c>
      <c r="E30" s="6" t="s">
        <v>58</v>
      </c>
      <c r="F30" s="6" t="s">
        <v>59</v>
      </c>
      <c r="G30" s="6" t="s">
        <v>32</v>
      </c>
      <c r="H30" s="6" t="s">
        <v>33</v>
      </c>
      <c r="I30" s="6" t="s">
        <v>767</v>
      </c>
      <c r="J30" s="6" t="s">
        <v>767</v>
      </c>
      <c r="K30" s="7">
        <v>6008746</v>
      </c>
      <c r="L30" s="7">
        <v>258811</v>
      </c>
      <c r="M30" s="7">
        <v>19</v>
      </c>
      <c r="N30" s="7">
        <v>2</v>
      </c>
      <c r="O30" s="7">
        <v>20</v>
      </c>
    </row>
    <row r="31" spans="1:15" x14ac:dyDescent="0.25">
      <c r="A31" s="6" t="s">
        <v>28</v>
      </c>
      <c r="B31" s="6" t="s">
        <v>48</v>
      </c>
      <c r="C31" s="7">
        <v>31620</v>
      </c>
      <c r="D31" s="6" t="s">
        <v>39</v>
      </c>
      <c r="E31" s="6" t="s">
        <v>58</v>
      </c>
      <c r="F31" s="6" t="s">
        <v>60</v>
      </c>
      <c r="G31" s="6" t="s">
        <v>32</v>
      </c>
      <c r="H31" s="6" t="s">
        <v>33</v>
      </c>
      <c r="I31" s="6" t="s">
        <v>767</v>
      </c>
      <c r="J31" s="6" t="s">
        <v>767</v>
      </c>
      <c r="K31" s="7">
        <v>6012865</v>
      </c>
      <c r="L31" s="7">
        <v>260735</v>
      </c>
      <c r="M31" s="7">
        <v>19</v>
      </c>
      <c r="N31" s="7">
        <v>1</v>
      </c>
      <c r="O31" s="7">
        <v>12</v>
      </c>
    </row>
    <row r="32" spans="1:15" x14ac:dyDescent="0.25">
      <c r="A32" s="6" t="s">
        <v>14</v>
      </c>
      <c r="B32" s="6" t="s">
        <v>48</v>
      </c>
      <c r="C32" s="7">
        <v>31621</v>
      </c>
      <c r="D32" s="6" t="s">
        <v>39</v>
      </c>
      <c r="E32" s="6" t="s">
        <v>58</v>
      </c>
      <c r="F32" s="6" t="s">
        <v>60</v>
      </c>
      <c r="G32" s="6" t="s">
        <v>32</v>
      </c>
      <c r="H32" s="6" t="s">
        <v>33</v>
      </c>
      <c r="I32" s="6" t="s">
        <v>767</v>
      </c>
      <c r="J32" s="6" t="s">
        <v>764</v>
      </c>
      <c r="K32" s="7">
        <v>6013412</v>
      </c>
      <c r="L32" s="7">
        <v>260787</v>
      </c>
      <c r="M32" s="7">
        <v>19</v>
      </c>
      <c r="N32" s="7">
        <v>4</v>
      </c>
      <c r="O32" s="7">
        <v>50</v>
      </c>
    </row>
    <row r="33" spans="1:15" x14ac:dyDescent="0.25">
      <c r="A33" s="6" t="s">
        <v>14</v>
      </c>
      <c r="B33" s="6" t="s">
        <v>48</v>
      </c>
      <c r="C33" s="7">
        <v>31622</v>
      </c>
      <c r="D33" s="6" t="s">
        <v>39</v>
      </c>
      <c r="E33" s="6" t="s">
        <v>53</v>
      </c>
      <c r="F33" s="6" t="s">
        <v>61</v>
      </c>
      <c r="G33" s="6" t="s">
        <v>32</v>
      </c>
      <c r="H33" s="6" t="s">
        <v>33</v>
      </c>
      <c r="I33" s="6" t="s">
        <v>767</v>
      </c>
      <c r="J33" s="6" t="s">
        <v>767</v>
      </c>
      <c r="K33" s="7">
        <v>6142171</v>
      </c>
      <c r="L33" s="7">
        <v>313667</v>
      </c>
      <c r="M33" s="7">
        <v>19</v>
      </c>
      <c r="N33" s="7">
        <v>2</v>
      </c>
      <c r="O33" s="7">
        <v>7</v>
      </c>
    </row>
    <row r="34" spans="1:15" x14ac:dyDescent="0.25">
      <c r="A34" s="6" t="s">
        <v>28</v>
      </c>
      <c r="B34" s="6" t="s">
        <v>48</v>
      </c>
      <c r="C34" s="7">
        <v>31653</v>
      </c>
      <c r="D34" s="6" t="s">
        <v>42</v>
      </c>
      <c r="E34" s="6" t="s">
        <v>51</v>
      </c>
      <c r="F34" s="6" t="s">
        <v>52</v>
      </c>
      <c r="G34" s="6" t="s">
        <v>32</v>
      </c>
      <c r="H34" s="6" t="s">
        <v>33</v>
      </c>
      <c r="I34" s="6" t="s">
        <v>767</v>
      </c>
      <c r="J34" s="6" t="s">
        <v>767</v>
      </c>
      <c r="K34" s="7">
        <v>6151520</v>
      </c>
      <c r="L34" s="7">
        <v>316445</v>
      </c>
      <c r="M34" s="7">
        <v>19</v>
      </c>
      <c r="N34" s="7">
        <v>2</v>
      </c>
      <c r="O34" s="7">
        <v>26</v>
      </c>
    </row>
    <row r="35" spans="1:15" x14ac:dyDescent="0.25">
      <c r="A35" s="6" t="s">
        <v>14</v>
      </c>
      <c r="B35" s="6" t="s">
        <v>48</v>
      </c>
      <c r="C35" s="7">
        <v>31939</v>
      </c>
      <c r="D35" s="6" t="s">
        <v>24</v>
      </c>
      <c r="E35" s="6" t="s">
        <v>37</v>
      </c>
      <c r="F35" s="6" t="s">
        <v>62</v>
      </c>
      <c r="G35" s="6" t="s">
        <v>32</v>
      </c>
      <c r="H35" s="6" t="s">
        <v>33</v>
      </c>
      <c r="I35" s="6" t="s">
        <v>767</v>
      </c>
      <c r="J35" s="6" t="s">
        <v>767</v>
      </c>
      <c r="K35" s="7">
        <v>6277884</v>
      </c>
      <c r="L35" s="7">
        <v>324644</v>
      </c>
      <c r="M35" s="7">
        <v>19</v>
      </c>
      <c r="N35" s="7">
        <v>1</v>
      </c>
      <c r="O35" s="7">
        <v>5</v>
      </c>
    </row>
    <row r="36" spans="1:15" x14ac:dyDescent="0.25">
      <c r="A36" s="6" t="s">
        <v>14</v>
      </c>
      <c r="B36" s="6" t="s">
        <v>48</v>
      </c>
      <c r="C36" s="7">
        <v>31942</v>
      </c>
      <c r="D36" s="6" t="s">
        <v>24</v>
      </c>
      <c r="E36" s="6" t="s">
        <v>37</v>
      </c>
      <c r="F36" s="6" t="s">
        <v>37</v>
      </c>
      <c r="G36" s="6" t="s">
        <v>32</v>
      </c>
      <c r="H36" s="6" t="s">
        <v>33</v>
      </c>
      <c r="I36" s="6" t="s">
        <v>767</v>
      </c>
      <c r="J36" s="6" t="s">
        <v>767</v>
      </c>
      <c r="K36" s="7">
        <v>6269122</v>
      </c>
      <c r="L36" s="7">
        <v>320131</v>
      </c>
      <c r="M36" s="7">
        <v>19</v>
      </c>
      <c r="N36" s="7">
        <v>3</v>
      </c>
      <c r="O36" s="7">
        <v>34</v>
      </c>
    </row>
    <row r="37" spans="1:15" x14ac:dyDescent="0.25">
      <c r="A37" s="6" t="s">
        <v>14</v>
      </c>
      <c r="B37" s="6" t="s">
        <v>48</v>
      </c>
      <c r="C37" s="7">
        <v>31948</v>
      </c>
      <c r="D37" s="6" t="s">
        <v>24</v>
      </c>
      <c r="E37" s="6" t="s">
        <v>37</v>
      </c>
      <c r="F37" s="6" t="s">
        <v>37</v>
      </c>
      <c r="G37" s="6" t="s">
        <v>32</v>
      </c>
      <c r="H37" s="6" t="s">
        <v>33</v>
      </c>
      <c r="I37" s="6" t="s">
        <v>767</v>
      </c>
      <c r="J37" s="6" t="s">
        <v>767</v>
      </c>
      <c r="K37" s="7">
        <v>6269368</v>
      </c>
      <c r="L37" s="7">
        <v>319631</v>
      </c>
      <c r="M37" s="7">
        <v>19</v>
      </c>
      <c r="N37" s="7">
        <v>1</v>
      </c>
      <c r="O37" s="7">
        <v>10</v>
      </c>
    </row>
    <row r="38" spans="1:15" x14ac:dyDescent="0.25">
      <c r="A38" s="6" t="s">
        <v>28</v>
      </c>
      <c r="B38" s="6" t="s">
        <v>48</v>
      </c>
      <c r="C38" s="7">
        <v>32157</v>
      </c>
      <c r="D38" s="6" t="s">
        <v>42</v>
      </c>
      <c r="E38" s="6" t="s">
        <v>63</v>
      </c>
      <c r="F38" s="6" t="s">
        <v>64</v>
      </c>
      <c r="G38" s="6" t="s">
        <v>32</v>
      </c>
      <c r="H38" s="6" t="s">
        <v>33</v>
      </c>
      <c r="I38" s="6" t="s">
        <v>767</v>
      </c>
      <c r="J38" s="6" t="s">
        <v>767</v>
      </c>
      <c r="K38" s="7">
        <v>6169754</v>
      </c>
      <c r="L38" s="7">
        <v>284524</v>
      </c>
      <c r="M38" s="7">
        <v>19</v>
      </c>
      <c r="N38" s="7">
        <v>2</v>
      </c>
      <c r="O38" s="7">
        <v>15</v>
      </c>
    </row>
    <row r="39" spans="1:15" x14ac:dyDescent="0.25">
      <c r="A39" s="6" t="s">
        <v>28</v>
      </c>
      <c r="B39" s="6" t="s">
        <v>48</v>
      </c>
      <c r="C39" s="7">
        <v>32160</v>
      </c>
      <c r="D39" s="6" t="s">
        <v>42</v>
      </c>
      <c r="E39" s="6" t="s">
        <v>64</v>
      </c>
      <c r="F39" s="6" t="s">
        <v>65</v>
      </c>
      <c r="G39" s="6" t="s">
        <v>32</v>
      </c>
      <c r="H39" s="6" t="s">
        <v>33</v>
      </c>
      <c r="I39" s="6" t="s">
        <v>767</v>
      </c>
      <c r="J39" s="6" t="s">
        <v>767</v>
      </c>
      <c r="K39" s="7">
        <v>6169754</v>
      </c>
      <c r="L39" s="7">
        <v>284904</v>
      </c>
      <c r="M39" s="7">
        <v>19</v>
      </c>
      <c r="N39" s="7">
        <v>2</v>
      </c>
      <c r="O39" s="7">
        <v>6.5</v>
      </c>
    </row>
    <row r="40" spans="1:15" x14ac:dyDescent="0.25">
      <c r="A40" s="6" t="s">
        <v>14</v>
      </c>
      <c r="B40" s="6" t="s">
        <v>48</v>
      </c>
      <c r="C40" s="7">
        <v>32164</v>
      </c>
      <c r="D40" s="6" t="s">
        <v>42</v>
      </c>
      <c r="E40" s="6" t="s">
        <v>51</v>
      </c>
      <c r="F40" s="6" t="s">
        <v>66</v>
      </c>
      <c r="G40" s="6" t="s">
        <v>32</v>
      </c>
      <c r="H40" s="6" t="s">
        <v>33</v>
      </c>
      <c r="I40" s="6" t="s">
        <v>767</v>
      </c>
      <c r="J40" s="6" t="s">
        <v>767</v>
      </c>
      <c r="K40" s="7">
        <v>6148425</v>
      </c>
      <c r="L40" s="7">
        <v>320589</v>
      </c>
      <c r="M40" s="7">
        <v>19</v>
      </c>
      <c r="N40" s="7">
        <v>3</v>
      </c>
      <c r="O40" s="7">
        <v>20</v>
      </c>
    </row>
    <row r="41" spans="1:15" x14ac:dyDescent="0.25">
      <c r="A41" s="6" t="s">
        <v>28</v>
      </c>
      <c r="B41" s="6" t="s">
        <v>48</v>
      </c>
      <c r="C41" s="7">
        <v>32167</v>
      </c>
      <c r="D41" s="6" t="s">
        <v>42</v>
      </c>
      <c r="E41" s="6" t="s">
        <v>51</v>
      </c>
      <c r="F41" s="6" t="s">
        <v>67</v>
      </c>
      <c r="G41" s="6" t="s">
        <v>32</v>
      </c>
      <c r="H41" s="6" t="s">
        <v>33</v>
      </c>
      <c r="I41" s="6" t="s">
        <v>767</v>
      </c>
      <c r="J41" s="6" t="s">
        <v>767</v>
      </c>
      <c r="K41" s="7">
        <v>6155343</v>
      </c>
      <c r="L41" s="7">
        <v>311392</v>
      </c>
      <c r="M41" s="7">
        <v>19</v>
      </c>
      <c r="N41" s="7">
        <v>1</v>
      </c>
      <c r="O41" s="7">
        <v>15</v>
      </c>
    </row>
    <row r="42" spans="1:15" x14ac:dyDescent="0.25">
      <c r="A42" s="6" t="s">
        <v>14</v>
      </c>
      <c r="B42" s="6" t="s">
        <v>48</v>
      </c>
      <c r="C42" s="7">
        <v>32171</v>
      </c>
      <c r="D42" s="6" t="s">
        <v>42</v>
      </c>
      <c r="E42" s="6" t="s">
        <v>51</v>
      </c>
      <c r="F42" s="6" t="s">
        <v>51</v>
      </c>
      <c r="G42" s="6" t="s">
        <v>32</v>
      </c>
      <c r="H42" s="6" t="s">
        <v>33</v>
      </c>
      <c r="I42" s="6" t="s">
        <v>767</v>
      </c>
      <c r="J42" s="6" t="s">
        <v>764</v>
      </c>
      <c r="K42" s="7">
        <v>6160319</v>
      </c>
      <c r="L42" s="7">
        <v>314281</v>
      </c>
      <c r="M42" s="7">
        <v>19</v>
      </c>
      <c r="N42" s="7">
        <v>1</v>
      </c>
      <c r="O42" s="7">
        <v>10</v>
      </c>
    </row>
    <row r="43" spans="1:15" x14ac:dyDescent="0.25">
      <c r="A43" s="6" t="s">
        <v>14</v>
      </c>
      <c r="B43" s="6" t="s">
        <v>48</v>
      </c>
      <c r="C43" s="7">
        <v>32174</v>
      </c>
      <c r="D43" s="6" t="s">
        <v>42</v>
      </c>
      <c r="E43" s="6" t="s">
        <v>45</v>
      </c>
      <c r="F43" s="6" t="s">
        <v>68</v>
      </c>
      <c r="G43" s="6" t="s">
        <v>32</v>
      </c>
      <c r="H43" s="6" t="s">
        <v>33</v>
      </c>
      <c r="I43" s="6" t="s">
        <v>767</v>
      </c>
      <c r="J43" s="6" t="s">
        <v>764</v>
      </c>
      <c r="K43" s="7">
        <v>6180192</v>
      </c>
      <c r="L43" s="7">
        <v>324603</v>
      </c>
      <c r="M43" s="7">
        <v>19</v>
      </c>
      <c r="N43" s="7">
        <v>3</v>
      </c>
      <c r="O43" s="7">
        <v>24</v>
      </c>
    </row>
    <row r="44" spans="1:15" x14ac:dyDescent="0.25">
      <c r="A44" s="6" t="s">
        <v>22</v>
      </c>
      <c r="B44" s="6" t="s">
        <v>48</v>
      </c>
      <c r="C44" s="7">
        <v>32566</v>
      </c>
      <c r="D44" s="6" t="s">
        <v>24</v>
      </c>
      <c r="E44" s="6" t="s">
        <v>25</v>
      </c>
      <c r="F44" s="6" t="s">
        <v>69</v>
      </c>
      <c r="G44" s="6" t="s">
        <v>50</v>
      </c>
      <c r="H44" s="6" t="s">
        <v>765</v>
      </c>
      <c r="I44" s="6" t="s">
        <v>767</v>
      </c>
      <c r="J44" s="6" t="s">
        <v>767</v>
      </c>
      <c r="K44" s="7">
        <v>6263735</v>
      </c>
      <c r="L44" s="7">
        <v>344583</v>
      </c>
      <c r="M44" s="7">
        <v>19</v>
      </c>
      <c r="N44" s="7">
        <v>1</v>
      </c>
      <c r="O44" s="7">
        <v>1.5</v>
      </c>
    </row>
    <row r="45" spans="1:15" x14ac:dyDescent="0.25">
      <c r="A45" s="6" t="s">
        <v>28</v>
      </c>
      <c r="B45" s="6" t="s">
        <v>48</v>
      </c>
      <c r="C45" s="7">
        <v>32611</v>
      </c>
      <c r="D45" s="6" t="s">
        <v>39</v>
      </c>
      <c r="E45" s="6" t="s">
        <v>70</v>
      </c>
      <c r="F45" s="6" t="s">
        <v>71</v>
      </c>
      <c r="G45" s="6" t="s">
        <v>32</v>
      </c>
      <c r="H45" s="6" t="s">
        <v>33</v>
      </c>
      <c r="I45" s="6" t="s">
        <v>767</v>
      </c>
      <c r="J45" s="6" t="s">
        <v>767</v>
      </c>
      <c r="K45" s="7">
        <v>6075756</v>
      </c>
      <c r="L45" s="7">
        <v>266145</v>
      </c>
      <c r="M45" s="7">
        <v>19</v>
      </c>
      <c r="N45" s="7">
        <v>1</v>
      </c>
      <c r="O45" s="7">
        <v>10.7</v>
      </c>
    </row>
    <row r="46" spans="1:15" x14ac:dyDescent="0.25">
      <c r="A46" s="6" t="s">
        <v>28</v>
      </c>
      <c r="B46" s="6" t="s">
        <v>48</v>
      </c>
      <c r="C46" s="7">
        <v>32612</v>
      </c>
      <c r="D46" s="6" t="s">
        <v>39</v>
      </c>
      <c r="E46" s="6" t="s">
        <v>70</v>
      </c>
      <c r="F46" s="6" t="s">
        <v>71</v>
      </c>
      <c r="G46" s="6" t="s">
        <v>32</v>
      </c>
      <c r="H46" s="6" t="s">
        <v>33</v>
      </c>
      <c r="I46" s="6" t="s">
        <v>767</v>
      </c>
      <c r="J46" s="6" t="s">
        <v>767</v>
      </c>
      <c r="K46" s="7">
        <v>6076517</v>
      </c>
      <c r="L46" s="7">
        <v>266558</v>
      </c>
      <c r="M46" s="7">
        <v>19</v>
      </c>
      <c r="N46" s="7">
        <v>4</v>
      </c>
      <c r="O46" s="7">
        <v>14.9</v>
      </c>
    </row>
    <row r="47" spans="1:15" x14ac:dyDescent="0.25">
      <c r="A47" s="6" t="s">
        <v>28</v>
      </c>
      <c r="B47" s="6" t="s">
        <v>48</v>
      </c>
      <c r="C47" s="7">
        <v>32617</v>
      </c>
      <c r="D47" s="6" t="s">
        <v>39</v>
      </c>
      <c r="E47" s="6" t="s">
        <v>70</v>
      </c>
      <c r="F47" s="6" t="s">
        <v>71</v>
      </c>
      <c r="G47" s="6" t="s">
        <v>32</v>
      </c>
      <c r="H47" s="6" t="s">
        <v>33</v>
      </c>
      <c r="I47" s="6" t="s">
        <v>767</v>
      </c>
      <c r="J47" s="6" t="s">
        <v>767</v>
      </c>
      <c r="K47" s="7">
        <v>6076285</v>
      </c>
      <c r="L47" s="7">
        <v>266997</v>
      </c>
      <c r="M47" s="7">
        <v>19</v>
      </c>
      <c r="N47" s="7">
        <v>3</v>
      </c>
      <c r="O47" s="7">
        <v>10</v>
      </c>
    </row>
    <row r="48" spans="1:15" x14ac:dyDescent="0.25">
      <c r="A48" s="6" t="s">
        <v>14</v>
      </c>
      <c r="B48" s="6" t="s">
        <v>48</v>
      </c>
      <c r="C48" s="7">
        <v>32618</v>
      </c>
      <c r="D48" s="6" t="s">
        <v>39</v>
      </c>
      <c r="E48" s="6" t="s">
        <v>70</v>
      </c>
      <c r="F48" s="6" t="s">
        <v>71</v>
      </c>
      <c r="G48" s="6" t="s">
        <v>32</v>
      </c>
      <c r="H48" s="6" t="s">
        <v>33</v>
      </c>
      <c r="I48" s="6" t="s">
        <v>767</v>
      </c>
      <c r="J48" s="6" t="s">
        <v>767</v>
      </c>
      <c r="K48" s="7">
        <v>6077160</v>
      </c>
      <c r="L48" s="7">
        <v>266722</v>
      </c>
      <c r="M48" s="7">
        <v>19</v>
      </c>
      <c r="N48" s="7">
        <v>1</v>
      </c>
      <c r="O48" s="7">
        <v>2.5</v>
      </c>
    </row>
    <row r="49" spans="1:15" x14ac:dyDescent="0.25">
      <c r="A49" s="6" t="s">
        <v>28</v>
      </c>
      <c r="B49" s="6" t="s">
        <v>48</v>
      </c>
      <c r="C49" s="7">
        <v>32619</v>
      </c>
      <c r="D49" s="6" t="s">
        <v>39</v>
      </c>
      <c r="E49" s="6" t="s">
        <v>72</v>
      </c>
      <c r="F49" s="6" t="s">
        <v>73</v>
      </c>
      <c r="G49" s="6" t="s">
        <v>32</v>
      </c>
      <c r="H49" s="6" t="s">
        <v>33</v>
      </c>
      <c r="I49" s="6" t="s">
        <v>767</v>
      </c>
      <c r="J49" s="6" t="s">
        <v>767</v>
      </c>
      <c r="K49" s="7">
        <v>6071665</v>
      </c>
      <c r="L49" s="7">
        <v>285710</v>
      </c>
      <c r="M49" s="7">
        <v>19</v>
      </c>
      <c r="N49" s="7">
        <v>1</v>
      </c>
      <c r="O49" s="7">
        <v>10</v>
      </c>
    </row>
    <row r="50" spans="1:15" x14ac:dyDescent="0.25">
      <c r="A50" s="6" t="s">
        <v>28</v>
      </c>
      <c r="B50" s="6" t="s">
        <v>48</v>
      </c>
      <c r="C50" s="7">
        <v>32620</v>
      </c>
      <c r="D50" s="6" t="s">
        <v>39</v>
      </c>
      <c r="E50" s="6" t="s">
        <v>72</v>
      </c>
      <c r="F50" s="6" t="s">
        <v>74</v>
      </c>
      <c r="G50" s="6" t="s">
        <v>32</v>
      </c>
      <c r="H50" s="6" t="s">
        <v>33</v>
      </c>
      <c r="I50" s="6" t="s">
        <v>767</v>
      </c>
      <c r="J50" s="6" t="s">
        <v>764</v>
      </c>
      <c r="K50" s="7">
        <v>6062380</v>
      </c>
      <c r="L50" s="7">
        <v>274494</v>
      </c>
      <c r="M50" s="7">
        <v>19</v>
      </c>
      <c r="N50" s="7">
        <v>2</v>
      </c>
      <c r="O50" s="7">
        <v>14.5</v>
      </c>
    </row>
    <row r="51" spans="1:15" x14ac:dyDescent="0.25">
      <c r="A51" s="6" t="s">
        <v>28</v>
      </c>
      <c r="B51" s="6" t="s">
        <v>48</v>
      </c>
      <c r="C51" s="7">
        <v>32621</v>
      </c>
      <c r="D51" s="6" t="s">
        <v>39</v>
      </c>
      <c r="E51" s="6" t="s">
        <v>72</v>
      </c>
      <c r="F51" s="6" t="s">
        <v>74</v>
      </c>
      <c r="G51" s="6" t="s">
        <v>32</v>
      </c>
      <c r="H51" s="6" t="s">
        <v>33</v>
      </c>
      <c r="I51" s="6" t="s">
        <v>767</v>
      </c>
      <c r="J51" s="6" t="s">
        <v>764</v>
      </c>
      <c r="K51" s="7">
        <v>6062818</v>
      </c>
      <c r="L51" s="7">
        <v>274473</v>
      </c>
      <c r="M51" s="7">
        <v>19</v>
      </c>
      <c r="N51" s="7">
        <v>3</v>
      </c>
      <c r="O51" s="7">
        <v>4.5</v>
      </c>
    </row>
    <row r="52" spans="1:15" x14ac:dyDescent="0.25">
      <c r="A52" s="6" t="s">
        <v>28</v>
      </c>
      <c r="B52" s="6" t="s">
        <v>48</v>
      </c>
      <c r="C52" s="7">
        <v>32622</v>
      </c>
      <c r="D52" s="6" t="s">
        <v>39</v>
      </c>
      <c r="E52" s="6" t="s">
        <v>72</v>
      </c>
      <c r="F52" s="6" t="s">
        <v>74</v>
      </c>
      <c r="G52" s="6" t="s">
        <v>32</v>
      </c>
      <c r="H52" s="6" t="s">
        <v>33</v>
      </c>
      <c r="I52" s="6" t="s">
        <v>767</v>
      </c>
      <c r="J52" s="6" t="s">
        <v>764</v>
      </c>
      <c r="K52" s="7">
        <v>6063014</v>
      </c>
      <c r="L52" s="7">
        <v>274240</v>
      </c>
      <c r="M52" s="7">
        <v>19</v>
      </c>
      <c r="N52" s="7">
        <v>2</v>
      </c>
      <c r="O52" s="7">
        <v>4</v>
      </c>
    </row>
    <row r="53" spans="1:15" x14ac:dyDescent="0.25">
      <c r="A53" s="6" t="s">
        <v>14</v>
      </c>
      <c r="B53" s="6" t="s">
        <v>48</v>
      </c>
      <c r="C53" s="7">
        <v>32623</v>
      </c>
      <c r="D53" s="6" t="s">
        <v>39</v>
      </c>
      <c r="E53" s="6" t="s">
        <v>72</v>
      </c>
      <c r="F53" s="6" t="s">
        <v>75</v>
      </c>
      <c r="G53" s="6" t="s">
        <v>32</v>
      </c>
      <c r="H53" s="6" t="s">
        <v>33</v>
      </c>
      <c r="I53" s="6" t="s">
        <v>767</v>
      </c>
      <c r="J53" s="6" t="s">
        <v>767</v>
      </c>
      <c r="K53" s="7">
        <v>6062876</v>
      </c>
      <c r="L53" s="7">
        <v>273416</v>
      </c>
      <c r="M53" s="7">
        <v>19</v>
      </c>
      <c r="N53" s="7">
        <v>4</v>
      </c>
      <c r="O53" s="7">
        <v>30</v>
      </c>
    </row>
    <row r="54" spans="1:15" x14ac:dyDescent="0.25">
      <c r="A54" s="6" t="s">
        <v>28</v>
      </c>
      <c r="B54" s="6" t="s">
        <v>48</v>
      </c>
      <c r="C54" s="7">
        <v>32624</v>
      </c>
      <c r="D54" s="6" t="s">
        <v>39</v>
      </c>
      <c r="E54" s="6" t="s">
        <v>72</v>
      </c>
      <c r="F54" s="6" t="s">
        <v>76</v>
      </c>
      <c r="G54" s="6" t="s">
        <v>32</v>
      </c>
      <c r="H54" s="6" t="s">
        <v>33</v>
      </c>
      <c r="I54" s="6" t="s">
        <v>767</v>
      </c>
      <c r="J54" s="6" t="s">
        <v>767</v>
      </c>
      <c r="K54" s="7">
        <v>6065458</v>
      </c>
      <c r="L54" s="7">
        <v>265847</v>
      </c>
      <c r="M54" s="7">
        <v>19</v>
      </c>
      <c r="N54" s="7">
        <v>10</v>
      </c>
      <c r="O54" s="7">
        <v>33.5</v>
      </c>
    </row>
    <row r="55" spans="1:15" x14ac:dyDescent="0.25">
      <c r="A55" s="6" t="s">
        <v>28</v>
      </c>
      <c r="B55" s="6" t="s">
        <v>48</v>
      </c>
      <c r="C55" s="7">
        <v>32625</v>
      </c>
      <c r="D55" s="6" t="s">
        <v>39</v>
      </c>
      <c r="E55" s="6" t="s">
        <v>70</v>
      </c>
      <c r="F55" s="6" t="s">
        <v>77</v>
      </c>
      <c r="G55" s="6" t="s">
        <v>32</v>
      </c>
      <c r="H55" s="6" t="s">
        <v>33</v>
      </c>
      <c r="I55" s="6" t="s">
        <v>767</v>
      </c>
      <c r="J55" s="6" t="s">
        <v>767</v>
      </c>
      <c r="K55" s="7">
        <v>6075397</v>
      </c>
      <c r="L55" s="7">
        <v>267920</v>
      </c>
      <c r="M55" s="7">
        <v>19</v>
      </c>
      <c r="N55" s="7">
        <v>4</v>
      </c>
      <c r="O55" s="7">
        <v>25</v>
      </c>
    </row>
    <row r="56" spans="1:15" x14ac:dyDescent="0.25">
      <c r="A56" s="6" t="s">
        <v>14</v>
      </c>
      <c r="B56" s="6" t="s">
        <v>48</v>
      </c>
      <c r="C56" s="7">
        <v>32626</v>
      </c>
      <c r="D56" s="6" t="s">
        <v>39</v>
      </c>
      <c r="E56" s="6" t="s">
        <v>40</v>
      </c>
      <c r="F56" s="6" t="s">
        <v>78</v>
      </c>
      <c r="G56" s="6" t="s">
        <v>32</v>
      </c>
      <c r="H56" s="6" t="s">
        <v>33</v>
      </c>
      <c r="I56" s="6" t="s">
        <v>767</v>
      </c>
      <c r="J56" s="6" t="s">
        <v>767</v>
      </c>
      <c r="K56" s="7">
        <v>6115292</v>
      </c>
      <c r="L56" s="7">
        <v>309553</v>
      </c>
      <c r="M56" s="7">
        <v>19</v>
      </c>
      <c r="N56" s="7">
        <v>3</v>
      </c>
      <c r="O56" s="7">
        <v>12</v>
      </c>
    </row>
    <row r="57" spans="1:15" x14ac:dyDescent="0.25">
      <c r="A57" s="6" t="s">
        <v>14</v>
      </c>
      <c r="B57" s="6" t="s">
        <v>48</v>
      </c>
      <c r="C57" s="7">
        <v>32627</v>
      </c>
      <c r="D57" s="6" t="s">
        <v>39</v>
      </c>
      <c r="E57" s="6" t="s">
        <v>53</v>
      </c>
      <c r="F57" s="6" t="s">
        <v>79</v>
      </c>
      <c r="G57" s="6" t="s">
        <v>32</v>
      </c>
      <c r="H57" s="6" t="s">
        <v>33</v>
      </c>
      <c r="I57" s="6" t="s">
        <v>767</v>
      </c>
      <c r="J57" s="6" t="s">
        <v>764</v>
      </c>
      <c r="K57" s="7">
        <v>6140392</v>
      </c>
      <c r="L57" s="7">
        <v>322463</v>
      </c>
      <c r="M57" s="7">
        <v>19</v>
      </c>
      <c r="N57" s="7">
        <v>1</v>
      </c>
      <c r="O57" s="7">
        <v>10</v>
      </c>
    </row>
    <row r="58" spans="1:15" x14ac:dyDescent="0.25">
      <c r="A58" s="6" t="s">
        <v>28</v>
      </c>
      <c r="B58" s="6" t="s">
        <v>48</v>
      </c>
      <c r="C58" s="7">
        <v>32629</v>
      </c>
      <c r="D58" s="6" t="s">
        <v>39</v>
      </c>
      <c r="E58" s="6" t="s">
        <v>80</v>
      </c>
      <c r="F58" s="6" t="s">
        <v>81</v>
      </c>
      <c r="G58" s="6" t="s">
        <v>32</v>
      </c>
      <c r="H58" s="6" t="s">
        <v>33</v>
      </c>
      <c r="I58" s="6" t="s">
        <v>767</v>
      </c>
      <c r="J58" s="6" t="s">
        <v>767</v>
      </c>
      <c r="K58" s="7">
        <v>6080780</v>
      </c>
      <c r="L58" s="7">
        <v>268308</v>
      </c>
      <c r="M58" s="7">
        <v>19</v>
      </c>
      <c r="N58" s="7">
        <v>3</v>
      </c>
      <c r="O58" s="7">
        <v>22</v>
      </c>
    </row>
    <row r="59" spans="1:15" x14ac:dyDescent="0.25">
      <c r="A59" s="6" t="s">
        <v>28</v>
      </c>
      <c r="B59" s="6" t="s">
        <v>48</v>
      </c>
      <c r="C59" s="7">
        <v>32630</v>
      </c>
      <c r="D59" s="6" t="s">
        <v>39</v>
      </c>
      <c r="E59" s="6" t="s">
        <v>40</v>
      </c>
      <c r="F59" s="6" t="s">
        <v>82</v>
      </c>
      <c r="G59" s="6" t="s">
        <v>32</v>
      </c>
      <c r="H59" s="6" t="s">
        <v>33</v>
      </c>
      <c r="I59" s="6" t="s">
        <v>767</v>
      </c>
      <c r="J59" s="6" t="s">
        <v>767</v>
      </c>
      <c r="K59" s="7">
        <v>6097132</v>
      </c>
      <c r="L59" s="7">
        <v>309943</v>
      </c>
      <c r="M59" s="7">
        <v>19</v>
      </c>
      <c r="N59" s="7">
        <v>2</v>
      </c>
      <c r="O59" s="7">
        <v>20</v>
      </c>
    </row>
    <row r="60" spans="1:15" x14ac:dyDescent="0.25">
      <c r="A60" s="6" t="s">
        <v>14</v>
      </c>
      <c r="B60" s="6" t="s">
        <v>48</v>
      </c>
      <c r="C60" s="7">
        <v>32843</v>
      </c>
      <c r="D60" s="6" t="s">
        <v>39</v>
      </c>
      <c r="E60" s="6" t="s">
        <v>70</v>
      </c>
      <c r="F60" s="6" t="s">
        <v>83</v>
      </c>
      <c r="G60" s="6" t="s">
        <v>32</v>
      </c>
      <c r="H60" s="6" t="s">
        <v>33</v>
      </c>
      <c r="I60" s="6" t="s">
        <v>767</v>
      </c>
      <c r="J60" s="6" t="s">
        <v>764</v>
      </c>
      <c r="K60" s="7">
        <v>6086721</v>
      </c>
      <c r="L60" s="7">
        <v>280069</v>
      </c>
      <c r="M60" s="7">
        <v>19</v>
      </c>
      <c r="N60" s="7">
        <v>1</v>
      </c>
      <c r="O60" s="7">
        <v>38</v>
      </c>
    </row>
    <row r="61" spans="1:15" x14ac:dyDescent="0.25">
      <c r="A61" s="6" t="s">
        <v>14</v>
      </c>
      <c r="B61" s="6" t="s">
        <v>48</v>
      </c>
      <c r="C61" s="7">
        <v>32845</v>
      </c>
      <c r="D61" s="6" t="s">
        <v>39</v>
      </c>
      <c r="E61" s="6" t="s">
        <v>70</v>
      </c>
      <c r="F61" s="6" t="s">
        <v>83</v>
      </c>
      <c r="G61" s="6" t="s">
        <v>32</v>
      </c>
      <c r="H61" s="6" t="s">
        <v>33</v>
      </c>
      <c r="I61" s="6" t="s">
        <v>767</v>
      </c>
      <c r="J61" s="6" t="s">
        <v>767</v>
      </c>
      <c r="K61" s="7">
        <v>6087270</v>
      </c>
      <c r="L61" s="7">
        <v>280369</v>
      </c>
      <c r="M61" s="7">
        <v>19</v>
      </c>
      <c r="N61" s="7">
        <v>1</v>
      </c>
      <c r="O61" s="7">
        <v>40</v>
      </c>
    </row>
    <row r="62" spans="1:15" x14ac:dyDescent="0.25">
      <c r="A62" s="6" t="s">
        <v>28</v>
      </c>
      <c r="B62" s="6" t="s">
        <v>48</v>
      </c>
      <c r="C62" s="7">
        <v>32846</v>
      </c>
      <c r="D62" s="6" t="s">
        <v>39</v>
      </c>
      <c r="E62" s="6" t="s">
        <v>72</v>
      </c>
      <c r="F62" s="6" t="s">
        <v>75</v>
      </c>
      <c r="G62" s="6" t="s">
        <v>32</v>
      </c>
      <c r="H62" s="6" t="s">
        <v>33</v>
      </c>
      <c r="I62" s="6" t="s">
        <v>767</v>
      </c>
      <c r="J62" s="6" t="s">
        <v>764</v>
      </c>
      <c r="K62" s="7">
        <v>6063372</v>
      </c>
      <c r="L62" s="7">
        <v>274315</v>
      </c>
      <c r="M62" s="7">
        <v>19</v>
      </c>
      <c r="N62" s="7">
        <v>4</v>
      </c>
      <c r="O62" s="7">
        <v>30</v>
      </c>
    </row>
    <row r="63" spans="1:15" x14ac:dyDescent="0.25">
      <c r="A63" s="6" t="s">
        <v>28</v>
      </c>
      <c r="B63" s="6" t="s">
        <v>48</v>
      </c>
      <c r="C63" s="7">
        <v>32847</v>
      </c>
      <c r="D63" s="6" t="s">
        <v>39</v>
      </c>
      <c r="E63" s="6" t="s">
        <v>72</v>
      </c>
      <c r="F63" s="6" t="s">
        <v>73</v>
      </c>
      <c r="G63" s="6" t="s">
        <v>32</v>
      </c>
      <c r="H63" s="6" t="s">
        <v>33</v>
      </c>
      <c r="I63" s="6" t="s">
        <v>767</v>
      </c>
      <c r="J63" s="6" t="s">
        <v>764</v>
      </c>
      <c r="K63" s="7">
        <v>6072075</v>
      </c>
      <c r="L63" s="7">
        <v>286661</v>
      </c>
      <c r="M63" s="7">
        <v>19</v>
      </c>
      <c r="N63" s="7">
        <v>3</v>
      </c>
      <c r="O63" s="7">
        <v>8</v>
      </c>
    </row>
    <row r="64" spans="1:15" x14ac:dyDescent="0.25">
      <c r="A64" s="6" t="s">
        <v>14</v>
      </c>
      <c r="B64" s="6" t="s">
        <v>48</v>
      </c>
      <c r="C64" s="7">
        <v>32848</v>
      </c>
      <c r="D64" s="6" t="s">
        <v>39</v>
      </c>
      <c r="E64" s="6" t="s">
        <v>72</v>
      </c>
      <c r="F64" s="6" t="s">
        <v>84</v>
      </c>
      <c r="G64" s="6" t="s">
        <v>32</v>
      </c>
      <c r="H64" s="6" t="s">
        <v>33</v>
      </c>
      <c r="I64" s="6" t="s">
        <v>767</v>
      </c>
      <c r="J64" s="6" t="s">
        <v>764</v>
      </c>
      <c r="K64" s="7">
        <v>6058333</v>
      </c>
      <c r="L64" s="7">
        <v>285748</v>
      </c>
      <c r="M64" s="7">
        <v>19</v>
      </c>
      <c r="N64" s="7">
        <v>2</v>
      </c>
      <c r="O64" s="7">
        <v>7</v>
      </c>
    </row>
    <row r="65" spans="1:15" x14ac:dyDescent="0.25">
      <c r="A65" s="6" t="s">
        <v>14</v>
      </c>
      <c r="B65" s="6" t="s">
        <v>48</v>
      </c>
      <c r="C65" s="7">
        <v>32850</v>
      </c>
      <c r="D65" s="6" t="s">
        <v>42</v>
      </c>
      <c r="E65" s="6" t="s">
        <v>51</v>
      </c>
      <c r="F65" s="6" t="s">
        <v>85</v>
      </c>
      <c r="G65" s="6" t="s">
        <v>32</v>
      </c>
      <c r="H65" s="6" t="s">
        <v>33</v>
      </c>
      <c r="I65" s="6" t="s">
        <v>767</v>
      </c>
      <c r="J65" s="6" t="s">
        <v>767</v>
      </c>
      <c r="K65" s="7">
        <v>6149234</v>
      </c>
      <c r="L65" s="7">
        <v>317453</v>
      </c>
      <c r="M65" s="7">
        <v>19</v>
      </c>
      <c r="N65" s="7">
        <v>2</v>
      </c>
      <c r="O65" s="7">
        <v>15</v>
      </c>
    </row>
    <row r="66" spans="1:15" x14ac:dyDescent="0.25">
      <c r="A66" s="6" t="s">
        <v>28</v>
      </c>
      <c r="B66" s="6" t="s">
        <v>48</v>
      </c>
      <c r="C66" s="7">
        <v>32851</v>
      </c>
      <c r="D66" s="6" t="s">
        <v>39</v>
      </c>
      <c r="E66" s="6" t="s">
        <v>40</v>
      </c>
      <c r="F66" s="6" t="s">
        <v>86</v>
      </c>
      <c r="G66" s="6" t="s">
        <v>32</v>
      </c>
      <c r="H66" s="6" t="s">
        <v>33</v>
      </c>
      <c r="I66" s="6" t="s">
        <v>767</v>
      </c>
      <c r="J66" s="6" t="s">
        <v>767</v>
      </c>
      <c r="K66" s="7">
        <v>6118435</v>
      </c>
      <c r="L66" s="7">
        <v>305415</v>
      </c>
      <c r="M66" s="7">
        <v>19</v>
      </c>
      <c r="N66" s="7">
        <v>2</v>
      </c>
      <c r="O66" s="7">
        <v>20</v>
      </c>
    </row>
    <row r="67" spans="1:15" x14ac:dyDescent="0.25">
      <c r="A67" s="6" t="s">
        <v>28</v>
      </c>
      <c r="B67" s="6" t="s">
        <v>48</v>
      </c>
      <c r="C67" s="7">
        <v>32854</v>
      </c>
      <c r="D67" s="6" t="s">
        <v>42</v>
      </c>
      <c r="E67" s="6" t="s">
        <v>51</v>
      </c>
      <c r="F67" s="6" t="s">
        <v>52</v>
      </c>
      <c r="G67" s="6" t="s">
        <v>32</v>
      </c>
      <c r="H67" s="6" t="s">
        <v>33</v>
      </c>
      <c r="I67" s="6" t="s">
        <v>767</v>
      </c>
      <c r="J67" s="6" t="s">
        <v>767</v>
      </c>
      <c r="K67" s="7">
        <v>6151120</v>
      </c>
      <c r="L67" s="7">
        <v>316080</v>
      </c>
      <c r="M67" s="7">
        <v>19</v>
      </c>
      <c r="N67" s="7">
        <v>1</v>
      </c>
      <c r="O67" s="7">
        <v>6</v>
      </c>
    </row>
    <row r="68" spans="1:15" x14ac:dyDescent="0.25">
      <c r="A68" s="6" t="s">
        <v>14</v>
      </c>
      <c r="B68" s="6" t="s">
        <v>48</v>
      </c>
      <c r="C68" s="7">
        <v>32872</v>
      </c>
      <c r="D68" s="6" t="s">
        <v>42</v>
      </c>
      <c r="E68" s="6" t="s">
        <v>51</v>
      </c>
      <c r="F68" s="6" t="s">
        <v>66</v>
      </c>
      <c r="G68" s="6" t="s">
        <v>32</v>
      </c>
      <c r="H68" s="6" t="s">
        <v>33</v>
      </c>
      <c r="I68" s="6" t="s">
        <v>767</v>
      </c>
      <c r="J68" s="6" t="s">
        <v>767</v>
      </c>
      <c r="K68" s="7">
        <v>6148785</v>
      </c>
      <c r="L68" s="7">
        <v>320727</v>
      </c>
      <c r="M68" s="7">
        <v>19</v>
      </c>
      <c r="N68" s="7">
        <v>1</v>
      </c>
      <c r="O68" s="7">
        <v>20</v>
      </c>
    </row>
    <row r="69" spans="1:15" x14ac:dyDescent="0.25">
      <c r="A69" s="6" t="s">
        <v>28</v>
      </c>
      <c r="B69" s="6" t="s">
        <v>48</v>
      </c>
      <c r="C69" s="7">
        <v>32875</v>
      </c>
      <c r="D69" s="6" t="s">
        <v>39</v>
      </c>
      <c r="E69" s="6" t="s">
        <v>87</v>
      </c>
      <c r="F69" s="6" t="s">
        <v>88</v>
      </c>
      <c r="G69" s="6" t="s">
        <v>32</v>
      </c>
      <c r="H69" s="6" t="s">
        <v>33</v>
      </c>
      <c r="I69" s="6" t="s">
        <v>767</v>
      </c>
      <c r="J69" s="6" t="s">
        <v>764</v>
      </c>
      <c r="K69" s="7">
        <v>6098871</v>
      </c>
      <c r="L69" s="7">
        <v>293771</v>
      </c>
      <c r="M69" s="7">
        <v>19</v>
      </c>
      <c r="N69" s="7">
        <v>1</v>
      </c>
      <c r="O69" s="7">
        <v>15</v>
      </c>
    </row>
    <row r="70" spans="1:15" x14ac:dyDescent="0.25">
      <c r="A70" s="6" t="s">
        <v>14</v>
      </c>
      <c r="B70" s="6" t="s">
        <v>48</v>
      </c>
      <c r="C70" s="7">
        <v>32877</v>
      </c>
      <c r="D70" s="6" t="s">
        <v>39</v>
      </c>
      <c r="E70" s="6" t="s">
        <v>87</v>
      </c>
      <c r="F70" s="6" t="s">
        <v>88</v>
      </c>
      <c r="G70" s="6" t="s">
        <v>32</v>
      </c>
      <c r="H70" s="6" t="s">
        <v>33</v>
      </c>
      <c r="I70" s="6" t="s">
        <v>767</v>
      </c>
      <c r="J70" s="6" t="s">
        <v>767</v>
      </c>
      <c r="K70" s="7">
        <v>6098282</v>
      </c>
      <c r="L70" s="7">
        <v>293039</v>
      </c>
      <c r="M70" s="7">
        <v>19</v>
      </c>
      <c r="N70" s="7">
        <v>1</v>
      </c>
      <c r="O70" s="7">
        <v>10</v>
      </c>
    </row>
    <row r="71" spans="1:15" x14ac:dyDescent="0.25">
      <c r="A71" s="6" t="s">
        <v>14</v>
      </c>
      <c r="B71" s="6" t="s">
        <v>48</v>
      </c>
      <c r="C71" s="7">
        <v>32878</v>
      </c>
      <c r="D71" s="6" t="s">
        <v>39</v>
      </c>
      <c r="E71" s="6" t="s">
        <v>87</v>
      </c>
      <c r="F71" s="6" t="s">
        <v>88</v>
      </c>
      <c r="G71" s="6" t="s">
        <v>32</v>
      </c>
      <c r="H71" s="6" t="s">
        <v>33</v>
      </c>
      <c r="I71" s="6" t="s">
        <v>767</v>
      </c>
      <c r="J71" s="6" t="s">
        <v>767</v>
      </c>
      <c r="K71" s="7">
        <v>6097655</v>
      </c>
      <c r="L71" s="7">
        <v>292576</v>
      </c>
      <c r="M71" s="7">
        <v>19</v>
      </c>
      <c r="N71" s="7">
        <v>1</v>
      </c>
      <c r="O71" s="7">
        <v>20</v>
      </c>
    </row>
    <row r="72" spans="1:15" x14ac:dyDescent="0.25">
      <c r="A72" s="6" t="s">
        <v>28</v>
      </c>
      <c r="B72" s="6" t="s">
        <v>48</v>
      </c>
      <c r="C72" s="7">
        <v>32879</v>
      </c>
      <c r="D72" s="6" t="s">
        <v>39</v>
      </c>
      <c r="E72" s="6" t="s">
        <v>87</v>
      </c>
      <c r="F72" s="6" t="s">
        <v>88</v>
      </c>
      <c r="G72" s="6" t="s">
        <v>32</v>
      </c>
      <c r="H72" s="6" t="s">
        <v>33</v>
      </c>
      <c r="I72" s="6" t="s">
        <v>767</v>
      </c>
      <c r="J72" s="6" t="s">
        <v>764</v>
      </c>
      <c r="K72" s="7">
        <v>6098931</v>
      </c>
      <c r="L72" s="7">
        <v>293447</v>
      </c>
      <c r="M72" s="7">
        <v>19</v>
      </c>
      <c r="N72" s="7">
        <v>1</v>
      </c>
      <c r="O72" s="7">
        <v>25</v>
      </c>
    </row>
    <row r="73" spans="1:15" x14ac:dyDescent="0.25">
      <c r="A73" s="6" t="s">
        <v>22</v>
      </c>
      <c r="B73" s="6" t="s">
        <v>48</v>
      </c>
      <c r="C73" s="7">
        <v>33238</v>
      </c>
      <c r="D73" s="6" t="s">
        <v>24</v>
      </c>
      <c r="E73" s="6" t="s">
        <v>25</v>
      </c>
      <c r="F73" s="6" t="s">
        <v>69</v>
      </c>
      <c r="G73" s="6" t="s">
        <v>89</v>
      </c>
      <c r="H73" s="6" t="s">
        <v>765</v>
      </c>
      <c r="I73" s="6" t="s">
        <v>767</v>
      </c>
      <c r="J73" s="6" t="s">
        <v>767</v>
      </c>
      <c r="K73" s="7">
        <v>6264292</v>
      </c>
      <c r="L73" s="7">
        <v>344188</v>
      </c>
      <c r="M73" s="7">
        <v>19</v>
      </c>
      <c r="N73" s="7">
        <v>1</v>
      </c>
      <c r="O73" s="7">
        <v>0.34</v>
      </c>
    </row>
    <row r="74" spans="1:15" x14ac:dyDescent="0.25">
      <c r="A74" s="6" t="s">
        <v>28</v>
      </c>
      <c r="B74" s="6" t="s">
        <v>48</v>
      </c>
      <c r="C74" s="7">
        <v>33378</v>
      </c>
      <c r="D74" s="6" t="s">
        <v>39</v>
      </c>
      <c r="E74" s="6" t="s">
        <v>70</v>
      </c>
      <c r="F74" s="6" t="s">
        <v>71</v>
      </c>
      <c r="G74" s="6" t="s">
        <v>32</v>
      </c>
      <c r="H74" s="6" t="s">
        <v>33</v>
      </c>
      <c r="I74" s="6" t="s">
        <v>767</v>
      </c>
      <c r="J74" s="6" t="s">
        <v>767</v>
      </c>
      <c r="K74" s="7">
        <v>6076609</v>
      </c>
      <c r="L74" s="7">
        <v>267693</v>
      </c>
      <c r="M74" s="7">
        <v>19</v>
      </c>
      <c r="N74" s="7">
        <v>2</v>
      </c>
      <c r="O74" s="7">
        <v>19</v>
      </c>
    </row>
    <row r="75" spans="1:15" x14ac:dyDescent="0.25">
      <c r="A75" s="6" t="s">
        <v>28</v>
      </c>
      <c r="B75" s="6" t="s">
        <v>48</v>
      </c>
      <c r="C75" s="7">
        <v>33379</v>
      </c>
      <c r="D75" s="6" t="s">
        <v>39</v>
      </c>
      <c r="E75" s="6" t="s">
        <v>72</v>
      </c>
      <c r="F75" s="6" t="s">
        <v>73</v>
      </c>
      <c r="G75" s="6" t="s">
        <v>32</v>
      </c>
      <c r="H75" s="6" t="s">
        <v>33</v>
      </c>
      <c r="I75" s="6" t="s">
        <v>767</v>
      </c>
      <c r="J75" s="6" t="s">
        <v>767</v>
      </c>
      <c r="K75" s="7">
        <v>6071377</v>
      </c>
      <c r="L75" s="7">
        <v>286557</v>
      </c>
      <c r="M75" s="7">
        <v>19</v>
      </c>
      <c r="N75" s="7">
        <v>4</v>
      </c>
      <c r="O75" s="7">
        <v>28</v>
      </c>
    </row>
    <row r="76" spans="1:15" x14ac:dyDescent="0.25">
      <c r="A76" s="6" t="s">
        <v>28</v>
      </c>
      <c r="B76" s="6" t="s">
        <v>48</v>
      </c>
      <c r="C76" s="7">
        <v>33380</v>
      </c>
      <c r="D76" s="6" t="s">
        <v>39</v>
      </c>
      <c r="E76" s="6" t="s">
        <v>72</v>
      </c>
      <c r="F76" s="6" t="s">
        <v>73</v>
      </c>
      <c r="G76" s="6" t="s">
        <v>32</v>
      </c>
      <c r="H76" s="6" t="s">
        <v>33</v>
      </c>
      <c r="I76" s="6" t="s">
        <v>767</v>
      </c>
      <c r="J76" s="6" t="s">
        <v>767</v>
      </c>
      <c r="K76" s="7">
        <v>6071001</v>
      </c>
      <c r="L76" s="7">
        <v>289262</v>
      </c>
      <c r="M76" s="7">
        <v>19</v>
      </c>
      <c r="N76" s="7">
        <v>6</v>
      </c>
      <c r="O76" s="7">
        <v>26</v>
      </c>
    </row>
    <row r="77" spans="1:15" x14ac:dyDescent="0.25">
      <c r="A77" s="6" t="s">
        <v>14</v>
      </c>
      <c r="B77" s="6" t="s">
        <v>48</v>
      </c>
      <c r="C77" s="7">
        <v>33381</v>
      </c>
      <c r="D77" s="6" t="s">
        <v>39</v>
      </c>
      <c r="E77" s="6" t="s">
        <v>70</v>
      </c>
      <c r="F77" s="6" t="s">
        <v>83</v>
      </c>
      <c r="G77" s="6" t="s">
        <v>32</v>
      </c>
      <c r="H77" s="6" t="s">
        <v>33</v>
      </c>
      <c r="I77" s="6" t="s">
        <v>767</v>
      </c>
      <c r="J77" s="6" t="s">
        <v>767</v>
      </c>
      <c r="K77" s="7">
        <v>6087700</v>
      </c>
      <c r="L77" s="7">
        <v>280450</v>
      </c>
      <c r="M77" s="7">
        <v>19</v>
      </c>
      <c r="N77" s="7">
        <v>1</v>
      </c>
      <c r="O77" s="7">
        <v>27</v>
      </c>
    </row>
    <row r="78" spans="1:15" x14ac:dyDescent="0.25">
      <c r="A78" s="6" t="s">
        <v>14</v>
      </c>
      <c r="B78" s="6" t="s">
        <v>48</v>
      </c>
      <c r="C78" s="7">
        <v>33382</v>
      </c>
      <c r="D78" s="6" t="s">
        <v>39</v>
      </c>
      <c r="E78" s="6" t="s">
        <v>80</v>
      </c>
      <c r="F78" s="6" t="s">
        <v>90</v>
      </c>
      <c r="G78" s="6" t="s">
        <v>32</v>
      </c>
      <c r="H78" s="6" t="s">
        <v>33</v>
      </c>
      <c r="I78" s="6" t="s">
        <v>767</v>
      </c>
      <c r="J78" s="6" t="s">
        <v>767</v>
      </c>
      <c r="K78" s="7">
        <v>6080239</v>
      </c>
      <c r="L78" s="7">
        <v>272400</v>
      </c>
      <c r="M78" s="7">
        <v>19</v>
      </c>
      <c r="N78" s="7">
        <v>2</v>
      </c>
      <c r="O78" s="7">
        <v>31</v>
      </c>
    </row>
    <row r="79" spans="1:15" x14ac:dyDescent="0.25">
      <c r="A79" s="6" t="s">
        <v>14</v>
      </c>
      <c r="B79" s="6" t="s">
        <v>48</v>
      </c>
      <c r="C79" s="7">
        <v>33383</v>
      </c>
      <c r="D79" s="6" t="s">
        <v>39</v>
      </c>
      <c r="E79" s="6" t="s">
        <v>72</v>
      </c>
      <c r="F79" s="6" t="s">
        <v>91</v>
      </c>
      <c r="G79" s="6" t="s">
        <v>32</v>
      </c>
      <c r="H79" s="6" t="s">
        <v>33</v>
      </c>
      <c r="I79" s="6" t="s">
        <v>767</v>
      </c>
      <c r="J79" s="6" t="s">
        <v>767</v>
      </c>
      <c r="K79" s="7">
        <v>6062492</v>
      </c>
      <c r="L79" s="7">
        <v>279213</v>
      </c>
      <c r="M79" s="7">
        <v>19</v>
      </c>
      <c r="N79" s="7">
        <v>1</v>
      </c>
      <c r="O79" s="7">
        <v>8.5</v>
      </c>
    </row>
    <row r="80" spans="1:15" x14ac:dyDescent="0.25">
      <c r="A80" s="6" t="s">
        <v>28</v>
      </c>
      <c r="B80" s="6" t="s">
        <v>48</v>
      </c>
      <c r="C80" s="7">
        <v>33384</v>
      </c>
      <c r="D80" s="6" t="s">
        <v>39</v>
      </c>
      <c r="E80" s="6" t="s">
        <v>70</v>
      </c>
      <c r="F80" s="6" t="s">
        <v>92</v>
      </c>
      <c r="G80" s="6" t="s">
        <v>32</v>
      </c>
      <c r="H80" s="6" t="s">
        <v>33</v>
      </c>
      <c r="I80" s="6" t="s">
        <v>767</v>
      </c>
      <c r="J80" s="6" t="s">
        <v>767</v>
      </c>
      <c r="K80" s="7">
        <v>6076862</v>
      </c>
      <c r="L80" s="7">
        <v>271506</v>
      </c>
      <c r="M80" s="7">
        <v>19</v>
      </c>
      <c r="N80" s="7">
        <v>1</v>
      </c>
      <c r="O80" s="7">
        <v>2.5</v>
      </c>
    </row>
    <row r="81" spans="1:15" x14ac:dyDescent="0.25">
      <c r="A81" s="6" t="s">
        <v>28</v>
      </c>
      <c r="B81" s="6" t="s">
        <v>48</v>
      </c>
      <c r="C81" s="7">
        <v>33385</v>
      </c>
      <c r="D81" s="6" t="s">
        <v>39</v>
      </c>
      <c r="E81" s="6" t="s">
        <v>70</v>
      </c>
      <c r="F81" s="6" t="s">
        <v>71</v>
      </c>
      <c r="G81" s="6" t="s">
        <v>32</v>
      </c>
      <c r="H81" s="6" t="s">
        <v>33</v>
      </c>
      <c r="I81" s="6" t="s">
        <v>767</v>
      </c>
      <c r="J81" s="6" t="s">
        <v>767</v>
      </c>
      <c r="K81" s="7">
        <v>6075480</v>
      </c>
      <c r="L81" s="7">
        <v>268475</v>
      </c>
      <c r="M81" s="7">
        <v>19</v>
      </c>
      <c r="N81" s="7">
        <v>5</v>
      </c>
      <c r="O81" s="7">
        <v>10</v>
      </c>
    </row>
    <row r="82" spans="1:15" x14ac:dyDescent="0.25">
      <c r="A82" s="6" t="s">
        <v>28</v>
      </c>
      <c r="B82" s="6" t="s">
        <v>48</v>
      </c>
      <c r="C82" s="7">
        <v>33386</v>
      </c>
      <c r="D82" s="6" t="s">
        <v>39</v>
      </c>
      <c r="E82" s="6" t="s">
        <v>72</v>
      </c>
      <c r="F82" s="6" t="s">
        <v>72</v>
      </c>
      <c r="G82" s="6" t="s">
        <v>32</v>
      </c>
      <c r="H82" s="6" t="s">
        <v>33</v>
      </c>
      <c r="I82" s="6" t="s">
        <v>767</v>
      </c>
      <c r="J82" s="6" t="s">
        <v>767</v>
      </c>
      <c r="K82" s="7">
        <v>6061242</v>
      </c>
      <c r="L82" s="7">
        <v>286538</v>
      </c>
      <c r="M82" s="7">
        <v>19</v>
      </c>
      <c r="N82" s="7">
        <v>1</v>
      </c>
      <c r="O82" s="7">
        <v>5</v>
      </c>
    </row>
    <row r="83" spans="1:15" x14ac:dyDescent="0.25">
      <c r="A83" s="6" t="s">
        <v>28</v>
      </c>
      <c r="B83" s="6" t="s">
        <v>48</v>
      </c>
      <c r="C83" s="7">
        <v>33387</v>
      </c>
      <c r="D83" s="6" t="s">
        <v>39</v>
      </c>
      <c r="E83" s="6" t="s">
        <v>53</v>
      </c>
      <c r="F83" s="6" t="s">
        <v>93</v>
      </c>
      <c r="G83" s="6" t="s">
        <v>32</v>
      </c>
      <c r="H83" s="6" t="s">
        <v>33</v>
      </c>
      <c r="I83" s="6" t="s">
        <v>767</v>
      </c>
      <c r="J83" s="6" t="s">
        <v>767</v>
      </c>
      <c r="K83" s="7">
        <v>6144062</v>
      </c>
      <c r="L83" s="7">
        <v>304742</v>
      </c>
      <c r="M83" s="7">
        <v>19</v>
      </c>
      <c r="N83" s="7">
        <v>2</v>
      </c>
      <c r="O83" s="7">
        <v>14</v>
      </c>
    </row>
    <row r="84" spans="1:15" x14ac:dyDescent="0.25">
      <c r="A84" s="6" t="s">
        <v>14</v>
      </c>
      <c r="B84" s="6" t="s">
        <v>48</v>
      </c>
      <c r="C84" s="7">
        <v>33388</v>
      </c>
      <c r="D84" s="6" t="s">
        <v>39</v>
      </c>
      <c r="E84" s="6" t="s">
        <v>53</v>
      </c>
      <c r="F84" s="6" t="s">
        <v>53</v>
      </c>
      <c r="G84" s="6" t="s">
        <v>32</v>
      </c>
      <c r="H84" s="6" t="s">
        <v>33</v>
      </c>
      <c r="I84" s="6" t="s">
        <v>767</v>
      </c>
      <c r="J84" s="6" t="s">
        <v>767</v>
      </c>
      <c r="K84" s="7">
        <v>6140815</v>
      </c>
      <c r="L84" s="7">
        <v>305616</v>
      </c>
      <c r="M84" s="7">
        <v>19</v>
      </c>
      <c r="N84" s="7">
        <v>3</v>
      </c>
      <c r="O84" s="7">
        <v>6</v>
      </c>
    </row>
    <row r="85" spans="1:15" x14ac:dyDescent="0.25">
      <c r="A85" s="6" t="s">
        <v>14</v>
      </c>
      <c r="B85" s="6" t="s">
        <v>48</v>
      </c>
      <c r="C85" s="7">
        <v>33491</v>
      </c>
      <c r="D85" s="6" t="s">
        <v>42</v>
      </c>
      <c r="E85" s="6" t="s">
        <v>51</v>
      </c>
      <c r="F85" s="6" t="s">
        <v>85</v>
      </c>
      <c r="G85" s="6" t="s">
        <v>32</v>
      </c>
      <c r="H85" s="6" t="s">
        <v>33</v>
      </c>
      <c r="I85" s="6" t="s">
        <v>767</v>
      </c>
      <c r="J85" s="6" t="s">
        <v>767</v>
      </c>
      <c r="K85" s="7">
        <v>6149312</v>
      </c>
      <c r="L85" s="7">
        <v>317233</v>
      </c>
      <c r="M85" s="7">
        <v>19</v>
      </c>
      <c r="N85" s="7">
        <v>1</v>
      </c>
      <c r="O85" s="7">
        <v>5</v>
      </c>
    </row>
    <row r="86" spans="1:15" x14ac:dyDescent="0.25">
      <c r="A86" s="6" t="s">
        <v>28</v>
      </c>
      <c r="B86" s="6" t="s">
        <v>48</v>
      </c>
      <c r="C86" s="7">
        <v>33495</v>
      </c>
      <c r="D86" s="6" t="s">
        <v>42</v>
      </c>
      <c r="E86" s="6" t="s">
        <v>51</v>
      </c>
      <c r="F86" s="6" t="s">
        <v>94</v>
      </c>
      <c r="G86" s="6" t="s">
        <v>32</v>
      </c>
      <c r="H86" s="6" t="s">
        <v>33</v>
      </c>
      <c r="I86" s="6" t="s">
        <v>767</v>
      </c>
      <c r="J86" s="6" t="s">
        <v>764</v>
      </c>
      <c r="K86" s="7">
        <v>6150301</v>
      </c>
      <c r="L86" s="7">
        <v>323647</v>
      </c>
      <c r="M86" s="7">
        <v>19</v>
      </c>
      <c r="N86" s="7">
        <v>3</v>
      </c>
      <c r="O86" s="7">
        <v>12</v>
      </c>
    </row>
    <row r="87" spans="1:15" x14ac:dyDescent="0.25">
      <c r="A87" s="6" t="s">
        <v>28</v>
      </c>
      <c r="B87" s="6" t="s">
        <v>48</v>
      </c>
      <c r="C87" s="7">
        <v>33497</v>
      </c>
      <c r="D87" s="6" t="s">
        <v>42</v>
      </c>
      <c r="E87" s="6" t="s">
        <v>51</v>
      </c>
      <c r="F87" s="6" t="s">
        <v>95</v>
      </c>
      <c r="G87" s="6" t="s">
        <v>32</v>
      </c>
      <c r="H87" s="6" t="s">
        <v>33</v>
      </c>
      <c r="I87" s="6" t="s">
        <v>767</v>
      </c>
      <c r="J87" s="6" t="s">
        <v>764</v>
      </c>
      <c r="K87" s="7">
        <v>6156332</v>
      </c>
      <c r="L87" s="7">
        <v>308927</v>
      </c>
      <c r="M87" s="7">
        <v>19</v>
      </c>
      <c r="N87" s="7">
        <v>2</v>
      </c>
      <c r="O87" s="7">
        <v>12</v>
      </c>
    </row>
    <row r="88" spans="1:15" x14ac:dyDescent="0.25">
      <c r="A88" s="6" t="s">
        <v>28</v>
      </c>
      <c r="B88" s="6" t="s">
        <v>48</v>
      </c>
      <c r="C88" s="7">
        <v>33498</v>
      </c>
      <c r="D88" s="6" t="s">
        <v>42</v>
      </c>
      <c r="E88" s="6" t="s">
        <v>51</v>
      </c>
      <c r="F88" s="6" t="s">
        <v>94</v>
      </c>
      <c r="G88" s="6" t="s">
        <v>32</v>
      </c>
      <c r="H88" s="6" t="s">
        <v>33</v>
      </c>
      <c r="I88" s="6" t="s">
        <v>767</v>
      </c>
      <c r="J88" s="6" t="s">
        <v>767</v>
      </c>
      <c r="K88" s="7">
        <v>6148665</v>
      </c>
      <c r="L88" s="7">
        <v>319468</v>
      </c>
      <c r="M88" s="7">
        <v>19</v>
      </c>
      <c r="N88" s="7">
        <v>5</v>
      </c>
      <c r="O88" s="7">
        <v>40</v>
      </c>
    </row>
    <row r="89" spans="1:15" x14ac:dyDescent="0.25">
      <c r="A89" s="6" t="s">
        <v>28</v>
      </c>
      <c r="B89" s="6" t="s">
        <v>48</v>
      </c>
      <c r="C89" s="7">
        <v>33503</v>
      </c>
      <c r="D89" s="6" t="s">
        <v>42</v>
      </c>
      <c r="E89" s="6" t="s">
        <v>51</v>
      </c>
      <c r="F89" s="6" t="s">
        <v>52</v>
      </c>
      <c r="G89" s="6" t="s">
        <v>32</v>
      </c>
      <c r="H89" s="6" t="s">
        <v>33</v>
      </c>
      <c r="I89" s="6" t="s">
        <v>767</v>
      </c>
      <c r="J89" s="6" t="s">
        <v>767</v>
      </c>
      <c r="K89" s="7">
        <v>6151958</v>
      </c>
      <c r="L89" s="7">
        <v>316645</v>
      </c>
      <c r="M89" s="7">
        <v>19</v>
      </c>
      <c r="N89" s="7">
        <v>2</v>
      </c>
      <c r="O89" s="7">
        <v>7</v>
      </c>
    </row>
    <row r="90" spans="1:15" x14ac:dyDescent="0.25">
      <c r="A90" s="6" t="s">
        <v>28</v>
      </c>
      <c r="B90" s="6" t="s">
        <v>48</v>
      </c>
      <c r="C90" s="7">
        <v>33506</v>
      </c>
      <c r="D90" s="6" t="s">
        <v>42</v>
      </c>
      <c r="E90" s="6" t="s">
        <v>43</v>
      </c>
      <c r="F90" s="6" t="s">
        <v>43</v>
      </c>
      <c r="G90" s="6" t="s">
        <v>32</v>
      </c>
      <c r="H90" s="6" t="s">
        <v>33</v>
      </c>
      <c r="I90" s="6" t="s">
        <v>767</v>
      </c>
      <c r="J90" s="6" t="s">
        <v>767</v>
      </c>
      <c r="K90" s="7">
        <v>6192391</v>
      </c>
      <c r="L90" s="7">
        <v>330160</v>
      </c>
      <c r="M90" s="7">
        <v>19</v>
      </c>
      <c r="N90" s="7">
        <v>1</v>
      </c>
      <c r="O90" s="7">
        <v>4</v>
      </c>
    </row>
    <row r="91" spans="1:15" x14ac:dyDescent="0.25">
      <c r="A91" s="6" t="s">
        <v>14</v>
      </c>
      <c r="B91" s="6" t="s">
        <v>48</v>
      </c>
      <c r="C91" s="7">
        <v>33508</v>
      </c>
      <c r="D91" s="6" t="s">
        <v>39</v>
      </c>
      <c r="E91" s="6" t="s">
        <v>53</v>
      </c>
      <c r="F91" s="6" t="s">
        <v>79</v>
      </c>
      <c r="G91" s="6" t="s">
        <v>32</v>
      </c>
      <c r="H91" s="6" t="s">
        <v>33</v>
      </c>
      <c r="I91" s="6" t="s">
        <v>767</v>
      </c>
      <c r="J91" s="6" t="s">
        <v>767</v>
      </c>
      <c r="K91" s="7">
        <v>6140663</v>
      </c>
      <c r="L91" s="7">
        <v>323202</v>
      </c>
      <c r="M91" s="7">
        <v>19</v>
      </c>
      <c r="N91" s="7">
        <v>1</v>
      </c>
      <c r="O91" s="7">
        <v>1</v>
      </c>
    </row>
    <row r="92" spans="1:15" x14ac:dyDescent="0.25">
      <c r="A92" s="6" t="s">
        <v>14</v>
      </c>
      <c r="B92" s="6" t="s">
        <v>48</v>
      </c>
      <c r="C92" s="7">
        <v>33510</v>
      </c>
      <c r="D92" s="6" t="s">
        <v>39</v>
      </c>
      <c r="E92" s="6" t="s">
        <v>53</v>
      </c>
      <c r="F92" s="6" t="s">
        <v>79</v>
      </c>
      <c r="G92" s="6" t="s">
        <v>32</v>
      </c>
      <c r="H92" s="6" t="s">
        <v>33</v>
      </c>
      <c r="I92" s="6" t="s">
        <v>767</v>
      </c>
      <c r="J92" s="6" t="s">
        <v>767</v>
      </c>
      <c r="K92" s="7">
        <v>6140966</v>
      </c>
      <c r="L92" s="7">
        <v>323061</v>
      </c>
      <c r="M92" s="7">
        <v>19</v>
      </c>
      <c r="N92" s="7">
        <v>1</v>
      </c>
      <c r="O92" s="7">
        <v>2.5</v>
      </c>
    </row>
    <row r="93" spans="1:15" x14ac:dyDescent="0.25">
      <c r="A93" s="6" t="s">
        <v>14</v>
      </c>
      <c r="B93" s="6" t="s">
        <v>48</v>
      </c>
      <c r="C93" s="7">
        <v>33511</v>
      </c>
      <c r="D93" s="6" t="s">
        <v>39</v>
      </c>
      <c r="E93" s="6" t="s">
        <v>53</v>
      </c>
      <c r="F93" s="6" t="s">
        <v>79</v>
      </c>
      <c r="G93" s="6" t="s">
        <v>32</v>
      </c>
      <c r="H93" s="6" t="s">
        <v>33</v>
      </c>
      <c r="I93" s="6" t="s">
        <v>767</v>
      </c>
      <c r="J93" s="6" t="s">
        <v>767</v>
      </c>
      <c r="K93" s="7">
        <v>6141282</v>
      </c>
      <c r="L93" s="7">
        <v>323162</v>
      </c>
      <c r="M93" s="7">
        <v>19</v>
      </c>
      <c r="N93" s="7">
        <v>1</v>
      </c>
      <c r="O93" s="7">
        <v>4.4000000000000004</v>
      </c>
    </row>
    <row r="94" spans="1:15" x14ac:dyDescent="0.25">
      <c r="A94" s="6" t="s">
        <v>14</v>
      </c>
      <c r="B94" s="6" t="s">
        <v>48</v>
      </c>
      <c r="C94" s="7">
        <v>33512</v>
      </c>
      <c r="D94" s="6" t="s">
        <v>39</v>
      </c>
      <c r="E94" s="6" t="s">
        <v>53</v>
      </c>
      <c r="F94" s="6" t="s">
        <v>79</v>
      </c>
      <c r="G94" s="6" t="s">
        <v>32</v>
      </c>
      <c r="H94" s="6" t="s">
        <v>33</v>
      </c>
      <c r="I94" s="6" t="s">
        <v>767</v>
      </c>
      <c r="J94" s="6" t="s">
        <v>767</v>
      </c>
      <c r="K94" s="7">
        <v>6141028</v>
      </c>
      <c r="L94" s="7">
        <v>324056</v>
      </c>
      <c r="M94" s="7">
        <v>19</v>
      </c>
      <c r="N94" s="7">
        <v>4</v>
      </c>
      <c r="O94" s="7">
        <v>17.600000000000001</v>
      </c>
    </row>
    <row r="95" spans="1:15" x14ac:dyDescent="0.25">
      <c r="A95" s="6" t="s">
        <v>22</v>
      </c>
      <c r="B95" s="6" t="s">
        <v>48</v>
      </c>
      <c r="C95" s="7">
        <v>33745</v>
      </c>
      <c r="D95" s="6" t="s">
        <v>24</v>
      </c>
      <c r="E95" s="6" t="s">
        <v>49</v>
      </c>
      <c r="F95" s="6" t="s">
        <v>49</v>
      </c>
      <c r="G95" s="6" t="s">
        <v>50</v>
      </c>
      <c r="H95" s="6" t="s">
        <v>765</v>
      </c>
      <c r="I95" s="6" t="s">
        <v>767</v>
      </c>
      <c r="J95" s="6" t="s">
        <v>767</v>
      </c>
      <c r="K95" s="7">
        <v>6273410</v>
      </c>
      <c r="L95" s="7">
        <v>350235</v>
      </c>
      <c r="M95" s="7">
        <v>19</v>
      </c>
      <c r="N95" s="7">
        <v>1</v>
      </c>
      <c r="O95" s="7">
        <v>0.3</v>
      </c>
    </row>
    <row r="96" spans="1:15" x14ac:dyDescent="0.25">
      <c r="A96" s="6" t="s">
        <v>22</v>
      </c>
      <c r="B96" s="6" t="s">
        <v>48</v>
      </c>
      <c r="C96" s="7">
        <v>33748</v>
      </c>
      <c r="D96" s="6" t="s">
        <v>24</v>
      </c>
      <c r="E96" s="6" t="s">
        <v>49</v>
      </c>
      <c r="F96" s="6" t="s">
        <v>49</v>
      </c>
      <c r="G96" s="6" t="s">
        <v>50</v>
      </c>
      <c r="H96" s="6" t="s">
        <v>765</v>
      </c>
      <c r="I96" s="6" t="s">
        <v>767</v>
      </c>
      <c r="J96" s="6" t="s">
        <v>767</v>
      </c>
      <c r="K96" s="7">
        <v>6272261</v>
      </c>
      <c r="L96" s="7">
        <v>353839</v>
      </c>
      <c r="M96" s="7">
        <v>19</v>
      </c>
      <c r="N96" s="7">
        <v>1</v>
      </c>
      <c r="O96" s="7">
        <v>0.33</v>
      </c>
    </row>
    <row r="97" spans="1:15" x14ac:dyDescent="0.25">
      <c r="A97" s="6" t="s">
        <v>22</v>
      </c>
      <c r="B97" s="6" t="s">
        <v>48</v>
      </c>
      <c r="C97" s="7">
        <v>34513</v>
      </c>
      <c r="D97" s="6" t="s">
        <v>24</v>
      </c>
      <c r="E97" s="6" t="s">
        <v>49</v>
      </c>
      <c r="F97" s="6" t="s">
        <v>49</v>
      </c>
      <c r="G97" s="6" t="s">
        <v>50</v>
      </c>
      <c r="H97" s="6" t="s">
        <v>765</v>
      </c>
      <c r="I97" s="6" t="s">
        <v>767</v>
      </c>
      <c r="J97" s="6" t="s">
        <v>767</v>
      </c>
      <c r="K97" s="7">
        <v>6272312</v>
      </c>
      <c r="L97" s="7">
        <v>353730</v>
      </c>
      <c r="M97" s="7">
        <v>19</v>
      </c>
      <c r="N97" s="7">
        <v>1</v>
      </c>
      <c r="O97" s="7">
        <v>0.87</v>
      </c>
    </row>
    <row r="98" spans="1:15" x14ac:dyDescent="0.25">
      <c r="A98" s="6" t="s">
        <v>22</v>
      </c>
      <c r="B98" s="6" t="s">
        <v>48</v>
      </c>
      <c r="C98" s="7">
        <v>34526</v>
      </c>
      <c r="D98" s="6" t="s">
        <v>24</v>
      </c>
      <c r="E98" s="6" t="s">
        <v>96</v>
      </c>
      <c r="F98" s="6" t="s">
        <v>97</v>
      </c>
      <c r="G98" s="6" t="s">
        <v>50</v>
      </c>
      <c r="H98" s="6" t="s">
        <v>765</v>
      </c>
      <c r="I98" s="6" t="s">
        <v>767</v>
      </c>
      <c r="J98" s="6" t="s">
        <v>767</v>
      </c>
      <c r="K98" s="7">
        <v>6261535</v>
      </c>
      <c r="L98" s="7">
        <v>344865</v>
      </c>
      <c r="M98" s="7">
        <v>19</v>
      </c>
      <c r="N98" s="7">
        <v>1</v>
      </c>
      <c r="O98" s="7">
        <v>1.31</v>
      </c>
    </row>
    <row r="99" spans="1:15" x14ac:dyDescent="0.25">
      <c r="A99" s="6" t="s">
        <v>14</v>
      </c>
      <c r="B99" s="6" t="s">
        <v>48</v>
      </c>
      <c r="C99" s="7">
        <v>34616</v>
      </c>
      <c r="D99" s="6" t="s">
        <v>98</v>
      </c>
      <c r="E99" s="6" t="s">
        <v>99</v>
      </c>
      <c r="F99" s="6" t="s">
        <v>100</v>
      </c>
      <c r="G99" s="6" t="s">
        <v>89</v>
      </c>
      <c r="H99" s="6" t="s">
        <v>101</v>
      </c>
      <c r="I99" s="6" t="s">
        <v>767</v>
      </c>
      <c r="J99" s="6" t="s">
        <v>767</v>
      </c>
      <c r="K99" s="7">
        <v>5830263</v>
      </c>
      <c r="L99" s="7">
        <v>739398</v>
      </c>
      <c r="M99" s="7">
        <v>18</v>
      </c>
      <c r="N99" s="7">
        <v>2</v>
      </c>
      <c r="O99" s="7">
        <v>20</v>
      </c>
    </row>
    <row r="100" spans="1:15" x14ac:dyDescent="0.25">
      <c r="A100" s="6" t="s">
        <v>14</v>
      </c>
      <c r="B100" s="6" t="s">
        <v>48</v>
      </c>
      <c r="C100" s="7">
        <v>34617</v>
      </c>
      <c r="D100" s="6" t="s">
        <v>98</v>
      </c>
      <c r="E100" s="6" t="s">
        <v>99</v>
      </c>
      <c r="F100" s="6" t="s">
        <v>99</v>
      </c>
      <c r="G100" s="6" t="s">
        <v>89</v>
      </c>
      <c r="H100" s="6" t="s">
        <v>101</v>
      </c>
      <c r="I100" s="6" t="s">
        <v>767</v>
      </c>
      <c r="J100" s="6" t="s">
        <v>767</v>
      </c>
      <c r="K100" s="7">
        <v>5847180</v>
      </c>
      <c r="L100" s="7">
        <v>724221</v>
      </c>
      <c r="M100" s="7">
        <v>18</v>
      </c>
      <c r="N100" s="7">
        <v>5</v>
      </c>
      <c r="O100" s="7">
        <v>35</v>
      </c>
    </row>
    <row r="101" spans="1:15" x14ac:dyDescent="0.25">
      <c r="A101" s="6" t="s">
        <v>14</v>
      </c>
      <c r="B101" s="6" t="s">
        <v>48</v>
      </c>
      <c r="C101" s="7">
        <v>34618</v>
      </c>
      <c r="D101" s="6" t="s">
        <v>98</v>
      </c>
      <c r="E101" s="6" t="s">
        <v>99</v>
      </c>
      <c r="F101" s="6" t="s">
        <v>99</v>
      </c>
      <c r="G101" s="6" t="s">
        <v>89</v>
      </c>
      <c r="H101" s="6" t="s">
        <v>101</v>
      </c>
      <c r="I101" s="6" t="s">
        <v>767</v>
      </c>
      <c r="J101" s="6" t="s">
        <v>767</v>
      </c>
      <c r="K101" s="7">
        <v>5850509</v>
      </c>
      <c r="L101" s="7">
        <v>724086</v>
      </c>
      <c r="M101" s="7">
        <v>18</v>
      </c>
      <c r="N101" s="7">
        <v>1</v>
      </c>
      <c r="O101" s="7">
        <v>23</v>
      </c>
    </row>
    <row r="102" spans="1:15" x14ac:dyDescent="0.25">
      <c r="A102" s="6" t="s">
        <v>14</v>
      </c>
      <c r="B102" s="6" t="s">
        <v>48</v>
      </c>
      <c r="C102" s="7">
        <v>34619</v>
      </c>
      <c r="D102" s="6" t="s">
        <v>98</v>
      </c>
      <c r="E102" s="6" t="s">
        <v>99</v>
      </c>
      <c r="F102" s="6" t="s">
        <v>103</v>
      </c>
      <c r="G102" s="6" t="s">
        <v>89</v>
      </c>
      <c r="H102" s="6" t="s">
        <v>101</v>
      </c>
      <c r="I102" s="6" t="s">
        <v>767</v>
      </c>
      <c r="J102" s="6" t="s">
        <v>767</v>
      </c>
      <c r="K102" s="7">
        <v>5846499</v>
      </c>
      <c r="L102" s="7">
        <v>729617</v>
      </c>
      <c r="M102" s="7">
        <v>18</v>
      </c>
      <c r="N102" s="7">
        <v>5</v>
      </c>
      <c r="O102" s="7">
        <v>25</v>
      </c>
    </row>
    <row r="103" spans="1:15" x14ac:dyDescent="0.25">
      <c r="A103" s="6" t="s">
        <v>14</v>
      </c>
      <c r="B103" s="6" t="s">
        <v>48</v>
      </c>
      <c r="C103" s="7">
        <v>34620</v>
      </c>
      <c r="D103" s="6" t="s">
        <v>98</v>
      </c>
      <c r="E103" s="6" t="s">
        <v>104</v>
      </c>
      <c r="F103" s="6" t="s">
        <v>104</v>
      </c>
      <c r="G103" s="6" t="s">
        <v>89</v>
      </c>
      <c r="H103" s="6" t="s">
        <v>101</v>
      </c>
      <c r="I103" s="6" t="s">
        <v>767</v>
      </c>
      <c r="J103" s="6" t="s">
        <v>767</v>
      </c>
      <c r="K103" s="7">
        <v>5919327</v>
      </c>
      <c r="L103" s="7">
        <v>754911</v>
      </c>
      <c r="M103" s="7">
        <v>18</v>
      </c>
      <c r="N103" s="7">
        <v>2</v>
      </c>
      <c r="O103" s="7">
        <v>30</v>
      </c>
    </row>
    <row r="104" spans="1:15" x14ac:dyDescent="0.25">
      <c r="A104" s="6" t="s">
        <v>14</v>
      </c>
      <c r="B104" s="6" t="s">
        <v>48</v>
      </c>
      <c r="C104" s="7">
        <v>34621</v>
      </c>
      <c r="D104" s="6" t="s">
        <v>98</v>
      </c>
      <c r="E104" s="6" t="s">
        <v>99</v>
      </c>
      <c r="F104" s="6" t="s">
        <v>105</v>
      </c>
      <c r="G104" s="6" t="s">
        <v>89</v>
      </c>
      <c r="H104" s="6" t="s">
        <v>101</v>
      </c>
      <c r="I104" s="6" t="s">
        <v>767</v>
      </c>
      <c r="J104" s="6" t="s">
        <v>767</v>
      </c>
      <c r="K104" s="7">
        <v>5850667</v>
      </c>
      <c r="L104" s="7">
        <v>718125</v>
      </c>
      <c r="M104" s="7">
        <v>18</v>
      </c>
      <c r="N104" s="7">
        <v>4</v>
      </c>
      <c r="O104" s="7">
        <v>24</v>
      </c>
    </row>
    <row r="105" spans="1:15" x14ac:dyDescent="0.25">
      <c r="A105" s="6" t="s">
        <v>14</v>
      </c>
      <c r="B105" s="6" t="s">
        <v>48</v>
      </c>
      <c r="C105" s="7">
        <v>34648</v>
      </c>
      <c r="D105" s="6" t="s">
        <v>98</v>
      </c>
      <c r="E105" s="6" t="s">
        <v>99</v>
      </c>
      <c r="F105" s="6" t="s">
        <v>106</v>
      </c>
      <c r="G105" s="6" t="s">
        <v>89</v>
      </c>
      <c r="H105" s="6" t="s">
        <v>101</v>
      </c>
      <c r="I105" s="6" t="s">
        <v>767</v>
      </c>
      <c r="J105" s="6" t="s">
        <v>767</v>
      </c>
      <c r="K105" s="7">
        <v>5845324</v>
      </c>
      <c r="L105" s="7">
        <v>742852</v>
      </c>
      <c r="M105" s="7">
        <v>18</v>
      </c>
      <c r="N105" s="7">
        <v>1</v>
      </c>
      <c r="O105" s="7">
        <v>5</v>
      </c>
    </row>
    <row r="106" spans="1:15" x14ac:dyDescent="0.25">
      <c r="A106" s="6" t="s">
        <v>14</v>
      </c>
      <c r="B106" s="6" t="s">
        <v>48</v>
      </c>
      <c r="C106" s="7">
        <v>34649</v>
      </c>
      <c r="D106" s="6" t="s">
        <v>98</v>
      </c>
      <c r="E106" s="6" t="s">
        <v>99</v>
      </c>
      <c r="F106" s="6" t="s">
        <v>106</v>
      </c>
      <c r="G106" s="6" t="s">
        <v>89</v>
      </c>
      <c r="H106" s="6" t="s">
        <v>101</v>
      </c>
      <c r="I106" s="6" t="s">
        <v>767</v>
      </c>
      <c r="J106" s="6" t="s">
        <v>767</v>
      </c>
      <c r="K106" s="7">
        <v>5845943</v>
      </c>
      <c r="L106" s="7">
        <v>742589</v>
      </c>
      <c r="M106" s="7">
        <v>18</v>
      </c>
      <c r="N106" s="7">
        <v>2</v>
      </c>
      <c r="O106" s="7">
        <v>10</v>
      </c>
    </row>
    <row r="107" spans="1:15" x14ac:dyDescent="0.25">
      <c r="A107" s="6" t="s">
        <v>28</v>
      </c>
      <c r="B107" s="6" t="s">
        <v>48</v>
      </c>
      <c r="C107" s="7">
        <v>34651</v>
      </c>
      <c r="D107" s="6" t="s">
        <v>98</v>
      </c>
      <c r="E107" s="6" t="s">
        <v>99</v>
      </c>
      <c r="F107" s="6" t="s">
        <v>106</v>
      </c>
      <c r="G107" s="6" t="s">
        <v>89</v>
      </c>
      <c r="H107" s="6" t="s">
        <v>101</v>
      </c>
      <c r="I107" s="6" t="s">
        <v>767</v>
      </c>
      <c r="J107" s="6" t="s">
        <v>767</v>
      </c>
      <c r="K107" s="7">
        <v>5845569</v>
      </c>
      <c r="L107" s="7">
        <v>742742</v>
      </c>
      <c r="M107" s="7">
        <v>18</v>
      </c>
      <c r="N107" s="7">
        <v>1</v>
      </c>
      <c r="O107" s="7">
        <v>5</v>
      </c>
    </row>
    <row r="108" spans="1:15" x14ac:dyDescent="0.25">
      <c r="A108" s="6" t="s">
        <v>14</v>
      </c>
      <c r="B108" s="6" t="s">
        <v>48</v>
      </c>
      <c r="C108" s="7">
        <v>34675</v>
      </c>
      <c r="D108" s="6" t="s">
        <v>39</v>
      </c>
      <c r="E108" s="6" t="s">
        <v>72</v>
      </c>
      <c r="F108" s="6" t="s">
        <v>73</v>
      </c>
      <c r="G108" s="6" t="s">
        <v>89</v>
      </c>
      <c r="H108" s="6" t="s">
        <v>101</v>
      </c>
      <c r="I108" s="6" t="s">
        <v>767</v>
      </c>
      <c r="J108" s="6" t="s">
        <v>767</v>
      </c>
      <c r="K108" s="7">
        <v>6071103</v>
      </c>
      <c r="L108" s="7">
        <v>286779</v>
      </c>
      <c r="M108" s="7">
        <v>19</v>
      </c>
      <c r="N108" s="7">
        <v>2</v>
      </c>
      <c r="O108" s="7">
        <v>5</v>
      </c>
    </row>
    <row r="109" spans="1:15" x14ac:dyDescent="0.25">
      <c r="A109" s="6" t="s">
        <v>14</v>
      </c>
      <c r="B109" s="6" t="s">
        <v>48</v>
      </c>
      <c r="C109" s="7">
        <v>34677</v>
      </c>
      <c r="D109" s="6" t="s">
        <v>39</v>
      </c>
      <c r="E109" s="6" t="s">
        <v>72</v>
      </c>
      <c r="F109" s="6" t="s">
        <v>73</v>
      </c>
      <c r="G109" s="6" t="s">
        <v>89</v>
      </c>
      <c r="H109" s="6" t="s">
        <v>101</v>
      </c>
      <c r="I109" s="6" t="s">
        <v>767</v>
      </c>
      <c r="J109" s="6" t="s">
        <v>767</v>
      </c>
      <c r="K109" s="7">
        <v>6070467</v>
      </c>
      <c r="L109" s="7">
        <v>289022</v>
      </c>
      <c r="M109" s="7">
        <v>19</v>
      </c>
      <c r="N109" s="7">
        <v>5</v>
      </c>
      <c r="O109" s="7">
        <v>16</v>
      </c>
    </row>
    <row r="110" spans="1:15" x14ac:dyDescent="0.25">
      <c r="A110" s="6" t="s">
        <v>14</v>
      </c>
      <c r="B110" s="6" t="s">
        <v>48</v>
      </c>
      <c r="C110" s="7">
        <v>34679</v>
      </c>
      <c r="D110" s="6" t="s">
        <v>39</v>
      </c>
      <c r="E110" s="6" t="s">
        <v>70</v>
      </c>
      <c r="F110" s="6" t="s">
        <v>83</v>
      </c>
      <c r="G110" s="6" t="s">
        <v>89</v>
      </c>
      <c r="H110" s="6" t="s">
        <v>101</v>
      </c>
      <c r="I110" s="6" t="s">
        <v>767</v>
      </c>
      <c r="J110" s="6" t="s">
        <v>767</v>
      </c>
      <c r="K110" s="7">
        <v>6087586</v>
      </c>
      <c r="L110" s="7">
        <v>280836</v>
      </c>
      <c r="M110" s="7">
        <v>19</v>
      </c>
      <c r="N110" s="7">
        <v>3</v>
      </c>
      <c r="O110" s="7">
        <v>14</v>
      </c>
    </row>
    <row r="111" spans="1:15" x14ac:dyDescent="0.25">
      <c r="A111" s="6" t="s">
        <v>14</v>
      </c>
      <c r="B111" s="6" t="s">
        <v>48</v>
      </c>
      <c r="C111" s="7">
        <v>34682</v>
      </c>
      <c r="D111" s="6" t="s">
        <v>39</v>
      </c>
      <c r="E111" s="6" t="s">
        <v>80</v>
      </c>
      <c r="F111" s="6" t="s">
        <v>90</v>
      </c>
      <c r="G111" s="6" t="s">
        <v>89</v>
      </c>
      <c r="H111" s="6" t="s">
        <v>101</v>
      </c>
      <c r="I111" s="6" t="s">
        <v>767</v>
      </c>
      <c r="J111" s="6" t="s">
        <v>767</v>
      </c>
      <c r="K111" s="7">
        <v>6080709</v>
      </c>
      <c r="L111" s="7">
        <v>272560</v>
      </c>
      <c r="M111" s="7">
        <v>19</v>
      </c>
      <c r="N111" s="7">
        <v>1</v>
      </c>
      <c r="O111" s="7">
        <v>8.5</v>
      </c>
    </row>
    <row r="112" spans="1:15" x14ac:dyDescent="0.25">
      <c r="A112" s="6" t="s">
        <v>14</v>
      </c>
      <c r="B112" s="6" t="s">
        <v>48</v>
      </c>
      <c r="C112" s="7">
        <v>34683</v>
      </c>
      <c r="D112" s="6" t="s">
        <v>39</v>
      </c>
      <c r="E112" s="6" t="s">
        <v>72</v>
      </c>
      <c r="F112" s="6" t="s">
        <v>76</v>
      </c>
      <c r="G112" s="6" t="s">
        <v>89</v>
      </c>
      <c r="H112" s="6" t="s">
        <v>101</v>
      </c>
      <c r="I112" s="6" t="s">
        <v>767</v>
      </c>
      <c r="J112" s="6" t="s">
        <v>767</v>
      </c>
      <c r="K112" s="7">
        <v>6065546</v>
      </c>
      <c r="L112" s="7">
        <v>265315</v>
      </c>
      <c r="M112" s="7">
        <v>19</v>
      </c>
      <c r="N112" s="7">
        <v>2</v>
      </c>
      <c r="O112" s="7">
        <v>11</v>
      </c>
    </row>
    <row r="113" spans="1:15" x14ac:dyDescent="0.25">
      <c r="A113" s="6" t="s">
        <v>14</v>
      </c>
      <c r="B113" s="6" t="s">
        <v>48</v>
      </c>
      <c r="C113" s="7">
        <v>34685</v>
      </c>
      <c r="D113" s="6" t="s">
        <v>39</v>
      </c>
      <c r="E113" s="6" t="s">
        <v>72</v>
      </c>
      <c r="F113" s="6" t="s">
        <v>74</v>
      </c>
      <c r="G113" s="6" t="s">
        <v>89</v>
      </c>
      <c r="H113" s="6" t="s">
        <v>101</v>
      </c>
      <c r="I113" s="6" t="s">
        <v>767</v>
      </c>
      <c r="J113" s="6" t="s">
        <v>767</v>
      </c>
      <c r="K113" s="7">
        <v>6062998</v>
      </c>
      <c r="L113" s="7">
        <v>274651</v>
      </c>
      <c r="M113" s="7">
        <v>19</v>
      </c>
      <c r="N113" s="7">
        <v>3</v>
      </c>
      <c r="O113" s="7">
        <v>10</v>
      </c>
    </row>
    <row r="114" spans="1:15" x14ac:dyDescent="0.25">
      <c r="A114" s="6" t="s">
        <v>14</v>
      </c>
      <c r="B114" s="6" t="s">
        <v>48</v>
      </c>
      <c r="C114" s="7">
        <v>34686</v>
      </c>
      <c r="D114" s="6" t="s">
        <v>39</v>
      </c>
      <c r="E114" s="6" t="s">
        <v>72</v>
      </c>
      <c r="F114" s="6" t="s">
        <v>75</v>
      </c>
      <c r="G114" s="6" t="s">
        <v>89</v>
      </c>
      <c r="H114" s="6" t="s">
        <v>101</v>
      </c>
      <c r="I114" s="6" t="s">
        <v>767</v>
      </c>
      <c r="J114" s="6" t="s">
        <v>767</v>
      </c>
      <c r="K114" s="7">
        <v>6062803</v>
      </c>
      <c r="L114" s="7">
        <v>273824</v>
      </c>
      <c r="M114" s="7">
        <v>19</v>
      </c>
      <c r="N114" s="7">
        <v>4</v>
      </c>
      <c r="O114" s="7">
        <v>25</v>
      </c>
    </row>
    <row r="115" spans="1:15" x14ac:dyDescent="0.25">
      <c r="A115" s="6" t="s">
        <v>14</v>
      </c>
      <c r="B115" s="6" t="s">
        <v>48</v>
      </c>
      <c r="C115" s="7">
        <v>34687</v>
      </c>
      <c r="D115" s="6" t="s">
        <v>39</v>
      </c>
      <c r="E115" s="6" t="s">
        <v>70</v>
      </c>
      <c r="F115" s="6" t="s">
        <v>77</v>
      </c>
      <c r="G115" s="6" t="s">
        <v>89</v>
      </c>
      <c r="H115" s="6" t="s">
        <v>101</v>
      </c>
      <c r="I115" s="6" t="s">
        <v>767</v>
      </c>
      <c r="J115" s="6" t="s">
        <v>767</v>
      </c>
      <c r="K115" s="7">
        <v>6075105</v>
      </c>
      <c r="L115" s="7">
        <v>267831</v>
      </c>
      <c r="M115" s="7">
        <v>19</v>
      </c>
      <c r="N115" s="7">
        <v>1</v>
      </c>
      <c r="O115" s="7">
        <v>5</v>
      </c>
    </row>
    <row r="116" spans="1:15" x14ac:dyDescent="0.25">
      <c r="A116" s="6" t="s">
        <v>14</v>
      </c>
      <c r="B116" s="6" t="s">
        <v>48</v>
      </c>
      <c r="C116" s="7">
        <v>34688</v>
      </c>
      <c r="D116" s="6" t="s">
        <v>39</v>
      </c>
      <c r="E116" s="6" t="s">
        <v>107</v>
      </c>
      <c r="F116" s="6" t="s">
        <v>107</v>
      </c>
      <c r="G116" s="6" t="s">
        <v>89</v>
      </c>
      <c r="H116" s="6" t="s">
        <v>101</v>
      </c>
      <c r="I116" s="6" t="s">
        <v>767</v>
      </c>
      <c r="J116" s="6" t="s">
        <v>767</v>
      </c>
      <c r="K116" s="7">
        <v>6077331</v>
      </c>
      <c r="L116" s="7">
        <v>244098</v>
      </c>
      <c r="M116" s="7">
        <v>19</v>
      </c>
      <c r="N116" s="7">
        <v>2</v>
      </c>
      <c r="O116" s="7">
        <v>23.2</v>
      </c>
    </row>
    <row r="117" spans="1:15" x14ac:dyDescent="0.25">
      <c r="A117" s="6" t="s">
        <v>14</v>
      </c>
      <c r="B117" s="6" t="s">
        <v>48</v>
      </c>
      <c r="C117" s="7">
        <v>34689</v>
      </c>
      <c r="D117" s="6" t="s">
        <v>39</v>
      </c>
      <c r="E117" s="6" t="s">
        <v>58</v>
      </c>
      <c r="F117" s="6" t="s">
        <v>108</v>
      </c>
      <c r="G117" s="6" t="s">
        <v>89</v>
      </c>
      <c r="H117" s="6" t="s">
        <v>101</v>
      </c>
      <c r="I117" s="6" t="s">
        <v>767</v>
      </c>
      <c r="J117" s="6" t="s">
        <v>767</v>
      </c>
      <c r="K117" s="7">
        <v>6008390</v>
      </c>
      <c r="L117" s="7">
        <v>258528</v>
      </c>
      <c r="M117" s="7">
        <v>19</v>
      </c>
      <c r="N117" s="7">
        <v>1</v>
      </c>
      <c r="O117" s="7">
        <v>5</v>
      </c>
    </row>
    <row r="118" spans="1:15" x14ac:dyDescent="0.25">
      <c r="A118" s="6" t="s">
        <v>14</v>
      </c>
      <c r="B118" s="6" t="s">
        <v>48</v>
      </c>
      <c r="C118" s="7">
        <v>34691</v>
      </c>
      <c r="D118" s="6" t="s">
        <v>39</v>
      </c>
      <c r="E118" s="6" t="s">
        <v>109</v>
      </c>
      <c r="F118" s="6" t="s">
        <v>110</v>
      </c>
      <c r="G118" s="6" t="s">
        <v>89</v>
      </c>
      <c r="H118" s="6" t="s">
        <v>101</v>
      </c>
      <c r="I118" s="6" t="s">
        <v>767</v>
      </c>
      <c r="J118" s="6" t="s">
        <v>767</v>
      </c>
      <c r="K118" s="7">
        <v>6048107</v>
      </c>
      <c r="L118" s="7">
        <v>259463</v>
      </c>
      <c r="M118" s="7">
        <v>19</v>
      </c>
      <c r="N118" s="7">
        <v>1</v>
      </c>
      <c r="O118" s="7">
        <v>9</v>
      </c>
    </row>
    <row r="119" spans="1:15" x14ac:dyDescent="0.25">
      <c r="A119" s="6" t="s">
        <v>14</v>
      </c>
      <c r="B119" s="6" t="s">
        <v>48</v>
      </c>
      <c r="C119" s="7">
        <v>34695</v>
      </c>
      <c r="D119" s="6" t="s">
        <v>39</v>
      </c>
      <c r="E119" s="6" t="s">
        <v>72</v>
      </c>
      <c r="F119" s="6" t="s">
        <v>72</v>
      </c>
      <c r="G119" s="6" t="s">
        <v>89</v>
      </c>
      <c r="H119" s="6" t="s">
        <v>101</v>
      </c>
      <c r="I119" s="6" t="s">
        <v>767</v>
      </c>
      <c r="J119" s="6" t="s">
        <v>767</v>
      </c>
      <c r="K119" s="7">
        <v>6061193</v>
      </c>
      <c r="L119" s="7">
        <v>286282</v>
      </c>
      <c r="M119" s="7">
        <v>19</v>
      </c>
      <c r="N119" s="7">
        <v>2</v>
      </c>
      <c r="O119" s="7">
        <v>11</v>
      </c>
    </row>
    <row r="120" spans="1:15" x14ac:dyDescent="0.25">
      <c r="A120" s="6" t="s">
        <v>14</v>
      </c>
      <c r="B120" s="6" t="s">
        <v>48</v>
      </c>
      <c r="C120" s="7">
        <v>34696</v>
      </c>
      <c r="D120" s="6" t="s">
        <v>39</v>
      </c>
      <c r="E120" s="6" t="s">
        <v>72</v>
      </c>
      <c r="F120" s="6" t="s">
        <v>72</v>
      </c>
      <c r="G120" s="6" t="s">
        <v>89</v>
      </c>
      <c r="H120" s="6" t="s">
        <v>101</v>
      </c>
      <c r="I120" s="6" t="s">
        <v>767</v>
      </c>
      <c r="J120" s="6" t="s">
        <v>767</v>
      </c>
      <c r="K120" s="7">
        <v>6060955</v>
      </c>
      <c r="L120" s="7">
        <v>287287</v>
      </c>
      <c r="M120" s="7">
        <v>19</v>
      </c>
      <c r="N120" s="7">
        <v>2</v>
      </c>
      <c r="O120" s="7">
        <v>9</v>
      </c>
    </row>
    <row r="121" spans="1:15" x14ac:dyDescent="0.25">
      <c r="A121" s="6" t="s">
        <v>14</v>
      </c>
      <c r="B121" s="6" t="s">
        <v>48</v>
      </c>
      <c r="C121" s="7">
        <v>34953</v>
      </c>
      <c r="D121" s="6" t="s">
        <v>39</v>
      </c>
      <c r="E121" s="6" t="s">
        <v>53</v>
      </c>
      <c r="F121" s="6" t="s">
        <v>93</v>
      </c>
      <c r="G121" s="6" t="s">
        <v>89</v>
      </c>
      <c r="H121" s="6" t="s">
        <v>101</v>
      </c>
      <c r="I121" s="6" t="s">
        <v>767</v>
      </c>
      <c r="J121" s="6" t="s">
        <v>767</v>
      </c>
      <c r="K121" s="7">
        <v>6143707</v>
      </c>
      <c r="L121" s="7">
        <v>304517</v>
      </c>
      <c r="M121" s="7">
        <v>19</v>
      </c>
      <c r="N121" s="7">
        <v>2</v>
      </c>
      <c r="O121" s="7">
        <v>8</v>
      </c>
    </row>
    <row r="122" spans="1:15" x14ac:dyDescent="0.25">
      <c r="A122" s="6" t="s">
        <v>14</v>
      </c>
      <c r="B122" s="6" t="s">
        <v>48</v>
      </c>
      <c r="C122" s="7">
        <v>34954</v>
      </c>
      <c r="D122" s="6" t="s">
        <v>39</v>
      </c>
      <c r="E122" s="6" t="s">
        <v>40</v>
      </c>
      <c r="F122" s="6" t="s">
        <v>86</v>
      </c>
      <c r="G122" s="6" t="s">
        <v>89</v>
      </c>
      <c r="H122" s="6" t="s">
        <v>101</v>
      </c>
      <c r="I122" s="6" t="s">
        <v>767</v>
      </c>
      <c r="J122" s="6" t="s">
        <v>767</v>
      </c>
      <c r="K122" s="7">
        <v>6118162</v>
      </c>
      <c r="L122" s="7">
        <v>305691</v>
      </c>
      <c r="M122" s="7">
        <v>19</v>
      </c>
      <c r="N122" s="7">
        <v>3</v>
      </c>
      <c r="O122" s="7">
        <v>12.5</v>
      </c>
    </row>
    <row r="123" spans="1:15" x14ac:dyDescent="0.25">
      <c r="A123" s="6" t="s">
        <v>14</v>
      </c>
      <c r="B123" s="6" t="s">
        <v>48</v>
      </c>
      <c r="C123" s="7">
        <v>34957</v>
      </c>
      <c r="D123" s="6" t="s">
        <v>42</v>
      </c>
      <c r="E123" s="6" t="s">
        <v>51</v>
      </c>
      <c r="F123" s="6" t="s">
        <v>95</v>
      </c>
      <c r="G123" s="6" t="s">
        <v>89</v>
      </c>
      <c r="H123" s="6" t="s">
        <v>101</v>
      </c>
      <c r="I123" s="6" t="s">
        <v>767</v>
      </c>
      <c r="J123" s="6" t="s">
        <v>767</v>
      </c>
      <c r="K123" s="7">
        <v>6156162</v>
      </c>
      <c r="L123" s="7">
        <v>308633</v>
      </c>
      <c r="M123" s="7">
        <v>19</v>
      </c>
      <c r="N123" s="7">
        <v>3</v>
      </c>
      <c r="O123" s="7">
        <v>16</v>
      </c>
    </row>
    <row r="124" spans="1:15" x14ac:dyDescent="0.25">
      <c r="A124" s="6" t="s">
        <v>14</v>
      </c>
      <c r="B124" s="6" t="s">
        <v>48</v>
      </c>
      <c r="C124" s="7">
        <v>34960</v>
      </c>
      <c r="D124" s="6" t="s">
        <v>42</v>
      </c>
      <c r="E124" s="6" t="s">
        <v>51</v>
      </c>
      <c r="F124" s="6" t="s">
        <v>67</v>
      </c>
      <c r="G124" s="6" t="s">
        <v>89</v>
      </c>
      <c r="H124" s="6" t="s">
        <v>101</v>
      </c>
      <c r="I124" s="6" t="s">
        <v>767</v>
      </c>
      <c r="J124" s="6" t="s">
        <v>767</v>
      </c>
      <c r="K124" s="7">
        <v>6155484</v>
      </c>
      <c r="L124" s="7">
        <v>311638</v>
      </c>
      <c r="M124" s="7">
        <v>19</v>
      </c>
      <c r="N124" s="7">
        <v>3</v>
      </c>
      <c r="O124" s="7">
        <v>14</v>
      </c>
    </row>
    <row r="125" spans="1:15" x14ac:dyDescent="0.25">
      <c r="A125" s="6" t="s">
        <v>14</v>
      </c>
      <c r="B125" s="6" t="s">
        <v>48</v>
      </c>
      <c r="C125" s="7">
        <v>34961</v>
      </c>
      <c r="D125" s="6" t="s">
        <v>42</v>
      </c>
      <c r="E125" s="6" t="s">
        <v>51</v>
      </c>
      <c r="F125" s="6" t="s">
        <v>51</v>
      </c>
      <c r="G125" s="6" t="s">
        <v>89</v>
      </c>
      <c r="H125" s="6" t="s">
        <v>101</v>
      </c>
      <c r="I125" s="6" t="s">
        <v>767</v>
      </c>
      <c r="J125" s="6" t="s">
        <v>767</v>
      </c>
      <c r="K125" s="7">
        <v>6160114</v>
      </c>
      <c r="L125" s="7">
        <v>314109</v>
      </c>
      <c r="M125" s="7">
        <v>19</v>
      </c>
      <c r="N125" s="7">
        <v>4</v>
      </c>
      <c r="O125" s="7">
        <v>10</v>
      </c>
    </row>
    <row r="126" spans="1:15" x14ac:dyDescent="0.25">
      <c r="A126" s="6" t="s">
        <v>14</v>
      </c>
      <c r="B126" s="6" t="s">
        <v>48</v>
      </c>
      <c r="C126" s="7">
        <v>34963</v>
      </c>
      <c r="D126" s="6" t="s">
        <v>42</v>
      </c>
      <c r="E126" s="6" t="s">
        <v>51</v>
      </c>
      <c r="F126" s="6" t="s">
        <v>111</v>
      </c>
      <c r="G126" s="6" t="s">
        <v>89</v>
      </c>
      <c r="H126" s="6" t="s">
        <v>101</v>
      </c>
      <c r="I126" s="6" t="s">
        <v>767</v>
      </c>
      <c r="J126" s="6" t="s">
        <v>767</v>
      </c>
      <c r="K126" s="7">
        <v>6149565</v>
      </c>
      <c r="L126" s="7">
        <v>321356</v>
      </c>
      <c r="M126" s="7">
        <v>19</v>
      </c>
      <c r="N126" s="7">
        <v>2</v>
      </c>
      <c r="O126" s="7">
        <v>12</v>
      </c>
    </row>
    <row r="127" spans="1:15" x14ac:dyDescent="0.25">
      <c r="A127" s="6" t="s">
        <v>14</v>
      </c>
      <c r="B127" s="6" t="s">
        <v>48</v>
      </c>
      <c r="C127" s="7">
        <v>34965</v>
      </c>
      <c r="D127" s="6" t="s">
        <v>42</v>
      </c>
      <c r="E127" s="6" t="s">
        <v>51</v>
      </c>
      <c r="F127" s="6" t="s">
        <v>66</v>
      </c>
      <c r="G127" s="6" t="s">
        <v>89</v>
      </c>
      <c r="H127" s="6" t="s">
        <v>101</v>
      </c>
      <c r="I127" s="6" t="s">
        <v>767</v>
      </c>
      <c r="J127" s="6" t="s">
        <v>767</v>
      </c>
      <c r="K127" s="7">
        <v>6148832</v>
      </c>
      <c r="L127" s="7">
        <v>321170</v>
      </c>
      <c r="M127" s="7">
        <v>19</v>
      </c>
      <c r="N127" s="7">
        <v>3</v>
      </c>
      <c r="O127" s="7">
        <v>21.4</v>
      </c>
    </row>
    <row r="128" spans="1:15" x14ac:dyDescent="0.25">
      <c r="A128" s="6" t="s">
        <v>14</v>
      </c>
      <c r="B128" s="6" t="s">
        <v>48</v>
      </c>
      <c r="C128" s="7">
        <v>34967</v>
      </c>
      <c r="D128" s="6" t="s">
        <v>42</v>
      </c>
      <c r="E128" s="6" t="s">
        <v>51</v>
      </c>
      <c r="F128" s="6" t="s">
        <v>66</v>
      </c>
      <c r="G128" s="6" t="s">
        <v>89</v>
      </c>
      <c r="H128" s="6" t="s">
        <v>101</v>
      </c>
      <c r="I128" s="6" t="s">
        <v>767</v>
      </c>
      <c r="J128" s="6" t="s">
        <v>767</v>
      </c>
      <c r="K128" s="7">
        <v>6147400</v>
      </c>
      <c r="L128" s="7">
        <v>321287</v>
      </c>
      <c r="M128" s="7">
        <v>19</v>
      </c>
      <c r="N128" s="7">
        <v>1</v>
      </c>
      <c r="O128" s="7">
        <v>3.6</v>
      </c>
    </row>
    <row r="129" spans="1:15" x14ac:dyDescent="0.25">
      <c r="A129" s="6" t="s">
        <v>14</v>
      </c>
      <c r="B129" s="6" t="s">
        <v>48</v>
      </c>
      <c r="C129" s="7">
        <v>34969</v>
      </c>
      <c r="D129" s="6" t="s">
        <v>42</v>
      </c>
      <c r="E129" s="6" t="s">
        <v>51</v>
      </c>
      <c r="F129" s="6" t="s">
        <v>94</v>
      </c>
      <c r="G129" s="6" t="s">
        <v>89</v>
      </c>
      <c r="H129" s="6" t="s">
        <v>101</v>
      </c>
      <c r="I129" s="6" t="s">
        <v>767</v>
      </c>
      <c r="J129" s="6" t="s">
        <v>767</v>
      </c>
      <c r="K129" s="7">
        <v>6147858</v>
      </c>
      <c r="L129" s="7">
        <v>321427</v>
      </c>
      <c r="M129" s="7">
        <v>19</v>
      </c>
      <c r="N129" s="7">
        <v>4</v>
      </c>
      <c r="O129" s="7">
        <v>15</v>
      </c>
    </row>
    <row r="130" spans="1:15" x14ac:dyDescent="0.25">
      <c r="A130" s="6" t="s">
        <v>14</v>
      </c>
      <c r="B130" s="6" t="s">
        <v>48</v>
      </c>
      <c r="C130" s="7">
        <v>34970</v>
      </c>
      <c r="D130" s="6" t="s">
        <v>42</v>
      </c>
      <c r="E130" s="6" t="s">
        <v>51</v>
      </c>
      <c r="F130" s="6" t="s">
        <v>94</v>
      </c>
      <c r="G130" s="6" t="s">
        <v>89</v>
      </c>
      <c r="H130" s="6" t="s">
        <v>101</v>
      </c>
      <c r="I130" s="6" t="s">
        <v>767</v>
      </c>
      <c r="J130" s="6" t="s">
        <v>767</v>
      </c>
      <c r="K130" s="7">
        <v>6149393</v>
      </c>
      <c r="L130" s="7">
        <v>319802</v>
      </c>
      <c r="M130" s="7">
        <v>19</v>
      </c>
      <c r="N130" s="7">
        <v>3</v>
      </c>
      <c r="O130" s="7">
        <v>30</v>
      </c>
    </row>
    <row r="131" spans="1:15" x14ac:dyDescent="0.25">
      <c r="A131" s="6" t="s">
        <v>14</v>
      </c>
      <c r="B131" s="6" t="s">
        <v>48</v>
      </c>
      <c r="C131" s="7">
        <v>35007</v>
      </c>
      <c r="D131" s="6" t="s">
        <v>39</v>
      </c>
      <c r="E131" s="6" t="s">
        <v>87</v>
      </c>
      <c r="F131" s="6" t="s">
        <v>88</v>
      </c>
      <c r="G131" s="6" t="s">
        <v>89</v>
      </c>
      <c r="H131" s="6" t="s">
        <v>101</v>
      </c>
      <c r="I131" s="6" t="s">
        <v>767</v>
      </c>
      <c r="J131" s="6" t="s">
        <v>767</v>
      </c>
      <c r="K131" s="7">
        <v>6098103</v>
      </c>
      <c r="L131" s="7">
        <v>293371</v>
      </c>
      <c r="M131" s="7">
        <v>19</v>
      </c>
      <c r="N131" s="7">
        <v>1</v>
      </c>
      <c r="O131" s="7">
        <v>6</v>
      </c>
    </row>
    <row r="132" spans="1:15" x14ac:dyDescent="0.25">
      <c r="A132" s="6" t="s">
        <v>14</v>
      </c>
      <c r="B132" s="6" t="s">
        <v>48</v>
      </c>
      <c r="C132" s="7">
        <v>35008</v>
      </c>
      <c r="D132" s="6" t="s">
        <v>39</v>
      </c>
      <c r="E132" s="6" t="s">
        <v>87</v>
      </c>
      <c r="F132" s="6" t="s">
        <v>88</v>
      </c>
      <c r="G132" s="6" t="s">
        <v>89</v>
      </c>
      <c r="H132" s="6" t="s">
        <v>101</v>
      </c>
      <c r="I132" s="6" t="s">
        <v>767</v>
      </c>
      <c r="J132" s="6" t="s">
        <v>767</v>
      </c>
      <c r="K132" s="7">
        <v>6098705</v>
      </c>
      <c r="L132" s="7">
        <v>293858</v>
      </c>
      <c r="M132" s="7">
        <v>19</v>
      </c>
      <c r="N132" s="7">
        <v>1</v>
      </c>
      <c r="O132" s="7">
        <v>9</v>
      </c>
    </row>
    <row r="133" spans="1:15" x14ac:dyDescent="0.25">
      <c r="A133" s="6" t="s">
        <v>14</v>
      </c>
      <c r="B133" s="6" t="s">
        <v>48</v>
      </c>
      <c r="C133" s="7">
        <v>35009</v>
      </c>
      <c r="D133" s="6" t="s">
        <v>39</v>
      </c>
      <c r="E133" s="6" t="s">
        <v>87</v>
      </c>
      <c r="F133" s="6" t="s">
        <v>88</v>
      </c>
      <c r="G133" s="6" t="s">
        <v>89</v>
      </c>
      <c r="H133" s="6" t="s">
        <v>101</v>
      </c>
      <c r="I133" s="6" t="s">
        <v>767</v>
      </c>
      <c r="J133" s="6" t="s">
        <v>767</v>
      </c>
      <c r="K133" s="7">
        <v>6097747</v>
      </c>
      <c r="L133" s="7">
        <v>293052</v>
      </c>
      <c r="M133" s="7">
        <v>19</v>
      </c>
      <c r="N133" s="7">
        <v>4</v>
      </c>
      <c r="O133" s="7">
        <v>10</v>
      </c>
    </row>
    <row r="134" spans="1:15" x14ac:dyDescent="0.25">
      <c r="A134" s="6" t="s">
        <v>14</v>
      </c>
      <c r="B134" s="6" t="s">
        <v>48</v>
      </c>
      <c r="C134" s="7">
        <v>35013</v>
      </c>
      <c r="D134" s="6" t="s">
        <v>42</v>
      </c>
      <c r="E134" s="6" t="s">
        <v>51</v>
      </c>
      <c r="F134" s="6" t="s">
        <v>51</v>
      </c>
      <c r="G134" s="6" t="s">
        <v>50</v>
      </c>
      <c r="H134" s="6" t="s">
        <v>33</v>
      </c>
      <c r="I134" s="6" t="s">
        <v>767</v>
      </c>
      <c r="J134" s="6" t="s">
        <v>767</v>
      </c>
      <c r="K134" s="7">
        <v>6147952</v>
      </c>
      <c r="L134" s="7">
        <v>315720</v>
      </c>
      <c r="M134" s="7">
        <v>19</v>
      </c>
      <c r="N134" s="7">
        <v>1</v>
      </c>
      <c r="O134" s="7">
        <v>4.91</v>
      </c>
    </row>
    <row r="135" spans="1:15" x14ac:dyDescent="0.25">
      <c r="A135" s="6" t="s">
        <v>14</v>
      </c>
      <c r="B135" s="6" t="s">
        <v>48</v>
      </c>
      <c r="C135" s="7">
        <v>35014</v>
      </c>
      <c r="D135" s="6" t="s">
        <v>42</v>
      </c>
      <c r="E135" s="6" t="s">
        <v>51</v>
      </c>
      <c r="F135" s="6" t="s">
        <v>51</v>
      </c>
      <c r="G135" s="6" t="s">
        <v>50</v>
      </c>
      <c r="H135" s="6" t="s">
        <v>33</v>
      </c>
      <c r="I135" s="6" t="s">
        <v>767</v>
      </c>
      <c r="J135" s="6" t="s">
        <v>767</v>
      </c>
      <c r="K135" s="7">
        <v>6147952</v>
      </c>
      <c r="L135" s="7">
        <v>315720</v>
      </c>
      <c r="M135" s="7">
        <v>19</v>
      </c>
      <c r="N135" s="7">
        <v>1</v>
      </c>
      <c r="O135" s="7">
        <v>0.49</v>
      </c>
    </row>
    <row r="136" spans="1:15" x14ac:dyDescent="0.25">
      <c r="A136" s="6" t="s">
        <v>28</v>
      </c>
      <c r="B136" s="6" t="s">
        <v>113</v>
      </c>
      <c r="C136" s="7">
        <v>30098</v>
      </c>
      <c r="D136" s="6" t="s">
        <v>98</v>
      </c>
      <c r="E136" s="6" t="s">
        <v>114</v>
      </c>
      <c r="F136" s="6" t="s">
        <v>115</v>
      </c>
      <c r="G136" s="6" t="s">
        <v>50</v>
      </c>
      <c r="H136" s="6" t="s">
        <v>33</v>
      </c>
      <c r="I136" s="6" t="s">
        <v>767</v>
      </c>
      <c r="J136" s="6" t="s">
        <v>767</v>
      </c>
      <c r="K136" s="7">
        <v>5937401</v>
      </c>
      <c r="L136" s="7">
        <v>243123</v>
      </c>
      <c r="M136" s="7">
        <v>19</v>
      </c>
      <c r="N136" s="7">
        <v>1</v>
      </c>
      <c r="O136" s="7">
        <v>30</v>
      </c>
    </row>
    <row r="137" spans="1:15" x14ac:dyDescent="0.25">
      <c r="A137" s="6" t="s">
        <v>28</v>
      </c>
      <c r="B137" s="6" t="s">
        <v>113</v>
      </c>
      <c r="C137" s="7">
        <v>30100</v>
      </c>
      <c r="D137" s="6" t="s">
        <v>98</v>
      </c>
      <c r="E137" s="6" t="s">
        <v>114</v>
      </c>
      <c r="F137" s="6" t="s">
        <v>118</v>
      </c>
      <c r="G137" s="6" t="s">
        <v>50</v>
      </c>
      <c r="H137" s="6" t="s">
        <v>33</v>
      </c>
      <c r="I137" s="6" t="s">
        <v>767</v>
      </c>
      <c r="J137" s="6" t="s">
        <v>767</v>
      </c>
      <c r="K137" s="7">
        <v>5955218</v>
      </c>
      <c r="L137" s="7">
        <v>247098</v>
      </c>
      <c r="M137" s="7">
        <v>19</v>
      </c>
      <c r="N137" s="7">
        <v>2</v>
      </c>
      <c r="O137" s="7">
        <v>76.599999999999994</v>
      </c>
    </row>
    <row r="138" spans="1:15" x14ac:dyDescent="0.25">
      <c r="A138" s="6" t="s">
        <v>28</v>
      </c>
      <c r="B138" s="6" t="s">
        <v>113</v>
      </c>
      <c r="C138" s="7">
        <v>30132</v>
      </c>
      <c r="D138" s="6" t="s">
        <v>98</v>
      </c>
      <c r="E138" s="6" t="s">
        <v>119</v>
      </c>
      <c r="F138" s="6" t="s">
        <v>120</v>
      </c>
      <c r="G138" s="6" t="s">
        <v>50</v>
      </c>
      <c r="H138" s="6" t="s">
        <v>33</v>
      </c>
      <c r="I138" s="6" t="s">
        <v>767</v>
      </c>
      <c r="J138" s="6" t="s">
        <v>767</v>
      </c>
      <c r="K138" s="7">
        <v>5942091</v>
      </c>
      <c r="L138" s="7">
        <v>231985</v>
      </c>
      <c r="M138" s="7">
        <v>19</v>
      </c>
      <c r="N138" s="7">
        <v>1</v>
      </c>
      <c r="O138" s="7">
        <v>43</v>
      </c>
    </row>
    <row r="139" spans="1:15" x14ac:dyDescent="0.25">
      <c r="A139" s="6" t="s">
        <v>28</v>
      </c>
      <c r="B139" s="6" t="s">
        <v>113</v>
      </c>
      <c r="C139" s="7">
        <v>30133</v>
      </c>
      <c r="D139" s="6" t="s">
        <v>98</v>
      </c>
      <c r="E139" s="6" t="s">
        <v>121</v>
      </c>
      <c r="F139" s="6" t="s">
        <v>122</v>
      </c>
      <c r="G139" s="6" t="s">
        <v>50</v>
      </c>
      <c r="H139" s="6" t="s">
        <v>33</v>
      </c>
      <c r="I139" s="6" t="s">
        <v>767</v>
      </c>
      <c r="J139" s="6" t="s">
        <v>767</v>
      </c>
      <c r="K139" s="7">
        <v>5952214</v>
      </c>
      <c r="L139" s="7">
        <v>755600</v>
      </c>
      <c r="M139" s="7">
        <v>18</v>
      </c>
      <c r="N139" s="7">
        <v>1</v>
      </c>
      <c r="O139" s="7">
        <v>38</v>
      </c>
    </row>
    <row r="140" spans="1:15" x14ac:dyDescent="0.25">
      <c r="A140" s="6" t="s">
        <v>28</v>
      </c>
      <c r="B140" s="6" t="s">
        <v>113</v>
      </c>
      <c r="C140" s="7">
        <v>30136</v>
      </c>
      <c r="D140" s="6" t="s">
        <v>98</v>
      </c>
      <c r="E140" s="6" t="s">
        <v>99</v>
      </c>
      <c r="F140" s="6" t="s">
        <v>123</v>
      </c>
      <c r="G140" s="6" t="s">
        <v>50</v>
      </c>
      <c r="H140" s="6" t="s">
        <v>33</v>
      </c>
      <c r="I140" s="6" t="s">
        <v>767</v>
      </c>
      <c r="J140" s="6" t="s">
        <v>767</v>
      </c>
      <c r="K140" s="7">
        <v>5862770</v>
      </c>
      <c r="L140" s="7">
        <v>747152</v>
      </c>
      <c r="M140" s="7">
        <v>18</v>
      </c>
      <c r="N140" s="7">
        <v>1</v>
      </c>
      <c r="O140" s="7">
        <v>81</v>
      </c>
    </row>
    <row r="141" spans="1:15" x14ac:dyDescent="0.25">
      <c r="A141" s="6" t="s">
        <v>28</v>
      </c>
      <c r="B141" s="6" t="s">
        <v>113</v>
      </c>
      <c r="C141" s="7">
        <v>30141</v>
      </c>
      <c r="D141" s="6" t="s">
        <v>98</v>
      </c>
      <c r="E141" s="6" t="s">
        <v>99</v>
      </c>
      <c r="F141" s="6" t="s">
        <v>123</v>
      </c>
      <c r="G141" s="6" t="s">
        <v>50</v>
      </c>
      <c r="H141" s="6" t="s">
        <v>33</v>
      </c>
      <c r="I141" s="6" t="s">
        <v>767</v>
      </c>
      <c r="J141" s="6" t="s">
        <v>767</v>
      </c>
      <c r="K141" s="7">
        <v>5860535</v>
      </c>
      <c r="L141" s="7">
        <v>750092</v>
      </c>
      <c r="M141" s="7">
        <v>18</v>
      </c>
      <c r="N141" s="7">
        <v>1</v>
      </c>
      <c r="O141" s="7">
        <v>43</v>
      </c>
    </row>
    <row r="142" spans="1:15" x14ac:dyDescent="0.25">
      <c r="A142" s="6" t="s">
        <v>28</v>
      </c>
      <c r="B142" s="6" t="s">
        <v>113</v>
      </c>
      <c r="C142" s="7">
        <v>30148</v>
      </c>
      <c r="D142" s="6" t="s">
        <v>98</v>
      </c>
      <c r="E142" s="6" t="s">
        <v>99</v>
      </c>
      <c r="F142" s="6" t="s">
        <v>124</v>
      </c>
      <c r="G142" s="6" t="s">
        <v>50</v>
      </c>
      <c r="H142" s="6" t="s">
        <v>33</v>
      </c>
      <c r="I142" s="6" t="s">
        <v>767</v>
      </c>
      <c r="J142" s="6" t="s">
        <v>767</v>
      </c>
      <c r="K142" s="7">
        <v>5842670</v>
      </c>
      <c r="L142" s="7">
        <v>747022</v>
      </c>
      <c r="M142" s="7">
        <v>18</v>
      </c>
      <c r="N142" s="7">
        <v>1</v>
      </c>
      <c r="O142" s="7">
        <v>67</v>
      </c>
    </row>
    <row r="143" spans="1:15" x14ac:dyDescent="0.25">
      <c r="A143" s="6" t="s">
        <v>28</v>
      </c>
      <c r="B143" s="6" t="s">
        <v>113</v>
      </c>
      <c r="C143" s="7">
        <v>30150</v>
      </c>
      <c r="D143" s="6" t="s">
        <v>98</v>
      </c>
      <c r="E143" s="6" t="s">
        <v>99</v>
      </c>
      <c r="F143" s="6" t="s">
        <v>125</v>
      </c>
      <c r="G143" s="6" t="s">
        <v>50</v>
      </c>
      <c r="H143" s="6" t="s">
        <v>33</v>
      </c>
      <c r="I143" s="6" t="s">
        <v>767</v>
      </c>
      <c r="J143" s="6" t="s">
        <v>767</v>
      </c>
      <c r="K143" s="7">
        <v>5843007</v>
      </c>
      <c r="L143" s="7">
        <v>738112</v>
      </c>
      <c r="M143" s="7">
        <v>18</v>
      </c>
      <c r="N143" s="7">
        <v>1</v>
      </c>
      <c r="O143" s="7">
        <v>30</v>
      </c>
    </row>
    <row r="144" spans="1:15" x14ac:dyDescent="0.25">
      <c r="A144" s="6" t="s">
        <v>28</v>
      </c>
      <c r="B144" s="6" t="s">
        <v>113</v>
      </c>
      <c r="C144" s="7">
        <v>30426</v>
      </c>
      <c r="D144" s="6" t="s">
        <v>98</v>
      </c>
      <c r="E144" s="6" t="s">
        <v>126</v>
      </c>
      <c r="F144" s="6" t="s">
        <v>127</v>
      </c>
      <c r="G144" s="6" t="s">
        <v>50</v>
      </c>
      <c r="H144" s="6" t="s">
        <v>33</v>
      </c>
      <c r="I144" s="6" t="s">
        <v>767</v>
      </c>
      <c r="J144" s="6" t="s">
        <v>767</v>
      </c>
      <c r="K144" s="7">
        <v>5914847</v>
      </c>
      <c r="L144" s="7">
        <v>767199</v>
      </c>
      <c r="M144" s="7">
        <v>18</v>
      </c>
      <c r="N144" s="7">
        <v>1</v>
      </c>
      <c r="O144" s="7">
        <v>64</v>
      </c>
    </row>
    <row r="145" spans="1:15" x14ac:dyDescent="0.25">
      <c r="A145" s="6" t="s">
        <v>28</v>
      </c>
      <c r="B145" s="6" t="s">
        <v>113</v>
      </c>
      <c r="C145" s="7">
        <v>30639</v>
      </c>
      <c r="D145" s="6" t="s">
        <v>98</v>
      </c>
      <c r="E145" s="6" t="s">
        <v>119</v>
      </c>
      <c r="F145" s="6" t="s">
        <v>119</v>
      </c>
      <c r="G145" s="6" t="s">
        <v>50</v>
      </c>
      <c r="H145" s="6" t="s">
        <v>33</v>
      </c>
      <c r="I145" s="6" t="s">
        <v>767</v>
      </c>
      <c r="J145" s="6" t="s">
        <v>767</v>
      </c>
      <c r="K145" s="7">
        <v>5944447</v>
      </c>
      <c r="L145" s="7">
        <v>763319</v>
      </c>
      <c r="M145" s="7">
        <v>18</v>
      </c>
      <c r="N145" s="7">
        <v>1</v>
      </c>
      <c r="O145" s="7">
        <v>16</v>
      </c>
    </row>
    <row r="146" spans="1:15" x14ac:dyDescent="0.25">
      <c r="A146" s="6" t="s">
        <v>28</v>
      </c>
      <c r="B146" s="6" t="s">
        <v>113</v>
      </c>
      <c r="C146" s="7">
        <v>30646</v>
      </c>
      <c r="D146" s="6" t="s">
        <v>98</v>
      </c>
      <c r="E146" s="6" t="s">
        <v>128</v>
      </c>
      <c r="F146" s="6" t="s">
        <v>129</v>
      </c>
      <c r="G146" s="6" t="s">
        <v>50</v>
      </c>
      <c r="H146" s="6" t="s">
        <v>33</v>
      </c>
      <c r="I146" s="6" t="s">
        <v>767</v>
      </c>
      <c r="J146" s="6" t="s">
        <v>767</v>
      </c>
      <c r="K146" s="7">
        <v>5882853</v>
      </c>
      <c r="L146" s="7">
        <v>739819</v>
      </c>
      <c r="M146" s="7">
        <v>18</v>
      </c>
      <c r="N146" s="7">
        <v>1</v>
      </c>
      <c r="O146" s="7">
        <v>32</v>
      </c>
    </row>
    <row r="147" spans="1:15" x14ac:dyDescent="0.25">
      <c r="A147" s="6" t="s">
        <v>28</v>
      </c>
      <c r="B147" s="6" t="s">
        <v>113</v>
      </c>
      <c r="C147" s="7">
        <v>30758</v>
      </c>
      <c r="D147" s="6" t="s">
        <v>98</v>
      </c>
      <c r="E147" s="6" t="s">
        <v>99</v>
      </c>
      <c r="F147" s="6" t="s">
        <v>99</v>
      </c>
      <c r="G147" s="6" t="s">
        <v>50</v>
      </c>
      <c r="H147" s="6" t="s">
        <v>33</v>
      </c>
      <c r="I147" s="6" t="s">
        <v>767</v>
      </c>
      <c r="J147" s="6" t="s">
        <v>767</v>
      </c>
      <c r="K147" s="7">
        <v>5853238</v>
      </c>
      <c r="L147" s="7">
        <v>758790</v>
      </c>
      <c r="M147" s="7">
        <v>18</v>
      </c>
      <c r="N147" s="7">
        <v>1</v>
      </c>
      <c r="O147" s="7">
        <v>52</v>
      </c>
    </row>
    <row r="148" spans="1:15" x14ac:dyDescent="0.25">
      <c r="A148" s="6" t="s">
        <v>28</v>
      </c>
      <c r="B148" s="6" t="s">
        <v>113</v>
      </c>
      <c r="C148" s="7">
        <v>30768</v>
      </c>
      <c r="D148" s="6" t="s">
        <v>98</v>
      </c>
      <c r="E148" s="6" t="s">
        <v>130</v>
      </c>
      <c r="F148" s="6" t="s">
        <v>130</v>
      </c>
      <c r="G148" s="6" t="s">
        <v>50</v>
      </c>
      <c r="H148" s="6" t="s">
        <v>33</v>
      </c>
      <c r="I148" s="6" t="s">
        <v>767</v>
      </c>
      <c r="J148" s="6" t="s">
        <v>767</v>
      </c>
      <c r="K148" s="7">
        <v>5916974</v>
      </c>
      <c r="L148" s="7">
        <v>767324</v>
      </c>
      <c r="M148" s="7">
        <v>18</v>
      </c>
      <c r="N148" s="7">
        <v>1</v>
      </c>
      <c r="O148" s="7">
        <v>19</v>
      </c>
    </row>
    <row r="149" spans="1:15" x14ac:dyDescent="0.25">
      <c r="A149" s="6" t="s">
        <v>28</v>
      </c>
      <c r="B149" s="6" t="s">
        <v>113</v>
      </c>
      <c r="C149" s="7">
        <v>30778</v>
      </c>
      <c r="D149" s="6" t="s">
        <v>98</v>
      </c>
      <c r="E149" s="6" t="s">
        <v>119</v>
      </c>
      <c r="F149" s="6" t="s">
        <v>131</v>
      </c>
      <c r="G149" s="6" t="s">
        <v>50</v>
      </c>
      <c r="H149" s="6" t="s">
        <v>33</v>
      </c>
      <c r="I149" s="6" t="s">
        <v>767</v>
      </c>
      <c r="J149" s="6" t="s">
        <v>767</v>
      </c>
      <c r="K149" s="7">
        <v>5938439</v>
      </c>
      <c r="L149" s="7">
        <v>238277</v>
      </c>
      <c r="M149" s="7">
        <v>19</v>
      </c>
      <c r="N149" s="7">
        <v>1</v>
      </c>
      <c r="O149" s="7">
        <v>11</v>
      </c>
    </row>
    <row r="150" spans="1:15" x14ac:dyDescent="0.25">
      <c r="A150" s="6" t="s">
        <v>28</v>
      </c>
      <c r="B150" s="6" t="s">
        <v>113</v>
      </c>
      <c r="C150" s="7">
        <v>30787</v>
      </c>
      <c r="D150" s="6" t="s">
        <v>98</v>
      </c>
      <c r="E150" s="6" t="s">
        <v>104</v>
      </c>
      <c r="F150" s="6" t="s">
        <v>132</v>
      </c>
      <c r="G150" s="6" t="s">
        <v>50</v>
      </c>
      <c r="H150" s="6" t="s">
        <v>33</v>
      </c>
      <c r="I150" s="6" t="s">
        <v>767</v>
      </c>
      <c r="J150" s="6" t="s">
        <v>767</v>
      </c>
      <c r="K150" s="7">
        <v>5915444</v>
      </c>
      <c r="L150" s="7">
        <v>740332</v>
      </c>
      <c r="M150" s="7">
        <v>18</v>
      </c>
      <c r="N150" s="7">
        <v>2</v>
      </c>
      <c r="O150" s="7">
        <v>96</v>
      </c>
    </row>
    <row r="151" spans="1:15" x14ac:dyDescent="0.25">
      <c r="A151" s="6" t="s">
        <v>28</v>
      </c>
      <c r="B151" s="6" t="s">
        <v>113</v>
      </c>
      <c r="C151" s="7">
        <v>30824</v>
      </c>
      <c r="D151" s="6" t="s">
        <v>133</v>
      </c>
      <c r="E151" s="6" t="s">
        <v>134</v>
      </c>
      <c r="F151" s="6" t="s">
        <v>134</v>
      </c>
      <c r="G151" s="6" t="s">
        <v>50</v>
      </c>
      <c r="H151" s="6" t="s">
        <v>33</v>
      </c>
      <c r="I151" s="6" t="s">
        <v>767</v>
      </c>
      <c r="J151" s="6" t="s">
        <v>767</v>
      </c>
      <c r="K151" s="7">
        <v>5805083</v>
      </c>
      <c r="L151" s="7">
        <v>705386</v>
      </c>
      <c r="M151" s="7">
        <v>18</v>
      </c>
      <c r="N151" s="7">
        <v>1</v>
      </c>
      <c r="O151" s="7">
        <v>42</v>
      </c>
    </row>
    <row r="152" spans="1:15" x14ac:dyDescent="0.25">
      <c r="A152" s="6" t="s">
        <v>28</v>
      </c>
      <c r="B152" s="6" t="s">
        <v>113</v>
      </c>
      <c r="C152" s="7">
        <v>30940</v>
      </c>
      <c r="D152" s="6" t="s">
        <v>98</v>
      </c>
      <c r="E152" s="6" t="s">
        <v>104</v>
      </c>
      <c r="F152" s="6" t="s">
        <v>130</v>
      </c>
      <c r="G152" s="6" t="s">
        <v>50</v>
      </c>
      <c r="H152" s="6" t="s">
        <v>33</v>
      </c>
      <c r="I152" s="6" t="s">
        <v>767</v>
      </c>
      <c r="J152" s="6" t="s">
        <v>767</v>
      </c>
      <c r="K152" s="7">
        <v>5921737</v>
      </c>
      <c r="L152" s="7">
        <v>752722</v>
      </c>
      <c r="M152" s="7">
        <v>18</v>
      </c>
      <c r="N152" s="7">
        <v>2</v>
      </c>
      <c r="O152" s="7">
        <v>24.3</v>
      </c>
    </row>
    <row r="153" spans="1:15" x14ac:dyDescent="0.25">
      <c r="A153" s="6" t="s">
        <v>28</v>
      </c>
      <c r="B153" s="6" t="s">
        <v>113</v>
      </c>
      <c r="C153" s="7">
        <v>30941</v>
      </c>
      <c r="D153" s="6" t="s">
        <v>98</v>
      </c>
      <c r="E153" s="6" t="s">
        <v>135</v>
      </c>
      <c r="F153" s="6" t="s">
        <v>135</v>
      </c>
      <c r="G153" s="6" t="s">
        <v>50</v>
      </c>
      <c r="H153" s="6" t="s">
        <v>33</v>
      </c>
      <c r="I153" s="6" t="s">
        <v>767</v>
      </c>
      <c r="J153" s="6" t="s">
        <v>767</v>
      </c>
      <c r="K153" s="7">
        <v>5871983</v>
      </c>
      <c r="L153" s="7">
        <v>740304</v>
      </c>
      <c r="M153" s="7">
        <v>18</v>
      </c>
      <c r="N153" s="7">
        <v>1</v>
      </c>
      <c r="O153" s="7">
        <v>54</v>
      </c>
    </row>
    <row r="154" spans="1:15" x14ac:dyDescent="0.25">
      <c r="A154" s="6" t="s">
        <v>28</v>
      </c>
      <c r="B154" s="6" t="s">
        <v>113</v>
      </c>
      <c r="C154" s="7">
        <v>30952</v>
      </c>
      <c r="D154" s="6" t="s">
        <v>98</v>
      </c>
      <c r="E154" s="6" t="s">
        <v>99</v>
      </c>
      <c r="F154" s="6" t="s">
        <v>99</v>
      </c>
      <c r="G154" s="6" t="s">
        <v>50</v>
      </c>
      <c r="H154" s="6" t="s">
        <v>33</v>
      </c>
      <c r="I154" s="6" t="s">
        <v>767</v>
      </c>
      <c r="J154" s="6" t="s">
        <v>767</v>
      </c>
      <c r="K154" s="7">
        <v>5861795</v>
      </c>
      <c r="L154" s="7">
        <v>747412</v>
      </c>
      <c r="M154" s="7">
        <v>18</v>
      </c>
      <c r="N154" s="7">
        <v>4</v>
      </c>
      <c r="O154" s="7">
        <v>69</v>
      </c>
    </row>
    <row r="155" spans="1:15" x14ac:dyDescent="0.25">
      <c r="A155" s="6" t="s">
        <v>28</v>
      </c>
      <c r="B155" s="6" t="s">
        <v>113</v>
      </c>
      <c r="C155" s="7">
        <v>31221</v>
      </c>
      <c r="D155" s="6" t="s">
        <v>98</v>
      </c>
      <c r="E155" s="6" t="s">
        <v>130</v>
      </c>
      <c r="F155" s="6" t="s">
        <v>136</v>
      </c>
      <c r="G155" s="6" t="s">
        <v>50</v>
      </c>
      <c r="H155" s="6" t="s">
        <v>33</v>
      </c>
      <c r="I155" s="6" t="s">
        <v>767</v>
      </c>
      <c r="J155" s="6" t="s">
        <v>767</v>
      </c>
      <c r="K155" s="7">
        <v>5919510</v>
      </c>
      <c r="L155" s="7">
        <v>757768</v>
      </c>
      <c r="M155" s="7">
        <v>18</v>
      </c>
      <c r="N155" s="7">
        <v>1</v>
      </c>
      <c r="O155" s="7">
        <v>13</v>
      </c>
    </row>
    <row r="156" spans="1:15" x14ac:dyDescent="0.25">
      <c r="A156" s="6" t="s">
        <v>28</v>
      </c>
      <c r="B156" s="6" t="s">
        <v>113</v>
      </c>
      <c r="C156" s="7">
        <v>31235</v>
      </c>
      <c r="D156" s="6" t="s">
        <v>98</v>
      </c>
      <c r="E156" s="6" t="s">
        <v>137</v>
      </c>
      <c r="F156" s="6" t="s">
        <v>137</v>
      </c>
      <c r="G156" s="6" t="s">
        <v>50</v>
      </c>
      <c r="H156" s="6" t="s">
        <v>33</v>
      </c>
      <c r="I156" s="6" t="s">
        <v>767</v>
      </c>
      <c r="J156" s="6" t="s">
        <v>767</v>
      </c>
      <c r="K156" s="7">
        <v>5889422</v>
      </c>
      <c r="L156" s="7">
        <v>234557</v>
      </c>
      <c r="M156" s="7">
        <v>19</v>
      </c>
      <c r="N156" s="7">
        <v>1</v>
      </c>
      <c r="O156" s="7">
        <v>22</v>
      </c>
    </row>
    <row r="157" spans="1:15" x14ac:dyDescent="0.25">
      <c r="A157" s="6" t="s">
        <v>28</v>
      </c>
      <c r="B157" s="6" t="s">
        <v>113</v>
      </c>
      <c r="C157" s="7">
        <v>31257</v>
      </c>
      <c r="D157" s="6" t="s">
        <v>98</v>
      </c>
      <c r="E157" s="6" t="s">
        <v>104</v>
      </c>
      <c r="F157" s="6" t="s">
        <v>132</v>
      </c>
      <c r="G157" s="6" t="s">
        <v>50</v>
      </c>
      <c r="H157" s="6" t="s">
        <v>33</v>
      </c>
      <c r="I157" s="6" t="s">
        <v>764</v>
      </c>
      <c r="J157" s="6" t="s">
        <v>767</v>
      </c>
      <c r="K157" s="7">
        <v>5914526</v>
      </c>
      <c r="L157" s="7">
        <v>748621</v>
      </c>
      <c r="M157" s="7">
        <v>18</v>
      </c>
      <c r="N157" s="7">
        <v>1</v>
      </c>
      <c r="O157" s="7">
        <v>15</v>
      </c>
    </row>
    <row r="158" spans="1:15" x14ac:dyDescent="0.25">
      <c r="A158" s="6" t="s">
        <v>28</v>
      </c>
      <c r="B158" s="6" t="s">
        <v>113</v>
      </c>
      <c r="C158" s="7">
        <v>31260</v>
      </c>
      <c r="D158" s="6" t="s">
        <v>98</v>
      </c>
      <c r="E158" s="6" t="s">
        <v>126</v>
      </c>
      <c r="F158" s="6" t="s">
        <v>126</v>
      </c>
      <c r="G158" s="6" t="s">
        <v>50</v>
      </c>
      <c r="H158" s="6" t="s">
        <v>33</v>
      </c>
      <c r="I158" s="6" t="s">
        <v>764</v>
      </c>
      <c r="J158" s="6" t="s">
        <v>767</v>
      </c>
      <c r="K158" s="7">
        <v>5905253</v>
      </c>
      <c r="L158" s="7">
        <v>239240</v>
      </c>
      <c r="M158" s="7">
        <v>19</v>
      </c>
      <c r="N158" s="7">
        <v>1</v>
      </c>
      <c r="O158" s="7">
        <v>16</v>
      </c>
    </row>
    <row r="159" spans="1:15" x14ac:dyDescent="0.25">
      <c r="A159" s="6" t="s">
        <v>28</v>
      </c>
      <c r="B159" s="6" t="s">
        <v>113</v>
      </c>
      <c r="C159" s="7">
        <v>31283</v>
      </c>
      <c r="D159" s="6" t="s">
        <v>98</v>
      </c>
      <c r="E159" s="6" t="s">
        <v>99</v>
      </c>
      <c r="F159" s="6" t="s">
        <v>138</v>
      </c>
      <c r="G159" s="6" t="s">
        <v>50</v>
      </c>
      <c r="H159" s="6" t="s">
        <v>33</v>
      </c>
      <c r="I159" s="6" t="s">
        <v>767</v>
      </c>
      <c r="J159" s="6" t="s">
        <v>767</v>
      </c>
      <c r="K159" s="7">
        <v>5852859</v>
      </c>
      <c r="L159" s="7">
        <v>726225</v>
      </c>
      <c r="M159" s="7">
        <v>18</v>
      </c>
      <c r="N159" s="7">
        <v>1</v>
      </c>
      <c r="O159" s="7">
        <v>14.9</v>
      </c>
    </row>
    <row r="160" spans="1:15" x14ac:dyDescent="0.25">
      <c r="A160" s="6" t="s">
        <v>28</v>
      </c>
      <c r="B160" s="6" t="s">
        <v>113</v>
      </c>
      <c r="C160" s="7">
        <v>31890</v>
      </c>
      <c r="D160" s="6" t="s">
        <v>98</v>
      </c>
      <c r="E160" s="6" t="s">
        <v>114</v>
      </c>
      <c r="F160" s="6" t="s">
        <v>114</v>
      </c>
      <c r="G160" s="6" t="s">
        <v>50</v>
      </c>
      <c r="H160" s="6" t="s">
        <v>33</v>
      </c>
      <c r="I160" s="6" t="s">
        <v>764</v>
      </c>
      <c r="J160" s="6" t="s">
        <v>767</v>
      </c>
      <c r="K160" s="7">
        <v>5946744</v>
      </c>
      <c r="L160" s="7">
        <v>241657</v>
      </c>
      <c r="M160" s="7">
        <v>19</v>
      </c>
      <c r="N160" s="7">
        <v>1</v>
      </c>
      <c r="O160" s="7">
        <v>28</v>
      </c>
    </row>
    <row r="161" spans="1:15" x14ac:dyDescent="0.25">
      <c r="A161" s="6" t="s">
        <v>28</v>
      </c>
      <c r="B161" s="6" t="s">
        <v>113</v>
      </c>
      <c r="C161" s="7">
        <v>31895</v>
      </c>
      <c r="D161" s="6" t="s">
        <v>98</v>
      </c>
      <c r="E161" s="6" t="s">
        <v>114</v>
      </c>
      <c r="F161" s="6" t="s">
        <v>118</v>
      </c>
      <c r="G161" s="6" t="s">
        <v>50</v>
      </c>
      <c r="H161" s="6" t="s">
        <v>33</v>
      </c>
      <c r="I161" s="6" t="s">
        <v>767</v>
      </c>
      <c r="J161" s="6" t="s">
        <v>767</v>
      </c>
      <c r="K161" s="7">
        <v>5953371</v>
      </c>
      <c r="L161" s="7">
        <v>246443</v>
      </c>
      <c r="M161" s="7">
        <v>19</v>
      </c>
      <c r="N161" s="7">
        <v>1</v>
      </c>
      <c r="O161" s="7">
        <v>24</v>
      </c>
    </row>
    <row r="162" spans="1:15" x14ac:dyDescent="0.25">
      <c r="A162" s="6" t="s">
        <v>28</v>
      </c>
      <c r="B162" s="6" t="s">
        <v>113</v>
      </c>
      <c r="C162" s="7">
        <v>31908</v>
      </c>
      <c r="D162" s="6" t="s">
        <v>98</v>
      </c>
      <c r="E162" s="6" t="s">
        <v>139</v>
      </c>
      <c r="F162" s="6" t="s">
        <v>139</v>
      </c>
      <c r="G162" s="6" t="s">
        <v>50</v>
      </c>
      <c r="H162" s="6" t="s">
        <v>33</v>
      </c>
      <c r="I162" s="6" t="s">
        <v>767</v>
      </c>
      <c r="J162" s="6" t="s">
        <v>767</v>
      </c>
      <c r="K162" s="7">
        <v>5902802</v>
      </c>
      <c r="L162" s="7">
        <v>756867</v>
      </c>
      <c r="M162" s="7">
        <v>18</v>
      </c>
      <c r="N162" s="7">
        <v>1</v>
      </c>
      <c r="O162" s="7">
        <v>17</v>
      </c>
    </row>
    <row r="163" spans="1:15" x14ac:dyDescent="0.25">
      <c r="A163" s="6" t="s">
        <v>28</v>
      </c>
      <c r="B163" s="6" t="s">
        <v>113</v>
      </c>
      <c r="C163" s="7">
        <v>31918</v>
      </c>
      <c r="D163" s="6" t="s">
        <v>98</v>
      </c>
      <c r="E163" s="6" t="s">
        <v>139</v>
      </c>
      <c r="F163" s="6" t="s">
        <v>139</v>
      </c>
      <c r="G163" s="6" t="s">
        <v>50</v>
      </c>
      <c r="H163" s="6" t="s">
        <v>33</v>
      </c>
      <c r="I163" s="6" t="s">
        <v>767</v>
      </c>
      <c r="J163" s="6" t="s">
        <v>767</v>
      </c>
      <c r="K163" s="7">
        <v>5910211</v>
      </c>
      <c r="L163" s="7">
        <v>742397</v>
      </c>
      <c r="M163" s="7">
        <v>18</v>
      </c>
      <c r="N163" s="7">
        <v>1</v>
      </c>
      <c r="O163" s="7">
        <v>51</v>
      </c>
    </row>
    <row r="164" spans="1:15" x14ac:dyDescent="0.25">
      <c r="A164" s="6" t="s">
        <v>28</v>
      </c>
      <c r="B164" s="6" t="s">
        <v>113</v>
      </c>
      <c r="C164" s="7">
        <v>31994</v>
      </c>
      <c r="D164" s="6" t="s">
        <v>98</v>
      </c>
      <c r="E164" s="6" t="s">
        <v>99</v>
      </c>
      <c r="F164" s="6" t="s">
        <v>140</v>
      </c>
      <c r="G164" s="6" t="s">
        <v>50</v>
      </c>
      <c r="H164" s="6" t="s">
        <v>33</v>
      </c>
      <c r="I164" s="6" t="s">
        <v>767</v>
      </c>
      <c r="J164" s="6" t="s">
        <v>767</v>
      </c>
      <c r="K164" s="7">
        <v>5842104</v>
      </c>
      <c r="L164" s="7">
        <v>723587</v>
      </c>
      <c r="M164" s="7">
        <v>18</v>
      </c>
      <c r="N164" s="7">
        <v>1</v>
      </c>
      <c r="O164" s="7">
        <v>30</v>
      </c>
    </row>
    <row r="165" spans="1:15" x14ac:dyDescent="0.25">
      <c r="A165" s="6" t="s">
        <v>28</v>
      </c>
      <c r="B165" s="6" t="s">
        <v>113</v>
      </c>
      <c r="C165" s="7">
        <v>31999</v>
      </c>
      <c r="D165" s="6" t="s">
        <v>98</v>
      </c>
      <c r="E165" s="6" t="s">
        <v>139</v>
      </c>
      <c r="F165" s="6" t="s">
        <v>139</v>
      </c>
      <c r="G165" s="6" t="s">
        <v>50</v>
      </c>
      <c r="H165" s="6" t="s">
        <v>33</v>
      </c>
      <c r="I165" s="6" t="s">
        <v>767</v>
      </c>
      <c r="J165" s="6" t="s">
        <v>767</v>
      </c>
      <c r="K165" s="7">
        <v>5904581</v>
      </c>
      <c r="L165" s="7">
        <v>752263</v>
      </c>
      <c r="M165" s="7">
        <v>18</v>
      </c>
      <c r="N165" s="7">
        <v>1</v>
      </c>
      <c r="O165" s="7">
        <v>30</v>
      </c>
    </row>
    <row r="166" spans="1:15" x14ac:dyDescent="0.25">
      <c r="A166" s="6" t="s">
        <v>28</v>
      </c>
      <c r="B166" s="6" t="s">
        <v>113</v>
      </c>
      <c r="C166" s="7">
        <v>32000</v>
      </c>
      <c r="D166" s="6" t="s">
        <v>98</v>
      </c>
      <c r="E166" s="6" t="s">
        <v>139</v>
      </c>
      <c r="F166" s="6" t="s">
        <v>139</v>
      </c>
      <c r="G166" s="6" t="s">
        <v>50</v>
      </c>
      <c r="H166" s="6" t="s">
        <v>33</v>
      </c>
      <c r="I166" s="6" t="s">
        <v>767</v>
      </c>
      <c r="J166" s="6" t="s">
        <v>767</v>
      </c>
      <c r="K166" s="7">
        <v>5904581</v>
      </c>
      <c r="L166" s="7">
        <v>752263</v>
      </c>
      <c r="M166" s="7">
        <v>18</v>
      </c>
      <c r="N166" s="7">
        <v>1</v>
      </c>
      <c r="O166" s="7">
        <v>38</v>
      </c>
    </row>
    <row r="167" spans="1:15" x14ac:dyDescent="0.25">
      <c r="A167" s="6" t="s">
        <v>28</v>
      </c>
      <c r="B167" s="6" t="s">
        <v>113</v>
      </c>
      <c r="C167" s="7">
        <v>32003</v>
      </c>
      <c r="D167" s="6" t="s">
        <v>98</v>
      </c>
      <c r="E167" s="6" t="s">
        <v>99</v>
      </c>
      <c r="F167" s="6" t="s">
        <v>141</v>
      </c>
      <c r="G167" s="6" t="s">
        <v>50</v>
      </c>
      <c r="H167" s="6" t="s">
        <v>33</v>
      </c>
      <c r="I167" s="6" t="s">
        <v>767</v>
      </c>
      <c r="J167" s="6" t="s">
        <v>767</v>
      </c>
      <c r="K167" s="7">
        <v>5858305</v>
      </c>
      <c r="L167" s="7">
        <v>747848</v>
      </c>
      <c r="M167" s="7">
        <v>18</v>
      </c>
      <c r="N167" s="7">
        <v>1</v>
      </c>
      <c r="O167" s="7">
        <v>22</v>
      </c>
    </row>
    <row r="168" spans="1:15" x14ac:dyDescent="0.25">
      <c r="A168" s="6" t="s">
        <v>28</v>
      </c>
      <c r="B168" s="6" t="s">
        <v>113</v>
      </c>
      <c r="C168" s="7">
        <v>32196</v>
      </c>
      <c r="D168" s="6" t="s">
        <v>98</v>
      </c>
      <c r="E168" s="6" t="s">
        <v>104</v>
      </c>
      <c r="F168" s="6" t="s">
        <v>132</v>
      </c>
      <c r="G168" s="6" t="s">
        <v>50</v>
      </c>
      <c r="H168" s="6" t="s">
        <v>33</v>
      </c>
      <c r="I168" s="6" t="s">
        <v>767</v>
      </c>
      <c r="J168" s="6" t="s">
        <v>767</v>
      </c>
      <c r="K168" s="7">
        <v>5916843</v>
      </c>
      <c r="L168" s="7">
        <v>741194</v>
      </c>
      <c r="M168" s="7">
        <v>18</v>
      </c>
      <c r="N168" s="7">
        <v>1</v>
      </c>
      <c r="O168" s="7">
        <v>31</v>
      </c>
    </row>
    <row r="169" spans="1:15" x14ac:dyDescent="0.25">
      <c r="A169" s="6" t="s">
        <v>28</v>
      </c>
      <c r="B169" s="6" t="s">
        <v>113</v>
      </c>
      <c r="C169" s="7">
        <v>32371</v>
      </c>
      <c r="D169" s="6" t="s">
        <v>39</v>
      </c>
      <c r="E169" s="6" t="s">
        <v>142</v>
      </c>
      <c r="F169" s="6" t="s">
        <v>143</v>
      </c>
      <c r="G169" s="6" t="s">
        <v>50</v>
      </c>
      <c r="H169" s="6" t="s">
        <v>33</v>
      </c>
      <c r="I169" s="6" t="s">
        <v>767</v>
      </c>
      <c r="J169" s="6" t="s">
        <v>764</v>
      </c>
      <c r="K169" s="7">
        <v>5996907</v>
      </c>
      <c r="L169" s="7">
        <v>759348</v>
      </c>
      <c r="M169" s="7">
        <v>18</v>
      </c>
      <c r="N169" s="7">
        <v>4</v>
      </c>
      <c r="O169" s="7">
        <v>61.6</v>
      </c>
    </row>
    <row r="170" spans="1:15" x14ac:dyDescent="0.25">
      <c r="A170" s="6" t="s">
        <v>14</v>
      </c>
      <c r="B170" s="6" t="s">
        <v>113</v>
      </c>
      <c r="C170" s="7">
        <v>32428</v>
      </c>
      <c r="D170" s="6" t="s">
        <v>98</v>
      </c>
      <c r="E170" s="6" t="s">
        <v>114</v>
      </c>
      <c r="F170" s="6" t="s">
        <v>118</v>
      </c>
      <c r="G170" s="6" t="s">
        <v>32</v>
      </c>
      <c r="H170" s="6" t="s">
        <v>33</v>
      </c>
      <c r="I170" s="6" t="s">
        <v>767</v>
      </c>
      <c r="J170" s="6" t="s">
        <v>764</v>
      </c>
      <c r="K170" s="7">
        <v>5954601</v>
      </c>
      <c r="L170" s="7">
        <v>246188</v>
      </c>
      <c r="M170" s="7">
        <v>19</v>
      </c>
      <c r="N170" s="7">
        <v>2</v>
      </c>
      <c r="O170" s="7">
        <v>51</v>
      </c>
    </row>
    <row r="171" spans="1:15" x14ac:dyDescent="0.25">
      <c r="A171" s="6" t="s">
        <v>28</v>
      </c>
      <c r="B171" s="6" t="s">
        <v>113</v>
      </c>
      <c r="C171" s="7">
        <v>32495</v>
      </c>
      <c r="D171" s="6" t="s">
        <v>98</v>
      </c>
      <c r="E171" s="6" t="s">
        <v>130</v>
      </c>
      <c r="F171" s="6" t="s">
        <v>144</v>
      </c>
      <c r="G171" s="6" t="s">
        <v>50</v>
      </c>
      <c r="H171" s="6" t="s">
        <v>33</v>
      </c>
      <c r="I171" s="6" t="s">
        <v>767</v>
      </c>
      <c r="J171" s="6" t="s">
        <v>767</v>
      </c>
      <c r="K171" s="7">
        <v>5917414</v>
      </c>
      <c r="L171" s="7">
        <v>753083</v>
      </c>
      <c r="M171" s="7">
        <v>18</v>
      </c>
      <c r="N171" s="7">
        <v>1</v>
      </c>
      <c r="O171" s="7">
        <v>43</v>
      </c>
    </row>
    <row r="172" spans="1:15" x14ac:dyDescent="0.25">
      <c r="A172" s="6" t="s">
        <v>28</v>
      </c>
      <c r="B172" s="6" t="s">
        <v>113</v>
      </c>
      <c r="C172" s="7">
        <v>32510</v>
      </c>
      <c r="D172" s="6" t="s">
        <v>98</v>
      </c>
      <c r="E172" s="6" t="s">
        <v>145</v>
      </c>
      <c r="F172" s="6" t="s">
        <v>146</v>
      </c>
      <c r="G172" s="6" t="s">
        <v>50</v>
      </c>
      <c r="H172" s="6" t="s">
        <v>33</v>
      </c>
      <c r="I172" s="6" t="s">
        <v>767</v>
      </c>
      <c r="J172" s="6" t="s">
        <v>767</v>
      </c>
      <c r="K172" s="7">
        <v>5955539</v>
      </c>
      <c r="L172" s="7">
        <v>236000</v>
      </c>
      <c r="M172" s="7">
        <v>19</v>
      </c>
      <c r="N172" s="7">
        <v>2</v>
      </c>
      <c r="O172" s="7">
        <v>35.6</v>
      </c>
    </row>
    <row r="173" spans="1:15" x14ac:dyDescent="0.25">
      <c r="A173" s="6" t="s">
        <v>28</v>
      </c>
      <c r="B173" s="6" t="s">
        <v>113</v>
      </c>
      <c r="C173" s="7">
        <v>32524</v>
      </c>
      <c r="D173" s="6" t="s">
        <v>98</v>
      </c>
      <c r="E173" s="6" t="s">
        <v>119</v>
      </c>
      <c r="F173" s="6" t="s">
        <v>118</v>
      </c>
      <c r="G173" s="6" t="s">
        <v>50</v>
      </c>
      <c r="H173" s="6" t="s">
        <v>33</v>
      </c>
      <c r="I173" s="6" t="s">
        <v>767</v>
      </c>
      <c r="J173" s="6" t="s">
        <v>767</v>
      </c>
      <c r="K173" s="7">
        <v>5953618</v>
      </c>
      <c r="L173" s="7">
        <v>767685</v>
      </c>
      <c r="M173" s="7">
        <v>18</v>
      </c>
      <c r="N173" s="7">
        <v>2</v>
      </c>
      <c r="O173" s="7">
        <v>26</v>
      </c>
    </row>
    <row r="174" spans="1:15" x14ac:dyDescent="0.25">
      <c r="A174" s="6" t="s">
        <v>14</v>
      </c>
      <c r="B174" s="6" t="s">
        <v>113</v>
      </c>
      <c r="C174" s="7">
        <v>32594</v>
      </c>
      <c r="D174" s="6" t="s">
        <v>98</v>
      </c>
      <c r="E174" s="6" t="s">
        <v>126</v>
      </c>
      <c r="F174" s="6" t="s">
        <v>126</v>
      </c>
      <c r="G174" s="6" t="s">
        <v>32</v>
      </c>
      <c r="H174" s="6" t="s">
        <v>33</v>
      </c>
      <c r="I174" s="6" t="s">
        <v>767</v>
      </c>
      <c r="J174" s="6" t="s">
        <v>764</v>
      </c>
      <c r="K174" s="7">
        <v>5895618</v>
      </c>
      <c r="L174" s="7">
        <v>755452</v>
      </c>
      <c r="M174" s="7">
        <v>18</v>
      </c>
      <c r="N174" s="7">
        <v>1</v>
      </c>
      <c r="O174" s="7">
        <v>8</v>
      </c>
    </row>
    <row r="175" spans="1:15" x14ac:dyDescent="0.25">
      <c r="A175" s="6" t="s">
        <v>14</v>
      </c>
      <c r="B175" s="6" t="s">
        <v>113</v>
      </c>
      <c r="C175" s="7">
        <v>32679</v>
      </c>
      <c r="D175" s="6" t="s">
        <v>98</v>
      </c>
      <c r="E175" s="6" t="s">
        <v>104</v>
      </c>
      <c r="F175" s="6" t="s">
        <v>132</v>
      </c>
      <c r="G175" s="6" t="s">
        <v>32</v>
      </c>
      <c r="H175" s="6" t="s">
        <v>33</v>
      </c>
      <c r="I175" s="6" t="s">
        <v>767</v>
      </c>
      <c r="J175" s="6" t="s">
        <v>764</v>
      </c>
      <c r="K175" s="7">
        <v>5913940</v>
      </c>
      <c r="L175" s="7">
        <v>744746</v>
      </c>
      <c r="M175" s="7">
        <v>18</v>
      </c>
      <c r="N175" s="7">
        <v>1</v>
      </c>
      <c r="O175" s="7">
        <v>40</v>
      </c>
    </row>
    <row r="176" spans="1:15" x14ac:dyDescent="0.25">
      <c r="A176" s="6" t="s">
        <v>14</v>
      </c>
      <c r="B176" s="6" t="s">
        <v>113</v>
      </c>
      <c r="C176" s="7">
        <v>32682</v>
      </c>
      <c r="D176" s="6" t="s">
        <v>98</v>
      </c>
      <c r="E176" s="6" t="s">
        <v>139</v>
      </c>
      <c r="F176" s="6" t="s">
        <v>139</v>
      </c>
      <c r="G176" s="6" t="s">
        <v>32</v>
      </c>
      <c r="H176" s="6" t="s">
        <v>33</v>
      </c>
      <c r="I176" s="6" t="s">
        <v>767</v>
      </c>
      <c r="J176" s="6" t="s">
        <v>764</v>
      </c>
      <c r="K176" s="7">
        <v>5902885</v>
      </c>
      <c r="L176" s="7">
        <v>759678</v>
      </c>
      <c r="M176" s="7">
        <v>18</v>
      </c>
      <c r="N176" s="7">
        <v>2</v>
      </c>
      <c r="O176" s="7">
        <v>30.5</v>
      </c>
    </row>
    <row r="177" spans="1:15" x14ac:dyDescent="0.25">
      <c r="A177" s="6" t="s">
        <v>14</v>
      </c>
      <c r="B177" s="6" t="s">
        <v>113</v>
      </c>
      <c r="C177" s="7">
        <v>32686</v>
      </c>
      <c r="D177" s="6" t="s">
        <v>98</v>
      </c>
      <c r="E177" s="6" t="s">
        <v>114</v>
      </c>
      <c r="F177" s="6" t="s">
        <v>114</v>
      </c>
      <c r="G177" s="6" t="s">
        <v>32</v>
      </c>
      <c r="H177" s="6" t="s">
        <v>33</v>
      </c>
      <c r="I177" s="6" t="s">
        <v>767</v>
      </c>
      <c r="J177" s="6" t="s">
        <v>764</v>
      </c>
      <c r="K177" s="7">
        <v>5947229</v>
      </c>
      <c r="L177" s="7">
        <v>240606</v>
      </c>
      <c r="M177" s="7">
        <v>19</v>
      </c>
      <c r="N177" s="7">
        <v>1</v>
      </c>
      <c r="O177" s="7">
        <v>24</v>
      </c>
    </row>
    <row r="178" spans="1:15" x14ac:dyDescent="0.25">
      <c r="A178" s="6" t="s">
        <v>14</v>
      </c>
      <c r="B178" s="6" t="s">
        <v>113</v>
      </c>
      <c r="C178" s="7">
        <v>32700</v>
      </c>
      <c r="D178" s="6" t="s">
        <v>98</v>
      </c>
      <c r="E178" s="6" t="s">
        <v>126</v>
      </c>
      <c r="F178" s="6" t="s">
        <v>126</v>
      </c>
      <c r="G178" s="6" t="s">
        <v>32</v>
      </c>
      <c r="H178" s="6" t="s">
        <v>33</v>
      </c>
      <c r="I178" s="6" t="s">
        <v>767</v>
      </c>
      <c r="J178" s="6" t="s">
        <v>764</v>
      </c>
      <c r="K178" s="7">
        <v>5909504</v>
      </c>
      <c r="L178" s="7">
        <v>757893</v>
      </c>
      <c r="M178" s="7">
        <v>18</v>
      </c>
      <c r="N178" s="7">
        <v>1</v>
      </c>
      <c r="O178" s="7">
        <v>33.6</v>
      </c>
    </row>
    <row r="179" spans="1:15" x14ac:dyDescent="0.25">
      <c r="A179" s="6" t="s">
        <v>14</v>
      </c>
      <c r="B179" s="6" t="s">
        <v>113</v>
      </c>
      <c r="C179" s="7">
        <v>32959</v>
      </c>
      <c r="D179" s="6" t="s">
        <v>98</v>
      </c>
      <c r="E179" s="6" t="s">
        <v>148</v>
      </c>
      <c r="F179" s="6" t="s">
        <v>149</v>
      </c>
      <c r="G179" s="6" t="s">
        <v>32</v>
      </c>
      <c r="H179" s="6" t="s">
        <v>33</v>
      </c>
      <c r="I179" s="6" t="s">
        <v>767</v>
      </c>
      <c r="J179" s="6" t="s">
        <v>767</v>
      </c>
      <c r="K179" s="7">
        <v>5982534</v>
      </c>
      <c r="L179" s="7">
        <v>245679</v>
      </c>
      <c r="M179" s="7">
        <v>19</v>
      </c>
      <c r="N179" s="7">
        <v>1</v>
      </c>
      <c r="O179" s="7">
        <v>10.1</v>
      </c>
    </row>
    <row r="180" spans="1:15" x14ac:dyDescent="0.25">
      <c r="A180" s="6" t="s">
        <v>14</v>
      </c>
      <c r="B180" s="6" t="s">
        <v>113</v>
      </c>
      <c r="C180" s="7">
        <v>32960</v>
      </c>
      <c r="D180" s="6" t="s">
        <v>98</v>
      </c>
      <c r="E180" s="6" t="s">
        <v>114</v>
      </c>
      <c r="F180" s="6" t="s">
        <v>114</v>
      </c>
      <c r="G180" s="6" t="s">
        <v>32</v>
      </c>
      <c r="H180" s="6" t="s">
        <v>33</v>
      </c>
      <c r="I180" s="6" t="s">
        <v>767</v>
      </c>
      <c r="J180" s="6" t="s">
        <v>767</v>
      </c>
      <c r="K180" s="7">
        <v>5946547</v>
      </c>
      <c r="L180" s="7">
        <v>236846</v>
      </c>
      <c r="M180" s="7">
        <v>19</v>
      </c>
      <c r="N180" s="7">
        <v>1</v>
      </c>
      <c r="O180" s="7">
        <v>11.8</v>
      </c>
    </row>
    <row r="181" spans="1:15" x14ac:dyDescent="0.25">
      <c r="A181" s="6" t="s">
        <v>14</v>
      </c>
      <c r="B181" s="6" t="s">
        <v>113</v>
      </c>
      <c r="C181" s="7">
        <v>32962</v>
      </c>
      <c r="D181" s="6" t="s">
        <v>98</v>
      </c>
      <c r="E181" s="6" t="s">
        <v>126</v>
      </c>
      <c r="F181" s="6" t="s">
        <v>127</v>
      </c>
      <c r="G181" s="6" t="s">
        <v>32</v>
      </c>
      <c r="H181" s="6" t="s">
        <v>33</v>
      </c>
      <c r="I181" s="6" t="s">
        <v>767</v>
      </c>
      <c r="J181" s="6" t="s">
        <v>767</v>
      </c>
      <c r="K181" s="7">
        <v>5913933</v>
      </c>
      <c r="L181" s="7">
        <v>764812</v>
      </c>
      <c r="M181" s="7">
        <v>18</v>
      </c>
      <c r="N181" s="7">
        <v>1</v>
      </c>
      <c r="O181" s="7">
        <v>39.299999999999997</v>
      </c>
    </row>
    <row r="182" spans="1:15" x14ac:dyDescent="0.25">
      <c r="A182" s="6" t="s">
        <v>28</v>
      </c>
      <c r="B182" s="6" t="s">
        <v>113</v>
      </c>
      <c r="C182" s="7">
        <v>32964</v>
      </c>
      <c r="D182" s="6" t="s">
        <v>98</v>
      </c>
      <c r="E182" s="6" t="s">
        <v>119</v>
      </c>
      <c r="F182" s="6" t="s">
        <v>118</v>
      </c>
      <c r="G182" s="6" t="s">
        <v>32</v>
      </c>
      <c r="H182" s="6" t="s">
        <v>33</v>
      </c>
      <c r="I182" s="6" t="s">
        <v>767</v>
      </c>
      <c r="J182" s="6" t="s">
        <v>764</v>
      </c>
      <c r="K182" s="7">
        <v>5961305</v>
      </c>
      <c r="L182" s="7">
        <v>247743</v>
      </c>
      <c r="M182" s="7">
        <v>19</v>
      </c>
      <c r="N182" s="7">
        <v>1</v>
      </c>
      <c r="O182" s="7">
        <v>13.8</v>
      </c>
    </row>
    <row r="183" spans="1:15" x14ac:dyDescent="0.25">
      <c r="A183" s="6" t="s">
        <v>28</v>
      </c>
      <c r="B183" s="6" t="s">
        <v>113</v>
      </c>
      <c r="C183" s="7">
        <v>33307</v>
      </c>
      <c r="D183" s="6" t="s">
        <v>98</v>
      </c>
      <c r="E183" s="6" t="s">
        <v>137</v>
      </c>
      <c r="F183" s="6" t="s">
        <v>152</v>
      </c>
      <c r="G183" s="6" t="s">
        <v>50</v>
      </c>
      <c r="H183" s="6" t="s">
        <v>153</v>
      </c>
      <c r="I183" s="6" t="s">
        <v>767</v>
      </c>
      <c r="J183" s="6" t="s">
        <v>764</v>
      </c>
      <c r="K183" s="7">
        <v>5881508</v>
      </c>
      <c r="L183" s="7">
        <v>751075</v>
      </c>
      <c r="M183" s="7">
        <v>18</v>
      </c>
      <c r="N183" s="7">
        <v>1</v>
      </c>
      <c r="O183" s="7">
        <v>1.5</v>
      </c>
    </row>
    <row r="184" spans="1:15" x14ac:dyDescent="0.25">
      <c r="A184" s="6" t="s">
        <v>28</v>
      </c>
      <c r="B184" s="6" t="s">
        <v>113</v>
      </c>
      <c r="C184" s="7">
        <v>33347</v>
      </c>
      <c r="D184" s="6" t="s">
        <v>98</v>
      </c>
      <c r="E184" s="6" t="s">
        <v>104</v>
      </c>
      <c r="F184" s="6" t="s">
        <v>154</v>
      </c>
      <c r="G184" s="6" t="s">
        <v>50</v>
      </c>
      <c r="H184" s="6" t="s">
        <v>153</v>
      </c>
      <c r="I184" s="6" t="s">
        <v>767</v>
      </c>
      <c r="J184" s="6" t="s">
        <v>764</v>
      </c>
      <c r="K184" s="7">
        <v>5925245</v>
      </c>
      <c r="L184" s="7">
        <v>735989</v>
      </c>
      <c r="M184" s="7">
        <v>18</v>
      </c>
      <c r="N184" s="7">
        <v>1</v>
      </c>
      <c r="O184" s="7">
        <v>10</v>
      </c>
    </row>
    <row r="185" spans="1:15" x14ac:dyDescent="0.25">
      <c r="A185" s="6" t="s">
        <v>14</v>
      </c>
      <c r="B185" s="6" t="s">
        <v>113</v>
      </c>
      <c r="C185" s="7">
        <v>33363</v>
      </c>
      <c r="D185" s="6" t="s">
        <v>98</v>
      </c>
      <c r="E185" s="6" t="s">
        <v>137</v>
      </c>
      <c r="F185" s="6" t="s">
        <v>137</v>
      </c>
      <c r="G185" s="6" t="s">
        <v>32</v>
      </c>
      <c r="H185" s="6" t="s">
        <v>33</v>
      </c>
      <c r="I185" s="6" t="s">
        <v>767</v>
      </c>
      <c r="J185" s="6" t="s">
        <v>764</v>
      </c>
      <c r="K185" s="7">
        <v>5895618</v>
      </c>
      <c r="L185" s="7">
        <v>755452</v>
      </c>
      <c r="M185" s="7">
        <v>18</v>
      </c>
      <c r="N185" s="7">
        <v>1</v>
      </c>
      <c r="O185" s="7">
        <v>36.4</v>
      </c>
    </row>
    <row r="186" spans="1:15" x14ac:dyDescent="0.25">
      <c r="A186" s="6" t="s">
        <v>14</v>
      </c>
      <c r="B186" s="6" t="s">
        <v>113</v>
      </c>
      <c r="C186" s="7">
        <v>33370</v>
      </c>
      <c r="D186" s="6" t="s">
        <v>98</v>
      </c>
      <c r="E186" s="6" t="s">
        <v>126</v>
      </c>
      <c r="F186" s="6" t="s">
        <v>127</v>
      </c>
      <c r="G186" s="6" t="s">
        <v>32</v>
      </c>
      <c r="H186" s="6" t="s">
        <v>33</v>
      </c>
      <c r="I186" s="6" t="s">
        <v>767</v>
      </c>
      <c r="J186" s="6" t="s">
        <v>764</v>
      </c>
      <c r="K186" s="7">
        <v>5913470</v>
      </c>
      <c r="L186" s="7">
        <v>765874</v>
      </c>
      <c r="M186" s="7">
        <v>18</v>
      </c>
      <c r="N186" s="7">
        <v>1</v>
      </c>
      <c r="O186" s="7">
        <v>34.700000000000003</v>
      </c>
    </row>
    <row r="187" spans="1:15" x14ac:dyDescent="0.25">
      <c r="A187" s="6" t="s">
        <v>14</v>
      </c>
      <c r="B187" s="6" t="s">
        <v>113</v>
      </c>
      <c r="C187" s="7">
        <v>33494</v>
      </c>
      <c r="D187" s="6" t="s">
        <v>98</v>
      </c>
      <c r="E187" s="6" t="s">
        <v>114</v>
      </c>
      <c r="F187" s="6" t="s">
        <v>114</v>
      </c>
      <c r="G187" s="6" t="s">
        <v>32</v>
      </c>
      <c r="H187" s="6" t="s">
        <v>33</v>
      </c>
      <c r="I187" s="6" t="s">
        <v>767</v>
      </c>
      <c r="J187" s="6" t="s">
        <v>764</v>
      </c>
      <c r="K187" s="7">
        <v>5946018</v>
      </c>
      <c r="L187" s="7">
        <v>236922</v>
      </c>
      <c r="M187" s="7">
        <v>19</v>
      </c>
      <c r="N187" s="7">
        <v>1</v>
      </c>
      <c r="O187" s="7">
        <v>20.399999999999999</v>
      </c>
    </row>
    <row r="188" spans="1:15" x14ac:dyDescent="0.25">
      <c r="A188" s="6" t="s">
        <v>14</v>
      </c>
      <c r="B188" s="6" t="s">
        <v>113</v>
      </c>
      <c r="C188" s="7">
        <v>33509</v>
      </c>
      <c r="D188" s="6" t="s">
        <v>39</v>
      </c>
      <c r="E188" s="6" t="s">
        <v>156</v>
      </c>
      <c r="F188" s="6" t="s">
        <v>157</v>
      </c>
      <c r="G188" s="6" t="s">
        <v>32</v>
      </c>
      <c r="H188" s="6" t="s">
        <v>33</v>
      </c>
      <c r="I188" s="6" t="s">
        <v>767</v>
      </c>
      <c r="J188" s="6" t="s">
        <v>767</v>
      </c>
      <c r="K188" s="7">
        <v>6013663</v>
      </c>
      <c r="L188" s="7">
        <v>269250</v>
      </c>
      <c r="M188" s="7">
        <v>19</v>
      </c>
      <c r="N188" s="7">
        <v>1</v>
      </c>
      <c r="O188" s="7">
        <v>29.1</v>
      </c>
    </row>
    <row r="189" spans="1:15" x14ac:dyDescent="0.25">
      <c r="A189" s="6" t="s">
        <v>14</v>
      </c>
      <c r="B189" s="6" t="s">
        <v>113</v>
      </c>
      <c r="C189" s="7">
        <v>33586</v>
      </c>
      <c r="D189" s="6" t="s">
        <v>98</v>
      </c>
      <c r="E189" s="6" t="s">
        <v>126</v>
      </c>
      <c r="F189" s="6" t="s">
        <v>126</v>
      </c>
      <c r="G189" s="6" t="s">
        <v>32</v>
      </c>
      <c r="H189" s="6" t="s">
        <v>33</v>
      </c>
      <c r="I189" s="6" t="s">
        <v>767</v>
      </c>
      <c r="J189" s="6" t="s">
        <v>764</v>
      </c>
      <c r="K189" s="7">
        <v>5911297</v>
      </c>
      <c r="L189" s="7">
        <v>761838</v>
      </c>
      <c r="M189" s="7">
        <v>18</v>
      </c>
      <c r="N189" s="7">
        <v>1</v>
      </c>
      <c r="O189" s="7">
        <v>24.7</v>
      </c>
    </row>
    <row r="190" spans="1:15" x14ac:dyDescent="0.25">
      <c r="A190" s="6" t="s">
        <v>14</v>
      </c>
      <c r="B190" s="6" t="s">
        <v>113</v>
      </c>
      <c r="C190" s="7">
        <v>33592</v>
      </c>
      <c r="D190" s="6" t="s">
        <v>98</v>
      </c>
      <c r="E190" s="6" t="s">
        <v>114</v>
      </c>
      <c r="F190" s="6" t="s">
        <v>118</v>
      </c>
      <c r="G190" s="6" t="s">
        <v>32</v>
      </c>
      <c r="H190" s="6" t="s">
        <v>33</v>
      </c>
      <c r="I190" s="6" t="s">
        <v>767</v>
      </c>
      <c r="J190" s="6" t="s">
        <v>767</v>
      </c>
      <c r="K190" s="8">
        <v>5953943</v>
      </c>
      <c r="L190" s="8">
        <v>248479</v>
      </c>
      <c r="M190" s="8">
        <v>19</v>
      </c>
      <c r="N190" s="7">
        <v>1</v>
      </c>
      <c r="O190" s="7">
        <v>11.5</v>
      </c>
    </row>
    <row r="191" spans="1:15" x14ac:dyDescent="0.25">
      <c r="A191" s="6" t="s">
        <v>14</v>
      </c>
      <c r="B191" s="6" t="s">
        <v>113</v>
      </c>
      <c r="C191" s="7">
        <v>33601</v>
      </c>
      <c r="D191" s="6" t="s">
        <v>39</v>
      </c>
      <c r="E191" s="6" t="s">
        <v>159</v>
      </c>
      <c r="F191" s="6" t="s">
        <v>159</v>
      </c>
      <c r="G191" s="6" t="s">
        <v>32</v>
      </c>
      <c r="H191" s="6" t="s">
        <v>33</v>
      </c>
      <c r="I191" s="6" t="s">
        <v>767</v>
      </c>
      <c r="J191" s="6" t="s">
        <v>767</v>
      </c>
      <c r="K191" s="7">
        <v>6000768</v>
      </c>
      <c r="L191" s="7">
        <v>246730</v>
      </c>
      <c r="M191" s="7">
        <v>19</v>
      </c>
      <c r="N191" s="7">
        <v>1</v>
      </c>
      <c r="O191" s="7">
        <v>18.7</v>
      </c>
    </row>
    <row r="192" spans="1:15" x14ac:dyDescent="0.25">
      <c r="A192" s="6" t="s">
        <v>28</v>
      </c>
      <c r="B192" s="6" t="s">
        <v>113</v>
      </c>
      <c r="C192" s="7">
        <v>34252</v>
      </c>
      <c r="D192" s="6" t="s">
        <v>98</v>
      </c>
      <c r="E192" s="6" t="s">
        <v>104</v>
      </c>
      <c r="F192" s="6" t="s">
        <v>160</v>
      </c>
      <c r="G192" s="6" t="s">
        <v>50</v>
      </c>
      <c r="H192" s="6" t="s">
        <v>153</v>
      </c>
      <c r="I192" s="6" t="s">
        <v>767</v>
      </c>
      <c r="J192" s="6" t="s">
        <v>764</v>
      </c>
      <c r="K192" s="7">
        <v>5914781</v>
      </c>
      <c r="L192" s="7">
        <v>743172</v>
      </c>
      <c r="M192" s="7">
        <v>18</v>
      </c>
      <c r="N192" s="7">
        <v>1</v>
      </c>
      <c r="O192" s="7">
        <v>0.15</v>
      </c>
    </row>
    <row r="193" spans="1:15" x14ac:dyDescent="0.25">
      <c r="A193" s="6" t="s">
        <v>28</v>
      </c>
      <c r="B193" s="6" t="s">
        <v>113</v>
      </c>
      <c r="C193" s="7">
        <v>34586</v>
      </c>
      <c r="D193" s="6" t="s">
        <v>98</v>
      </c>
      <c r="E193" s="6" t="s">
        <v>104</v>
      </c>
      <c r="F193" s="6" t="s">
        <v>160</v>
      </c>
      <c r="G193" s="6" t="s">
        <v>50</v>
      </c>
      <c r="H193" s="6" t="s">
        <v>153</v>
      </c>
      <c r="I193" s="6" t="s">
        <v>767</v>
      </c>
      <c r="J193" s="6" t="s">
        <v>764</v>
      </c>
      <c r="K193" s="7">
        <v>5914781</v>
      </c>
      <c r="L193" s="7">
        <v>743172</v>
      </c>
      <c r="M193" s="7">
        <v>18</v>
      </c>
      <c r="N193" s="7">
        <v>1</v>
      </c>
      <c r="O193" s="7">
        <v>0.15</v>
      </c>
    </row>
    <row r="194" spans="1:15" x14ac:dyDescent="0.25">
      <c r="A194" s="6" t="s">
        <v>14</v>
      </c>
      <c r="B194" s="6" t="s">
        <v>113</v>
      </c>
      <c r="C194" s="7">
        <v>34601</v>
      </c>
      <c r="D194" s="6" t="s">
        <v>98</v>
      </c>
      <c r="E194" s="6" t="s">
        <v>161</v>
      </c>
      <c r="F194" s="6" t="s">
        <v>161</v>
      </c>
      <c r="G194" s="6" t="s">
        <v>50</v>
      </c>
      <c r="H194" s="6" t="s">
        <v>162</v>
      </c>
      <c r="I194" s="6" t="s">
        <v>767</v>
      </c>
      <c r="J194" s="6" t="s">
        <v>767</v>
      </c>
      <c r="K194" s="7">
        <v>5881299</v>
      </c>
      <c r="L194" s="7">
        <v>722502</v>
      </c>
      <c r="M194" s="7">
        <v>18</v>
      </c>
      <c r="N194" s="7">
        <v>1</v>
      </c>
      <c r="O194" s="7">
        <v>0.5</v>
      </c>
    </row>
    <row r="195" spans="1:15" x14ac:dyDescent="0.25">
      <c r="A195" s="6" t="s">
        <v>28</v>
      </c>
      <c r="B195" s="6" t="s">
        <v>113</v>
      </c>
      <c r="C195" s="7">
        <v>34812</v>
      </c>
      <c r="D195" s="6" t="s">
        <v>98</v>
      </c>
      <c r="E195" s="6" t="s">
        <v>104</v>
      </c>
      <c r="F195" s="6" t="s">
        <v>160</v>
      </c>
      <c r="G195" s="6" t="s">
        <v>50</v>
      </c>
      <c r="H195" s="6" t="s">
        <v>153</v>
      </c>
      <c r="I195" s="6" t="s">
        <v>767</v>
      </c>
      <c r="J195" s="6" t="s">
        <v>764</v>
      </c>
      <c r="K195" s="7">
        <v>5914781</v>
      </c>
      <c r="L195" s="7">
        <v>743172</v>
      </c>
      <c r="M195" s="7">
        <v>18</v>
      </c>
      <c r="N195" s="7">
        <v>1</v>
      </c>
      <c r="O195" s="7">
        <v>0.15</v>
      </c>
    </row>
    <row r="196" spans="1:15" x14ac:dyDescent="0.25">
      <c r="A196" s="6" t="s">
        <v>14</v>
      </c>
      <c r="B196" s="6" t="s">
        <v>113</v>
      </c>
      <c r="C196" s="7">
        <v>34824</v>
      </c>
      <c r="D196" s="6" t="s">
        <v>98</v>
      </c>
      <c r="E196" s="6" t="s">
        <v>139</v>
      </c>
      <c r="F196" s="6" t="s">
        <v>139</v>
      </c>
      <c r="G196" s="6" t="s">
        <v>89</v>
      </c>
      <c r="H196" s="6" t="s">
        <v>101</v>
      </c>
      <c r="I196" s="6" t="s">
        <v>767</v>
      </c>
      <c r="J196" s="6" t="s">
        <v>767</v>
      </c>
      <c r="K196" s="7">
        <v>5909905</v>
      </c>
      <c r="L196" s="7">
        <v>742402</v>
      </c>
      <c r="M196" s="7">
        <v>18</v>
      </c>
      <c r="N196" s="7">
        <v>1</v>
      </c>
      <c r="O196" s="7">
        <v>13</v>
      </c>
    </row>
    <row r="197" spans="1:15" x14ac:dyDescent="0.25">
      <c r="A197" s="6" t="s">
        <v>28</v>
      </c>
      <c r="B197" s="6" t="s">
        <v>113</v>
      </c>
      <c r="C197" s="7">
        <v>34826</v>
      </c>
      <c r="D197" s="6" t="s">
        <v>98</v>
      </c>
      <c r="E197" s="6" t="s">
        <v>104</v>
      </c>
      <c r="F197" s="6" t="s">
        <v>160</v>
      </c>
      <c r="G197" s="6" t="s">
        <v>50</v>
      </c>
      <c r="H197" s="6" t="s">
        <v>153</v>
      </c>
      <c r="I197" s="6" t="s">
        <v>767</v>
      </c>
      <c r="J197" s="6" t="s">
        <v>764</v>
      </c>
      <c r="K197" s="7">
        <v>5914781</v>
      </c>
      <c r="L197" s="7">
        <v>743172</v>
      </c>
      <c r="M197" s="7">
        <v>18</v>
      </c>
      <c r="N197" s="7">
        <v>1</v>
      </c>
      <c r="O197" s="7">
        <v>0.15</v>
      </c>
    </row>
    <row r="198" spans="1:15" x14ac:dyDescent="0.25">
      <c r="A198" s="6" t="s">
        <v>14</v>
      </c>
      <c r="B198" s="6" t="s">
        <v>113</v>
      </c>
      <c r="C198" s="7">
        <v>34831</v>
      </c>
      <c r="D198" s="6" t="s">
        <v>98</v>
      </c>
      <c r="E198" s="6" t="s">
        <v>128</v>
      </c>
      <c r="F198" s="6" t="s">
        <v>129</v>
      </c>
      <c r="G198" s="6" t="s">
        <v>89</v>
      </c>
      <c r="H198" s="6" t="s">
        <v>101</v>
      </c>
      <c r="I198" s="6" t="s">
        <v>767</v>
      </c>
      <c r="J198" s="6" t="s">
        <v>767</v>
      </c>
      <c r="K198" s="7">
        <v>5883300</v>
      </c>
      <c r="L198" s="7">
        <v>740059</v>
      </c>
      <c r="M198" s="7">
        <v>18</v>
      </c>
      <c r="N198" s="7">
        <v>1</v>
      </c>
      <c r="O198" s="7">
        <v>19</v>
      </c>
    </row>
    <row r="199" spans="1:15" x14ac:dyDescent="0.25">
      <c r="A199" s="6" t="s">
        <v>14</v>
      </c>
      <c r="B199" s="6" t="s">
        <v>113</v>
      </c>
      <c r="C199" s="7">
        <v>34835</v>
      </c>
      <c r="D199" s="6" t="s">
        <v>98</v>
      </c>
      <c r="E199" s="6" t="s">
        <v>126</v>
      </c>
      <c r="F199" s="6" t="s">
        <v>127</v>
      </c>
      <c r="G199" s="6" t="s">
        <v>89</v>
      </c>
      <c r="H199" s="6" t="s">
        <v>101</v>
      </c>
      <c r="I199" s="6" t="s">
        <v>767</v>
      </c>
      <c r="J199" s="6" t="s">
        <v>767</v>
      </c>
      <c r="K199" s="7">
        <v>5915202</v>
      </c>
      <c r="L199" s="7">
        <v>233789</v>
      </c>
      <c r="M199" s="7">
        <v>19</v>
      </c>
      <c r="N199" s="7">
        <v>1</v>
      </c>
      <c r="O199" s="7">
        <v>32</v>
      </c>
    </row>
    <row r="200" spans="1:15" x14ac:dyDescent="0.25">
      <c r="A200" s="6" t="s">
        <v>28</v>
      </c>
      <c r="B200" s="6" t="s">
        <v>113</v>
      </c>
      <c r="C200" s="7">
        <v>34946</v>
      </c>
      <c r="D200" s="6" t="s">
        <v>98</v>
      </c>
      <c r="E200" s="6" t="s">
        <v>128</v>
      </c>
      <c r="F200" s="6" t="s">
        <v>128</v>
      </c>
      <c r="G200" s="6" t="s">
        <v>50</v>
      </c>
      <c r="H200" s="6" t="s">
        <v>19</v>
      </c>
      <c r="I200" s="6" t="s">
        <v>767</v>
      </c>
      <c r="J200" s="6" t="s">
        <v>767</v>
      </c>
      <c r="K200" s="7">
        <v>5897781</v>
      </c>
      <c r="L200" s="7">
        <v>740667</v>
      </c>
      <c r="M200" s="7">
        <v>18</v>
      </c>
      <c r="N200" s="7">
        <v>1</v>
      </c>
      <c r="O200" s="7">
        <v>0.2</v>
      </c>
    </row>
    <row r="201" spans="1:15" x14ac:dyDescent="0.25">
      <c r="A201" s="6" t="s">
        <v>28</v>
      </c>
      <c r="B201" s="6" t="s">
        <v>113</v>
      </c>
      <c r="C201" s="7">
        <v>34947</v>
      </c>
      <c r="D201" s="6" t="s">
        <v>98</v>
      </c>
      <c r="E201" s="6" t="s">
        <v>135</v>
      </c>
      <c r="F201" s="6" t="s">
        <v>135</v>
      </c>
      <c r="G201" s="6" t="s">
        <v>50</v>
      </c>
      <c r="H201" s="6" t="s">
        <v>19</v>
      </c>
      <c r="I201" s="6" t="s">
        <v>767</v>
      </c>
      <c r="J201" s="6" t="s">
        <v>767</v>
      </c>
      <c r="K201" s="7">
        <v>5879472</v>
      </c>
      <c r="L201" s="7">
        <v>726192</v>
      </c>
      <c r="M201" s="7">
        <v>18</v>
      </c>
      <c r="N201" s="7">
        <v>1</v>
      </c>
      <c r="O201" s="7">
        <v>0.8</v>
      </c>
    </row>
    <row r="202" spans="1:15" x14ac:dyDescent="0.25">
      <c r="A202" s="6" t="s">
        <v>14</v>
      </c>
      <c r="B202" s="6" t="s">
        <v>113</v>
      </c>
      <c r="C202" s="7">
        <v>34950</v>
      </c>
      <c r="D202" s="6" t="s">
        <v>98</v>
      </c>
      <c r="E202" s="6" t="s">
        <v>128</v>
      </c>
      <c r="F202" s="6" t="s">
        <v>128</v>
      </c>
      <c r="G202" s="6" t="s">
        <v>50</v>
      </c>
      <c r="H202" s="6" t="s">
        <v>162</v>
      </c>
      <c r="I202" s="6" t="s">
        <v>764</v>
      </c>
      <c r="J202" s="6" t="s">
        <v>767</v>
      </c>
      <c r="K202" s="7">
        <v>5897736</v>
      </c>
      <c r="L202" s="7">
        <v>740660</v>
      </c>
      <c r="M202" s="7">
        <v>18</v>
      </c>
      <c r="N202" s="7">
        <v>1</v>
      </c>
      <c r="O202" s="7">
        <v>0.2</v>
      </c>
    </row>
    <row r="203" spans="1:15" x14ac:dyDescent="0.25">
      <c r="A203" s="6" t="s">
        <v>14</v>
      </c>
      <c r="B203" s="6" t="s">
        <v>113</v>
      </c>
      <c r="C203" s="7">
        <v>34952</v>
      </c>
      <c r="D203" s="6" t="s">
        <v>98</v>
      </c>
      <c r="E203" s="6" t="s">
        <v>135</v>
      </c>
      <c r="F203" s="6" t="s">
        <v>135</v>
      </c>
      <c r="G203" s="6" t="s">
        <v>50</v>
      </c>
      <c r="H203" s="6" t="s">
        <v>162</v>
      </c>
      <c r="I203" s="6" t="s">
        <v>764</v>
      </c>
      <c r="J203" s="6" t="s">
        <v>767</v>
      </c>
      <c r="K203" s="7">
        <v>5879528</v>
      </c>
      <c r="L203" s="7">
        <v>726283</v>
      </c>
      <c r="M203" s="7">
        <v>18</v>
      </c>
      <c r="N203" s="7">
        <v>1</v>
      </c>
      <c r="O203" s="7">
        <v>0.8</v>
      </c>
    </row>
    <row r="204" spans="1:15" x14ac:dyDescent="0.25">
      <c r="A204" s="6" t="s">
        <v>14</v>
      </c>
      <c r="B204" s="6" t="s">
        <v>113</v>
      </c>
      <c r="C204" s="7">
        <v>34981</v>
      </c>
      <c r="D204" s="6" t="s">
        <v>98</v>
      </c>
      <c r="E204" s="6" t="s">
        <v>104</v>
      </c>
      <c r="F204" s="6" t="s">
        <v>163</v>
      </c>
      <c r="G204" s="6" t="s">
        <v>89</v>
      </c>
      <c r="H204" s="6" t="s">
        <v>101</v>
      </c>
      <c r="I204" s="6" t="s">
        <v>767</v>
      </c>
      <c r="J204" s="6" t="s">
        <v>767</v>
      </c>
      <c r="K204" s="7">
        <v>5922823</v>
      </c>
      <c r="L204" s="7">
        <v>749392</v>
      </c>
      <c r="M204" s="7">
        <v>18</v>
      </c>
      <c r="N204" s="7">
        <v>1</v>
      </c>
      <c r="O204" s="7">
        <v>35</v>
      </c>
    </row>
    <row r="205" spans="1:15" x14ac:dyDescent="0.25">
      <c r="A205" s="6" t="s">
        <v>14</v>
      </c>
      <c r="B205" s="6" t="s">
        <v>113</v>
      </c>
      <c r="C205" s="7">
        <v>35047</v>
      </c>
      <c r="D205" s="6" t="s">
        <v>98</v>
      </c>
      <c r="E205" s="6" t="s">
        <v>104</v>
      </c>
      <c r="F205" s="6" t="s">
        <v>130</v>
      </c>
      <c r="G205" s="6" t="s">
        <v>89</v>
      </c>
      <c r="H205" s="6" t="s">
        <v>101</v>
      </c>
      <c r="I205" s="6" t="s">
        <v>767</v>
      </c>
      <c r="J205" s="6" t="s">
        <v>767</v>
      </c>
      <c r="K205" s="7">
        <v>5920587</v>
      </c>
      <c r="L205" s="7">
        <v>753616</v>
      </c>
      <c r="M205" s="7">
        <v>18</v>
      </c>
      <c r="N205" s="7">
        <v>1</v>
      </c>
      <c r="O205" s="7">
        <v>14</v>
      </c>
    </row>
    <row r="206" spans="1:15" x14ac:dyDescent="0.25">
      <c r="A206" s="6" t="s">
        <v>14</v>
      </c>
      <c r="B206" s="6" t="s">
        <v>113</v>
      </c>
      <c r="C206" s="7">
        <v>35085</v>
      </c>
      <c r="D206" s="6" t="s">
        <v>98</v>
      </c>
      <c r="E206" s="6" t="s">
        <v>128</v>
      </c>
      <c r="F206" s="6" t="s">
        <v>128</v>
      </c>
      <c r="G206" s="6" t="s">
        <v>89</v>
      </c>
      <c r="H206" s="6" t="s">
        <v>101</v>
      </c>
      <c r="I206" s="6" t="s">
        <v>767</v>
      </c>
      <c r="J206" s="6" t="s">
        <v>767</v>
      </c>
      <c r="K206" s="7">
        <v>5895051</v>
      </c>
      <c r="L206" s="7">
        <v>734490</v>
      </c>
      <c r="M206" s="7">
        <v>18</v>
      </c>
      <c r="N206" s="7">
        <v>1</v>
      </c>
      <c r="O206" s="7">
        <v>8</v>
      </c>
    </row>
    <row r="207" spans="1:15" x14ac:dyDescent="0.25">
      <c r="A207" s="6" t="s">
        <v>14</v>
      </c>
      <c r="B207" s="6" t="s">
        <v>113</v>
      </c>
      <c r="C207" s="7">
        <v>35086</v>
      </c>
      <c r="D207" s="6" t="s">
        <v>98</v>
      </c>
      <c r="E207" s="6" t="s">
        <v>128</v>
      </c>
      <c r="F207" s="6" t="s">
        <v>128</v>
      </c>
      <c r="G207" s="6" t="s">
        <v>89</v>
      </c>
      <c r="H207" s="6" t="s">
        <v>101</v>
      </c>
      <c r="I207" s="6" t="s">
        <v>767</v>
      </c>
      <c r="J207" s="6" t="s">
        <v>767</v>
      </c>
      <c r="K207" s="7">
        <v>5895051</v>
      </c>
      <c r="L207" s="7">
        <v>734490</v>
      </c>
      <c r="M207" s="7">
        <v>18</v>
      </c>
      <c r="N207" s="7">
        <v>1</v>
      </c>
      <c r="O207" s="7">
        <v>8</v>
      </c>
    </row>
    <row r="208" spans="1:15" x14ac:dyDescent="0.25">
      <c r="A208" s="6" t="s">
        <v>14</v>
      </c>
      <c r="B208" s="6" t="s">
        <v>113</v>
      </c>
      <c r="C208" s="7">
        <v>35135</v>
      </c>
      <c r="D208" s="6" t="s">
        <v>98</v>
      </c>
      <c r="E208" s="6" t="s">
        <v>126</v>
      </c>
      <c r="F208" s="6" t="s">
        <v>127</v>
      </c>
      <c r="G208" s="6" t="s">
        <v>89</v>
      </c>
      <c r="H208" s="6" t="s">
        <v>101</v>
      </c>
      <c r="I208" s="6" t="s">
        <v>767</v>
      </c>
      <c r="J208" s="6" t="s">
        <v>767</v>
      </c>
      <c r="K208" s="7">
        <v>5915397</v>
      </c>
      <c r="L208" s="7">
        <v>233397</v>
      </c>
      <c r="M208" s="7">
        <v>19</v>
      </c>
      <c r="N208" s="7">
        <v>1</v>
      </c>
      <c r="O208" s="7">
        <v>2.5</v>
      </c>
    </row>
    <row r="209" spans="1:15" x14ac:dyDescent="0.25">
      <c r="A209" s="6" t="s">
        <v>14</v>
      </c>
      <c r="B209" s="6" t="s">
        <v>113</v>
      </c>
      <c r="C209" s="7">
        <v>35136</v>
      </c>
      <c r="D209" s="6" t="s">
        <v>98</v>
      </c>
      <c r="E209" s="6" t="s">
        <v>126</v>
      </c>
      <c r="F209" s="6" t="s">
        <v>127</v>
      </c>
      <c r="G209" s="6" t="s">
        <v>89</v>
      </c>
      <c r="H209" s="6" t="s">
        <v>101</v>
      </c>
      <c r="I209" s="6" t="s">
        <v>767</v>
      </c>
      <c r="J209" s="6" t="s">
        <v>767</v>
      </c>
      <c r="K209" s="7">
        <v>5915397</v>
      </c>
      <c r="L209" s="7">
        <v>233397</v>
      </c>
      <c r="M209" s="7">
        <v>19</v>
      </c>
      <c r="N209" s="7">
        <v>1</v>
      </c>
      <c r="O209" s="7">
        <v>0.08</v>
      </c>
    </row>
    <row r="210" spans="1:15" x14ac:dyDescent="0.25">
      <c r="A210" s="6" t="s">
        <v>14</v>
      </c>
      <c r="B210" s="6" t="s">
        <v>113</v>
      </c>
      <c r="C210" s="7">
        <v>35137</v>
      </c>
      <c r="D210" s="6" t="s">
        <v>98</v>
      </c>
      <c r="E210" s="6" t="s">
        <v>126</v>
      </c>
      <c r="F210" s="6" t="s">
        <v>127</v>
      </c>
      <c r="G210" s="6" t="s">
        <v>89</v>
      </c>
      <c r="H210" s="6" t="s">
        <v>101</v>
      </c>
      <c r="I210" s="6" t="s">
        <v>767</v>
      </c>
      <c r="J210" s="6" t="s">
        <v>767</v>
      </c>
      <c r="K210" s="7">
        <v>5915397</v>
      </c>
      <c r="L210" s="7">
        <v>233397</v>
      </c>
      <c r="M210" s="7">
        <v>19</v>
      </c>
      <c r="N210" s="7">
        <v>1</v>
      </c>
      <c r="O210" s="7">
        <v>0.08</v>
      </c>
    </row>
    <row r="211" spans="1:15" x14ac:dyDescent="0.25">
      <c r="A211" s="6" t="s">
        <v>14</v>
      </c>
      <c r="B211" s="6" t="s">
        <v>113</v>
      </c>
      <c r="C211" s="7">
        <v>35138</v>
      </c>
      <c r="D211" s="6" t="s">
        <v>98</v>
      </c>
      <c r="E211" s="6" t="s">
        <v>126</v>
      </c>
      <c r="F211" s="6" t="s">
        <v>127</v>
      </c>
      <c r="G211" s="6" t="s">
        <v>89</v>
      </c>
      <c r="H211" s="6" t="s">
        <v>101</v>
      </c>
      <c r="I211" s="6" t="s">
        <v>767</v>
      </c>
      <c r="J211" s="6" t="s">
        <v>767</v>
      </c>
      <c r="K211" s="7">
        <v>5915397</v>
      </c>
      <c r="L211" s="7">
        <v>233397</v>
      </c>
      <c r="M211" s="7">
        <v>19</v>
      </c>
      <c r="N211" s="7">
        <v>1</v>
      </c>
      <c r="O211" s="7">
        <v>0.08</v>
      </c>
    </row>
    <row r="212" spans="1:15" x14ac:dyDescent="0.25">
      <c r="A212" s="6" t="s">
        <v>14</v>
      </c>
      <c r="B212" s="6" t="s">
        <v>113</v>
      </c>
      <c r="C212" s="7">
        <v>35139</v>
      </c>
      <c r="D212" s="6" t="s">
        <v>98</v>
      </c>
      <c r="E212" s="6" t="s">
        <v>126</v>
      </c>
      <c r="F212" s="6" t="s">
        <v>127</v>
      </c>
      <c r="G212" s="6" t="s">
        <v>89</v>
      </c>
      <c r="H212" s="6" t="s">
        <v>101</v>
      </c>
      <c r="I212" s="6" t="s">
        <v>767</v>
      </c>
      <c r="J212" s="6" t="s">
        <v>767</v>
      </c>
      <c r="K212" s="7">
        <v>5915397</v>
      </c>
      <c r="L212" s="7">
        <v>233397</v>
      </c>
      <c r="M212" s="7">
        <v>19</v>
      </c>
      <c r="N212" s="7">
        <v>1</v>
      </c>
      <c r="O212" s="7">
        <v>0.08</v>
      </c>
    </row>
    <row r="213" spans="1:15" x14ac:dyDescent="0.25">
      <c r="A213" s="6" t="s">
        <v>14</v>
      </c>
      <c r="B213" s="6" t="s">
        <v>113</v>
      </c>
      <c r="C213" s="7">
        <v>35140</v>
      </c>
      <c r="D213" s="6" t="s">
        <v>98</v>
      </c>
      <c r="E213" s="6" t="s">
        <v>126</v>
      </c>
      <c r="F213" s="6" t="s">
        <v>127</v>
      </c>
      <c r="G213" s="6" t="s">
        <v>89</v>
      </c>
      <c r="H213" s="6" t="s">
        <v>101</v>
      </c>
      <c r="I213" s="6" t="s">
        <v>767</v>
      </c>
      <c r="J213" s="6" t="s">
        <v>767</v>
      </c>
      <c r="K213" s="7">
        <v>5915397</v>
      </c>
      <c r="L213" s="7">
        <v>233397</v>
      </c>
      <c r="M213" s="7">
        <v>19</v>
      </c>
      <c r="N213" s="7">
        <v>1</v>
      </c>
      <c r="O213" s="7">
        <v>0.08</v>
      </c>
    </row>
    <row r="214" spans="1:15" x14ac:dyDescent="0.25">
      <c r="A214" s="6" t="s">
        <v>14</v>
      </c>
      <c r="B214" s="6" t="s">
        <v>113</v>
      </c>
      <c r="C214" s="7">
        <v>35141</v>
      </c>
      <c r="D214" s="6" t="s">
        <v>98</v>
      </c>
      <c r="E214" s="6" t="s">
        <v>126</v>
      </c>
      <c r="F214" s="6" t="s">
        <v>127</v>
      </c>
      <c r="G214" s="6" t="s">
        <v>89</v>
      </c>
      <c r="H214" s="6" t="s">
        <v>101</v>
      </c>
      <c r="I214" s="6" t="s">
        <v>767</v>
      </c>
      <c r="J214" s="6" t="s">
        <v>767</v>
      </c>
      <c r="K214" s="7">
        <v>5915397</v>
      </c>
      <c r="L214" s="7">
        <v>233397</v>
      </c>
      <c r="M214" s="7">
        <v>19</v>
      </c>
      <c r="N214" s="7">
        <v>1</v>
      </c>
      <c r="O214" s="7">
        <v>0.11</v>
      </c>
    </row>
    <row r="215" spans="1:15" x14ac:dyDescent="0.25">
      <c r="A215" s="6" t="s">
        <v>14</v>
      </c>
      <c r="B215" s="6" t="s">
        <v>113</v>
      </c>
      <c r="C215" s="7">
        <v>35143</v>
      </c>
      <c r="D215" s="6" t="s">
        <v>98</v>
      </c>
      <c r="E215" s="6" t="s">
        <v>126</v>
      </c>
      <c r="F215" s="6" t="s">
        <v>127</v>
      </c>
      <c r="G215" s="6" t="s">
        <v>89</v>
      </c>
      <c r="H215" s="6" t="s">
        <v>101</v>
      </c>
      <c r="I215" s="6" t="s">
        <v>767</v>
      </c>
      <c r="J215" s="6" t="s">
        <v>767</v>
      </c>
      <c r="K215" s="7">
        <v>5915397</v>
      </c>
      <c r="L215" s="7">
        <v>233397</v>
      </c>
      <c r="M215" s="7">
        <v>19</v>
      </c>
      <c r="N215" s="7">
        <v>1</v>
      </c>
      <c r="O215" s="7">
        <v>0.08</v>
      </c>
    </row>
    <row r="216" spans="1:15" x14ac:dyDescent="0.25">
      <c r="A216" s="6" t="s">
        <v>14</v>
      </c>
      <c r="B216" s="6" t="s">
        <v>113</v>
      </c>
      <c r="C216" s="7">
        <v>35158</v>
      </c>
      <c r="D216" s="6" t="s">
        <v>98</v>
      </c>
      <c r="E216" s="6" t="s">
        <v>126</v>
      </c>
      <c r="F216" s="6" t="s">
        <v>127</v>
      </c>
      <c r="G216" s="6" t="s">
        <v>89</v>
      </c>
      <c r="H216" s="6" t="s">
        <v>101</v>
      </c>
      <c r="I216" s="6" t="s">
        <v>767</v>
      </c>
      <c r="J216" s="6" t="s">
        <v>767</v>
      </c>
      <c r="K216" s="7">
        <v>5915397</v>
      </c>
      <c r="L216" s="7">
        <v>233397</v>
      </c>
      <c r="M216" s="7">
        <v>19</v>
      </c>
      <c r="N216" s="7">
        <v>1</v>
      </c>
      <c r="O216" s="7">
        <v>0.08</v>
      </c>
    </row>
    <row r="217" spans="1:15" x14ac:dyDescent="0.25">
      <c r="A217" s="6" t="s">
        <v>14</v>
      </c>
      <c r="B217" s="6" t="s">
        <v>113</v>
      </c>
      <c r="C217" s="7">
        <v>35159</v>
      </c>
      <c r="D217" s="6" t="s">
        <v>98</v>
      </c>
      <c r="E217" s="6" t="s">
        <v>126</v>
      </c>
      <c r="F217" s="6" t="s">
        <v>127</v>
      </c>
      <c r="G217" s="6" t="s">
        <v>89</v>
      </c>
      <c r="H217" s="6" t="s">
        <v>101</v>
      </c>
      <c r="I217" s="6" t="s">
        <v>767</v>
      </c>
      <c r="J217" s="6" t="s">
        <v>767</v>
      </c>
      <c r="K217" s="7">
        <v>5915397</v>
      </c>
      <c r="L217" s="7">
        <v>233397</v>
      </c>
      <c r="M217" s="7">
        <v>19</v>
      </c>
      <c r="N217" s="7">
        <v>1</v>
      </c>
      <c r="O217" s="7">
        <v>0.08</v>
      </c>
    </row>
    <row r="218" spans="1:15" x14ac:dyDescent="0.25">
      <c r="A218" s="6" t="s">
        <v>14</v>
      </c>
      <c r="B218" s="6" t="s">
        <v>113</v>
      </c>
      <c r="C218" s="7">
        <v>35160</v>
      </c>
      <c r="D218" s="6" t="s">
        <v>98</v>
      </c>
      <c r="E218" s="6" t="s">
        <v>126</v>
      </c>
      <c r="F218" s="6" t="s">
        <v>127</v>
      </c>
      <c r="G218" s="6" t="s">
        <v>89</v>
      </c>
      <c r="H218" s="6" t="s">
        <v>101</v>
      </c>
      <c r="I218" s="6" t="s">
        <v>767</v>
      </c>
      <c r="J218" s="6" t="s">
        <v>767</v>
      </c>
      <c r="K218" s="7">
        <v>5915397</v>
      </c>
      <c r="L218" s="7">
        <v>233397</v>
      </c>
      <c r="M218" s="7">
        <v>19</v>
      </c>
      <c r="N218" s="7">
        <v>1</v>
      </c>
      <c r="O218" s="7">
        <v>7.0000000000000007E-2</v>
      </c>
    </row>
    <row r="219" spans="1:15" x14ac:dyDescent="0.25">
      <c r="A219" s="6" t="s">
        <v>14</v>
      </c>
      <c r="B219" s="6" t="s">
        <v>113</v>
      </c>
      <c r="C219" s="7">
        <v>35161</v>
      </c>
      <c r="D219" s="6" t="s">
        <v>98</v>
      </c>
      <c r="E219" s="6" t="s">
        <v>126</v>
      </c>
      <c r="F219" s="6" t="s">
        <v>127</v>
      </c>
      <c r="G219" s="6" t="s">
        <v>89</v>
      </c>
      <c r="H219" s="6" t="s">
        <v>101</v>
      </c>
      <c r="I219" s="6" t="s">
        <v>767</v>
      </c>
      <c r="J219" s="6" t="s">
        <v>767</v>
      </c>
      <c r="K219" s="7">
        <v>5915397</v>
      </c>
      <c r="L219" s="7">
        <v>233397</v>
      </c>
      <c r="M219" s="7">
        <v>19</v>
      </c>
      <c r="N219" s="7">
        <v>1</v>
      </c>
      <c r="O219" s="7">
        <v>0.09</v>
      </c>
    </row>
    <row r="220" spans="1:15" x14ac:dyDescent="0.25">
      <c r="A220" s="6" t="s">
        <v>14</v>
      </c>
      <c r="B220" s="6" t="s">
        <v>113</v>
      </c>
      <c r="C220" s="7">
        <v>35235</v>
      </c>
      <c r="D220" s="6" t="s">
        <v>98</v>
      </c>
      <c r="E220" s="6" t="s">
        <v>104</v>
      </c>
      <c r="F220" s="6" t="s">
        <v>130</v>
      </c>
      <c r="G220" s="6" t="s">
        <v>89</v>
      </c>
      <c r="H220" s="6" t="s">
        <v>101</v>
      </c>
      <c r="I220" s="6" t="s">
        <v>767</v>
      </c>
      <c r="J220" s="6" t="s">
        <v>767</v>
      </c>
      <c r="K220" s="7">
        <v>5921910</v>
      </c>
      <c r="L220" s="7">
        <v>752834</v>
      </c>
      <c r="M220" s="7">
        <v>18</v>
      </c>
      <c r="N220" s="7">
        <v>1</v>
      </c>
      <c r="O220" s="7">
        <v>4.3</v>
      </c>
    </row>
    <row r="221" spans="1:15" x14ac:dyDescent="0.25">
      <c r="A221" s="6" t="s">
        <v>14</v>
      </c>
      <c r="B221" s="6" t="s">
        <v>113</v>
      </c>
      <c r="C221" s="7">
        <v>35236</v>
      </c>
      <c r="D221" s="6" t="s">
        <v>98</v>
      </c>
      <c r="E221" s="6" t="s">
        <v>104</v>
      </c>
      <c r="F221" s="6" t="s">
        <v>130</v>
      </c>
      <c r="G221" s="6" t="s">
        <v>89</v>
      </c>
      <c r="H221" s="6" t="s">
        <v>101</v>
      </c>
      <c r="I221" s="6" t="s">
        <v>767</v>
      </c>
      <c r="J221" s="6" t="s">
        <v>767</v>
      </c>
      <c r="K221" s="7">
        <v>5921910</v>
      </c>
      <c r="L221" s="7">
        <v>752834</v>
      </c>
      <c r="M221" s="7">
        <v>18</v>
      </c>
      <c r="N221" s="7">
        <v>1</v>
      </c>
      <c r="O221" s="7">
        <v>4</v>
      </c>
    </row>
    <row r="222" spans="1:15" x14ac:dyDescent="0.25">
      <c r="A222" s="6" t="s">
        <v>14</v>
      </c>
      <c r="B222" s="6" t="s">
        <v>113</v>
      </c>
      <c r="C222" s="7">
        <v>35237</v>
      </c>
      <c r="D222" s="6" t="s">
        <v>39</v>
      </c>
      <c r="E222" s="6" t="s">
        <v>156</v>
      </c>
      <c r="F222" s="6" t="s">
        <v>164</v>
      </c>
      <c r="G222" s="6" t="s">
        <v>89</v>
      </c>
      <c r="H222" s="6" t="s">
        <v>101</v>
      </c>
      <c r="I222" s="6" t="s">
        <v>767</v>
      </c>
      <c r="J222" s="6" t="s">
        <v>767</v>
      </c>
      <c r="K222" s="7">
        <v>6019000</v>
      </c>
      <c r="L222" s="7">
        <v>262249</v>
      </c>
      <c r="M222" s="7">
        <v>19</v>
      </c>
      <c r="N222" s="7">
        <v>1</v>
      </c>
      <c r="O222" s="7">
        <v>11</v>
      </c>
    </row>
    <row r="223" spans="1:15" x14ac:dyDescent="0.25">
      <c r="A223" s="6" t="s">
        <v>14</v>
      </c>
      <c r="B223" s="6" t="s">
        <v>113</v>
      </c>
      <c r="C223" s="7">
        <v>35238</v>
      </c>
      <c r="D223" s="6" t="s">
        <v>39</v>
      </c>
      <c r="E223" s="6" t="s">
        <v>156</v>
      </c>
      <c r="F223" s="6" t="s">
        <v>164</v>
      </c>
      <c r="G223" s="6" t="s">
        <v>89</v>
      </c>
      <c r="H223" s="6" t="s">
        <v>101</v>
      </c>
      <c r="I223" s="6" t="s">
        <v>767</v>
      </c>
      <c r="J223" s="6" t="s">
        <v>767</v>
      </c>
      <c r="K223" s="7">
        <v>6019000</v>
      </c>
      <c r="L223" s="7">
        <v>262249</v>
      </c>
      <c r="M223" s="7">
        <v>19</v>
      </c>
      <c r="N223" s="7">
        <v>1</v>
      </c>
      <c r="O223" s="7">
        <v>4</v>
      </c>
    </row>
    <row r="224" spans="1:15" x14ac:dyDescent="0.25">
      <c r="A224" s="6" t="s">
        <v>14</v>
      </c>
      <c r="B224" s="6" t="s">
        <v>113</v>
      </c>
      <c r="C224" s="7">
        <v>35239</v>
      </c>
      <c r="D224" s="6" t="s">
        <v>39</v>
      </c>
      <c r="E224" s="6" t="s">
        <v>156</v>
      </c>
      <c r="F224" s="6" t="s">
        <v>164</v>
      </c>
      <c r="G224" s="6" t="s">
        <v>89</v>
      </c>
      <c r="H224" s="6" t="s">
        <v>101</v>
      </c>
      <c r="I224" s="6" t="s">
        <v>767</v>
      </c>
      <c r="J224" s="6" t="s">
        <v>767</v>
      </c>
      <c r="K224" s="7">
        <v>6019000</v>
      </c>
      <c r="L224" s="7">
        <v>262249</v>
      </c>
      <c r="M224" s="7">
        <v>19</v>
      </c>
      <c r="N224" s="7">
        <v>1</v>
      </c>
      <c r="O224" s="7">
        <v>4</v>
      </c>
    </row>
    <row r="225" spans="1:15" x14ac:dyDescent="0.25">
      <c r="A225" s="6" t="s">
        <v>28</v>
      </c>
      <c r="B225" s="6" t="s">
        <v>165</v>
      </c>
      <c r="C225" s="7">
        <v>30393</v>
      </c>
      <c r="D225" s="6" t="s">
        <v>39</v>
      </c>
      <c r="E225" s="6" t="s">
        <v>72</v>
      </c>
      <c r="F225" s="6" t="s">
        <v>166</v>
      </c>
      <c r="G225" s="6" t="s">
        <v>32</v>
      </c>
      <c r="H225" s="6" t="s">
        <v>19</v>
      </c>
      <c r="I225" s="6" t="s">
        <v>767</v>
      </c>
      <c r="J225" s="6" t="s">
        <v>767</v>
      </c>
      <c r="K225" s="7">
        <v>6058514</v>
      </c>
      <c r="L225" s="7">
        <v>269361</v>
      </c>
      <c r="M225" s="7">
        <v>19</v>
      </c>
      <c r="N225" s="7">
        <v>1</v>
      </c>
      <c r="O225" s="7">
        <v>1.2</v>
      </c>
    </row>
    <row r="226" spans="1:15" x14ac:dyDescent="0.25">
      <c r="A226" s="6" t="s">
        <v>28</v>
      </c>
      <c r="B226" s="6" t="s">
        <v>165</v>
      </c>
      <c r="C226" s="7">
        <v>30401</v>
      </c>
      <c r="D226" s="6" t="s">
        <v>42</v>
      </c>
      <c r="E226" s="6" t="s">
        <v>167</v>
      </c>
      <c r="F226" s="6" t="s">
        <v>168</v>
      </c>
      <c r="G226" s="6" t="s">
        <v>32</v>
      </c>
      <c r="H226" s="6" t="s">
        <v>33</v>
      </c>
      <c r="I226" s="6" t="s">
        <v>767</v>
      </c>
      <c r="J226" s="6" t="s">
        <v>764</v>
      </c>
      <c r="K226" s="7">
        <v>6225728</v>
      </c>
      <c r="L226" s="7">
        <v>342566</v>
      </c>
      <c r="M226" s="7">
        <v>19</v>
      </c>
      <c r="N226" s="7">
        <v>1</v>
      </c>
      <c r="O226" s="7">
        <v>13.7</v>
      </c>
    </row>
    <row r="227" spans="1:15" x14ac:dyDescent="0.25">
      <c r="A227" s="6" t="s">
        <v>28</v>
      </c>
      <c r="B227" s="6" t="s">
        <v>165</v>
      </c>
      <c r="C227" s="7">
        <v>30419</v>
      </c>
      <c r="D227" s="6" t="s">
        <v>42</v>
      </c>
      <c r="E227" s="6" t="s">
        <v>45</v>
      </c>
      <c r="F227" s="6" t="s">
        <v>45</v>
      </c>
      <c r="G227" s="6" t="s">
        <v>32</v>
      </c>
      <c r="H227" s="6" t="s">
        <v>33</v>
      </c>
      <c r="I227" s="6" t="s">
        <v>767</v>
      </c>
      <c r="J227" s="6" t="s">
        <v>764</v>
      </c>
      <c r="K227" s="7">
        <v>6168752</v>
      </c>
      <c r="L227" s="7">
        <v>316998</v>
      </c>
      <c r="M227" s="7">
        <v>19</v>
      </c>
      <c r="N227" s="7">
        <v>1</v>
      </c>
      <c r="O227" s="7">
        <v>17.2</v>
      </c>
    </row>
    <row r="228" spans="1:15" x14ac:dyDescent="0.25">
      <c r="A228" s="6" t="s">
        <v>28</v>
      </c>
      <c r="B228" s="6" t="s">
        <v>165</v>
      </c>
      <c r="C228" s="7">
        <v>30472</v>
      </c>
      <c r="D228" s="6" t="s">
        <v>39</v>
      </c>
      <c r="E228" s="6" t="s">
        <v>169</v>
      </c>
      <c r="F228" s="6" t="s">
        <v>170</v>
      </c>
      <c r="G228" s="6" t="s">
        <v>32</v>
      </c>
      <c r="H228" s="6" t="s">
        <v>19</v>
      </c>
      <c r="I228" s="6" t="s">
        <v>767</v>
      </c>
      <c r="J228" s="6" t="s">
        <v>767</v>
      </c>
      <c r="K228" s="7">
        <v>6062586</v>
      </c>
      <c r="L228" s="7">
        <v>259405</v>
      </c>
      <c r="M228" s="7">
        <v>19</v>
      </c>
      <c r="N228" s="7">
        <v>1</v>
      </c>
      <c r="O228" s="7">
        <v>1.4</v>
      </c>
    </row>
    <row r="229" spans="1:15" x14ac:dyDescent="0.25">
      <c r="A229" s="6" t="s">
        <v>28</v>
      </c>
      <c r="B229" s="6" t="s">
        <v>165</v>
      </c>
      <c r="C229" s="7">
        <v>30484</v>
      </c>
      <c r="D229" s="6" t="s">
        <v>39</v>
      </c>
      <c r="E229" s="6" t="s">
        <v>72</v>
      </c>
      <c r="F229" s="6" t="s">
        <v>171</v>
      </c>
      <c r="G229" s="6" t="s">
        <v>32</v>
      </c>
      <c r="H229" s="6" t="s">
        <v>19</v>
      </c>
      <c r="I229" s="6" t="s">
        <v>767</v>
      </c>
      <c r="J229" s="6" t="s">
        <v>767</v>
      </c>
      <c r="K229" s="7">
        <v>6064815</v>
      </c>
      <c r="L229" s="7">
        <v>290216</v>
      </c>
      <c r="M229" s="7">
        <v>19</v>
      </c>
      <c r="N229" s="7">
        <v>1</v>
      </c>
      <c r="O229" s="7">
        <v>11.47</v>
      </c>
    </row>
    <row r="230" spans="1:15" x14ac:dyDescent="0.25">
      <c r="A230" s="6" t="s">
        <v>28</v>
      </c>
      <c r="B230" s="6" t="s">
        <v>165</v>
      </c>
      <c r="C230" s="7">
        <v>30487</v>
      </c>
      <c r="D230" s="6" t="s">
        <v>39</v>
      </c>
      <c r="E230" s="6" t="s">
        <v>72</v>
      </c>
      <c r="F230" s="6" t="s">
        <v>166</v>
      </c>
      <c r="G230" s="6" t="s">
        <v>32</v>
      </c>
      <c r="H230" s="6" t="s">
        <v>19</v>
      </c>
      <c r="I230" s="6" t="s">
        <v>767</v>
      </c>
      <c r="J230" s="6" t="s">
        <v>767</v>
      </c>
      <c r="K230" s="7">
        <v>6058184</v>
      </c>
      <c r="L230" s="7">
        <v>271783</v>
      </c>
      <c r="M230" s="7">
        <v>19</v>
      </c>
      <c r="N230" s="7">
        <v>1</v>
      </c>
      <c r="O230" s="7">
        <v>0.82</v>
      </c>
    </row>
    <row r="231" spans="1:15" x14ac:dyDescent="0.25">
      <c r="A231" s="6" t="s">
        <v>28</v>
      </c>
      <c r="B231" s="6" t="s">
        <v>165</v>
      </c>
      <c r="C231" s="7">
        <v>30574</v>
      </c>
      <c r="D231" s="6" t="s">
        <v>39</v>
      </c>
      <c r="E231" s="6" t="s">
        <v>173</v>
      </c>
      <c r="F231" s="6" t="s">
        <v>173</v>
      </c>
      <c r="G231" s="6" t="s">
        <v>32</v>
      </c>
      <c r="H231" s="6" t="s">
        <v>33</v>
      </c>
      <c r="I231" s="6" t="s">
        <v>767</v>
      </c>
      <c r="J231" s="6" t="s">
        <v>764</v>
      </c>
      <c r="K231" s="7">
        <v>6043970</v>
      </c>
      <c r="L231" s="7">
        <v>274057</v>
      </c>
      <c r="M231" s="7">
        <v>19</v>
      </c>
      <c r="N231" s="7">
        <v>1</v>
      </c>
      <c r="O231" s="7">
        <v>31</v>
      </c>
    </row>
    <row r="232" spans="1:15" x14ac:dyDescent="0.25">
      <c r="A232" s="6" t="s">
        <v>28</v>
      </c>
      <c r="B232" s="6" t="s">
        <v>165</v>
      </c>
      <c r="C232" s="7">
        <v>30577</v>
      </c>
      <c r="D232" s="6" t="s">
        <v>39</v>
      </c>
      <c r="E232" s="6" t="s">
        <v>173</v>
      </c>
      <c r="F232" s="6" t="s">
        <v>173</v>
      </c>
      <c r="G232" s="6" t="s">
        <v>32</v>
      </c>
      <c r="H232" s="6" t="s">
        <v>33</v>
      </c>
      <c r="I232" s="6" t="s">
        <v>767</v>
      </c>
      <c r="J232" s="6" t="s">
        <v>764</v>
      </c>
      <c r="K232" s="7">
        <v>6043400</v>
      </c>
      <c r="L232" s="7">
        <v>273738</v>
      </c>
      <c r="M232" s="7">
        <v>19</v>
      </c>
      <c r="N232" s="7">
        <v>1</v>
      </c>
      <c r="O232" s="7">
        <v>27</v>
      </c>
    </row>
    <row r="233" spans="1:15" x14ac:dyDescent="0.25">
      <c r="A233" s="6" t="s">
        <v>28</v>
      </c>
      <c r="B233" s="6" t="s">
        <v>165</v>
      </c>
      <c r="C233" s="7">
        <v>30580</v>
      </c>
      <c r="D233" s="6" t="s">
        <v>39</v>
      </c>
      <c r="E233" s="6" t="s">
        <v>173</v>
      </c>
      <c r="F233" s="6" t="s">
        <v>174</v>
      </c>
      <c r="G233" s="6" t="s">
        <v>32</v>
      </c>
      <c r="H233" s="6" t="s">
        <v>33</v>
      </c>
      <c r="I233" s="6" t="s">
        <v>767</v>
      </c>
      <c r="J233" s="6" t="s">
        <v>764</v>
      </c>
      <c r="K233" s="7">
        <v>6043626</v>
      </c>
      <c r="L233" s="7">
        <v>273372</v>
      </c>
      <c r="M233" s="7">
        <v>19</v>
      </c>
      <c r="N233" s="7">
        <v>2</v>
      </c>
      <c r="O233" s="7">
        <v>23</v>
      </c>
    </row>
    <row r="234" spans="1:15" x14ac:dyDescent="0.25">
      <c r="A234" s="6" t="s">
        <v>28</v>
      </c>
      <c r="B234" s="6" t="s">
        <v>165</v>
      </c>
      <c r="C234" s="7">
        <v>30654</v>
      </c>
      <c r="D234" s="6" t="s">
        <v>42</v>
      </c>
      <c r="E234" s="6" t="s">
        <v>45</v>
      </c>
      <c r="F234" s="6" t="s">
        <v>45</v>
      </c>
      <c r="G234" s="6" t="s">
        <v>32</v>
      </c>
      <c r="H234" s="6" t="s">
        <v>33</v>
      </c>
      <c r="I234" s="6" t="s">
        <v>767</v>
      </c>
      <c r="J234" s="6" t="s">
        <v>764</v>
      </c>
      <c r="K234" s="7">
        <v>6167330</v>
      </c>
      <c r="L234" s="7">
        <v>320070</v>
      </c>
      <c r="M234" s="7">
        <v>19</v>
      </c>
      <c r="N234" s="7">
        <v>1</v>
      </c>
      <c r="O234" s="7">
        <v>13</v>
      </c>
    </row>
    <row r="235" spans="1:15" x14ac:dyDescent="0.25">
      <c r="A235" s="6" t="s">
        <v>28</v>
      </c>
      <c r="B235" s="6" t="s">
        <v>165</v>
      </c>
      <c r="C235" s="7">
        <v>30665</v>
      </c>
      <c r="D235" s="6" t="s">
        <v>42</v>
      </c>
      <c r="E235" s="6" t="s">
        <v>45</v>
      </c>
      <c r="F235" s="6" t="s">
        <v>45</v>
      </c>
      <c r="G235" s="6" t="s">
        <v>32</v>
      </c>
      <c r="H235" s="6" t="s">
        <v>33</v>
      </c>
      <c r="I235" s="6" t="s">
        <v>767</v>
      </c>
      <c r="J235" s="6" t="s">
        <v>764</v>
      </c>
      <c r="K235" s="7">
        <v>6169242</v>
      </c>
      <c r="L235" s="7">
        <v>317615</v>
      </c>
      <c r="M235" s="7">
        <v>19</v>
      </c>
      <c r="N235" s="7">
        <v>1</v>
      </c>
      <c r="O235" s="7">
        <v>28</v>
      </c>
    </row>
    <row r="236" spans="1:15" x14ac:dyDescent="0.25">
      <c r="A236" s="6" t="s">
        <v>28</v>
      </c>
      <c r="B236" s="6" t="s">
        <v>165</v>
      </c>
      <c r="C236" s="7">
        <v>30684</v>
      </c>
      <c r="D236" s="6" t="s">
        <v>39</v>
      </c>
      <c r="E236" s="6" t="s">
        <v>173</v>
      </c>
      <c r="F236" s="6" t="s">
        <v>175</v>
      </c>
      <c r="G236" s="6" t="s">
        <v>32</v>
      </c>
      <c r="H236" s="6" t="s">
        <v>19</v>
      </c>
      <c r="I236" s="6" t="s">
        <v>767</v>
      </c>
      <c r="J236" s="6" t="s">
        <v>767</v>
      </c>
      <c r="K236" s="7">
        <v>6053638</v>
      </c>
      <c r="L236" s="7">
        <v>270742</v>
      </c>
      <c r="M236" s="7">
        <v>19</v>
      </c>
      <c r="N236" s="7">
        <v>1</v>
      </c>
      <c r="O236" s="7">
        <v>2.4</v>
      </c>
    </row>
    <row r="237" spans="1:15" x14ac:dyDescent="0.25">
      <c r="A237" s="6" t="s">
        <v>28</v>
      </c>
      <c r="B237" s="6" t="s">
        <v>165</v>
      </c>
      <c r="C237" s="7">
        <v>30686</v>
      </c>
      <c r="D237" s="6" t="s">
        <v>39</v>
      </c>
      <c r="E237" s="6" t="s">
        <v>156</v>
      </c>
      <c r="F237" s="6" t="s">
        <v>176</v>
      </c>
      <c r="G237" s="6" t="s">
        <v>32</v>
      </c>
      <c r="H237" s="6" t="s">
        <v>33</v>
      </c>
      <c r="I237" s="6" t="s">
        <v>767</v>
      </c>
      <c r="J237" s="6" t="s">
        <v>764</v>
      </c>
      <c r="K237" s="7">
        <v>6038866</v>
      </c>
      <c r="L237" s="7">
        <v>277600</v>
      </c>
      <c r="M237" s="7">
        <v>19</v>
      </c>
      <c r="N237" s="7">
        <v>2</v>
      </c>
      <c r="O237" s="7">
        <v>30</v>
      </c>
    </row>
    <row r="238" spans="1:15" x14ac:dyDescent="0.25">
      <c r="A238" s="6" t="s">
        <v>28</v>
      </c>
      <c r="B238" s="6" t="s">
        <v>165</v>
      </c>
      <c r="C238" s="7">
        <v>30700</v>
      </c>
      <c r="D238" s="6" t="s">
        <v>39</v>
      </c>
      <c r="E238" s="6" t="s">
        <v>177</v>
      </c>
      <c r="F238" s="6" t="s">
        <v>178</v>
      </c>
      <c r="G238" s="6" t="s">
        <v>32</v>
      </c>
      <c r="H238" s="6" t="s">
        <v>19</v>
      </c>
      <c r="I238" s="6" t="s">
        <v>767</v>
      </c>
      <c r="J238" s="6" t="s">
        <v>767</v>
      </c>
      <c r="K238" s="7">
        <v>6054357</v>
      </c>
      <c r="L238" s="7">
        <v>281920</v>
      </c>
      <c r="M238" s="7">
        <v>19</v>
      </c>
      <c r="N238" s="7">
        <v>1</v>
      </c>
      <c r="O238" s="7">
        <v>4.4000000000000004</v>
      </c>
    </row>
    <row r="239" spans="1:15" x14ac:dyDescent="0.25">
      <c r="A239" s="6" t="s">
        <v>28</v>
      </c>
      <c r="B239" s="6" t="s">
        <v>165</v>
      </c>
      <c r="C239" s="7">
        <v>30703</v>
      </c>
      <c r="D239" s="6" t="s">
        <v>39</v>
      </c>
      <c r="E239" s="6" t="s">
        <v>72</v>
      </c>
      <c r="F239" s="6" t="s">
        <v>171</v>
      </c>
      <c r="G239" s="6" t="s">
        <v>32</v>
      </c>
      <c r="H239" s="6" t="s">
        <v>19</v>
      </c>
      <c r="I239" s="6" t="s">
        <v>767</v>
      </c>
      <c r="J239" s="6" t="s">
        <v>767</v>
      </c>
      <c r="K239" s="7">
        <v>6065381</v>
      </c>
      <c r="L239" s="7">
        <v>289724</v>
      </c>
      <c r="M239" s="7">
        <v>19</v>
      </c>
      <c r="N239" s="7">
        <v>1</v>
      </c>
      <c r="O239" s="7">
        <v>1.6</v>
      </c>
    </row>
    <row r="240" spans="1:15" x14ac:dyDescent="0.25">
      <c r="A240" s="6" t="s">
        <v>28</v>
      </c>
      <c r="B240" s="6" t="s">
        <v>165</v>
      </c>
      <c r="C240" s="7">
        <v>30764</v>
      </c>
      <c r="D240" s="6" t="s">
        <v>39</v>
      </c>
      <c r="E240" s="6" t="s">
        <v>72</v>
      </c>
      <c r="F240" s="6" t="s">
        <v>171</v>
      </c>
      <c r="G240" s="6" t="s">
        <v>32</v>
      </c>
      <c r="H240" s="6" t="s">
        <v>19</v>
      </c>
      <c r="I240" s="6" t="s">
        <v>767</v>
      </c>
      <c r="J240" s="6" t="s">
        <v>767</v>
      </c>
      <c r="K240" s="7">
        <v>6053370</v>
      </c>
      <c r="L240" s="7">
        <v>290690</v>
      </c>
      <c r="M240" s="7">
        <v>19</v>
      </c>
      <c r="N240" s="7">
        <v>1</v>
      </c>
      <c r="O240" s="7">
        <v>4</v>
      </c>
    </row>
    <row r="241" spans="1:15" x14ac:dyDescent="0.25">
      <c r="A241" s="6" t="s">
        <v>28</v>
      </c>
      <c r="B241" s="6" t="s">
        <v>165</v>
      </c>
      <c r="C241" s="7">
        <v>30767</v>
      </c>
      <c r="D241" s="6" t="s">
        <v>39</v>
      </c>
      <c r="E241" s="6" t="s">
        <v>179</v>
      </c>
      <c r="F241" s="6" t="s">
        <v>179</v>
      </c>
      <c r="G241" s="6" t="s">
        <v>32</v>
      </c>
      <c r="H241" s="6" t="s">
        <v>33</v>
      </c>
      <c r="I241" s="6" t="s">
        <v>767</v>
      </c>
      <c r="J241" s="6" t="s">
        <v>764</v>
      </c>
      <c r="K241" s="7">
        <v>6131977</v>
      </c>
      <c r="L241" s="7">
        <v>309703</v>
      </c>
      <c r="M241" s="7">
        <v>19</v>
      </c>
      <c r="N241" s="7">
        <v>1</v>
      </c>
      <c r="O241" s="7">
        <v>5.5</v>
      </c>
    </row>
    <row r="242" spans="1:15" x14ac:dyDescent="0.25">
      <c r="A242" s="6" t="s">
        <v>28</v>
      </c>
      <c r="B242" s="6" t="s">
        <v>165</v>
      </c>
      <c r="C242" s="7">
        <v>30769</v>
      </c>
      <c r="D242" s="6" t="s">
        <v>39</v>
      </c>
      <c r="E242" s="6" t="s">
        <v>179</v>
      </c>
      <c r="F242" s="6" t="s">
        <v>179</v>
      </c>
      <c r="G242" s="6" t="s">
        <v>32</v>
      </c>
      <c r="H242" s="6" t="s">
        <v>33</v>
      </c>
      <c r="I242" s="6" t="s">
        <v>767</v>
      </c>
      <c r="J242" s="6" t="s">
        <v>764</v>
      </c>
      <c r="K242" s="7">
        <v>6131451</v>
      </c>
      <c r="L242" s="7">
        <v>309655</v>
      </c>
      <c r="M242" s="7">
        <v>19</v>
      </c>
      <c r="N242" s="7">
        <v>1</v>
      </c>
      <c r="O242" s="7">
        <v>10</v>
      </c>
    </row>
    <row r="243" spans="1:15" x14ac:dyDescent="0.25">
      <c r="A243" s="6" t="s">
        <v>28</v>
      </c>
      <c r="B243" s="6" t="s">
        <v>165</v>
      </c>
      <c r="C243" s="7">
        <v>30773</v>
      </c>
      <c r="D243" s="6" t="s">
        <v>39</v>
      </c>
      <c r="E243" s="6" t="s">
        <v>179</v>
      </c>
      <c r="F243" s="6" t="s">
        <v>179</v>
      </c>
      <c r="G243" s="6" t="s">
        <v>32</v>
      </c>
      <c r="H243" s="6" t="s">
        <v>33</v>
      </c>
      <c r="I243" s="6" t="s">
        <v>767</v>
      </c>
      <c r="J243" s="6" t="s">
        <v>764</v>
      </c>
      <c r="K243" s="7">
        <v>6123686</v>
      </c>
      <c r="L243" s="7">
        <v>315104</v>
      </c>
      <c r="M243" s="7">
        <v>19</v>
      </c>
      <c r="N243" s="7">
        <v>1</v>
      </c>
      <c r="O243" s="7">
        <v>15</v>
      </c>
    </row>
    <row r="244" spans="1:15" x14ac:dyDescent="0.25">
      <c r="A244" s="6" t="s">
        <v>28</v>
      </c>
      <c r="B244" s="6" t="s">
        <v>165</v>
      </c>
      <c r="C244" s="7">
        <v>30776</v>
      </c>
      <c r="D244" s="6" t="s">
        <v>39</v>
      </c>
      <c r="E244" s="6" t="s">
        <v>173</v>
      </c>
      <c r="F244" s="6" t="s">
        <v>173</v>
      </c>
      <c r="G244" s="6" t="s">
        <v>32</v>
      </c>
      <c r="H244" s="6" t="s">
        <v>33</v>
      </c>
      <c r="I244" s="6" t="s">
        <v>767</v>
      </c>
      <c r="J244" s="6" t="s">
        <v>764</v>
      </c>
      <c r="K244" s="7">
        <v>6044179</v>
      </c>
      <c r="L244" s="7">
        <v>273689</v>
      </c>
      <c r="M244" s="7">
        <v>19</v>
      </c>
      <c r="N244" s="7">
        <v>1</v>
      </c>
      <c r="O244" s="7">
        <v>32</v>
      </c>
    </row>
    <row r="245" spans="1:15" x14ac:dyDescent="0.25">
      <c r="A245" s="6" t="s">
        <v>28</v>
      </c>
      <c r="B245" s="6" t="s">
        <v>165</v>
      </c>
      <c r="C245" s="7">
        <v>30808</v>
      </c>
      <c r="D245" s="6" t="s">
        <v>39</v>
      </c>
      <c r="E245" s="6" t="s">
        <v>169</v>
      </c>
      <c r="F245" s="6" t="s">
        <v>180</v>
      </c>
      <c r="G245" s="6" t="s">
        <v>32</v>
      </c>
      <c r="H245" s="6" t="s">
        <v>19</v>
      </c>
      <c r="I245" s="6" t="s">
        <v>767</v>
      </c>
      <c r="J245" s="6" t="s">
        <v>767</v>
      </c>
      <c r="K245" s="7">
        <v>6060635</v>
      </c>
      <c r="L245" s="7">
        <v>267868</v>
      </c>
      <c r="M245" s="7">
        <v>19</v>
      </c>
      <c r="N245" s="7">
        <v>1</v>
      </c>
      <c r="O245" s="7">
        <v>1.8</v>
      </c>
    </row>
    <row r="246" spans="1:15" x14ac:dyDescent="0.25">
      <c r="A246" s="6" t="s">
        <v>28</v>
      </c>
      <c r="B246" s="6" t="s">
        <v>165</v>
      </c>
      <c r="C246" s="7">
        <v>30886</v>
      </c>
      <c r="D246" s="6" t="s">
        <v>39</v>
      </c>
      <c r="E246" s="6" t="s">
        <v>72</v>
      </c>
      <c r="F246" s="6" t="s">
        <v>166</v>
      </c>
      <c r="G246" s="6" t="s">
        <v>32</v>
      </c>
      <c r="H246" s="6" t="s">
        <v>19</v>
      </c>
      <c r="I246" s="6" t="s">
        <v>767</v>
      </c>
      <c r="J246" s="6" t="s">
        <v>767</v>
      </c>
      <c r="K246" s="7">
        <v>6059058</v>
      </c>
      <c r="L246" s="7">
        <v>270337</v>
      </c>
      <c r="M246" s="7">
        <v>19</v>
      </c>
      <c r="N246" s="7">
        <v>1</v>
      </c>
      <c r="O246" s="7">
        <v>1.1499999999999999</v>
      </c>
    </row>
    <row r="247" spans="1:15" x14ac:dyDescent="0.25">
      <c r="A247" s="6" t="s">
        <v>28</v>
      </c>
      <c r="B247" s="6" t="s">
        <v>165</v>
      </c>
      <c r="C247" s="7">
        <v>30888</v>
      </c>
      <c r="D247" s="6" t="s">
        <v>39</v>
      </c>
      <c r="E247" s="6" t="s">
        <v>72</v>
      </c>
      <c r="F247" s="6" t="s">
        <v>166</v>
      </c>
      <c r="G247" s="6" t="s">
        <v>32</v>
      </c>
      <c r="H247" s="6" t="s">
        <v>19</v>
      </c>
      <c r="I247" s="6" t="s">
        <v>767</v>
      </c>
      <c r="J247" s="6" t="s">
        <v>767</v>
      </c>
      <c r="K247" s="7">
        <v>6059590</v>
      </c>
      <c r="L247" s="7">
        <v>271190</v>
      </c>
      <c r="M247" s="7">
        <v>19</v>
      </c>
      <c r="N247" s="7">
        <v>1</v>
      </c>
      <c r="O247" s="7">
        <v>1.5</v>
      </c>
    </row>
    <row r="248" spans="1:15" x14ac:dyDescent="0.25">
      <c r="A248" s="6" t="s">
        <v>28</v>
      </c>
      <c r="B248" s="6" t="s">
        <v>165</v>
      </c>
      <c r="C248" s="7">
        <v>30908</v>
      </c>
      <c r="D248" s="6" t="s">
        <v>39</v>
      </c>
      <c r="E248" s="6" t="s">
        <v>40</v>
      </c>
      <c r="F248" s="6" t="s">
        <v>181</v>
      </c>
      <c r="G248" s="6" t="s">
        <v>32</v>
      </c>
      <c r="H248" s="6" t="s">
        <v>33</v>
      </c>
      <c r="I248" s="6" t="s">
        <v>767</v>
      </c>
      <c r="J248" s="6" t="s">
        <v>764</v>
      </c>
      <c r="K248" s="7">
        <v>6118476</v>
      </c>
      <c r="L248" s="7">
        <v>303329</v>
      </c>
      <c r="M248" s="7">
        <v>19</v>
      </c>
      <c r="N248" s="7">
        <v>1</v>
      </c>
      <c r="O248" s="7">
        <v>10.5</v>
      </c>
    </row>
    <row r="249" spans="1:15" x14ac:dyDescent="0.25">
      <c r="A249" s="6" t="s">
        <v>28</v>
      </c>
      <c r="B249" s="6" t="s">
        <v>165</v>
      </c>
      <c r="C249" s="7">
        <v>30912</v>
      </c>
      <c r="D249" s="6" t="s">
        <v>39</v>
      </c>
      <c r="E249" s="6" t="s">
        <v>72</v>
      </c>
      <c r="F249" s="6" t="s">
        <v>166</v>
      </c>
      <c r="G249" s="6" t="s">
        <v>32</v>
      </c>
      <c r="H249" s="6" t="s">
        <v>19</v>
      </c>
      <c r="I249" s="6" t="s">
        <v>767</v>
      </c>
      <c r="J249" s="6" t="s">
        <v>767</v>
      </c>
      <c r="K249" s="7">
        <v>6057703</v>
      </c>
      <c r="L249" s="7">
        <v>272068</v>
      </c>
      <c r="M249" s="7">
        <v>19</v>
      </c>
      <c r="N249" s="7">
        <v>1</v>
      </c>
      <c r="O249" s="7">
        <v>1.2</v>
      </c>
    </row>
    <row r="250" spans="1:15" x14ac:dyDescent="0.25">
      <c r="A250" s="6" t="s">
        <v>28</v>
      </c>
      <c r="B250" s="6" t="s">
        <v>165</v>
      </c>
      <c r="C250" s="7">
        <v>30933</v>
      </c>
      <c r="D250" s="6" t="s">
        <v>39</v>
      </c>
      <c r="E250" s="6" t="s">
        <v>70</v>
      </c>
      <c r="F250" s="6" t="s">
        <v>182</v>
      </c>
      <c r="G250" s="6" t="s">
        <v>32</v>
      </c>
      <c r="H250" s="6" t="s">
        <v>33</v>
      </c>
      <c r="I250" s="6" t="s">
        <v>767</v>
      </c>
      <c r="J250" s="6" t="s">
        <v>764</v>
      </c>
      <c r="K250" s="7">
        <v>6071779</v>
      </c>
      <c r="L250" s="7">
        <v>269068</v>
      </c>
      <c r="M250" s="7">
        <v>19</v>
      </c>
      <c r="N250" s="7">
        <v>1</v>
      </c>
      <c r="O250" s="7">
        <v>25</v>
      </c>
    </row>
    <row r="251" spans="1:15" x14ac:dyDescent="0.25">
      <c r="A251" s="6" t="s">
        <v>28</v>
      </c>
      <c r="B251" s="6" t="s">
        <v>165</v>
      </c>
      <c r="C251" s="7">
        <v>30938</v>
      </c>
      <c r="D251" s="6" t="s">
        <v>39</v>
      </c>
      <c r="E251" s="6" t="s">
        <v>72</v>
      </c>
      <c r="F251" s="6" t="s">
        <v>166</v>
      </c>
      <c r="G251" s="6" t="s">
        <v>32</v>
      </c>
      <c r="H251" s="6" t="s">
        <v>19</v>
      </c>
      <c r="I251" s="6" t="s">
        <v>767</v>
      </c>
      <c r="J251" s="6" t="s">
        <v>767</v>
      </c>
      <c r="K251" s="7">
        <v>6057916</v>
      </c>
      <c r="L251" s="7">
        <v>272374</v>
      </c>
      <c r="M251" s="7">
        <v>19</v>
      </c>
      <c r="N251" s="7">
        <v>1</v>
      </c>
      <c r="O251" s="7">
        <v>0.8</v>
      </c>
    </row>
    <row r="252" spans="1:15" x14ac:dyDescent="0.25">
      <c r="A252" s="6" t="s">
        <v>28</v>
      </c>
      <c r="B252" s="6" t="s">
        <v>165</v>
      </c>
      <c r="C252" s="7">
        <v>30996</v>
      </c>
      <c r="D252" s="6" t="s">
        <v>39</v>
      </c>
      <c r="E252" s="6" t="s">
        <v>107</v>
      </c>
      <c r="F252" s="6" t="s">
        <v>183</v>
      </c>
      <c r="G252" s="6" t="s">
        <v>32</v>
      </c>
      <c r="H252" s="6" t="s">
        <v>19</v>
      </c>
      <c r="I252" s="6" t="s">
        <v>767</v>
      </c>
      <c r="J252" s="6" t="s">
        <v>767</v>
      </c>
      <c r="K252" s="7">
        <v>6086043</v>
      </c>
      <c r="L252" s="7">
        <v>244377</v>
      </c>
      <c r="M252" s="7">
        <v>19</v>
      </c>
      <c r="N252" s="7">
        <v>1</v>
      </c>
      <c r="O252" s="7">
        <v>14</v>
      </c>
    </row>
    <row r="253" spans="1:15" x14ac:dyDescent="0.25">
      <c r="A253" s="6" t="s">
        <v>28</v>
      </c>
      <c r="B253" s="6" t="s">
        <v>165</v>
      </c>
      <c r="C253" s="7">
        <v>31005</v>
      </c>
      <c r="D253" s="6" t="s">
        <v>39</v>
      </c>
      <c r="E253" s="6" t="s">
        <v>109</v>
      </c>
      <c r="F253" s="6" t="s">
        <v>109</v>
      </c>
      <c r="G253" s="6" t="s">
        <v>32</v>
      </c>
      <c r="H253" s="6" t="s">
        <v>19</v>
      </c>
      <c r="I253" s="6" t="s">
        <v>767</v>
      </c>
      <c r="J253" s="6" t="s">
        <v>767</v>
      </c>
      <c r="K253" s="7">
        <v>6049814</v>
      </c>
      <c r="L253" s="7">
        <v>250141</v>
      </c>
      <c r="M253" s="7">
        <v>19</v>
      </c>
      <c r="N253" s="7">
        <v>1</v>
      </c>
      <c r="O253" s="7">
        <v>1.7</v>
      </c>
    </row>
    <row r="254" spans="1:15" x14ac:dyDescent="0.25">
      <c r="A254" s="6" t="s">
        <v>28</v>
      </c>
      <c r="B254" s="6" t="s">
        <v>165</v>
      </c>
      <c r="C254" s="7">
        <v>31052</v>
      </c>
      <c r="D254" s="6" t="s">
        <v>39</v>
      </c>
      <c r="E254" s="6" t="s">
        <v>70</v>
      </c>
      <c r="F254" s="6" t="s">
        <v>70</v>
      </c>
      <c r="G254" s="6" t="s">
        <v>32</v>
      </c>
      <c r="H254" s="6" t="s">
        <v>19</v>
      </c>
      <c r="I254" s="6" t="s">
        <v>767</v>
      </c>
      <c r="J254" s="6" t="s">
        <v>767</v>
      </c>
      <c r="K254" s="7">
        <v>6072159</v>
      </c>
      <c r="L254" s="7">
        <v>261491</v>
      </c>
      <c r="M254" s="7">
        <v>19</v>
      </c>
      <c r="N254" s="7">
        <v>1</v>
      </c>
      <c r="O254" s="7">
        <v>0.9</v>
      </c>
    </row>
    <row r="255" spans="1:15" x14ac:dyDescent="0.25">
      <c r="A255" s="6" t="s">
        <v>28</v>
      </c>
      <c r="B255" s="6" t="s">
        <v>165</v>
      </c>
      <c r="C255" s="7">
        <v>31126</v>
      </c>
      <c r="D255" s="6" t="s">
        <v>39</v>
      </c>
      <c r="E255" s="6" t="s">
        <v>173</v>
      </c>
      <c r="F255" s="6" t="s">
        <v>173</v>
      </c>
      <c r="G255" s="6" t="s">
        <v>32</v>
      </c>
      <c r="H255" s="6" t="s">
        <v>33</v>
      </c>
      <c r="I255" s="6" t="s">
        <v>767</v>
      </c>
      <c r="J255" s="6" t="s">
        <v>764</v>
      </c>
      <c r="K255" s="7">
        <v>6043690</v>
      </c>
      <c r="L255" s="7">
        <v>274398</v>
      </c>
      <c r="M255" s="7">
        <v>19</v>
      </c>
      <c r="N255" s="7">
        <v>1</v>
      </c>
      <c r="O255" s="7">
        <v>7.5</v>
      </c>
    </row>
    <row r="256" spans="1:15" x14ac:dyDescent="0.25">
      <c r="A256" s="6" t="s">
        <v>28</v>
      </c>
      <c r="B256" s="6" t="s">
        <v>165</v>
      </c>
      <c r="C256" s="7">
        <v>31164</v>
      </c>
      <c r="D256" s="6" t="s">
        <v>42</v>
      </c>
      <c r="E256" s="6" t="s">
        <v>184</v>
      </c>
      <c r="F256" s="6" t="s">
        <v>184</v>
      </c>
      <c r="G256" s="6" t="s">
        <v>32</v>
      </c>
      <c r="H256" s="6" t="s">
        <v>33</v>
      </c>
      <c r="I256" s="6" t="s">
        <v>767</v>
      </c>
      <c r="J256" s="6" t="s">
        <v>764</v>
      </c>
      <c r="K256" s="7">
        <v>6207894</v>
      </c>
      <c r="L256" s="7">
        <v>337553</v>
      </c>
      <c r="M256" s="7">
        <v>19</v>
      </c>
      <c r="N256" s="7">
        <v>1</v>
      </c>
      <c r="O256" s="7">
        <v>10</v>
      </c>
    </row>
    <row r="257" spans="1:15" x14ac:dyDescent="0.25">
      <c r="A257" s="6" t="s">
        <v>28</v>
      </c>
      <c r="B257" s="6" t="s">
        <v>165</v>
      </c>
      <c r="C257" s="7">
        <v>31212</v>
      </c>
      <c r="D257" s="6" t="s">
        <v>39</v>
      </c>
      <c r="E257" s="6" t="s">
        <v>72</v>
      </c>
      <c r="F257" s="6" t="s">
        <v>185</v>
      </c>
      <c r="G257" s="6" t="s">
        <v>32</v>
      </c>
      <c r="H257" s="6" t="s">
        <v>19</v>
      </c>
      <c r="I257" s="6" t="s">
        <v>767</v>
      </c>
      <c r="J257" s="6" t="s">
        <v>767</v>
      </c>
      <c r="K257" s="7">
        <v>6069655</v>
      </c>
      <c r="L257" s="7">
        <v>280880</v>
      </c>
      <c r="M257" s="7">
        <v>19</v>
      </c>
      <c r="N257" s="7">
        <v>1</v>
      </c>
      <c r="O257" s="7">
        <v>10.1</v>
      </c>
    </row>
    <row r="258" spans="1:15" x14ac:dyDescent="0.25">
      <c r="A258" s="6" t="s">
        <v>28</v>
      </c>
      <c r="B258" s="6" t="s">
        <v>165</v>
      </c>
      <c r="C258" s="7">
        <v>31214</v>
      </c>
      <c r="D258" s="6" t="s">
        <v>39</v>
      </c>
      <c r="E258" s="6" t="s">
        <v>169</v>
      </c>
      <c r="F258" s="6" t="s">
        <v>169</v>
      </c>
      <c r="G258" s="6" t="s">
        <v>32</v>
      </c>
      <c r="H258" s="6" t="s">
        <v>19</v>
      </c>
      <c r="I258" s="6" t="s">
        <v>767</v>
      </c>
      <c r="J258" s="6" t="s">
        <v>767</v>
      </c>
      <c r="K258" s="7">
        <v>6069308</v>
      </c>
      <c r="L258" s="7">
        <v>260667</v>
      </c>
      <c r="M258" s="7">
        <v>19</v>
      </c>
      <c r="N258" s="7">
        <v>1</v>
      </c>
      <c r="O258" s="7">
        <v>2.6</v>
      </c>
    </row>
    <row r="259" spans="1:15" x14ac:dyDescent="0.25">
      <c r="A259" s="6" t="s">
        <v>28</v>
      </c>
      <c r="B259" s="6" t="s">
        <v>165</v>
      </c>
      <c r="C259" s="7">
        <v>31218</v>
      </c>
      <c r="D259" s="6" t="s">
        <v>39</v>
      </c>
      <c r="E259" s="6" t="s">
        <v>70</v>
      </c>
      <c r="F259" s="6" t="s">
        <v>70</v>
      </c>
      <c r="G259" s="6" t="s">
        <v>32</v>
      </c>
      <c r="H259" s="6" t="s">
        <v>19</v>
      </c>
      <c r="I259" s="6" t="s">
        <v>767</v>
      </c>
      <c r="J259" s="6" t="s">
        <v>767</v>
      </c>
      <c r="K259" s="7">
        <v>6074397</v>
      </c>
      <c r="L259" s="7">
        <v>262160</v>
      </c>
      <c r="M259" s="7">
        <v>19</v>
      </c>
      <c r="N259" s="7">
        <v>1</v>
      </c>
      <c r="O259" s="7">
        <v>0.8</v>
      </c>
    </row>
    <row r="260" spans="1:15" x14ac:dyDescent="0.25">
      <c r="A260" s="6" t="s">
        <v>28</v>
      </c>
      <c r="B260" s="6" t="s">
        <v>165</v>
      </c>
      <c r="C260" s="7">
        <v>31223</v>
      </c>
      <c r="D260" s="6" t="s">
        <v>39</v>
      </c>
      <c r="E260" s="6" t="s">
        <v>142</v>
      </c>
      <c r="F260" s="6" t="s">
        <v>187</v>
      </c>
      <c r="G260" s="6" t="s">
        <v>32</v>
      </c>
      <c r="H260" s="6" t="s">
        <v>33</v>
      </c>
      <c r="I260" s="6" t="s">
        <v>767</v>
      </c>
      <c r="J260" s="6" t="s">
        <v>767</v>
      </c>
      <c r="K260" s="7">
        <v>6010001</v>
      </c>
      <c r="L260" s="7">
        <v>242011</v>
      </c>
      <c r="M260" s="7">
        <v>19</v>
      </c>
      <c r="N260" s="7">
        <v>4</v>
      </c>
      <c r="O260" s="7">
        <v>60</v>
      </c>
    </row>
    <row r="261" spans="1:15" x14ac:dyDescent="0.25">
      <c r="A261" s="6" t="s">
        <v>28</v>
      </c>
      <c r="B261" s="6" t="s">
        <v>165</v>
      </c>
      <c r="C261" s="7">
        <v>31312</v>
      </c>
      <c r="D261" s="6" t="s">
        <v>39</v>
      </c>
      <c r="E261" s="6" t="s">
        <v>72</v>
      </c>
      <c r="F261" s="6" t="s">
        <v>188</v>
      </c>
      <c r="G261" s="6" t="s">
        <v>32</v>
      </c>
      <c r="H261" s="6" t="s">
        <v>19</v>
      </c>
      <c r="I261" s="6" t="s">
        <v>767</v>
      </c>
      <c r="J261" s="6" t="s">
        <v>767</v>
      </c>
      <c r="K261" s="7">
        <v>6071433</v>
      </c>
      <c r="L261" s="7">
        <v>280840</v>
      </c>
      <c r="M261" s="7">
        <v>19</v>
      </c>
      <c r="N261" s="7">
        <v>1</v>
      </c>
      <c r="O261" s="7">
        <v>3</v>
      </c>
    </row>
    <row r="262" spans="1:15" x14ac:dyDescent="0.25">
      <c r="A262" s="6" t="s">
        <v>14</v>
      </c>
      <c r="B262" s="6" t="s">
        <v>165</v>
      </c>
      <c r="C262" s="7">
        <v>31462</v>
      </c>
      <c r="D262" s="6" t="s">
        <v>39</v>
      </c>
      <c r="E262" s="6" t="s">
        <v>53</v>
      </c>
      <c r="F262" s="6" t="s">
        <v>190</v>
      </c>
      <c r="G262" s="6" t="s">
        <v>32</v>
      </c>
      <c r="H262" s="6" t="s">
        <v>33</v>
      </c>
      <c r="I262" s="6" t="s">
        <v>767</v>
      </c>
      <c r="J262" s="6" t="s">
        <v>764</v>
      </c>
      <c r="K262" s="7">
        <v>6136050</v>
      </c>
      <c r="L262" s="7">
        <v>314736</v>
      </c>
      <c r="M262" s="7">
        <v>19</v>
      </c>
      <c r="N262" s="7">
        <v>1</v>
      </c>
      <c r="O262" s="7">
        <v>6.6</v>
      </c>
    </row>
    <row r="263" spans="1:15" x14ac:dyDescent="0.25">
      <c r="A263" s="6" t="s">
        <v>28</v>
      </c>
      <c r="B263" s="6" t="s">
        <v>165</v>
      </c>
      <c r="C263" s="7">
        <v>31494</v>
      </c>
      <c r="D263" s="6" t="s">
        <v>39</v>
      </c>
      <c r="E263" s="6" t="s">
        <v>107</v>
      </c>
      <c r="F263" s="6" t="s">
        <v>107</v>
      </c>
      <c r="G263" s="6" t="s">
        <v>32</v>
      </c>
      <c r="H263" s="6" t="s">
        <v>19</v>
      </c>
      <c r="I263" s="6" t="s">
        <v>767</v>
      </c>
      <c r="J263" s="6" t="s">
        <v>767</v>
      </c>
      <c r="K263" s="7">
        <v>6081183</v>
      </c>
      <c r="L263" s="7">
        <v>252935</v>
      </c>
      <c r="M263" s="7">
        <v>19</v>
      </c>
      <c r="N263" s="7">
        <v>1</v>
      </c>
      <c r="O263" s="7">
        <v>14.2</v>
      </c>
    </row>
    <row r="264" spans="1:15" x14ac:dyDescent="0.25">
      <c r="A264" s="6" t="s">
        <v>28</v>
      </c>
      <c r="B264" s="6" t="s">
        <v>165</v>
      </c>
      <c r="C264" s="7">
        <v>31503</v>
      </c>
      <c r="D264" s="6" t="s">
        <v>39</v>
      </c>
      <c r="E264" s="6" t="s">
        <v>72</v>
      </c>
      <c r="F264" s="6" t="s">
        <v>72</v>
      </c>
      <c r="G264" s="6" t="s">
        <v>32</v>
      </c>
      <c r="H264" s="6" t="s">
        <v>33</v>
      </c>
      <c r="I264" s="6" t="s">
        <v>767</v>
      </c>
      <c r="J264" s="6" t="s">
        <v>764</v>
      </c>
      <c r="K264" s="7">
        <v>6062999</v>
      </c>
      <c r="L264" s="7">
        <v>272029</v>
      </c>
      <c r="M264" s="7">
        <v>19</v>
      </c>
      <c r="N264" s="7">
        <v>1</v>
      </c>
      <c r="O264" s="7">
        <v>4.2</v>
      </c>
    </row>
    <row r="265" spans="1:15" x14ac:dyDescent="0.25">
      <c r="A265" s="6" t="s">
        <v>28</v>
      </c>
      <c r="B265" s="6" t="s">
        <v>165</v>
      </c>
      <c r="C265" s="7">
        <v>31504</v>
      </c>
      <c r="D265" s="6" t="s">
        <v>39</v>
      </c>
      <c r="E265" s="6" t="s">
        <v>70</v>
      </c>
      <c r="F265" s="6" t="s">
        <v>71</v>
      </c>
      <c r="G265" s="6" t="s">
        <v>32</v>
      </c>
      <c r="H265" s="6" t="s">
        <v>33</v>
      </c>
      <c r="I265" s="6" t="s">
        <v>767</v>
      </c>
      <c r="J265" s="6" t="s">
        <v>767</v>
      </c>
      <c r="K265" s="7">
        <v>6074513</v>
      </c>
      <c r="L265" s="7">
        <v>266775</v>
      </c>
      <c r="M265" s="7">
        <v>19</v>
      </c>
      <c r="N265" s="7">
        <v>1</v>
      </c>
      <c r="O265" s="7">
        <v>9.8000000000000007</v>
      </c>
    </row>
    <row r="266" spans="1:15" x14ac:dyDescent="0.25">
      <c r="A266" s="6" t="s">
        <v>28</v>
      </c>
      <c r="B266" s="6" t="s">
        <v>165</v>
      </c>
      <c r="C266" s="7">
        <v>31584</v>
      </c>
      <c r="D266" s="6" t="s">
        <v>42</v>
      </c>
      <c r="E266" s="6" t="s">
        <v>192</v>
      </c>
      <c r="F266" s="6" t="s">
        <v>193</v>
      </c>
      <c r="G266" s="6" t="s">
        <v>32</v>
      </c>
      <c r="H266" s="6" t="s">
        <v>33</v>
      </c>
      <c r="I266" s="6" t="s">
        <v>767</v>
      </c>
      <c r="J266" s="6" t="s">
        <v>764</v>
      </c>
      <c r="K266" s="7">
        <v>6236449</v>
      </c>
      <c r="L266" s="7">
        <v>344771</v>
      </c>
      <c r="M266" s="7">
        <v>19</v>
      </c>
      <c r="N266" s="7">
        <v>1</v>
      </c>
      <c r="O266" s="7">
        <v>21</v>
      </c>
    </row>
    <row r="267" spans="1:15" x14ac:dyDescent="0.25">
      <c r="A267" s="6" t="s">
        <v>28</v>
      </c>
      <c r="B267" s="6" t="s">
        <v>165</v>
      </c>
      <c r="C267" s="7">
        <v>31656</v>
      </c>
      <c r="D267" s="6" t="s">
        <v>39</v>
      </c>
      <c r="E267" s="6" t="s">
        <v>70</v>
      </c>
      <c r="F267" s="6" t="s">
        <v>71</v>
      </c>
      <c r="G267" s="6" t="s">
        <v>32</v>
      </c>
      <c r="H267" s="6" t="s">
        <v>33</v>
      </c>
      <c r="I267" s="6" t="s">
        <v>767</v>
      </c>
      <c r="J267" s="6" t="s">
        <v>767</v>
      </c>
      <c r="K267" s="7">
        <v>6074614</v>
      </c>
      <c r="L267" s="7">
        <v>266573</v>
      </c>
      <c r="M267" s="7">
        <v>19</v>
      </c>
      <c r="N267" s="7">
        <v>1</v>
      </c>
      <c r="O267" s="7">
        <v>9.8000000000000007</v>
      </c>
    </row>
    <row r="268" spans="1:15" x14ac:dyDescent="0.25">
      <c r="A268" s="6" t="s">
        <v>28</v>
      </c>
      <c r="B268" s="6" t="s">
        <v>165</v>
      </c>
      <c r="C268" s="7">
        <v>31659</v>
      </c>
      <c r="D268" s="6" t="s">
        <v>39</v>
      </c>
      <c r="E268" s="6" t="s">
        <v>70</v>
      </c>
      <c r="F268" s="6" t="s">
        <v>194</v>
      </c>
      <c r="G268" s="6" t="s">
        <v>32</v>
      </c>
      <c r="H268" s="6" t="s">
        <v>33</v>
      </c>
      <c r="I268" s="6" t="s">
        <v>767</v>
      </c>
      <c r="J268" s="6" t="s">
        <v>767</v>
      </c>
      <c r="K268" s="7">
        <v>6074668</v>
      </c>
      <c r="L268" s="7">
        <v>267199</v>
      </c>
      <c r="M268" s="7">
        <v>19</v>
      </c>
      <c r="N268" s="7">
        <v>1</v>
      </c>
      <c r="O268" s="7">
        <v>12.7</v>
      </c>
    </row>
    <row r="269" spans="1:15" x14ac:dyDescent="0.25">
      <c r="A269" s="6" t="s">
        <v>28</v>
      </c>
      <c r="B269" s="6" t="s">
        <v>165</v>
      </c>
      <c r="C269" s="7">
        <v>31662</v>
      </c>
      <c r="D269" s="6" t="s">
        <v>39</v>
      </c>
      <c r="E269" s="6" t="s">
        <v>72</v>
      </c>
      <c r="F269" s="6" t="s">
        <v>72</v>
      </c>
      <c r="G269" s="6" t="s">
        <v>32</v>
      </c>
      <c r="H269" s="6" t="s">
        <v>33</v>
      </c>
      <c r="I269" s="6" t="s">
        <v>767</v>
      </c>
      <c r="J269" s="6" t="s">
        <v>764</v>
      </c>
      <c r="K269" s="7">
        <v>6062094</v>
      </c>
      <c r="L269" s="7">
        <v>272568</v>
      </c>
      <c r="M269" s="7">
        <v>19</v>
      </c>
      <c r="N269" s="7">
        <v>1</v>
      </c>
      <c r="O269" s="7">
        <v>39</v>
      </c>
    </row>
    <row r="270" spans="1:15" x14ac:dyDescent="0.25">
      <c r="A270" s="6" t="s">
        <v>28</v>
      </c>
      <c r="B270" s="6" t="s">
        <v>165</v>
      </c>
      <c r="C270" s="7">
        <v>31663</v>
      </c>
      <c r="D270" s="6" t="s">
        <v>42</v>
      </c>
      <c r="E270" s="6" t="s">
        <v>51</v>
      </c>
      <c r="F270" s="6" t="s">
        <v>55</v>
      </c>
      <c r="G270" s="6" t="s">
        <v>32</v>
      </c>
      <c r="H270" s="6" t="s">
        <v>33</v>
      </c>
      <c r="I270" s="6" t="s">
        <v>767</v>
      </c>
      <c r="J270" s="6" t="s">
        <v>764</v>
      </c>
      <c r="K270" s="7">
        <v>6161325</v>
      </c>
      <c r="L270" s="7">
        <v>325557</v>
      </c>
      <c r="M270" s="7">
        <v>19</v>
      </c>
      <c r="N270" s="7">
        <v>1</v>
      </c>
      <c r="O270" s="7">
        <v>12</v>
      </c>
    </row>
    <row r="271" spans="1:15" x14ac:dyDescent="0.25">
      <c r="A271" s="6" t="s">
        <v>14</v>
      </c>
      <c r="B271" s="6" t="s">
        <v>165</v>
      </c>
      <c r="C271" s="7">
        <v>31682</v>
      </c>
      <c r="D271" s="6" t="s">
        <v>39</v>
      </c>
      <c r="E271" s="6" t="s">
        <v>53</v>
      </c>
      <c r="F271" s="6" t="s">
        <v>190</v>
      </c>
      <c r="G271" s="6" t="s">
        <v>32</v>
      </c>
      <c r="H271" s="6" t="s">
        <v>33</v>
      </c>
      <c r="I271" s="6" t="s">
        <v>767</v>
      </c>
      <c r="J271" s="6" t="s">
        <v>764</v>
      </c>
      <c r="K271" s="7">
        <v>6136253</v>
      </c>
      <c r="L271" s="7">
        <v>314883</v>
      </c>
      <c r="M271" s="7">
        <v>19</v>
      </c>
      <c r="N271" s="7">
        <v>1</v>
      </c>
      <c r="O271" s="7">
        <v>5.3</v>
      </c>
    </row>
    <row r="272" spans="1:15" x14ac:dyDescent="0.25">
      <c r="A272" s="6" t="s">
        <v>28</v>
      </c>
      <c r="B272" s="6" t="s">
        <v>165</v>
      </c>
      <c r="C272" s="7">
        <v>31719</v>
      </c>
      <c r="D272" s="6" t="s">
        <v>42</v>
      </c>
      <c r="E272" s="6" t="s">
        <v>45</v>
      </c>
      <c r="F272" s="6" t="s">
        <v>195</v>
      </c>
      <c r="G272" s="6" t="s">
        <v>32</v>
      </c>
      <c r="H272" s="6" t="s">
        <v>33</v>
      </c>
      <c r="I272" s="6" t="s">
        <v>767</v>
      </c>
      <c r="J272" s="6" t="s">
        <v>764</v>
      </c>
      <c r="K272" s="7">
        <v>6165580</v>
      </c>
      <c r="L272" s="7">
        <v>327706</v>
      </c>
      <c r="M272" s="7">
        <v>19</v>
      </c>
      <c r="N272" s="7">
        <v>1</v>
      </c>
      <c r="O272" s="7">
        <v>37</v>
      </c>
    </row>
    <row r="273" spans="1:15" x14ac:dyDescent="0.25">
      <c r="A273" s="6" t="s">
        <v>28</v>
      </c>
      <c r="B273" s="6" t="s">
        <v>165</v>
      </c>
      <c r="C273" s="7">
        <v>31726</v>
      </c>
      <c r="D273" s="6" t="s">
        <v>42</v>
      </c>
      <c r="E273" s="6" t="s">
        <v>51</v>
      </c>
      <c r="F273" s="6" t="s">
        <v>51</v>
      </c>
      <c r="G273" s="6" t="s">
        <v>32</v>
      </c>
      <c r="H273" s="6" t="s">
        <v>33</v>
      </c>
      <c r="I273" s="6" t="s">
        <v>767</v>
      </c>
      <c r="J273" s="6" t="s">
        <v>764</v>
      </c>
      <c r="K273" s="7">
        <v>6155309</v>
      </c>
      <c r="L273" s="7">
        <v>320175</v>
      </c>
      <c r="M273" s="7">
        <v>19</v>
      </c>
      <c r="N273" s="7">
        <v>1</v>
      </c>
      <c r="O273" s="7">
        <v>49</v>
      </c>
    </row>
    <row r="274" spans="1:15" x14ac:dyDescent="0.25">
      <c r="A274" s="6" t="s">
        <v>28</v>
      </c>
      <c r="B274" s="6" t="s">
        <v>165</v>
      </c>
      <c r="C274" s="7">
        <v>31730</v>
      </c>
      <c r="D274" s="6" t="s">
        <v>42</v>
      </c>
      <c r="E274" s="6" t="s">
        <v>45</v>
      </c>
      <c r="F274" s="6" t="s">
        <v>195</v>
      </c>
      <c r="G274" s="6" t="s">
        <v>32</v>
      </c>
      <c r="H274" s="6" t="s">
        <v>33</v>
      </c>
      <c r="I274" s="6" t="s">
        <v>767</v>
      </c>
      <c r="J274" s="6" t="s">
        <v>764</v>
      </c>
      <c r="K274" s="7">
        <v>6166149</v>
      </c>
      <c r="L274" s="7">
        <v>325336</v>
      </c>
      <c r="M274" s="7">
        <v>19</v>
      </c>
      <c r="N274" s="7">
        <v>1</v>
      </c>
      <c r="O274" s="7">
        <v>10.199999999999999</v>
      </c>
    </row>
    <row r="275" spans="1:15" x14ac:dyDescent="0.25">
      <c r="A275" s="6" t="s">
        <v>14</v>
      </c>
      <c r="B275" s="6" t="s">
        <v>165</v>
      </c>
      <c r="C275" s="7">
        <v>31732</v>
      </c>
      <c r="D275" s="6" t="s">
        <v>39</v>
      </c>
      <c r="E275" s="6" t="s">
        <v>173</v>
      </c>
      <c r="F275" s="6" t="s">
        <v>175</v>
      </c>
      <c r="G275" s="6" t="s">
        <v>32</v>
      </c>
      <c r="H275" s="6" t="s">
        <v>33</v>
      </c>
      <c r="I275" s="6" t="s">
        <v>767</v>
      </c>
      <c r="J275" s="6" t="s">
        <v>764</v>
      </c>
      <c r="K275" s="7">
        <v>6053844</v>
      </c>
      <c r="L275" s="7">
        <v>275587</v>
      </c>
      <c r="M275" s="7">
        <v>19</v>
      </c>
      <c r="N275" s="7">
        <v>1</v>
      </c>
      <c r="O275" s="7">
        <v>18.600000000000001</v>
      </c>
    </row>
    <row r="276" spans="1:15" x14ac:dyDescent="0.25">
      <c r="A276" s="6" t="s">
        <v>28</v>
      </c>
      <c r="B276" s="6" t="s">
        <v>165</v>
      </c>
      <c r="C276" s="7">
        <v>31796</v>
      </c>
      <c r="D276" s="6" t="s">
        <v>42</v>
      </c>
      <c r="E276" s="6" t="s">
        <v>51</v>
      </c>
      <c r="F276" s="6" t="s">
        <v>55</v>
      </c>
      <c r="G276" s="6" t="s">
        <v>32</v>
      </c>
      <c r="H276" s="6" t="s">
        <v>33</v>
      </c>
      <c r="I276" s="6" t="s">
        <v>767</v>
      </c>
      <c r="J276" s="6" t="s">
        <v>764</v>
      </c>
      <c r="K276" s="7">
        <v>6160258</v>
      </c>
      <c r="L276" s="7">
        <v>325175</v>
      </c>
      <c r="M276" s="7">
        <v>19</v>
      </c>
      <c r="N276" s="7">
        <v>1</v>
      </c>
      <c r="O276" s="7">
        <v>3.5</v>
      </c>
    </row>
    <row r="277" spans="1:15" x14ac:dyDescent="0.25">
      <c r="A277" s="6" t="s">
        <v>28</v>
      </c>
      <c r="B277" s="6" t="s">
        <v>165</v>
      </c>
      <c r="C277" s="7">
        <v>31819</v>
      </c>
      <c r="D277" s="6" t="s">
        <v>42</v>
      </c>
      <c r="E277" s="6" t="s">
        <v>192</v>
      </c>
      <c r="F277" s="6" t="s">
        <v>193</v>
      </c>
      <c r="G277" s="6" t="s">
        <v>32</v>
      </c>
      <c r="H277" s="6" t="s">
        <v>33</v>
      </c>
      <c r="I277" s="6" t="s">
        <v>767</v>
      </c>
      <c r="J277" s="6" t="s">
        <v>764</v>
      </c>
      <c r="K277" s="7">
        <v>6236093</v>
      </c>
      <c r="L277" s="7">
        <v>344662</v>
      </c>
      <c r="M277" s="7">
        <v>19</v>
      </c>
      <c r="N277" s="7">
        <v>1</v>
      </c>
      <c r="O277" s="7">
        <v>12.5</v>
      </c>
    </row>
    <row r="278" spans="1:15" x14ac:dyDescent="0.25">
      <c r="A278" s="6" t="s">
        <v>28</v>
      </c>
      <c r="B278" s="6" t="s">
        <v>165</v>
      </c>
      <c r="C278" s="7">
        <v>31825</v>
      </c>
      <c r="D278" s="6" t="s">
        <v>42</v>
      </c>
      <c r="E278" s="6" t="s">
        <v>196</v>
      </c>
      <c r="F278" s="6" t="s">
        <v>196</v>
      </c>
      <c r="G278" s="6" t="s">
        <v>32</v>
      </c>
      <c r="H278" s="6" t="s">
        <v>33</v>
      </c>
      <c r="I278" s="6" t="s">
        <v>767</v>
      </c>
      <c r="J278" s="6" t="s">
        <v>764</v>
      </c>
      <c r="K278" s="7">
        <v>6219534</v>
      </c>
      <c r="L278" s="7">
        <v>343574</v>
      </c>
      <c r="M278" s="7">
        <v>19</v>
      </c>
      <c r="N278" s="7">
        <v>1</v>
      </c>
      <c r="O278" s="7">
        <v>6</v>
      </c>
    </row>
    <row r="279" spans="1:15" x14ac:dyDescent="0.25">
      <c r="A279" s="6" t="s">
        <v>28</v>
      </c>
      <c r="B279" s="6" t="s">
        <v>165</v>
      </c>
      <c r="C279" s="7">
        <v>31837</v>
      </c>
      <c r="D279" s="6" t="s">
        <v>39</v>
      </c>
      <c r="E279" s="6" t="s">
        <v>72</v>
      </c>
      <c r="F279" s="6" t="s">
        <v>185</v>
      </c>
      <c r="G279" s="6" t="s">
        <v>32</v>
      </c>
      <c r="H279" s="6" t="s">
        <v>33</v>
      </c>
      <c r="I279" s="6" t="s">
        <v>767</v>
      </c>
      <c r="J279" s="6" t="s">
        <v>764</v>
      </c>
      <c r="K279" s="7">
        <v>6069776</v>
      </c>
      <c r="L279" s="7">
        <v>281638</v>
      </c>
      <c r="M279" s="7">
        <v>19</v>
      </c>
      <c r="N279" s="7">
        <v>1</v>
      </c>
      <c r="O279" s="7">
        <v>11</v>
      </c>
    </row>
    <row r="280" spans="1:15" x14ac:dyDescent="0.25">
      <c r="A280" s="6" t="s">
        <v>28</v>
      </c>
      <c r="B280" s="6" t="s">
        <v>165</v>
      </c>
      <c r="C280" s="7">
        <v>31843</v>
      </c>
      <c r="D280" s="6" t="s">
        <v>39</v>
      </c>
      <c r="E280" s="6" t="s">
        <v>72</v>
      </c>
      <c r="F280" s="6" t="s">
        <v>185</v>
      </c>
      <c r="G280" s="6" t="s">
        <v>32</v>
      </c>
      <c r="H280" s="6" t="s">
        <v>33</v>
      </c>
      <c r="I280" s="6" t="s">
        <v>767</v>
      </c>
      <c r="J280" s="6" t="s">
        <v>767</v>
      </c>
      <c r="K280" s="7">
        <v>6067825</v>
      </c>
      <c r="L280" s="7">
        <v>282378</v>
      </c>
      <c r="M280" s="7">
        <v>19</v>
      </c>
      <c r="N280" s="7">
        <v>1</v>
      </c>
      <c r="O280" s="7">
        <v>8</v>
      </c>
    </row>
    <row r="281" spans="1:15" x14ac:dyDescent="0.25">
      <c r="A281" s="6" t="s">
        <v>28</v>
      </c>
      <c r="B281" s="6" t="s">
        <v>165</v>
      </c>
      <c r="C281" s="7">
        <v>31858</v>
      </c>
      <c r="D281" s="6" t="s">
        <v>39</v>
      </c>
      <c r="E281" s="6" t="s">
        <v>72</v>
      </c>
      <c r="F281" s="6" t="s">
        <v>197</v>
      </c>
      <c r="G281" s="6" t="s">
        <v>32</v>
      </c>
      <c r="H281" s="6" t="s">
        <v>33</v>
      </c>
      <c r="I281" s="6" t="s">
        <v>767</v>
      </c>
      <c r="J281" s="6" t="s">
        <v>767</v>
      </c>
      <c r="K281" s="7">
        <v>6061195</v>
      </c>
      <c r="L281" s="7">
        <v>281720</v>
      </c>
      <c r="M281" s="7">
        <v>19</v>
      </c>
      <c r="N281" s="7">
        <v>1</v>
      </c>
      <c r="O281" s="7">
        <v>9.1</v>
      </c>
    </row>
    <row r="282" spans="1:15" x14ac:dyDescent="0.25">
      <c r="A282" s="6" t="s">
        <v>28</v>
      </c>
      <c r="B282" s="6" t="s">
        <v>165</v>
      </c>
      <c r="C282" s="7">
        <v>31867</v>
      </c>
      <c r="D282" s="6" t="s">
        <v>39</v>
      </c>
      <c r="E282" s="6" t="s">
        <v>70</v>
      </c>
      <c r="F282" s="6" t="s">
        <v>71</v>
      </c>
      <c r="G282" s="6" t="s">
        <v>32</v>
      </c>
      <c r="H282" s="6" t="s">
        <v>33</v>
      </c>
      <c r="I282" s="6" t="s">
        <v>767</v>
      </c>
      <c r="J282" s="6" t="s">
        <v>767</v>
      </c>
      <c r="K282" s="7">
        <v>6074955</v>
      </c>
      <c r="L282" s="7">
        <v>267363</v>
      </c>
      <c r="M282" s="7">
        <v>19</v>
      </c>
      <c r="N282" s="7">
        <v>1</v>
      </c>
      <c r="O282" s="7">
        <v>10.1</v>
      </c>
    </row>
    <row r="283" spans="1:15" x14ac:dyDescent="0.25">
      <c r="A283" s="6" t="s">
        <v>14</v>
      </c>
      <c r="B283" s="6" t="s">
        <v>165</v>
      </c>
      <c r="C283" s="7">
        <v>31930</v>
      </c>
      <c r="D283" s="6" t="s">
        <v>39</v>
      </c>
      <c r="E283" s="6" t="s">
        <v>53</v>
      </c>
      <c r="F283" s="6" t="s">
        <v>190</v>
      </c>
      <c r="G283" s="6" t="s">
        <v>32</v>
      </c>
      <c r="H283" s="6" t="s">
        <v>33</v>
      </c>
      <c r="I283" s="6" t="s">
        <v>767</v>
      </c>
      <c r="J283" s="6" t="s">
        <v>764</v>
      </c>
      <c r="K283" s="7">
        <v>6133784</v>
      </c>
      <c r="L283" s="7">
        <v>318158</v>
      </c>
      <c r="M283" s="7">
        <v>19</v>
      </c>
      <c r="N283" s="7">
        <v>1</v>
      </c>
      <c r="O283" s="7">
        <v>25.1</v>
      </c>
    </row>
    <row r="284" spans="1:15" x14ac:dyDescent="0.25">
      <c r="A284" s="6" t="s">
        <v>28</v>
      </c>
      <c r="B284" s="6" t="s">
        <v>165</v>
      </c>
      <c r="C284" s="7">
        <v>31938</v>
      </c>
      <c r="D284" s="6" t="s">
        <v>39</v>
      </c>
      <c r="E284" s="6" t="s">
        <v>70</v>
      </c>
      <c r="F284" s="6" t="s">
        <v>71</v>
      </c>
      <c r="G284" s="6" t="s">
        <v>32</v>
      </c>
      <c r="H284" s="6" t="s">
        <v>33</v>
      </c>
      <c r="I284" s="6" t="s">
        <v>767</v>
      </c>
      <c r="J284" s="6" t="s">
        <v>767</v>
      </c>
      <c r="K284" s="7">
        <v>6074408</v>
      </c>
      <c r="L284" s="7">
        <v>266984</v>
      </c>
      <c r="M284" s="7">
        <v>19</v>
      </c>
      <c r="N284" s="7">
        <v>1</v>
      </c>
      <c r="O284" s="7">
        <v>7.9</v>
      </c>
    </row>
    <row r="285" spans="1:15" x14ac:dyDescent="0.25">
      <c r="A285" s="6" t="s">
        <v>28</v>
      </c>
      <c r="B285" s="6" t="s">
        <v>165</v>
      </c>
      <c r="C285" s="7">
        <v>31941</v>
      </c>
      <c r="D285" s="6" t="s">
        <v>39</v>
      </c>
      <c r="E285" s="6" t="s">
        <v>72</v>
      </c>
      <c r="F285" s="6" t="s">
        <v>198</v>
      </c>
      <c r="G285" s="6" t="s">
        <v>32</v>
      </c>
      <c r="H285" s="6" t="s">
        <v>19</v>
      </c>
      <c r="I285" s="6" t="s">
        <v>767</v>
      </c>
      <c r="J285" s="6" t="s">
        <v>767</v>
      </c>
      <c r="K285" s="7">
        <v>6064460</v>
      </c>
      <c r="L285" s="7">
        <v>288425</v>
      </c>
      <c r="M285" s="7">
        <v>19</v>
      </c>
      <c r="N285" s="7">
        <v>1</v>
      </c>
      <c r="O285" s="7">
        <v>12.5</v>
      </c>
    </row>
    <row r="286" spans="1:15" x14ac:dyDescent="0.25">
      <c r="A286" s="6" t="s">
        <v>28</v>
      </c>
      <c r="B286" s="6" t="s">
        <v>165</v>
      </c>
      <c r="C286" s="7">
        <v>31943</v>
      </c>
      <c r="D286" s="6" t="s">
        <v>42</v>
      </c>
      <c r="E286" s="6" t="s">
        <v>51</v>
      </c>
      <c r="F286" s="6" t="s">
        <v>51</v>
      </c>
      <c r="G286" s="6" t="s">
        <v>32</v>
      </c>
      <c r="H286" s="6" t="s">
        <v>33</v>
      </c>
      <c r="I286" s="6" t="s">
        <v>767</v>
      </c>
      <c r="J286" s="6" t="s">
        <v>764</v>
      </c>
      <c r="K286" s="7">
        <v>6152683</v>
      </c>
      <c r="L286" s="7">
        <v>317015</v>
      </c>
      <c r="M286" s="7">
        <v>19</v>
      </c>
      <c r="N286" s="7">
        <v>1</v>
      </c>
      <c r="O286" s="7">
        <v>12.5</v>
      </c>
    </row>
    <row r="287" spans="1:15" x14ac:dyDescent="0.25">
      <c r="A287" s="6" t="s">
        <v>28</v>
      </c>
      <c r="B287" s="6" t="s">
        <v>165</v>
      </c>
      <c r="C287" s="7">
        <v>31952</v>
      </c>
      <c r="D287" s="6" t="s">
        <v>39</v>
      </c>
      <c r="E287" s="6" t="s">
        <v>53</v>
      </c>
      <c r="F287" s="6" t="s">
        <v>190</v>
      </c>
      <c r="G287" s="6" t="s">
        <v>32</v>
      </c>
      <c r="H287" s="6" t="s">
        <v>19</v>
      </c>
      <c r="I287" s="6" t="s">
        <v>767</v>
      </c>
      <c r="J287" s="6" t="s">
        <v>767</v>
      </c>
      <c r="K287" s="7">
        <v>6128888</v>
      </c>
      <c r="L287" s="7">
        <v>321947</v>
      </c>
      <c r="M287" s="7">
        <v>19</v>
      </c>
      <c r="N287" s="7">
        <v>1</v>
      </c>
      <c r="O287" s="7">
        <v>3.8</v>
      </c>
    </row>
    <row r="288" spans="1:15" x14ac:dyDescent="0.25">
      <c r="A288" s="6" t="s">
        <v>28</v>
      </c>
      <c r="B288" s="6" t="s">
        <v>165</v>
      </c>
      <c r="C288" s="7">
        <v>31975</v>
      </c>
      <c r="D288" s="6" t="s">
        <v>42</v>
      </c>
      <c r="E288" s="6" t="s">
        <v>51</v>
      </c>
      <c r="F288" s="6" t="s">
        <v>55</v>
      </c>
      <c r="G288" s="6" t="s">
        <v>32</v>
      </c>
      <c r="H288" s="6" t="s">
        <v>33</v>
      </c>
      <c r="I288" s="6" t="s">
        <v>767</v>
      </c>
      <c r="J288" s="6" t="s">
        <v>764</v>
      </c>
      <c r="K288" s="7">
        <v>6160211</v>
      </c>
      <c r="L288" s="7">
        <v>325450</v>
      </c>
      <c r="M288" s="7">
        <v>19</v>
      </c>
      <c r="N288" s="7">
        <v>1</v>
      </c>
      <c r="O288" s="7">
        <v>4</v>
      </c>
    </row>
    <row r="289" spans="1:15" x14ac:dyDescent="0.25">
      <c r="A289" s="6" t="s">
        <v>28</v>
      </c>
      <c r="B289" s="6" t="s">
        <v>165</v>
      </c>
      <c r="C289" s="7">
        <v>31983</v>
      </c>
      <c r="D289" s="6" t="s">
        <v>39</v>
      </c>
      <c r="E289" s="6" t="s">
        <v>53</v>
      </c>
      <c r="F289" s="6" t="s">
        <v>190</v>
      </c>
      <c r="G289" s="6" t="s">
        <v>32</v>
      </c>
      <c r="H289" s="6" t="s">
        <v>33</v>
      </c>
      <c r="I289" s="6" t="s">
        <v>767</v>
      </c>
      <c r="J289" s="6" t="s">
        <v>764</v>
      </c>
      <c r="K289" s="7">
        <v>6138368</v>
      </c>
      <c r="L289" s="7">
        <v>311743</v>
      </c>
      <c r="M289" s="7">
        <v>19</v>
      </c>
      <c r="N289" s="7">
        <v>1</v>
      </c>
      <c r="O289" s="7">
        <v>4</v>
      </c>
    </row>
    <row r="290" spans="1:15" x14ac:dyDescent="0.25">
      <c r="A290" s="6" t="s">
        <v>14</v>
      </c>
      <c r="B290" s="6" t="s">
        <v>165</v>
      </c>
      <c r="C290" s="7">
        <v>31988</v>
      </c>
      <c r="D290" s="6" t="s">
        <v>39</v>
      </c>
      <c r="E290" s="6" t="s">
        <v>72</v>
      </c>
      <c r="F290" s="6" t="s">
        <v>72</v>
      </c>
      <c r="G290" s="6" t="s">
        <v>32</v>
      </c>
      <c r="H290" s="6" t="s">
        <v>33</v>
      </c>
      <c r="I290" s="6" t="s">
        <v>767</v>
      </c>
      <c r="J290" s="6" t="s">
        <v>764</v>
      </c>
      <c r="K290" s="7">
        <v>6066324</v>
      </c>
      <c r="L290" s="7">
        <v>282456</v>
      </c>
      <c r="M290" s="7">
        <v>19</v>
      </c>
      <c r="N290" s="7">
        <v>1</v>
      </c>
      <c r="O290" s="7">
        <v>25</v>
      </c>
    </row>
    <row r="291" spans="1:15" x14ac:dyDescent="0.25">
      <c r="A291" s="6" t="s">
        <v>28</v>
      </c>
      <c r="B291" s="6" t="s">
        <v>165</v>
      </c>
      <c r="C291" s="7">
        <v>31990</v>
      </c>
      <c r="D291" s="6" t="s">
        <v>39</v>
      </c>
      <c r="E291" s="6" t="s">
        <v>72</v>
      </c>
      <c r="F291" s="6" t="s">
        <v>185</v>
      </c>
      <c r="G291" s="6" t="s">
        <v>32</v>
      </c>
      <c r="H291" s="6" t="s">
        <v>33</v>
      </c>
      <c r="I291" s="6" t="s">
        <v>767</v>
      </c>
      <c r="J291" s="6" t="s">
        <v>767</v>
      </c>
      <c r="K291" s="7">
        <v>6068455</v>
      </c>
      <c r="L291" s="7">
        <v>282294</v>
      </c>
      <c r="M291" s="7">
        <v>19</v>
      </c>
      <c r="N291" s="7">
        <v>1</v>
      </c>
      <c r="O291" s="7">
        <v>8</v>
      </c>
    </row>
    <row r="292" spans="1:15" x14ac:dyDescent="0.25">
      <c r="A292" s="6" t="s">
        <v>28</v>
      </c>
      <c r="B292" s="6" t="s">
        <v>165</v>
      </c>
      <c r="C292" s="7">
        <v>32018</v>
      </c>
      <c r="D292" s="6" t="s">
        <v>42</v>
      </c>
      <c r="E292" s="6" t="s">
        <v>192</v>
      </c>
      <c r="F292" s="6" t="s">
        <v>193</v>
      </c>
      <c r="G292" s="6" t="s">
        <v>32</v>
      </c>
      <c r="H292" s="6" t="s">
        <v>33</v>
      </c>
      <c r="I292" s="6" t="s">
        <v>767</v>
      </c>
      <c r="J292" s="6" t="s">
        <v>764</v>
      </c>
      <c r="K292" s="7">
        <v>6236593</v>
      </c>
      <c r="L292" s="7">
        <v>345222</v>
      </c>
      <c r="M292" s="7">
        <v>19</v>
      </c>
      <c r="N292" s="7">
        <v>1</v>
      </c>
      <c r="O292" s="7">
        <v>12.5</v>
      </c>
    </row>
    <row r="293" spans="1:15" x14ac:dyDescent="0.25">
      <c r="A293" s="6" t="s">
        <v>28</v>
      </c>
      <c r="B293" s="6" t="s">
        <v>165</v>
      </c>
      <c r="C293" s="7">
        <v>32020</v>
      </c>
      <c r="D293" s="6" t="s">
        <v>42</v>
      </c>
      <c r="E293" s="6" t="s">
        <v>51</v>
      </c>
      <c r="F293" s="6" t="s">
        <v>55</v>
      </c>
      <c r="G293" s="6" t="s">
        <v>32</v>
      </c>
      <c r="H293" s="6" t="s">
        <v>33</v>
      </c>
      <c r="I293" s="6" t="s">
        <v>767</v>
      </c>
      <c r="J293" s="6" t="s">
        <v>764</v>
      </c>
      <c r="K293" s="7">
        <v>6166335</v>
      </c>
      <c r="L293" s="7">
        <v>318788</v>
      </c>
      <c r="M293" s="7">
        <v>19</v>
      </c>
      <c r="N293" s="7">
        <v>1</v>
      </c>
      <c r="O293" s="7">
        <v>5.0999999999999996</v>
      </c>
    </row>
    <row r="294" spans="1:15" x14ac:dyDescent="0.25">
      <c r="A294" s="6" t="s">
        <v>28</v>
      </c>
      <c r="B294" s="6" t="s">
        <v>165</v>
      </c>
      <c r="C294" s="7">
        <v>32025</v>
      </c>
      <c r="D294" s="6" t="s">
        <v>42</v>
      </c>
      <c r="E294" s="6" t="s">
        <v>51</v>
      </c>
      <c r="F294" s="6" t="s">
        <v>51</v>
      </c>
      <c r="G294" s="6" t="s">
        <v>32</v>
      </c>
      <c r="H294" s="6" t="s">
        <v>33</v>
      </c>
      <c r="I294" s="6" t="s">
        <v>767</v>
      </c>
      <c r="J294" s="6" t="s">
        <v>764</v>
      </c>
      <c r="K294" s="7">
        <v>6152779</v>
      </c>
      <c r="L294" s="7">
        <v>316745</v>
      </c>
      <c r="M294" s="7">
        <v>19</v>
      </c>
      <c r="N294" s="7">
        <v>1</v>
      </c>
      <c r="O294" s="7">
        <v>4</v>
      </c>
    </row>
    <row r="295" spans="1:15" x14ac:dyDescent="0.25">
      <c r="A295" s="6" t="s">
        <v>28</v>
      </c>
      <c r="B295" s="6" t="s">
        <v>165</v>
      </c>
      <c r="C295" s="7">
        <v>32026</v>
      </c>
      <c r="D295" s="6" t="s">
        <v>42</v>
      </c>
      <c r="E295" s="6" t="s">
        <v>45</v>
      </c>
      <c r="F295" s="6" t="s">
        <v>199</v>
      </c>
      <c r="G295" s="6" t="s">
        <v>32</v>
      </c>
      <c r="H295" s="6" t="s">
        <v>33</v>
      </c>
      <c r="I295" s="6" t="s">
        <v>767</v>
      </c>
      <c r="J295" s="6" t="s">
        <v>764</v>
      </c>
      <c r="K295" s="7">
        <v>6174800</v>
      </c>
      <c r="L295" s="7">
        <v>321867</v>
      </c>
      <c r="M295" s="7">
        <v>19</v>
      </c>
      <c r="N295" s="7">
        <v>1</v>
      </c>
      <c r="O295" s="7">
        <v>29</v>
      </c>
    </row>
    <row r="296" spans="1:15" x14ac:dyDescent="0.25">
      <c r="A296" s="6" t="s">
        <v>28</v>
      </c>
      <c r="B296" s="6" t="s">
        <v>165</v>
      </c>
      <c r="C296" s="7">
        <v>32033</v>
      </c>
      <c r="D296" s="6" t="s">
        <v>42</v>
      </c>
      <c r="E296" s="6" t="s">
        <v>51</v>
      </c>
      <c r="F296" s="6" t="s">
        <v>51</v>
      </c>
      <c r="G296" s="6" t="s">
        <v>32</v>
      </c>
      <c r="H296" s="6" t="s">
        <v>33</v>
      </c>
      <c r="I296" s="6" t="s">
        <v>767</v>
      </c>
      <c r="J296" s="6" t="s">
        <v>764</v>
      </c>
      <c r="K296" s="7">
        <v>6152384</v>
      </c>
      <c r="L296" s="7">
        <v>317157</v>
      </c>
      <c r="M296" s="7">
        <v>19</v>
      </c>
      <c r="N296" s="7">
        <v>1</v>
      </c>
      <c r="O296" s="7">
        <v>6</v>
      </c>
    </row>
    <row r="297" spans="1:15" x14ac:dyDescent="0.25">
      <c r="A297" s="6" t="s">
        <v>14</v>
      </c>
      <c r="B297" s="6" t="s">
        <v>165</v>
      </c>
      <c r="C297" s="7">
        <v>32034</v>
      </c>
      <c r="D297" s="6" t="s">
        <v>42</v>
      </c>
      <c r="E297" s="6" t="s">
        <v>51</v>
      </c>
      <c r="F297" s="6" t="s">
        <v>51</v>
      </c>
      <c r="G297" s="6" t="s">
        <v>32</v>
      </c>
      <c r="H297" s="6" t="s">
        <v>33</v>
      </c>
      <c r="I297" s="6" t="s">
        <v>764</v>
      </c>
      <c r="J297" s="6" t="s">
        <v>767</v>
      </c>
      <c r="K297" s="7">
        <v>6153299</v>
      </c>
      <c r="L297" s="7">
        <v>318090</v>
      </c>
      <c r="M297" s="7">
        <v>19</v>
      </c>
      <c r="N297" s="7">
        <v>1</v>
      </c>
      <c r="O297" s="7">
        <v>8</v>
      </c>
    </row>
    <row r="298" spans="1:15" x14ac:dyDescent="0.25">
      <c r="A298" s="6" t="s">
        <v>28</v>
      </c>
      <c r="B298" s="6" t="s">
        <v>165</v>
      </c>
      <c r="C298" s="7">
        <v>32039</v>
      </c>
      <c r="D298" s="6" t="s">
        <v>42</v>
      </c>
      <c r="E298" s="6" t="s">
        <v>196</v>
      </c>
      <c r="F298" s="6" t="s">
        <v>196</v>
      </c>
      <c r="G298" s="6" t="s">
        <v>32</v>
      </c>
      <c r="H298" s="6" t="s">
        <v>33</v>
      </c>
      <c r="I298" s="6" t="s">
        <v>767</v>
      </c>
      <c r="J298" s="6" t="s">
        <v>764</v>
      </c>
      <c r="K298" s="7">
        <v>6221381</v>
      </c>
      <c r="L298" s="7">
        <v>340709</v>
      </c>
      <c r="M298" s="7">
        <v>19</v>
      </c>
      <c r="N298" s="7">
        <v>1</v>
      </c>
      <c r="O298" s="7">
        <v>20.7</v>
      </c>
    </row>
    <row r="299" spans="1:15" x14ac:dyDescent="0.25">
      <c r="A299" s="6" t="s">
        <v>28</v>
      </c>
      <c r="B299" s="6" t="s">
        <v>165</v>
      </c>
      <c r="C299" s="7">
        <v>32044</v>
      </c>
      <c r="D299" s="6" t="s">
        <v>39</v>
      </c>
      <c r="E299" s="6" t="s">
        <v>72</v>
      </c>
      <c r="F299" s="6" t="s">
        <v>72</v>
      </c>
      <c r="G299" s="6" t="s">
        <v>32</v>
      </c>
      <c r="H299" s="6" t="s">
        <v>33</v>
      </c>
      <c r="I299" s="6" t="s">
        <v>767</v>
      </c>
      <c r="J299" s="6" t="s">
        <v>764</v>
      </c>
      <c r="K299" s="7">
        <v>6065654</v>
      </c>
      <c r="L299" s="7">
        <v>274902</v>
      </c>
      <c r="M299" s="7">
        <v>19</v>
      </c>
      <c r="N299" s="7">
        <v>1</v>
      </c>
      <c r="O299" s="7">
        <v>5</v>
      </c>
    </row>
    <row r="300" spans="1:15" x14ac:dyDescent="0.25">
      <c r="A300" s="6" t="s">
        <v>28</v>
      </c>
      <c r="B300" s="6" t="s">
        <v>165</v>
      </c>
      <c r="C300" s="7">
        <v>32047</v>
      </c>
      <c r="D300" s="6" t="s">
        <v>42</v>
      </c>
      <c r="E300" s="6" t="s">
        <v>51</v>
      </c>
      <c r="F300" s="6" t="s">
        <v>51</v>
      </c>
      <c r="G300" s="6" t="s">
        <v>32</v>
      </c>
      <c r="H300" s="6" t="s">
        <v>33</v>
      </c>
      <c r="I300" s="6" t="s">
        <v>767</v>
      </c>
      <c r="J300" s="6" t="s">
        <v>764</v>
      </c>
      <c r="K300" s="7">
        <v>6155875</v>
      </c>
      <c r="L300" s="7">
        <v>320461</v>
      </c>
      <c r="M300" s="7">
        <v>19</v>
      </c>
      <c r="N300" s="7">
        <v>1</v>
      </c>
      <c r="O300" s="7">
        <v>14</v>
      </c>
    </row>
    <row r="301" spans="1:15" x14ac:dyDescent="0.25">
      <c r="A301" s="6" t="s">
        <v>28</v>
      </c>
      <c r="B301" s="6" t="s">
        <v>165</v>
      </c>
      <c r="C301" s="7">
        <v>32052</v>
      </c>
      <c r="D301" s="6" t="s">
        <v>42</v>
      </c>
      <c r="E301" s="6" t="s">
        <v>192</v>
      </c>
      <c r="F301" s="6" t="s">
        <v>193</v>
      </c>
      <c r="G301" s="6" t="s">
        <v>32</v>
      </c>
      <c r="H301" s="6" t="s">
        <v>33</v>
      </c>
      <c r="I301" s="6" t="s">
        <v>767</v>
      </c>
      <c r="J301" s="6" t="s">
        <v>764</v>
      </c>
      <c r="K301" s="7">
        <v>6236093</v>
      </c>
      <c r="L301" s="7">
        <v>344662</v>
      </c>
      <c r="M301" s="7">
        <v>19</v>
      </c>
      <c r="N301" s="7">
        <v>1</v>
      </c>
      <c r="O301" s="7">
        <v>25</v>
      </c>
    </row>
    <row r="302" spans="1:15" x14ac:dyDescent="0.25">
      <c r="A302" s="6" t="s">
        <v>28</v>
      </c>
      <c r="B302" s="6" t="s">
        <v>165</v>
      </c>
      <c r="C302" s="7">
        <v>32065</v>
      </c>
      <c r="D302" s="6" t="s">
        <v>39</v>
      </c>
      <c r="E302" s="6" t="s">
        <v>72</v>
      </c>
      <c r="F302" s="6" t="s">
        <v>72</v>
      </c>
      <c r="G302" s="6" t="s">
        <v>32</v>
      </c>
      <c r="H302" s="6" t="s">
        <v>33</v>
      </c>
      <c r="I302" s="6" t="s">
        <v>767</v>
      </c>
      <c r="J302" s="6" t="s">
        <v>764</v>
      </c>
      <c r="K302" s="7">
        <v>6062496</v>
      </c>
      <c r="L302" s="7">
        <v>272119</v>
      </c>
      <c r="M302" s="7">
        <v>19</v>
      </c>
      <c r="N302" s="7">
        <v>1</v>
      </c>
      <c r="O302" s="7">
        <v>13.8</v>
      </c>
    </row>
    <row r="303" spans="1:15" x14ac:dyDescent="0.25">
      <c r="A303" s="6" t="s">
        <v>28</v>
      </c>
      <c r="B303" s="6" t="s">
        <v>165</v>
      </c>
      <c r="C303" s="7">
        <v>32163</v>
      </c>
      <c r="D303" s="6" t="s">
        <v>39</v>
      </c>
      <c r="E303" s="6" t="s">
        <v>87</v>
      </c>
      <c r="F303" s="6" t="s">
        <v>87</v>
      </c>
      <c r="G303" s="6" t="s">
        <v>32</v>
      </c>
      <c r="H303" s="6" t="s">
        <v>33</v>
      </c>
      <c r="I303" s="6" t="s">
        <v>767</v>
      </c>
      <c r="J303" s="6" t="s">
        <v>767</v>
      </c>
      <c r="K303" s="7">
        <v>6100645</v>
      </c>
      <c r="L303" s="7">
        <v>297849</v>
      </c>
      <c r="M303" s="7">
        <v>19</v>
      </c>
      <c r="N303" s="7">
        <v>2</v>
      </c>
      <c r="O303" s="7">
        <v>10</v>
      </c>
    </row>
    <row r="304" spans="1:15" x14ac:dyDescent="0.25">
      <c r="A304" s="6" t="s">
        <v>28</v>
      </c>
      <c r="B304" s="6" t="s">
        <v>165</v>
      </c>
      <c r="C304" s="7">
        <v>32169</v>
      </c>
      <c r="D304" s="6" t="s">
        <v>39</v>
      </c>
      <c r="E304" s="6" t="s">
        <v>72</v>
      </c>
      <c r="F304" s="6" t="s">
        <v>200</v>
      </c>
      <c r="G304" s="6" t="s">
        <v>32</v>
      </c>
      <c r="H304" s="6" t="s">
        <v>19</v>
      </c>
      <c r="I304" s="6" t="s">
        <v>767</v>
      </c>
      <c r="J304" s="6" t="s">
        <v>767</v>
      </c>
      <c r="K304" s="7">
        <v>6064403</v>
      </c>
      <c r="L304" s="7">
        <v>284777</v>
      </c>
      <c r="M304" s="7">
        <v>19</v>
      </c>
      <c r="N304" s="7">
        <v>1</v>
      </c>
      <c r="O304" s="7">
        <v>12.7</v>
      </c>
    </row>
    <row r="305" spans="1:15" x14ac:dyDescent="0.25">
      <c r="A305" s="6" t="s">
        <v>28</v>
      </c>
      <c r="B305" s="6" t="s">
        <v>165</v>
      </c>
      <c r="C305" s="7">
        <v>32180</v>
      </c>
      <c r="D305" s="6" t="s">
        <v>39</v>
      </c>
      <c r="E305" s="6" t="s">
        <v>72</v>
      </c>
      <c r="F305" s="6" t="s">
        <v>72</v>
      </c>
      <c r="G305" s="6" t="s">
        <v>32</v>
      </c>
      <c r="H305" s="6" t="s">
        <v>33</v>
      </c>
      <c r="I305" s="6" t="s">
        <v>767</v>
      </c>
      <c r="J305" s="6" t="s">
        <v>764</v>
      </c>
      <c r="K305" s="7">
        <v>6065703</v>
      </c>
      <c r="L305" s="7">
        <v>274719</v>
      </c>
      <c r="M305" s="7">
        <v>19</v>
      </c>
      <c r="N305" s="7">
        <v>1</v>
      </c>
      <c r="O305" s="7">
        <v>7.7</v>
      </c>
    </row>
    <row r="306" spans="1:15" x14ac:dyDescent="0.25">
      <c r="A306" s="6" t="s">
        <v>28</v>
      </c>
      <c r="B306" s="6" t="s">
        <v>165</v>
      </c>
      <c r="C306" s="7">
        <v>32193</v>
      </c>
      <c r="D306" s="6" t="s">
        <v>42</v>
      </c>
      <c r="E306" s="6" t="s">
        <v>51</v>
      </c>
      <c r="F306" s="6" t="s">
        <v>51</v>
      </c>
      <c r="G306" s="6" t="s">
        <v>32</v>
      </c>
      <c r="H306" s="6" t="s">
        <v>33</v>
      </c>
      <c r="I306" s="6" t="s">
        <v>767</v>
      </c>
      <c r="J306" s="6" t="s">
        <v>764</v>
      </c>
      <c r="K306" s="7">
        <v>6155731</v>
      </c>
      <c r="L306" s="7">
        <v>320853</v>
      </c>
      <c r="M306" s="7">
        <v>19</v>
      </c>
      <c r="N306" s="7">
        <v>1</v>
      </c>
      <c r="O306" s="7">
        <v>48</v>
      </c>
    </row>
    <row r="307" spans="1:15" x14ac:dyDescent="0.25">
      <c r="A307" s="6" t="s">
        <v>28</v>
      </c>
      <c r="B307" s="6" t="s">
        <v>165</v>
      </c>
      <c r="C307" s="7">
        <v>32195</v>
      </c>
      <c r="D307" s="6" t="s">
        <v>39</v>
      </c>
      <c r="E307" s="6" t="s">
        <v>173</v>
      </c>
      <c r="F307" s="6" t="s">
        <v>173</v>
      </c>
      <c r="G307" s="6" t="s">
        <v>32</v>
      </c>
      <c r="H307" s="6" t="s">
        <v>19</v>
      </c>
      <c r="I307" s="6" t="s">
        <v>767</v>
      </c>
      <c r="J307" s="6" t="s">
        <v>767</v>
      </c>
      <c r="K307" s="7">
        <v>6050586</v>
      </c>
      <c r="L307" s="7">
        <v>273939</v>
      </c>
      <c r="M307" s="7">
        <v>19</v>
      </c>
      <c r="N307" s="7">
        <v>1</v>
      </c>
      <c r="O307" s="7">
        <v>5.3</v>
      </c>
    </row>
    <row r="308" spans="1:15" x14ac:dyDescent="0.25">
      <c r="A308" s="6" t="s">
        <v>28</v>
      </c>
      <c r="B308" s="6" t="s">
        <v>165</v>
      </c>
      <c r="C308" s="7">
        <v>32224</v>
      </c>
      <c r="D308" s="6" t="s">
        <v>42</v>
      </c>
      <c r="E308" s="6" t="s">
        <v>51</v>
      </c>
      <c r="F308" s="6" t="s">
        <v>55</v>
      </c>
      <c r="G308" s="6" t="s">
        <v>32</v>
      </c>
      <c r="H308" s="6" t="s">
        <v>33</v>
      </c>
      <c r="I308" s="6" t="s">
        <v>767</v>
      </c>
      <c r="J308" s="6" t="s">
        <v>764</v>
      </c>
      <c r="K308" s="7">
        <v>6160796</v>
      </c>
      <c r="L308" s="7">
        <v>325473</v>
      </c>
      <c r="M308" s="7">
        <v>19</v>
      </c>
      <c r="N308" s="7">
        <v>1</v>
      </c>
      <c r="O308" s="7">
        <v>26</v>
      </c>
    </row>
    <row r="309" spans="1:15" x14ac:dyDescent="0.25">
      <c r="A309" s="6" t="s">
        <v>28</v>
      </c>
      <c r="B309" s="6" t="s">
        <v>165</v>
      </c>
      <c r="C309" s="7">
        <v>32232</v>
      </c>
      <c r="D309" s="6" t="s">
        <v>42</v>
      </c>
      <c r="E309" s="6" t="s">
        <v>51</v>
      </c>
      <c r="F309" s="6" t="s">
        <v>51</v>
      </c>
      <c r="G309" s="6" t="s">
        <v>32</v>
      </c>
      <c r="H309" s="6" t="s">
        <v>33</v>
      </c>
      <c r="I309" s="6" t="s">
        <v>767</v>
      </c>
      <c r="J309" s="6" t="s">
        <v>764</v>
      </c>
      <c r="K309" s="7">
        <v>6157616</v>
      </c>
      <c r="L309" s="7">
        <v>310908</v>
      </c>
      <c r="M309" s="7">
        <v>19</v>
      </c>
      <c r="N309" s="7">
        <v>1</v>
      </c>
      <c r="O309" s="7">
        <v>8</v>
      </c>
    </row>
    <row r="310" spans="1:15" x14ac:dyDescent="0.25">
      <c r="A310" s="6" t="s">
        <v>28</v>
      </c>
      <c r="B310" s="6" t="s">
        <v>165</v>
      </c>
      <c r="C310" s="7">
        <v>32331</v>
      </c>
      <c r="D310" s="6" t="s">
        <v>42</v>
      </c>
      <c r="E310" s="6" t="s">
        <v>51</v>
      </c>
      <c r="F310" s="6" t="s">
        <v>51</v>
      </c>
      <c r="G310" s="6" t="s">
        <v>32</v>
      </c>
      <c r="H310" s="6" t="s">
        <v>33</v>
      </c>
      <c r="I310" s="6" t="s">
        <v>767</v>
      </c>
      <c r="J310" s="6" t="s">
        <v>764</v>
      </c>
      <c r="K310" s="7">
        <v>6158288</v>
      </c>
      <c r="L310" s="7">
        <v>311323</v>
      </c>
      <c r="M310" s="7">
        <v>19</v>
      </c>
      <c r="N310" s="7">
        <v>1</v>
      </c>
      <c r="O310" s="7">
        <v>10</v>
      </c>
    </row>
    <row r="311" spans="1:15" x14ac:dyDescent="0.25">
      <c r="A311" s="6" t="s">
        <v>28</v>
      </c>
      <c r="B311" s="6" t="s">
        <v>165</v>
      </c>
      <c r="C311" s="7">
        <v>32332</v>
      </c>
      <c r="D311" s="6" t="s">
        <v>42</v>
      </c>
      <c r="E311" s="6" t="s">
        <v>51</v>
      </c>
      <c r="F311" s="6" t="s">
        <v>51</v>
      </c>
      <c r="G311" s="6" t="s">
        <v>32</v>
      </c>
      <c r="H311" s="6" t="s">
        <v>33</v>
      </c>
      <c r="I311" s="6" t="s">
        <v>767</v>
      </c>
      <c r="J311" s="6" t="s">
        <v>764</v>
      </c>
      <c r="K311" s="7">
        <v>6148979</v>
      </c>
      <c r="L311" s="7">
        <v>319966</v>
      </c>
      <c r="M311" s="7">
        <v>19</v>
      </c>
      <c r="N311" s="7">
        <v>1</v>
      </c>
      <c r="O311" s="7">
        <v>4</v>
      </c>
    </row>
    <row r="312" spans="1:15" x14ac:dyDescent="0.25">
      <c r="A312" s="6" t="s">
        <v>28</v>
      </c>
      <c r="B312" s="6" t="s">
        <v>165</v>
      </c>
      <c r="C312" s="7">
        <v>32336</v>
      </c>
      <c r="D312" s="6" t="s">
        <v>39</v>
      </c>
      <c r="E312" s="6" t="s">
        <v>72</v>
      </c>
      <c r="F312" s="6" t="s">
        <v>197</v>
      </c>
      <c r="G312" s="6" t="s">
        <v>32</v>
      </c>
      <c r="H312" s="6" t="s">
        <v>33</v>
      </c>
      <c r="I312" s="6" t="s">
        <v>767</v>
      </c>
      <c r="J312" s="6" t="s">
        <v>767</v>
      </c>
      <c r="K312" s="7">
        <v>6060720</v>
      </c>
      <c r="L312" s="7">
        <v>282088</v>
      </c>
      <c r="M312" s="7">
        <v>19</v>
      </c>
      <c r="N312" s="7">
        <v>1</v>
      </c>
      <c r="O312" s="7">
        <v>14</v>
      </c>
    </row>
    <row r="313" spans="1:15" x14ac:dyDescent="0.25">
      <c r="A313" s="6" t="s">
        <v>28</v>
      </c>
      <c r="B313" s="6" t="s">
        <v>165</v>
      </c>
      <c r="C313" s="7">
        <v>32338</v>
      </c>
      <c r="D313" s="6" t="s">
        <v>39</v>
      </c>
      <c r="E313" s="6" t="s">
        <v>72</v>
      </c>
      <c r="F313" s="6" t="s">
        <v>197</v>
      </c>
      <c r="G313" s="6" t="s">
        <v>32</v>
      </c>
      <c r="H313" s="6" t="s">
        <v>33</v>
      </c>
      <c r="I313" s="6" t="s">
        <v>767</v>
      </c>
      <c r="J313" s="6" t="s">
        <v>767</v>
      </c>
      <c r="K313" s="7">
        <v>6061186</v>
      </c>
      <c r="L313" s="7">
        <v>281947</v>
      </c>
      <c r="M313" s="7">
        <v>19</v>
      </c>
      <c r="N313" s="7">
        <v>1</v>
      </c>
      <c r="O313" s="7">
        <v>9.3000000000000007</v>
      </c>
    </row>
    <row r="314" spans="1:15" x14ac:dyDescent="0.25">
      <c r="A314" s="6" t="s">
        <v>28</v>
      </c>
      <c r="B314" s="6" t="s">
        <v>165</v>
      </c>
      <c r="C314" s="7">
        <v>32339</v>
      </c>
      <c r="D314" s="6" t="s">
        <v>42</v>
      </c>
      <c r="E314" s="6" t="s">
        <v>51</v>
      </c>
      <c r="F314" s="6" t="s">
        <v>51</v>
      </c>
      <c r="G314" s="6" t="s">
        <v>32</v>
      </c>
      <c r="H314" s="6" t="s">
        <v>33</v>
      </c>
      <c r="I314" s="6" t="s">
        <v>767</v>
      </c>
      <c r="J314" s="6" t="s">
        <v>764</v>
      </c>
      <c r="K314" s="7">
        <v>6149563</v>
      </c>
      <c r="L314" s="7">
        <v>320175</v>
      </c>
      <c r="M314" s="7">
        <v>19</v>
      </c>
      <c r="N314" s="7">
        <v>1</v>
      </c>
      <c r="O314" s="7">
        <v>16</v>
      </c>
    </row>
    <row r="315" spans="1:15" x14ac:dyDescent="0.25">
      <c r="A315" s="6" t="s">
        <v>28</v>
      </c>
      <c r="B315" s="6" t="s">
        <v>165</v>
      </c>
      <c r="C315" s="7">
        <v>32342</v>
      </c>
      <c r="D315" s="6" t="s">
        <v>39</v>
      </c>
      <c r="E315" s="6" t="s">
        <v>87</v>
      </c>
      <c r="F315" s="6" t="s">
        <v>87</v>
      </c>
      <c r="G315" s="6" t="s">
        <v>32</v>
      </c>
      <c r="H315" s="6" t="s">
        <v>33</v>
      </c>
      <c r="I315" s="6" t="s">
        <v>767</v>
      </c>
      <c r="J315" s="6" t="s">
        <v>767</v>
      </c>
      <c r="K315" s="7">
        <v>6101044</v>
      </c>
      <c r="L315" s="7">
        <v>298168</v>
      </c>
      <c r="M315" s="7">
        <v>19</v>
      </c>
      <c r="N315" s="7">
        <v>1</v>
      </c>
      <c r="O315" s="7">
        <v>15.5</v>
      </c>
    </row>
    <row r="316" spans="1:15" x14ac:dyDescent="0.25">
      <c r="A316" s="6" t="s">
        <v>28</v>
      </c>
      <c r="B316" s="6" t="s">
        <v>165</v>
      </c>
      <c r="C316" s="7">
        <v>32346</v>
      </c>
      <c r="D316" s="6" t="s">
        <v>39</v>
      </c>
      <c r="E316" s="6" t="s">
        <v>169</v>
      </c>
      <c r="F316" s="6" t="s">
        <v>169</v>
      </c>
      <c r="G316" s="6" t="s">
        <v>32</v>
      </c>
      <c r="H316" s="6" t="s">
        <v>19</v>
      </c>
      <c r="I316" s="6" t="s">
        <v>767</v>
      </c>
      <c r="J316" s="6" t="s">
        <v>767</v>
      </c>
      <c r="K316" s="7">
        <v>6069227</v>
      </c>
      <c r="L316" s="7">
        <v>261178</v>
      </c>
      <c r="M316" s="7">
        <v>19</v>
      </c>
      <c r="N316" s="7">
        <v>1</v>
      </c>
      <c r="O316" s="7">
        <v>2.2000000000000002</v>
      </c>
    </row>
    <row r="317" spans="1:15" x14ac:dyDescent="0.25">
      <c r="A317" s="6" t="s">
        <v>14</v>
      </c>
      <c r="B317" s="6" t="s">
        <v>165</v>
      </c>
      <c r="C317" s="7">
        <v>32348</v>
      </c>
      <c r="D317" s="6" t="s">
        <v>42</v>
      </c>
      <c r="E317" s="6" t="s">
        <v>51</v>
      </c>
      <c r="F317" s="6" t="s">
        <v>51</v>
      </c>
      <c r="G317" s="6" t="s">
        <v>32</v>
      </c>
      <c r="H317" s="6" t="s">
        <v>33</v>
      </c>
      <c r="I317" s="6" t="s">
        <v>767</v>
      </c>
      <c r="J317" s="6" t="s">
        <v>764</v>
      </c>
      <c r="K317" s="7">
        <v>6159808</v>
      </c>
      <c r="L317" s="7">
        <v>325815</v>
      </c>
      <c r="M317" s="7">
        <v>19</v>
      </c>
      <c r="N317" s="7">
        <v>1</v>
      </c>
      <c r="O317" s="7">
        <v>15.4</v>
      </c>
    </row>
    <row r="318" spans="1:15" x14ac:dyDescent="0.25">
      <c r="A318" s="6" t="s">
        <v>28</v>
      </c>
      <c r="B318" s="6" t="s">
        <v>165</v>
      </c>
      <c r="C318" s="7">
        <v>32351</v>
      </c>
      <c r="D318" s="6" t="s">
        <v>39</v>
      </c>
      <c r="E318" s="6" t="s">
        <v>72</v>
      </c>
      <c r="F318" s="6" t="s">
        <v>72</v>
      </c>
      <c r="G318" s="6" t="s">
        <v>32</v>
      </c>
      <c r="H318" s="6" t="s">
        <v>33</v>
      </c>
      <c r="I318" s="6" t="s">
        <v>767</v>
      </c>
      <c r="J318" s="6" t="s">
        <v>764</v>
      </c>
      <c r="K318" s="7">
        <v>6065835</v>
      </c>
      <c r="L318" s="7">
        <v>274473</v>
      </c>
      <c r="M318" s="7">
        <v>19</v>
      </c>
      <c r="N318" s="7">
        <v>1</v>
      </c>
      <c r="O318" s="7">
        <v>11.5</v>
      </c>
    </row>
    <row r="319" spans="1:15" x14ac:dyDescent="0.25">
      <c r="A319" s="6" t="s">
        <v>28</v>
      </c>
      <c r="B319" s="6" t="s">
        <v>165</v>
      </c>
      <c r="C319" s="7">
        <v>32380</v>
      </c>
      <c r="D319" s="6" t="s">
        <v>39</v>
      </c>
      <c r="E319" s="6" t="s">
        <v>72</v>
      </c>
      <c r="F319" s="6" t="s">
        <v>201</v>
      </c>
      <c r="G319" s="6" t="s">
        <v>32</v>
      </c>
      <c r="H319" s="6" t="s">
        <v>19</v>
      </c>
      <c r="I319" s="6" t="s">
        <v>767</v>
      </c>
      <c r="J319" s="6" t="s">
        <v>767</v>
      </c>
      <c r="K319" s="7">
        <v>6073652</v>
      </c>
      <c r="L319" s="7">
        <v>286857</v>
      </c>
      <c r="M319" s="7">
        <v>19</v>
      </c>
      <c r="N319" s="7">
        <v>1</v>
      </c>
      <c r="O319" s="7">
        <v>3.2</v>
      </c>
    </row>
    <row r="320" spans="1:15" x14ac:dyDescent="0.25">
      <c r="A320" s="6" t="s">
        <v>28</v>
      </c>
      <c r="B320" s="6" t="s">
        <v>165</v>
      </c>
      <c r="C320" s="7">
        <v>32389</v>
      </c>
      <c r="D320" s="6" t="s">
        <v>39</v>
      </c>
      <c r="E320" s="6" t="s">
        <v>72</v>
      </c>
      <c r="F320" s="6" t="s">
        <v>185</v>
      </c>
      <c r="G320" s="6" t="s">
        <v>32</v>
      </c>
      <c r="H320" s="6" t="s">
        <v>33</v>
      </c>
      <c r="I320" s="6" t="s">
        <v>767</v>
      </c>
      <c r="J320" s="6" t="s">
        <v>767</v>
      </c>
      <c r="K320" s="7">
        <v>6068324</v>
      </c>
      <c r="L320" s="7">
        <v>282109</v>
      </c>
      <c r="M320" s="7">
        <v>19</v>
      </c>
      <c r="N320" s="7">
        <v>1</v>
      </c>
      <c r="O320" s="7">
        <v>6</v>
      </c>
    </row>
    <row r="321" spans="1:15" x14ac:dyDescent="0.25">
      <c r="A321" s="6" t="s">
        <v>28</v>
      </c>
      <c r="B321" s="6" t="s">
        <v>165</v>
      </c>
      <c r="C321" s="7">
        <v>32433</v>
      </c>
      <c r="D321" s="6" t="s">
        <v>39</v>
      </c>
      <c r="E321" s="6" t="s">
        <v>40</v>
      </c>
      <c r="F321" s="6" t="s">
        <v>181</v>
      </c>
      <c r="G321" s="6" t="s">
        <v>32</v>
      </c>
      <c r="H321" s="6" t="s">
        <v>33</v>
      </c>
      <c r="I321" s="6" t="s">
        <v>767</v>
      </c>
      <c r="J321" s="6" t="s">
        <v>764</v>
      </c>
      <c r="K321" s="7">
        <v>6118771</v>
      </c>
      <c r="L321" s="7">
        <v>301399</v>
      </c>
      <c r="M321" s="7">
        <v>19</v>
      </c>
      <c r="N321" s="7">
        <v>1</v>
      </c>
      <c r="O321" s="7">
        <v>11.6</v>
      </c>
    </row>
    <row r="322" spans="1:15" x14ac:dyDescent="0.25">
      <c r="A322" s="6" t="s">
        <v>28</v>
      </c>
      <c r="B322" s="6" t="s">
        <v>165</v>
      </c>
      <c r="C322" s="7">
        <v>32436</v>
      </c>
      <c r="D322" s="6" t="s">
        <v>39</v>
      </c>
      <c r="E322" s="6" t="s">
        <v>72</v>
      </c>
      <c r="F322" s="6" t="s">
        <v>202</v>
      </c>
      <c r="G322" s="6" t="s">
        <v>32</v>
      </c>
      <c r="H322" s="6" t="s">
        <v>19</v>
      </c>
      <c r="I322" s="6" t="s">
        <v>767</v>
      </c>
      <c r="J322" s="6" t="s">
        <v>767</v>
      </c>
      <c r="K322" s="7">
        <v>6067986</v>
      </c>
      <c r="L322" s="7">
        <v>278670</v>
      </c>
      <c r="M322" s="7">
        <v>19</v>
      </c>
      <c r="N322" s="7">
        <v>1</v>
      </c>
      <c r="O322" s="7">
        <v>1.5</v>
      </c>
    </row>
    <row r="323" spans="1:15" x14ac:dyDescent="0.25">
      <c r="A323" s="6" t="s">
        <v>28</v>
      </c>
      <c r="B323" s="6" t="s">
        <v>165</v>
      </c>
      <c r="C323" s="7">
        <v>32444</v>
      </c>
      <c r="D323" s="6" t="s">
        <v>39</v>
      </c>
      <c r="E323" s="6" t="s">
        <v>53</v>
      </c>
      <c r="F323" s="6" t="s">
        <v>190</v>
      </c>
      <c r="G323" s="6" t="s">
        <v>32</v>
      </c>
      <c r="H323" s="6" t="s">
        <v>33</v>
      </c>
      <c r="I323" s="6" t="s">
        <v>767</v>
      </c>
      <c r="J323" s="6" t="s">
        <v>764</v>
      </c>
      <c r="K323" s="7">
        <v>6137976</v>
      </c>
      <c r="L323" s="7">
        <v>313089</v>
      </c>
      <c r="M323" s="7">
        <v>19</v>
      </c>
      <c r="N323" s="7">
        <v>1</v>
      </c>
      <c r="O323" s="7">
        <v>18</v>
      </c>
    </row>
    <row r="324" spans="1:15" x14ac:dyDescent="0.25">
      <c r="A324" s="6" t="s">
        <v>28</v>
      </c>
      <c r="B324" s="6" t="s">
        <v>165</v>
      </c>
      <c r="C324" s="7">
        <v>32484</v>
      </c>
      <c r="D324" s="6" t="s">
        <v>39</v>
      </c>
      <c r="E324" s="6" t="s">
        <v>72</v>
      </c>
      <c r="F324" s="6" t="s">
        <v>166</v>
      </c>
      <c r="G324" s="6" t="s">
        <v>32</v>
      </c>
      <c r="H324" s="6" t="s">
        <v>33</v>
      </c>
      <c r="I324" s="6" t="s">
        <v>767</v>
      </c>
      <c r="J324" s="6" t="s">
        <v>764</v>
      </c>
      <c r="K324" s="7">
        <v>6061625</v>
      </c>
      <c r="L324" s="7">
        <v>270157</v>
      </c>
      <c r="M324" s="7">
        <v>19</v>
      </c>
      <c r="N324" s="7">
        <v>1</v>
      </c>
      <c r="O324" s="7">
        <v>8.6</v>
      </c>
    </row>
    <row r="325" spans="1:15" x14ac:dyDescent="0.25">
      <c r="A325" s="6" t="s">
        <v>28</v>
      </c>
      <c r="B325" s="6" t="s">
        <v>165</v>
      </c>
      <c r="C325" s="7">
        <v>32489</v>
      </c>
      <c r="D325" s="6" t="s">
        <v>39</v>
      </c>
      <c r="E325" s="6" t="s">
        <v>70</v>
      </c>
      <c r="F325" s="6" t="s">
        <v>71</v>
      </c>
      <c r="G325" s="6" t="s">
        <v>32</v>
      </c>
      <c r="H325" s="6" t="s">
        <v>33</v>
      </c>
      <c r="I325" s="6" t="s">
        <v>767</v>
      </c>
      <c r="J325" s="6" t="s">
        <v>767</v>
      </c>
      <c r="K325" s="7">
        <v>6074651</v>
      </c>
      <c r="L325" s="7">
        <v>266448</v>
      </c>
      <c r="M325" s="7">
        <v>19</v>
      </c>
      <c r="N325" s="7">
        <v>1</v>
      </c>
      <c r="O325" s="7">
        <v>8</v>
      </c>
    </row>
    <row r="326" spans="1:15" x14ac:dyDescent="0.25">
      <c r="A326" s="6" t="s">
        <v>28</v>
      </c>
      <c r="B326" s="6" t="s">
        <v>165</v>
      </c>
      <c r="C326" s="7">
        <v>32536</v>
      </c>
      <c r="D326" s="6" t="s">
        <v>42</v>
      </c>
      <c r="E326" s="6" t="s">
        <v>51</v>
      </c>
      <c r="F326" s="6" t="s">
        <v>51</v>
      </c>
      <c r="G326" s="6" t="s">
        <v>32</v>
      </c>
      <c r="H326" s="6" t="s">
        <v>33</v>
      </c>
      <c r="I326" s="6" t="s">
        <v>767</v>
      </c>
      <c r="J326" s="6" t="s">
        <v>764</v>
      </c>
      <c r="K326" s="7">
        <v>6157252</v>
      </c>
      <c r="L326" s="7">
        <v>310865</v>
      </c>
      <c r="M326" s="7">
        <v>19</v>
      </c>
      <c r="N326" s="7">
        <v>1</v>
      </c>
      <c r="O326" s="7">
        <v>9</v>
      </c>
    </row>
    <row r="327" spans="1:15" x14ac:dyDescent="0.25">
      <c r="A327" s="6" t="s">
        <v>28</v>
      </c>
      <c r="B327" s="6" t="s">
        <v>165</v>
      </c>
      <c r="C327" s="7">
        <v>32650</v>
      </c>
      <c r="D327" s="6" t="s">
        <v>39</v>
      </c>
      <c r="E327" s="6" t="s">
        <v>80</v>
      </c>
      <c r="F327" s="6" t="s">
        <v>80</v>
      </c>
      <c r="G327" s="6" t="s">
        <v>32</v>
      </c>
      <c r="H327" s="6" t="s">
        <v>33</v>
      </c>
      <c r="I327" s="6" t="s">
        <v>767</v>
      </c>
      <c r="J327" s="6" t="s">
        <v>764</v>
      </c>
      <c r="K327" s="7">
        <v>6083384</v>
      </c>
      <c r="L327" s="7">
        <v>272369</v>
      </c>
      <c r="M327" s="7">
        <v>19</v>
      </c>
      <c r="N327" s="7">
        <v>1</v>
      </c>
      <c r="O327" s="7">
        <v>53.6</v>
      </c>
    </row>
    <row r="328" spans="1:15" x14ac:dyDescent="0.25">
      <c r="A328" s="6" t="s">
        <v>28</v>
      </c>
      <c r="B328" s="6" t="s">
        <v>165</v>
      </c>
      <c r="C328" s="7">
        <v>32657</v>
      </c>
      <c r="D328" s="6" t="s">
        <v>39</v>
      </c>
      <c r="E328" s="6" t="s">
        <v>72</v>
      </c>
      <c r="F328" s="6" t="s">
        <v>203</v>
      </c>
      <c r="G328" s="6" t="s">
        <v>32</v>
      </c>
      <c r="H328" s="6" t="s">
        <v>33</v>
      </c>
      <c r="I328" s="6" t="s">
        <v>767</v>
      </c>
      <c r="J328" s="6" t="s">
        <v>767</v>
      </c>
      <c r="K328" s="7">
        <v>6072042</v>
      </c>
      <c r="L328" s="7">
        <v>277406</v>
      </c>
      <c r="M328" s="7">
        <v>19</v>
      </c>
      <c r="N328" s="7">
        <v>1</v>
      </c>
      <c r="O328" s="7">
        <v>18.399999999999999</v>
      </c>
    </row>
    <row r="329" spans="1:15" x14ac:dyDescent="0.25">
      <c r="A329" s="6" t="s">
        <v>28</v>
      </c>
      <c r="B329" s="6" t="s">
        <v>165</v>
      </c>
      <c r="C329" s="7">
        <v>32658</v>
      </c>
      <c r="D329" s="6" t="s">
        <v>39</v>
      </c>
      <c r="E329" s="6" t="s">
        <v>72</v>
      </c>
      <c r="F329" s="6" t="s">
        <v>166</v>
      </c>
      <c r="G329" s="6" t="s">
        <v>32</v>
      </c>
      <c r="H329" s="6" t="s">
        <v>33</v>
      </c>
      <c r="I329" s="6" t="s">
        <v>767</v>
      </c>
      <c r="J329" s="6" t="s">
        <v>764</v>
      </c>
      <c r="K329" s="7">
        <v>6061283</v>
      </c>
      <c r="L329" s="7">
        <v>269528</v>
      </c>
      <c r="M329" s="7">
        <v>19</v>
      </c>
      <c r="N329" s="7">
        <v>1</v>
      </c>
      <c r="O329" s="7">
        <v>12</v>
      </c>
    </row>
    <row r="330" spans="1:15" x14ac:dyDescent="0.25">
      <c r="A330" s="6" t="s">
        <v>14</v>
      </c>
      <c r="B330" s="6" t="s">
        <v>165</v>
      </c>
      <c r="C330" s="7">
        <v>32684</v>
      </c>
      <c r="D330" s="6" t="s">
        <v>39</v>
      </c>
      <c r="E330" s="6" t="s">
        <v>53</v>
      </c>
      <c r="F330" s="6" t="s">
        <v>190</v>
      </c>
      <c r="G330" s="6" t="s">
        <v>32</v>
      </c>
      <c r="H330" s="6" t="s">
        <v>33</v>
      </c>
      <c r="I330" s="6" t="s">
        <v>767</v>
      </c>
      <c r="J330" s="6" t="s">
        <v>764</v>
      </c>
      <c r="K330" s="7">
        <v>6132695</v>
      </c>
      <c r="L330" s="7">
        <v>316834</v>
      </c>
      <c r="M330" s="7">
        <v>19</v>
      </c>
      <c r="N330" s="7">
        <v>1</v>
      </c>
      <c r="O330" s="7">
        <v>14.5</v>
      </c>
    </row>
    <row r="331" spans="1:15" x14ac:dyDescent="0.25">
      <c r="A331" s="6" t="s">
        <v>28</v>
      </c>
      <c r="B331" s="6" t="s">
        <v>165</v>
      </c>
      <c r="C331" s="7">
        <v>32688</v>
      </c>
      <c r="D331" s="6" t="s">
        <v>39</v>
      </c>
      <c r="E331" s="6" t="s">
        <v>80</v>
      </c>
      <c r="F331" s="6" t="s">
        <v>80</v>
      </c>
      <c r="G331" s="6" t="s">
        <v>32</v>
      </c>
      <c r="H331" s="6" t="s">
        <v>33</v>
      </c>
      <c r="I331" s="6" t="s">
        <v>767</v>
      </c>
      <c r="J331" s="6" t="s">
        <v>764</v>
      </c>
      <c r="K331" s="7">
        <v>6083273</v>
      </c>
      <c r="L331" s="7">
        <v>272774</v>
      </c>
      <c r="M331" s="7">
        <v>19</v>
      </c>
      <c r="N331" s="7">
        <v>1</v>
      </c>
      <c r="O331" s="7">
        <v>5</v>
      </c>
    </row>
    <row r="332" spans="1:15" x14ac:dyDescent="0.25">
      <c r="A332" s="6" t="s">
        <v>28</v>
      </c>
      <c r="B332" s="6" t="s">
        <v>165</v>
      </c>
      <c r="C332" s="7">
        <v>32736</v>
      </c>
      <c r="D332" s="6" t="s">
        <v>39</v>
      </c>
      <c r="E332" s="6" t="s">
        <v>72</v>
      </c>
      <c r="F332" s="6" t="s">
        <v>171</v>
      </c>
      <c r="G332" s="6" t="s">
        <v>32</v>
      </c>
      <c r="H332" s="6" t="s">
        <v>19</v>
      </c>
      <c r="I332" s="6" t="s">
        <v>767</v>
      </c>
      <c r="J332" s="6" t="s">
        <v>767</v>
      </c>
      <c r="K332" s="7">
        <v>6063512</v>
      </c>
      <c r="L332" s="7">
        <v>291413</v>
      </c>
      <c r="M332" s="7">
        <v>19</v>
      </c>
      <c r="N332" s="7">
        <v>1</v>
      </c>
      <c r="O332" s="7">
        <v>3</v>
      </c>
    </row>
    <row r="333" spans="1:15" x14ac:dyDescent="0.25">
      <c r="A333" s="6" t="s">
        <v>28</v>
      </c>
      <c r="B333" s="6" t="s">
        <v>165</v>
      </c>
      <c r="C333" s="7">
        <v>32740</v>
      </c>
      <c r="D333" s="6" t="s">
        <v>39</v>
      </c>
      <c r="E333" s="6" t="s">
        <v>72</v>
      </c>
      <c r="F333" s="6" t="s">
        <v>171</v>
      </c>
      <c r="G333" s="6" t="s">
        <v>32</v>
      </c>
      <c r="H333" s="6" t="s">
        <v>19</v>
      </c>
      <c r="I333" s="6" t="s">
        <v>767</v>
      </c>
      <c r="J333" s="6" t="s">
        <v>767</v>
      </c>
      <c r="K333" s="7">
        <v>6063512</v>
      </c>
      <c r="L333" s="7">
        <v>291413</v>
      </c>
      <c r="M333" s="7">
        <v>19</v>
      </c>
      <c r="N333" s="7">
        <v>1</v>
      </c>
      <c r="O333" s="7">
        <v>3.5</v>
      </c>
    </row>
    <row r="334" spans="1:15" x14ac:dyDescent="0.25">
      <c r="A334" s="6" t="s">
        <v>28</v>
      </c>
      <c r="B334" s="6" t="s">
        <v>165</v>
      </c>
      <c r="C334" s="7">
        <v>32748</v>
      </c>
      <c r="D334" s="6" t="s">
        <v>42</v>
      </c>
      <c r="E334" s="6" t="s">
        <v>51</v>
      </c>
      <c r="F334" s="6" t="s">
        <v>51</v>
      </c>
      <c r="G334" s="6" t="s">
        <v>32</v>
      </c>
      <c r="H334" s="6" t="s">
        <v>33</v>
      </c>
      <c r="I334" s="6" t="s">
        <v>767</v>
      </c>
      <c r="J334" s="6" t="s">
        <v>764</v>
      </c>
      <c r="K334" s="7">
        <v>6159325</v>
      </c>
      <c r="L334" s="7">
        <v>312078</v>
      </c>
      <c r="M334" s="7">
        <v>19</v>
      </c>
      <c r="N334" s="7">
        <v>1</v>
      </c>
      <c r="O334" s="7">
        <v>7.2</v>
      </c>
    </row>
    <row r="335" spans="1:15" x14ac:dyDescent="0.25">
      <c r="A335" s="6" t="s">
        <v>28</v>
      </c>
      <c r="B335" s="6" t="s">
        <v>165</v>
      </c>
      <c r="C335" s="7">
        <v>32764</v>
      </c>
      <c r="D335" s="6" t="s">
        <v>42</v>
      </c>
      <c r="E335" s="6" t="s">
        <v>51</v>
      </c>
      <c r="F335" s="6" t="s">
        <v>51</v>
      </c>
      <c r="G335" s="6" t="s">
        <v>32</v>
      </c>
      <c r="H335" s="6" t="s">
        <v>33</v>
      </c>
      <c r="I335" s="6" t="s">
        <v>767</v>
      </c>
      <c r="J335" s="6" t="s">
        <v>764</v>
      </c>
      <c r="K335" s="7">
        <v>6158489</v>
      </c>
      <c r="L335" s="7">
        <v>311155</v>
      </c>
      <c r="M335" s="7">
        <v>19</v>
      </c>
      <c r="N335" s="7">
        <v>2</v>
      </c>
      <c r="O335" s="7">
        <v>6</v>
      </c>
    </row>
    <row r="336" spans="1:15" x14ac:dyDescent="0.25">
      <c r="A336" s="6" t="s">
        <v>28</v>
      </c>
      <c r="B336" s="6" t="s">
        <v>165</v>
      </c>
      <c r="C336" s="7">
        <v>32772</v>
      </c>
      <c r="D336" s="6" t="s">
        <v>42</v>
      </c>
      <c r="E336" s="6" t="s">
        <v>51</v>
      </c>
      <c r="F336" s="6" t="s">
        <v>51</v>
      </c>
      <c r="G336" s="6" t="s">
        <v>32</v>
      </c>
      <c r="H336" s="6" t="s">
        <v>33</v>
      </c>
      <c r="I336" s="6" t="s">
        <v>767</v>
      </c>
      <c r="J336" s="6" t="s">
        <v>764</v>
      </c>
      <c r="K336" s="7">
        <v>6158947</v>
      </c>
      <c r="L336" s="7">
        <v>311862</v>
      </c>
      <c r="M336" s="7">
        <v>19</v>
      </c>
      <c r="N336" s="7">
        <v>4</v>
      </c>
      <c r="O336" s="7">
        <v>35</v>
      </c>
    </row>
    <row r="337" spans="1:15" x14ac:dyDescent="0.25">
      <c r="A337" s="6" t="s">
        <v>28</v>
      </c>
      <c r="B337" s="6" t="s">
        <v>165</v>
      </c>
      <c r="C337" s="7">
        <v>32807</v>
      </c>
      <c r="D337" s="6" t="s">
        <v>42</v>
      </c>
      <c r="E337" s="6" t="s">
        <v>51</v>
      </c>
      <c r="F337" s="6" t="s">
        <v>51</v>
      </c>
      <c r="G337" s="6" t="s">
        <v>32</v>
      </c>
      <c r="H337" s="6" t="s">
        <v>33</v>
      </c>
      <c r="I337" s="6" t="s">
        <v>767</v>
      </c>
      <c r="J337" s="6" t="s">
        <v>764</v>
      </c>
      <c r="K337" s="7">
        <v>6157953</v>
      </c>
      <c r="L337" s="7">
        <v>311048</v>
      </c>
      <c r="M337" s="7">
        <v>19</v>
      </c>
      <c r="N337" s="7">
        <v>2</v>
      </c>
      <c r="O337" s="7">
        <v>9.5</v>
      </c>
    </row>
    <row r="338" spans="1:15" x14ac:dyDescent="0.25">
      <c r="A338" s="6" t="s">
        <v>28</v>
      </c>
      <c r="B338" s="6" t="s">
        <v>165</v>
      </c>
      <c r="C338" s="7">
        <v>32810</v>
      </c>
      <c r="D338" s="6" t="s">
        <v>42</v>
      </c>
      <c r="E338" s="6" t="s">
        <v>51</v>
      </c>
      <c r="F338" s="6" t="s">
        <v>51</v>
      </c>
      <c r="G338" s="6" t="s">
        <v>32</v>
      </c>
      <c r="H338" s="6" t="s">
        <v>33</v>
      </c>
      <c r="I338" s="6" t="s">
        <v>767</v>
      </c>
      <c r="J338" s="6" t="s">
        <v>764</v>
      </c>
      <c r="K338" s="7">
        <v>6166304</v>
      </c>
      <c r="L338" s="7">
        <v>306313</v>
      </c>
      <c r="M338" s="7">
        <v>19</v>
      </c>
      <c r="N338" s="7">
        <v>1</v>
      </c>
      <c r="O338" s="7">
        <v>6.6</v>
      </c>
    </row>
    <row r="339" spans="1:15" x14ac:dyDescent="0.25">
      <c r="A339" s="6" t="s">
        <v>28</v>
      </c>
      <c r="B339" s="6" t="s">
        <v>165</v>
      </c>
      <c r="C339" s="7">
        <v>32817</v>
      </c>
      <c r="D339" s="6" t="s">
        <v>42</v>
      </c>
      <c r="E339" s="6" t="s">
        <v>51</v>
      </c>
      <c r="F339" s="6" t="s">
        <v>51</v>
      </c>
      <c r="G339" s="6" t="s">
        <v>32</v>
      </c>
      <c r="H339" s="6" t="s">
        <v>33</v>
      </c>
      <c r="I339" s="6" t="s">
        <v>767</v>
      </c>
      <c r="J339" s="6" t="s">
        <v>764</v>
      </c>
      <c r="K339" s="7">
        <v>6149581</v>
      </c>
      <c r="L339" s="7">
        <v>320482</v>
      </c>
      <c r="M339" s="7">
        <v>19</v>
      </c>
      <c r="N339" s="7">
        <v>1</v>
      </c>
      <c r="O339" s="7">
        <v>28</v>
      </c>
    </row>
    <row r="340" spans="1:15" x14ac:dyDescent="0.25">
      <c r="A340" s="6" t="s">
        <v>28</v>
      </c>
      <c r="B340" s="6" t="s">
        <v>165</v>
      </c>
      <c r="C340" s="7">
        <v>32819</v>
      </c>
      <c r="D340" s="6" t="s">
        <v>42</v>
      </c>
      <c r="E340" s="6" t="s">
        <v>51</v>
      </c>
      <c r="F340" s="6" t="s">
        <v>51</v>
      </c>
      <c r="G340" s="6" t="s">
        <v>32</v>
      </c>
      <c r="H340" s="6" t="s">
        <v>33</v>
      </c>
      <c r="I340" s="6" t="s">
        <v>767</v>
      </c>
      <c r="J340" s="6" t="s">
        <v>764</v>
      </c>
      <c r="K340" s="7">
        <v>6149510</v>
      </c>
      <c r="L340" s="7">
        <v>320756</v>
      </c>
      <c r="M340" s="7">
        <v>19</v>
      </c>
      <c r="N340" s="7">
        <v>1</v>
      </c>
      <c r="O340" s="7">
        <v>6</v>
      </c>
    </row>
    <row r="341" spans="1:15" x14ac:dyDescent="0.25">
      <c r="A341" s="6" t="s">
        <v>28</v>
      </c>
      <c r="B341" s="6" t="s">
        <v>165</v>
      </c>
      <c r="C341" s="7">
        <v>32822</v>
      </c>
      <c r="D341" s="6" t="s">
        <v>42</v>
      </c>
      <c r="E341" s="6" t="s">
        <v>196</v>
      </c>
      <c r="F341" s="6" t="s">
        <v>196</v>
      </c>
      <c r="G341" s="6" t="s">
        <v>32</v>
      </c>
      <c r="H341" s="6" t="s">
        <v>33</v>
      </c>
      <c r="I341" s="6" t="s">
        <v>767</v>
      </c>
      <c r="J341" s="6" t="s">
        <v>764</v>
      </c>
      <c r="K341" s="7">
        <v>6219393</v>
      </c>
      <c r="L341" s="7">
        <v>337873</v>
      </c>
      <c r="M341" s="7">
        <v>19</v>
      </c>
      <c r="N341" s="7">
        <v>1</v>
      </c>
      <c r="O341" s="7">
        <v>20</v>
      </c>
    </row>
    <row r="342" spans="1:15" x14ac:dyDescent="0.25">
      <c r="A342" s="6" t="s">
        <v>28</v>
      </c>
      <c r="B342" s="6" t="s">
        <v>165</v>
      </c>
      <c r="C342" s="7">
        <v>32836</v>
      </c>
      <c r="D342" s="6" t="s">
        <v>39</v>
      </c>
      <c r="E342" s="6" t="s">
        <v>72</v>
      </c>
      <c r="F342" s="6" t="s">
        <v>200</v>
      </c>
      <c r="G342" s="6" t="s">
        <v>32</v>
      </c>
      <c r="H342" s="6" t="s">
        <v>19</v>
      </c>
      <c r="I342" s="6" t="s">
        <v>767</v>
      </c>
      <c r="J342" s="6" t="s">
        <v>767</v>
      </c>
      <c r="K342" s="7">
        <v>6064933</v>
      </c>
      <c r="L342" s="7">
        <v>284233</v>
      </c>
      <c r="M342" s="7">
        <v>19</v>
      </c>
      <c r="N342" s="7">
        <v>1</v>
      </c>
      <c r="O342" s="7">
        <v>4</v>
      </c>
    </row>
    <row r="343" spans="1:15" x14ac:dyDescent="0.25">
      <c r="A343" s="6" t="s">
        <v>28</v>
      </c>
      <c r="B343" s="6" t="s">
        <v>165</v>
      </c>
      <c r="C343" s="7">
        <v>32886</v>
      </c>
      <c r="D343" s="6" t="s">
        <v>39</v>
      </c>
      <c r="E343" s="6" t="s">
        <v>169</v>
      </c>
      <c r="F343" s="6" t="s">
        <v>169</v>
      </c>
      <c r="G343" s="6" t="s">
        <v>32</v>
      </c>
      <c r="H343" s="6" t="s">
        <v>33</v>
      </c>
      <c r="I343" s="6" t="s">
        <v>767</v>
      </c>
      <c r="J343" s="6" t="s">
        <v>767</v>
      </c>
      <c r="K343" s="7">
        <v>6067294</v>
      </c>
      <c r="L343" s="7">
        <v>255684</v>
      </c>
      <c r="M343" s="7">
        <v>19</v>
      </c>
      <c r="N343" s="7">
        <v>2</v>
      </c>
      <c r="O343" s="7">
        <v>13.2</v>
      </c>
    </row>
    <row r="344" spans="1:15" x14ac:dyDescent="0.25">
      <c r="A344" s="6" t="s">
        <v>28</v>
      </c>
      <c r="B344" s="6" t="s">
        <v>165</v>
      </c>
      <c r="C344" s="7">
        <v>32887</v>
      </c>
      <c r="D344" s="6" t="s">
        <v>39</v>
      </c>
      <c r="E344" s="6" t="s">
        <v>169</v>
      </c>
      <c r="F344" s="6" t="s">
        <v>169</v>
      </c>
      <c r="G344" s="6" t="s">
        <v>32</v>
      </c>
      <c r="H344" s="6" t="s">
        <v>33</v>
      </c>
      <c r="I344" s="6" t="s">
        <v>767</v>
      </c>
      <c r="J344" s="6" t="s">
        <v>767</v>
      </c>
      <c r="K344" s="7">
        <v>6067395</v>
      </c>
      <c r="L344" s="7">
        <v>256231</v>
      </c>
      <c r="M344" s="7">
        <v>19</v>
      </c>
      <c r="N344" s="7">
        <v>2</v>
      </c>
      <c r="O344" s="7">
        <v>19.5</v>
      </c>
    </row>
    <row r="345" spans="1:15" x14ac:dyDescent="0.25">
      <c r="A345" s="6" t="s">
        <v>28</v>
      </c>
      <c r="B345" s="6" t="s">
        <v>165</v>
      </c>
      <c r="C345" s="7">
        <v>32891</v>
      </c>
      <c r="D345" s="6" t="s">
        <v>39</v>
      </c>
      <c r="E345" s="6" t="s">
        <v>53</v>
      </c>
      <c r="F345" s="6" t="s">
        <v>190</v>
      </c>
      <c r="G345" s="6" t="s">
        <v>32</v>
      </c>
      <c r="H345" s="6" t="s">
        <v>33</v>
      </c>
      <c r="I345" s="6" t="s">
        <v>767</v>
      </c>
      <c r="J345" s="6" t="s">
        <v>764</v>
      </c>
      <c r="K345" s="7">
        <v>6137901</v>
      </c>
      <c r="L345" s="7">
        <v>312135</v>
      </c>
      <c r="M345" s="7">
        <v>19</v>
      </c>
      <c r="N345" s="7">
        <v>2</v>
      </c>
      <c r="O345" s="7">
        <v>25</v>
      </c>
    </row>
    <row r="346" spans="1:15" x14ac:dyDescent="0.25">
      <c r="A346" s="6" t="s">
        <v>14</v>
      </c>
      <c r="B346" s="6" t="s">
        <v>165</v>
      </c>
      <c r="C346" s="7">
        <v>32894</v>
      </c>
      <c r="D346" s="6" t="s">
        <v>39</v>
      </c>
      <c r="E346" s="6" t="s">
        <v>179</v>
      </c>
      <c r="F346" s="6" t="s">
        <v>179</v>
      </c>
      <c r="G346" s="6" t="s">
        <v>32</v>
      </c>
      <c r="H346" s="6" t="s">
        <v>33</v>
      </c>
      <c r="I346" s="6" t="s">
        <v>764</v>
      </c>
      <c r="J346" s="6" t="s">
        <v>767</v>
      </c>
      <c r="K346" s="7">
        <v>6130698</v>
      </c>
      <c r="L346" s="7">
        <v>307950</v>
      </c>
      <c r="M346" s="7">
        <v>19</v>
      </c>
      <c r="N346" s="7">
        <v>1</v>
      </c>
      <c r="O346" s="7">
        <v>11.7</v>
      </c>
    </row>
    <row r="347" spans="1:15" x14ac:dyDescent="0.25">
      <c r="A347" s="6" t="s">
        <v>28</v>
      </c>
      <c r="B347" s="6" t="s">
        <v>165</v>
      </c>
      <c r="C347" s="7">
        <v>32895</v>
      </c>
      <c r="D347" s="6" t="s">
        <v>39</v>
      </c>
      <c r="E347" s="6" t="s">
        <v>179</v>
      </c>
      <c r="F347" s="6" t="s">
        <v>179</v>
      </c>
      <c r="G347" s="6" t="s">
        <v>32</v>
      </c>
      <c r="H347" s="6" t="s">
        <v>33</v>
      </c>
      <c r="I347" s="6" t="s">
        <v>767</v>
      </c>
      <c r="J347" s="6" t="s">
        <v>764</v>
      </c>
      <c r="K347" s="7">
        <v>6130511</v>
      </c>
      <c r="L347" s="7">
        <v>312282</v>
      </c>
      <c r="M347" s="7">
        <v>19</v>
      </c>
      <c r="N347" s="7">
        <v>1</v>
      </c>
      <c r="O347" s="7">
        <v>16.8</v>
      </c>
    </row>
    <row r="348" spans="1:15" x14ac:dyDescent="0.25">
      <c r="A348" s="6" t="s">
        <v>28</v>
      </c>
      <c r="B348" s="6" t="s">
        <v>165</v>
      </c>
      <c r="C348" s="7">
        <v>32901</v>
      </c>
      <c r="D348" s="6" t="s">
        <v>39</v>
      </c>
      <c r="E348" s="6" t="s">
        <v>159</v>
      </c>
      <c r="F348" s="6" t="s">
        <v>204</v>
      </c>
      <c r="G348" s="6" t="s">
        <v>32</v>
      </c>
      <c r="H348" s="6" t="s">
        <v>33</v>
      </c>
      <c r="I348" s="6" t="s">
        <v>767</v>
      </c>
      <c r="J348" s="6" t="s">
        <v>764</v>
      </c>
      <c r="K348" s="7">
        <v>5981000</v>
      </c>
      <c r="L348" s="7">
        <v>252846</v>
      </c>
      <c r="M348" s="7">
        <v>19</v>
      </c>
      <c r="N348" s="7">
        <v>1</v>
      </c>
      <c r="O348" s="7">
        <v>30</v>
      </c>
    </row>
    <row r="349" spans="1:15" x14ac:dyDescent="0.25">
      <c r="A349" s="6" t="s">
        <v>14</v>
      </c>
      <c r="B349" s="6" t="s">
        <v>165</v>
      </c>
      <c r="C349" s="7">
        <v>32906</v>
      </c>
      <c r="D349" s="6" t="s">
        <v>39</v>
      </c>
      <c r="E349" s="6" t="s">
        <v>107</v>
      </c>
      <c r="F349" s="6" t="s">
        <v>107</v>
      </c>
      <c r="G349" s="6" t="s">
        <v>32</v>
      </c>
      <c r="H349" s="6" t="s">
        <v>33</v>
      </c>
      <c r="I349" s="6" t="s">
        <v>767</v>
      </c>
      <c r="J349" s="6" t="s">
        <v>764</v>
      </c>
      <c r="K349" s="7">
        <v>6085812</v>
      </c>
      <c r="L349" s="7">
        <v>244962</v>
      </c>
      <c r="M349" s="7">
        <v>19</v>
      </c>
      <c r="N349" s="7">
        <v>1</v>
      </c>
      <c r="O349" s="7">
        <v>20</v>
      </c>
    </row>
    <row r="350" spans="1:15" x14ac:dyDescent="0.25">
      <c r="A350" s="6" t="s">
        <v>28</v>
      </c>
      <c r="B350" s="6" t="s">
        <v>165</v>
      </c>
      <c r="C350" s="7">
        <v>32958</v>
      </c>
      <c r="D350" s="6" t="s">
        <v>42</v>
      </c>
      <c r="E350" s="6" t="s">
        <v>51</v>
      </c>
      <c r="F350" s="6" t="s">
        <v>205</v>
      </c>
      <c r="G350" s="6" t="s">
        <v>32</v>
      </c>
      <c r="H350" s="6" t="s">
        <v>33</v>
      </c>
      <c r="I350" s="6" t="s">
        <v>767</v>
      </c>
      <c r="J350" s="6" t="s">
        <v>764</v>
      </c>
      <c r="K350" s="7">
        <v>6157865</v>
      </c>
      <c r="L350" s="7">
        <v>311184</v>
      </c>
      <c r="M350" s="7">
        <v>19</v>
      </c>
      <c r="N350" s="7">
        <v>1</v>
      </c>
      <c r="O350" s="7">
        <v>10</v>
      </c>
    </row>
    <row r="351" spans="1:15" x14ac:dyDescent="0.25">
      <c r="A351" s="6" t="s">
        <v>28</v>
      </c>
      <c r="B351" s="6" t="s">
        <v>165</v>
      </c>
      <c r="C351" s="7">
        <v>32992</v>
      </c>
      <c r="D351" s="6" t="s">
        <v>39</v>
      </c>
      <c r="E351" s="6" t="s">
        <v>206</v>
      </c>
      <c r="F351" s="6" t="s">
        <v>206</v>
      </c>
      <c r="G351" s="6" t="s">
        <v>32</v>
      </c>
      <c r="H351" s="6" t="s">
        <v>33</v>
      </c>
      <c r="I351" s="6" t="s">
        <v>767</v>
      </c>
      <c r="J351" s="6" t="s">
        <v>767</v>
      </c>
      <c r="K351" s="7">
        <v>6008082</v>
      </c>
      <c r="L351" s="7">
        <v>251036</v>
      </c>
      <c r="M351" s="7">
        <v>19</v>
      </c>
      <c r="N351" s="7">
        <v>1</v>
      </c>
      <c r="O351" s="7">
        <v>46</v>
      </c>
    </row>
    <row r="352" spans="1:15" x14ac:dyDescent="0.25">
      <c r="A352" s="6" t="s">
        <v>28</v>
      </c>
      <c r="B352" s="6" t="s">
        <v>165</v>
      </c>
      <c r="C352" s="7">
        <v>32997</v>
      </c>
      <c r="D352" s="6" t="s">
        <v>39</v>
      </c>
      <c r="E352" s="6" t="s">
        <v>72</v>
      </c>
      <c r="F352" s="6" t="s">
        <v>208</v>
      </c>
      <c r="G352" s="6" t="s">
        <v>32</v>
      </c>
      <c r="H352" s="6" t="s">
        <v>19</v>
      </c>
      <c r="I352" s="6" t="s">
        <v>767</v>
      </c>
      <c r="J352" s="6" t="s">
        <v>767</v>
      </c>
      <c r="K352" s="7">
        <v>6072078</v>
      </c>
      <c r="L352" s="7">
        <v>278375</v>
      </c>
      <c r="M352" s="7">
        <v>19</v>
      </c>
      <c r="N352" s="7">
        <v>1</v>
      </c>
      <c r="O352" s="7">
        <v>1</v>
      </c>
    </row>
    <row r="353" spans="1:15" x14ac:dyDescent="0.25">
      <c r="A353" s="6" t="s">
        <v>28</v>
      </c>
      <c r="B353" s="6" t="s">
        <v>165</v>
      </c>
      <c r="C353" s="7">
        <v>33002</v>
      </c>
      <c r="D353" s="6" t="s">
        <v>39</v>
      </c>
      <c r="E353" s="6" t="s">
        <v>169</v>
      </c>
      <c r="F353" s="6" t="s">
        <v>169</v>
      </c>
      <c r="G353" s="6" t="s">
        <v>32</v>
      </c>
      <c r="H353" s="6" t="s">
        <v>19</v>
      </c>
      <c r="I353" s="6" t="s">
        <v>767</v>
      </c>
      <c r="J353" s="6" t="s">
        <v>767</v>
      </c>
      <c r="K353" s="7">
        <v>6063309</v>
      </c>
      <c r="L353" s="7">
        <v>246075</v>
      </c>
      <c r="M353" s="7">
        <v>19</v>
      </c>
      <c r="N353" s="7">
        <v>1</v>
      </c>
      <c r="O353" s="7">
        <v>4.9000000000000004</v>
      </c>
    </row>
    <row r="354" spans="1:15" x14ac:dyDescent="0.25">
      <c r="A354" s="6" t="s">
        <v>28</v>
      </c>
      <c r="B354" s="6" t="s">
        <v>165</v>
      </c>
      <c r="C354" s="7">
        <v>33013</v>
      </c>
      <c r="D354" s="6" t="s">
        <v>39</v>
      </c>
      <c r="E354" s="6" t="s">
        <v>173</v>
      </c>
      <c r="F354" s="6" t="s">
        <v>175</v>
      </c>
      <c r="G354" s="6" t="s">
        <v>32</v>
      </c>
      <c r="H354" s="6" t="s">
        <v>33</v>
      </c>
      <c r="I354" s="6" t="s">
        <v>767</v>
      </c>
      <c r="J354" s="6" t="s">
        <v>764</v>
      </c>
      <c r="K354" s="7">
        <v>6055045</v>
      </c>
      <c r="L354" s="7">
        <v>275781</v>
      </c>
      <c r="M354" s="7">
        <v>19</v>
      </c>
      <c r="N354" s="7">
        <v>1</v>
      </c>
      <c r="O354" s="7">
        <v>7</v>
      </c>
    </row>
    <row r="355" spans="1:15" x14ac:dyDescent="0.25">
      <c r="A355" s="6" t="s">
        <v>28</v>
      </c>
      <c r="B355" s="6" t="s">
        <v>165</v>
      </c>
      <c r="C355" s="7">
        <v>33020</v>
      </c>
      <c r="D355" s="6" t="s">
        <v>39</v>
      </c>
      <c r="E355" s="6" t="s">
        <v>80</v>
      </c>
      <c r="F355" s="6" t="s">
        <v>80</v>
      </c>
      <c r="G355" s="6" t="s">
        <v>32</v>
      </c>
      <c r="H355" s="6" t="s">
        <v>33</v>
      </c>
      <c r="I355" s="6" t="s">
        <v>767</v>
      </c>
      <c r="J355" s="6" t="s">
        <v>764</v>
      </c>
      <c r="K355" s="7">
        <v>6080707</v>
      </c>
      <c r="L355" s="7">
        <v>282222</v>
      </c>
      <c r="M355" s="7">
        <v>19</v>
      </c>
      <c r="N355" s="7">
        <v>1</v>
      </c>
      <c r="O355" s="7">
        <v>11.7</v>
      </c>
    </row>
    <row r="356" spans="1:15" x14ac:dyDescent="0.25">
      <c r="A356" s="6" t="s">
        <v>28</v>
      </c>
      <c r="B356" s="6" t="s">
        <v>165</v>
      </c>
      <c r="C356" s="7">
        <v>33027</v>
      </c>
      <c r="D356" s="6" t="s">
        <v>39</v>
      </c>
      <c r="E356" s="6" t="s">
        <v>72</v>
      </c>
      <c r="F356" s="6" t="s">
        <v>203</v>
      </c>
      <c r="G356" s="6" t="s">
        <v>32</v>
      </c>
      <c r="H356" s="6" t="s">
        <v>33</v>
      </c>
      <c r="I356" s="6" t="s">
        <v>767</v>
      </c>
      <c r="J356" s="6" t="s">
        <v>767</v>
      </c>
      <c r="K356" s="7">
        <v>6071436</v>
      </c>
      <c r="L356" s="7">
        <v>278099</v>
      </c>
      <c r="M356" s="7">
        <v>19</v>
      </c>
      <c r="N356" s="7">
        <v>1</v>
      </c>
      <c r="O356" s="7">
        <v>30</v>
      </c>
    </row>
    <row r="357" spans="1:15" x14ac:dyDescent="0.25">
      <c r="A357" s="6" t="s">
        <v>28</v>
      </c>
      <c r="B357" s="6" t="s">
        <v>165</v>
      </c>
      <c r="C357" s="7">
        <v>33039</v>
      </c>
      <c r="D357" s="6" t="s">
        <v>39</v>
      </c>
      <c r="E357" s="6" t="s">
        <v>53</v>
      </c>
      <c r="F357" s="6" t="s">
        <v>190</v>
      </c>
      <c r="G357" s="6" t="s">
        <v>32</v>
      </c>
      <c r="H357" s="6" t="s">
        <v>33</v>
      </c>
      <c r="I357" s="6" t="s">
        <v>767</v>
      </c>
      <c r="J357" s="6" t="s">
        <v>764</v>
      </c>
      <c r="K357" s="7">
        <v>6138163</v>
      </c>
      <c r="L357" s="7">
        <v>312517</v>
      </c>
      <c r="M357" s="7">
        <v>19</v>
      </c>
      <c r="N357" s="7">
        <v>1</v>
      </c>
      <c r="O357" s="7">
        <v>9</v>
      </c>
    </row>
    <row r="358" spans="1:15" x14ac:dyDescent="0.25">
      <c r="A358" s="6" t="s">
        <v>28</v>
      </c>
      <c r="B358" s="6" t="s">
        <v>165</v>
      </c>
      <c r="C358" s="7">
        <v>33044</v>
      </c>
      <c r="D358" s="6" t="s">
        <v>39</v>
      </c>
      <c r="E358" s="6" t="s">
        <v>53</v>
      </c>
      <c r="F358" s="6" t="s">
        <v>190</v>
      </c>
      <c r="G358" s="6" t="s">
        <v>32</v>
      </c>
      <c r="H358" s="6" t="s">
        <v>33</v>
      </c>
      <c r="I358" s="6" t="s">
        <v>767</v>
      </c>
      <c r="J358" s="6" t="s">
        <v>764</v>
      </c>
      <c r="K358" s="7">
        <v>6135071</v>
      </c>
      <c r="L358" s="7">
        <v>317530</v>
      </c>
      <c r="M358" s="7">
        <v>19</v>
      </c>
      <c r="N358" s="7">
        <v>1</v>
      </c>
      <c r="O358" s="7">
        <v>9</v>
      </c>
    </row>
    <row r="359" spans="1:15" x14ac:dyDescent="0.25">
      <c r="A359" s="6" t="s">
        <v>28</v>
      </c>
      <c r="B359" s="6" t="s">
        <v>165</v>
      </c>
      <c r="C359" s="7">
        <v>33134</v>
      </c>
      <c r="D359" s="6" t="s">
        <v>39</v>
      </c>
      <c r="E359" s="6" t="s">
        <v>72</v>
      </c>
      <c r="F359" s="6" t="s">
        <v>166</v>
      </c>
      <c r="G359" s="6" t="s">
        <v>32</v>
      </c>
      <c r="H359" s="6" t="s">
        <v>19</v>
      </c>
      <c r="I359" s="6" t="s">
        <v>767</v>
      </c>
      <c r="J359" s="6" t="s">
        <v>767</v>
      </c>
      <c r="K359" s="7">
        <v>6058709</v>
      </c>
      <c r="L359" s="7">
        <v>271468</v>
      </c>
      <c r="M359" s="7">
        <v>19</v>
      </c>
      <c r="N359" s="7">
        <v>1</v>
      </c>
      <c r="O359" s="7">
        <v>1.6</v>
      </c>
    </row>
    <row r="360" spans="1:15" x14ac:dyDescent="0.25">
      <c r="A360" s="6" t="s">
        <v>28</v>
      </c>
      <c r="B360" s="6" t="s">
        <v>165</v>
      </c>
      <c r="C360" s="7">
        <v>33135</v>
      </c>
      <c r="D360" s="6" t="s">
        <v>39</v>
      </c>
      <c r="E360" s="6" t="s">
        <v>177</v>
      </c>
      <c r="F360" s="6" t="s">
        <v>177</v>
      </c>
      <c r="G360" s="6" t="s">
        <v>32</v>
      </c>
      <c r="H360" s="6" t="s">
        <v>33</v>
      </c>
      <c r="I360" s="6" t="s">
        <v>767</v>
      </c>
      <c r="J360" s="6" t="s">
        <v>764</v>
      </c>
      <c r="K360" s="7">
        <v>6048746</v>
      </c>
      <c r="L360" s="7">
        <v>278461</v>
      </c>
      <c r="M360" s="7">
        <v>19</v>
      </c>
      <c r="N360" s="7">
        <v>1</v>
      </c>
      <c r="O360" s="7">
        <v>11</v>
      </c>
    </row>
    <row r="361" spans="1:15" x14ac:dyDescent="0.25">
      <c r="A361" s="6" t="s">
        <v>14</v>
      </c>
      <c r="B361" s="6" t="s">
        <v>165</v>
      </c>
      <c r="C361" s="7">
        <v>33142</v>
      </c>
      <c r="D361" s="6" t="s">
        <v>39</v>
      </c>
      <c r="E361" s="6" t="s">
        <v>179</v>
      </c>
      <c r="F361" s="6" t="s">
        <v>179</v>
      </c>
      <c r="G361" s="6" t="s">
        <v>32</v>
      </c>
      <c r="H361" s="6" t="s">
        <v>33</v>
      </c>
      <c r="I361" s="6" t="s">
        <v>764</v>
      </c>
      <c r="J361" s="6" t="s">
        <v>767</v>
      </c>
      <c r="K361" s="7">
        <v>6129499</v>
      </c>
      <c r="L361" s="7">
        <v>307956</v>
      </c>
      <c r="M361" s="7">
        <v>19</v>
      </c>
      <c r="N361" s="7">
        <v>1</v>
      </c>
      <c r="O361" s="7">
        <v>5.7</v>
      </c>
    </row>
    <row r="362" spans="1:15" x14ac:dyDescent="0.25">
      <c r="A362" s="6" t="s">
        <v>14</v>
      </c>
      <c r="B362" s="6" t="s">
        <v>165</v>
      </c>
      <c r="C362" s="7">
        <v>33145</v>
      </c>
      <c r="D362" s="6" t="s">
        <v>39</v>
      </c>
      <c r="E362" s="6" t="s">
        <v>53</v>
      </c>
      <c r="F362" s="6" t="s">
        <v>53</v>
      </c>
      <c r="G362" s="6" t="s">
        <v>32</v>
      </c>
      <c r="H362" s="6" t="s">
        <v>33</v>
      </c>
      <c r="I362" s="6" t="s">
        <v>767</v>
      </c>
      <c r="J362" s="6" t="s">
        <v>764</v>
      </c>
      <c r="K362" s="7">
        <v>6140166</v>
      </c>
      <c r="L362" s="7">
        <v>310252</v>
      </c>
      <c r="M362" s="7">
        <v>19</v>
      </c>
      <c r="N362" s="7">
        <v>1</v>
      </c>
      <c r="O362" s="7">
        <v>12.75</v>
      </c>
    </row>
    <row r="363" spans="1:15" x14ac:dyDescent="0.25">
      <c r="A363" s="6" t="s">
        <v>14</v>
      </c>
      <c r="B363" s="6" t="s">
        <v>165</v>
      </c>
      <c r="C363" s="7">
        <v>33146</v>
      </c>
      <c r="D363" s="6" t="s">
        <v>39</v>
      </c>
      <c r="E363" s="6" t="s">
        <v>179</v>
      </c>
      <c r="F363" s="6" t="s">
        <v>179</v>
      </c>
      <c r="G363" s="6" t="s">
        <v>32</v>
      </c>
      <c r="H363" s="6" t="s">
        <v>33</v>
      </c>
      <c r="I363" s="6" t="s">
        <v>764</v>
      </c>
      <c r="J363" s="6" t="s">
        <v>767</v>
      </c>
      <c r="K363" s="7">
        <v>6129499</v>
      </c>
      <c r="L363" s="7">
        <v>307956</v>
      </c>
      <c r="M363" s="7">
        <v>19</v>
      </c>
      <c r="N363" s="7">
        <v>1</v>
      </c>
      <c r="O363" s="7">
        <v>2</v>
      </c>
    </row>
    <row r="364" spans="1:15" x14ac:dyDescent="0.25">
      <c r="A364" s="6" t="s">
        <v>28</v>
      </c>
      <c r="B364" s="6" t="s">
        <v>165</v>
      </c>
      <c r="C364" s="7">
        <v>33148</v>
      </c>
      <c r="D364" s="6" t="s">
        <v>39</v>
      </c>
      <c r="E364" s="6" t="s">
        <v>72</v>
      </c>
      <c r="F364" s="6" t="s">
        <v>73</v>
      </c>
      <c r="G364" s="6" t="s">
        <v>32</v>
      </c>
      <c r="H364" s="6" t="s">
        <v>33</v>
      </c>
      <c r="I364" s="6" t="s">
        <v>767</v>
      </c>
      <c r="J364" s="6" t="s">
        <v>764</v>
      </c>
      <c r="K364" s="7">
        <v>6073328</v>
      </c>
      <c r="L364" s="7">
        <v>289712</v>
      </c>
      <c r="M364" s="7">
        <v>19</v>
      </c>
      <c r="N364" s="7">
        <v>1</v>
      </c>
      <c r="O364" s="7">
        <v>9</v>
      </c>
    </row>
    <row r="365" spans="1:15" x14ac:dyDescent="0.25">
      <c r="A365" s="6" t="s">
        <v>28</v>
      </c>
      <c r="B365" s="6" t="s">
        <v>165</v>
      </c>
      <c r="C365" s="7">
        <v>33149</v>
      </c>
      <c r="D365" s="6" t="s">
        <v>39</v>
      </c>
      <c r="E365" s="6" t="s">
        <v>80</v>
      </c>
      <c r="F365" s="6" t="s">
        <v>80</v>
      </c>
      <c r="G365" s="6" t="s">
        <v>32</v>
      </c>
      <c r="H365" s="6" t="s">
        <v>33</v>
      </c>
      <c r="I365" s="6" t="s">
        <v>767</v>
      </c>
      <c r="J365" s="6" t="s">
        <v>764</v>
      </c>
      <c r="K365" s="7">
        <v>6082716</v>
      </c>
      <c r="L365" s="7">
        <v>273063</v>
      </c>
      <c r="M365" s="7">
        <v>19</v>
      </c>
      <c r="N365" s="7">
        <v>1</v>
      </c>
      <c r="O365" s="7">
        <v>2.2000000000000002</v>
      </c>
    </row>
    <row r="366" spans="1:15" x14ac:dyDescent="0.25">
      <c r="A366" s="6" t="s">
        <v>28</v>
      </c>
      <c r="B366" s="6" t="s">
        <v>165</v>
      </c>
      <c r="C366" s="7">
        <v>33151</v>
      </c>
      <c r="D366" s="6" t="s">
        <v>39</v>
      </c>
      <c r="E366" s="6" t="s">
        <v>72</v>
      </c>
      <c r="F366" s="6" t="s">
        <v>72</v>
      </c>
      <c r="G366" s="6" t="s">
        <v>32</v>
      </c>
      <c r="H366" s="6" t="s">
        <v>33</v>
      </c>
      <c r="I366" s="6" t="s">
        <v>767</v>
      </c>
      <c r="J366" s="6" t="s">
        <v>764</v>
      </c>
      <c r="K366" s="7">
        <v>6072614</v>
      </c>
      <c r="L366" s="7">
        <v>278544</v>
      </c>
      <c r="M366" s="7">
        <v>19</v>
      </c>
      <c r="N366" s="7">
        <v>1</v>
      </c>
      <c r="O366" s="7">
        <v>21.9</v>
      </c>
    </row>
    <row r="367" spans="1:15" x14ac:dyDescent="0.25">
      <c r="A367" s="6" t="s">
        <v>28</v>
      </c>
      <c r="B367" s="6" t="s">
        <v>165</v>
      </c>
      <c r="C367" s="7">
        <v>33154</v>
      </c>
      <c r="D367" s="6" t="s">
        <v>39</v>
      </c>
      <c r="E367" s="6" t="s">
        <v>72</v>
      </c>
      <c r="F367" s="6" t="s">
        <v>185</v>
      </c>
      <c r="G367" s="6" t="s">
        <v>32</v>
      </c>
      <c r="H367" s="6" t="s">
        <v>33</v>
      </c>
      <c r="I367" s="6" t="s">
        <v>767</v>
      </c>
      <c r="J367" s="6" t="s">
        <v>764</v>
      </c>
      <c r="K367" s="7">
        <v>6069556</v>
      </c>
      <c r="L367" s="7">
        <v>281655</v>
      </c>
      <c r="M367" s="7">
        <v>19</v>
      </c>
      <c r="N367" s="7">
        <v>1</v>
      </c>
      <c r="O367" s="7">
        <v>7.1</v>
      </c>
    </row>
    <row r="368" spans="1:15" x14ac:dyDescent="0.25">
      <c r="A368" s="6" t="s">
        <v>28</v>
      </c>
      <c r="B368" s="6" t="s">
        <v>165</v>
      </c>
      <c r="C368" s="7">
        <v>33159</v>
      </c>
      <c r="D368" s="6" t="s">
        <v>42</v>
      </c>
      <c r="E368" s="6" t="s">
        <v>51</v>
      </c>
      <c r="F368" s="6" t="s">
        <v>205</v>
      </c>
      <c r="G368" s="6" t="s">
        <v>32</v>
      </c>
      <c r="H368" s="6" t="s">
        <v>33</v>
      </c>
      <c r="I368" s="6" t="s">
        <v>767</v>
      </c>
      <c r="J368" s="6" t="s">
        <v>764</v>
      </c>
      <c r="K368" s="7">
        <v>6158058</v>
      </c>
      <c r="L368" s="7">
        <v>310381</v>
      </c>
      <c r="M368" s="7">
        <v>19</v>
      </c>
      <c r="N368" s="7">
        <v>2</v>
      </c>
      <c r="O368" s="7">
        <v>17.5</v>
      </c>
    </row>
    <row r="369" spans="1:15" x14ac:dyDescent="0.25">
      <c r="A369" s="6" t="s">
        <v>28</v>
      </c>
      <c r="B369" s="6" t="s">
        <v>165</v>
      </c>
      <c r="C369" s="7">
        <v>33163</v>
      </c>
      <c r="D369" s="6" t="s">
        <v>42</v>
      </c>
      <c r="E369" s="6" t="s">
        <v>51</v>
      </c>
      <c r="F369" s="6" t="s">
        <v>205</v>
      </c>
      <c r="G369" s="6" t="s">
        <v>32</v>
      </c>
      <c r="H369" s="6" t="s">
        <v>33</v>
      </c>
      <c r="I369" s="6" t="s">
        <v>767</v>
      </c>
      <c r="J369" s="6" t="s">
        <v>764</v>
      </c>
      <c r="K369" s="7">
        <v>6158244</v>
      </c>
      <c r="L369" s="7">
        <v>310635</v>
      </c>
      <c r="M369" s="7">
        <v>19</v>
      </c>
      <c r="N369" s="7">
        <v>2</v>
      </c>
      <c r="O369" s="7">
        <v>14</v>
      </c>
    </row>
    <row r="370" spans="1:15" x14ac:dyDescent="0.25">
      <c r="A370" s="6" t="s">
        <v>28</v>
      </c>
      <c r="B370" s="6" t="s">
        <v>165</v>
      </c>
      <c r="C370" s="7">
        <v>33170</v>
      </c>
      <c r="D370" s="6" t="s">
        <v>42</v>
      </c>
      <c r="E370" s="6" t="s">
        <v>51</v>
      </c>
      <c r="F370" s="6" t="s">
        <v>51</v>
      </c>
      <c r="G370" s="6" t="s">
        <v>32</v>
      </c>
      <c r="H370" s="6" t="s">
        <v>33</v>
      </c>
      <c r="I370" s="6" t="s">
        <v>767</v>
      </c>
      <c r="J370" s="6" t="s">
        <v>764</v>
      </c>
      <c r="K370" s="7">
        <v>6157412</v>
      </c>
      <c r="L370" s="7">
        <v>310157</v>
      </c>
      <c r="M370" s="7">
        <v>19</v>
      </c>
      <c r="N370" s="7">
        <v>1</v>
      </c>
      <c r="O370" s="7">
        <v>10</v>
      </c>
    </row>
    <row r="371" spans="1:15" x14ac:dyDescent="0.25">
      <c r="A371" s="6" t="s">
        <v>28</v>
      </c>
      <c r="B371" s="6" t="s">
        <v>165</v>
      </c>
      <c r="C371" s="7">
        <v>33192</v>
      </c>
      <c r="D371" s="6" t="s">
        <v>42</v>
      </c>
      <c r="E371" s="6" t="s">
        <v>51</v>
      </c>
      <c r="F371" s="6" t="s">
        <v>51</v>
      </c>
      <c r="G371" s="6" t="s">
        <v>32</v>
      </c>
      <c r="H371" s="6" t="s">
        <v>33</v>
      </c>
      <c r="I371" s="6" t="s">
        <v>767</v>
      </c>
      <c r="J371" s="6" t="s">
        <v>764</v>
      </c>
      <c r="K371" s="7">
        <v>6158434</v>
      </c>
      <c r="L371" s="7">
        <v>310953</v>
      </c>
      <c r="M371" s="7">
        <v>19</v>
      </c>
      <c r="N371" s="7">
        <v>2</v>
      </c>
      <c r="O371" s="7">
        <v>14</v>
      </c>
    </row>
    <row r="372" spans="1:15" x14ac:dyDescent="0.25">
      <c r="A372" s="6" t="s">
        <v>28</v>
      </c>
      <c r="B372" s="6" t="s">
        <v>165</v>
      </c>
      <c r="C372" s="7">
        <v>33230</v>
      </c>
      <c r="D372" s="6" t="s">
        <v>42</v>
      </c>
      <c r="E372" s="6" t="s">
        <v>51</v>
      </c>
      <c r="F372" s="6" t="s">
        <v>51</v>
      </c>
      <c r="G372" s="6" t="s">
        <v>32</v>
      </c>
      <c r="H372" s="6" t="s">
        <v>33</v>
      </c>
      <c r="I372" s="6" t="s">
        <v>767</v>
      </c>
      <c r="J372" s="6" t="s">
        <v>764</v>
      </c>
      <c r="K372" s="7">
        <v>6157761</v>
      </c>
      <c r="L372" s="7">
        <v>310726</v>
      </c>
      <c r="M372" s="7">
        <v>19</v>
      </c>
      <c r="N372" s="7">
        <v>1</v>
      </c>
      <c r="O372" s="7">
        <v>1.5</v>
      </c>
    </row>
    <row r="373" spans="1:15" x14ac:dyDescent="0.25">
      <c r="A373" s="6" t="s">
        <v>28</v>
      </c>
      <c r="B373" s="6" t="s">
        <v>165</v>
      </c>
      <c r="C373" s="7">
        <v>33257</v>
      </c>
      <c r="D373" s="6" t="s">
        <v>39</v>
      </c>
      <c r="E373" s="6" t="s">
        <v>53</v>
      </c>
      <c r="F373" s="6" t="s">
        <v>190</v>
      </c>
      <c r="G373" s="6" t="s">
        <v>32</v>
      </c>
      <c r="H373" s="6" t="s">
        <v>33</v>
      </c>
      <c r="I373" s="6" t="s">
        <v>767</v>
      </c>
      <c r="J373" s="6" t="s">
        <v>764</v>
      </c>
      <c r="K373" s="7">
        <v>6134948</v>
      </c>
      <c r="L373" s="7">
        <v>317380</v>
      </c>
      <c r="M373" s="7">
        <v>19</v>
      </c>
      <c r="N373" s="7">
        <v>1</v>
      </c>
      <c r="O373" s="7">
        <v>4.5999999999999996</v>
      </c>
    </row>
    <row r="374" spans="1:15" x14ac:dyDescent="0.25">
      <c r="A374" s="6" t="s">
        <v>28</v>
      </c>
      <c r="B374" s="6" t="s">
        <v>165</v>
      </c>
      <c r="C374" s="7">
        <v>33259</v>
      </c>
      <c r="D374" s="6" t="s">
        <v>39</v>
      </c>
      <c r="E374" s="6" t="s">
        <v>53</v>
      </c>
      <c r="F374" s="6" t="s">
        <v>190</v>
      </c>
      <c r="G374" s="6" t="s">
        <v>32</v>
      </c>
      <c r="H374" s="6" t="s">
        <v>33</v>
      </c>
      <c r="I374" s="6" t="s">
        <v>767</v>
      </c>
      <c r="J374" s="6" t="s">
        <v>764</v>
      </c>
      <c r="K374" s="7">
        <v>6135173</v>
      </c>
      <c r="L374" s="7">
        <v>317734</v>
      </c>
      <c r="M374" s="7">
        <v>19</v>
      </c>
      <c r="N374" s="7">
        <v>1</v>
      </c>
      <c r="O374" s="7">
        <v>5.5</v>
      </c>
    </row>
    <row r="375" spans="1:15" x14ac:dyDescent="0.25">
      <c r="A375" s="6" t="s">
        <v>28</v>
      </c>
      <c r="B375" s="6" t="s">
        <v>165</v>
      </c>
      <c r="C375" s="7">
        <v>33262</v>
      </c>
      <c r="D375" s="6" t="s">
        <v>39</v>
      </c>
      <c r="E375" s="6" t="s">
        <v>80</v>
      </c>
      <c r="F375" s="6" t="s">
        <v>209</v>
      </c>
      <c r="G375" s="6" t="s">
        <v>32</v>
      </c>
      <c r="H375" s="6" t="s">
        <v>33</v>
      </c>
      <c r="I375" s="6" t="s">
        <v>767</v>
      </c>
      <c r="J375" s="6" t="s">
        <v>767</v>
      </c>
      <c r="K375" s="7">
        <v>6084422</v>
      </c>
      <c r="L375" s="7">
        <v>286780</v>
      </c>
      <c r="M375" s="7">
        <v>19</v>
      </c>
      <c r="N375" s="7">
        <v>1</v>
      </c>
      <c r="O375" s="7">
        <v>9</v>
      </c>
    </row>
    <row r="376" spans="1:15" x14ac:dyDescent="0.25">
      <c r="A376" s="6" t="s">
        <v>28</v>
      </c>
      <c r="B376" s="6" t="s">
        <v>165</v>
      </c>
      <c r="C376" s="7">
        <v>33263</v>
      </c>
      <c r="D376" s="6" t="s">
        <v>39</v>
      </c>
      <c r="E376" s="6" t="s">
        <v>72</v>
      </c>
      <c r="F376" s="6" t="s">
        <v>188</v>
      </c>
      <c r="G376" s="6" t="s">
        <v>32</v>
      </c>
      <c r="H376" s="6" t="s">
        <v>33</v>
      </c>
      <c r="I376" s="6" t="s">
        <v>767</v>
      </c>
      <c r="J376" s="6" t="s">
        <v>767</v>
      </c>
      <c r="K376" s="7">
        <v>6073736</v>
      </c>
      <c r="L376" s="7">
        <v>280415</v>
      </c>
      <c r="M376" s="7">
        <v>19</v>
      </c>
      <c r="N376" s="7">
        <v>1</v>
      </c>
      <c r="O376" s="7">
        <v>11.2</v>
      </c>
    </row>
    <row r="377" spans="1:15" x14ac:dyDescent="0.25">
      <c r="A377" s="6" t="s">
        <v>28</v>
      </c>
      <c r="B377" s="6" t="s">
        <v>165</v>
      </c>
      <c r="C377" s="7">
        <v>33265</v>
      </c>
      <c r="D377" s="6" t="s">
        <v>39</v>
      </c>
      <c r="E377" s="6" t="s">
        <v>169</v>
      </c>
      <c r="F377" s="6" t="s">
        <v>169</v>
      </c>
      <c r="G377" s="6" t="s">
        <v>32</v>
      </c>
      <c r="H377" s="6" t="s">
        <v>19</v>
      </c>
      <c r="I377" s="6" t="s">
        <v>767</v>
      </c>
      <c r="J377" s="6" t="s">
        <v>767</v>
      </c>
      <c r="K377" s="7">
        <v>6063659</v>
      </c>
      <c r="L377" s="7">
        <v>258444</v>
      </c>
      <c r="M377" s="7">
        <v>19</v>
      </c>
      <c r="N377" s="7">
        <v>1</v>
      </c>
      <c r="O377" s="7">
        <v>8.1</v>
      </c>
    </row>
    <row r="378" spans="1:15" x14ac:dyDescent="0.25">
      <c r="A378" s="6" t="s">
        <v>28</v>
      </c>
      <c r="B378" s="6" t="s">
        <v>165</v>
      </c>
      <c r="C378" s="7">
        <v>33271</v>
      </c>
      <c r="D378" s="6" t="s">
        <v>39</v>
      </c>
      <c r="E378" s="6" t="s">
        <v>72</v>
      </c>
      <c r="F378" s="6" t="s">
        <v>210</v>
      </c>
      <c r="G378" s="6" t="s">
        <v>32</v>
      </c>
      <c r="H378" s="6" t="s">
        <v>33</v>
      </c>
      <c r="I378" s="6" t="s">
        <v>767</v>
      </c>
      <c r="J378" s="6" t="s">
        <v>764</v>
      </c>
      <c r="K378" s="7">
        <v>6070024</v>
      </c>
      <c r="L378" s="7">
        <v>284717</v>
      </c>
      <c r="M378" s="7">
        <v>19</v>
      </c>
      <c r="N378" s="7">
        <v>1</v>
      </c>
      <c r="O378" s="7">
        <v>11</v>
      </c>
    </row>
    <row r="379" spans="1:15" x14ac:dyDescent="0.25">
      <c r="A379" s="6" t="s">
        <v>14</v>
      </c>
      <c r="B379" s="6" t="s">
        <v>165</v>
      </c>
      <c r="C379" s="7">
        <v>33297</v>
      </c>
      <c r="D379" s="6" t="s">
        <v>39</v>
      </c>
      <c r="E379" s="6" t="s">
        <v>72</v>
      </c>
      <c r="F379" s="6" t="s">
        <v>200</v>
      </c>
      <c r="G379" s="6" t="s">
        <v>32</v>
      </c>
      <c r="H379" s="6" t="s">
        <v>33</v>
      </c>
      <c r="I379" s="6" t="s">
        <v>764</v>
      </c>
      <c r="J379" s="6" t="s">
        <v>767</v>
      </c>
      <c r="K379" s="7">
        <v>6065456</v>
      </c>
      <c r="L379" s="7">
        <v>286901</v>
      </c>
      <c r="M379" s="7">
        <v>19</v>
      </c>
      <c r="N379" s="7">
        <v>1</v>
      </c>
      <c r="O379" s="7">
        <v>9.6</v>
      </c>
    </row>
    <row r="380" spans="1:15" x14ac:dyDescent="0.25">
      <c r="A380" s="6" t="s">
        <v>28</v>
      </c>
      <c r="B380" s="6" t="s">
        <v>165</v>
      </c>
      <c r="C380" s="7">
        <v>33302</v>
      </c>
      <c r="D380" s="6" t="s">
        <v>39</v>
      </c>
      <c r="E380" s="6" t="s">
        <v>72</v>
      </c>
      <c r="F380" s="6" t="s">
        <v>210</v>
      </c>
      <c r="G380" s="6" t="s">
        <v>32</v>
      </c>
      <c r="H380" s="6" t="s">
        <v>33</v>
      </c>
      <c r="I380" s="6" t="s">
        <v>767</v>
      </c>
      <c r="J380" s="6" t="s">
        <v>764</v>
      </c>
      <c r="K380" s="7">
        <v>6066989</v>
      </c>
      <c r="L380" s="7">
        <v>283700</v>
      </c>
      <c r="M380" s="7">
        <v>19</v>
      </c>
      <c r="N380" s="7">
        <v>1</v>
      </c>
      <c r="O380" s="7">
        <v>11.7</v>
      </c>
    </row>
    <row r="381" spans="1:15" x14ac:dyDescent="0.25">
      <c r="A381" s="6" t="s">
        <v>28</v>
      </c>
      <c r="B381" s="6" t="s">
        <v>165</v>
      </c>
      <c r="C381" s="7">
        <v>33309</v>
      </c>
      <c r="D381" s="6" t="s">
        <v>39</v>
      </c>
      <c r="E381" s="6" t="s">
        <v>72</v>
      </c>
      <c r="F381" s="6" t="s">
        <v>211</v>
      </c>
      <c r="G381" s="6" t="s">
        <v>32</v>
      </c>
      <c r="H381" s="6" t="s">
        <v>33</v>
      </c>
      <c r="I381" s="6" t="s">
        <v>767</v>
      </c>
      <c r="J381" s="6" t="s">
        <v>764</v>
      </c>
      <c r="K381" s="7">
        <v>6062947</v>
      </c>
      <c r="L381" s="7">
        <v>281484</v>
      </c>
      <c r="M381" s="7">
        <v>19</v>
      </c>
      <c r="N381" s="7">
        <v>1</v>
      </c>
      <c r="O381" s="7">
        <v>7</v>
      </c>
    </row>
    <row r="382" spans="1:15" x14ac:dyDescent="0.25">
      <c r="A382" s="6" t="s">
        <v>28</v>
      </c>
      <c r="B382" s="6" t="s">
        <v>165</v>
      </c>
      <c r="C382" s="7">
        <v>33311</v>
      </c>
      <c r="D382" s="6" t="s">
        <v>39</v>
      </c>
      <c r="E382" s="6" t="s">
        <v>173</v>
      </c>
      <c r="F382" s="6" t="s">
        <v>173</v>
      </c>
      <c r="G382" s="6" t="s">
        <v>32</v>
      </c>
      <c r="H382" s="6" t="s">
        <v>33</v>
      </c>
      <c r="I382" s="6" t="s">
        <v>767</v>
      </c>
      <c r="J382" s="6" t="s">
        <v>764</v>
      </c>
      <c r="K382" s="7">
        <v>6041727</v>
      </c>
      <c r="L382" s="7">
        <v>274372</v>
      </c>
      <c r="M382" s="7">
        <v>19</v>
      </c>
      <c r="N382" s="7">
        <v>1</v>
      </c>
      <c r="O382" s="7">
        <v>21</v>
      </c>
    </row>
    <row r="383" spans="1:15" x14ac:dyDescent="0.25">
      <c r="A383" s="6" t="s">
        <v>28</v>
      </c>
      <c r="B383" s="6" t="s">
        <v>165</v>
      </c>
      <c r="C383" s="7">
        <v>33313</v>
      </c>
      <c r="D383" s="6" t="s">
        <v>39</v>
      </c>
      <c r="E383" s="6" t="s">
        <v>173</v>
      </c>
      <c r="F383" s="6" t="s">
        <v>173</v>
      </c>
      <c r="G383" s="6" t="s">
        <v>32</v>
      </c>
      <c r="H383" s="6" t="s">
        <v>33</v>
      </c>
      <c r="I383" s="6" t="s">
        <v>767</v>
      </c>
      <c r="J383" s="6" t="s">
        <v>764</v>
      </c>
      <c r="K383" s="7">
        <v>6053051</v>
      </c>
      <c r="L383" s="7">
        <v>266181</v>
      </c>
      <c r="M383" s="7">
        <v>19</v>
      </c>
      <c r="N383" s="7">
        <v>1</v>
      </c>
      <c r="O383" s="7">
        <v>18.5</v>
      </c>
    </row>
    <row r="384" spans="1:15" x14ac:dyDescent="0.25">
      <c r="A384" s="6" t="s">
        <v>28</v>
      </c>
      <c r="B384" s="6" t="s">
        <v>165</v>
      </c>
      <c r="C384" s="7">
        <v>33314</v>
      </c>
      <c r="D384" s="6" t="s">
        <v>39</v>
      </c>
      <c r="E384" s="6" t="s">
        <v>159</v>
      </c>
      <c r="F384" s="6" t="s">
        <v>212</v>
      </c>
      <c r="G384" s="6" t="s">
        <v>32</v>
      </c>
      <c r="H384" s="6" t="s">
        <v>33</v>
      </c>
      <c r="I384" s="6" t="s">
        <v>767</v>
      </c>
      <c r="J384" s="6" t="s">
        <v>764</v>
      </c>
      <c r="K384" s="7">
        <v>5989938</v>
      </c>
      <c r="L384" s="7">
        <v>247190</v>
      </c>
      <c r="M384" s="7">
        <v>19</v>
      </c>
      <c r="N384" s="7">
        <v>1</v>
      </c>
      <c r="O384" s="7">
        <v>34</v>
      </c>
    </row>
    <row r="385" spans="1:15" x14ac:dyDescent="0.25">
      <c r="A385" s="6" t="s">
        <v>28</v>
      </c>
      <c r="B385" s="6" t="s">
        <v>165</v>
      </c>
      <c r="C385" s="7">
        <v>33318</v>
      </c>
      <c r="D385" s="6" t="s">
        <v>39</v>
      </c>
      <c r="E385" s="6" t="s">
        <v>80</v>
      </c>
      <c r="F385" s="6" t="s">
        <v>80</v>
      </c>
      <c r="G385" s="6" t="s">
        <v>32</v>
      </c>
      <c r="H385" s="6" t="s">
        <v>33</v>
      </c>
      <c r="I385" s="6" t="s">
        <v>767</v>
      </c>
      <c r="J385" s="6" t="s">
        <v>764</v>
      </c>
      <c r="K385" s="7">
        <v>6083384</v>
      </c>
      <c r="L385" s="7">
        <v>272369</v>
      </c>
      <c r="M385" s="7">
        <v>19</v>
      </c>
      <c r="N385" s="7">
        <v>1</v>
      </c>
      <c r="O385" s="7">
        <v>36.5</v>
      </c>
    </row>
    <row r="386" spans="1:15" x14ac:dyDescent="0.25">
      <c r="A386" s="6" t="s">
        <v>28</v>
      </c>
      <c r="B386" s="6" t="s">
        <v>165</v>
      </c>
      <c r="C386" s="7">
        <v>33354</v>
      </c>
      <c r="D386" s="6" t="s">
        <v>39</v>
      </c>
      <c r="E386" s="6" t="s">
        <v>53</v>
      </c>
      <c r="F386" s="6" t="s">
        <v>190</v>
      </c>
      <c r="G386" s="6" t="s">
        <v>32</v>
      </c>
      <c r="H386" s="6" t="s">
        <v>33</v>
      </c>
      <c r="I386" s="6" t="s">
        <v>767</v>
      </c>
      <c r="J386" s="6" t="s">
        <v>764</v>
      </c>
      <c r="K386" s="7">
        <v>6140346</v>
      </c>
      <c r="L386" s="7">
        <v>309607</v>
      </c>
      <c r="M386" s="7">
        <v>19</v>
      </c>
      <c r="N386" s="7">
        <v>2</v>
      </c>
      <c r="O386" s="7">
        <v>47.7</v>
      </c>
    </row>
    <row r="387" spans="1:15" x14ac:dyDescent="0.25">
      <c r="A387" s="6" t="s">
        <v>28</v>
      </c>
      <c r="B387" s="6" t="s">
        <v>165</v>
      </c>
      <c r="C387" s="7">
        <v>33356</v>
      </c>
      <c r="D387" s="6" t="s">
        <v>39</v>
      </c>
      <c r="E387" s="6" t="s">
        <v>72</v>
      </c>
      <c r="F387" s="6" t="s">
        <v>210</v>
      </c>
      <c r="G387" s="6" t="s">
        <v>32</v>
      </c>
      <c r="H387" s="6" t="s">
        <v>33</v>
      </c>
      <c r="I387" s="6" t="s">
        <v>767</v>
      </c>
      <c r="J387" s="6" t="s">
        <v>764</v>
      </c>
      <c r="K387" s="7">
        <v>6066351</v>
      </c>
      <c r="L387" s="7">
        <v>283857</v>
      </c>
      <c r="M387" s="7">
        <v>19</v>
      </c>
      <c r="N387" s="7">
        <v>1</v>
      </c>
      <c r="O387" s="7">
        <v>14</v>
      </c>
    </row>
    <row r="388" spans="1:15" x14ac:dyDescent="0.25">
      <c r="A388" s="6" t="s">
        <v>28</v>
      </c>
      <c r="B388" s="6" t="s">
        <v>165</v>
      </c>
      <c r="C388" s="7">
        <v>33357</v>
      </c>
      <c r="D388" s="6" t="s">
        <v>39</v>
      </c>
      <c r="E388" s="6" t="s">
        <v>173</v>
      </c>
      <c r="F388" s="6" t="s">
        <v>173</v>
      </c>
      <c r="G388" s="6" t="s">
        <v>32</v>
      </c>
      <c r="H388" s="6" t="s">
        <v>33</v>
      </c>
      <c r="I388" s="6" t="s">
        <v>767</v>
      </c>
      <c r="J388" s="6" t="s">
        <v>764</v>
      </c>
      <c r="K388" s="7">
        <v>6041348</v>
      </c>
      <c r="L388" s="7">
        <v>274011</v>
      </c>
      <c r="M388" s="7">
        <v>19</v>
      </c>
      <c r="N388" s="7">
        <v>1</v>
      </c>
      <c r="O388" s="7">
        <v>15</v>
      </c>
    </row>
    <row r="389" spans="1:15" x14ac:dyDescent="0.25">
      <c r="A389" s="6" t="s">
        <v>28</v>
      </c>
      <c r="B389" s="6" t="s">
        <v>165</v>
      </c>
      <c r="C389" s="7">
        <v>33360</v>
      </c>
      <c r="D389" s="6" t="s">
        <v>39</v>
      </c>
      <c r="E389" s="6" t="s">
        <v>169</v>
      </c>
      <c r="F389" s="6" t="s">
        <v>169</v>
      </c>
      <c r="G389" s="6" t="s">
        <v>32</v>
      </c>
      <c r="H389" s="6" t="s">
        <v>19</v>
      </c>
      <c r="I389" s="6" t="s">
        <v>767</v>
      </c>
      <c r="J389" s="6" t="s">
        <v>767</v>
      </c>
      <c r="K389" s="7">
        <v>6064766</v>
      </c>
      <c r="L389" s="7">
        <v>257601</v>
      </c>
      <c r="M389" s="7">
        <v>19</v>
      </c>
      <c r="N389" s="7">
        <v>1</v>
      </c>
      <c r="O389" s="7">
        <v>7.3</v>
      </c>
    </row>
    <row r="390" spans="1:15" x14ac:dyDescent="0.25">
      <c r="A390" s="6" t="s">
        <v>28</v>
      </c>
      <c r="B390" s="6" t="s">
        <v>165</v>
      </c>
      <c r="C390" s="7">
        <v>33411</v>
      </c>
      <c r="D390" s="6" t="s">
        <v>39</v>
      </c>
      <c r="E390" s="6" t="s">
        <v>72</v>
      </c>
      <c r="F390" s="6" t="s">
        <v>210</v>
      </c>
      <c r="G390" s="6" t="s">
        <v>32</v>
      </c>
      <c r="H390" s="6" t="s">
        <v>19</v>
      </c>
      <c r="I390" s="6" t="s">
        <v>767</v>
      </c>
      <c r="J390" s="6" t="s">
        <v>767</v>
      </c>
      <c r="K390" s="7">
        <v>6068056</v>
      </c>
      <c r="L390" s="7">
        <v>285158</v>
      </c>
      <c r="M390" s="7">
        <v>19</v>
      </c>
      <c r="N390" s="7">
        <v>1</v>
      </c>
      <c r="O390" s="7">
        <v>1.2</v>
      </c>
    </row>
    <row r="391" spans="1:15" x14ac:dyDescent="0.25">
      <c r="A391" s="6" t="s">
        <v>14</v>
      </c>
      <c r="B391" s="6" t="s">
        <v>165</v>
      </c>
      <c r="C391" s="7">
        <v>33424</v>
      </c>
      <c r="D391" s="6" t="s">
        <v>39</v>
      </c>
      <c r="E391" s="6" t="s">
        <v>80</v>
      </c>
      <c r="F391" s="6" t="s">
        <v>209</v>
      </c>
      <c r="G391" s="6" t="s">
        <v>32</v>
      </c>
      <c r="H391" s="6" t="s">
        <v>33</v>
      </c>
      <c r="I391" s="6" t="s">
        <v>767</v>
      </c>
      <c r="J391" s="6" t="s">
        <v>767</v>
      </c>
      <c r="K391" s="7">
        <v>6083294</v>
      </c>
      <c r="L391" s="7">
        <v>284745</v>
      </c>
      <c r="M391" s="7">
        <v>19</v>
      </c>
      <c r="N391" s="7">
        <v>1</v>
      </c>
      <c r="O391" s="7">
        <v>13.5</v>
      </c>
    </row>
    <row r="392" spans="1:15" x14ac:dyDescent="0.25">
      <c r="A392" s="6" t="s">
        <v>14</v>
      </c>
      <c r="B392" s="6" t="s">
        <v>165</v>
      </c>
      <c r="C392" s="7">
        <v>33425</v>
      </c>
      <c r="D392" s="6" t="s">
        <v>39</v>
      </c>
      <c r="E392" s="6" t="s">
        <v>80</v>
      </c>
      <c r="F392" s="6" t="s">
        <v>80</v>
      </c>
      <c r="G392" s="6" t="s">
        <v>32</v>
      </c>
      <c r="H392" s="6" t="s">
        <v>33</v>
      </c>
      <c r="I392" s="6" t="s">
        <v>767</v>
      </c>
      <c r="J392" s="6" t="s">
        <v>764</v>
      </c>
      <c r="K392" s="7">
        <v>6083419</v>
      </c>
      <c r="L392" s="7">
        <v>276640</v>
      </c>
      <c r="M392" s="7">
        <v>19</v>
      </c>
      <c r="N392" s="7">
        <v>1</v>
      </c>
      <c r="O392" s="7">
        <v>15.1</v>
      </c>
    </row>
    <row r="393" spans="1:15" x14ac:dyDescent="0.25">
      <c r="A393" s="6" t="s">
        <v>28</v>
      </c>
      <c r="B393" s="6" t="s">
        <v>165</v>
      </c>
      <c r="C393" s="7">
        <v>33479</v>
      </c>
      <c r="D393" s="6" t="s">
        <v>39</v>
      </c>
      <c r="E393" s="6" t="s">
        <v>72</v>
      </c>
      <c r="F393" s="6" t="s">
        <v>188</v>
      </c>
      <c r="G393" s="6" t="s">
        <v>32</v>
      </c>
      <c r="H393" s="6" t="s">
        <v>33</v>
      </c>
      <c r="I393" s="6" t="s">
        <v>767</v>
      </c>
      <c r="J393" s="6" t="s">
        <v>764</v>
      </c>
      <c r="K393" s="7">
        <v>6070137</v>
      </c>
      <c r="L393" s="7">
        <v>281263</v>
      </c>
      <c r="M393" s="7">
        <v>19</v>
      </c>
      <c r="N393" s="7">
        <v>1</v>
      </c>
      <c r="O393" s="7">
        <v>23.9</v>
      </c>
    </row>
    <row r="394" spans="1:15" x14ac:dyDescent="0.25">
      <c r="A394" s="6" t="s">
        <v>28</v>
      </c>
      <c r="B394" s="6" t="s">
        <v>165</v>
      </c>
      <c r="C394" s="7">
        <v>33481</v>
      </c>
      <c r="D394" s="6" t="s">
        <v>39</v>
      </c>
      <c r="E394" s="6" t="s">
        <v>72</v>
      </c>
      <c r="F394" s="6" t="s">
        <v>188</v>
      </c>
      <c r="G394" s="6" t="s">
        <v>32</v>
      </c>
      <c r="H394" s="6" t="s">
        <v>33</v>
      </c>
      <c r="I394" s="6" t="s">
        <v>767</v>
      </c>
      <c r="J394" s="6" t="s">
        <v>764</v>
      </c>
      <c r="K394" s="7">
        <v>6070264</v>
      </c>
      <c r="L394" s="7">
        <v>280403</v>
      </c>
      <c r="M394" s="7">
        <v>19</v>
      </c>
      <c r="N394" s="7">
        <v>1</v>
      </c>
      <c r="O394" s="7">
        <v>21</v>
      </c>
    </row>
    <row r="395" spans="1:15" x14ac:dyDescent="0.25">
      <c r="A395" s="6" t="s">
        <v>28</v>
      </c>
      <c r="B395" s="6" t="s">
        <v>165</v>
      </c>
      <c r="C395" s="7">
        <v>33483</v>
      </c>
      <c r="D395" s="6" t="s">
        <v>39</v>
      </c>
      <c r="E395" s="6" t="s">
        <v>72</v>
      </c>
      <c r="F395" s="6" t="s">
        <v>73</v>
      </c>
      <c r="G395" s="6" t="s">
        <v>32</v>
      </c>
      <c r="H395" s="6" t="s">
        <v>33</v>
      </c>
      <c r="I395" s="6" t="s">
        <v>767</v>
      </c>
      <c r="J395" s="6" t="s">
        <v>764</v>
      </c>
      <c r="K395" s="7">
        <v>6073979</v>
      </c>
      <c r="L395" s="7">
        <v>289855</v>
      </c>
      <c r="M395" s="7">
        <v>19</v>
      </c>
      <c r="N395" s="7">
        <v>1</v>
      </c>
      <c r="O395" s="7">
        <v>8.8000000000000007</v>
      </c>
    </row>
    <row r="396" spans="1:15" x14ac:dyDescent="0.25">
      <c r="A396" s="6" t="s">
        <v>28</v>
      </c>
      <c r="B396" s="6" t="s">
        <v>165</v>
      </c>
      <c r="C396" s="7">
        <v>33500</v>
      </c>
      <c r="D396" s="6" t="s">
        <v>39</v>
      </c>
      <c r="E396" s="6" t="s">
        <v>72</v>
      </c>
      <c r="F396" s="6" t="s">
        <v>166</v>
      </c>
      <c r="G396" s="6" t="s">
        <v>32</v>
      </c>
      <c r="H396" s="6" t="s">
        <v>19</v>
      </c>
      <c r="I396" s="6" t="s">
        <v>767</v>
      </c>
      <c r="J396" s="6" t="s">
        <v>767</v>
      </c>
      <c r="K396" s="7">
        <v>6057581</v>
      </c>
      <c r="L396" s="7">
        <v>271589</v>
      </c>
      <c r="M396" s="7">
        <v>19</v>
      </c>
      <c r="N396" s="7">
        <v>1</v>
      </c>
      <c r="O396" s="7">
        <v>0.8</v>
      </c>
    </row>
    <row r="397" spans="1:15" x14ac:dyDescent="0.25">
      <c r="A397" s="6" t="s">
        <v>28</v>
      </c>
      <c r="B397" s="6" t="s">
        <v>165</v>
      </c>
      <c r="C397" s="7">
        <v>33532</v>
      </c>
      <c r="D397" s="6" t="s">
        <v>42</v>
      </c>
      <c r="E397" s="6" t="s">
        <v>51</v>
      </c>
      <c r="F397" s="6" t="s">
        <v>51</v>
      </c>
      <c r="G397" s="6" t="s">
        <v>32</v>
      </c>
      <c r="H397" s="6" t="s">
        <v>33</v>
      </c>
      <c r="I397" s="6" t="s">
        <v>767</v>
      </c>
      <c r="J397" s="6" t="s">
        <v>764</v>
      </c>
      <c r="K397" s="7">
        <v>6148911</v>
      </c>
      <c r="L397" s="7">
        <v>320220</v>
      </c>
      <c r="M397" s="7">
        <v>19</v>
      </c>
      <c r="N397" s="7">
        <v>1</v>
      </c>
      <c r="O397" s="7">
        <v>4.5</v>
      </c>
    </row>
    <row r="398" spans="1:15" x14ac:dyDescent="0.25">
      <c r="A398" s="6" t="s">
        <v>28</v>
      </c>
      <c r="B398" s="6" t="s">
        <v>165</v>
      </c>
      <c r="C398" s="7">
        <v>33537</v>
      </c>
      <c r="D398" s="6" t="s">
        <v>39</v>
      </c>
      <c r="E398" s="6" t="s">
        <v>173</v>
      </c>
      <c r="F398" s="6" t="s">
        <v>173</v>
      </c>
      <c r="G398" s="6" t="s">
        <v>32</v>
      </c>
      <c r="H398" s="6" t="s">
        <v>33</v>
      </c>
      <c r="I398" s="6" t="s">
        <v>767</v>
      </c>
      <c r="J398" s="6" t="s">
        <v>764</v>
      </c>
      <c r="K398" s="7">
        <v>6053035</v>
      </c>
      <c r="L398" s="7">
        <v>266981</v>
      </c>
      <c r="M398" s="7">
        <v>19</v>
      </c>
      <c r="N398" s="7">
        <v>1</v>
      </c>
      <c r="O398" s="7">
        <v>9.5</v>
      </c>
    </row>
    <row r="399" spans="1:15" x14ac:dyDescent="0.25">
      <c r="A399" s="6" t="s">
        <v>28</v>
      </c>
      <c r="B399" s="6" t="s">
        <v>165</v>
      </c>
      <c r="C399" s="7">
        <v>33568</v>
      </c>
      <c r="D399" s="6" t="s">
        <v>39</v>
      </c>
      <c r="E399" s="6" t="s">
        <v>72</v>
      </c>
      <c r="F399" s="6" t="s">
        <v>188</v>
      </c>
      <c r="G399" s="6" t="s">
        <v>32</v>
      </c>
      <c r="H399" s="6" t="s">
        <v>19</v>
      </c>
      <c r="I399" s="6" t="s">
        <v>767</v>
      </c>
      <c r="J399" s="6" t="s">
        <v>767</v>
      </c>
      <c r="K399" s="7">
        <v>6070173</v>
      </c>
      <c r="L399" s="7">
        <v>279563</v>
      </c>
      <c r="M399" s="7">
        <v>19</v>
      </c>
      <c r="N399" s="7">
        <v>1</v>
      </c>
      <c r="O399" s="7">
        <v>2.2999999999999998</v>
      </c>
    </row>
    <row r="400" spans="1:15" x14ac:dyDescent="0.25">
      <c r="A400" s="6" t="s">
        <v>28</v>
      </c>
      <c r="B400" s="6" t="s">
        <v>165</v>
      </c>
      <c r="C400" s="7">
        <v>33608</v>
      </c>
      <c r="D400" s="6" t="s">
        <v>39</v>
      </c>
      <c r="E400" s="6" t="s">
        <v>72</v>
      </c>
      <c r="F400" s="6" t="s">
        <v>171</v>
      </c>
      <c r="G400" s="6" t="s">
        <v>32</v>
      </c>
      <c r="H400" s="6" t="s">
        <v>19</v>
      </c>
      <c r="I400" s="6" t="s">
        <v>767</v>
      </c>
      <c r="J400" s="6" t="s">
        <v>767</v>
      </c>
      <c r="K400" s="7">
        <v>6063411</v>
      </c>
      <c r="L400" s="7">
        <v>292029</v>
      </c>
      <c r="M400" s="7">
        <v>19</v>
      </c>
      <c r="N400" s="7">
        <v>1</v>
      </c>
      <c r="O400" s="7">
        <v>1.6</v>
      </c>
    </row>
    <row r="401" spans="1:15" x14ac:dyDescent="0.25">
      <c r="A401" s="6" t="s">
        <v>28</v>
      </c>
      <c r="B401" s="6" t="s">
        <v>165</v>
      </c>
      <c r="C401" s="7">
        <v>33639</v>
      </c>
      <c r="D401" s="6" t="s">
        <v>42</v>
      </c>
      <c r="E401" s="6" t="s">
        <v>51</v>
      </c>
      <c r="F401" s="6" t="s">
        <v>51</v>
      </c>
      <c r="G401" s="6" t="s">
        <v>32</v>
      </c>
      <c r="H401" s="6" t="s">
        <v>33</v>
      </c>
      <c r="I401" s="6" t="s">
        <v>767</v>
      </c>
      <c r="J401" s="6" t="s">
        <v>764</v>
      </c>
      <c r="K401" s="7">
        <v>6159905</v>
      </c>
      <c r="L401" s="7">
        <v>316222</v>
      </c>
      <c r="M401" s="7">
        <v>19</v>
      </c>
      <c r="N401" s="7">
        <v>2</v>
      </c>
      <c r="O401" s="7">
        <v>15</v>
      </c>
    </row>
    <row r="402" spans="1:15" x14ac:dyDescent="0.25">
      <c r="A402" s="6" t="s">
        <v>28</v>
      </c>
      <c r="B402" s="6" t="s">
        <v>165</v>
      </c>
      <c r="C402" s="7">
        <v>33660</v>
      </c>
      <c r="D402" s="6" t="s">
        <v>42</v>
      </c>
      <c r="E402" s="6" t="s">
        <v>51</v>
      </c>
      <c r="F402" s="6" t="s">
        <v>51</v>
      </c>
      <c r="G402" s="6" t="s">
        <v>32</v>
      </c>
      <c r="H402" s="6" t="s">
        <v>33</v>
      </c>
      <c r="I402" s="6" t="s">
        <v>767</v>
      </c>
      <c r="J402" s="6" t="s">
        <v>764</v>
      </c>
      <c r="K402" s="7">
        <v>6156512</v>
      </c>
      <c r="L402" s="7">
        <v>319199</v>
      </c>
      <c r="M402" s="7">
        <v>19</v>
      </c>
      <c r="N402" s="7">
        <v>1</v>
      </c>
      <c r="O402" s="7">
        <v>11.5</v>
      </c>
    </row>
    <row r="403" spans="1:15" x14ac:dyDescent="0.25">
      <c r="A403" s="6" t="s">
        <v>28</v>
      </c>
      <c r="B403" s="6" t="s">
        <v>165</v>
      </c>
      <c r="C403" s="7">
        <v>33676</v>
      </c>
      <c r="D403" s="6" t="s">
        <v>39</v>
      </c>
      <c r="E403" s="6" t="s">
        <v>72</v>
      </c>
      <c r="F403" s="6" t="s">
        <v>185</v>
      </c>
      <c r="G403" s="6" t="s">
        <v>32</v>
      </c>
      <c r="H403" s="6" t="s">
        <v>19</v>
      </c>
      <c r="I403" s="6" t="s">
        <v>767</v>
      </c>
      <c r="J403" s="6" t="s">
        <v>767</v>
      </c>
      <c r="K403" s="7">
        <v>6071083</v>
      </c>
      <c r="L403" s="7">
        <v>282405</v>
      </c>
      <c r="M403" s="7">
        <v>19</v>
      </c>
      <c r="N403" s="7">
        <v>1</v>
      </c>
      <c r="O403" s="7">
        <v>8.5</v>
      </c>
    </row>
    <row r="404" spans="1:15" x14ac:dyDescent="0.25">
      <c r="A404" s="6" t="s">
        <v>28</v>
      </c>
      <c r="B404" s="6" t="s">
        <v>165</v>
      </c>
      <c r="C404" s="7">
        <v>33679</v>
      </c>
      <c r="D404" s="6" t="s">
        <v>39</v>
      </c>
      <c r="E404" s="6" t="s">
        <v>80</v>
      </c>
      <c r="F404" s="6" t="s">
        <v>80</v>
      </c>
      <c r="G404" s="6" t="s">
        <v>32</v>
      </c>
      <c r="H404" s="6" t="s">
        <v>33</v>
      </c>
      <c r="I404" s="6" t="s">
        <v>767</v>
      </c>
      <c r="J404" s="6" t="s">
        <v>764</v>
      </c>
      <c r="K404" s="7">
        <v>6081633</v>
      </c>
      <c r="L404" s="7">
        <v>282306</v>
      </c>
      <c r="M404" s="7">
        <v>19</v>
      </c>
      <c r="N404" s="7">
        <v>1</v>
      </c>
      <c r="O404" s="7">
        <v>14.5</v>
      </c>
    </row>
    <row r="405" spans="1:15" x14ac:dyDescent="0.25">
      <c r="A405" s="6" t="s">
        <v>14</v>
      </c>
      <c r="B405" s="6" t="s">
        <v>165</v>
      </c>
      <c r="C405" s="7">
        <v>33719</v>
      </c>
      <c r="D405" s="6" t="s">
        <v>39</v>
      </c>
      <c r="E405" s="6" t="s">
        <v>80</v>
      </c>
      <c r="F405" s="6" t="s">
        <v>80</v>
      </c>
      <c r="G405" s="6" t="s">
        <v>32</v>
      </c>
      <c r="H405" s="6" t="s">
        <v>33</v>
      </c>
      <c r="I405" s="6" t="s">
        <v>767</v>
      </c>
      <c r="J405" s="6" t="s">
        <v>764</v>
      </c>
      <c r="K405" s="7">
        <v>6083789</v>
      </c>
      <c r="L405" s="7">
        <v>277000</v>
      </c>
      <c r="M405" s="7">
        <v>19</v>
      </c>
      <c r="N405" s="7">
        <v>1</v>
      </c>
      <c r="O405" s="7">
        <v>4.2</v>
      </c>
    </row>
    <row r="406" spans="1:15" x14ac:dyDescent="0.25">
      <c r="A406" s="6" t="s">
        <v>14</v>
      </c>
      <c r="B406" s="6" t="s">
        <v>165</v>
      </c>
      <c r="C406" s="7">
        <v>33721</v>
      </c>
      <c r="D406" s="6" t="s">
        <v>39</v>
      </c>
      <c r="E406" s="6" t="s">
        <v>80</v>
      </c>
      <c r="F406" s="6" t="s">
        <v>80</v>
      </c>
      <c r="G406" s="6" t="s">
        <v>32</v>
      </c>
      <c r="H406" s="6" t="s">
        <v>33</v>
      </c>
      <c r="I406" s="6" t="s">
        <v>767</v>
      </c>
      <c r="J406" s="6" t="s">
        <v>764</v>
      </c>
      <c r="K406" s="7">
        <v>6083582</v>
      </c>
      <c r="L406" s="7">
        <v>277407</v>
      </c>
      <c r="M406" s="7">
        <v>19</v>
      </c>
      <c r="N406" s="7">
        <v>1</v>
      </c>
      <c r="O406" s="7">
        <v>1.1000000000000001</v>
      </c>
    </row>
    <row r="407" spans="1:15" x14ac:dyDescent="0.25">
      <c r="A407" s="6" t="s">
        <v>28</v>
      </c>
      <c r="B407" s="6" t="s">
        <v>165</v>
      </c>
      <c r="C407" s="7">
        <v>33724</v>
      </c>
      <c r="D407" s="6" t="s">
        <v>42</v>
      </c>
      <c r="E407" s="6" t="s">
        <v>45</v>
      </c>
      <c r="F407" s="6" t="s">
        <v>195</v>
      </c>
      <c r="G407" s="6" t="s">
        <v>32</v>
      </c>
      <c r="H407" s="6" t="s">
        <v>33</v>
      </c>
      <c r="I407" s="6" t="s">
        <v>767</v>
      </c>
      <c r="J407" s="6" t="s">
        <v>764</v>
      </c>
      <c r="K407" s="7">
        <v>6165064</v>
      </c>
      <c r="L407" s="7">
        <v>327956</v>
      </c>
      <c r="M407" s="7">
        <v>19</v>
      </c>
      <c r="N407" s="7">
        <v>1</v>
      </c>
      <c r="O407" s="7">
        <v>19</v>
      </c>
    </row>
    <row r="408" spans="1:15" x14ac:dyDescent="0.25">
      <c r="A408" s="6" t="s">
        <v>14</v>
      </c>
      <c r="B408" s="6" t="s">
        <v>165</v>
      </c>
      <c r="C408" s="7">
        <v>33766</v>
      </c>
      <c r="D408" s="6" t="s">
        <v>39</v>
      </c>
      <c r="E408" s="6" t="s">
        <v>80</v>
      </c>
      <c r="F408" s="6" t="s">
        <v>80</v>
      </c>
      <c r="G408" s="6" t="s">
        <v>32</v>
      </c>
      <c r="H408" s="6" t="s">
        <v>33</v>
      </c>
      <c r="I408" s="6" t="s">
        <v>767</v>
      </c>
      <c r="J408" s="6" t="s">
        <v>767</v>
      </c>
      <c r="K408" s="7">
        <v>6083117</v>
      </c>
      <c r="L408" s="7">
        <v>283054</v>
      </c>
      <c r="M408" s="7">
        <v>19</v>
      </c>
      <c r="N408" s="7">
        <v>1</v>
      </c>
      <c r="O408" s="7">
        <v>12</v>
      </c>
    </row>
    <row r="409" spans="1:15" x14ac:dyDescent="0.25">
      <c r="A409" s="6" t="s">
        <v>28</v>
      </c>
      <c r="B409" s="6" t="s">
        <v>165</v>
      </c>
      <c r="C409" s="7">
        <v>33769</v>
      </c>
      <c r="D409" s="6" t="s">
        <v>39</v>
      </c>
      <c r="E409" s="6" t="s">
        <v>156</v>
      </c>
      <c r="F409" s="6" t="s">
        <v>176</v>
      </c>
      <c r="G409" s="6" t="s">
        <v>32</v>
      </c>
      <c r="H409" s="6" t="s">
        <v>33</v>
      </c>
      <c r="I409" s="6" t="s">
        <v>764</v>
      </c>
      <c r="J409" s="6" t="s">
        <v>767</v>
      </c>
      <c r="K409" s="7">
        <v>6041845</v>
      </c>
      <c r="L409" s="7">
        <v>282190</v>
      </c>
      <c r="M409" s="7">
        <v>19</v>
      </c>
      <c r="N409" s="7">
        <v>1</v>
      </c>
      <c r="O409" s="7">
        <v>11</v>
      </c>
    </row>
    <row r="410" spans="1:15" x14ac:dyDescent="0.25">
      <c r="A410" s="6" t="s">
        <v>28</v>
      </c>
      <c r="B410" s="6" t="s">
        <v>165</v>
      </c>
      <c r="C410" s="7">
        <v>33774</v>
      </c>
      <c r="D410" s="6" t="s">
        <v>39</v>
      </c>
      <c r="E410" s="6" t="s">
        <v>72</v>
      </c>
      <c r="F410" s="6" t="s">
        <v>188</v>
      </c>
      <c r="G410" s="6" t="s">
        <v>32</v>
      </c>
      <c r="H410" s="6" t="s">
        <v>33</v>
      </c>
      <c r="I410" s="6" t="s">
        <v>767</v>
      </c>
      <c r="J410" s="6" t="s">
        <v>764</v>
      </c>
      <c r="K410" s="7">
        <v>6073248</v>
      </c>
      <c r="L410" s="7">
        <v>276161</v>
      </c>
      <c r="M410" s="7">
        <v>19</v>
      </c>
      <c r="N410" s="7">
        <v>1</v>
      </c>
      <c r="O410" s="7">
        <v>27.6</v>
      </c>
    </row>
    <row r="411" spans="1:15" x14ac:dyDescent="0.25">
      <c r="A411" s="6" t="s">
        <v>28</v>
      </c>
      <c r="B411" s="6" t="s">
        <v>165</v>
      </c>
      <c r="C411" s="7">
        <v>33861</v>
      </c>
      <c r="D411" s="6" t="s">
        <v>39</v>
      </c>
      <c r="E411" s="6" t="s">
        <v>72</v>
      </c>
      <c r="F411" s="6" t="s">
        <v>210</v>
      </c>
      <c r="G411" s="6" t="s">
        <v>32</v>
      </c>
      <c r="H411" s="6" t="s">
        <v>33</v>
      </c>
      <c r="I411" s="6" t="s">
        <v>767</v>
      </c>
      <c r="J411" s="6" t="s">
        <v>764</v>
      </c>
      <c r="K411" s="7">
        <v>6069432</v>
      </c>
      <c r="L411" s="7">
        <v>285793</v>
      </c>
      <c r="M411" s="7">
        <v>19</v>
      </c>
      <c r="N411" s="7">
        <v>1</v>
      </c>
      <c r="O411" s="7">
        <v>8.6</v>
      </c>
    </row>
    <row r="412" spans="1:15" x14ac:dyDescent="0.25">
      <c r="A412" s="6" t="s">
        <v>28</v>
      </c>
      <c r="B412" s="6" t="s">
        <v>165</v>
      </c>
      <c r="C412" s="7">
        <v>33869</v>
      </c>
      <c r="D412" s="6" t="s">
        <v>39</v>
      </c>
      <c r="E412" s="6" t="s">
        <v>72</v>
      </c>
      <c r="F412" s="6" t="s">
        <v>200</v>
      </c>
      <c r="G412" s="6" t="s">
        <v>32</v>
      </c>
      <c r="H412" s="6" t="s">
        <v>19</v>
      </c>
      <c r="I412" s="6" t="s">
        <v>767</v>
      </c>
      <c r="J412" s="6" t="s">
        <v>767</v>
      </c>
      <c r="K412" s="7">
        <v>6064560</v>
      </c>
      <c r="L412" s="7">
        <v>283554</v>
      </c>
      <c r="M412" s="7">
        <v>19</v>
      </c>
      <c r="N412" s="7">
        <v>1</v>
      </c>
      <c r="O412" s="7">
        <v>10</v>
      </c>
    </row>
    <row r="413" spans="1:15" x14ac:dyDescent="0.25">
      <c r="A413" s="6" t="s">
        <v>28</v>
      </c>
      <c r="B413" s="6" t="s">
        <v>165</v>
      </c>
      <c r="C413" s="7">
        <v>33883</v>
      </c>
      <c r="D413" s="6" t="s">
        <v>39</v>
      </c>
      <c r="E413" s="6" t="s">
        <v>72</v>
      </c>
      <c r="F413" s="6" t="s">
        <v>166</v>
      </c>
      <c r="G413" s="6" t="s">
        <v>32</v>
      </c>
      <c r="H413" s="6" t="s">
        <v>19</v>
      </c>
      <c r="I413" s="6" t="s">
        <v>767</v>
      </c>
      <c r="J413" s="6" t="s">
        <v>767</v>
      </c>
      <c r="K413" s="7">
        <v>6058709</v>
      </c>
      <c r="L413" s="7">
        <v>269673</v>
      </c>
      <c r="M413" s="7">
        <v>19</v>
      </c>
      <c r="N413" s="7">
        <v>1</v>
      </c>
      <c r="O413" s="7">
        <v>0.59</v>
      </c>
    </row>
    <row r="414" spans="1:15" x14ac:dyDescent="0.25">
      <c r="A414" s="6" t="s">
        <v>14</v>
      </c>
      <c r="B414" s="6" t="s">
        <v>165</v>
      </c>
      <c r="C414" s="7">
        <v>33888</v>
      </c>
      <c r="D414" s="6" t="s">
        <v>39</v>
      </c>
      <c r="E414" s="6" t="s">
        <v>72</v>
      </c>
      <c r="F414" s="6" t="s">
        <v>166</v>
      </c>
      <c r="G414" s="6" t="s">
        <v>32</v>
      </c>
      <c r="H414" s="6" t="s">
        <v>33</v>
      </c>
      <c r="I414" s="6" t="s">
        <v>767</v>
      </c>
      <c r="J414" s="6" t="s">
        <v>767</v>
      </c>
      <c r="K414" s="7">
        <v>6062150</v>
      </c>
      <c r="L414" s="7">
        <v>269203</v>
      </c>
      <c r="M414" s="7">
        <v>19</v>
      </c>
      <c r="N414" s="7">
        <v>1</v>
      </c>
      <c r="O414" s="7">
        <v>10.5</v>
      </c>
    </row>
    <row r="415" spans="1:15" x14ac:dyDescent="0.25">
      <c r="A415" s="6" t="s">
        <v>14</v>
      </c>
      <c r="B415" s="6" t="s">
        <v>165</v>
      </c>
      <c r="C415" s="7">
        <v>33889</v>
      </c>
      <c r="D415" s="6" t="s">
        <v>39</v>
      </c>
      <c r="E415" s="6" t="s">
        <v>156</v>
      </c>
      <c r="F415" s="6" t="s">
        <v>176</v>
      </c>
      <c r="G415" s="6" t="s">
        <v>32</v>
      </c>
      <c r="H415" s="6" t="s">
        <v>33</v>
      </c>
      <c r="I415" s="6" t="s">
        <v>767</v>
      </c>
      <c r="J415" s="6" t="s">
        <v>767</v>
      </c>
      <c r="K415" s="7">
        <v>6042760</v>
      </c>
      <c r="L415" s="7">
        <v>281706</v>
      </c>
      <c r="M415" s="7">
        <v>19</v>
      </c>
      <c r="N415" s="7">
        <v>1</v>
      </c>
      <c r="O415" s="7">
        <v>25</v>
      </c>
    </row>
    <row r="416" spans="1:15" x14ac:dyDescent="0.25">
      <c r="A416" s="6" t="s">
        <v>14</v>
      </c>
      <c r="B416" s="6" t="s">
        <v>165</v>
      </c>
      <c r="C416" s="7">
        <v>33892</v>
      </c>
      <c r="D416" s="6" t="s">
        <v>39</v>
      </c>
      <c r="E416" s="6" t="s">
        <v>80</v>
      </c>
      <c r="F416" s="6" t="s">
        <v>80</v>
      </c>
      <c r="G416" s="6" t="s">
        <v>32</v>
      </c>
      <c r="H416" s="6" t="s">
        <v>33</v>
      </c>
      <c r="I416" s="6" t="s">
        <v>767</v>
      </c>
      <c r="J416" s="6" t="s">
        <v>764</v>
      </c>
      <c r="K416" s="7">
        <v>6083117</v>
      </c>
      <c r="L416" s="7">
        <v>283054</v>
      </c>
      <c r="M416" s="7">
        <v>19</v>
      </c>
      <c r="N416" s="7">
        <v>1</v>
      </c>
      <c r="O416" s="7">
        <v>6.6</v>
      </c>
    </row>
    <row r="417" spans="1:15" x14ac:dyDescent="0.25">
      <c r="A417" s="6" t="s">
        <v>28</v>
      </c>
      <c r="B417" s="6" t="s">
        <v>165</v>
      </c>
      <c r="C417" s="7">
        <v>33906</v>
      </c>
      <c r="D417" s="6" t="s">
        <v>39</v>
      </c>
      <c r="E417" s="6" t="s">
        <v>87</v>
      </c>
      <c r="F417" s="6" t="s">
        <v>213</v>
      </c>
      <c r="G417" s="6" t="s">
        <v>32</v>
      </c>
      <c r="H417" s="6" t="s">
        <v>33</v>
      </c>
      <c r="I417" s="6" t="s">
        <v>767</v>
      </c>
      <c r="J417" s="6" t="s">
        <v>764</v>
      </c>
      <c r="K417" s="7">
        <v>6095072</v>
      </c>
      <c r="L417" s="7">
        <v>290136</v>
      </c>
      <c r="M417" s="7">
        <v>19</v>
      </c>
      <c r="N417" s="7">
        <v>3</v>
      </c>
      <c r="O417" s="7">
        <v>33.1</v>
      </c>
    </row>
    <row r="418" spans="1:15" x14ac:dyDescent="0.25">
      <c r="A418" s="6" t="s">
        <v>28</v>
      </c>
      <c r="B418" s="6" t="s">
        <v>165</v>
      </c>
      <c r="C418" s="7">
        <v>33912</v>
      </c>
      <c r="D418" s="6" t="s">
        <v>39</v>
      </c>
      <c r="E418" s="6" t="s">
        <v>40</v>
      </c>
      <c r="F418" s="6" t="s">
        <v>181</v>
      </c>
      <c r="G418" s="6" t="s">
        <v>32</v>
      </c>
      <c r="H418" s="6" t="s">
        <v>33</v>
      </c>
      <c r="I418" s="6" t="s">
        <v>767</v>
      </c>
      <c r="J418" s="6" t="s">
        <v>764</v>
      </c>
      <c r="K418" s="7">
        <v>6118771</v>
      </c>
      <c r="L418" s="7">
        <v>301399</v>
      </c>
      <c r="M418" s="7">
        <v>19</v>
      </c>
      <c r="N418" s="7">
        <v>1</v>
      </c>
      <c r="O418" s="7">
        <v>35</v>
      </c>
    </row>
    <row r="419" spans="1:15" x14ac:dyDescent="0.25">
      <c r="A419" s="6" t="s">
        <v>28</v>
      </c>
      <c r="B419" s="6" t="s">
        <v>165</v>
      </c>
      <c r="C419" s="7">
        <v>33914</v>
      </c>
      <c r="D419" s="6" t="s">
        <v>39</v>
      </c>
      <c r="E419" s="6" t="s">
        <v>173</v>
      </c>
      <c r="F419" s="6" t="s">
        <v>173</v>
      </c>
      <c r="G419" s="6" t="s">
        <v>32</v>
      </c>
      <c r="H419" s="6" t="s">
        <v>33</v>
      </c>
      <c r="I419" s="6" t="s">
        <v>767</v>
      </c>
      <c r="J419" s="6" t="s">
        <v>764</v>
      </c>
      <c r="K419" s="7">
        <v>6053284</v>
      </c>
      <c r="L419" s="7">
        <v>266556</v>
      </c>
      <c r="M419" s="7">
        <v>19</v>
      </c>
      <c r="N419" s="7">
        <v>1</v>
      </c>
      <c r="O419" s="7">
        <v>8</v>
      </c>
    </row>
    <row r="420" spans="1:15" x14ac:dyDescent="0.25">
      <c r="A420" s="6" t="s">
        <v>14</v>
      </c>
      <c r="B420" s="6" t="s">
        <v>165</v>
      </c>
      <c r="C420" s="7">
        <v>33918</v>
      </c>
      <c r="D420" s="6" t="s">
        <v>39</v>
      </c>
      <c r="E420" s="6" t="s">
        <v>156</v>
      </c>
      <c r="F420" s="6" t="s">
        <v>176</v>
      </c>
      <c r="G420" s="6" t="s">
        <v>32</v>
      </c>
      <c r="H420" s="6" t="s">
        <v>33</v>
      </c>
      <c r="I420" s="6" t="s">
        <v>764</v>
      </c>
      <c r="J420" s="6" t="s">
        <v>767</v>
      </c>
      <c r="K420" s="7">
        <v>6041845</v>
      </c>
      <c r="L420" s="7">
        <v>282190</v>
      </c>
      <c r="M420" s="7">
        <v>19</v>
      </c>
      <c r="N420" s="7">
        <v>1</v>
      </c>
      <c r="O420" s="7">
        <v>13</v>
      </c>
    </row>
    <row r="421" spans="1:15" x14ac:dyDescent="0.25">
      <c r="A421" s="6" t="s">
        <v>28</v>
      </c>
      <c r="B421" s="6" t="s">
        <v>165</v>
      </c>
      <c r="C421" s="7">
        <v>33943</v>
      </c>
      <c r="D421" s="6" t="s">
        <v>42</v>
      </c>
      <c r="E421" s="6" t="s">
        <v>51</v>
      </c>
      <c r="F421" s="6" t="s">
        <v>51</v>
      </c>
      <c r="G421" s="6" t="s">
        <v>32</v>
      </c>
      <c r="H421" s="6" t="s">
        <v>33</v>
      </c>
      <c r="I421" s="6" t="s">
        <v>767</v>
      </c>
      <c r="J421" s="6" t="s">
        <v>764</v>
      </c>
      <c r="K421" s="7">
        <v>6150387</v>
      </c>
      <c r="L421" s="7">
        <v>320583</v>
      </c>
      <c r="M421" s="7">
        <v>19</v>
      </c>
      <c r="N421" s="7">
        <v>1</v>
      </c>
      <c r="O421" s="7">
        <v>7</v>
      </c>
    </row>
    <row r="422" spans="1:15" x14ac:dyDescent="0.25">
      <c r="A422" s="6" t="s">
        <v>28</v>
      </c>
      <c r="B422" s="6" t="s">
        <v>165</v>
      </c>
      <c r="C422" s="7">
        <v>34095</v>
      </c>
      <c r="D422" s="6" t="s">
        <v>39</v>
      </c>
      <c r="E422" s="6" t="s">
        <v>72</v>
      </c>
      <c r="F422" s="6" t="s">
        <v>210</v>
      </c>
      <c r="G422" s="6" t="s">
        <v>32</v>
      </c>
      <c r="H422" s="6" t="s">
        <v>33</v>
      </c>
      <c r="I422" s="6" t="s">
        <v>767</v>
      </c>
      <c r="J422" s="6" t="s">
        <v>764</v>
      </c>
      <c r="K422" s="7">
        <v>6069538</v>
      </c>
      <c r="L422" s="7">
        <v>285903</v>
      </c>
      <c r="M422" s="7">
        <v>19</v>
      </c>
      <c r="N422" s="7">
        <v>1</v>
      </c>
      <c r="O422" s="7">
        <v>10.7</v>
      </c>
    </row>
    <row r="423" spans="1:15" x14ac:dyDescent="0.25">
      <c r="A423" s="6" t="s">
        <v>28</v>
      </c>
      <c r="B423" s="6" t="s">
        <v>165</v>
      </c>
      <c r="C423" s="7">
        <v>34158</v>
      </c>
      <c r="D423" s="6" t="s">
        <v>39</v>
      </c>
      <c r="E423" s="6" t="s">
        <v>72</v>
      </c>
      <c r="F423" s="6" t="s">
        <v>185</v>
      </c>
      <c r="G423" s="6" t="s">
        <v>32</v>
      </c>
      <c r="H423" s="6" t="s">
        <v>19</v>
      </c>
      <c r="I423" s="6" t="s">
        <v>767</v>
      </c>
      <c r="J423" s="6" t="s">
        <v>767</v>
      </c>
      <c r="K423" s="7">
        <v>6063911</v>
      </c>
      <c r="L423" s="7">
        <v>284560</v>
      </c>
      <c r="M423" s="7">
        <v>19</v>
      </c>
      <c r="N423" s="7">
        <v>1</v>
      </c>
      <c r="O423" s="7">
        <v>2.5</v>
      </c>
    </row>
    <row r="424" spans="1:15" x14ac:dyDescent="0.25">
      <c r="A424" s="6" t="s">
        <v>28</v>
      </c>
      <c r="B424" s="6" t="s">
        <v>165</v>
      </c>
      <c r="C424" s="7">
        <v>34168</v>
      </c>
      <c r="D424" s="6" t="s">
        <v>39</v>
      </c>
      <c r="E424" s="6" t="s">
        <v>72</v>
      </c>
      <c r="F424" s="6" t="s">
        <v>200</v>
      </c>
      <c r="G424" s="6" t="s">
        <v>32</v>
      </c>
      <c r="H424" s="6" t="s">
        <v>19</v>
      </c>
      <c r="I424" s="6" t="s">
        <v>767</v>
      </c>
      <c r="J424" s="6" t="s">
        <v>767</v>
      </c>
      <c r="K424" s="7">
        <v>6067463</v>
      </c>
      <c r="L424" s="7">
        <v>286848</v>
      </c>
      <c r="M424" s="7">
        <v>19</v>
      </c>
      <c r="N424" s="7">
        <v>1</v>
      </c>
      <c r="O424" s="7">
        <v>4.3</v>
      </c>
    </row>
    <row r="425" spans="1:15" x14ac:dyDescent="0.25">
      <c r="A425" s="6" t="s">
        <v>28</v>
      </c>
      <c r="B425" s="6" t="s">
        <v>165</v>
      </c>
      <c r="C425" s="7">
        <v>34170</v>
      </c>
      <c r="D425" s="6" t="s">
        <v>39</v>
      </c>
      <c r="E425" s="6" t="s">
        <v>87</v>
      </c>
      <c r="F425" s="6" t="s">
        <v>214</v>
      </c>
      <c r="G425" s="6" t="s">
        <v>32</v>
      </c>
      <c r="H425" s="6" t="s">
        <v>33</v>
      </c>
      <c r="I425" s="6" t="s">
        <v>767</v>
      </c>
      <c r="J425" s="6" t="s">
        <v>764</v>
      </c>
      <c r="K425" s="7">
        <v>6095072</v>
      </c>
      <c r="L425" s="7">
        <v>290136</v>
      </c>
      <c r="M425" s="7">
        <v>19</v>
      </c>
      <c r="N425" s="7">
        <v>1</v>
      </c>
      <c r="O425" s="7">
        <v>19</v>
      </c>
    </row>
    <row r="426" spans="1:15" x14ac:dyDescent="0.25">
      <c r="A426" s="6" t="s">
        <v>28</v>
      </c>
      <c r="B426" s="6" t="s">
        <v>165</v>
      </c>
      <c r="C426" s="7">
        <v>34199</v>
      </c>
      <c r="D426" s="6" t="s">
        <v>39</v>
      </c>
      <c r="E426" s="6" t="s">
        <v>72</v>
      </c>
      <c r="F426" s="6" t="s">
        <v>185</v>
      </c>
      <c r="G426" s="6" t="s">
        <v>32</v>
      </c>
      <c r="H426" s="6" t="s">
        <v>33</v>
      </c>
      <c r="I426" s="6" t="s">
        <v>767</v>
      </c>
      <c r="J426" s="6" t="s">
        <v>764</v>
      </c>
      <c r="K426" s="7">
        <v>6068967</v>
      </c>
      <c r="L426" s="7">
        <v>281446</v>
      </c>
      <c r="M426" s="7">
        <v>19</v>
      </c>
      <c r="N426" s="7">
        <v>1</v>
      </c>
      <c r="O426" s="7">
        <v>6.5</v>
      </c>
    </row>
    <row r="427" spans="1:15" x14ac:dyDescent="0.25">
      <c r="A427" s="6" t="s">
        <v>28</v>
      </c>
      <c r="B427" s="6" t="s">
        <v>165</v>
      </c>
      <c r="C427" s="7">
        <v>34262</v>
      </c>
      <c r="D427" s="6" t="s">
        <v>39</v>
      </c>
      <c r="E427" s="6" t="s">
        <v>53</v>
      </c>
      <c r="F427" s="6" t="s">
        <v>190</v>
      </c>
      <c r="G427" s="6" t="s">
        <v>32</v>
      </c>
      <c r="H427" s="6" t="s">
        <v>33</v>
      </c>
      <c r="I427" s="6" t="s">
        <v>767</v>
      </c>
      <c r="J427" s="6" t="s">
        <v>767</v>
      </c>
      <c r="K427" s="7">
        <v>6136532</v>
      </c>
      <c r="L427" s="7">
        <v>314830</v>
      </c>
      <c r="M427" s="7">
        <v>19</v>
      </c>
      <c r="N427" s="7">
        <v>1</v>
      </c>
      <c r="O427" s="7">
        <v>4.3</v>
      </c>
    </row>
    <row r="428" spans="1:15" x14ac:dyDescent="0.25">
      <c r="A428" s="6" t="s">
        <v>28</v>
      </c>
      <c r="B428" s="6" t="s">
        <v>165</v>
      </c>
      <c r="C428" s="7">
        <v>34266</v>
      </c>
      <c r="D428" s="6" t="s">
        <v>39</v>
      </c>
      <c r="E428" s="6" t="s">
        <v>53</v>
      </c>
      <c r="F428" s="6" t="s">
        <v>190</v>
      </c>
      <c r="G428" s="6" t="s">
        <v>32</v>
      </c>
      <c r="H428" s="6" t="s">
        <v>33</v>
      </c>
      <c r="I428" s="6" t="s">
        <v>767</v>
      </c>
      <c r="J428" s="6" t="s">
        <v>767</v>
      </c>
      <c r="K428" s="7">
        <v>6136253</v>
      </c>
      <c r="L428" s="7">
        <v>314883</v>
      </c>
      <c r="M428" s="7">
        <v>19</v>
      </c>
      <c r="N428" s="7">
        <v>1</v>
      </c>
      <c r="O428" s="7">
        <v>5.3</v>
      </c>
    </row>
    <row r="429" spans="1:15" x14ac:dyDescent="0.25">
      <c r="A429" s="6" t="s">
        <v>28</v>
      </c>
      <c r="B429" s="6" t="s">
        <v>165</v>
      </c>
      <c r="C429" s="7">
        <v>34275</v>
      </c>
      <c r="D429" s="6" t="s">
        <v>39</v>
      </c>
      <c r="E429" s="6" t="s">
        <v>87</v>
      </c>
      <c r="F429" s="6" t="s">
        <v>214</v>
      </c>
      <c r="G429" s="6" t="s">
        <v>32</v>
      </c>
      <c r="H429" s="6" t="s">
        <v>33</v>
      </c>
      <c r="I429" s="6" t="s">
        <v>767</v>
      </c>
      <c r="J429" s="6" t="s">
        <v>764</v>
      </c>
      <c r="K429" s="7">
        <v>6095072</v>
      </c>
      <c r="L429" s="7">
        <v>290136</v>
      </c>
      <c r="M429" s="7">
        <v>19</v>
      </c>
      <c r="N429" s="7">
        <v>1</v>
      </c>
      <c r="O429" s="7">
        <v>4.9000000000000004</v>
      </c>
    </row>
    <row r="430" spans="1:15" x14ac:dyDescent="0.25">
      <c r="A430" s="6" t="s">
        <v>28</v>
      </c>
      <c r="B430" s="6" t="s">
        <v>165</v>
      </c>
      <c r="C430" s="7">
        <v>34279</v>
      </c>
      <c r="D430" s="6" t="s">
        <v>39</v>
      </c>
      <c r="E430" s="6" t="s">
        <v>53</v>
      </c>
      <c r="F430" s="6" t="s">
        <v>190</v>
      </c>
      <c r="G430" s="6" t="s">
        <v>32</v>
      </c>
      <c r="H430" s="6" t="s">
        <v>33</v>
      </c>
      <c r="I430" s="6" t="s">
        <v>767</v>
      </c>
      <c r="J430" s="6" t="s">
        <v>767</v>
      </c>
      <c r="K430" s="7">
        <v>6136050</v>
      </c>
      <c r="L430" s="7">
        <v>314736</v>
      </c>
      <c r="M430" s="7">
        <v>19</v>
      </c>
      <c r="N430" s="7">
        <v>1</v>
      </c>
      <c r="O430" s="7">
        <v>6.6</v>
      </c>
    </row>
    <row r="431" spans="1:15" x14ac:dyDescent="0.25">
      <c r="A431" s="6" t="s">
        <v>14</v>
      </c>
      <c r="B431" s="6" t="s">
        <v>165</v>
      </c>
      <c r="C431" s="7">
        <v>34634</v>
      </c>
      <c r="D431" s="6" t="s">
        <v>39</v>
      </c>
      <c r="E431" s="6" t="s">
        <v>72</v>
      </c>
      <c r="F431" s="6" t="s">
        <v>185</v>
      </c>
      <c r="G431" s="6" t="s">
        <v>32</v>
      </c>
      <c r="H431" s="6" t="s">
        <v>33</v>
      </c>
      <c r="I431" s="6" t="s">
        <v>767</v>
      </c>
      <c r="J431" s="6" t="s">
        <v>764</v>
      </c>
      <c r="K431" s="7">
        <v>6068967</v>
      </c>
      <c r="L431" s="7">
        <v>281446</v>
      </c>
      <c r="M431" s="7">
        <v>19</v>
      </c>
      <c r="N431" s="7">
        <v>1</v>
      </c>
      <c r="O431" s="7">
        <v>15.2</v>
      </c>
    </row>
    <row r="432" spans="1:15" x14ac:dyDescent="0.25">
      <c r="A432" s="6" t="s">
        <v>14</v>
      </c>
      <c r="B432" s="6" t="s">
        <v>165</v>
      </c>
      <c r="C432" s="7">
        <v>34702</v>
      </c>
      <c r="D432" s="6" t="s">
        <v>39</v>
      </c>
      <c r="E432" s="6" t="s">
        <v>142</v>
      </c>
      <c r="F432" s="6" t="s">
        <v>215</v>
      </c>
      <c r="G432" s="6" t="s">
        <v>89</v>
      </c>
      <c r="H432" s="6" t="s">
        <v>19</v>
      </c>
      <c r="I432" s="6" t="s">
        <v>767</v>
      </c>
      <c r="J432" s="6" t="s">
        <v>767</v>
      </c>
      <c r="K432" s="7">
        <v>5996769</v>
      </c>
      <c r="L432" s="7">
        <v>756161</v>
      </c>
      <c r="M432" s="7">
        <v>18</v>
      </c>
      <c r="N432" s="7">
        <v>1</v>
      </c>
      <c r="O432" s="7">
        <v>8.1999999999999993</v>
      </c>
    </row>
    <row r="433" spans="1:15" x14ac:dyDescent="0.25">
      <c r="A433" s="6" t="s">
        <v>14</v>
      </c>
      <c r="B433" s="6" t="s">
        <v>165</v>
      </c>
      <c r="C433" s="7">
        <v>34703</v>
      </c>
      <c r="D433" s="6" t="s">
        <v>39</v>
      </c>
      <c r="E433" s="6" t="s">
        <v>72</v>
      </c>
      <c r="F433" s="6" t="s">
        <v>72</v>
      </c>
      <c r="G433" s="6" t="s">
        <v>89</v>
      </c>
      <c r="H433" s="6" t="s">
        <v>19</v>
      </c>
      <c r="I433" s="6" t="s">
        <v>767</v>
      </c>
      <c r="J433" s="6" t="s">
        <v>767</v>
      </c>
      <c r="K433" s="7">
        <v>6061689</v>
      </c>
      <c r="L433" s="7">
        <v>272247</v>
      </c>
      <c r="M433" s="7">
        <v>19</v>
      </c>
      <c r="N433" s="7">
        <v>1</v>
      </c>
      <c r="O433" s="7">
        <v>15.5</v>
      </c>
    </row>
    <row r="434" spans="1:15" x14ac:dyDescent="0.25">
      <c r="A434" s="6" t="s">
        <v>14</v>
      </c>
      <c r="B434" s="6" t="s">
        <v>165</v>
      </c>
      <c r="C434" s="7">
        <v>34705</v>
      </c>
      <c r="D434" s="6" t="s">
        <v>39</v>
      </c>
      <c r="E434" s="6" t="s">
        <v>70</v>
      </c>
      <c r="F434" s="6" t="s">
        <v>71</v>
      </c>
      <c r="G434" s="6" t="s">
        <v>89</v>
      </c>
      <c r="H434" s="6" t="s">
        <v>19</v>
      </c>
      <c r="I434" s="6" t="s">
        <v>767</v>
      </c>
      <c r="J434" s="6" t="s">
        <v>767</v>
      </c>
      <c r="K434" s="7">
        <v>6075725</v>
      </c>
      <c r="L434" s="7">
        <v>267481</v>
      </c>
      <c r="M434" s="7">
        <v>19</v>
      </c>
      <c r="N434" s="7">
        <v>1</v>
      </c>
      <c r="O434" s="7">
        <v>5</v>
      </c>
    </row>
    <row r="435" spans="1:15" x14ac:dyDescent="0.25">
      <c r="A435" s="6" t="s">
        <v>14</v>
      </c>
      <c r="B435" s="6" t="s">
        <v>165</v>
      </c>
      <c r="C435" s="7">
        <v>34707</v>
      </c>
      <c r="D435" s="6" t="s">
        <v>39</v>
      </c>
      <c r="E435" s="6" t="s">
        <v>70</v>
      </c>
      <c r="F435" s="6" t="s">
        <v>71</v>
      </c>
      <c r="G435" s="6" t="s">
        <v>89</v>
      </c>
      <c r="H435" s="6" t="s">
        <v>19</v>
      </c>
      <c r="I435" s="6" t="s">
        <v>767</v>
      </c>
      <c r="J435" s="6" t="s">
        <v>767</v>
      </c>
      <c r="K435" s="7">
        <v>6075045</v>
      </c>
      <c r="L435" s="7">
        <v>267074</v>
      </c>
      <c r="M435" s="7">
        <v>19</v>
      </c>
      <c r="N435" s="7">
        <v>1</v>
      </c>
      <c r="O435" s="7">
        <v>3.8</v>
      </c>
    </row>
    <row r="436" spans="1:15" x14ac:dyDescent="0.25">
      <c r="A436" s="6" t="s">
        <v>14</v>
      </c>
      <c r="B436" s="6" t="s">
        <v>165</v>
      </c>
      <c r="C436" s="7">
        <v>34710</v>
      </c>
      <c r="D436" s="6" t="s">
        <v>39</v>
      </c>
      <c r="E436" s="6" t="s">
        <v>72</v>
      </c>
      <c r="F436" s="6" t="s">
        <v>72</v>
      </c>
      <c r="G436" s="6" t="s">
        <v>89</v>
      </c>
      <c r="H436" s="6" t="s">
        <v>19</v>
      </c>
      <c r="I436" s="6" t="s">
        <v>767</v>
      </c>
      <c r="J436" s="6" t="s">
        <v>767</v>
      </c>
      <c r="K436" s="7">
        <v>6062281</v>
      </c>
      <c r="L436" s="7">
        <v>272829</v>
      </c>
      <c r="M436" s="7">
        <v>19</v>
      </c>
      <c r="N436" s="7">
        <v>1</v>
      </c>
      <c r="O436" s="7">
        <v>3.5</v>
      </c>
    </row>
    <row r="437" spans="1:15" x14ac:dyDescent="0.25">
      <c r="A437" s="6" t="s">
        <v>28</v>
      </c>
      <c r="B437" s="6" t="s">
        <v>165</v>
      </c>
      <c r="C437" s="7">
        <v>34770</v>
      </c>
      <c r="D437" s="6" t="s">
        <v>39</v>
      </c>
      <c r="E437" s="6" t="s">
        <v>142</v>
      </c>
      <c r="F437" s="6" t="s">
        <v>215</v>
      </c>
      <c r="G437" s="6" t="s">
        <v>89</v>
      </c>
      <c r="H437" s="6" t="s">
        <v>19</v>
      </c>
      <c r="I437" s="6" t="s">
        <v>767</v>
      </c>
      <c r="J437" s="6" t="s">
        <v>767</v>
      </c>
      <c r="K437" s="7">
        <v>5996712</v>
      </c>
      <c r="L437" s="7">
        <v>755590</v>
      </c>
      <c r="M437" s="7">
        <v>18</v>
      </c>
      <c r="N437" s="7">
        <v>1</v>
      </c>
      <c r="O437" s="7">
        <v>4.0999999999999996</v>
      </c>
    </row>
    <row r="438" spans="1:15" x14ac:dyDescent="0.25">
      <c r="A438" s="6" t="s">
        <v>14</v>
      </c>
      <c r="B438" s="6" t="s">
        <v>165</v>
      </c>
      <c r="C438" s="7">
        <v>34771</v>
      </c>
      <c r="D438" s="6" t="s">
        <v>39</v>
      </c>
      <c r="E438" s="6" t="s">
        <v>142</v>
      </c>
      <c r="F438" s="6" t="s">
        <v>215</v>
      </c>
      <c r="G438" s="6" t="s">
        <v>89</v>
      </c>
      <c r="H438" s="6" t="s">
        <v>19</v>
      </c>
      <c r="I438" s="6" t="s">
        <v>767</v>
      </c>
      <c r="J438" s="6" t="s">
        <v>767</v>
      </c>
      <c r="K438" s="7">
        <v>5996737</v>
      </c>
      <c r="L438" s="7">
        <v>755830</v>
      </c>
      <c r="M438" s="7">
        <v>18</v>
      </c>
      <c r="N438" s="7">
        <v>1</v>
      </c>
      <c r="O438" s="7">
        <v>4.0999999999999996</v>
      </c>
    </row>
    <row r="439" spans="1:15" x14ac:dyDescent="0.25">
      <c r="A439" s="6" t="s">
        <v>14</v>
      </c>
      <c r="B439" s="6" t="s">
        <v>165</v>
      </c>
      <c r="C439" s="7">
        <v>34806</v>
      </c>
      <c r="D439" s="6" t="s">
        <v>39</v>
      </c>
      <c r="E439" s="6" t="s">
        <v>173</v>
      </c>
      <c r="F439" s="6" t="s">
        <v>173</v>
      </c>
      <c r="G439" s="6" t="s">
        <v>89</v>
      </c>
      <c r="H439" s="6" t="s">
        <v>19</v>
      </c>
      <c r="I439" s="6" t="s">
        <v>767</v>
      </c>
      <c r="J439" s="6" t="s">
        <v>767</v>
      </c>
      <c r="K439" s="7">
        <v>6043582</v>
      </c>
      <c r="L439" s="7">
        <v>269055</v>
      </c>
      <c r="M439" s="7">
        <v>19</v>
      </c>
      <c r="N439" s="7">
        <v>1</v>
      </c>
      <c r="O439" s="7">
        <v>7.7</v>
      </c>
    </row>
    <row r="440" spans="1:15" x14ac:dyDescent="0.25">
      <c r="A440" s="6" t="s">
        <v>28</v>
      </c>
      <c r="B440" s="6" t="s">
        <v>165</v>
      </c>
      <c r="C440" s="7">
        <v>34810</v>
      </c>
      <c r="D440" s="6" t="s">
        <v>39</v>
      </c>
      <c r="E440" s="6" t="s">
        <v>142</v>
      </c>
      <c r="F440" s="6" t="s">
        <v>215</v>
      </c>
      <c r="G440" s="6" t="s">
        <v>89</v>
      </c>
      <c r="H440" s="6" t="s">
        <v>19</v>
      </c>
      <c r="I440" s="6" t="s">
        <v>767</v>
      </c>
      <c r="J440" s="6" t="s">
        <v>767</v>
      </c>
      <c r="K440" s="7">
        <v>5996784</v>
      </c>
      <c r="L440" s="7">
        <v>755922</v>
      </c>
      <c r="M440" s="7">
        <v>18</v>
      </c>
      <c r="N440" s="7">
        <v>1</v>
      </c>
      <c r="O440" s="7">
        <v>8.1999999999999993</v>
      </c>
    </row>
    <row r="441" spans="1:15" x14ac:dyDescent="0.25">
      <c r="A441" s="6" t="s">
        <v>14</v>
      </c>
      <c r="B441" s="6" t="s">
        <v>165</v>
      </c>
      <c r="C441" s="7">
        <v>34814</v>
      </c>
      <c r="D441" s="6" t="s">
        <v>39</v>
      </c>
      <c r="E441" s="6" t="s">
        <v>72</v>
      </c>
      <c r="F441" s="6" t="s">
        <v>72</v>
      </c>
      <c r="G441" s="6" t="s">
        <v>89</v>
      </c>
      <c r="H441" s="6" t="s">
        <v>19</v>
      </c>
      <c r="I441" s="6" t="s">
        <v>767</v>
      </c>
      <c r="J441" s="6" t="s">
        <v>767</v>
      </c>
      <c r="K441" s="7">
        <v>6061877</v>
      </c>
      <c r="L441" s="7">
        <v>272293</v>
      </c>
      <c r="M441" s="7">
        <v>19</v>
      </c>
      <c r="N441" s="7">
        <v>1</v>
      </c>
      <c r="O441" s="7">
        <v>8.4</v>
      </c>
    </row>
    <row r="442" spans="1:15" x14ac:dyDescent="0.25">
      <c r="A442" s="6" t="s">
        <v>14</v>
      </c>
      <c r="B442" s="6" t="s">
        <v>165</v>
      </c>
      <c r="C442" s="7">
        <v>34816</v>
      </c>
      <c r="D442" s="6" t="s">
        <v>39</v>
      </c>
      <c r="E442" s="6" t="s">
        <v>173</v>
      </c>
      <c r="F442" s="6" t="s">
        <v>173</v>
      </c>
      <c r="G442" s="6" t="s">
        <v>89</v>
      </c>
      <c r="H442" s="6" t="s">
        <v>19</v>
      </c>
      <c r="I442" s="6" t="s">
        <v>767</v>
      </c>
      <c r="J442" s="6" t="s">
        <v>767</v>
      </c>
      <c r="K442" s="7">
        <v>6041882</v>
      </c>
      <c r="L442" s="7">
        <v>274011</v>
      </c>
      <c r="M442" s="7">
        <v>19</v>
      </c>
      <c r="N442" s="7">
        <v>1</v>
      </c>
      <c r="O442" s="7">
        <v>4.4000000000000004</v>
      </c>
    </row>
    <row r="443" spans="1:15" x14ac:dyDescent="0.25">
      <c r="A443" s="6" t="s">
        <v>14</v>
      </c>
      <c r="B443" s="6" t="s">
        <v>165</v>
      </c>
      <c r="C443" s="7">
        <v>34821</v>
      </c>
      <c r="D443" s="6" t="s">
        <v>39</v>
      </c>
      <c r="E443" s="6" t="s">
        <v>173</v>
      </c>
      <c r="F443" s="6" t="s">
        <v>173</v>
      </c>
      <c r="G443" s="6" t="s">
        <v>89</v>
      </c>
      <c r="H443" s="6" t="s">
        <v>19</v>
      </c>
      <c r="I443" s="6" t="s">
        <v>767</v>
      </c>
      <c r="J443" s="6" t="s">
        <v>767</v>
      </c>
      <c r="K443" s="7">
        <v>6041772</v>
      </c>
      <c r="L443" s="7">
        <v>274312</v>
      </c>
      <c r="M443" s="7">
        <v>19</v>
      </c>
      <c r="N443" s="7">
        <v>1</v>
      </c>
      <c r="O443" s="7">
        <v>5.4</v>
      </c>
    </row>
    <row r="444" spans="1:15" x14ac:dyDescent="0.25">
      <c r="A444" s="6" t="s">
        <v>14</v>
      </c>
      <c r="B444" s="6" t="s">
        <v>165</v>
      </c>
      <c r="C444" s="7">
        <v>34849</v>
      </c>
      <c r="D444" s="6" t="s">
        <v>39</v>
      </c>
      <c r="E444" s="6" t="s">
        <v>173</v>
      </c>
      <c r="F444" s="6" t="s">
        <v>173</v>
      </c>
      <c r="G444" s="6" t="s">
        <v>89</v>
      </c>
      <c r="H444" s="6" t="s">
        <v>19</v>
      </c>
      <c r="I444" s="6" t="s">
        <v>767</v>
      </c>
      <c r="J444" s="6" t="s">
        <v>767</v>
      </c>
      <c r="K444" s="7">
        <v>6043582</v>
      </c>
      <c r="L444" s="7">
        <v>274393</v>
      </c>
      <c r="M444" s="7">
        <v>19</v>
      </c>
      <c r="N444" s="7">
        <v>1</v>
      </c>
      <c r="O444" s="7">
        <v>4.3</v>
      </c>
    </row>
    <row r="445" spans="1:15" x14ac:dyDescent="0.25">
      <c r="A445" s="6" t="s">
        <v>14</v>
      </c>
      <c r="B445" s="6" t="s">
        <v>165</v>
      </c>
      <c r="C445" s="7">
        <v>34892</v>
      </c>
      <c r="D445" s="6" t="s">
        <v>42</v>
      </c>
      <c r="E445" s="6" t="s">
        <v>196</v>
      </c>
      <c r="F445" s="6" t="s">
        <v>196</v>
      </c>
      <c r="G445" s="6" t="s">
        <v>89</v>
      </c>
      <c r="H445" s="6" t="s">
        <v>19</v>
      </c>
      <c r="I445" s="6" t="s">
        <v>767</v>
      </c>
      <c r="J445" s="6" t="s">
        <v>767</v>
      </c>
      <c r="K445" s="7">
        <v>6219587</v>
      </c>
      <c r="L445" s="7">
        <v>337785</v>
      </c>
      <c r="M445" s="7">
        <v>19</v>
      </c>
      <c r="N445" s="7">
        <v>1</v>
      </c>
      <c r="O445" s="7">
        <v>5</v>
      </c>
    </row>
    <row r="446" spans="1:15" x14ac:dyDescent="0.25">
      <c r="A446" s="6" t="s">
        <v>14</v>
      </c>
      <c r="B446" s="6" t="s">
        <v>165</v>
      </c>
      <c r="C446" s="7">
        <v>34894</v>
      </c>
      <c r="D446" s="6" t="s">
        <v>42</v>
      </c>
      <c r="E446" s="6" t="s">
        <v>66</v>
      </c>
      <c r="F446" s="6" t="s">
        <v>168</v>
      </c>
      <c r="G446" s="6" t="s">
        <v>89</v>
      </c>
      <c r="H446" s="6" t="s">
        <v>19</v>
      </c>
      <c r="I446" s="6" t="s">
        <v>767</v>
      </c>
      <c r="J446" s="6" t="s">
        <v>767</v>
      </c>
      <c r="K446" s="7">
        <v>6228097</v>
      </c>
      <c r="L446" s="7">
        <v>345766</v>
      </c>
      <c r="M446" s="7">
        <v>19</v>
      </c>
      <c r="N446" s="7">
        <v>1</v>
      </c>
      <c r="O446" s="7">
        <v>2.8</v>
      </c>
    </row>
    <row r="447" spans="1:15" x14ac:dyDescent="0.25">
      <c r="A447" s="6" t="s">
        <v>14</v>
      </c>
      <c r="B447" s="6" t="s">
        <v>165</v>
      </c>
      <c r="C447" s="7">
        <v>34897</v>
      </c>
      <c r="D447" s="6" t="s">
        <v>42</v>
      </c>
      <c r="E447" s="6" t="s">
        <v>51</v>
      </c>
      <c r="F447" s="6" t="s">
        <v>51</v>
      </c>
      <c r="G447" s="6" t="s">
        <v>89</v>
      </c>
      <c r="H447" s="6" t="s">
        <v>19</v>
      </c>
      <c r="I447" s="6" t="s">
        <v>767</v>
      </c>
      <c r="J447" s="6" t="s">
        <v>767</v>
      </c>
      <c r="K447" s="7">
        <v>6156900</v>
      </c>
      <c r="L447" s="7">
        <v>310815</v>
      </c>
      <c r="M447" s="7">
        <v>19</v>
      </c>
      <c r="N447" s="7">
        <v>1</v>
      </c>
      <c r="O447" s="7">
        <v>5</v>
      </c>
    </row>
    <row r="448" spans="1:15" x14ac:dyDescent="0.25">
      <c r="A448" s="6" t="s">
        <v>14</v>
      </c>
      <c r="B448" s="6" t="s">
        <v>165</v>
      </c>
      <c r="C448" s="7">
        <v>34900</v>
      </c>
      <c r="D448" s="6" t="s">
        <v>42</v>
      </c>
      <c r="E448" s="6" t="s">
        <v>51</v>
      </c>
      <c r="F448" s="6" t="s">
        <v>51</v>
      </c>
      <c r="G448" s="6" t="s">
        <v>89</v>
      </c>
      <c r="H448" s="6" t="s">
        <v>19</v>
      </c>
      <c r="I448" s="6" t="s">
        <v>767</v>
      </c>
      <c r="J448" s="6" t="s">
        <v>767</v>
      </c>
      <c r="K448" s="7">
        <v>6159369</v>
      </c>
      <c r="L448" s="7">
        <v>312279</v>
      </c>
      <c r="M448" s="7">
        <v>19</v>
      </c>
      <c r="N448" s="7">
        <v>1</v>
      </c>
      <c r="O448" s="7">
        <v>2.2999999999999998</v>
      </c>
    </row>
    <row r="449" spans="1:15" x14ac:dyDescent="0.25">
      <c r="A449" s="6" t="s">
        <v>14</v>
      </c>
      <c r="B449" s="6" t="s">
        <v>165</v>
      </c>
      <c r="C449" s="7">
        <v>34901</v>
      </c>
      <c r="D449" s="6" t="s">
        <v>42</v>
      </c>
      <c r="E449" s="6" t="s">
        <v>51</v>
      </c>
      <c r="F449" s="6" t="s">
        <v>51</v>
      </c>
      <c r="G449" s="6" t="s">
        <v>89</v>
      </c>
      <c r="H449" s="6" t="s">
        <v>19</v>
      </c>
      <c r="I449" s="6" t="s">
        <v>767</v>
      </c>
      <c r="J449" s="6" t="s">
        <v>767</v>
      </c>
      <c r="K449" s="7">
        <v>6158827</v>
      </c>
      <c r="L449" s="7">
        <v>312865</v>
      </c>
      <c r="M449" s="7">
        <v>19</v>
      </c>
      <c r="N449" s="7">
        <v>1</v>
      </c>
      <c r="O449" s="7">
        <v>6</v>
      </c>
    </row>
    <row r="450" spans="1:15" x14ac:dyDescent="0.25">
      <c r="A450" s="6" t="s">
        <v>22</v>
      </c>
      <c r="B450" s="6" t="s">
        <v>217</v>
      </c>
      <c r="C450" s="7">
        <v>32265</v>
      </c>
      <c r="D450" s="6" t="s">
        <v>133</v>
      </c>
      <c r="E450" s="6" t="s">
        <v>218</v>
      </c>
      <c r="F450" s="6" t="s">
        <v>219</v>
      </c>
      <c r="G450" s="6" t="s">
        <v>50</v>
      </c>
      <c r="H450" s="6" t="s">
        <v>765</v>
      </c>
      <c r="I450" s="6" t="s">
        <v>766</v>
      </c>
      <c r="J450" s="6" t="s">
        <v>766</v>
      </c>
      <c r="K450" s="7">
        <v>5708223</v>
      </c>
      <c r="L450" s="7">
        <v>732663</v>
      </c>
      <c r="M450" s="7">
        <v>18</v>
      </c>
      <c r="N450" s="7">
        <v>1</v>
      </c>
      <c r="O450" s="7">
        <v>2</v>
      </c>
    </row>
    <row r="451" spans="1:15" x14ac:dyDescent="0.25">
      <c r="A451" s="6" t="s">
        <v>22</v>
      </c>
      <c r="B451" s="6" t="s">
        <v>217</v>
      </c>
      <c r="C451" s="7">
        <v>32266</v>
      </c>
      <c r="D451" s="6" t="s">
        <v>133</v>
      </c>
      <c r="E451" s="6" t="s">
        <v>218</v>
      </c>
      <c r="F451" s="6" t="s">
        <v>69</v>
      </c>
      <c r="G451" s="6" t="s">
        <v>50</v>
      </c>
      <c r="H451" s="6" t="s">
        <v>765</v>
      </c>
      <c r="I451" s="6" t="s">
        <v>766</v>
      </c>
      <c r="J451" s="6" t="s">
        <v>766</v>
      </c>
      <c r="K451" s="7">
        <v>5700636</v>
      </c>
      <c r="L451" s="7">
        <v>740196</v>
      </c>
      <c r="M451" s="7">
        <v>18</v>
      </c>
      <c r="N451" s="7">
        <v>1</v>
      </c>
      <c r="O451" s="7">
        <v>1.5</v>
      </c>
    </row>
    <row r="452" spans="1:15" x14ac:dyDescent="0.25">
      <c r="A452" s="6" t="s">
        <v>22</v>
      </c>
      <c r="B452" s="6" t="s">
        <v>217</v>
      </c>
      <c r="C452" s="7">
        <v>32267</v>
      </c>
      <c r="D452" s="6" t="s">
        <v>133</v>
      </c>
      <c r="E452" s="6" t="s">
        <v>218</v>
      </c>
      <c r="F452" s="6" t="s">
        <v>220</v>
      </c>
      <c r="G452" s="6" t="s">
        <v>50</v>
      </c>
      <c r="H452" s="6" t="s">
        <v>765</v>
      </c>
      <c r="I452" s="6" t="s">
        <v>766</v>
      </c>
      <c r="J452" s="6" t="s">
        <v>766</v>
      </c>
      <c r="K452" s="7">
        <v>5712446</v>
      </c>
      <c r="L452" s="7">
        <v>722133</v>
      </c>
      <c r="M452" s="7">
        <v>18</v>
      </c>
      <c r="N452" s="7">
        <v>1</v>
      </c>
      <c r="O452" s="7">
        <v>2</v>
      </c>
    </row>
    <row r="453" spans="1:15" x14ac:dyDescent="0.25">
      <c r="A453" s="6" t="s">
        <v>22</v>
      </c>
      <c r="B453" s="6" t="s">
        <v>217</v>
      </c>
      <c r="C453" s="7">
        <v>32268</v>
      </c>
      <c r="D453" s="6" t="s">
        <v>133</v>
      </c>
      <c r="E453" s="6" t="s">
        <v>221</v>
      </c>
      <c r="F453" s="6" t="s">
        <v>222</v>
      </c>
      <c r="G453" s="6" t="s">
        <v>50</v>
      </c>
      <c r="H453" s="6" t="s">
        <v>765</v>
      </c>
      <c r="I453" s="6" t="s">
        <v>766</v>
      </c>
      <c r="J453" s="6" t="s">
        <v>766</v>
      </c>
      <c r="K453" s="7">
        <v>5695935</v>
      </c>
      <c r="L453" s="7">
        <v>700755</v>
      </c>
      <c r="M453" s="7">
        <v>18</v>
      </c>
      <c r="N453" s="7">
        <v>1</v>
      </c>
      <c r="O453" s="7">
        <v>1</v>
      </c>
    </row>
    <row r="454" spans="1:15" x14ac:dyDescent="0.25">
      <c r="A454" s="6" t="s">
        <v>22</v>
      </c>
      <c r="B454" s="6" t="s">
        <v>217</v>
      </c>
      <c r="C454" s="7">
        <v>34943</v>
      </c>
      <c r="D454" s="6" t="s">
        <v>133</v>
      </c>
      <c r="E454" s="6" t="s">
        <v>218</v>
      </c>
      <c r="F454" s="6" t="s">
        <v>223</v>
      </c>
      <c r="G454" s="6" t="s">
        <v>50</v>
      </c>
      <c r="H454" s="6" t="s">
        <v>765</v>
      </c>
      <c r="I454" s="6" t="s">
        <v>766</v>
      </c>
      <c r="J454" s="6" t="s">
        <v>766</v>
      </c>
      <c r="K454" s="7">
        <v>5708223</v>
      </c>
      <c r="L454" s="7">
        <v>732663</v>
      </c>
      <c r="M454" s="7">
        <v>18</v>
      </c>
      <c r="N454" s="7">
        <v>1</v>
      </c>
      <c r="O454" s="7">
        <v>0.5</v>
      </c>
    </row>
    <row r="455" spans="1:15" x14ac:dyDescent="0.25">
      <c r="A455" s="6" t="s">
        <v>22</v>
      </c>
      <c r="B455" s="6" t="s">
        <v>217</v>
      </c>
      <c r="C455" s="7">
        <v>34944</v>
      </c>
      <c r="D455" s="6" t="s">
        <v>133</v>
      </c>
      <c r="E455" s="6" t="s">
        <v>218</v>
      </c>
      <c r="F455" s="6" t="s">
        <v>69</v>
      </c>
      <c r="G455" s="6" t="s">
        <v>50</v>
      </c>
      <c r="H455" s="6" t="s">
        <v>765</v>
      </c>
      <c r="I455" s="6" t="s">
        <v>766</v>
      </c>
      <c r="J455" s="6" t="s">
        <v>766</v>
      </c>
      <c r="K455" s="7">
        <v>5700636</v>
      </c>
      <c r="L455" s="7">
        <v>740196</v>
      </c>
      <c r="M455" s="7">
        <v>18</v>
      </c>
      <c r="N455" s="7">
        <v>1</v>
      </c>
      <c r="O455" s="7">
        <v>0.2</v>
      </c>
    </row>
    <row r="456" spans="1:15" x14ac:dyDescent="0.25">
      <c r="A456" s="6" t="s">
        <v>22</v>
      </c>
      <c r="B456" s="6" t="s">
        <v>224</v>
      </c>
      <c r="C456" s="7">
        <v>29668</v>
      </c>
      <c r="D456" s="6" t="s">
        <v>42</v>
      </c>
      <c r="E456" s="6" t="s">
        <v>225</v>
      </c>
      <c r="F456" s="6" t="s">
        <v>226</v>
      </c>
      <c r="G456" s="6" t="s">
        <v>50</v>
      </c>
      <c r="H456" s="6" t="s">
        <v>765</v>
      </c>
      <c r="I456" s="6" t="s">
        <v>766</v>
      </c>
      <c r="J456" s="6" t="s">
        <v>766</v>
      </c>
      <c r="K456" s="7">
        <v>6178866</v>
      </c>
      <c r="L456" s="7">
        <v>276566</v>
      </c>
      <c r="M456" s="7">
        <v>19</v>
      </c>
      <c r="N456" s="7">
        <v>1</v>
      </c>
      <c r="O456" s="7">
        <v>2.7</v>
      </c>
    </row>
    <row r="457" spans="1:15" x14ac:dyDescent="0.25">
      <c r="A457" s="6" t="s">
        <v>28</v>
      </c>
      <c r="B457" s="6" t="s">
        <v>224</v>
      </c>
      <c r="C457" s="7">
        <v>29924</v>
      </c>
      <c r="D457" s="6" t="s">
        <v>133</v>
      </c>
      <c r="E457" s="6" t="s">
        <v>227</v>
      </c>
      <c r="F457" s="6" t="s">
        <v>228</v>
      </c>
      <c r="G457" s="6" t="s">
        <v>50</v>
      </c>
      <c r="H457" s="6" t="s">
        <v>33</v>
      </c>
      <c r="I457" s="6" t="s">
        <v>112</v>
      </c>
      <c r="J457" s="6" t="s">
        <v>764</v>
      </c>
      <c r="K457" s="7">
        <v>5685365</v>
      </c>
      <c r="L457" s="7">
        <v>671377</v>
      </c>
      <c r="M457" s="7">
        <v>18</v>
      </c>
      <c r="N457" s="7">
        <v>1</v>
      </c>
      <c r="O457" s="7">
        <v>18</v>
      </c>
    </row>
    <row r="458" spans="1:15" x14ac:dyDescent="0.25">
      <c r="A458" s="6" t="s">
        <v>28</v>
      </c>
      <c r="B458" s="6" t="s">
        <v>224</v>
      </c>
      <c r="C458" s="7">
        <v>29925</v>
      </c>
      <c r="D458" s="6" t="s">
        <v>133</v>
      </c>
      <c r="E458" s="6" t="s">
        <v>227</v>
      </c>
      <c r="F458" s="6" t="s">
        <v>228</v>
      </c>
      <c r="G458" s="6" t="s">
        <v>50</v>
      </c>
      <c r="H458" s="6" t="s">
        <v>33</v>
      </c>
      <c r="I458" s="6" t="s">
        <v>112</v>
      </c>
      <c r="J458" s="6" t="s">
        <v>764</v>
      </c>
      <c r="K458" s="7">
        <v>5684643</v>
      </c>
      <c r="L458" s="7">
        <v>670823</v>
      </c>
      <c r="M458" s="7">
        <v>18</v>
      </c>
      <c r="N458" s="7">
        <v>1</v>
      </c>
      <c r="O458" s="7">
        <v>4</v>
      </c>
    </row>
    <row r="459" spans="1:15" x14ac:dyDescent="0.25">
      <c r="A459" s="6" t="s">
        <v>28</v>
      </c>
      <c r="B459" s="6" t="s">
        <v>224</v>
      </c>
      <c r="C459" s="7">
        <v>29981</v>
      </c>
      <c r="D459" s="6" t="s">
        <v>98</v>
      </c>
      <c r="E459" s="6" t="s">
        <v>229</v>
      </c>
      <c r="F459" s="6" t="s">
        <v>229</v>
      </c>
      <c r="G459" s="6" t="s">
        <v>50</v>
      </c>
      <c r="H459" s="6" t="s">
        <v>33</v>
      </c>
      <c r="I459" s="6" t="s">
        <v>764</v>
      </c>
      <c r="J459" s="6" t="s">
        <v>112</v>
      </c>
      <c r="K459" s="7">
        <v>5847383</v>
      </c>
      <c r="L459" s="7">
        <v>757247</v>
      </c>
      <c r="M459" s="7">
        <v>18</v>
      </c>
      <c r="N459" s="7">
        <v>1</v>
      </c>
      <c r="O459" s="7">
        <v>47</v>
      </c>
    </row>
    <row r="460" spans="1:15" x14ac:dyDescent="0.25">
      <c r="A460" s="6" t="s">
        <v>28</v>
      </c>
      <c r="B460" s="6" t="s">
        <v>224</v>
      </c>
      <c r="C460" s="7">
        <v>30103</v>
      </c>
      <c r="D460" s="6" t="s">
        <v>133</v>
      </c>
      <c r="E460" s="6" t="s">
        <v>221</v>
      </c>
      <c r="F460" s="6" t="s">
        <v>221</v>
      </c>
      <c r="G460" s="6" t="s">
        <v>50</v>
      </c>
      <c r="H460" s="6" t="s">
        <v>33</v>
      </c>
      <c r="I460" s="6" t="s">
        <v>112</v>
      </c>
      <c r="J460" s="6" t="s">
        <v>112</v>
      </c>
      <c r="K460" s="7">
        <v>5681810</v>
      </c>
      <c r="L460" s="7">
        <v>688271</v>
      </c>
      <c r="M460" s="7">
        <v>18</v>
      </c>
      <c r="N460" s="7">
        <v>1</v>
      </c>
      <c r="O460" s="7">
        <v>62</v>
      </c>
    </row>
    <row r="461" spans="1:15" x14ac:dyDescent="0.25">
      <c r="A461" s="6" t="s">
        <v>28</v>
      </c>
      <c r="B461" s="6" t="s">
        <v>224</v>
      </c>
      <c r="C461" s="7">
        <v>30104</v>
      </c>
      <c r="D461" s="6" t="s">
        <v>133</v>
      </c>
      <c r="E461" s="6" t="s">
        <v>221</v>
      </c>
      <c r="F461" s="6" t="s">
        <v>221</v>
      </c>
      <c r="G461" s="6" t="s">
        <v>50</v>
      </c>
      <c r="H461" s="6" t="s">
        <v>33</v>
      </c>
      <c r="I461" s="6" t="s">
        <v>112</v>
      </c>
      <c r="J461" s="6" t="s">
        <v>112</v>
      </c>
      <c r="K461" s="7">
        <v>5682448</v>
      </c>
      <c r="L461" s="7">
        <v>690299</v>
      </c>
      <c r="M461" s="7">
        <v>18</v>
      </c>
      <c r="N461" s="7">
        <v>1</v>
      </c>
      <c r="O461" s="7">
        <v>12</v>
      </c>
    </row>
    <row r="462" spans="1:15" x14ac:dyDescent="0.25">
      <c r="A462" s="6" t="s">
        <v>28</v>
      </c>
      <c r="B462" s="6" t="s">
        <v>224</v>
      </c>
      <c r="C462" s="7">
        <v>30105</v>
      </c>
      <c r="D462" s="6" t="s">
        <v>133</v>
      </c>
      <c r="E462" s="6" t="s">
        <v>221</v>
      </c>
      <c r="F462" s="6" t="s">
        <v>221</v>
      </c>
      <c r="G462" s="6" t="s">
        <v>50</v>
      </c>
      <c r="H462" s="6" t="s">
        <v>33</v>
      </c>
      <c r="I462" s="6" t="s">
        <v>112</v>
      </c>
      <c r="J462" s="6" t="s">
        <v>112</v>
      </c>
      <c r="K462" s="7">
        <v>5680209</v>
      </c>
      <c r="L462" s="7">
        <v>688199</v>
      </c>
      <c r="M462" s="7">
        <v>18</v>
      </c>
      <c r="N462" s="7">
        <v>1</v>
      </c>
      <c r="O462" s="7">
        <v>12</v>
      </c>
    </row>
    <row r="463" spans="1:15" x14ac:dyDescent="0.25">
      <c r="A463" s="6" t="s">
        <v>28</v>
      </c>
      <c r="B463" s="6" t="s">
        <v>224</v>
      </c>
      <c r="C463" s="7">
        <v>30106</v>
      </c>
      <c r="D463" s="6" t="s">
        <v>133</v>
      </c>
      <c r="E463" s="6" t="s">
        <v>221</v>
      </c>
      <c r="F463" s="6" t="s">
        <v>221</v>
      </c>
      <c r="G463" s="6" t="s">
        <v>50</v>
      </c>
      <c r="H463" s="6" t="s">
        <v>33</v>
      </c>
      <c r="I463" s="6" t="s">
        <v>112</v>
      </c>
      <c r="J463" s="6" t="s">
        <v>112</v>
      </c>
      <c r="K463" s="7">
        <v>5680209</v>
      </c>
      <c r="L463" s="7">
        <v>691004</v>
      </c>
      <c r="M463" s="7">
        <v>18</v>
      </c>
      <c r="N463" s="7">
        <v>1</v>
      </c>
      <c r="O463" s="7">
        <v>11</v>
      </c>
    </row>
    <row r="464" spans="1:15" x14ac:dyDescent="0.25">
      <c r="A464" s="6" t="s">
        <v>28</v>
      </c>
      <c r="B464" s="6" t="s">
        <v>224</v>
      </c>
      <c r="C464" s="7">
        <v>30107</v>
      </c>
      <c r="D464" s="6" t="s">
        <v>133</v>
      </c>
      <c r="E464" s="6" t="s">
        <v>230</v>
      </c>
      <c r="F464" s="6" t="s">
        <v>231</v>
      </c>
      <c r="G464" s="6" t="s">
        <v>50</v>
      </c>
      <c r="H464" s="6" t="s">
        <v>33</v>
      </c>
      <c r="I464" s="6" t="s">
        <v>112</v>
      </c>
      <c r="J464" s="6" t="s">
        <v>112</v>
      </c>
      <c r="K464" s="7">
        <v>5750306</v>
      </c>
      <c r="L464" s="7">
        <v>244286</v>
      </c>
      <c r="M464" s="7">
        <v>19</v>
      </c>
      <c r="N464" s="7">
        <v>1</v>
      </c>
      <c r="O464" s="7">
        <v>68</v>
      </c>
    </row>
    <row r="465" spans="1:15" x14ac:dyDescent="0.25">
      <c r="A465" s="6" t="s">
        <v>28</v>
      </c>
      <c r="B465" s="6" t="s">
        <v>224</v>
      </c>
      <c r="C465" s="7">
        <v>30134</v>
      </c>
      <c r="D465" s="6" t="s">
        <v>39</v>
      </c>
      <c r="E465" s="6" t="s">
        <v>159</v>
      </c>
      <c r="F465" s="6" t="s">
        <v>232</v>
      </c>
      <c r="G465" s="6" t="s">
        <v>50</v>
      </c>
      <c r="H465" s="6" t="s">
        <v>33</v>
      </c>
      <c r="I465" s="6" t="s">
        <v>112</v>
      </c>
      <c r="J465" s="6" t="s">
        <v>112</v>
      </c>
      <c r="K465" s="7">
        <v>5989225</v>
      </c>
      <c r="L465" s="7">
        <v>256521</v>
      </c>
      <c r="M465" s="7">
        <v>19</v>
      </c>
      <c r="N465" s="7">
        <v>1</v>
      </c>
      <c r="O465" s="7">
        <v>20</v>
      </c>
    </row>
    <row r="466" spans="1:15" x14ac:dyDescent="0.25">
      <c r="A466" s="6" t="s">
        <v>28</v>
      </c>
      <c r="B466" s="6" t="s">
        <v>224</v>
      </c>
      <c r="C466" s="7">
        <v>30342</v>
      </c>
      <c r="D466" s="6" t="s">
        <v>98</v>
      </c>
      <c r="E466" s="6" t="s">
        <v>99</v>
      </c>
      <c r="F466" s="6" t="s">
        <v>233</v>
      </c>
      <c r="G466" s="6" t="s">
        <v>50</v>
      </c>
      <c r="H466" s="6" t="s">
        <v>33</v>
      </c>
      <c r="I466" s="6" t="s">
        <v>112</v>
      </c>
      <c r="J466" s="6" t="s">
        <v>112</v>
      </c>
      <c r="K466" s="7">
        <v>5860472</v>
      </c>
      <c r="L466" s="7">
        <v>756306</v>
      </c>
      <c r="M466" s="7">
        <v>18</v>
      </c>
      <c r="N466" s="7">
        <v>1</v>
      </c>
      <c r="O466" s="7">
        <v>18</v>
      </c>
    </row>
    <row r="467" spans="1:15" x14ac:dyDescent="0.25">
      <c r="A467" s="6" t="s">
        <v>28</v>
      </c>
      <c r="B467" s="6" t="s">
        <v>224</v>
      </c>
      <c r="C467" s="7">
        <v>30362</v>
      </c>
      <c r="D467" s="6" t="s">
        <v>98</v>
      </c>
      <c r="E467" s="6" t="s">
        <v>99</v>
      </c>
      <c r="F467" s="6" t="s">
        <v>234</v>
      </c>
      <c r="G467" s="6" t="s">
        <v>50</v>
      </c>
      <c r="H467" s="6" t="s">
        <v>33</v>
      </c>
      <c r="I467" s="6" t="s">
        <v>112</v>
      </c>
      <c r="J467" s="6" t="s">
        <v>764</v>
      </c>
      <c r="K467" s="7">
        <v>5848964</v>
      </c>
      <c r="L467" s="7">
        <v>739491</v>
      </c>
      <c r="M467" s="7">
        <v>18</v>
      </c>
      <c r="N467" s="7">
        <v>1</v>
      </c>
      <c r="O467" s="7">
        <v>14</v>
      </c>
    </row>
    <row r="468" spans="1:15" x14ac:dyDescent="0.25">
      <c r="A468" s="6" t="s">
        <v>28</v>
      </c>
      <c r="B468" s="6" t="s">
        <v>224</v>
      </c>
      <c r="C468" s="7">
        <v>30662</v>
      </c>
      <c r="D468" s="6" t="s">
        <v>133</v>
      </c>
      <c r="E468" s="6" t="s">
        <v>235</v>
      </c>
      <c r="F468" s="6" t="s">
        <v>236</v>
      </c>
      <c r="G468" s="6" t="s">
        <v>50</v>
      </c>
      <c r="H468" s="6" t="s">
        <v>33</v>
      </c>
      <c r="I468" s="6" t="s">
        <v>764</v>
      </c>
      <c r="J468" s="6" t="s">
        <v>112</v>
      </c>
      <c r="K468" s="7">
        <v>5694382</v>
      </c>
      <c r="L468" s="7">
        <v>737639</v>
      </c>
      <c r="M468" s="7">
        <v>18</v>
      </c>
      <c r="N468" s="7">
        <v>2</v>
      </c>
      <c r="O468" s="7">
        <v>20</v>
      </c>
    </row>
    <row r="469" spans="1:15" x14ac:dyDescent="0.25">
      <c r="A469" s="6" t="s">
        <v>28</v>
      </c>
      <c r="B469" s="6" t="s">
        <v>224</v>
      </c>
      <c r="C469" s="7">
        <v>30711</v>
      </c>
      <c r="D469" s="6" t="s">
        <v>133</v>
      </c>
      <c r="E469" s="6" t="s">
        <v>218</v>
      </c>
      <c r="F469" s="6" t="s">
        <v>237</v>
      </c>
      <c r="G469" s="6" t="s">
        <v>50</v>
      </c>
      <c r="H469" s="6" t="s">
        <v>33</v>
      </c>
      <c r="I469" s="6" t="s">
        <v>764</v>
      </c>
      <c r="J469" s="6" t="s">
        <v>112</v>
      </c>
      <c r="K469" s="7">
        <v>5716337</v>
      </c>
      <c r="L469" s="7">
        <v>755344</v>
      </c>
      <c r="M469" s="7">
        <v>18</v>
      </c>
      <c r="N469" s="7">
        <v>3</v>
      </c>
      <c r="O469" s="7">
        <v>28</v>
      </c>
    </row>
    <row r="470" spans="1:15" x14ac:dyDescent="0.25">
      <c r="A470" s="6" t="s">
        <v>28</v>
      </c>
      <c r="B470" s="6" t="s">
        <v>224</v>
      </c>
      <c r="C470" s="7">
        <v>30717</v>
      </c>
      <c r="D470" s="6" t="s">
        <v>133</v>
      </c>
      <c r="E470" s="6" t="s">
        <v>218</v>
      </c>
      <c r="F470" s="6" t="s">
        <v>238</v>
      </c>
      <c r="G470" s="6" t="s">
        <v>50</v>
      </c>
      <c r="H470" s="6" t="s">
        <v>33</v>
      </c>
      <c r="I470" s="6" t="s">
        <v>764</v>
      </c>
      <c r="J470" s="6" t="s">
        <v>112</v>
      </c>
      <c r="K470" s="7">
        <v>5714293</v>
      </c>
      <c r="L470" s="7">
        <v>757692</v>
      </c>
      <c r="M470" s="7">
        <v>18</v>
      </c>
      <c r="N470" s="7">
        <v>5</v>
      </c>
      <c r="O470" s="7">
        <v>58</v>
      </c>
    </row>
    <row r="471" spans="1:15" x14ac:dyDescent="0.25">
      <c r="A471" s="6" t="s">
        <v>28</v>
      </c>
      <c r="B471" s="6" t="s">
        <v>224</v>
      </c>
      <c r="C471" s="7">
        <v>30771</v>
      </c>
      <c r="D471" s="6" t="s">
        <v>98</v>
      </c>
      <c r="E471" s="6" t="s">
        <v>137</v>
      </c>
      <c r="F471" s="6" t="s">
        <v>137</v>
      </c>
      <c r="G471" s="6" t="s">
        <v>50</v>
      </c>
      <c r="H471" s="6" t="s">
        <v>33</v>
      </c>
      <c r="I471" s="6" t="s">
        <v>112</v>
      </c>
      <c r="J471" s="6" t="s">
        <v>112</v>
      </c>
      <c r="K471" s="7">
        <v>5896142</v>
      </c>
      <c r="L471" s="7">
        <v>754591</v>
      </c>
      <c r="M471" s="7">
        <v>18</v>
      </c>
      <c r="N471" s="7">
        <v>2</v>
      </c>
      <c r="O471" s="7">
        <v>42</v>
      </c>
    </row>
    <row r="472" spans="1:15" x14ac:dyDescent="0.25">
      <c r="A472" s="6" t="s">
        <v>28</v>
      </c>
      <c r="B472" s="6" t="s">
        <v>224</v>
      </c>
      <c r="C472" s="7">
        <v>30772</v>
      </c>
      <c r="D472" s="6" t="s">
        <v>98</v>
      </c>
      <c r="E472" s="6" t="s">
        <v>99</v>
      </c>
      <c r="F472" s="6" t="s">
        <v>154</v>
      </c>
      <c r="G472" s="6" t="s">
        <v>50</v>
      </c>
      <c r="H472" s="6" t="s">
        <v>33</v>
      </c>
      <c r="I472" s="6" t="s">
        <v>112</v>
      </c>
      <c r="J472" s="6" t="s">
        <v>112</v>
      </c>
      <c r="K472" s="7">
        <v>5857262</v>
      </c>
      <c r="L472" s="7">
        <v>740199</v>
      </c>
      <c r="M472" s="7">
        <v>18</v>
      </c>
      <c r="N472" s="7">
        <v>1</v>
      </c>
      <c r="O472" s="7">
        <v>26.5</v>
      </c>
    </row>
    <row r="473" spans="1:15" x14ac:dyDescent="0.25">
      <c r="A473" s="6" t="s">
        <v>22</v>
      </c>
      <c r="B473" s="6" t="s">
        <v>224</v>
      </c>
      <c r="C473" s="7">
        <v>31129</v>
      </c>
      <c r="D473" s="6" t="s">
        <v>133</v>
      </c>
      <c r="E473" s="6" t="s">
        <v>221</v>
      </c>
      <c r="F473" s="6" t="s">
        <v>221</v>
      </c>
      <c r="G473" s="6" t="s">
        <v>50</v>
      </c>
      <c r="H473" s="6" t="s">
        <v>765</v>
      </c>
      <c r="I473" s="6" t="s">
        <v>766</v>
      </c>
      <c r="J473" s="6" t="s">
        <v>766</v>
      </c>
      <c r="K473" s="7">
        <v>5683789</v>
      </c>
      <c r="L473" s="7">
        <v>702014</v>
      </c>
      <c r="M473" s="7">
        <v>18</v>
      </c>
      <c r="N473" s="7">
        <v>1</v>
      </c>
      <c r="O473" s="7">
        <v>7.5</v>
      </c>
    </row>
    <row r="474" spans="1:15" x14ac:dyDescent="0.25">
      <c r="A474" s="6" t="s">
        <v>28</v>
      </c>
      <c r="B474" s="6" t="s">
        <v>224</v>
      </c>
      <c r="C474" s="7">
        <v>31185</v>
      </c>
      <c r="D474" s="6" t="s">
        <v>39</v>
      </c>
      <c r="E474" s="6" t="s">
        <v>159</v>
      </c>
      <c r="F474" s="6" t="s">
        <v>240</v>
      </c>
      <c r="G474" s="6" t="s">
        <v>50</v>
      </c>
      <c r="H474" s="6" t="s">
        <v>33</v>
      </c>
      <c r="I474" s="6" t="s">
        <v>112</v>
      </c>
      <c r="J474" s="6" t="s">
        <v>764</v>
      </c>
      <c r="K474" s="7">
        <v>6023174</v>
      </c>
      <c r="L474" s="7">
        <v>229565</v>
      </c>
      <c r="M474" s="7">
        <v>19</v>
      </c>
      <c r="N474" s="7">
        <v>1</v>
      </c>
      <c r="O474" s="7">
        <v>78</v>
      </c>
    </row>
    <row r="475" spans="1:15" x14ac:dyDescent="0.25">
      <c r="A475" s="6" t="s">
        <v>28</v>
      </c>
      <c r="B475" s="6" t="s">
        <v>224</v>
      </c>
      <c r="C475" s="7">
        <v>31280</v>
      </c>
      <c r="D475" s="6" t="s">
        <v>98</v>
      </c>
      <c r="E475" s="6" t="s">
        <v>148</v>
      </c>
      <c r="F475" s="6" t="s">
        <v>241</v>
      </c>
      <c r="G475" s="6" t="s">
        <v>50</v>
      </c>
      <c r="H475" s="6" t="s">
        <v>33</v>
      </c>
      <c r="I475" s="6" t="s">
        <v>112</v>
      </c>
      <c r="J475" s="6" t="s">
        <v>112</v>
      </c>
      <c r="K475" s="7">
        <v>5970617</v>
      </c>
      <c r="L475" s="7">
        <v>254073</v>
      </c>
      <c r="M475" s="7">
        <v>19</v>
      </c>
      <c r="N475" s="7">
        <v>1</v>
      </c>
      <c r="O475" s="7">
        <v>40</v>
      </c>
    </row>
    <row r="476" spans="1:15" x14ac:dyDescent="0.25">
      <c r="A476" s="6" t="s">
        <v>28</v>
      </c>
      <c r="B476" s="6" t="s">
        <v>224</v>
      </c>
      <c r="C476" s="7">
        <v>31364</v>
      </c>
      <c r="D476" s="6" t="s">
        <v>98</v>
      </c>
      <c r="E476" s="6" t="s">
        <v>242</v>
      </c>
      <c r="F476" s="6" t="s">
        <v>242</v>
      </c>
      <c r="G476" s="6" t="s">
        <v>50</v>
      </c>
      <c r="H476" s="6" t="s">
        <v>33</v>
      </c>
      <c r="I476" s="6" t="s">
        <v>112</v>
      </c>
      <c r="J476" s="6" t="s">
        <v>764</v>
      </c>
      <c r="K476" s="7">
        <v>5836241</v>
      </c>
      <c r="L476" s="7">
        <v>721414</v>
      </c>
      <c r="M476" s="7">
        <v>18</v>
      </c>
      <c r="N476" s="7">
        <v>1</v>
      </c>
      <c r="O476" s="7">
        <v>19.5</v>
      </c>
    </row>
    <row r="477" spans="1:15" x14ac:dyDescent="0.25">
      <c r="A477" s="6" t="s">
        <v>28</v>
      </c>
      <c r="B477" s="6" t="s">
        <v>224</v>
      </c>
      <c r="C477" s="7">
        <v>31690</v>
      </c>
      <c r="D477" s="6" t="s">
        <v>39</v>
      </c>
      <c r="E477" s="6" t="s">
        <v>159</v>
      </c>
      <c r="F477" s="6" t="s">
        <v>240</v>
      </c>
      <c r="G477" s="6" t="s">
        <v>50</v>
      </c>
      <c r="H477" s="6" t="s">
        <v>33</v>
      </c>
      <c r="I477" s="6" t="s">
        <v>112</v>
      </c>
      <c r="J477" s="6" t="s">
        <v>764</v>
      </c>
      <c r="K477" s="8">
        <v>6025134</v>
      </c>
      <c r="L477" s="9">
        <v>768562</v>
      </c>
      <c r="M477" s="8">
        <v>18</v>
      </c>
      <c r="N477" s="7">
        <v>1</v>
      </c>
      <c r="O477" s="7">
        <v>50</v>
      </c>
    </row>
    <row r="478" spans="1:15" x14ac:dyDescent="0.25">
      <c r="A478" s="6" t="s">
        <v>22</v>
      </c>
      <c r="B478" s="6" t="s">
        <v>224</v>
      </c>
      <c r="C478" s="7">
        <v>31709</v>
      </c>
      <c r="D478" s="6" t="s">
        <v>133</v>
      </c>
      <c r="E478" s="6" t="s">
        <v>243</v>
      </c>
      <c r="F478" s="6" t="s">
        <v>244</v>
      </c>
      <c r="G478" s="6" t="s">
        <v>50</v>
      </c>
      <c r="H478" s="6" t="s">
        <v>765</v>
      </c>
      <c r="I478" s="6" t="s">
        <v>766</v>
      </c>
      <c r="J478" s="6" t="s">
        <v>766</v>
      </c>
      <c r="K478" s="7">
        <v>5697540</v>
      </c>
      <c r="L478" s="7">
        <v>272631</v>
      </c>
      <c r="M478" s="7">
        <v>19</v>
      </c>
      <c r="N478" s="7">
        <v>1</v>
      </c>
      <c r="O478" s="7">
        <v>0.7</v>
      </c>
    </row>
    <row r="479" spans="1:15" x14ac:dyDescent="0.25">
      <c r="A479" s="6" t="s">
        <v>28</v>
      </c>
      <c r="B479" s="6" t="s">
        <v>224</v>
      </c>
      <c r="C479" s="7">
        <v>31769</v>
      </c>
      <c r="D479" s="6" t="s">
        <v>98</v>
      </c>
      <c r="E479" s="6" t="s">
        <v>99</v>
      </c>
      <c r="F479" s="6" t="s">
        <v>245</v>
      </c>
      <c r="G479" s="6" t="s">
        <v>50</v>
      </c>
      <c r="H479" s="6" t="s">
        <v>33</v>
      </c>
      <c r="I479" s="6" t="s">
        <v>112</v>
      </c>
      <c r="J479" s="6" t="s">
        <v>764</v>
      </c>
      <c r="K479" s="7">
        <v>5845956</v>
      </c>
      <c r="L479" s="7">
        <v>717252</v>
      </c>
      <c r="M479" s="7">
        <v>18</v>
      </c>
      <c r="N479" s="7">
        <v>1</v>
      </c>
      <c r="O479" s="7">
        <v>32</v>
      </c>
    </row>
    <row r="480" spans="1:15" x14ac:dyDescent="0.25">
      <c r="A480" s="6" t="s">
        <v>28</v>
      </c>
      <c r="B480" s="6" t="s">
        <v>224</v>
      </c>
      <c r="C480" s="7">
        <v>31803</v>
      </c>
      <c r="D480" s="6" t="s">
        <v>98</v>
      </c>
      <c r="E480" s="6" t="s">
        <v>99</v>
      </c>
      <c r="F480" s="6" t="s">
        <v>245</v>
      </c>
      <c r="G480" s="6" t="s">
        <v>50</v>
      </c>
      <c r="H480" s="6" t="s">
        <v>33</v>
      </c>
      <c r="I480" s="6" t="s">
        <v>112</v>
      </c>
      <c r="J480" s="6" t="s">
        <v>764</v>
      </c>
      <c r="K480" s="7">
        <v>5846033</v>
      </c>
      <c r="L480" s="7">
        <v>719197</v>
      </c>
      <c r="M480" s="7">
        <v>18</v>
      </c>
      <c r="N480" s="7">
        <v>1</v>
      </c>
      <c r="O480" s="7">
        <v>8</v>
      </c>
    </row>
    <row r="481" spans="1:15" x14ac:dyDescent="0.25">
      <c r="A481" s="6" t="s">
        <v>14</v>
      </c>
      <c r="B481" s="6" t="s">
        <v>224</v>
      </c>
      <c r="C481" s="7">
        <v>31977</v>
      </c>
      <c r="D481" s="6" t="s">
        <v>98</v>
      </c>
      <c r="E481" s="6" t="s">
        <v>99</v>
      </c>
      <c r="F481" s="6" t="s">
        <v>246</v>
      </c>
      <c r="G481" s="6" t="s">
        <v>50</v>
      </c>
      <c r="H481" s="6" t="s">
        <v>33</v>
      </c>
      <c r="I481" s="6" t="s">
        <v>112</v>
      </c>
      <c r="J481" s="6" t="s">
        <v>112</v>
      </c>
      <c r="K481" s="7">
        <v>5865848</v>
      </c>
      <c r="L481" s="7">
        <v>748397</v>
      </c>
      <c r="M481" s="7">
        <v>18</v>
      </c>
      <c r="N481" s="7">
        <v>1</v>
      </c>
      <c r="O481" s="7">
        <v>37</v>
      </c>
    </row>
    <row r="482" spans="1:15" x14ac:dyDescent="0.25">
      <c r="A482" s="6" t="s">
        <v>28</v>
      </c>
      <c r="B482" s="6" t="s">
        <v>224</v>
      </c>
      <c r="C482" s="7">
        <v>32028</v>
      </c>
      <c r="D482" s="6" t="s">
        <v>98</v>
      </c>
      <c r="E482" s="6" t="s">
        <v>99</v>
      </c>
      <c r="F482" s="6" t="s">
        <v>103</v>
      </c>
      <c r="G482" s="6" t="s">
        <v>50</v>
      </c>
      <c r="H482" s="6" t="s">
        <v>33</v>
      </c>
      <c r="I482" s="6" t="s">
        <v>112</v>
      </c>
      <c r="J482" s="6" t="s">
        <v>764</v>
      </c>
      <c r="K482" s="7">
        <v>5843915</v>
      </c>
      <c r="L482" s="7">
        <v>730768</v>
      </c>
      <c r="M482" s="7">
        <v>18</v>
      </c>
      <c r="N482" s="7">
        <v>1</v>
      </c>
      <c r="O482" s="7">
        <v>11</v>
      </c>
    </row>
    <row r="483" spans="1:15" x14ac:dyDescent="0.25">
      <c r="A483" s="6" t="s">
        <v>28</v>
      </c>
      <c r="B483" s="6" t="s">
        <v>224</v>
      </c>
      <c r="C483" s="7">
        <v>32090</v>
      </c>
      <c r="D483" s="6" t="s">
        <v>39</v>
      </c>
      <c r="E483" s="6" t="s">
        <v>159</v>
      </c>
      <c r="F483" s="6" t="s">
        <v>247</v>
      </c>
      <c r="G483" s="6" t="s">
        <v>50</v>
      </c>
      <c r="H483" s="6" t="s">
        <v>33</v>
      </c>
      <c r="I483" s="6" t="s">
        <v>112</v>
      </c>
      <c r="J483" s="6" t="s">
        <v>764</v>
      </c>
      <c r="K483" s="7">
        <v>5987136</v>
      </c>
      <c r="L483" s="7">
        <v>243743</v>
      </c>
      <c r="M483" s="7">
        <v>19</v>
      </c>
      <c r="N483" s="7">
        <v>1</v>
      </c>
      <c r="O483" s="7">
        <v>30</v>
      </c>
    </row>
    <row r="484" spans="1:15" x14ac:dyDescent="0.25">
      <c r="A484" s="6" t="s">
        <v>28</v>
      </c>
      <c r="B484" s="6" t="s">
        <v>224</v>
      </c>
      <c r="C484" s="7">
        <v>32413</v>
      </c>
      <c r="D484" s="6" t="s">
        <v>133</v>
      </c>
      <c r="E484" s="6" t="s">
        <v>218</v>
      </c>
      <c r="F484" s="6" t="s">
        <v>237</v>
      </c>
      <c r="G484" s="6" t="s">
        <v>50</v>
      </c>
      <c r="H484" s="6" t="s">
        <v>33</v>
      </c>
      <c r="I484" s="6" t="s">
        <v>764</v>
      </c>
      <c r="J484" s="6" t="s">
        <v>112</v>
      </c>
      <c r="K484" s="7">
        <v>5716994</v>
      </c>
      <c r="L484" s="7">
        <v>752780</v>
      </c>
      <c r="M484" s="7">
        <v>18</v>
      </c>
      <c r="N484" s="7">
        <v>1</v>
      </c>
      <c r="O484" s="7">
        <v>16.5</v>
      </c>
    </row>
    <row r="485" spans="1:15" x14ac:dyDescent="0.25">
      <c r="A485" s="6" t="s">
        <v>28</v>
      </c>
      <c r="B485" s="6" t="s">
        <v>224</v>
      </c>
      <c r="C485" s="7">
        <v>32651</v>
      </c>
      <c r="D485" s="6" t="s">
        <v>133</v>
      </c>
      <c r="E485" s="6" t="s">
        <v>227</v>
      </c>
      <c r="F485" s="6" t="s">
        <v>248</v>
      </c>
      <c r="G485" s="6" t="s">
        <v>50</v>
      </c>
      <c r="H485" s="6" t="s">
        <v>33</v>
      </c>
      <c r="I485" s="6" t="s">
        <v>112</v>
      </c>
      <c r="J485" s="6" t="s">
        <v>112</v>
      </c>
      <c r="K485" s="7">
        <v>5668349</v>
      </c>
      <c r="L485" s="7">
        <v>649706</v>
      </c>
      <c r="M485" s="7">
        <v>18</v>
      </c>
      <c r="N485" s="7">
        <v>1</v>
      </c>
      <c r="O485" s="7">
        <v>0.3</v>
      </c>
    </row>
    <row r="486" spans="1:15" x14ac:dyDescent="0.25">
      <c r="A486" s="6" t="s">
        <v>22</v>
      </c>
      <c r="B486" s="6" t="s">
        <v>224</v>
      </c>
      <c r="C486" s="7">
        <v>32653</v>
      </c>
      <c r="D486" s="6" t="s">
        <v>133</v>
      </c>
      <c r="E486" s="6" t="s">
        <v>249</v>
      </c>
      <c r="F486" s="6" t="s">
        <v>250</v>
      </c>
      <c r="G486" s="6" t="s">
        <v>50</v>
      </c>
      <c r="H486" s="6" t="s">
        <v>765</v>
      </c>
      <c r="I486" s="6" t="s">
        <v>766</v>
      </c>
      <c r="J486" s="6" t="s">
        <v>766</v>
      </c>
      <c r="K486" s="7">
        <v>5709524</v>
      </c>
      <c r="L486" s="7">
        <v>712195</v>
      </c>
      <c r="M486" s="7">
        <v>18</v>
      </c>
      <c r="N486" s="7">
        <v>1</v>
      </c>
      <c r="O486" s="7">
        <v>0.7</v>
      </c>
    </row>
    <row r="487" spans="1:15" x14ac:dyDescent="0.25">
      <c r="A487" s="6" t="s">
        <v>22</v>
      </c>
      <c r="B487" s="6" t="s">
        <v>224</v>
      </c>
      <c r="C487" s="7">
        <v>32656</v>
      </c>
      <c r="D487" s="6" t="s">
        <v>133</v>
      </c>
      <c r="E487" s="6" t="s">
        <v>243</v>
      </c>
      <c r="F487" s="6" t="s">
        <v>251</v>
      </c>
      <c r="G487" s="6" t="s">
        <v>50</v>
      </c>
      <c r="H487" s="6" t="s">
        <v>765</v>
      </c>
      <c r="I487" s="6" t="s">
        <v>766</v>
      </c>
      <c r="J487" s="6" t="s">
        <v>766</v>
      </c>
      <c r="K487" s="7">
        <v>5697182</v>
      </c>
      <c r="L487" s="7">
        <v>266280</v>
      </c>
      <c r="M487" s="7">
        <v>19</v>
      </c>
      <c r="N487" s="7">
        <v>1</v>
      </c>
      <c r="O487" s="7">
        <v>0.25</v>
      </c>
    </row>
    <row r="488" spans="1:15" x14ac:dyDescent="0.25">
      <c r="A488" s="6" t="s">
        <v>22</v>
      </c>
      <c r="B488" s="6" t="s">
        <v>224</v>
      </c>
      <c r="C488" s="7">
        <v>32659</v>
      </c>
      <c r="D488" s="6" t="s">
        <v>133</v>
      </c>
      <c r="E488" s="6" t="s">
        <v>243</v>
      </c>
      <c r="F488" s="6" t="s">
        <v>252</v>
      </c>
      <c r="G488" s="6" t="s">
        <v>50</v>
      </c>
      <c r="H488" s="6" t="s">
        <v>765</v>
      </c>
      <c r="I488" s="6" t="s">
        <v>766</v>
      </c>
      <c r="J488" s="6" t="s">
        <v>766</v>
      </c>
      <c r="K488" s="7">
        <v>5693268</v>
      </c>
      <c r="L488" s="7">
        <v>258597</v>
      </c>
      <c r="M488" s="7">
        <v>19</v>
      </c>
      <c r="N488" s="7">
        <v>1</v>
      </c>
      <c r="O488" s="7">
        <v>2.21</v>
      </c>
    </row>
    <row r="489" spans="1:15" x14ac:dyDescent="0.25">
      <c r="A489" s="6" t="s">
        <v>22</v>
      </c>
      <c r="B489" s="6" t="s">
        <v>224</v>
      </c>
      <c r="C489" s="7">
        <v>32661</v>
      </c>
      <c r="D489" s="6" t="s">
        <v>133</v>
      </c>
      <c r="E489" s="6" t="s">
        <v>235</v>
      </c>
      <c r="F489" s="6" t="s">
        <v>253</v>
      </c>
      <c r="G489" s="6" t="s">
        <v>50</v>
      </c>
      <c r="H489" s="6" t="s">
        <v>765</v>
      </c>
      <c r="I489" s="6" t="s">
        <v>766</v>
      </c>
      <c r="J489" s="6" t="s">
        <v>766</v>
      </c>
      <c r="K489" s="7">
        <v>5687097</v>
      </c>
      <c r="L489" s="7">
        <v>759452</v>
      </c>
      <c r="M489" s="7">
        <v>18</v>
      </c>
      <c r="N489" s="7">
        <v>1</v>
      </c>
      <c r="O489" s="7">
        <v>1</v>
      </c>
    </row>
    <row r="490" spans="1:15" x14ac:dyDescent="0.25">
      <c r="A490" s="6" t="s">
        <v>22</v>
      </c>
      <c r="B490" s="6" t="s">
        <v>224</v>
      </c>
      <c r="C490" s="7">
        <v>32667</v>
      </c>
      <c r="D490" s="6" t="s">
        <v>133</v>
      </c>
      <c r="E490" s="6" t="s">
        <v>254</v>
      </c>
      <c r="F490" s="6" t="s">
        <v>255</v>
      </c>
      <c r="G490" s="6" t="s">
        <v>50</v>
      </c>
      <c r="H490" s="6" t="s">
        <v>765</v>
      </c>
      <c r="I490" s="6" t="s">
        <v>766</v>
      </c>
      <c r="J490" s="6" t="s">
        <v>766</v>
      </c>
      <c r="K490" s="7">
        <v>5785053</v>
      </c>
      <c r="L490" s="7">
        <v>683917</v>
      </c>
      <c r="M490" s="7">
        <v>18</v>
      </c>
      <c r="N490" s="7">
        <v>1</v>
      </c>
      <c r="O490" s="7">
        <v>0.06</v>
      </c>
    </row>
    <row r="491" spans="1:15" x14ac:dyDescent="0.25">
      <c r="A491" s="6" t="s">
        <v>28</v>
      </c>
      <c r="B491" s="6" t="s">
        <v>224</v>
      </c>
      <c r="C491" s="7">
        <v>32728</v>
      </c>
      <c r="D491" s="6" t="s">
        <v>39</v>
      </c>
      <c r="E491" s="6" t="s">
        <v>206</v>
      </c>
      <c r="F491" s="6" t="s">
        <v>256</v>
      </c>
      <c r="G491" s="6" t="s">
        <v>50</v>
      </c>
      <c r="H491" s="6" t="s">
        <v>33</v>
      </c>
      <c r="I491" s="6" t="s">
        <v>112</v>
      </c>
      <c r="J491" s="6" t="s">
        <v>112</v>
      </c>
      <c r="K491" s="7">
        <v>6013145</v>
      </c>
      <c r="L491" s="7">
        <v>768885</v>
      </c>
      <c r="M491" s="7">
        <v>18</v>
      </c>
      <c r="N491" s="7">
        <v>1</v>
      </c>
      <c r="O491" s="7">
        <v>40</v>
      </c>
    </row>
    <row r="492" spans="1:15" x14ac:dyDescent="0.25">
      <c r="A492" s="6" t="s">
        <v>22</v>
      </c>
      <c r="B492" s="6" t="s">
        <v>224</v>
      </c>
      <c r="C492" s="7">
        <v>32889</v>
      </c>
      <c r="D492" s="6" t="s">
        <v>133</v>
      </c>
      <c r="E492" s="6" t="s">
        <v>227</v>
      </c>
      <c r="F492" s="6" t="s">
        <v>257</v>
      </c>
      <c r="G492" s="6" t="s">
        <v>50</v>
      </c>
      <c r="H492" s="6" t="s">
        <v>765</v>
      </c>
      <c r="I492" s="6" t="s">
        <v>766</v>
      </c>
      <c r="J492" s="6" t="s">
        <v>766</v>
      </c>
      <c r="K492" s="7">
        <v>5673344</v>
      </c>
      <c r="L492" s="7">
        <v>657893</v>
      </c>
      <c r="M492" s="7">
        <v>18</v>
      </c>
      <c r="N492" s="7">
        <v>1</v>
      </c>
      <c r="O492" s="7">
        <v>1.7</v>
      </c>
    </row>
    <row r="493" spans="1:15" x14ac:dyDescent="0.25">
      <c r="A493" s="6" t="s">
        <v>28</v>
      </c>
      <c r="B493" s="6" t="s">
        <v>224</v>
      </c>
      <c r="C493" s="7">
        <v>32896</v>
      </c>
      <c r="D493" s="6" t="s">
        <v>133</v>
      </c>
      <c r="E493" s="6" t="s">
        <v>258</v>
      </c>
      <c r="F493" s="6" t="s">
        <v>259</v>
      </c>
      <c r="G493" s="6" t="s">
        <v>50</v>
      </c>
      <c r="H493" s="6" t="s">
        <v>33</v>
      </c>
      <c r="I493" s="6" t="s">
        <v>112</v>
      </c>
      <c r="J493" s="6" t="s">
        <v>112</v>
      </c>
      <c r="K493" s="7">
        <v>5728858</v>
      </c>
      <c r="L493" s="7">
        <v>681011</v>
      </c>
      <c r="M493" s="7">
        <v>18</v>
      </c>
      <c r="N493" s="7">
        <v>1</v>
      </c>
      <c r="O493" s="7">
        <v>1.3</v>
      </c>
    </row>
    <row r="494" spans="1:15" x14ac:dyDescent="0.25">
      <c r="A494" s="6" t="s">
        <v>22</v>
      </c>
      <c r="B494" s="6" t="s">
        <v>224</v>
      </c>
      <c r="C494" s="7">
        <v>32900</v>
      </c>
      <c r="D494" s="6" t="s">
        <v>133</v>
      </c>
      <c r="E494" s="6" t="s">
        <v>258</v>
      </c>
      <c r="F494" s="6" t="s">
        <v>259</v>
      </c>
      <c r="G494" s="6" t="s">
        <v>50</v>
      </c>
      <c r="H494" s="6" t="s">
        <v>765</v>
      </c>
      <c r="I494" s="6" t="s">
        <v>766</v>
      </c>
      <c r="J494" s="6" t="s">
        <v>766</v>
      </c>
      <c r="K494" s="7">
        <v>5728858</v>
      </c>
      <c r="L494" s="7">
        <v>681011</v>
      </c>
      <c r="M494" s="7">
        <v>18</v>
      </c>
      <c r="N494" s="7">
        <v>1</v>
      </c>
      <c r="O494" s="7">
        <v>0.24</v>
      </c>
    </row>
    <row r="495" spans="1:15" x14ac:dyDescent="0.25">
      <c r="A495" s="6" t="s">
        <v>22</v>
      </c>
      <c r="B495" s="6" t="s">
        <v>224</v>
      </c>
      <c r="C495" s="7">
        <v>33131</v>
      </c>
      <c r="D495" s="6" t="s">
        <v>133</v>
      </c>
      <c r="E495" s="6" t="s">
        <v>258</v>
      </c>
      <c r="F495" s="6" t="s">
        <v>259</v>
      </c>
      <c r="G495" s="6" t="s">
        <v>50</v>
      </c>
      <c r="H495" s="6" t="s">
        <v>765</v>
      </c>
      <c r="I495" s="6" t="s">
        <v>766</v>
      </c>
      <c r="J495" s="6" t="s">
        <v>766</v>
      </c>
      <c r="K495" s="7">
        <v>5729441</v>
      </c>
      <c r="L495" s="7">
        <v>681124</v>
      </c>
      <c r="M495" s="7">
        <v>18</v>
      </c>
      <c r="N495" s="7">
        <v>1</v>
      </c>
      <c r="O495" s="7">
        <v>0.64</v>
      </c>
    </row>
    <row r="496" spans="1:15" x14ac:dyDescent="0.25">
      <c r="A496" s="6" t="s">
        <v>22</v>
      </c>
      <c r="B496" s="6" t="s">
        <v>224</v>
      </c>
      <c r="C496" s="7">
        <v>33133</v>
      </c>
      <c r="D496" s="6" t="s">
        <v>133</v>
      </c>
      <c r="E496" s="6" t="s">
        <v>235</v>
      </c>
      <c r="F496" s="6" t="s">
        <v>260</v>
      </c>
      <c r="G496" s="6" t="s">
        <v>50</v>
      </c>
      <c r="H496" s="6" t="s">
        <v>765</v>
      </c>
      <c r="I496" s="6" t="s">
        <v>766</v>
      </c>
      <c r="J496" s="6" t="s">
        <v>766</v>
      </c>
      <c r="K496" s="7">
        <v>5692077</v>
      </c>
      <c r="L496" s="7">
        <v>246605</v>
      </c>
      <c r="M496" s="7">
        <v>19</v>
      </c>
      <c r="N496" s="7">
        <v>1</v>
      </c>
      <c r="O496" s="7">
        <v>0.95</v>
      </c>
    </row>
    <row r="497" spans="1:15" x14ac:dyDescent="0.25">
      <c r="A497" s="6" t="s">
        <v>28</v>
      </c>
      <c r="B497" s="6" t="s">
        <v>224</v>
      </c>
      <c r="C497" s="7">
        <v>33141</v>
      </c>
      <c r="D497" s="6" t="s">
        <v>133</v>
      </c>
      <c r="E497" s="6" t="s">
        <v>235</v>
      </c>
      <c r="F497" s="6" t="s">
        <v>261</v>
      </c>
      <c r="G497" s="6" t="s">
        <v>50</v>
      </c>
      <c r="H497" s="6" t="s">
        <v>33</v>
      </c>
      <c r="I497" s="6" t="s">
        <v>112</v>
      </c>
      <c r="J497" s="6" t="s">
        <v>112</v>
      </c>
      <c r="K497" s="7">
        <v>5695017</v>
      </c>
      <c r="L497" s="7">
        <v>251706</v>
      </c>
      <c r="M497" s="7">
        <v>19</v>
      </c>
      <c r="N497" s="7">
        <v>1</v>
      </c>
      <c r="O497" s="7">
        <v>1</v>
      </c>
    </row>
    <row r="498" spans="1:15" x14ac:dyDescent="0.25">
      <c r="A498" s="6" t="s">
        <v>28</v>
      </c>
      <c r="B498" s="6" t="s">
        <v>224</v>
      </c>
      <c r="C498" s="7">
        <v>33155</v>
      </c>
      <c r="D498" s="6" t="s">
        <v>133</v>
      </c>
      <c r="E498" s="6" t="s">
        <v>235</v>
      </c>
      <c r="F498" s="6" t="s">
        <v>261</v>
      </c>
      <c r="G498" s="6" t="s">
        <v>50</v>
      </c>
      <c r="H498" s="6" t="s">
        <v>33</v>
      </c>
      <c r="I498" s="6" t="s">
        <v>112</v>
      </c>
      <c r="J498" s="6" t="s">
        <v>112</v>
      </c>
      <c r="K498" s="7">
        <v>5695017</v>
      </c>
      <c r="L498" s="7">
        <v>251706</v>
      </c>
      <c r="M498" s="7">
        <v>19</v>
      </c>
      <c r="N498" s="7">
        <v>1</v>
      </c>
      <c r="O498" s="7">
        <v>1</v>
      </c>
    </row>
    <row r="499" spans="1:15" x14ac:dyDescent="0.25">
      <c r="A499" s="6" t="s">
        <v>28</v>
      </c>
      <c r="B499" s="6" t="s">
        <v>224</v>
      </c>
      <c r="C499" s="7">
        <v>33157</v>
      </c>
      <c r="D499" s="6" t="s">
        <v>133</v>
      </c>
      <c r="E499" s="6" t="s">
        <v>254</v>
      </c>
      <c r="F499" s="6" t="s">
        <v>262</v>
      </c>
      <c r="G499" s="6" t="s">
        <v>50</v>
      </c>
      <c r="H499" s="6" t="s">
        <v>33</v>
      </c>
      <c r="I499" s="6" t="s">
        <v>112</v>
      </c>
      <c r="J499" s="6" t="s">
        <v>112</v>
      </c>
      <c r="K499" s="7">
        <v>5779135</v>
      </c>
      <c r="L499" s="7">
        <v>684532</v>
      </c>
      <c r="M499" s="7">
        <v>18</v>
      </c>
      <c r="N499" s="7">
        <v>1</v>
      </c>
      <c r="O499" s="7">
        <v>5</v>
      </c>
    </row>
    <row r="500" spans="1:15" x14ac:dyDescent="0.25">
      <c r="A500" s="6" t="s">
        <v>22</v>
      </c>
      <c r="B500" s="6" t="s">
        <v>224</v>
      </c>
      <c r="C500" s="7">
        <v>33161</v>
      </c>
      <c r="D500" s="6" t="s">
        <v>133</v>
      </c>
      <c r="E500" s="6" t="s">
        <v>263</v>
      </c>
      <c r="F500" s="6" t="s">
        <v>264</v>
      </c>
      <c r="G500" s="6" t="s">
        <v>50</v>
      </c>
      <c r="H500" s="6" t="s">
        <v>765</v>
      </c>
      <c r="I500" s="6" t="s">
        <v>766</v>
      </c>
      <c r="J500" s="6" t="s">
        <v>766</v>
      </c>
      <c r="K500" s="7">
        <v>5791985</v>
      </c>
      <c r="L500" s="7">
        <v>669454</v>
      </c>
      <c r="M500" s="7">
        <v>18</v>
      </c>
      <c r="N500" s="7">
        <v>1</v>
      </c>
      <c r="O500" s="7">
        <v>1.2</v>
      </c>
    </row>
    <row r="501" spans="1:15" x14ac:dyDescent="0.25">
      <c r="A501" s="6" t="s">
        <v>22</v>
      </c>
      <c r="B501" s="6" t="s">
        <v>224</v>
      </c>
      <c r="C501" s="7">
        <v>33164</v>
      </c>
      <c r="D501" s="6" t="s">
        <v>133</v>
      </c>
      <c r="E501" s="6" t="s">
        <v>258</v>
      </c>
      <c r="F501" s="6" t="s">
        <v>265</v>
      </c>
      <c r="G501" s="6" t="s">
        <v>50</v>
      </c>
      <c r="H501" s="6" t="s">
        <v>765</v>
      </c>
      <c r="I501" s="6" t="s">
        <v>766</v>
      </c>
      <c r="J501" s="6" t="s">
        <v>766</v>
      </c>
      <c r="K501" s="7">
        <v>5739340</v>
      </c>
      <c r="L501" s="7">
        <v>678851</v>
      </c>
      <c r="M501" s="7">
        <v>18</v>
      </c>
      <c r="N501" s="7">
        <v>1</v>
      </c>
      <c r="O501" s="7">
        <v>0.3</v>
      </c>
    </row>
    <row r="502" spans="1:15" x14ac:dyDescent="0.25">
      <c r="A502" s="6" t="s">
        <v>22</v>
      </c>
      <c r="B502" s="6" t="s">
        <v>224</v>
      </c>
      <c r="C502" s="7">
        <v>33167</v>
      </c>
      <c r="D502" s="6" t="s">
        <v>133</v>
      </c>
      <c r="E502" s="6" t="s">
        <v>266</v>
      </c>
      <c r="F502" s="6" t="s">
        <v>267</v>
      </c>
      <c r="G502" s="6" t="s">
        <v>50</v>
      </c>
      <c r="H502" s="6" t="s">
        <v>765</v>
      </c>
      <c r="I502" s="6" t="s">
        <v>766</v>
      </c>
      <c r="J502" s="6" t="s">
        <v>766</v>
      </c>
      <c r="K502" s="7">
        <v>5649704</v>
      </c>
      <c r="L502" s="7">
        <v>702811</v>
      </c>
      <c r="M502" s="7">
        <v>18</v>
      </c>
      <c r="N502" s="7">
        <v>1</v>
      </c>
      <c r="O502" s="7">
        <v>1</v>
      </c>
    </row>
    <row r="503" spans="1:15" x14ac:dyDescent="0.25">
      <c r="A503" s="6" t="s">
        <v>28</v>
      </c>
      <c r="B503" s="6" t="s">
        <v>224</v>
      </c>
      <c r="C503" s="7">
        <v>33256</v>
      </c>
      <c r="D503" s="6" t="s">
        <v>133</v>
      </c>
      <c r="E503" s="6" t="s">
        <v>258</v>
      </c>
      <c r="F503" s="6" t="s">
        <v>268</v>
      </c>
      <c r="G503" s="6" t="s">
        <v>50</v>
      </c>
      <c r="H503" s="6" t="s">
        <v>33</v>
      </c>
      <c r="I503" s="6" t="s">
        <v>112</v>
      </c>
      <c r="J503" s="6" t="s">
        <v>764</v>
      </c>
      <c r="K503" s="7">
        <v>5721725</v>
      </c>
      <c r="L503" s="7">
        <v>688105</v>
      </c>
      <c r="M503" s="7">
        <v>18</v>
      </c>
      <c r="N503" s="7">
        <v>1</v>
      </c>
      <c r="O503" s="7">
        <v>0.5</v>
      </c>
    </row>
    <row r="504" spans="1:15" x14ac:dyDescent="0.25">
      <c r="A504" s="6" t="s">
        <v>22</v>
      </c>
      <c r="B504" s="6" t="s">
        <v>224</v>
      </c>
      <c r="C504" s="7">
        <v>33260</v>
      </c>
      <c r="D504" s="6" t="s">
        <v>133</v>
      </c>
      <c r="E504" s="6" t="s">
        <v>227</v>
      </c>
      <c r="F504" s="6" t="s">
        <v>269</v>
      </c>
      <c r="G504" s="6" t="s">
        <v>50</v>
      </c>
      <c r="H504" s="6" t="s">
        <v>765</v>
      </c>
      <c r="I504" s="6" t="s">
        <v>766</v>
      </c>
      <c r="J504" s="6" t="s">
        <v>766</v>
      </c>
      <c r="K504" s="7">
        <v>5683127</v>
      </c>
      <c r="L504" s="7">
        <v>658532</v>
      </c>
      <c r="M504" s="7">
        <v>18</v>
      </c>
      <c r="N504" s="7">
        <v>1</v>
      </c>
      <c r="O504" s="7">
        <v>1.8</v>
      </c>
    </row>
    <row r="505" spans="1:15" x14ac:dyDescent="0.25">
      <c r="A505" s="6" t="s">
        <v>22</v>
      </c>
      <c r="B505" s="6" t="s">
        <v>224</v>
      </c>
      <c r="C505" s="7">
        <v>33261</v>
      </c>
      <c r="D505" s="6" t="s">
        <v>133</v>
      </c>
      <c r="E505" s="6" t="s">
        <v>258</v>
      </c>
      <c r="F505" s="6" t="s">
        <v>258</v>
      </c>
      <c r="G505" s="6" t="s">
        <v>50</v>
      </c>
      <c r="H505" s="6" t="s">
        <v>765</v>
      </c>
      <c r="I505" s="6" t="s">
        <v>766</v>
      </c>
      <c r="J505" s="6" t="s">
        <v>766</v>
      </c>
      <c r="K505" s="7">
        <v>5724804</v>
      </c>
      <c r="L505" s="7">
        <v>686599</v>
      </c>
      <c r="M505" s="7">
        <v>18</v>
      </c>
      <c r="N505" s="7">
        <v>1</v>
      </c>
      <c r="O505" s="7">
        <v>1.2</v>
      </c>
    </row>
    <row r="506" spans="1:15" x14ac:dyDescent="0.25">
      <c r="A506" s="6" t="s">
        <v>22</v>
      </c>
      <c r="B506" s="6" t="s">
        <v>224</v>
      </c>
      <c r="C506" s="7">
        <v>33312</v>
      </c>
      <c r="D506" s="6" t="s">
        <v>133</v>
      </c>
      <c r="E506" s="6" t="s">
        <v>270</v>
      </c>
      <c r="F506" s="6" t="s">
        <v>271</v>
      </c>
      <c r="G506" s="6" t="s">
        <v>50</v>
      </c>
      <c r="H506" s="6" t="s">
        <v>765</v>
      </c>
      <c r="I506" s="6" t="s">
        <v>766</v>
      </c>
      <c r="J506" s="6" t="s">
        <v>766</v>
      </c>
      <c r="K506" s="7">
        <v>5705108</v>
      </c>
      <c r="L506" s="7">
        <v>688477</v>
      </c>
      <c r="M506" s="7">
        <v>18</v>
      </c>
      <c r="N506" s="7">
        <v>1</v>
      </c>
      <c r="O506" s="7">
        <v>0.3</v>
      </c>
    </row>
    <row r="507" spans="1:15" x14ac:dyDescent="0.25">
      <c r="A507" s="6" t="s">
        <v>28</v>
      </c>
      <c r="B507" s="6" t="s">
        <v>224</v>
      </c>
      <c r="C507" s="7">
        <v>33418</v>
      </c>
      <c r="D507" s="6" t="s">
        <v>272</v>
      </c>
      <c r="E507" s="6" t="s">
        <v>273</v>
      </c>
      <c r="F507" s="6" t="s">
        <v>274</v>
      </c>
      <c r="G507" s="6" t="s">
        <v>50</v>
      </c>
      <c r="H507" s="6" t="s">
        <v>33</v>
      </c>
      <c r="I507" s="6" t="s">
        <v>112</v>
      </c>
      <c r="J507" s="6" t="s">
        <v>764</v>
      </c>
      <c r="K507" s="7">
        <v>5629335</v>
      </c>
      <c r="L507" s="7">
        <v>667345</v>
      </c>
      <c r="M507" s="7">
        <v>18</v>
      </c>
      <c r="N507" s="7">
        <v>1</v>
      </c>
      <c r="O507" s="7">
        <v>1</v>
      </c>
    </row>
    <row r="508" spans="1:15" x14ac:dyDescent="0.25">
      <c r="A508" s="6" t="s">
        <v>14</v>
      </c>
      <c r="B508" s="6" t="s">
        <v>224</v>
      </c>
      <c r="C508" s="7">
        <v>33434</v>
      </c>
      <c r="D508" s="6" t="s">
        <v>133</v>
      </c>
      <c r="E508" s="6" t="s">
        <v>227</v>
      </c>
      <c r="F508" s="6" t="s">
        <v>275</v>
      </c>
      <c r="G508" s="6" t="s">
        <v>50</v>
      </c>
      <c r="H508" s="6" t="s">
        <v>33</v>
      </c>
      <c r="I508" s="6" t="s">
        <v>112</v>
      </c>
      <c r="J508" s="6" t="s">
        <v>764</v>
      </c>
      <c r="K508" s="7">
        <v>5677008</v>
      </c>
      <c r="L508" s="7">
        <v>652916</v>
      </c>
      <c r="M508" s="7">
        <v>18</v>
      </c>
      <c r="N508" s="7">
        <v>1</v>
      </c>
      <c r="O508" s="7">
        <v>2</v>
      </c>
    </row>
    <row r="509" spans="1:15" x14ac:dyDescent="0.25">
      <c r="A509" s="6" t="s">
        <v>22</v>
      </c>
      <c r="B509" s="6" t="s">
        <v>224</v>
      </c>
      <c r="C509" s="7">
        <v>33517</v>
      </c>
      <c r="D509" s="6" t="s">
        <v>133</v>
      </c>
      <c r="E509" s="6" t="s">
        <v>258</v>
      </c>
      <c r="F509" s="6" t="s">
        <v>276</v>
      </c>
      <c r="G509" s="6" t="s">
        <v>50</v>
      </c>
      <c r="H509" s="6" t="s">
        <v>765</v>
      </c>
      <c r="I509" s="6" t="s">
        <v>766</v>
      </c>
      <c r="J509" s="6" t="s">
        <v>766</v>
      </c>
      <c r="K509" s="7">
        <v>5726231</v>
      </c>
      <c r="L509" s="7">
        <v>692983</v>
      </c>
      <c r="M509" s="7">
        <v>18</v>
      </c>
      <c r="N509" s="7">
        <v>1</v>
      </c>
      <c r="O509" s="7">
        <v>1.43</v>
      </c>
    </row>
    <row r="510" spans="1:15" x14ac:dyDescent="0.25">
      <c r="A510" s="6" t="s">
        <v>22</v>
      </c>
      <c r="B510" s="6" t="s">
        <v>224</v>
      </c>
      <c r="C510" s="7">
        <v>33518</v>
      </c>
      <c r="D510" s="6" t="s">
        <v>133</v>
      </c>
      <c r="E510" s="6" t="s">
        <v>277</v>
      </c>
      <c r="F510" s="6" t="s">
        <v>278</v>
      </c>
      <c r="G510" s="6" t="s">
        <v>50</v>
      </c>
      <c r="H510" s="6" t="s">
        <v>765</v>
      </c>
      <c r="I510" s="6" t="s">
        <v>766</v>
      </c>
      <c r="J510" s="6" t="s">
        <v>766</v>
      </c>
      <c r="K510" s="7">
        <v>5726687</v>
      </c>
      <c r="L510" s="7">
        <v>699254</v>
      </c>
      <c r="M510" s="7">
        <v>18</v>
      </c>
      <c r="N510" s="7">
        <v>1</v>
      </c>
      <c r="O510" s="7">
        <v>1.1299999999999999</v>
      </c>
    </row>
    <row r="511" spans="1:15" x14ac:dyDescent="0.25">
      <c r="A511" s="6" t="s">
        <v>22</v>
      </c>
      <c r="B511" s="6" t="s">
        <v>224</v>
      </c>
      <c r="C511" s="7">
        <v>33530</v>
      </c>
      <c r="D511" s="6" t="s">
        <v>133</v>
      </c>
      <c r="E511" s="6" t="s">
        <v>270</v>
      </c>
      <c r="F511" s="6" t="s">
        <v>279</v>
      </c>
      <c r="G511" s="6" t="s">
        <v>50</v>
      </c>
      <c r="H511" s="6" t="s">
        <v>765</v>
      </c>
      <c r="I511" s="6" t="s">
        <v>766</v>
      </c>
      <c r="J511" s="6" t="s">
        <v>766</v>
      </c>
      <c r="K511" s="7">
        <v>5697693</v>
      </c>
      <c r="L511" s="7">
        <v>670482</v>
      </c>
      <c r="M511" s="7">
        <v>18</v>
      </c>
      <c r="N511" s="7">
        <v>1</v>
      </c>
      <c r="O511" s="7">
        <v>1.8</v>
      </c>
    </row>
    <row r="512" spans="1:15" x14ac:dyDescent="0.25">
      <c r="A512" s="6" t="s">
        <v>22</v>
      </c>
      <c r="B512" s="6" t="s">
        <v>224</v>
      </c>
      <c r="C512" s="7">
        <v>33542</v>
      </c>
      <c r="D512" s="6" t="s">
        <v>133</v>
      </c>
      <c r="E512" s="6" t="s">
        <v>235</v>
      </c>
      <c r="F512" s="6" t="s">
        <v>280</v>
      </c>
      <c r="G512" s="6" t="s">
        <v>50</v>
      </c>
      <c r="H512" s="6" t="s">
        <v>765</v>
      </c>
      <c r="I512" s="6" t="s">
        <v>766</v>
      </c>
      <c r="J512" s="6" t="s">
        <v>766</v>
      </c>
      <c r="K512" s="7">
        <v>5684930</v>
      </c>
      <c r="L512" s="7">
        <v>244864</v>
      </c>
      <c r="M512" s="7">
        <v>19</v>
      </c>
      <c r="N512" s="7">
        <v>1</v>
      </c>
      <c r="O512" s="7">
        <v>1.2</v>
      </c>
    </row>
    <row r="513" spans="1:15" x14ac:dyDescent="0.25">
      <c r="A513" s="6" t="s">
        <v>22</v>
      </c>
      <c r="B513" s="6" t="s">
        <v>224</v>
      </c>
      <c r="C513" s="7">
        <v>33546</v>
      </c>
      <c r="D513" s="6" t="s">
        <v>133</v>
      </c>
      <c r="E513" s="6" t="s">
        <v>221</v>
      </c>
      <c r="F513" s="6" t="s">
        <v>281</v>
      </c>
      <c r="G513" s="6" t="s">
        <v>50</v>
      </c>
      <c r="H513" s="6" t="s">
        <v>765</v>
      </c>
      <c r="I513" s="6" t="s">
        <v>766</v>
      </c>
      <c r="J513" s="6" t="s">
        <v>766</v>
      </c>
      <c r="K513" s="7">
        <v>5687096</v>
      </c>
      <c r="L513" s="7">
        <v>697882</v>
      </c>
      <c r="M513" s="7">
        <v>18</v>
      </c>
      <c r="N513" s="7">
        <v>1</v>
      </c>
      <c r="O513" s="7">
        <v>1.7</v>
      </c>
    </row>
    <row r="514" spans="1:15" x14ac:dyDescent="0.25">
      <c r="A514" s="6" t="s">
        <v>22</v>
      </c>
      <c r="B514" s="6" t="s">
        <v>224</v>
      </c>
      <c r="C514" s="7">
        <v>33561</v>
      </c>
      <c r="D514" s="6" t="s">
        <v>133</v>
      </c>
      <c r="E514" s="6" t="s">
        <v>235</v>
      </c>
      <c r="F514" s="6" t="s">
        <v>282</v>
      </c>
      <c r="G514" s="6" t="s">
        <v>50</v>
      </c>
      <c r="H514" s="6" t="s">
        <v>765</v>
      </c>
      <c r="I514" s="6" t="s">
        <v>766</v>
      </c>
      <c r="J514" s="6" t="s">
        <v>766</v>
      </c>
      <c r="K514" s="7">
        <v>5680971</v>
      </c>
      <c r="L514" s="7">
        <v>758951</v>
      </c>
      <c r="M514" s="7">
        <v>18</v>
      </c>
      <c r="N514" s="7">
        <v>1</v>
      </c>
      <c r="O514" s="7">
        <v>1</v>
      </c>
    </row>
    <row r="515" spans="1:15" x14ac:dyDescent="0.25">
      <c r="A515" s="6" t="s">
        <v>28</v>
      </c>
      <c r="B515" s="6" t="s">
        <v>224</v>
      </c>
      <c r="C515" s="7">
        <v>34148</v>
      </c>
      <c r="D515" s="6" t="s">
        <v>98</v>
      </c>
      <c r="E515" s="6" t="s">
        <v>283</v>
      </c>
      <c r="F515" s="6" t="s">
        <v>284</v>
      </c>
      <c r="G515" s="6" t="s">
        <v>50</v>
      </c>
      <c r="H515" s="6" t="s">
        <v>33</v>
      </c>
      <c r="I515" s="6" t="s">
        <v>112</v>
      </c>
      <c r="J515" s="6" t="s">
        <v>112</v>
      </c>
      <c r="K515" s="7">
        <v>5821948</v>
      </c>
      <c r="L515" s="7">
        <v>726840</v>
      </c>
      <c r="M515" s="7">
        <v>18</v>
      </c>
      <c r="N515" s="7">
        <v>1</v>
      </c>
      <c r="O515" s="7">
        <v>1.55</v>
      </c>
    </row>
    <row r="516" spans="1:15" x14ac:dyDescent="0.25">
      <c r="A516" s="6" t="s">
        <v>28</v>
      </c>
      <c r="B516" s="6" t="s">
        <v>224</v>
      </c>
      <c r="C516" s="7">
        <v>34149</v>
      </c>
      <c r="D516" s="6" t="s">
        <v>133</v>
      </c>
      <c r="E516" s="6" t="s">
        <v>221</v>
      </c>
      <c r="F516" s="6" t="s">
        <v>228</v>
      </c>
      <c r="G516" s="6" t="s">
        <v>50</v>
      </c>
      <c r="H516" s="6" t="s">
        <v>33</v>
      </c>
      <c r="I516" s="6" t="s">
        <v>112</v>
      </c>
      <c r="J516" s="6" t="s">
        <v>112</v>
      </c>
      <c r="K516" s="7">
        <v>5687096</v>
      </c>
      <c r="L516" s="7">
        <v>697882</v>
      </c>
      <c r="M516" s="7">
        <v>18</v>
      </c>
      <c r="N516" s="7">
        <v>1</v>
      </c>
      <c r="O516" s="7">
        <v>1.59</v>
      </c>
    </row>
    <row r="517" spans="1:15" x14ac:dyDescent="0.25">
      <c r="A517" s="6" t="s">
        <v>22</v>
      </c>
      <c r="B517" s="6" t="s">
        <v>224</v>
      </c>
      <c r="C517" s="7">
        <v>34150</v>
      </c>
      <c r="D517" s="6" t="s">
        <v>98</v>
      </c>
      <c r="E517" s="6" t="s">
        <v>283</v>
      </c>
      <c r="F517" s="6" t="s">
        <v>284</v>
      </c>
      <c r="G517" s="6" t="s">
        <v>50</v>
      </c>
      <c r="H517" s="6" t="s">
        <v>765</v>
      </c>
      <c r="I517" s="6" t="s">
        <v>766</v>
      </c>
      <c r="J517" s="6" t="s">
        <v>766</v>
      </c>
      <c r="K517" s="7">
        <v>5821948</v>
      </c>
      <c r="L517" s="7">
        <v>726840</v>
      </c>
      <c r="M517" s="7">
        <v>18</v>
      </c>
      <c r="N517" s="7">
        <v>1</v>
      </c>
      <c r="O517" s="7">
        <v>1.2</v>
      </c>
    </row>
    <row r="518" spans="1:15" x14ac:dyDescent="0.25">
      <c r="A518" s="6" t="s">
        <v>22</v>
      </c>
      <c r="B518" s="6" t="s">
        <v>224</v>
      </c>
      <c r="C518" s="7">
        <v>34571</v>
      </c>
      <c r="D518" s="6" t="s">
        <v>133</v>
      </c>
      <c r="E518" s="6" t="s">
        <v>258</v>
      </c>
      <c r="F518" s="6" t="s">
        <v>285</v>
      </c>
      <c r="G518" s="6" t="s">
        <v>50</v>
      </c>
      <c r="H518" s="6" t="s">
        <v>765</v>
      </c>
      <c r="I518" s="6" t="s">
        <v>766</v>
      </c>
      <c r="J518" s="6" t="s">
        <v>766</v>
      </c>
      <c r="K518" s="7">
        <v>5727374</v>
      </c>
      <c r="L518" s="7">
        <v>686078</v>
      </c>
      <c r="M518" s="7">
        <v>18</v>
      </c>
      <c r="N518" s="7">
        <v>1</v>
      </c>
      <c r="O518" s="7">
        <v>1.44</v>
      </c>
    </row>
    <row r="519" spans="1:15" x14ac:dyDescent="0.25">
      <c r="A519" s="6" t="s">
        <v>22</v>
      </c>
      <c r="B519" s="6" t="s">
        <v>224</v>
      </c>
      <c r="C519" s="7">
        <v>34573</v>
      </c>
      <c r="D519" s="6" t="s">
        <v>133</v>
      </c>
      <c r="E519" s="6" t="s">
        <v>258</v>
      </c>
      <c r="F519" s="6" t="s">
        <v>285</v>
      </c>
      <c r="G519" s="6" t="s">
        <v>50</v>
      </c>
      <c r="H519" s="6" t="s">
        <v>765</v>
      </c>
      <c r="I519" s="6" t="s">
        <v>766</v>
      </c>
      <c r="J519" s="6" t="s">
        <v>766</v>
      </c>
      <c r="K519" s="7">
        <v>5727374</v>
      </c>
      <c r="L519" s="7">
        <v>685967</v>
      </c>
      <c r="M519" s="7">
        <v>18</v>
      </c>
      <c r="N519" s="7">
        <v>1</v>
      </c>
      <c r="O519" s="7">
        <v>1.67</v>
      </c>
    </row>
    <row r="520" spans="1:15" x14ac:dyDescent="0.25">
      <c r="A520" s="6" t="s">
        <v>22</v>
      </c>
      <c r="B520" s="6" t="s">
        <v>224</v>
      </c>
      <c r="C520" s="7">
        <v>34574</v>
      </c>
      <c r="D520" s="6" t="s">
        <v>133</v>
      </c>
      <c r="E520" s="6" t="s">
        <v>258</v>
      </c>
      <c r="F520" s="6" t="s">
        <v>285</v>
      </c>
      <c r="G520" s="6" t="s">
        <v>50</v>
      </c>
      <c r="H520" s="6" t="s">
        <v>765</v>
      </c>
      <c r="I520" s="6" t="s">
        <v>766</v>
      </c>
      <c r="J520" s="6" t="s">
        <v>766</v>
      </c>
      <c r="K520" s="7">
        <v>5727446</v>
      </c>
      <c r="L520" s="7">
        <v>685903</v>
      </c>
      <c r="M520" s="7">
        <v>18</v>
      </c>
      <c r="N520" s="7">
        <v>1</v>
      </c>
      <c r="O520" s="7">
        <v>1.7</v>
      </c>
    </row>
    <row r="521" spans="1:15" x14ac:dyDescent="0.25">
      <c r="A521" s="6" t="s">
        <v>22</v>
      </c>
      <c r="B521" s="6" t="s">
        <v>224</v>
      </c>
      <c r="C521" s="7">
        <v>34985</v>
      </c>
      <c r="D521" s="6" t="s">
        <v>133</v>
      </c>
      <c r="E521" s="6" t="s">
        <v>218</v>
      </c>
      <c r="F521" s="6" t="s">
        <v>237</v>
      </c>
      <c r="G521" s="6" t="s">
        <v>50</v>
      </c>
      <c r="H521" s="6" t="s">
        <v>765</v>
      </c>
      <c r="I521" s="6" t="s">
        <v>766</v>
      </c>
      <c r="J521" s="6" t="s">
        <v>766</v>
      </c>
      <c r="K521" s="7">
        <v>5717458</v>
      </c>
      <c r="L521" s="7">
        <v>759597</v>
      </c>
      <c r="M521" s="7">
        <v>18</v>
      </c>
      <c r="N521" s="7">
        <v>3</v>
      </c>
      <c r="O521" s="7">
        <v>6.74</v>
      </c>
    </row>
    <row r="522" spans="1:15" x14ac:dyDescent="0.25">
      <c r="A522" s="6" t="s">
        <v>22</v>
      </c>
      <c r="B522" s="6" t="s">
        <v>286</v>
      </c>
      <c r="C522" s="7">
        <v>32170</v>
      </c>
      <c r="D522" s="6" t="s">
        <v>42</v>
      </c>
      <c r="E522" s="6" t="s">
        <v>167</v>
      </c>
      <c r="F522" s="6" t="s">
        <v>287</v>
      </c>
      <c r="G522" s="6" t="s">
        <v>32</v>
      </c>
      <c r="H522" s="6" t="s">
        <v>765</v>
      </c>
      <c r="I522" s="6" t="s">
        <v>766</v>
      </c>
      <c r="J522" s="6" t="s">
        <v>766</v>
      </c>
      <c r="K522" s="7">
        <v>6225939</v>
      </c>
      <c r="L522" s="7">
        <v>340247</v>
      </c>
      <c r="M522" s="7">
        <v>19</v>
      </c>
      <c r="N522" s="7">
        <v>1</v>
      </c>
      <c r="O522" s="7">
        <v>0.85</v>
      </c>
    </row>
    <row r="523" spans="1:15" x14ac:dyDescent="0.25">
      <c r="A523" s="6" t="s">
        <v>22</v>
      </c>
      <c r="B523" s="6" t="s">
        <v>290</v>
      </c>
      <c r="C523" s="7">
        <v>30497</v>
      </c>
      <c r="D523" s="6" t="s">
        <v>16</v>
      </c>
      <c r="E523" s="6" t="s">
        <v>291</v>
      </c>
      <c r="F523" s="6" t="s">
        <v>292</v>
      </c>
      <c r="G523" s="6" t="s">
        <v>32</v>
      </c>
      <c r="H523" s="6" t="s">
        <v>765</v>
      </c>
      <c r="I523" s="6" t="s">
        <v>766</v>
      </c>
      <c r="J523" s="6" t="s">
        <v>766</v>
      </c>
      <c r="K523" s="7">
        <v>6366096</v>
      </c>
      <c r="L523" s="7">
        <v>356235</v>
      </c>
      <c r="M523" s="7">
        <v>19</v>
      </c>
      <c r="N523" s="7">
        <v>1</v>
      </c>
      <c r="O523" s="7">
        <v>1</v>
      </c>
    </row>
    <row r="524" spans="1:15" x14ac:dyDescent="0.25">
      <c r="A524" s="6" t="s">
        <v>22</v>
      </c>
      <c r="B524" s="6" t="s">
        <v>290</v>
      </c>
      <c r="C524" s="7">
        <v>34292</v>
      </c>
      <c r="D524" s="6" t="s">
        <v>16</v>
      </c>
      <c r="E524" s="6" t="s">
        <v>291</v>
      </c>
      <c r="F524" s="6" t="s">
        <v>292</v>
      </c>
      <c r="G524" s="6" t="s">
        <v>32</v>
      </c>
      <c r="H524" s="6" t="s">
        <v>765</v>
      </c>
      <c r="I524" s="6" t="s">
        <v>766</v>
      </c>
      <c r="J524" s="6" t="s">
        <v>766</v>
      </c>
      <c r="K524" s="7">
        <v>6366175</v>
      </c>
      <c r="L524" s="7">
        <v>356014</v>
      </c>
      <c r="M524" s="7">
        <v>19</v>
      </c>
      <c r="N524" s="7">
        <v>1</v>
      </c>
      <c r="O524" s="7">
        <v>5</v>
      </c>
    </row>
    <row r="525" spans="1:15" x14ac:dyDescent="0.25">
      <c r="A525" s="6" t="s">
        <v>22</v>
      </c>
      <c r="B525" s="6" t="s">
        <v>290</v>
      </c>
      <c r="C525" s="7">
        <v>34726</v>
      </c>
      <c r="D525" s="6" t="s">
        <v>16</v>
      </c>
      <c r="E525" s="6" t="s">
        <v>293</v>
      </c>
      <c r="F525" s="6" t="s">
        <v>294</v>
      </c>
      <c r="G525" s="6" t="s">
        <v>32</v>
      </c>
      <c r="H525" s="6" t="s">
        <v>765</v>
      </c>
      <c r="I525" s="6" t="s">
        <v>766</v>
      </c>
      <c r="J525" s="6" t="s">
        <v>766</v>
      </c>
      <c r="K525" s="7">
        <v>6370003</v>
      </c>
      <c r="L525" s="7">
        <v>347986</v>
      </c>
      <c r="M525" s="7">
        <v>19</v>
      </c>
      <c r="N525" s="7">
        <v>1</v>
      </c>
      <c r="O525" s="7">
        <v>1.2</v>
      </c>
    </row>
    <row r="526" spans="1:15" x14ac:dyDescent="0.25">
      <c r="A526" s="6" t="s">
        <v>22</v>
      </c>
      <c r="B526" s="6" t="s">
        <v>290</v>
      </c>
      <c r="C526" s="7">
        <v>34730</v>
      </c>
      <c r="D526" s="6" t="s">
        <v>16</v>
      </c>
      <c r="E526" s="6" t="s">
        <v>293</v>
      </c>
      <c r="F526" s="6" t="s">
        <v>294</v>
      </c>
      <c r="G526" s="6" t="s">
        <v>89</v>
      </c>
      <c r="H526" s="6" t="s">
        <v>765</v>
      </c>
      <c r="I526" s="6" t="s">
        <v>766</v>
      </c>
      <c r="J526" s="6" t="s">
        <v>766</v>
      </c>
      <c r="K526" s="7">
        <v>6370256</v>
      </c>
      <c r="L526" s="7">
        <v>347920</v>
      </c>
      <c r="M526" s="7">
        <v>19</v>
      </c>
      <c r="N526" s="7">
        <v>1</v>
      </c>
      <c r="O526" s="7">
        <v>0.3</v>
      </c>
    </row>
    <row r="527" spans="1:15" x14ac:dyDescent="0.25">
      <c r="A527" s="6" t="s">
        <v>22</v>
      </c>
      <c r="B527" s="6" t="s">
        <v>290</v>
      </c>
      <c r="C527" s="7">
        <v>34731</v>
      </c>
      <c r="D527" s="6" t="s">
        <v>16</v>
      </c>
      <c r="E527" s="6" t="s">
        <v>293</v>
      </c>
      <c r="F527" s="6" t="s">
        <v>294</v>
      </c>
      <c r="G527" s="6" t="s">
        <v>32</v>
      </c>
      <c r="H527" s="6" t="s">
        <v>765</v>
      </c>
      <c r="I527" s="6" t="s">
        <v>766</v>
      </c>
      <c r="J527" s="6" t="s">
        <v>766</v>
      </c>
      <c r="K527" s="7">
        <v>6370064</v>
      </c>
      <c r="L527" s="7">
        <v>347838</v>
      </c>
      <c r="M527" s="7">
        <v>19</v>
      </c>
      <c r="N527" s="7">
        <v>1</v>
      </c>
      <c r="O527" s="7">
        <v>1.2</v>
      </c>
    </row>
    <row r="528" spans="1:15" x14ac:dyDescent="0.25">
      <c r="A528" s="6" t="s">
        <v>22</v>
      </c>
      <c r="B528" s="6" t="s">
        <v>290</v>
      </c>
      <c r="C528" s="7">
        <v>34994</v>
      </c>
      <c r="D528" s="6" t="s">
        <v>16</v>
      </c>
      <c r="E528" s="6" t="s">
        <v>295</v>
      </c>
      <c r="F528" s="6" t="s">
        <v>295</v>
      </c>
      <c r="G528" s="6" t="s">
        <v>89</v>
      </c>
      <c r="H528" s="6" t="s">
        <v>765</v>
      </c>
      <c r="I528" s="6" t="s">
        <v>766</v>
      </c>
      <c r="J528" s="6" t="s">
        <v>766</v>
      </c>
      <c r="K528" s="7">
        <v>6366258</v>
      </c>
      <c r="L528" s="7">
        <v>348809</v>
      </c>
      <c r="M528" s="7">
        <v>19</v>
      </c>
      <c r="N528" s="7">
        <v>1</v>
      </c>
      <c r="O528" s="7">
        <v>0.7</v>
      </c>
    </row>
    <row r="529" spans="1:15" x14ac:dyDescent="0.25">
      <c r="A529" s="6" t="s">
        <v>22</v>
      </c>
      <c r="B529" s="6" t="s">
        <v>290</v>
      </c>
      <c r="C529" s="7">
        <v>35207</v>
      </c>
      <c r="D529" s="6" t="s">
        <v>16</v>
      </c>
      <c r="E529" s="6" t="s">
        <v>295</v>
      </c>
      <c r="F529" s="6" t="s">
        <v>295</v>
      </c>
      <c r="G529" s="6" t="s">
        <v>89</v>
      </c>
      <c r="H529" s="6" t="s">
        <v>765</v>
      </c>
      <c r="I529" s="6" t="s">
        <v>766</v>
      </c>
      <c r="J529" s="6" t="s">
        <v>766</v>
      </c>
      <c r="K529" s="7">
        <v>6366258</v>
      </c>
      <c r="L529" s="7">
        <v>348809</v>
      </c>
      <c r="M529" s="7">
        <v>19</v>
      </c>
      <c r="N529" s="7">
        <v>1</v>
      </c>
      <c r="O529" s="7">
        <v>0.03</v>
      </c>
    </row>
    <row r="530" spans="1:15" x14ac:dyDescent="0.25">
      <c r="A530" s="6" t="s">
        <v>14</v>
      </c>
      <c r="B530" s="6" t="s">
        <v>296</v>
      </c>
      <c r="C530" s="7">
        <v>29700</v>
      </c>
      <c r="D530" s="6" t="s">
        <v>297</v>
      </c>
      <c r="E530" s="6" t="s">
        <v>298</v>
      </c>
      <c r="F530" s="6" t="s">
        <v>298</v>
      </c>
      <c r="G530" s="6" t="s">
        <v>50</v>
      </c>
      <c r="H530" s="6" t="s">
        <v>19</v>
      </c>
      <c r="I530" s="6" t="s">
        <v>767</v>
      </c>
      <c r="J530" s="6" t="s">
        <v>767</v>
      </c>
      <c r="K530" s="7">
        <v>7953435</v>
      </c>
      <c r="L530" s="7">
        <v>372120</v>
      </c>
      <c r="M530" s="7">
        <v>19</v>
      </c>
      <c r="N530" s="7">
        <v>1</v>
      </c>
      <c r="O530" s="7">
        <v>0.1</v>
      </c>
    </row>
    <row r="531" spans="1:15" x14ac:dyDescent="0.25">
      <c r="A531" s="6" t="s">
        <v>14</v>
      </c>
      <c r="B531" s="6" t="s">
        <v>296</v>
      </c>
      <c r="C531" s="7">
        <v>29701</v>
      </c>
      <c r="D531" s="6" t="s">
        <v>297</v>
      </c>
      <c r="E531" s="6" t="s">
        <v>298</v>
      </c>
      <c r="F531" s="6" t="s">
        <v>299</v>
      </c>
      <c r="G531" s="6" t="s">
        <v>50</v>
      </c>
      <c r="H531" s="6" t="s">
        <v>19</v>
      </c>
      <c r="I531" s="6" t="s">
        <v>767</v>
      </c>
      <c r="J531" s="6" t="s">
        <v>767</v>
      </c>
      <c r="K531" s="7">
        <v>7923164</v>
      </c>
      <c r="L531" s="7">
        <v>371703</v>
      </c>
      <c r="M531" s="7">
        <v>19</v>
      </c>
      <c r="N531" s="7">
        <v>1</v>
      </c>
      <c r="O531" s="7">
        <v>0.02</v>
      </c>
    </row>
    <row r="532" spans="1:15" x14ac:dyDescent="0.25">
      <c r="A532" s="6" t="s">
        <v>28</v>
      </c>
      <c r="B532" s="6" t="s">
        <v>296</v>
      </c>
      <c r="C532" s="7">
        <v>30284</v>
      </c>
      <c r="D532" s="6" t="s">
        <v>42</v>
      </c>
      <c r="E532" s="6" t="s">
        <v>45</v>
      </c>
      <c r="F532" s="6" t="s">
        <v>195</v>
      </c>
      <c r="G532" s="6" t="s">
        <v>32</v>
      </c>
      <c r="H532" s="6" t="s">
        <v>33</v>
      </c>
      <c r="I532" s="6" t="s">
        <v>767</v>
      </c>
      <c r="J532" s="6" t="s">
        <v>764</v>
      </c>
      <c r="K532" s="7">
        <v>6164455</v>
      </c>
      <c r="L532" s="7">
        <v>325739</v>
      </c>
      <c r="M532" s="7">
        <v>19</v>
      </c>
      <c r="N532" s="7">
        <v>1</v>
      </c>
      <c r="O532" s="7">
        <v>15</v>
      </c>
    </row>
    <row r="533" spans="1:15" x14ac:dyDescent="0.25">
      <c r="A533" s="6" t="s">
        <v>28</v>
      </c>
      <c r="B533" s="6" t="s">
        <v>296</v>
      </c>
      <c r="C533" s="7">
        <v>30290</v>
      </c>
      <c r="D533" s="6" t="s">
        <v>42</v>
      </c>
      <c r="E533" s="6" t="s">
        <v>196</v>
      </c>
      <c r="F533" s="6" t="s">
        <v>300</v>
      </c>
      <c r="G533" s="6" t="s">
        <v>32</v>
      </c>
      <c r="H533" s="6" t="s">
        <v>33</v>
      </c>
      <c r="I533" s="6" t="s">
        <v>767</v>
      </c>
      <c r="J533" s="6" t="s">
        <v>764</v>
      </c>
      <c r="K533" s="7">
        <v>6222568</v>
      </c>
      <c r="L533" s="7">
        <v>337826</v>
      </c>
      <c r="M533" s="7">
        <v>19</v>
      </c>
      <c r="N533" s="7">
        <v>1</v>
      </c>
      <c r="O533" s="7">
        <v>6.2</v>
      </c>
    </row>
    <row r="534" spans="1:15" x14ac:dyDescent="0.25">
      <c r="A534" s="6" t="s">
        <v>28</v>
      </c>
      <c r="B534" s="6" t="s">
        <v>296</v>
      </c>
      <c r="C534" s="7">
        <v>30325</v>
      </c>
      <c r="D534" s="6" t="s">
        <v>42</v>
      </c>
      <c r="E534" s="6" t="s">
        <v>301</v>
      </c>
      <c r="F534" s="6" t="s">
        <v>302</v>
      </c>
      <c r="G534" s="6" t="s">
        <v>32</v>
      </c>
      <c r="H534" s="6" t="s">
        <v>33</v>
      </c>
      <c r="I534" s="6" t="s">
        <v>767</v>
      </c>
      <c r="J534" s="6" t="s">
        <v>764</v>
      </c>
      <c r="K534" s="7">
        <v>6214521</v>
      </c>
      <c r="L534" s="7">
        <v>345868</v>
      </c>
      <c r="M534" s="7">
        <v>19</v>
      </c>
      <c r="N534" s="7">
        <v>1</v>
      </c>
      <c r="O534" s="7">
        <v>20</v>
      </c>
    </row>
    <row r="535" spans="1:15" x14ac:dyDescent="0.25">
      <c r="A535" s="6" t="s">
        <v>28</v>
      </c>
      <c r="B535" s="6" t="s">
        <v>296</v>
      </c>
      <c r="C535" s="7">
        <v>30327</v>
      </c>
      <c r="D535" s="6" t="s">
        <v>42</v>
      </c>
      <c r="E535" s="6" t="s">
        <v>66</v>
      </c>
      <c r="F535" s="6" t="s">
        <v>66</v>
      </c>
      <c r="G535" s="6" t="s">
        <v>32</v>
      </c>
      <c r="H535" s="6" t="s">
        <v>33</v>
      </c>
      <c r="I535" s="6" t="s">
        <v>767</v>
      </c>
      <c r="J535" s="6" t="s">
        <v>764</v>
      </c>
      <c r="K535" s="7">
        <v>6231309</v>
      </c>
      <c r="L535" s="7">
        <v>349196</v>
      </c>
      <c r="M535" s="7">
        <v>19</v>
      </c>
      <c r="N535" s="7">
        <v>2</v>
      </c>
      <c r="O535" s="7">
        <v>20</v>
      </c>
    </row>
    <row r="536" spans="1:15" x14ac:dyDescent="0.25">
      <c r="A536" s="6" t="s">
        <v>28</v>
      </c>
      <c r="B536" s="6" t="s">
        <v>296</v>
      </c>
      <c r="C536" s="7">
        <v>30329</v>
      </c>
      <c r="D536" s="6" t="s">
        <v>42</v>
      </c>
      <c r="E536" s="6" t="s">
        <v>196</v>
      </c>
      <c r="F536" s="6" t="s">
        <v>303</v>
      </c>
      <c r="G536" s="6" t="s">
        <v>32</v>
      </c>
      <c r="H536" s="6" t="s">
        <v>33</v>
      </c>
      <c r="I536" s="6" t="s">
        <v>767</v>
      </c>
      <c r="J536" s="6" t="s">
        <v>764</v>
      </c>
      <c r="K536" s="7">
        <v>6223737</v>
      </c>
      <c r="L536" s="7">
        <v>333908</v>
      </c>
      <c r="M536" s="7">
        <v>19</v>
      </c>
      <c r="N536" s="7">
        <v>1</v>
      </c>
      <c r="O536" s="7">
        <v>8</v>
      </c>
    </row>
    <row r="537" spans="1:15" x14ac:dyDescent="0.25">
      <c r="A537" s="6" t="s">
        <v>28</v>
      </c>
      <c r="B537" s="6" t="s">
        <v>296</v>
      </c>
      <c r="C537" s="7">
        <v>30332</v>
      </c>
      <c r="D537" s="6" t="s">
        <v>42</v>
      </c>
      <c r="E537" s="6" t="s">
        <v>45</v>
      </c>
      <c r="F537" s="6" t="s">
        <v>45</v>
      </c>
      <c r="G537" s="6" t="s">
        <v>32</v>
      </c>
      <c r="H537" s="6" t="s">
        <v>33</v>
      </c>
      <c r="I537" s="6" t="s">
        <v>767</v>
      </c>
      <c r="J537" s="6" t="s">
        <v>764</v>
      </c>
      <c r="K537" s="7">
        <v>6169728</v>
      </c>
      <c r="L537" s="7">
        <v>318314</v>
      </c>
      <c r="M537" s="7">
        <v>19</v>
      </c>
      <c r="N537" s="7">
        <v>1</v>
      </c>
      <c r="O537" s="7">
        <v>5.5</v>
      </c>
    </row>
    <row r="538" spans="1:15" x14ac:dyDescent="0.25">
      <c r="A538" s="6" t="s">
        <v>28</v>
      </c>
      <c r="B538" s="6" t="s">
        <v>296</v>
      </c>
      <c r="C538" s="7">
        <v>30365</v>
      </c>
      <c r="D538" s="6" t="s">
        <v>42</v>
      </c>
      <c r="E538" s="6" t="s">
        <v>51</v>
      </c>
      <c r="F538" s="6" t="s">
        <v>85</v>
      </c>
      <c r="G538" s="6" t="s">
        <v>32</v>
      </c>
      <c r="H538" s="6" t="s">
        <v>33</v>
      </c>
      <c r="I538" s="6" t="s">
        <v>767</v>
      </c>
      <c r="J538" s="6" t="s">
        <v>764</v>
      </c>
      <c r="K538" s="7">
        <v>6150720</v>
      </c>
      <c r="L538" s="7">
        <v>314500</v>
      </c>
      <c r="M538" s="7">
        <v>19</v>
      </c>
      <c r="N538" s="7">
        <v>1</v>
      </c>
      <c r="O538" s="7">
        <v>12</v>
      </c>
    </row>
    <row r="539" spans="1:15" x14ac:dyDescent="0.25">
      <c r="A539" s="6" t="s">
        <v>28</v>
      </c>
      <c r="B539" s="6" t="s">
        <v>296</v>
      </c>
      <c r="C539" s="7">
        <v>30371</v>
      </c>
      <c r="D539" s="6" t="s">
        <v>42</v>
      </c>
      <c r="E539" s="6" t="s">
        <v>51</v>
      </c>
      <c r="F539" s="6" t="s">
        <v>66</v>
      </c>
      <c r="G539" s="6" t="s">
        <v>32</v>
      </c>
      <c r="H539" s="6" t="s">
        <v>33</v>
      </c>
      <c r="I539" s="6" t="s">
        <v>767</v>
      </c>
      <c r="J539" s="6" t="s">
        <v>764</v>
      </c>
      <c r="K539" s="7">
        <v>6145492</v>
      </c>
      <c r="L539" s="7">
        <v>320816</v>
      </c>
      <c r="M539" s="7">
        <v>19</v>
      </c>
      <c r="N539" s="7">
        <v>3</v>
      </c>
      <c r="O539" s="7">
        <v>11</v>
      </c>
    </row>
    <row r="540" spans="1:15" x14ac:dyDescent="0.25">
      <c r="A540" s="6" t="s">
        <v>28</v>
      </c>
      <c r="B540" s="6" t="s">
        <v>296</v>
      </c>
      <c r="C540" s="7">
        <v>30376</v>
      </c>
      <c r="D540" s="6" t="s">
        <v>42</v>
      </c>
      <c r="E540" s="6" t="s">
        <v>51</v>
      </c>
      <c r="F540" s="6" t="s">
        <v>304</v>
      </c>
      <c r="G540" s="6" t="s">
        <v>32</v>
      </c>
      <c r="H540" s="6" t="s">
        <v>33</v>
      </c>
      <c r="I540" s="6" t="s">
        <v>767</v>
      </c>
      <c r="J540" s="6" t="s">
        <v>764</v>
      </c>
      <c r="K540" s="7">
        <v>6156572</v>
      </c>
      <c r="L540" s="7">
        <v>314546</v>
      </c>
      <c r="M540" s="7">
        <v>19</v>
      </c>
      <c r="N540" s="7">
        <v>1</v>
      </c>
      <c r="O540" s="7">
        <v>7.5</v>
      </c>
    </row>
    <row r="541" spans="1:15" x14ac:dyDescent="0.25">
      <c r="A541" s="6" t="s">
        <v>28</v>
      </c>
      <c r="B541" s="6" t="s">
        <v>296</v>
      </c>
      <c r="C541" s="7">
        <v>30379</v>
      </c>
      <c r="D541" s="6" t="s">
        <v>42</v>
      </c>
      <c r="E541" s="6" t="s">
        <v>51</v>
      </c>
      <c r="F541" s="6" t="s">
        <v>304</v>
      </c>
      <c r="G541" s="6" t="s">
        <v>32</v>
      </c>
      <c r="H541" s="6" t="s">
        <v>33</v>
      </c>
      <c r="I541" s="6" t="s">
        <v>767</v>
      </c>
      <c r="J541" s="6" t="s">
        <v>764</v>
      </c>
      <c r="K541" s="7">
        <v>6157200</v>
      </c>
      <c r="L541" s="7">
        <v>314764</v>
      </c>
      <c r="M541" s="7">
        <v>19</v>
      </c>
      <c r="N541" s="7">
        <v>1</v>
      </c>
      <c r="O541" s="7">
        <v>10</v>
      </c>
    </row>
    <row r="542" spans="1:15" x14ac:dyDescent="0.25">
      <c r="A542" s="6" t="s">
        <v>28</v>
      </c>
      <c r="B542" s="6" t="s">
        <v>296</v>
      </c>
      <c r="C542" s="7">
        <v>30384</v>
      </c>
      <c r="D542" s="6" t="s">
        <v>42</v>
      </c>
      <c r="E542" s="6" t="s">
        <v>51</v>
      </c>
      <c r="F542" s="6" t="s">
        <v>304</v>
      </c>
      <c r="G542" s="6" t="s">
        <v>32</v>
      </c>
      <c r="H542" s="6" t="s">
        <v>33</v>
      </c>
      <c r="I542" s="6" t="s">
        <v>767</v>
      </c>
      <c r="J542" s="6" t="s">
        <v>764</v>
      </c>
      <c r="K542" s="7">
        <v>6157182</v>
      </c>
      <c r="L542" s="7">
        <v>314958</v>
      </c>
      <c r="M542" s="7">
        <v>19</v>
      </c>
      <c r="N542" s="7">
        <v>2</v>
      </c>
      <c r="O542" s="7">
        <v>9.5</v>
      </c>
    </row>
    <row r="543" spans="1:15" x14ac:dyDescent="0.25">
      <c r="A543" s="6" t="s">
        <v>28</v>
      </c>
      <c r="B543" s="6" t="s">
        <v>296</v>
      </c>
      <c r="C543" s="7">
        <v>30386</v>
      </c>
      <c r="D543" s="6" t="s">
        <v>42</v>
      </c>
      <c r="E543" s="6" t="s">
        <v>51</v>
      </c>
      <c r="F543" s="6" t="s">
        <v>304</v>
      </c>
      <c r="G543" s="6" t="s">
        <v>32</v>
      </c>
      <c r="H543" s="6" t="s">
        <v>33</v>
      </c>
      <c r="I543" s="6" t="s">
        <v>767</v>
      </c>
      <c r="J543" s="6" t="s">
        <v>764</v>
      </c>
      <c r="K543" s="7">
        <v>6156790</v>
      </c>
      <c r="L543" s="7">
        <v>314617</v>
      </c>
      <c r="M543" s="7">
        <v>19</v>
      </c>
      <c r="N543" s="7">
        <v>2</v>
      </c>
      <c r="O543" s="7">
        <v>25</v>
      </c>
    </row>
    <row r="544" spans="1:15" x14ac:dyDescent="0.25">
      <c r="A544" s="6" t="s">
        <v>28</v>
      </c>
      <c r="B544" s="6" t="s">
        <v>296</v>
      </c>
      <c r="C544" s="7">
        <v>30395</v>
      </c>
      <c r="D544" s="6" t="s">
        <v>39</v>
      </c>
      <c r="E544" s="6" t="s">
        <v>72</v>
      </c>
      <c r="F544" s="6" t="s">
        <v>74</v>
      </c>
      <c r="G544" s="6" t="s">
        <v>32</v>
      </c>
      <c r="H544" s="6" t="s">
        <v>33</v>
      </c>
      <c r="I544" s="6" t="s">
        <v>767</v>
      </c>
      <c r="J544" s="6" t="s">
        <v>767</v>
      </c>
      <c r="K544" s="7">
        <v>6061344</v>
      </c>
      <c r="L544" s="7">
        <v>274836</v>
      </c>
      <c r="M544" s="7">
        <v>19</v>
      </c>
      <c r="N544" s="7">
        <v>19</v>
      </c>
      <c r="O544" s="7">
        <v>140</v>
      </c>
    </row>
    <row r="545" spans="1:15" x14ac:dyDescent="0.25">
      <c r="A545" s="6" t="s">
        <v>28</v>
      </c>
      <c r="B545" s="6" t="s">
        <v>296</v>
      </c>
      <c r="C545" s="7">
        <v>30396</v>
      </c>
      <c r="D545" s="6" t="s">
        <v>39</v>
      </c>
      <c r="E545" s="6" t="s">
        <v>72</v>
      </c>
      <c r="F545" s="6" t="s">
        <v>305</v>
      </c>
      <c r="G545" s="6" t="s">
        <v>32</v>
      </c>
      <c r="H545" s="6" t="s">
        <v>33</v>
      </c>
      <c r="I545" s="6" t="s">
        <v>767</v>
      </c>
      <c r="J545" s="6" t="s">
        <v>767</v>
      </c>
      <c r="K545" s="7">
        <v>6061076</v>
      </c>
      <c r="L545" s="7">
        <v>273973</v>
      </c>
      <c r="M545" s="7">
        <v>19</v>
      </c>
      <c r="N545" s="7">
        <v>9</v>
      </c>
      <c r="O545" s="7">
        <v>70</v>
      </c>
    </row>
    <row r="546" spans="1:15" x14ac:dyDescent="0.25">
      <c r="A546" s="6" t="s">
        <v>28</v>
      </c>
      <c r="B546" s="6" t="s">
        <v>296</v>
      </c>
      <c r="C546" s="7">
        <v>30400</v>
      </c>
      <c r="D546" s="6" t="s">
        <v>42</v>
      </c>
      <c r="E546" s="6" t="s">
        <v>51</v>
      </c>
      <c r="F546" s="6" t="s">
        <v>306</v>
      </c>
      <c r="G546" s="6" t="s">
        <v>32</v>
      </c>
      <c r="H546" s="6" t="s">
        <v>33</v>
      </c>
      <c r="I546" s="6" t="s">
        <v>767</v>
      </c>
      <c r="J546" s="6" t="s">
        <v>764</v>
      </c>
      <c r="K546" s="7">
        <v>6154085</v>
      </c>
      <c r="L546" s="7">
        <v>313954</v>
      </c>
      <c r="M546" s="7">
        <v>19</v>
      </c>
      <c r="N546" s="7">
        <v>1</v>
      </c>
      <c r="O546" s="7">
        <v>5</v>
      </c>
    </row>
    <row r="547" spans="1:15" x14ac:dyDescent="0.25">
      <c r="A547" s="6" t="s">
        <v>28</v>
      </c>
      <c r="B547" s="6" t="s">
        <v>296</v>
      </c>
      <c r="C547" s="7">
        <v>30402</v>
      </c>
      <c r="D547" s="6" t="s">
        <v>42</v>
      </c>
      <c r="E547" s="6" t="s">
        <v>51</v>
      </c>
      <c r="F547" s="6" t="s">
        <v>306</v>
      </c>
      <c r="G547" s="6" t="s">
        <v>32</v>
      </c>
      <c r="H547" s="6" t="s">
        <v>33</v>
      </c>
      <c r="I547" s="6" t="s">
        <v>767</v>
      </c>
      <c r="J547" s="6" t="s">
        <v>764</v>
      </c>
      <c r="K547" s="7">
        <v>6154531</v>
      </c>
      <c r="L547" s="7">
        <v>313448</v>
      </c>
      <c r="M547" s="7">
        <v>19</v>
      </c>
      <c r="N547" s="7">
        <v>2</v>
      </c>
      <c r="O547" s="7">
        <v>4.5</v>
      </c>
    </row>
    <row r="548" spans="1:15" x14ac:dyDescent="0.25">
      <c r="A548" s="6" t="s">
        <v>28</v>
      </c>
      <c r="B548" s="6" t="s">
        <v>296</v>
      </c>
      <c r="C548" s="7">
        <v>30403</v>
      </c>
      <c r="D548" s="6" t="s">
        <v>42</v>
      </c>
      <c r="E548" s="6" t="s">
        <v>51</v>
      </c>
      <c r="F548" s="6" t="s">
        <v>306</v>
      </c>
      <c r="G548" s="6" t="s">
        <v>32</v>
      </c>
      <c r="H548" s="6" t="s">
        <v>33</v>
      </c>
      <c r="I548" s="6" t="s">
        <v>767</v>
      </c>
      <c r="J548" s="6" t="s">
        <v>764</v>
      </c>
      <c r="K548" s="7">
        <v>6154488</v>
      </c>
      <c r="L548" s="7">
        <v>313669</v>
      </c>
      <c r="M548" s="7">
        <v>19</v>
      </c>
      <c r="N548" s="7">
        <v>1</v>
      </c>
      <c r="O548" s="7">
        <v>5.5</v>
      </c>
    </row>
    <row r="549" spans="1:15" x14ac:dyDescent="0.25">
      <c r="A549" s="6" t="s">
        <v>28</v>
      </c>
      <c r="B549" s="6" t="s">
        <v>296</v>
      </c>
      <c r="C549" s="7">
        <v>30404</v>
      </c>
      <c r="D549" s="6" t="s">
        <v>42</v>
      </c>
      <c r="E549" s="6" t="s">
        <v>51</v>
      </c>
      <c r="F549" s="6" t="s">
        <v>306</v>
      </c>
      <c r="G549" s="6" t="s">
        <v>32</v>
      </c>
      <c r="H549" s="6" t="s">
        <v>33</v>
      </c>
      <c r="I549" s="6" t="s">
        <v>767</v>
      </c>
      <c r="J549" s="6" t="s">
        <v>764</v>
      </c>
      <c r="K549" s="7">
        <v>6154332</v>
      </c>
      <c r="L549" s="7">
        <v>313941</v>
      </c>
      <c r="M549" s="7">
        <v>19</v>
      </c>
      <c r="N549" s="7">
        <v>2</v>
      </c>
      <c r="O549" s="7">
        <v>17</v>
      </c>
    </row>
    <row r="550" spans="1:15" x14ac:dyDescent="0.25">
      <c r="A550" s="6" t="s">
        <v>28</v>
      </c>
      <c r="B550" s="6" t="s">
        <v>296</v>
      </c>
      <c r="C550" s="7">
        <v>30408</v>
      </c>
      <c r="D550" s="6" t="s">
        <v>42</v>
      </c>
      <c r="E550" s="6" t="s">
        <v>51</v>
      </c>
      <c r="F550" s="6" t="s">
        <v>55</v>
      </c>
      <c r="G550" s="6" t="s">
        <v>32</v>
      </c>
      <c r="H550" s="6" t="s">
        <v>33</v>
      </c>
      <c r="I550" s="6" t="s">
        <v>767</v>
      </c>
      <c r="J550" s="6" t="s">
        <v>767</v>
      </c>
      <c r="K550" s="7">
        <v>6165639</v>
      </c>
      <c r="L550" s="7">
        <v>319292</v>
      </c>
      <c r="M550" s="7">
        <v>19</v>
      </c>
      <c r="N550" s="7">
        <v>2</v>
      </c>
      <c r="O550" s="7">
        <v>24</v>
      </c>
    </row>
    <row r="551" spans="1:15" x14ac:dyDescent="0.25">
      <c r="A551" s="6" t="s">
        <v>28</v>
      </c>
      <c r="B551" s="6" t="s">
        <v>296</v>
      </c>
      <c r="C551" s="7">
        <v>30410</v>
      </c>
      <c r="D551" s="6" t="s">
        <v>42</v>
      </c>
      <c r="E551" s="6" t="s">
        <v>45</v>
      </c>
      <c r="F551" s="6" t="s">
        <v>307</v>
      </c>
      <c r="G551" s="6" t="s">
        <v>32</v>
      </c>
      <c r="H551" s="6" t="s">
        <v>33</v>
      </c>
      <c r="I551" s="6" t="s">
        <v>767</v>
      </c>
      <c r="J551" s="6" t="s">
        <v>767</v>
      </c>
      <c r="K551" s="7">
        <v>6172783</v>
      </c>
      <c r="L551" s="7">
        <v>323324</v>
      </c>
      <c r="M551" s="7">
        <v>19</v>
      </c>
      <c r="N551" s="7">
        <v>1</v>
      </c>
      <c r="O551" s="7">
        <v>8</v>
      </c>
    </row>
    <row r="552" spans="1:15" x14ac:dyDescent="0.25">
      <c r="A552" s="6" t="s">
        <v>28</v>
      </c>
      <c r="B552" s="6" t="s">
        <v>296</v>
      </c>
      <c r="C552" s="7">
        <v>30415</v>
      </c>
      <c r="D552" s="6" t="s">
        <v>42</v>
      </c>
      <c r="E552" s="6" t="s">
        <v>45</v>
      </c>
      <c r="F552" s="6" t="s">
        <v>195</v>
      </c>
      <c r="G552" s="6" t="s">
        <v>32</v>
      </c>
      <c r="H552" s="6" t="s">
        <v>33</v>
      </c>
      <c r="I552" s="6" t="s">
        <v>767</v>
      </c>
      <c r="J552" s="6" t="s">
        <v>767</v>
      </c>
      <c r="K552" s="7">
        <v>6163399</v>
      </c>
      <c r="L552" s="7">
        <v>328976</v>
      </c>
      <c r="M552" s="7">
        <v>19</v>
      </c>
      <c r="N552" s="7">
        <v>2</v>
      </c>
      <c r="O552" s="7">
        <v>24</v>
      </c>
    </row>
    <row r="553" spans="1:15" x14ac:dyDescent="0.25">
      <c r="A553" s="6" t="s">
        <v>28</v>
      </c>
      <c r="B553" s="6" t="s">
        <v>296</v>
      </c>
      <c r="C553" s="7">
        <v>30417</v>
      </c>
      <c r="D553" s="6" t="s">
        <v>42</v>
      </c>
      <c r="E553" s="6" t="s">
        <v>45</v>
      </c>
      <c r="F553" s="6" t="s">
        <v>308</v>
      </c>
      <c r="G553" s="6" t="s">
        <v>32</v>
      </c>
      <c r="H553" s="6" t="s">
        <v>33</v>
      </c>
      <c r="I553" s="6" t="s">
        <v>767</v>
      </c>
      <c r="J553" s="6" t="s">
        <v>767</v>
      </c>
      <c r="K553" s="7">
        <v>6173969</v>
      </c>
      <c r="L553" s="7">
        <v>322937</v>
      </c>
      <c r="M553" s="7">
        <v>19</v>
      </c>
      <c r="N553" s="7">
        <v>1</v>
      </c>
      <c r="O553" s="7">
        <v>6</v>
      </c>
    </row>
    <row r="554" spans="1:15" x14ac:dyDescent="0.25">
      <c r="A554" s="6" t="s">
        <v>14</v>
      </c>
      <c r="B554" s="6" t="s">
        <v>296</v>
      </c>
      <c r="C554" s="7">
        <v>30450</v>
      </c>
      <c r="D554" s="6" t="s">
        <v>39</v>
      </c>
      <c r="E554" s="6" t="s">
        <v>70</v>
      </c>
      <c r="F554" s="6" t="s">
        <v>309</v>
      </c>
      <c r="G554" s="6" t="s">
        <v>32</v>
      </c>
      <c r="H554" s="6" t="s">
        <v>33</v>
      </c>
      <c r="I554" s="6" t="s">
        <v>767</v>
      </c>
      <c r="J554" s="6" t="s">
        <v>764</v>
      </c>
      <c r="K554" s="7">
        <v>6083853</v>
      </c>
      <c r="L554" s="7">
        <v>265645</v>
      </c>
      <c r="M554" s="7">
        <v>19</v>
      </c>
      <c r="N554" s="7">
        <v>4</v>
      </c>
      <c r="O554" s="7">
        <v>52</v>
      </c>
    </row>
    <row r="555" spans="1:15" x14ac:dyDescent="0.25">
      <c r="A555" s="6" t="s">
        <v>28</v>
      </c>
      <c r="B555" s="6" t="s">
        <v>296</v>
      </c>
      <c r="C555" s="7">
        <v>30451</v>
      </c>
      <c r="D555" s="6" t="s">
        <v>39</v>
      </c>
      <c r="E555" s="6" t="s">
        <v>310</v>
      </c>
      <c r="F555" s="6" t="s">
        <v>311</v>
      </c>
      <c r="G555" s="6" t="s">
        <v>32</v>
      </c>
      <c r="H555" s="6" t="s">
        <v>33</v>
      </c>
      <c r="I555" s="6" t="s">
        <v>767</v>
      </c>
      <c r="J555" s="6" t="s">
        <v>764</v>
      </c>
      <c r="K555" s="7">
        <v>6107559</v>
      </c>
      <c r="L555" s="7">
        <v>298828</v>
      </c>
      <c r="M555" s="7">
        <v>19</v>
      </c>
      <c r="N555" s="7">
        <v>2</v>
      </c>
      <c r="O555" s="7">
        <v>12</v>
      </c>
    </row>
    <row r="556" spans="1:15" x14ac:dyDescent="0.25">
      <c r="A556" s="6" t="s">
        <v>28</v>
      </c>
      <c r="B556" s="6" t="s">
        <v>296</v>
      </c>
      <c r="C556" s="7">
        <v>30452</v>
      </c>
      <c r="D556" s="6" t="s">
        <v>39</v>
      </c>
      <c r="E556" s="6" t="s">
        <v>40</v>
      </c>
      <c r="F556" s="6" t="s">
        <v>312</v>
      </c>
      <c r="G556" s="6" t="s">
        <v>32</v>
      </c>
      <c r="H556" s="6" t="s">
        <v>33</v>
      </c>
      <c r="I556" s="6" t="s">
        <v>767</v>
      </c>
      <c r="J556" s="6" t="s">
        <v>764</v>
      </c>
      <c r="K556" s="7">
        <v>6096098</v>
      </c>
      <c r="L556" s="7">
        <v>292103</v>
      </c>
      <c r="M556" s="7">
        <v>19</v>
      </c>
      <c r="N556" s="7">
        <v>4</v>
      </c>
      <c r="O556" s="7">
        <v>34</v>
      </c>
    </row>
    <row r="557" spans="1:15" x14ac:dyDescent="0.25">
      <c r="A557" s="6" t="s">
        <v>28</v>
      </c>
      <c r="B557" s="6" t="s">
        <v>296</v>
      </c>
      <c r="C557" s="7">
        <v>30453</v>
      </c>
      <c r="D557" s="6" t="s">
        <v>39</v>
      </c>
      <c r="E557" s="6" t="s">
        <v>80</v>
      </c>
      <c r="F557" s="6" t="s">
        <v>80</v>
      </c>
      <c r="G557" s="6" t="s">
        <v>32</v>
      </c>
      <c r="H557" s="6" t="s">
        <v>33</v>
      </c>
      <c r="I557" s="6" t="s">
        <v>767</v>
      </c>
      <c r="J557" s="6" t="s">
        <v>764</v>
      </c>
      <c r="K557" s="7">
        <v>6080956</v>
      </c>
      <c r="L557" s="7">
        <v>278058</v>
      </c>
      <c r="M557" s="7">
        <v>19</v>
      </c>
      <c r="N557" s="7">
        <v>2</v>
      </c>
      <c r="O557" s="7">
        <v>16</v>
      </c>
    </row>
    <row r="558" spans="1:15" x14ac:dyDescent="0.25">
      <c r="A558" s="6" t="s">
        <v>28</v>
      </c>
      <c r="B558" s="6" t="s">
        <v>296</v>
      </c>
      <c r="C558" s="7">
        <v>30454</v>
      </c>
      <c r="D558" s="6" t="s">
        <v>39</v>
      </c>
      <c r="E558" s="6" t="s">
        <v>310</v>
      </c>
      <c r="F558" s="6" t="s">
        <v>310</v>
      </c>
      <c r="G558" s="6" t="s">
        <v>32</v>
      </c>
      <c r="H558" s="6" t="s">
        <v>33</v>
      </c>
      <c r="I558" s="6" t="s">
        <v>767</v>
      </c>
      <c r="J558" s="6" t="s">
        <v>767</v>
      </c>
      <c r="K558" s="7">
        <v>6115919</v>
      </c>
      <c r="L558" s="7">
        <v>290654</v>
      </c>
      <c r="M558" s="7">
        <v>19</v>
      </c>
      <c r="N558" s="7">
        <v>1</v>
      </c>
      <c r="O558" s="7">
        <v>3</v>
      </c>
    </row>
    <row r="559" spans="1:15" x14ac:dyDescent="0.25">
      <c r="A559" s="6" t="s">
        <v>28</v>
      </c>
      <c r="B559" s="6" t="s">
        <v>296</v>
      </c>
      <c r="C559" s="7">
        <v>30545</v>
      </c>
      <c r="D559" s="6" t="s">
        <v>39</v>
      </c>
      <c r="E559" s="6" t="s">
        <v>41</v>
      </c>
      <c r="F559" s="6" t="s">
        <v>313</v>
      </c>
      <c r="G559" s="6" t="s">
        <v>32</v>
      </c>
      <c r="H559" s="6" t="s">
        <v>33</v>
      </c>
      <c r="I559" s="6" t="s">
        <v>767</v>
      </c>
      <c r="J559" s="6" t="s">
        <v>764</v>
      </c>
      <c r="K559" s="7">
        <v>6112742</v>
      </c>
      <c r="L559" s="7">
        <v>273831</v>
      </c>
      <c r="M559" s="7">
        <v>19</v>
      </c>
      <c r="N559" s="7">
        <v>1</v>
      </c>
      <c r="O559" s="7">
        <v>13</v>
      </c>
    </row>
    <row r="560" spans="1:15" x14ac:dyDescent="0.25">
      <c r="A560" s="6" t="s">
        <v>28</v>
      </c>
      <c r="B560" s="6" t="s">
        <v>296</v>
      </c>
      <c r="C560" s="7">
        <v>30555</v>
      </c>
      <c r="D560" s="6" t="s">
        <v>39</v>
      </c>
      <c r="E560" s="6" t="s">
        <v>53</v>
      </c>
      <c r="F560" s="6" t="s">
        <v>190</v>
      </c>
      <c r="G560" s="6" t="s">
        <v>32</v>
      </c>
      <c r="H560" s="6" t="s">
        <v>33</v>
      </c>
      <c r="I560" s="6" t="s">
        <v>767</v>
      </c>
      <c r="J560" s="6" t="s">
        <v>767</v>
      </c>
      <c r="K560" s="7">
        <v>6133105</v>
      </c>
      <c r="L560" s="7">
        <v>316320</v>
      </c>
      <c r="M560" s="7">
        <v>19</v>
      </c>
      <c r="N560" s="7">
        <v>2</v>
      </c>
      <c r="O560" s="7">
        <v>18</v>
      </c>
    </row>
    <row r="561" spans="1:15" x14ac:dyDescent="0.25">
      <c r="A561" s="6" t="s">
        <v>28</v>
      </c>
      <c r="B561" s="6" t="s">
        <v>296</v>
      </c>
      <c r="C561" s="7">
        <v>30559</v>
      </c>
      <c r="D561" s="6" t="s">
        <v>39</v>
      </c>
      <c r="E561" s="6" t="s">
        <v>40</v>
      </c>
      <c r="F561" s="6" t="s">
        <v>181</v>
      </c>
      <c r="G561" s="6" t="s">
        <v>32</v>
      </c>
      <c r="H561" s="6" t="s">
        <v>33</v>
      </c>
      <c r="I561" s="6" t="s">
        <v>767</v>
      </c>
      <c r="J561" s="6" t="s">
        <v>764</v>
      </c>
      <c r="K561" s="7">
        <v>6118584</v>
      </c>
      <c r="L561" s="7">
        <v>302603</v>
      </c>
      <c r="M561" s="7">
        <v>19</v>
      </c>
      <c r="N561" s="7">
        <v>1</v>
      </c>
      <c r="O561" s="7">
        <v>12</v>
      </c>
    </row>
    <row r="562" spans="1:15" x14ac:dyDescent="0.25">
      <c r="A562" s="6" t="s">
        <v>28</v>
      </c>
      <c r="B562" s="6" t="s">
        <v>296</v>
      </c>
      <c r="C562" s="7">
        <v>30563</v>
      </c>
      <c r="D562" s="6" t="s">
        <v>39</v>
      </c>
      <c r="E562" s="6" t="s">
        <v>41</v>
      </c>
      <c r="F562" s="6" t="s">
        <v>313</v>
      </c>
      <c r="G562" s="6" t="s">
        <v>32</v>
      </c>
      <c r="H562" s="6" t="s">
        <v>33</v>
      </c>
      <c r="I562" s="6" t="s">
        <v>767</v>
      </c>
      <c r="J562" s="6" t="s">
        <v>764</v>
      </c>
      <c r="K562" s="7">
        <v>6113363</v>
      </c>
      <c r="L562" s="7">
        <v>274835</v>
      </c>
      <c r="M562" s="7">
        <v>19</v>
      </c>
      <c r="N562" s="7">
        <v>2</v>
      </c>
      <c r="O562" s="7">
        <v>30</v>
      </c>
    </row>
    <row r="563" spans="1:15" x14ac:dyDescent="0.25">
      <c r="A563" s="6" t="s">
        <v>28</v>
      </c>
      <c r="B563" s="6" t="s">
        <v>296</v>
      </c>
      <c r="C563" s="7">
        <v>30569</v>
      </c>
      <c r="D563" s="6" t="s">
        <v>39</v>
      </c>
      <c r="E563" s="6" t="s">
        <v>53</v>
      </c>
      <c r="F563" s="6" t="s">
        <v>190</v>
      </c>
      <c r="G563" s="6" t="s">
        <v>32</v>
      </c>
      <c r="H563" s="6" t="s">
        <v>33</v>
      </c>
      <c r="I563" s="6" t="s">
        <v>767</v>
      </c>
      <c r="J563" s="6" t="s">
        <v>764</v>
      </c>
      <c r="K563" s="7">
        <v>6132411</v>
      </c>
      <c r="L563" s="7">
        <v>317297</v>
      </c>
      <c r="M563" s="7">
        <v>19</v>
      </c>
      <c r="N563" s="7">
        <v>3</v>
      </c>
      <c r="O563" s="7">
        <v>12</v>
      </c>
    </row>
    <row r="564" spans="1:15" x14ac:dyDescent="0.25">
      <c r="A564" s="6" t="s">
        <v>28</v>
      </c>
      <c r="B564" s="6" t="s">
        <v>296</v>
      </c>
      <c r="C564" s="7">
        <v>30571</v>
      </c>
      <c r="D564" s="6" t="s">
        <v>39</v>
      </c>
      <c r="E564" s="6" t="s">
        <v>53</v>
      </c>
      <c r="F564" s="6" t="s">
        <v>190</v>
      </c>
      <c r="G564" s="6" t="s">
        <v>32</v>
      </c>
      <c r="H564" s="6" t="s">
        <v>33</v>
      </c>
      <c r="I564" s="6" t="s">
        <v>767</v>
      </c>
      <c r="J564" s="6" t="s">
        <v>767</v>
      </c>
      <c r="K564" s="7">
        <v>6133429</v>
      </c>
      <c r="L564" s="7">
        <v>316349</v>
      </c>
      <c r="M564" s="7">
        <v>19</v>
      </c>
      <c r="N564" s="7">
        <v>8</v>
      </c>
      <c r="O564" s="7">
        <v>65</v>
      </c>
    </row>
    <row r="565" spans="1:15" x14ac:dyDescent="0.25">
      <c r="A565" s="6" t="s">
        <v>28</v>
      </c>
      <c r="B565" s="6" t="s">
        <v>296</v>
      </c>
      <c r="C565" s="7">
        <v>30576</v>
      </c>
      <c r="D565" s="6" t="s">
        <v>42</v>
      </c>
      <c r="E565" s="6" t="s">
        <v>301</v>
      </c>
      <c r="F565" s="6" t="s">
        <v>17</v>
      </c>
      <c r="G565" s="6" t="s">
        <v>32</v>
      </c>
      <c r="H565" s="6" t="s">
        <v>33</v>
      </c>
      <c r="I565" s="6" t="s">
        <v>767</v>
      </c>
      <c r="J565" s="6" t="s">
        <v>764</v>
      </c>
      <c r="K565" s="7">
        <v>6214752</v>
      </c>
      <c r="L565" s="7">
        <v>347113</v>
      </c>
      <c r="M565" s="7">
        <v>19</v>
      </c>
      <c r="N565" s="7">
        <v>4</v>
      </c>
      <c r="O565" s="7">
        <v>40</v>
      </c>
    </row>
    <row r="566" spans="1:15" x14ac:dyDescent="0.25">
      <c r="A566" s="6" t="s">
        <v>28</v>
      </c>
      <c r="B566" s="6" t="s">
        <v>296</v>
      </c>
      <c r="C566" s="7">
        <v>30578</v>
      </c>
      <c r="D566" s="6" t="s">
        <v>42</v>
      </c>
      <c r="E566" s="6" t="s">
        <v>196</v>
      </c>
      <c r="F566" s="6" t="s">
        <v>168</v>
      </c>
      <c r="G566" s="6" t="s">
        <v>32</v>
      </c>
      <c r="H566" s="6" t="s">
        <v>33</v>
      </c>
      <c r="I566" s="6" t="s">
        <v>767</v>
      </c>
      <c r="J566" s="6" t="s">
        <v>764</v>
      </c>
      <c r="K566" s="7">
        <v>6220331</v>
      </c>
      <c r="L566" s="7">
        <v>342546</v>
      </c>
      <c r="M566" s="7">
        <v>19</v>
      </c>
      <c r="N566" s="7">
        <v>5</v>
      </c>
      <c r="O566" s="7">
        <v>52.5</v>
      </c>
    </row>
    <row r="567" spans="1:15" x14ac:dyDescent="0.25">
      <c r="A567" s="6" t="s">
        <v>28</v>
      </c>
      <c r="B567" s="6" t="s">
        <v>296</v>
      </c>
      <c r="C567" s="7">
        <v>30579</v>
      </c>
      <c r="D567" s="6" t="s">
        <v>39</v>
      </c>
      <c r="E567" s="6" t="s">
        <v>310</v>
      </c>
      <c r="F567" s="6" t="s">
        <v>314</v>
      </c>
      <c r="G567" s="6" t="s">
        <v>32</v>
      </c>
      <c r="H567" s="6" t="s">
        <v>33</v>
      </c>
      <c r="I567" s="6" t="s">
        <v>767</v>
      </c>
      <c r="J567" s="6" t="s">
        <v>767</v>
      </c>
      <c r="K567" s="7">
        <v>6114943</v>
      </c>
      <c r="L567" s="7">
        <v>292776</v>
      </c>
      <c r="M567" s="7">
        <v>19</v>
      </c>
      <c r="N567" s="7">
        <v>1</v>
      </c>
      <c r="O567" s="7">
        <v>23</v>
      </c>
    </row>
    <row r="568" spans="1:15" x14ac:dyDescent="0.25">
      <c r="A568" s="6" t="s">
        <v>28</v>
      </c>
      <c r="B568" s="6" t="s">
        <v>296</v>
      </c>
      <c r="C568" s="7">
        <v>30582</v>
      </c>
      <c r="D568" s="6" t="s">
        <v>39</v>
      </c>
      <c r="E568" s="6" t="s">
        <v>53</v>
      </c>
      <c r="F568" s="6" t="s">
        <v>190</v>
      </c>
      <c r="G568" s="6" t="s">
        <v>32</v>
      </c>
      <c r="H568" s="6" t="s">
        <v>33</v>
      </c>
      <c r="I568" s="6" t="s">
        <v>767</v>
      </c>
      <c r="J568" s="6" t="s">
        <v>767</v>
      </c>
      <c r="K568" s="7">
        <v>6135273</v>
      </c>
      <c r="L568" s="7">
        <v>315456</v>
      </c>
      <c r="M568" s="7">
        <v>19</v>
      </c>
      <c r="N568" s="7">
        <v>2</v>
      </c>
      <c r="O568" s="7">
        <v>8.5</v>
      </c>
    </row>
    <row r="569" spans="1:15" x14ac:dyDescent="0.25">
      <c r="A569" s="6" t="s">
        <v>28</v>
      </c>
      <c r="B569" s="6" t="s">
        <v>296</v>
      </c>
      <c r="C569" s="7">
        <v>30584</v>
      </c>
      <c r="D569" s="6" t="s">
        <v>42</v>
      </c>
      <c r="E569" s="6" t="s">
        <v>196</v>
      </c>
      <c r="F569" s="6" t="s">
        <v>315</v>
      </c>
      <c r="G569" s="6" t="s">
        <v>32</v>
      </c>
      <c r="H569" s="6" t="s">
        <v>33</v>
      </c>
      <c r="I569" s="6" t="s">
        <v>767</v>
      </c>
      <c r="J569" s="6" t="s">
        <v>764</v>
      </c>
      <c r="K569" s="7">
        <v>6220764</v>
      </c>
      <c r="L569" s="7">
        <v>322875</v>
      </c>
      <c r="M569" s="7">
        <v>19</v>
      </c>
      <c r="N569" s="7">
        <v>4</v>
      </c>
      <c r="O569" s="7">
        <v>61</v>
      </c>
    </row>
    <row r="570" spans="1:15" x14ac:dyDescent="0.25">
      <c r="A570" s="6" t="s">
        <v>28</v>
      </c>
      <c r="B570" s="6" t="s">
        <v>296</v>
      </c>
      <c r="C570" s="7">
        <v>30586</v>
      </c>
      <c r="D570" s="6" t="s">
        <v>39</v>
      </c>
      <c r="E570" s="6" t="s">
        <v>53</v>
      </c>
      <c r="F570" s="6" t="s">
        <v>316</v>
      </c>
      <c r="G570" s="6" t="s">
        <v>32</v>
      </c>
      <c r="H570" s="6" t="s">
        <v>33</v>
      </c>
      <c r="I570" s="6" t="s">
        <v>767</v>
      </c>
      <c r="J570" s="6" t="s">
        <v>767</v>
      </c>
      <c r="K570" s="7">
        <v>6146269</v>
      </c>
      <c r="L570" s="7">
        <v>308156</v>
      </c>
      <c r="M570" s="7">
        <v>19</v>
      </c>
      <c r="N570" s="7">
        <v>4</v>
      </c>
      <c r="O570" s="7">
        <v>13.5</v>
      </c>
    </row>
    <row r="571" spans="1:15" x14ac:dyDescent="0.25">
      <c r="A571" s="6" t="s">
        <v>28</v>
      </c>
      <c r="B571" s="6" t="s">
        <v>296</v>
      </c>
      <c r="C571" s="7">
        <v>30610</v>
      </c>
      <c r="D571" s="6" t="s">
        <v>42</v>
      </c>
      <c r="E571" s="6" t="s">
        <v>45</v>
      </c>
      <c r="F571" s="6" t="s">
        <v>195</v>
      </c>
      <c r="G571" s="6" t="s">
        <v>32</v>
      </c>
      <c r="H571" s="6" t="s">
        <v>33</v>
      </c>
      <c r="I571" s="6" t="s">
        <v>767</v>
      </c>
      <c r="J571" s="6" t="s">
        <v>764</v>
      </c>
      <c r="K571" s="7">
        <v>6166126</v>
      </c>
      <c r="L571" s="7">
        <v>328819</v>
      </c>
      <c r="M571" s="7">
        <v>19</v>
      </c>
      <c r="N571" s="7">
        <v>3</v>
      </c>
      <c r="O571" s="7">
        <v>9</v>
      </c>
    </row>
    <row r="572" spans="1:15" x14ac:dyDescent="0.25">
      <c r="A572" s="6" t="s">
        <v>28</v>
      </c>
      <c r="B572" s="6" t="s">
        <v>296</v>
      </c>
      <c r="C572" s="7">
        <v>30627</v>
      </c>
      <c r="D572" s="6" t="s">
        <v>42</v>
      </c>
      <c r="E572" s="6" t="s">
        <v>45</v>
      </c>
      <c r="F572" s="6" t="s">
        <v>45</v>
      </c>
      <c r="G572" s="6" t="s">
        <v>32</v>
      </c>
      <c r="H572" s="6" t="s">
        <v>33</v>
      </c>
      <c r="I572" s="6" t="s">
        <v>767</v>
      </c>
      <c r="J572" s="6" t="s">
        <v>767</v>
      </c>
      <c r="K572" s="7">
        <v>6170668</v>
      </c>
      <c r="L572" s="7">
        <v>319791</v>
      </c>
      <c r="M572" s="7">
        <v>19</v>
      </c>
      <c r="N572" s="7">
        <v>5</v>
      </c>
      <c r="O572" s="7">
        <v>51</v>
      </c>
    </row>
    <row r="573" spans="1:15" x14ac:dyDescent="0.25">
      <c r="A573" s="6" t="s">
        <v>28</v>
      </c>
      <c r="B573" s="6" t="s">
        <v>296</v>
      </c>
      <c r="C573" s="7">
        <v>30640</v>
      </c>
      <c r="D573" s="6" t="s">
        <v>39</v>
      </c>
      <c r="E573" s="6" t="s">
        <v>72</v>
      </c>
      <c r="F573" s="6" t="s">
        <v>73</v>
      </c>
      <c r="G573" s="6" t="s">
        <v>32</v>
      </c>
      <c r="H573" s="6" t="s">
        <v>33</v>
      </c>
      <c r="I573" s="6" t="s">
        <v>767</v>
      </c>
      <c r="J573" s="6" t="s">
        <v>767</v>
      </c>
      <c r="K573" s="7">
        <v>6068102</v>
      </c>
      <c r="L573" s="7">
        <v>288616</v>
      </c>
      <c r="M573" s="7">
        <v>19</v>
      </c>
      <c r="N573" s="7">
        <v>7</v>
      </c>
      <c r="O573" s="7">
        <v>54.6</v>
      </c>
    </row>
    <row r="574" spans="1:15" x14ac:dyDescent="0.25">
      <c r="A574" s="6" t="s">
        <v>28</v>
      </c>
      <c r="B574" s="6" t="s">
        <v>296</v>
      </c>
      <c r="C574" s="7">
        <v>30643</v>
      </c>
      <c r="D574" s="6" t="s">
        <v>39</v>
      </c>
      <c r="E574" s="6" t="s">
        <v>310</v>
      </c>
      <c r="F574" s="6" t="s">
        <v>311</v>
      </c>
      <c r="G574" s="6" t="s">
        <v>32</v>
      </c>
      <c r="H574" s="6" t="s">
        <v>33</v>
      </c>
      <c r="I574" s="6" t="s">
        <v>767</v>
      </c>
      <c r="J574" s="6" t="s">
        <v>764</v>
      </c>
      <c r="K574" s="7">
        <v>6106499</v>
      </c>
      <c r="L574" s="7">
        <v>301048</v>
      </c>
      <c r="M574" s="7">
        <v>19</v>
      </c>
      <c r="N574" s="7">
        <v>3</v>
      </c>
      <c r="O574" s="7">
        <v>19</v>
      </c>
    </row>
    <row r="575" spans="1:15" x14ac:dyDescent="0.25">
      <c r="A575" s="6" t="s">
        <v>28</v>
      </c>
      <c r="B575" s="6" t="s">
        <v>296</v>
      </c>
      <c r="C575" s="7">
        <v>30645</v>
      </c>
      <c r="D575" s="6" t="s">
        <v>39</v>
      </c>
      <c r="E575" s="6" t="s">
        <v>310</v>
      </c>
      <c r="F575" s="6" t="s">
        <v>317</v>
      </c>
      <c r="G575" s="6" t="s">
        <v>32</v>
      </c>
      <c r="H575" s="6" t="s">
        <v>33</v>
      </c>
      <c r="I575" s="6" t="s">
        <v>767</v>
      </c>
      <c r="J575" s="6" t="s">
        <v>764</v>
      </c>
      <c r="K575" s="7">
        <v>6106076</v>
      </c>
      <c r="L575" s="7">
        <v>295467</v>
      </c>
      <c r="M575" s="7">
        <v>19</v>
      </c>
      <c r="N575" s="7">
        <v>1</v>
      </c>
      <c r="O575" s="7">
        <v>10</v>
      </c>
    </row>
    <row r="576" spans="1:15" x14ac:dyDescent="0.25">
      <c r="A576" s="6" t="s">
        <v>28</v>
      </c>
      <c r="B576" s="6" t="s">
        <v>296</v>
      </c>
      <c r="C576" s="7">
        <v>30647</v>
      </c>
      <c r="D576" s="6" t="s">
        <v>39</v>
      </c>
      <c r="E576" s="6" t="s">
        <v>41</v>
      </c>
      <c r="F576" s="6" t="s">
        <v>41</v>
      </c>
      <c r="G576" s="6" t="s">
        <v>32</v>
      </c>
      <c r="H576" s="6" t="s">
        <v>33</v>
      </c>
      <c r="I576" s="6" t="s">
        <v>767</v>
      </c>
      <c r="J576" s="6" t="s">
        <v>767</v>
      </c>
      <c r="K576" s="7">
        <v>6117452</v>
      </c>
      <c r="L576" s="7">
        <v>290413</v>
      </c>
      <c r="M576" s="7">
        <v>19</v>
      </c>
      <c r="N576" s="7">
        <v>1</v>
      </c>
      <c r="O576" s="7">
        <v>10</v>
      </c>
    </row>
    <row r="577" spans="1:15" x14ac:dyDescent="0.25">
      <c r="A577" s="6" t="s">
        <v>28</v>
      </c>
      <c r="B577" s="6" t="s">
        <v>296</v>
      </c>
      <c r="C577" s="7">
        <v>30648</v>
      </c>
      <c r="D577" s="6" t="s">
        <v>39</v>
      </c>
      <c r="E577" s="6" t="s">
        <v>70</v>
      </c>
      <c r="F577" s="6" t="s">
        <v>318</v>
      </c>
      <c r="G577" s="6" t="s">
        <v>32</v>
      </c>
      <c r="H577" s="6" t="s">
        <v>33</v>
      </c>
      <c r="I577" s="6" t="s">
        <v>767</v>
      </c>
      <c r="J577" s="6" t="s">
        <v>764</v>
      </c>
      <c r="K577" s="7">
        <v>6082001</v>
      </c>
      <c r="L577" s="7">
        <v>267161</v>
      </c>
      <c r="M577" s="7">
        <v>19</v>
      </c>
      <c r="N577" s="7">
        <v>2</v>
      </c>
      <c r="O577" s="7">
        <v>11</v>
      </c>
    </row>
    <row r="578" spans="1:15" x14ac:dyDescent="0.25">
      <c r="A578" s="6" t="s">
        <v>28</v>
      </c>
      <c r="B578" s="6" t="s">
        <v>296</v>
      </c>
      <c r="C578" s="7">
        <v>30649</v>
      </c>
      <c r="D578" s="6" t="s">
        <v>39</v>
      </c>
      <c r="E578" s="6" t="s">
        <v>310</v>
      </c>
      <c r="F578" s="6" t="s">
        <v>310</v>
      </c>
      <c r="G578" s="6" t="s">
        <v>32</v>
      </c>
      <c r="H578" s="6" t="s">
        <v>33</v>
      </c>
      <c r="I578" s="6" t="s">
        <v>767</v>
      </c>
      <c r="J578" s="6" t="s">
        <v>764</v>
      </c>
      <c r="K578" s="7">
        <v>6114379</v>
      </c>
      <c r="L578" s="7">
        <v>292093</v>
      </c>
      <c r="M578" s="7">
        <v>19</v>
      </c>
      <c r="N578" s="7">
        <v>1</v>
      </c>
      <c r="O578" s="7">
        <v>15.5</v>
      </c>
    </row>
    <row r="579" spans="1:15" x14ac:dyDescent="0.25">
      <c r="A579" s="6" t="s">
        <v>28</v>
      </c>
      <c r="B579" s="6" t="s">
        <v>296</v>
      </c>
      <c r="C579" s="7">
        <v>30650</v>
      </c>
      <c r="D579" s="6" t="s">
        <v>39</v>
      </c>
      <c r="E579" s="6" t="s">
        <v>310</v>
      </c>
      <c r="F579" s="6" t="s">
        <v>311</v>
      </c>
      <c r="G579" s="6" t="s">
        <v>32</v>
      </c>
      <c r="H579" s="6" t="s">
        <v>33</v>
      </c>
      <c r="I579" s="6" t="s">
        <v>767</v>
      </c>
      <c r="J579" s="6" t="s">
        <v>767</v>
      </c>
      <c r="K579" s="7">
        <v>6107574</v>
      </c>
      <c r="L579" s="7">
        <v>301180</v>
      </c>
      <c r="M579" s="7">
        <v>19</v>
      </c>
      <c r="N579" s="7">
        <v>1</v>
      </c>
      <c r="O579" s="7">
        <v>10</v>
      </c>
    </row>
    <row r="580" spans="1:15" x14ac:dyDescent="0.25">
      <c r="A580" s="6" t="s">
        <v>28</v>
      </c>
      <c r="B580" s="6" t="s">
        <v>296</v>
      </c>
      <c r="C580" s="7">
        <v>30651</v>
      </c>
      <c r="D580" s="6" t="s">
        <v>39</v>
      </c>
      <c r="E580" s="6" t="s">
        <v>72</v>
      </c>
      <c r="F580" s="6" t="s">
        <v>73</v>
      </c>
      <c r="G580" s="6" t="s">
        <v>32</v>
      </c>
      <c r="H580" s="6" t="s">
        <v>33</v>
      </c>
      <c r="I580" s="6" t="s">
        <v>767</v>
      </c>
      <c r="J580" s="6" t="s">
        <v>767</v>
      </c>
      <c r="K580" s="7">
        <v>6076765</v>
      </c>
      <c r="L580" s="7">
        <v>284168</v>
      </c>
      <c r="M580" s="7">
        <v>19</v>
      </c>
      <c r="N580" s="7">
        <v>4</v>
      </c>
      <c r="O580" s="7">
        <v>25</v>
      </c>
    </row>
    <row r="581" spans="1:15" x14ac:dyDescent="0.25">
      <c r="A581" s="6" t="s">
        <v>28</v>
      </c>
      <c r="B581" s="6" t="s">
        <v>296</v>
      </c>
      <c r="C581" s="7">
        <v>30674</v>
      </c>
      <c r="D581" s="6" t="s">
        <v>42</v>
      </c>
      <c r="E581" s="6" t="s">
        <v>167</v>
      </c>
      <c r="F581" s="6" t="s">
        <v>167</v>
      </c>
      <c r="G581" s="6" t="s">
        <v>32</v>
      </c>
      <c r="H581" s="6" t="s">
        <v>33</v>
      </c>
      <c r="I581" s="6" t="s">
        <v>767</v>
      </c>
      <c r="J581" s="6" t="s">
        <v>764</v>
      </c>
      <c r="K581" s="7">
        <v>6226242</v>
      </c>
      <c r="L581" s="7">
        <v>348771</v>
      </c>
      <c r="M581" s="7">
        <v>19</v>
      </c>
      <c r="N581" s="7">
        <v>2</v>
      </c>
      <c r="O581" s="7">
        <v>18</v>
      </c>
    </row>
    <row r="582" spans="1:15" x14ac:dyDescent="0.25">
      <c r="A582" s="6" t="s">
        <v>28</v>
      </c>
      <c r="B582" s="6" t="s">
        <v>296</v>
      </c>
      <c r="C582" s="7">
        <v>30676</v>
      </c>
      <c r="D582" s="6" t="s">
        <v>42</v>
      </c>
      <c r="E582" s="6" t="s">
        <v>196</v>
      </c>
      <c r="F582" s="6" t="s">
        <v>300</v>
      </c>
      <c r="G582" s="6" t="s">
        <v>32</v>
      </c>
      <c r="H582" s="6" t="s">
        <v>33</v>
      </c>
      <c r="I582" s="6" t="s">
        <v>767</v>
      </c>
      <c r="J582" s="6" t="s">
        <v>767</v>
      </c>
      <c r="K582" s="7">
        <v>6223687</v>
      </c>
      <c r="L582" s="7">
        <v>331452</v>
      </c>
      <c r="M582" s="7">
        <v>19</v>
      </c>
      <c r="N582" s="7">
        <v>1</v>
      </c>
      <c r="O582" s="7">
        <v>5.2</v>
      </c>
    </row>
    <row r="583" spans="1:15" x14ac:dyDescent="0.25">
      <c r="A583" s="6" t="s">
        <v>28</v>
      </c>
      <c r="B583" s="6" t="s">
        <v>296</v>
      </c>
      <c r="C583" s="7">
        <v>30680</v>
      </c>
      <c r="D583" s="6" t="s">
        <v>42</v>
      </c>
      <c r="E583" s="6" t="s">
        <v>301</v>
      </c>
      <c r="F583" s="6" t="s">
        <v>302</v>
      </c>
      <c r="G583" s="6" t="s">
        <v>32</v>
      </c>
      <c r="H583" s="6" t="s">
        <v>33</v>
      </c>
      <c r="I583" s="6" t="s">
        <v>767</v>
      </c>
      <c r="J583" s="6" t="s">
        <v>764</v>
      </c>
      <c r="K583" s="7">
        <v>6217828</v>
      </c>
      <c r="L583" s="7">
        <v>344607</v>
      </c>
      <c r="M583" s="7">
        <v>19</v>
      </c>
      <c r="N583" s="7">
        <v>1</v>
      </c>
      <c r="O583" s="7">
        <v>6</v>
      </c>
    </row>
    <row r="584" spans="1:15" x14ac:dyDescent="0.25">
      <c r="A584" s="6" t="s">
        <v>28</v>
      </c>
      <c r="B584" s="6" t="s">
        <v>296</v>
      </c>
      <c r="C584" s="7">
        <v>30688</v>
      </c>
      <c r="D584" s="6" t="s">
        <v>39</v>
      </c>
      <c r="E584" s="6" t="s">
        <v>53</v>
      </c>
      <c r="F584" s="6" t="s">
        <v>53</v>
      </c>
      <c r="G584" s="6" t="s">
        <v>32</v>
      </c>
      <c r="H584" s="6" t="s">
        <v>33</v>
      </c>
      <c r="I584" s="6" t="s">
        <v>767</v>
      </c>
      <c r="J584" s="6" t="s">
        <v>767</v>
      </c>
      <c r="K584" s="7">
        <v>6135582</v>
      </c>
      <c r="L584" s="7">
        <v>309795</v>
      </c>
      <c r="M584" s="7">
        <v>19</v>
      </c>
      <c r="N584" s="7">
        <v>2</v>
      </c>
      <c r="O584" s="7">
        <v>24</v>
      </c>
    </row>
    <row r="585" spans="1:15" x14ac:dyDescent="0.25">
      <c r="A585" s="6" t="s">
        <v>28</v>
      </c>
      <c r="B585" s="6" t="s">
        <v>296</v>
      </c>
      <c r="C585" s="7">
        <v>30689</v>
      </c>
      <c r="D585" s="6" t="s">
        <v>39</v>
      </c>
      <c r="E585" s="6" t="s">
        <v>53</v>
      </c>
      <c r="F585" s="6" t="s">
        <v>190</v>
      </c>
      <c r="G585" s="6" t="s">
        <v>32</v>
      </c>
      <c r="H585" s="6" t="s">
        <v>33</v>
      </c>
      <c r="I585" s="6" t="s">
        <v>767</v>
      </c>
      <c r="J585" s="6" t="s">
        <v>767</v>
      </c>
      <c r="K585" s="7">
        <v>6135098</v>
      </c>
      <c r="L585" s="7">
        <v>312602</v>
      </c>
      <c r="M585" s="7">
        <v>19</v>
      </c>
      <c r="N585" s="7">
        <v>1</v>
      </c>
      <c r="O585" s="7">
        <v>6</v>
      </c>
    </row>
    <row r="586" spans="1:15" x14ac:dyDescent="0.25">
      <c r="A586" s="6" t="s">
        <v>28</v>
      </c>
      <c r="B586" s="6" t="s">
        <v>296</v>
      </c>
      <c r="C586" s="7">
        <v>30691</v>
      </c>
      <c r="D586" s="6" t="s">
        <v>39</v>
      </c>
      <c r="E586" s="6" t="s">
        <v>53</v>
      </c>
      <c r="F586" s="6" t="s">
        <v>190</v>
      </c>
      <c r="G586" s="6" t="s">
        <v>32</v>
      </c>
      <c r="H586" s="6" t="s">
        <v>33</v>
      </c>
      <c r="I586" s="6" t="s">
        <v>767</v>
      </c>
      <c r="J586" s="6" t="s">
        <v>764</v>
      </c>
      <c r="K586" s="7">
        <v>6143551</v>
      </c>
      <c r="L586" s="7">
        <v>305280</v>
      </c>
      <c r="M586" s="7">
        <v>19</v>
      </c>
      <c r="N586" s="7">
        <v>1</v>
      </c>
      <c r="O586" s="7">
        <v>11</v>
      </c>
    </row>
    <row r="587" spans="1:15" x14ac:dyDescent="0.25">
      <c r="A587" s="6" t="s">
        <v>28</v>
      </c>
      <c r="B587" s="6" t="s">
        <v>296</v>
      </c>
      <c r="C587" s="7">
        <v>30693</v>
      </c>
      <c r="D587" s="6" t="s">
        <v>42</v>
      </c>
      <c r="E587" s="6" t="s">
        <v>45</v>
      </c>
      <c r="F587" s="6" t="s">
        <v>319</v>
      </c>
      <c r="G587" s="6" t="s">
        <v>32</v>
      </c>
      <c r="H587" s="6" t="s">
        <v>33</v>
      </c>
      <c r="I587" s="6" t="s">
        <v>767</v>
      </c>
      <c r="J587" s="6" t="s">
        <v>764</v>
      </c>
      <c r="K587" s="7">
        <v>6169977</v>
      </c>
      <c r="L587" s="7">
        <v>315441</v>
      </c>
      <c r="M587" s="7">
        <v>19</v>
      </c>
      <c r="N587" s="7">
        <v>3</v>
      </c>
      <c r="O587" s="7">
        <v>16</v>
      </c>
    </row>
    <row r="588" spans="1:15" x14ac:dyDescent="0.25">
      <c r="A588" s="6" t="s">
        <v>28</v>
      </c>
      <c r="B588" s="6" t="s">
        <v>296</v>
      </c>
      <c r="C588" s="7">
        <v>30697</v>
      </c>
      <c r="D588" s="6" t="s">
        <v>39</v>
      </c>
      <c r="E588" s="6" t="s">
        <v>53</v>
      </c>
      <c r="F588" s="6" t="s">
        <v>79</v>
      </c>
      <c r="G588" s="6" t="s">
        <v>32</v>
      </c>
      <c r="H588" s="6" t="s">
        <v>33</v>
      </c>
      <c r="I588" s="6" t="s">
        <v>767</v>
      </c>
      <c r="J588" s="6" t="s">
        <v>764</v>
      </c>
      <c r="K588" s="7">
        <v>6140102</v>
      </c>
      <c r="L588" s="7">
        <v>319686</v>
      </c>
      <c r="M588" s="7">
        <v>19</v>
      </c>
      <c r="N588" s="7">
        <v>2</v>
      </c>
      <c r="O588" s="7">
        <v>15</v>
      </c>
    </row>
    <row r="589" spans="1:15" x14ac:dyDescent="0.25">
      <c r="A589" s="6" t="s">
        <v>28</v>
      </c>
      <c r="B589" s="6" t="s">
        <v>296</v>
      </c>
      <c r="C589" s="7">
        <v>30699</v>
      </c>
      <c r="D589" s="6" t="s">
        <v>39</v>
      </c>
      <c r="E589" s="6" t="s">
        <v>53</v>
      </c>
      <c r="F589" s="6" t="s">
        <v>320</v>
      </c>
      <c r="G589" s="6" t="s">
        <v>32</v>
      </c>
      <c r="H589" s="6" t="s">
        <v>33</v>
      </c>
      <c r="I589" s="6" t="s">
        <v>767</v>
      </c>
      <c r="J589" s="6" t="s">
        <v>764</v>
      </c>
      <c r="K589" s="7">
        <v>6138459</v>
      </c>
      <c r="L589" s="7">
        <v>318390</v>
      </c>
      <c r="M589" s="7">
        <v>19</v>
      </c>
      <c r="N589" s="7">
        <v>1</v>
      </c>
      <c r="O589" s="7">
        <v>22</v>
      </c>
    </row>
    <row r="590" spans="1:15" x14ac:dyDescent="0.25">
      <c r="A590" s="6" t="s">
        <v>28</v>
      </c>
      <c r="B590" s="6" t="s">
        <v>296</v>
      </c>
      <c r="C590" s="7">
        <v>30755</v>
      </c>
      <c r="D590" s="6" t="s">
        <v>39</v>
      </c>
      <c r="E590" s="6" t="s">
        <v>70</v>
      </c>
      <c r="F590" s="6" t="s">
        <v>70</v>
      </c>
      <c r="G590" s="6" t="s">
        <v>32</v>
      </c>
      <c r="H590" s="6" t="s">
        <v>33</v>
      </c>
      <c r="I590" s="6" t="s">
        <v>767</v>
      </c>
      <c r="J590" s="6" t="s">
        <v>767</v>
      </c>
      <c r="K590" s="7">
        <v>6076239</v>
      </c>
      <c r="L590" s="7">
        <v>265137</v>
      </c>
      <c r="M590" s="7">
        <v>19</v>
      </c>
      <c r="N590" s="7">
        <v>1</v>
      </c>
      <c r="O590" s="7">
        <v>10.6</v>
      </c>
    </row>
    <row r="591" spans="1:15" x14ac:dyDescent="0.25">
      <c r="A591" s="6" t="s">
        <v>28</v>
      </c>
      <c r="B591" s="6" t="s">
        <v>296</v>
      </c>
      <c r="C591" s="7">
        <v>30756</v>
      </c>
      <c r="D591" s="6" t="s">
        <v>39</v>
      </c>
      <c r="E591" s="6" t="s">
        <v>87</v>
      </c>
      <c r="F591" s="6" t="s">
        <v>62</v>
      </c>
      <c r="G591" s="6" t="s">
        <v>32</v>
      </c>
      <c r="H591" s="6" t="s">
        <v>33</v>
      </c>
      <c r="I591" s="6" t="s">
        <v>767</v>
      </c>
      <c r="J591" s="6" t="s">
        <v>764</v>
      </c>
      <c r="K591" s="7">
        <v>6102874</v>
      </c>
      <c r="L591" s="7">
        <v>292195</v>
      </c>
      <c r="M591" s="7">
        <v>19</v>
      </c>
      <c r="N591" s="7">
        <v>4</v>
      </c>
      <c r="O591" s="7">
        <v>20</v>
      </c>
    </row>
    <row r="592" spans="1:15" x14ac:dyDescent="0.25">
      <c r="A592" s="6" t="s">
        <v>14</v>
      </c>
      <c r="B592" s="6" t="s">
        <v>296</v>
      </c>
      <c r="C592" s="7">
        <v>30793</v>
      </c>
      <c r="D592" s="6" t="s">
        <v>42</v>
      </c>
      <c r="E592" s="6" t="s">
        <v>45</v>
      </c>
      <c r="F592" s="6" t="s">
        <v>46</v>
      </c>
      <c r="G592" s="6" t="s">
        <v>32</v>
      </c>
      <c r="H592" s="6" t="s">
        <v>33</v>
      </c>
      <c r="I592" s="6" t="s">
        <v>767</v>
      </c>
      <c r="J592" s="6" t="s">
        <v>767</v>
      </c>
      <c r="K592" s="7">
        <v>6169530</v>
      </c>
      <c r="L592" s="7">
        <v>323732</v>
      </c>
      <c r="M592" s="7">
        <v>19</v>
      </c>
      <c r="N592" s="7">
        <v>1</v>
      </c>
      <c r="O592" s="7">
        <v>5</v>
      </c>
    </row>
    <row r="593" spans="1:15" x14ac:dyDescent="0.25">
      <c r="A593" s="6" t="s">
        <v>14</v>
      </c>
      <c r="B593" s="6" t="s">
        <v>296</v>
      </c>
      <c r="C593" s="7">
        <v>30799</v>
      </c>
      <c r="D593" s="6" t="s">
        <v>42</v>
      </c>
      <c r="E593" s="6" t="s">
        <v>45</v>
      </c>
      <c r="F593" s="6" t="s">
        <v>46</v>
      </c>
      <c r="G593" s="6" t="s">
        <v>32</v>
      </c>
      <c r="H593" s="6" t="s">
        <v>33</v>
      </c>
      <c r="I593" s="6" t="s">
        <v>767</v>
      </c>
      <c r="J593" s="6" t="s">
        <v>767</v>
      </c>
      <c r="K593" s="7">
        <v>6169486</v>
      </c>
      <c r="L593" s="7">
        <v>323398</v>
      </c>
      <c r="M593" s="7">
        <v>19</v>
      </c>
      <c r="N593" s="7">
        <v>1</v>
      </c>
      <c r="O593" s="7">
        <v>17</v>
      </c>
    </row>
    <row r="594" spans="1:15" x14ac:dyDescent="0.25">
      <c r="A594" s="6" t="s">
        <v>14</v>
      </c>
      <c r="B594" s="6" t="s">
        <v>296</v>
      </c>
      <c r="C594" s="7">
        <v>30805</v>
      </c>
      <c r="D594" s="6" t="s">
        <v>42</v>
      </c>
      <c r="E594" s="6" t="s">
        <v>196</v>
      </c>
      <c r="F594" s="6" t="s">
        <v>300</v>
      </c>
      <c r="G594" s="6" t="s">
        <v>32</v>
      </c>
      <c r="H594" s="6" t="s">
        <v>33</v>
      </c>
      <c r="I594" s="6" t="s">
        <v>767</v>
      </c>
      <c r="J594" s="6" t="s">
        <v>767</v>
      </c>
      <c r="K594" s="7">
        <v>6222614</v>
      </c>
      <c r="L594" s="7">
        <v>333824</v>
      </c>
      <c r="M594" s="7">
        <v>19</v>
      </c>
      <c r="N594" s="7">
        <v>1</v>
      </c>
      <c r="O594" s="7">
        <v>10</v>
      </c>
    </row>
    <row r="595" spans="1:15" x14ac:dyDescent="0.25">
      <c r="A595" s="6" t="s">
        <v>28</v>
      </c>
      <c r="B595" s="6" t="s">
        <v>296</v>
      </c>
      <c r="C595" s="7">
        <v>30806</v>
      </c>
      <c r="D595" s="6" t="s">
        <v>39</v>
      </c>
      <c r="E595" s="6" t="s">
        <v>70</v>
      </c>
      <c r="F595" s="6" t="s">
        <v>321</v>
      </c>
      <c r="G595" s="6" t="s">
        <v>32</v>
      </c>
      <c r="H595" s="6" t="s">
        <v>33</v>
      </c>
      <c r="I595" s="6" t="s">
        <v>767</v>
      </c>
      <c r="J595" s="6" t="s">
        <v>767</v>
      </c>
      <c r="K595" s="7">
        <v>6078638</v>
      </c>
      <c r="L595" s="7">
        <v>265598</v>
      </c>
      <c r="M595" s="7">
        <v>19</v>
      </c>
      <c r="N595" s="7">
        <v>1</v>
      </c>
      <c r="O595" s="7">
        <v>4</v>
      </c>
    </row>
    <row r="596" spans="1:15" x14ac:dyDescent="0.25">
      <c r="A596" s="6" t="s">
        <v>14</v>
      </c>
      <c r="B596" s="6" t="s">
        <v>296</v>
      </c>
      <c r="C596" s="7">
        <v>30814</v>
      </c>
      <c r="D596" s="6" t="s">
        <v>42</v>
      </c>
      <c r="E596" s="6" t="s">
        <v>196</v>
      </c>
      <c r="F596" s="6" t="s">
        <v>300</v>
      </c>
      <c r="G596" s="6" t="s">
        <v>32</v>
      </c>
      <c r="H596" s="6" t="s">
        <v>33</v>
      </c>
      <c r="I596" s="6" t="s">
        <v>767</v>
      </c>
      <c r="J596" s="6" t="s">
        <v>767</v>
      </c>
      <c r="K596" s="7">
        <v>6222552</v>
      </c>
      <c r="L596" s="7">
        <v>334356</v>
      </c>
      <c r="M596" s="7">
        <v>19</v>
      </c>
      <c r="N596" s="7">
        <v>1</v>
      </c>
      <c r="O596" s="7">
        <v>7.5</v>
      </c>
    </row>
    <row r="597" spans="1:15" x14ac:dyDescent="0.25">
      <c r="A597" s="6" t="s">
        <v>28</v>
      </c>
      <c r="B597" s="6" t="s">
        <v>296</v>
      </c>
      <c r="C597" s="7">
        <v>30818</v>
      </c>
      <c r="D597" s="6" t="s">
        <v>39</v>
      </c>
      <c r="E597" s="6" t="s">
        <v>70</v>
      </c>
      <c r="F597" s="6" t="s">
        <v>309</v>
      </c>
      <c r="G597" s="6" t="s">
        <v>32</v>
      </c>
      <c r="H597" s="6" t="s">
        <v>33</v>
      </c>
      <c r="I597" s="6" t="s">
        <v>767</v>
      </c>
      <c r="J597" s="6" t="s">
        <v>767</v>
      </c>
      <c r="K597" s="7">
        <v>6081870</v>
      </c>
      <c r="L597" s="7">
        <v>264142</v>
      </c>
      <c r="M597" s="7">
        <v>19</v>
      </c>
      <c r="N597" s="7">
        <v>1</v>
      </c>
      <c r="O597" s="7">
        <v>6.5</v>
      </c>
    </row>
    <row r="598" spans="1:15" x14ac:dyDescent="0.25">
      <c r="A598" s="6" t="s">
        <v>28</v>
      </c>
      <c r="B598" s="6" t="s">
        <v>296</v>
      </c>
      <c r="C598" s="7">
        <v>30830</v>
      </c>
      <c r="D598" s="6" t="s">
        <v>39</v>
      </c>
      <c r="E598" s="6" t="s">
        <v>72</v>
      </c>
      <c r="F598" s="6" t="s">
        <v>131</v>
      </c>
      <c r="G598" s="6" t="s">
        <v>32</v>
      </c>
      <c r="H598" s="6" t="s">
        <v>33</v>
      </c>
      <c r="I598" s="6" t="s">
        <v>767</v>
      </c>
      <c r="J598" s="6" t="s">
        <v>764</v>
      </c>
      <c r="K598" s="7">
        <v>6067996</v>
      </c>
      <c r="L598" s="7">
        <v>280891</v>
      </c>
      <c r="M598" s="7">
        <v>19</v>
      </c>
      <c r="N598" s="7">
        <v>2</v>
      </c>
      <c r="O598" s="7">
        <v>12.5</v>
      </c>
    </row>
    <row r="599" spans="1:15" x14ac:dyDescent="0.25">
      <c r="A599" s="6" t="s">
        <v>28</v>
      </c>
      <c r="B599" s="6" t="s">
        <v>296</v>
      </c>
      <c r="C599" s="7">
        <v>30834</v>
      </c>
      <c r="D599" s="6" t="s">
        <v>39</v>
      </c>
      <c r="E599" s="6" t="s">
        <v>72</v>
      </c>
      <c r="F599" s="6" t="s">
        <v>131</v>
      </c>
      <c r="G599" s="6" t="s">
        <v>32</v>
      </c>
      <c r="H599" s="6" t="s">
        <v>33</v>
      </c>
      <c r="I599" s="6" t="s">
        <v>767</v>
      </c>
      <c r="J599" s="6" t="s">
        <v>764</v>
      </c>
      <c r="K599" s="7">
        <v>6068290</v>
      </c>
      <c r="L599" s="7">
        <v>281356</v>
      </c>
      <c r="M599" s="7">
        <v>19</v>
      </c>
      <c r="N599" s="7">
        <v>3</v>
      </c>
      <c r="O599" s="7">
        <v>29</v>
      </c>
    </row>
    <row r="600" spans="1:15" x14ac:dyDescent="0.25">
      <c r="A600" s="6" t="s">
        <v>28</v>
      </c>
      <c r="B600" s="6" t="s">
        <v>296</v>
      </c>
      <c r="C600" s="7">
        <v>30847</v>
      </c>
      <c r="D600" s="6" t="s">
        <v>39</v>
      </c>
      <c r="E600" s="6" t="s">
        <v>87</v>
      </c>
      <c r="F600" s="6" t="s">
        <v>62</v>
      </c>
      <c r="G600" s="6" t="s">
        <v>32</v>
      </c>
      <c r="H600" s="6" t="s">
        <v>33</v>
      </c>
      <c r="I600" s="6" t="s">
        <v>767</v>
      </c>
      <c r="J600" s="6" t="s">
        <v>764</v>
      </c>
      <c r="K600" s="7">
        <v>6103403</v>
      </c>
      <c r="L600" s="7">
        <v>295188</v>
      </c>
      <c r="M600" s="7">
        <v>19</v>
      </c>
      <c r="N600" s="7">
        <v>1</v>
      </c>
      <c r="O600" s="7">
        <v>8.5</v>
      </c>
    </row>
    <row r="601" spans="1:15" x14ac:dyDescent="0.25">
      <c r="A601" s="6" t="s">
        <v>28</v>
      </c>
      <c r="B601" s="6" t="s">
        <v>296</v>
      </c>
      <c r="C601" s="7">
        <v>30848</v>
      </c>
      <c r="D601" s="6" t="s">
        <v>39</v>
      </c>
      <c r="E601" s="6" t="s">
        <v>87</v>
      </c>
      <c r="F601" s="6" t="s">
        <v>322</v>
      </c>
      <c r="G601" s="6" t="s">
        <v>32</v>
      </c>
      <c r="H601" s="6" t="s">
        <v>33</v>
      </c>
      <c r="I601" s="6" t="s">
        <v>767</v>
      </c>
      <c r="J601" s="6" t="s">
        <v>764</v>
      </c>
      <c r="K601" s="7">
        <v>6097385</v>
      </c>
      <c r="L601" s="7">
        <v>291534</v>
      </c>
      <c r="M601" s="7">
        <v>19</v>
      </c>
      <c r="N601" s="7">
        <v>2</v>
      </c>
      <c r="O601" s="7">
        <v>13.4</v>
      </c>
    </row>
    <row r="602" spans="1:15" x14ac:dyDescent="0.25">
      <c r="A602" s="6" t="s">
        <v>28</v>
      </c>
      <c r="B602" s="6" t="s">
        <v>296</v>
      </c>
      <c r="C602" s="7">
        <v>30849</v>
      </c>
      <c r="D602" s="6" t="s">
        <v>39</v>
      </c>
      <c r="E602" s="6" t="s">
        <v>70</v>
      </c>
      <c r="F602" s="6" t="s">
        <v>323</v>
      </c>
      <c r="G602" s="6" t="s">
        <v>32</v>
      </c>
      <c r="H602" s="6" t="s">
        <v>33</v>
      </c>
      <c r="I602" s="6" t="s">
        <v>767</v>
      </c>
      <c r="J602" s="6" t="s">
        <v>764</v>
      </c>
      <c r="K602" s="7">
        <v>6077626</v>
      </c>
      <c r="L602" s="7">
        <v>262624</v>
      </c>
      <c r="M602" s="7">
        <v>19</v>
      </c>
      <c r="N602" s="7">
        <v>4</v>
      </c>
      <c r="O602" s="7">
        <v>12.3</v>
      </c>
    </row>
    <row r="603" spans="1:15" x14ac:dyDescent="0.25">
      <c r="A603" s="6" t="s">
        <v>28</v>
      </c>
      <c r="B603" s="6" t="s">
        <v>296</v>
      </c>
      <c r="C603" s="7">
        <v>30850</v>
      </c>
      <c r="D603" s="6" t="s">
        <v>39</v>
      </c>
      <c r="E603" s="6" t="s">
        <v>310</v>
      </c>
      <c r="F603" s="6" t="s">
        <v>324</v>
      </c>
      <c r="G603" s="6" t="s">
        <v>32</v>
      </c>
      <c r="H603" s="6" t="s">
        <v>33</v>
      </c>
      <c r="I603" s="6" t="s">
        <v>767</v>
      </c>
      <c r="J603" s="6" t="s">
        <v>764</v>
      </c>
      <c r="K603" s="7">
        <v>6106923</v>
      </c>
      <c r="L603" s="7">
        <v>295589</v>
      </c>
      <c r="M603" s="7">
        <v>19</v>
      </c>
      <c r="N603" s="7">
        <v>1</v>
      </c>
      <c r="O603" s="7">
        <v>12</v>
      </c>
    </row>
    <row r="604" spans="1:15" x14ac:dyDescent="0.25">
      <c r="A604" s="6" t="s">
        <v>28</v>
      </c>
      <c r="B604" s="6" t="s">
        <v>296</v>
      </c>
      <c r="C604" s="7">
        <v>30851</v>
      </c>
      <c r="D604" s="6" t="s">
        <v>39</v>
      </c>
      <c r="E604" s="6" t="s">
        <v>109</v>
      </c>
      <c r="F604" s="6" t="s">
        <v>325</v>
      </c>
      <c r="G604" s="6" t="s">
        <v>32</v>
      </c>
      <c r="H604" s="6" t="s">
        <v>33</v>
      </c>
      <c r="I604" s="6" t="s">
        <v>767</v>
      </c>
      <c r="J604" s="6" t="s">
        <v>767</v>
      </c>
      <c r="K604" s="7">
        <v>6043022</v>
      </c>
      <c r="L604" s="7">
        <v>257330</v>
      </c>
      <c r="M604" s="7">
        <v>19</v>
      </c>
      <c r="N604" s="7">
        <v>3</v>
      </c>
      <c r="O604" s="7">
        <v>50</v>
      </c>
    </row>
    <row r="605" spans="1:15" x14ac:dyDescent="0.25">
      <c r="A605" s="6" t="s">
        <v>14</v>
      </c>
      <c r="B605" s="6" t="s">
        <v>296</v>
      </c>
      <c r="C605" s="7">
        <v>30880</v>
      </c>
      <c r="D605" s="6" t="s">
        <v>42</v>
      </c>
      <c r="E605" s="6" t="s">
        <v>196</v>
      </c>
      <c r="F605" s="6" t="s">
        <v>300</v>
      </c>
      <c r="G605" s="6" t="s">
        <v>32</v>
      </c>
      <c r="H605" s="6" t="s">
        <v>33</v>
      </c>
      <c r="I605" s="6" t="s">
        <v>767</v>
      </c>
      <c r="J605" s="6" t="s">
        <v>767</v>
      </c>
      <c r="K605" s="7">
        <v>6222678</v>
      </c>
      <c r="L605" s="7">
        <v>334135</v>
      </c>
      <c r="M605" s="7">
        <v>19</v>
      </c>
      <c r="N605" s="7">
        <v>1</v>
      </c>
      <c r="O605" s="7">
        <v>11</v>
      </c>
    </row>
    <row r="606" spans="1:15" x14ac:dyDescent="0.25">
      <c r="A606" s="6" t="s">
        <v>28</v>
      </c>
      <c r="B606" s="6" t="s">
        <v>296</v>
      </c>
      <c r="C606" s="7">
        <v>30979</v>
      </c>
      <c r="D606" s="6" t="s">
        <v>39</v>
      </c>
      <c r="E606" s="6" t="s">
        <v>70</v>
      </c>
      <c r="F606" s="6" t="s">
        <v>326</v>
      </c>
      <c r="G606" s="6" t="s">
        <v>32</v>
      </c>
      <c r="H606" s="6" t="s">
        <v>33</v>
      </c>
      <c r="I606" s="6" t="s">
        <v>767</v>
      </c>
      <c r="J606" s="6" t="s">
        <v>767</v>
      </c>
      <c r="K606" s="7">
        <v>6080818</v>
      </c>
      <c r="L606" s="7">
        <v>278632</v>
      </c>
      <c r="M606" s="7">
        <v>19</v>
      </c>
      <c r="N606" s="7">
        <v>1</v>
      </c>
      <c r="O606" s="7">
        <v>6.5</v>
      </c>
    </row>
    <row r="607" spans="1:15" x14ac:dyDescent="0.25">
      <c r="A607" s="6" t="s">
        <v>28</v>
      </c>
      <c r="B607" s="6" t="s">
        <v>296</v>
      </c>
      <c r="C607" s="7">
        <v>30980</v>
      </c>
      <c r="D607" s="6" t="s">
        <v>39</v>
      </c>
      <c r="E607" s="6" t="s">
        <v>169</v>
      </c>
      <c r="F607" s="6" t="s">
        <v>327</v>
      </c>
      <c r="G607" s="6" t="s">
        <v>32</v>
      </c>
      <c r="H607" s="6" t="s">
        <v>33</v>
      </c>
      <c r="I607" s="6" t="s">
        <v>767</v>
      </c>
      <c r="J607" s="6" t="s">
        <v>767</v>
      </c>
      <c r="K607" s="7">
        <v>6067235</v>
      </c>
      <c r="L607" s="7">
        <v>253191</v>
      </c>
      <c r="M607" s="7">
        <v>19</v>
      </c>
      <c r="N607" s="7">
        <v>10</v>
      </c>
      <c r="O607" s="7">
        <v>54</v>
      </c>
    </row>
    <row r="608" spans="1:15" x14ac:dyDescent="0.25">
      <c r="A608" s="6" t="s">
        <v>14</v>
      </c>
      <c r="B608" s="6" t="s">
        <v>296</v>
      </c>
      <c r="C608" s="7">
        <v>31062</v>
      </c>
      <c r="D608" s="6" t="s">
        <v>39</v>
      </c>
      <c r="E608" s="6" t="s">
        <v>177</v>
      </c>
      <c r="F608" s="6" t="s">
        <v>328</v>
      </c>
      <c r="G608" s="6" t="s">
        <v>32</v>
      </c>
      <c r="H608" s="6" t="s">
        <v>33</v>
      </c>
      <c r="I608" s="6" t="s">
        <v>767</v>
      </c>
      <c r="J608" s="6" t="s">
        <v>767</v>
      </c>
      <c r="K608" s="7">
        <v>6054244</v>
      </c>
      <c r="L608" s="7">
        <v>279883</v>
      </c>
      <c r="M608" s="7">
        <v>19</v>
      </c>
      <c r="N608" s="7">
        <v>2</v>
      </c>
      <c r="O608" s="7">
        <v>6</v>
      </c>
    </row>
    <row r="609" spans="1:15" x14ac:dyDescent="0.25">
      <c r="A609" s="6" t="s">
        <v>28</v>
      </c>
      <c r="B609" s="6" t="s">
        <v>296</v>
      </c>
      <c r="C609" s="7">
        <v>31063</v>
      </c>
      <c r="D609" s="6" t="s">
        <v>39</v>
      </c>
      <c r="E609" s="6" t="s">
        <v>72</v>
      </c>
      <c r="F609" s="6" t="s">
        <v>329</v>
      </c>
      <c r="G609" s="6" t="s">
        <v>32</v>
      </c>
      <c r="H609" s="6" t="s">
        <v>33</v>
      </c>
      <c r="I609" s="6" t="s">
        <v>767</v>
      </c>
      <c r="J609" s="6" t="s">
        <v>764</v>
      </c>
      <c r="K609" s="7">
        <v>6064166</v>
      </c>
      <c r="L609" s="7">
        <v>281836</v>
      </c>
      <c r="M609" s="7">
        <v>19</v>
      </c>
      <c r="N609" s="7">
        <v>1</v>
      </c>
      <c r="O609" s="7">
        <v>10</v>
      </c>
    </row>
    <row r="610" spans="1:15" x14ac:dyDescent="0.25">
      <c r="A610" s="6" t="s">
        <v>28</v>
      </c>
      <c r="B610" s="6" t="s">
        <v>296</v>
      </c>
      <c r="C610" s="7">
        <v>31065</v>
      </c>
      <c r="D610" s="6" t="s">
        <v>39</v>
      </c>
      <c r="E610" s="6" t="s">
        <v>87</v>
      </c>
      <c r="F610" s="6" t="s">
        <v>62</v>
      </c>
      <c r="G610" s="6" t="s">
        <v>32</v>
      </c>
      <c r="H610" s="6" t="s">
        <v>33</v>
      </c>
      <c r="I610" s="6" t="s">
        <v>767</v>
      </c>
      <c r="J610" s="6" t="s">
        <v>767</v>
      </c>
      <c r="K610" s="7">
        <v>6103409</v>
      </c>
      <c r="L610" s="7">
        <v>297221</v>
      </c>
      <c r="M610" s="7">
        <v>19</v>
      </c>
      <c r="N610" s="7">
        <v>2</v>
      </c>
      <c r="O610" s="7">
        <v>15</v>
      </c>
    </row>
    <row r="611" spans="1:15" x14ac:dyDescent="0.25">
      <c r="A611" s="6" t="s">
        <v>28</v>
      </c>
      <c r="B611" s="6" t="s">
        <v>296</v>
      </c>
      <c r="C611" s="7">
        <v>31068</v>
      </c>
      <c r="D611" s="6" t="s">
        <v>39</v>
      </c>
      <c r="E611" s="6" t="s">
        <v>72</v>
      </c>
      <c r="F611" s="6" t="s">
        <v>182</v>
      </c>
      <c r="G611" s="6" t="s">
        <v>32</v>
      </c>
      <c r="H611" s="6" t="s">
        <v>33</v>
      </c>
      <c r="I611" s="6" t="s">
        <v>767</v>
      </c>
      <c r="J611" s="6" t="s">
        <v>764</v>
      </c>
      <c r="K611" s="7">
        <v>6074259</v>
      </c>
      <c r="L611" s="7">
        <v>268809</v>
      </c>
      <c r="M611" s="7">
        <v>19</v>
      </c>
      <c r="N611" s="7">
        <v>1</v>
      </c>
      <c r="O611" s="7">
        <v>6.9</v>
      </c>
    </row>
    <row r="612" spans="1:15" x14ac:dyDescent="0.25">
      <c r="A612" s="6" t="s">
        <v>28</v>
      </c>
      <c r="B612" s="6" t="s">
        <v>296</v>
      </c>
      <c r="C612" s="7">
        <v>31072</v>
      </c>
      <c r="D612" s="6" t="s">
        <v>39</v>
      </c>
      <c r="E612" s="6" t="s">
        <v>109</v>
      </c>
      <c r="F612" s="6" t="s">
        <v>109</v>
      </c>
      <c r="G612" s="6" t="s">
        <v>32</v>
      </c>
      <c r="H612" s="6" t="s">
        <v>33</v>
      </c>
      <c r="I612" s="6" t="s">
        <v>767</v>
      </c>
      <c r="J612" s="6" t="s">
        <v>767</v>
      </c>
      <c r="K612" s="7">
        <v>6046361</v>
      </c>
      <c r="L612" s="7">
        <v>255356</v>
      </c>
      <c r="M612" s="7">
        <v>19</v>
      </c>
      <c r="N612" s="7">
        <v>6</v>
      </c>
      <c r="O612" s="7">
        <v>75</v>
      </c>
    </row>
    <row r="613" spans="1:15" x14ac:dyDescent="0.25">
      <c r="A613" s="6" t="s">
        <v>28</v>
      </c>
      <c r="B613" s="6" t="s">
        <v>296</v>
      </c>
      <c r="C613" s="7">
        <v>31073</v>
      </c>
      <c r="D613" s="6" t="s">
        <v>16</v>
      </c>
      <c r="E613" s="6" t="s">
        <v>330</v>
      </c>
      <c r="F613" s="6" t="s">
        <v>179</v>
      </c>
      <c r="G613" s="6" t="s">
        <v>32</v>
      </c>
      <c r="H613" s="6" t="s">
        <v>153</v>
      </c>
      <c r="I613" s="6" t="s">
        <v>767</v>
      </c>
      <c r="J613" s="6" t="s">
        <v>764</v>
      </c>
      <c r="K613" s="7">
        <v>6365290</v>
      </c>
      <c r="L613" s="7">
        <v>310401</v>
      </c>
      <c r="M613" s="7">
        <v>19</v>
      </c>
      <c r="N613" s="7">
        <v>1</v>
      </c>
      <c r="O613" s="7">
        <v>1.08</v>
      </c>
    </row>
    <row r="614" spans="1:15" x14ac:dyDescent="0.25">
      <c r="A614" s="6" t="s">
        <v>28</v>
      </c>
      <c r="B614" s="6" t="s">
        <v>296</v>
      </c>
      <c r="C614" s="7">
        <v>31074</v>
      </c>
      <c r="D614" s="6" t="s">
        <v>39</v>
      </c>
      <c r="E614" s="6" t="s">
        <v>310</v>
      </c>
      <c r="F614" s="6" t="s">
        <v>310</v>
      </c>
      <c r="G614" s="6" t="s">
        <v>32</v>
      </c>
      <c r="H614" s="6" t="s">
        <v>33</v>
      </c>
      <c r="I614" s="6" t="s">
        <v>767</v>
      </c>
      <c r="J614" s="6" t="s">
        <v>764</v>
      </c>
      <c r="K614" s="7">
        <v>6114484</v>
      </c>
      <c r="L614" s="7">
        <v>291501</v>
      </c>
      <c r="M614" s="7">
        <v>19</v>
      </c>
      <c r="N614" s="7">
        <v>4</v>
      </c>
      <c r="O614" s="7">
        <v>23</v>
      </c>
    </row>
    <row r="615" spans="1:15" x14ac:dyDescent="0.25">
      <c r="A615" s="6" t="s">
        <v>28</v>
      </c>
      <c r="B615" s="6" t="s">
        <v>296</v>
      </c>
      <c r="C615" s="7">
        <v>31075</v>
      </c>
      <c r="D615" s="6" t="s">
        <v>39</v>
      </c>
      <c r="E615" s="6" t="s">
        <v>80</v>
      </c>
      <c r="F615" s="6" t="s">
        <v>81</v>
      </c>
      <c r="G615" s="6" t="s">
        <v>32</v>
      </c>
      <c r="H615" s="6" t="s">
        <v>33</v>
      </c>
      <c r="I615" s="6" t="s">
        <v>767</v>
      </c>
      <c r="J615" s="6" t="s">
        <v>767</v>
      </c>
      <c r="K615" s="7">
        <v>6081260</v>
      </c>
      <c r="L615" s="7">
        <v>268815</v>
      </c>
      <c r="M615" s="7">
        <v>19</v>
      </c>
      <c r="N615" s="7">
        <v>1</v>
      </c>
      <c r="O615" s="7">
        <v>6.5</v>
      </c>
    </row>
    <row r="616" spans="1:15" x14ac:dyDescent="0.25">
      <c r="A616" s="6" t="s">
        <v>28</v>
      </c>
      <c r="B616" s="6" t="s">
        <v>296</v>
      </c>
      <c r="C616" s="7">
        <v>31076</v>
      </c>
      <c r="D616" s="6" t="s">
        <v>39</v>
      </c>
      <c r="E616" s="6" t="s">
        <v>87</v>
      </c>
      <c r="F616" s="6" t="s">
        <v>331</v>
      </c>
      <c r="G616" s="6" t="s">
        <v>32</v>
      </c>
      <c r="H616" s="6" t="s">
        <v>33</v>
      </c>
      <c r="I616" s="6" t="s">
        <v>767</v>
      </c>
      <c r="J616" s="6" t="s">
        <v>767</v>
      </c>
      <c r="K616" s="7">
        <v>6094892</v>
      </c>
      <c r="L616" s="7">
        <v>294975</v>
      </c>
      <c r="M616" s="7">
        <v>19</v>
      </c>
      <c r="N616" s="7">
        <v>1</v>
      </c>
      <c r="O616" s="7">
        <v>14</v>
      </c>
    </row>
    <row r="617" spans="1:15" x14ac:dyDescent="0.25">
      <c r="A617" s="6" t="s">
        <v>28</v>
      </c>
      <c r="B617" s="6" t="s">
        <v>296</v>
      </c>
      <c r="C617" s="7">
        <v>31078</v>
      </c>
      <c r="D617" s="6" t="s">
        <v>16</v>
      </c>
      <c r="E617" s="6" t="s">
        <v>332</v>
      </c>
      <c r="F617" s="6" t="s">
        <v>333</v>
      </c>
      <c r="G617" s="6" t="s">
        <v>32</v>
      </c>
      <c r="H617" s="6" t="s">
        <v>19</v>
      </c>
      <c r="I617" s="6" t="s">
        <v>767</v>
      </c>
      <c r="J617" s="6" t="s">
        <v>767</v>
      </c>
      <c r="K617" s="7">
        <v>6363582</v>
      </c>
      <c r="L617" s="7">
        <v>312944</v>
      </c>
      <c r="M617" s="7">
        <v>19</v>
      </c>
      <c r="N617" s="7">
        <v>1</v>
      </c>
      <c r="O617" s="7">
        <v>1.06</v>
      </c>
    </row>
    <row r="618" spans="1:15" x14ac:dyDescent="0.25">
      <c r="A618" s="6" t="s">
        <v>28</v>
      </c>
      <c r="B618" s="6" t="s">
        <v>296</v>
      </c>
      <c r="C618" s="7">
        <v>31081</v>
      </c>
      <c r="D618" s="6" t="s">
        <v>16</v>
      </c>
      <c r="E618" s="6" t="s">
        <v>330</v>
      </c>
      <c r="F618" s="6" t="s">
        <v>334</v>
      </c>
      <c r="G618" s="6" t="s">
        <v>32</v>
      </c>
      <c r="H618" s="6" t="s">
        <v>19</v>
      </c>
      <c r="I618" s="6" t="s">
        <v>767</v>
      </c>
      <c r="J618" s="6" t="s">
        <v>767</v>
      </c>
      <c r="K618" s="7">
        <v>6367074</v>
      </c>
      <c r="L618" s="7">
        <v>309352</v>
      </c>
      <c r="M618" s="7">
        <v>19</v>
      </c>
      <c r="N618" s="7">
        <v>1</v>
      </c>
      <c r="O618" s="7">
        <v>1.18</v>
      </c>
    </row>
    <row r="619" spans="1:15" x14ac:dyDescent="0.25">
      <c r="A619" s="6" t="s">
        <v>28</v>
      </c>
      <c r="B619" s="6" t="s">
        <v>296</v>
      </c>
      <c r="C619" s="7">
        <v>31083</v>
      </c>
      <c r="D619" s="6" t="s">
        <v>16</v>
      </c>
      <c r="E619" s="6" t="s">
        <v>330</v>
      </c>
      <c r="F619" s="6" t="s">
        <v>179</v>
      </c>
      <c r="G619" s="6" t="s">
        <v>32</v>
      </c>
      <c r="H619" s="6" t="s">
        <v>19</v>
      </c>
      <c r="I619" s="6" t="s">
        <v>767</v>
      </c>
      <c r="J619" s="6" t="s">
        <v>767</v>
      </c>
      <c r="K619" s="7">
        <v>6366385</v>
      </c>
      <c r="L619" s="7">
        <v>308789</v>
      </c>
      <c r="M619" s="7">
        <v>19</v>
      </c>
      <c r="N619" s="7">
        <v>1</v>
      </c>
      <c r="O619" s="7">
        <v>2.3199999999999998</v>
      </c>
    </row>
    <row r="620" spans="1:15" x14ac:dyDescent="0.25">
      <c r="A620" s="6" t="s">
        <v>28</v>
      </c>
      <c r="B620" s="6" t="s">
        <v>296</v>
      </c>
      <c r="C620" s="7">
        <v>31099</v>
      </c>
      <c r="D620" s="6" t="s">
        <v>39</v>
      </c>
      <c r="E620" s="6" t="s">
        <v>87</v>
      </c>
      <c r="F620" s="6" t="s">
        <v>335</v>
      </c>
      <c r="G620" s="6" t="s">
        <v>32</v>
      </c>
      <c r="H620" s="6" t="s">
        <v>19</v>
      </c>
      <c r="I620" s="6" t="s">
        <v>767</v>
      </c>
      <c r="J620" s="6" t="s">
        <v>767</v>
      </c>
      <c r="K620" s="7">
        <v>6096421</v>
      </c>
      <c r="L620" s="7">
        <v>288378</v>
      </c>
      <c r="M620" s="7">
        <v>19</v>
      </c>
      <c r="N620" s="7">
        <v>2</v>
      </c>
      <c r="O620" s="7">
        <v>0.81</v>
      </c>
    </row>
    <row r="621" spans="1:15" x14ac:dyDescent="0.25">
      <c r="A621" s="6" t="s">
        <v>28</v>
      </c>
      <c r="B621" s="6" t="s">
        <v>296</v>
      </c>
      <c r="C621" s="7">
        <v>31103</v>
      </c>
      <c r="D621" s="6" t="s">
        <v>39</v>
      </c>
      <c r="E621" s="6" t="s">
        <v>72</v>
      </c>
      <c r="F621" s="6" t="s">
        <v>336</v>
      </c>
      <c r="G621" s="6" t="s">
        <v>32</v>
      </c>
      <c r="H621" s="6" t="s">
        <v>153</v>
      </c>
      <c r="I621" s="6" t="s">
        <v>767</v>
      </c>
      <c r="J621" s="6" t="s">
        <v>764</v>
      </c>
      <c r="K621" s="7">
        <v>6072704</v>
      </c>
      <c r="L621" s="7">
        <v>291964</v>
      </c>
      <c r="M621" s="7">
        <v>19</v>
      </c>
      <c r="N621" s="7">
        <v>2</v>
      </c>
      <c r="O621" s="7">
        <v>9.41</v>
      </c>
    </row>
    <row r="622" spans="1:15" x14ac:dyDescent="0.25">
      <c r="A622" s="6" t="s">
        <v>28</v>
      </c>
      <c r="B622" s="6" t="s">
        <v>296</v>
      </c>
      <c r="C622" s="7">
        <v>31104</v>
      </c>
      <c r="D622" s="6" t="s">
        <v>39</v>
      </c>
      <c r="E622" s="6" t="s">
        <v>83</v>
      </c>
      <c r="F622" s="6" t="s">
        <v>337</v>
      </c>
      <c r="G622" s="6" t="s">
        <v>32</v>
      </c>
      <c r="H622" s="6" t="s">
        <v>19</v>
      </c>
      <c r="I622" s="6" t="s">
        <v>767</v>
      </c>
      <c r="J622" s="6" t="s">
        <v>767</v>
      </c>
      <c r="K622" s="7">
        <v>6089558</v>
      </c>
      <c r="L622" s="7">
        <v>278910</v>
      </c>
      <c r="M622" s="7">
        <v>19</v>
      </c>
      <c r="N622" s="7">
        <v>1</v>
      </c>
      <c r="O622" s="7">
        <v>1.26</v>
      </c>
    </row>
    <row r="623" spans="1:15" x14ac:dyDescent="0.25">
      <c r="A623" s="6" t="s">
        <v>28</v>
      </c>
      <c r="B623" s="6" t="s">
        <v>296</v>
      </c>
      <c r="C623" s="7">
        <v>31107</v>
      </c>
      <c r="D623" s="6" t="s">
        <v>39</v>
      </c>
      <c r="E623" s="6" t="s">
        <v>80</v>
      </c>
      <c r="F623" s="6" t="s">
        <v>338</v>
      </c>
      <c r="G623" s="6" t="s">
        <v>32</v>
      </c>
      <c r="H623" s="6" t="s">
        <v>153</v>
      </c>
      <c r="I623" s="6" t="s">
        <v>767</v>
      </c>
      <c r="J623" s="6" t="s">
        <v>764</v>
      </c>
      <c r="K623" s="7">
        <v>6087385</v>
      </c>
      <c r="L623" s="7">
        <v>283724</v>
      </c>
      <c r="M623" s="7">
        <v>19</v>
      </c>
      <c r="N623" s="7">
        <v>1</v>
      </c>
      <c r="O623" s="7">
        <v>0.81</v>
      </c>
    </row>
    <row r="624" spans="1:15" x14ac:dyDescent="0.25">
      <c r="A624" s="6" t="s">
        <v>28</v>
      </c>
      <c r="B624" s="6" t="s">
        <v>296</v>
      </c>
      <c r="C624" s="7">
        <v>31135</v>
      </c>
      <c r="D624" s="6" t="s">
        <v>39</v>
      </c>
      <c r="E624" s="6" t="s">
        <v>80</v>
      </c>
      <c r="F624" s="6" t="s">
        <v>313</v>
      </c>
      <c r="G624" s="6" t="s">
        <v>32</v>
      </c>
      <c r="H624" s="6" t="s">
        <v>19</v>
      </c>
      <c r="I624" s="6" t="s">
        <v>767</v>
      </c>
      <c r="J624" s="6" t="s">
        <v>767</v>
      </c>
      <c r="K624" s="7">
        <v>6087385</v>
      </c>
      <c r="L624" s="7">
        <v>283724</v>
      </c>
      <c r="M624" s="7">
        <v>19</v>
      </c>
      <c r="N624" s="7">
        <v>1</v>
      </c>
      <c r="O624" s="7">
        <v>0.81</v>
      </c>
    </row>
    <row r="625" spans="1:15" x14ac:dyDescent="0.25">
      <c r="A625" s="6" t="s">
        <v>14</v>
      </c>
      <c r="B625" s="6" t="s">
        <v>296</v>
      </c>
      <c r="C625" s="7">
        <v>31138</v>
      </c>
      <c r="D625" s="6" t="s">
        <v>39</v>
      </c>
      <c r="E625" s="6" t="s">
        <v>80</v>
      </c>
      <c r="F625" s="6" t="s">
        <v>339</v>
      </c>
      <c r="G625" s="6" t="s">
        <v>32</v>
      </c>
      <c r="H625" s="6" t="s">
        <v>19</v>
      </c>
      <c r="I625" s="6" t="s">
        <v>767</v>
      </c>
      <c r="J625" s="6" t="s">
        <v>767</v>
      </c>
      <c r="K625" s="7">
        <v>6087411</v>
      </c>
      <c r="L625" s="7">
        <v>287196</v>
      </c>
      <c r="M625" s="7">
        <v>19</v>
      </c>
      <c r="N625" s="7">
        <v>1</v>
      </c>
      <c r="O625" s="7">
        <v>0.32</v>
      </c>
    </row>
    <row r="626" spans="1:15" x14ac:dyDescent="0.25">
      <c r="A626" s="6" t="s">
        <v>28</v>
      </c>
      <c r="B626" s="6" t="s">
        <v>296</v>
      </c>
      <c r="C626" s="7">
        <v>31163</v>
      </c>
      <c r="D626" s="6" t="s">
        <v>39</v>
      </c>
      <c r="E626" s="6" t="s">
        <v>83</v>
      </c>
      <c r="F626" s="6" t="s">
        <v>337</v>
      </c>
      <c r="G626" s="6" t="s">
        <v>32</v>
      </c>
      <c r="H626" s="6" t="s">
        <v>153</v>
      </c>
      <c r="I626" s="6" t="s">
        <v>767</v>
      </c>
      <c r="J626" s="6" t="s">
        <v>764</v>
      </c>
      <c r="K626" s="7">
        <v>6089964</v>
      </c>
      <c r="L626" s="7">
        <v>279683</v>
      </c>
      <c r="M626" s="7">
        <v>19</v>
      </c>
      <c r="N626" s="7">
        <v>1</v>
      </c>
      <c r="O626" s="7">
        <v>0.57999999999999996</v>
      </c>
    </row>
    <row r="627" spans="1:15" x14ac:dyDescent="0.25">
      <c r="A627" s="6" t="s">
        <v>28</v>
      </c>
      <c r="B627" s="6" t="s">
        <v>296</v>
      </c>
      <c r="C627" s="7">
        <v>31169</v>
      </c>
      <c r="D627" s="6" t="s">
        <v>39</v>
      </c>
      <c r="E627" s="6" t="s">
        <v>72</v>
      </c>
      <c r="F627" s="6" t="s">
        <v>185</v>
      </c>
      <c r="G627" s="6" t="s">
        <v>32</v>
      </c>
      <c r="H627" s="6" t="s">
        <v>153</v>
      </c>
      <c r="I627" s="6" t="s">
        <v>767</v>
      </c>
      <c r="J627" s="6" t="s">
        <v>764</v>
      </c>
      <c r="K627" s="7">
        <v>6062913</v>
      </c>
      <c r="L627" s="7">
        <v>283209</v>
      </c>
      <c r="M627" s="7">
        <v>19</v>
      </c>
      <c r="N627" s="7">
        <v>1</v>
      </c>
      <c r="O627" s="7">
        <v>0.81</v>
      </c>
    </row>
    <row r="628" spans="1:15" x14ac:dyDescent="0.25">
      <c r="A628" s="6" t="s">
        <v>28</v>
      </c>
      <c r="B628" s="6" t="s">
        <v>296</v>
      </c>
      <c r="C628" s="7">
        <v>31173</v>
      </c>
      <c r="D628" s="6" t="s">
        <v>39</v>
      </c>
      <c r="E628" s="6" t="s">
        <v>72</v>
      </c>
      <c r="F628" s="6" t="s">
        <v>185</v>
      </c>
      <c r="G628" s="6" t="s">
        <v>32</v>
      </c>
      <c r="H628" s="6" t="s">
        <v>19</v>
      </c>
      <c r="I628" s="6" t="s">
        <v>767</v>
      </c>
      <c r="J628" s="6" t="s">
        <v>767</v>
      </c>
      <c r="K628" s="7">
        <v>6062913</v>
      </c>
      <c r="L628" s="7">
        <v>283209</v>
      </c>
      <c r="M628" s="7">
        <v>19</v>
      </c>
      <c r="N628" s="7">
        <v>1</v>
      </c>
      <c r="O628" s="7">
        <v>0.81</v>
      </c>
    </row>
    <row r="629" spans="1:15" x14ac:dyDescent="0.25">
      <c r="A629" s="6" t="s">
        <v>28</v>
      </c>
      <c r="B629" s="6" t="s">
        <v>296</v>
      </c>
      <c r="C629" s="7">
        <v>31179</v>
      </c>
      <c r="D629" s="6" t="s">
        <v>39</v>
      </c>
      <c r="E629" s="6" t="s">
        <v>87</v>
      </c>
      <c r="F629" s="6" t="s">
        <v>340</v>
      </c>
      <c r="G629" s="6" t="s">
        <v>32</v>
      </c>
      <c r="H629" s="6" t="s">
        <v>153</v>
      </c>
      <c r="I629" s="6" t="s">
        <v>767</v>
      </c>
      <c r="J629" s="6" t="s">
        <v>764</v>
      </c>
      <c r="K629" s="7">
        <v>6096743</v>
      </c>
      <c r="L629" s="7">
        <v>301861</v>
      </c>
      <c r="M629" s="7">
        <v>19</v>
      </c>
      <c r="N629" s="7">
        <v>1</v>
      </c>
      <c r="O629" s="7">
        <v>2.2000000000000002</v>
      </c>
    </row>
    <row r="630" spans="1:15" x14ac:dyDescent="0.25">
      <c r="A630" s="6" t="s">
        <v>28</v>
      </c>
      <c r="B630" s="6" t="s">
        <v>296</v>
      </c>
      <c r="C630" s="7">
        <v>31180</v>
      </c>
      <c r="D630" s="6" t="s">
        <v>39</v>
      </c>
      <c r="E630" s="6" t="s">
        <v>87</v>
      </c>
      <c r="F630" s="6" t="s">
        <v>340</v>
      </c>
      <c r="G630" s="6" t="s">
        <v>32</v>
      </c>
      <c r="H630" s="6" t="s">
        <v>153</v>
      </c>
      <c r="I630" s="6" t="s">
        <v>767</v>
      </c>
      <c r="J630" s="6" t="s">
        <v>764</v>
      </c>
      <c r="K630" s="7">
        <v>6097971</v>
      </c>
      <c r="L630" s="7">
        <v>299526</v>
      </c>
      <c r="M630" s="7">
        <v>19</v>
      </c>
      <c r="N630" s="7">
        <v>1</v>
      </c>
      <c r="O630" s="7">
        <v>2.83</v>
      </c>
    </row>
    <row r="631" spans="1:15" x14ac:dyDescent="0.25">
      <c r="A631" s="6" t="s">
        <v>28</v>
      </c>
      <c r="B631" s="6" t="s">
        <v>296</v>
      </c>
      <c r="C631" s="7">
        <v>31182</v>
      </c>
      <c r="D631" s="6" t="s">
        <v>39</v>
      </c>
      <c r="E631" s="6" t="s">
        <v>87</v>
      </c>
      <c r="F631" s="6" t="s">
        <v>197</v>
      </c>
      <c r="G631" s="6" t="s">
        <v>32</v>
      </c>
      <c r="H631" s="6" t="s">
        <v>19</v>
      </c>
      <c r="I631" s="6" t="s">
        <v>767</v>
      </c>
      <c r="J631" s="6" t="s">
        <v>767</v>
      </c>
      <c r="K631" s="7">
        <v>6090813</v>
      </c>
      <c r="L631" s="7">
        <v>306968</v>
      </c>
      <c r="M631" s="7">
        <v>19</v>
      </c>
      <c r="N631" s="7">
        <v>1</v>
      </c>
      <c r="O631" s="7">
        <v>0.81</v>
      </c>
    </row>
    <row r="632" spans="1:15" x14ac:dyDescent="0.25">
      <c r="A632" s="6" t="s">
        <v>28</v>
      </c>
      <c r="B632" s="6" t="s">
        <v>296</v>
      </c>
      <c r="C632" s="7">
        <v>31322</v>
      </c>
      <c r="D632" s="6" t="s">
        <v>39</v>
      </c>
      <c r="E632" s="6" t="s">
        <v>87</v>
      </c>
      <c r="F632" s="6" t="s">
        <v>197</v>
      </c>
      <c r="G632" s="6" t="s">
        <v>32</v>
      </c>
      <c r="H632" s="6" t="s">
        <v>19</v>
      </c>
      <c r="I632" s="6" t="s">
        <v>767</v>
      </c>
      <c r="J632" s="6" t="s">
        <v>767</v>
      </c>
      <c r="K632" s="7">
        <v>6089743</v>
      </c>
      <c r="L632" s="7">
        <v>305028</v>
      </c>
      <c r="M632" s="7">
        <v>19</v>
      </c>
      <c r="N632" s="7">
        <v>1</v>
      </c>
      <c r="O632" s="7">
        <v>0.81</v>
      </c>
    </row>
    <row r="633" spans="1:15" x14ac:dyDescent="0.25">
      <c r="A633" s="6" t="s">
        <v>28</v>
      </c>
      <c r="B633" s="6" t="s">
        <v>296</v>
      </c>
      <c r="C633" s="7">
        <v>31324</v>
      </c>
      <c r="D633" s="6" t="s">
        <v>39</v>
      </c>
      <c r="E633" s="6" t="s">
        <v>87</v>
      </c>
      <c r="F633" s="6" t="s">
        <v>341</v>
      </c>
      <c r="G633" s="6" t="s">
        <v>32</v>
      </c>
      <c r="H633" s="6" t="s">
        <v>19</v>
      </c>
      <c r="I633" s="6" t="s">
        <v>767</v>
      </c>
      <c r="J633" s="6" t="s">
        <v>767</v>
      </c>
      <c r="K633" s="7">
        <v>6098989</v>
      </c>
      <c r="L633" s="7">
        <v>298814</v>
      </c>
      <c r="M633" s="7">
        <v>19</v>
      </c>
      <c r="N633" s="7">
        <v>1</v>
      </c>
      <c r="O633" s="7">
        <v>1.39</v>
      </c>
    </row>
    <row r="634" spans="1:15" x14ac:dyDescent="0.25">
      <c r="A634" s="6" t="s">
        <v>28</v>
      </c>
      <c r="B634" s="6" t="s">
        <v>296</v>
      </c>
      <c r="C634" s="7">
        <v>31325</v>
      </c>
      <c r="D634" s="6" t="s">
        <v>39</v>
      </c>
      <c r="E634" s="6" t="s">
        <v>87</v>
      </c>
      <c r="F634" s="6" t="s">
        <v>342</v>
      </c>
      <c r="G634" s="6" t="s">
        <v>32</v>
      </c>
      <c r="H634" s="6" t="s">
        <v>19</v>
      </c>
      <c r="I634" s="6" t="s">
        <v>767</v>
      </c>
      <c r="J634" s="6" t="s">
        <v>767</v>
      </c>
      <c r="K634" s="7">
        <v>6097203</v>
      </c>
      <c r="L634" s="7">
        <v>286777</v>
      </c>
      <c r="M634" s="7">
        <v>19</v>
      </c>
      <c r="N634" s="7">
        <v>1</v>
      </c>
      <c r="O634" s="7">
        <v>0.54</v>
      </c>
    </row>
    <row r="635" spans="1:15" x14ac:dyDescent="0.25">
      <c r="A635" s="6" t="s">
        <v>28</v>
      </c>
      <c r="B635" s="6" t="s">
        <v>296</v>
      </c>
      <c r="C635" s="7">
        <v>31363</v>
      </c>
      <c r="D635" s="6" t="s">
        <v>39</v>
      </c>
      <c r="E635" s="6" t="s">
        <v>87</v>
      </c>
      <c r="F635" s="6" t="s">
        <v>197</v>
      </c>
      <c r="G635" s="6" t="s">
        <v>32</v>
      </c>
      <c r="H635" s="6" t="s">
        <v>19</v>
      </c>
      <c r="I635" s="6" t="s">
        <v>767</v>
      </c>
      <c r="J635" s="6" t="s">
        <v>767</v>
      </c>
      <c r="K635" s="7">
        <v>6091263</v>
      </c>
      <c r="L635" s="7">
        <v>305330</v>
      </c>
      <c r="M635" s="7">
        <v>19</v>
      </c>
      <c r="N635" s="7">
        <v>1</v>
      </c>
      <c r="O635" s="7">
        <v>1.21</v>
      </c>
    </row>
    <row r="636" spans="1:15" x14ac:dyDescent="0.25">
      <c r="A636" s="6" t="s">
        <v>28</v>
      </c>
      <c r="B636" s="6" t="s">
        <v>296</v>
      </c>
      <c r="C636" s="7">
        <v>31370</v>
      </c>
      <c r="D636" s="6" t="s">
        <v>39</v>
      </c>
      <c r="E636" s="6" t="s">
        <v>41</v>
      </c>
      <c r="F636" s="6" t="s">
        <v>313</v>
      </c>
      <c r="G636" s="6" t="s">
        <v>32</v>
      </c>
      <c r="H636" s="6" t="s">
        <v>33</v>
      </c>
      <c r="I636" s="6" t="s">
        <v>767</v>
      </c>
      <c r="J636" s="6" t="s">
        <v>767</v>
      </c>
      <c r="K636" s="7">
        <v>6114019</v>
      </c>
      <c r="L636" s="7">
        <v>272845</v>
      </c>
      <c r="M636" s="7">
        <v>19</v>
      </c>
      <c r="N636" s="7">
        <v>6</v>
      </c>
      <c r="O636" s="7">
        <v>105</v>
      </c>
    </row>
    <row r="637" spans="1:15" x14ac:dyDescent="0.25">
      <c r="A637" s="6" t="s">
        <v>28</v>
      </c>
      <c r="B637" s="6" t="s">
        <v>296</v>
      </c>
      <c r="C637" s="7">
        <v>31381</v>
      </c>
      <c r="D637" s="6" t="s">
        <v>39</v>
      </c>
      <c r="E637" s="6" t="s">
        <v>41</v>
      </c>
      <c r="F637" s="6" t="s">
        <v>313</v>
      </c>
      <c r="G637" s="6" t="s">
        <v>32</v>
      </c>
      <c r="H637" s="6" t="s">
        <v>33</v>
      </c>
      <c r="I637" s="6" t="s">
        <v>767</v>
      </c>
      <c r="J637" s="6" t="s">
        <v>764</v>
      </c>
      <c r="K637" s="7">
        <v>6113350</v>
      </c>
      <c r="L637" s="7">
        <v>274527</v>
      </c>
      <c r="M637" s="7">
        <v>19</v>
      </c>
      <c r="N637" s="7">
        <v>2</v>
      </c>
      <c r="O637" s="7">
        <v>34</v>
      </c>
    </row>
    <row r="638" spans="1:15" x14ac:dyDescent="0.25">
      <c r="A638" s="6" t="s">
        <v>28</v>
      </c>
      <c r="B638" s="6" t="s">
        <v>296</v>
      </c>
      <c r="C638" s="7">
        <v>31389</v>
      </c>
      <c r="D638" s="6" t="s">
        <v>39</v>
      </c>
      <c r="E638" s="6" t="s">
        <v>53</v>
      </c>
      <c r="F638" s="6" t="s">
        <v>190</v>
      </c>
      <c r="G638" s="6" t="s">
        <v>32</v>
      </c>
      <c r="H638" s="6" t="s">
        <v>19</v>
      </c>
      <c r="I638" s="6" t="s">
        <v>767</v>
      </c>
      <c r="J638" s="6" t="s">
        <v>767</v>
      </c>
      <c r="K638" s="7">
        <v>6136183</v>
      </c>
      <c r="L638" s="7">
        <v>316703</v>
      </c>
      <c r="M638" s="7">
        <v>19</v>
      </c>
      <c r="N638" s="7">
        <v>1</v>
      </c>
      <c r="O638" s="7">
        <v>4</v>
      </c>
    </row>
    <row r="639" spans="1:15" x14ac:dyDescent="0.25">
      <c r="A639" s="6" t="s">
        <v>28</v>
      </c>
      <c r="B639" s="6" t="s">
        <v>296</v>
      </c>
      <c r="C639" s="7">
        <v>31409</v>
      </c>
      <c r="D639" s="6" t="s">
        <v>42</v>
      </c>
      <c r="E639" s="6" t="s">
        <v>45</v>
      </c>
      <c r="F639" s="6" t="s">
        <v>68</v>
      </c>
      <c r="G639" s="6" t="s">
        <v>32</v>
      </c>
      <c r="H639" s="6" t="s">
        <v>33</v>
      </c>
      <c r="I639" s="6" t="s">
        <v>767</v>
      </c>
      <c r="J639" s="6" t="s">
        <v>767</v>
      </c>
      <c r="K639" s="7">
        <v>6172849</v>
      </c>
      <c r="L639" s="7">
        <v>323184</v>
      </c>
      <c r="M639" s="7">
        <v>19</v>
      </c>
      <c r="N639" s="7">
        <v>1</v>
      </c>
      <c r="O639" s="7">
        <v>5</v>
      </c>
    </row>
    <row r="640" spans="1:15" x14ac:dyDescent="0.25">
      <c r="A640" s="6" t="s">
        <v>28</v>
      </c>
      <c r="B640" s="6" t="s">
        <v>296</v>
      </c>
      <c r="C640" s="7">
        <v>31411</v>
      </c>
      <c r="D640" s="6" t="s">
        <v>39</v>
      </c>
      <c r="E640" s="6" t="s">
        <v>70</v>
      </c>
      <c r="F640" s="6" t="s">
        <v>92</v>
      </c>
      <c r="G640" s="6" t="s">
        <v>32</v>
      </c>
      <c r="H640" s="6" t="s">
        <v>33</v>
      </c>
      <c r="I640" s="6" t="s">
        <v>767</v>
      </c>
      <c r="J640" s="6" t="s">
        <v>764</v>
      </c>
      <c r="K640" s="7">
        <v>6073928</v>
      </c>
      <c r="L640" s="7">
        <v>269528</v>
      </c>
      <c r="M640" s="7">
        <v>19</v>
      </c>
      <c r="N640" s="7">
        <v>1</v>
      </c>
      <c r="O640" s="7">
        <v>9.9</v>
      </c>
    </row>
    <row r="641" spans="1:15" x14ac:dyDescent="0.25">
      <c r="A641" s="6" t="s">
        <v>28</v>
      </c>
      <c r="B641" s="6" t="s">
        <v>296</v>
      </c>
      <c r="C641" s="7">
        <v>31413</v>
      </c>
      <c r="D641" s="6" t="s">
        <v>42</v>
      </c>
      <c r="E641" s="6" t="s">
        <v>45</v>
      </c>
      <c r="F641" s="6" t="s">
        <v>45</v>
      </c>
      <c r="G641" s="6" t="s">
        <v>32</v>
      </c>
      <c r="H641" s="6" t="s">
        <v>33</v>
      </c>
      <c r="I641" s="6" t="s">
        <v>767</v>
      </c>
      <c r="J641" s="6" t="s">
        <v>767</v>
      </c>
      <c r="K641" s="7">
        <v>6166976</v>
      </c>
      <c r="L641" s="7">
        <v>326056</v>
      </c>
      <c r="M641" s="7">
        <v>19</v>
      </c>
      <c r="N641" s="7">
        <v>6</v>
      </c>
      <c r="O641" s="7">
        <v>52</v>
      </c>
    </row>
    <row r="642" spans="1:15" x14ac:dyDescent="0.25">
      <c r="A642" s="6" t="s">
        <v>28</v>
      </c>
      <c r="B642" s="6" t="s">
        <v>296</v>
      </c>
      <c r="C642" s="7">
        <v>31414</v>
      </c>
      <c r="D642" s="6" t="s">
        <v>42</v>
      </c>
      <c r="E642" s="6" t="s">
        <v>45</v>
      </c>
      <c r="F642" s="6" t="s">
        <v>45</v>
      </c>
      <c r="G642" s="6" t="s">
        <v>32</v>
      </c>
      <c r="H642" s="6" t="s">
        <v>33</v>
      </c>
      <c r="I642" s="6" t="s">
        <v>767</v>
      </c>
      <c r="J642" s="6" t="s">
        <v>764</v>
      </c>
      <c r="K642" s="7">
        <v>6171882</v>
      </c>
      <c r="L642" s="7">
        <v>318160</v>
      </c>
      <c r="M642" s="7">
        <v>19</v>
      </c>
      <c r="N642" s="7">
        <v>1</v>
      </c>
      <c r="O642" s="7">
        <v>11</v>
      </c>
    </row>
    <row r="643" spans="1:15" x14ac:dyDescent="0.25">
      <c r="A643" s="6" t="s">
        <v>28</v>
      </c>
      <c r="B643" s="6" t="s">
        <v>296</v>
      </c>
      <c r="C643" s="7">
        <v>31418</v>
      </c>
      <c r="D643" s="6" t="s">
        <v>39</v>
      </c>
      <c r="E643" s="6" t="s">
        <v>41</v>
      </c>
      <c r="F643" s="6" t="s">
        <v>343</v>
      </c>
      <c r="G643" s="6" t="s">
        <v>32</v>
      </c>
      <c r="H643" s="6" t="s">
        <v>33</v>
      </c>
      <c r="I643" s="6" t="s">
        <v>767</v>
      </c>
      <c r="J643" s="6" t="s">
        <v>767</v>
      </c>
      <c r="K643" s="7">
        <v>6117639</v>
      </c>
      <c r="L643" s="7">
        <v>290551</v>
      </c>
      <c r="M643" s="7">
        <v>19</v>
      </c>
      <c r="N643" s="7">
        <v>1</v>
      </c>
      <c r="O643" s="7">
        <v>7.5</v>
      </c>
    </row>
    <row r="644" spans="1:15" x14ac:dyDescent="0.25">
      <c r="A644" s="6" t="s">
        <v>28</v>
      </c>
      <c r="B644" s="6" t="s">
        <v>296</v>
      </c>
      <c r="C644" s="7">
        <v>31421</v>
      </c>
      <c r="D644" s="6" t="s">
        <v>39</v>
      </c>
      <c r="E644" s="6" t="s">
        <v>70</v>
      </c>
      <c r="F644" s="6" t="s">
        <v>344</v>
      </c>
      <c r="G644" s="6" t="s">
        <v>32</v>
      </c>
      <c r="H644" s="6" t="s">
        <v>33</v>
      </c>
      <c r="I644" s="6" t="s">
        <v>767</v>
      </c>
      <c r="J644" s="6" t="s">
        <v>767</v>
      </c>
      <c r="K644" s="7">
        <v>6078499</v>
      </c>
      <c r="L644" s="7">
        <v>267070</v>
      </c>
      <c r="M644" s="7">
        <v>19</v>
      </c>
      <c r="N644" s="7">
        <v>1</v>
      </c>
      <c r="O644" s="7">
        <v>10</v>
      </c>
    </row>
    <row r="645" spans="1:15" x14ac:dyDescent="0.25">
      <c r="A645" s="6" t="s">
        <v>14</v>
      </c>
      <c r="B645" s="6" t="s">
        <v>296</v>
      </c>
      <c r="C645" s="7">
        <v>31422</v>
      </c>
      <c r="D645" s="6" t="s">
        <v>39</v>
      </c>
      <c r="E645" s="6" t="s">
        <v>80</v>
      </c>
      <c r="F645" s="6" t="s">
        <v>81</v>
      </c>
      <c r="G645" s="6" t="s">
        <v>32</v>
      </c>
      <c r="H645" s="6" t="s">
        <v>33</v>
      </c>
      <c r="I645" s="6" t="s">
        <v>767</v>
      </c>
      <c r="J645" s="6" t="s">
        <v>764</v>
      </c>
      <c r="K645" s="7">
        <v>6082501</v>
      </c>
      <c r="L645" s="7">
        <v>269504</v>
      </c>
      <c r="M645" s="7">
        <v>19</v>
      </c>
      <c r="N645" s="7">
        <v>2</v>
      </c>
      <c r="O645" s="7">
        <v>12.7</v>
      </c>
    </row>
    <row r="646" spans="1:15" x14ac:dyDescent="0.25">
      <c r="A646" s="6" t="s">
        <v>28</v>
      </c>
      <c r="B646" s="6" t="s">
        <v>296</v>
      </c>
      <c r="C646" s="7">
        <v>31423</v>
      </c>
      <c r="D646" s="6" t="s">
        <v>39</v>
      </c>
      <c r="E646" s="6" t="s">
        <v>310</v>
      </c>
      <c r="F646" s="6" t="s">
        <v>314</v>
      </c>
      <c r="G646" s="6" t="s">
        <v>32</v>
      </c>
      <c r="H646" s="6" t="s">
        <v>33</v>
      </c>
      <c r="I646" s="6" t="s">
        <v>767</v>
      </c>
      <c r="J646" s="6" t="s">
        <v>767</v>
      </c>
      <c r="K646" s="7">
        <v>6116784</v>
      </c>
      <c r="L646" s="7">
        <v>291174</v>
      </c>
      <c r="M646" s="7">
        <v>19</v>
      </c>
      <c r="N646" s="7">
        <v>2</v>
      </c>
      <c r="O646" s="7">
        <v>38</v>
      </c>
    </row>
    <row r="647" spans="1:15" x14ac:dyDescent="0.25">
      <c r="A647" s="6" t="s">
        <v>28</v>
      </c>
      <c r="B647" s="6" t="s">
        <v>296</v>
      </c>
      <c r="C647" s="7">
        <v>31433</v>
      </c>
      <c r="D647" s="6" t="s">
        <v>39</v>
      </c>
      <c r="E647" s="6" t="s">
        <v>310</v>
      </c>
      <c r="F647" s="6" t="s">
        <v>310</v>
      </c>
      <c r="G647" s="6" t="s">
        <v>32</v>
      </c>
      <c r="H647" s="6" t="s">
        <v>33</v>
      </c>
      <c r="I647" s="6" t="s">
        <v>767</v>
      </c>
      <c r="J647" s="6" t="s">
        <v>764</v>
      </c>
      <c r="K647" s="7">
        <v>6111653</v>
      </c>
      <c r="L647" s="7">
        <v>290458</v>
      </c>
      <c r="M647" s="7">
        <v>19</v>
      </c>
      <c r="N647" s="7">
        <v>3</v>
      </c>
      <c r="O647" s="7">
        <v>22</v>
      </c>
    </row>
    <row r="648" spans="1:15" x14ac:dyDescent="0.25">
      <c r="A648" s="6" t="s">
        <v>28</v>
      </c>
      <c r="B648" s="6" t="s">
        <v>296</v>
      </c>
      <c r="C648" s="7">
        <v>31438</v>
      </c>
      <c r="D648" s="6" t="s">
        <v>39</v>
      </c>
      <c r="E648" s="6" t="s">
        <v>53</v>
      </c>
      <c r="F648" s="6" t="s">
        <v>53</v>
      </c>
      <c r="G648" s="6" t="s">
        <v>32</v>
      </c>
      <c r="H648" s="6" t="s">
        <v>33</v>
      </c>
      <c r="I648" s="6" t="s">
        <v>767</v>
      </c>
      <c r="J648" s="6" t="s">
        <v>767</v>
      </c>
      <c r="K648" s="7">
        <v>6135956</v>
      </c>
      <c r="L648" s="7">
        <v>310615</v>
      </c>
      <c r="M648" s="7">
        <v>19</v>
      </c>
      <c r="N648" s="7">
        <v>1</v>
      </c>
      <c r="O648" s="7">
        <v>24</v>
      </c>
    </row>
    <row r="649" spans="1:15" x14ac:dyDescent="0.25">
      <c r="A649" s="6" t="s">
        <v>28</v>
      </c>
      <c r="B649" s="6" t="s">
        <v>296</v>
      </c>
      <c r="C649" s="7">
        <v>31449</v>
      </c>
      <c r="D649" s="6" t="s">
        <v>42</v>
      </c>
      <c r="E649" s="6" t="s">
        <v>51</v>
      </c>
      <c r="F649" s="6" t="s">
        <v>306</v>
      </c>
      <c r="G649" s="6" t="s">
        <v>32</v>
      </c>
      <c r="H649" s="6" t="s">
        <v>33</v>
      </c>
      <c r="I649" s="6" t="s">
        <v>767</v>
      </c>
      <c r="J649" s="6" t="s">
        <v>767</v>
      </c>
      <c r="K649" s="7">
        <v>6150411</v>
      </c>
      <c r="L649" s="7">
        <v>312605</v>
      </c>
      <c r="M649" s="7">
        <v>19</v>
      </c>
      <c r="N649" s="7">
        <v>3</v>
      </c>
      <c r="O649" s="7">
        <v>40</v>
      </c>
    </row>
    <row r="650" spans="1:15" x14ac:dyDescent="0.25">
      <c r="A650" s="6" t="s">
        <v>28</v>
      </c>
      <c r="B650" s="6" t="s">
        <v>296</v>
      </c>
      <c r="C650" s="7">
        <v>31453</v>
      </c>
      <c r="D650" s="6" t="s">
        <v>39</v>
      </c>
      <c r="E650" s="6" t="s">
        <v>310</v>
      </c>
      <c r="F650" s="6" t="s">
        <v>314</v>
      </c>
      <c r="G650" s="6" t="s">
        <v>32</v>
      </c>
      <c r="H650" s="6" t="s">
        <v>33</v>
      </c>
      <c r="I650" s="6" t="s">
        <v>767</v>
      </c>
      <c r="J650" s="6" t="s">
        <v>767</v>
      </c>
      <c r="K650" s="7">
        <v>6116277</v>
      </c>
      <c r="L650" s="7">
        <v>291142</v>
      </c>
      <c r="M650" s="7">
        <v>19</v>
      </c>
      <c r="N650" s="7">
        <v>1</v>
      </c>
      <c r="O650" s="7">
        <v>37</v>
      </c>
    </row>
    <row r="651" spans="1:15" x14ac:dyDescent="0.25">
      <c r="A651" s="6" t="s">
        <v>28</v>
      </c>
      <c r="B651" s="6" t="s">
        <v>296</v>
      </c>
      <c r="C651" s="7">
        <v>31455</v>
      </c>
      <c r="D651" s="6" t="s">
        <v>39</v>
      </c>
      <c r="E651" s="6" t="s">
        <v>53</v>
      </c>
      <c r="F651" s="6" t="s">
        <v>345</v>
      </c>
      <c r="G651" s="6" t="s">
        <v>32</v>
      </c>
      <c r="H651" s="6" t="s">
        <v>33</v>
      </c>
      <c r="I651" s="6" t="s">
        <v>767</v>
      </c>
      <c r="J651" s="6" t="s">
        <v>767</v>
      </c>
      <c r="K651" s="7">
        <v>6134325</v>
      </c>
      <c r="L651" s="7">
        <v>316396</v>
      </c>
      <c r="M651" s="7">
        <v>19</v>
      </c>
      <c r="N651" s="7">
        <v>1</v>
      </c>
      <c r="O651" s="7">
        <v>8</v>
      </c>
    </row>
    <row r="652" spans="1:15" x14ac:dyDescent="0.25">
      <c r="A652" s="6" t="s">
        <v>28</v>
      </c>
      <c r="B652" s="6" t="s">
        <v>296</v>
      </c>
      <c r="C652" s="7">
        <v>31480</v>
      </c>
      <c r="D652" s="6" t="s">
        <v>39</v>
      </c>
      <c r="E652" s="6" t="s">
        <v>310</v>
      </c>
      <c r="F652" s="6" t="s">
        <v>346</v>
      </c>
      <c r="G652" s="6" t="s">
        <v>32</v>
      </c>
      <c r="H652" s="6" t="s">
        <v>33</v>
      </c>
      <c r="I652" s="6" t="s">
        <v>767</v>
      </c>
      <c r="J652" s="6" t="s">
        <v>767</v>
      </c>
      <c r="K652" s="7">
        <v>6115937</v>
      </c>
      <c r="L652" s="7">
        <v>290891</v>
      </c>
      <c r="M652" s="7">
        <v>19</v>
      </c>
      <c r="N652" s="7">
        <v>2</v>
      </c>
      <c r="O652" s="7">
        <v>17</v>
      </c>
    </row>
    <row r="653" spans="1:15" x14ac:dyDescent="0.25">
      <c r="A653" s="6" t="s">
        <v>28</v>
      </c>
      <c r="B653" s="6" t="s">
        <v>296</v>
      </c>
      <c r="C653" s="7">
        <v>31515</v>
      </c>
      <c r="D653" s="6" t="s">
        <v>39</v>
      </c>
      <c r="E653" s="6" t="s">
        <v>53</v>
      </c>
      <c r="F653" s="6" t="s">
        <v>53</v>
      </c>
      <c r="G653" s="6" t="s">
        <v>32</v>
      </c>
      <c r="H653" s="6" t="s">
        <v>33</v>
      </c>
      <c r="I653" s="6" t="s">
        <v>767</v>
      </c>
      <c r="J653" s="6" t="s">
        <v>764</v>
      </c>
      <c r="K653" s="7">
        <v>6143285</v>
      </c>
      <c r="L653" s="7">
        <v>305186</v>
      </c>
      <c r="M653" s="7">
        <v>19</v>
      </c>
      <c r="N653" s="7">
        <v>1</v>
      </c>
      <c r="O653" s="7">
        <v>9.5</v>
      </c>
    </row>
    <row r="654" spans="1:15" x14ac:dyDescent="0.25">
      <c r="A654" s="6" t="s">
        <v>28</v>
      </c>
      <c r="B654" s="6" t="s">
        <v>296</v>
      </c>
      <c r="C654" s="7">
        <v>31529</v>
      </c>
      <c r="D654" s="6" t="s">
        <v>42</v>
      </c>
      <c r="E654" s="6" t="s">
        <v>43</v>
      </c>
      <c r="F654" s="6" t="s">
        <v>347</v>
      </c>
      <c r="G654" s="6" t="s">
        <v>32</v>
      </c>
      <c r="H654" s="6" t="s">
        <v>33</v>
      </c>
      <c r="I654" s="6" t="s">
        <v>767</v>
      </c>
      <c r="J654" s="6" t="s">
        <v>767</v>
      </c>
      <c r="K654" s="7">
        <v>6190131</v>
      </c>
      <c r="L654" s="7">
        <v>330337</v>
      </c>
      <c r="M654" s="7">
        <v>19</v>
      </c>
      <c r="N654" s="7">
        <v>3</v>
      </c>
      <c r="O654" s="7">
        <v>7</v>
      </c>
    </row>
    <row r="655" spans="1:15" x14ac:dyDescent="0.25">
      <c r="A655" s="6" t="s">
        <v>28</v>
      </c>
      <c r="B655" s="6" t="s">
        <v>296</v>
      </c>
      <c r="C655" s="7">
        <v>31537</v>
      </c>
      <c r="D655" s="6" t="s">
        <v>39</v>
      </c>
      <c r="E655" s="6" t="s">
        <v>80</v>
      </c>
      <c r="F655" s="6" t="s">
        <v>348</v>
      </c>
      <c r="G655" s="6" t="s">
        <v>32</v>
      </c>
      <c r="H655" s="6" t="s">
        <v>33</v>
      </c>
      <c r="I655" s="6" t="s">
        <v>767</v>
      </c>
      <c r="J655" s="6" t="s">
        <v>764</v>
      </c>
      <c r="K655" s="7">
        <v>6079616</v>
      </c>
      <c r="L655" s="7">
        <v>283860</v>
      </c>
      <c r="M655" s="7">
        <v>19</v>
      </c>
      <c r="N655" s="7">
        <v>1</v>
      </c>
      <c r="O655" s="7">
        <v>130</v>
      </c>
    </row>
    <row r="656" spans="1:15" x14ac:dyDescent="0.25">
      <c r="A656" s="6" t="s">
        <v>14</v>
      </c>
      <c r="B656" s="6" t="s">
        <v>296</v>
      </c>
      <c r="C656" s="7">
        <v>31538</v>
      </c>
      <c r="D656" s="6" t="s">
        <v>39</v>
      </c>
      <c r="E656" s="6" t="s">
        <v>70</v>
      </c>
      <c r="F656" s="6" t="s">
        <v>309</v>
      </c>
      <c r="G656" s="6" t="s">
        <v>32</v>
      </c>
      <c r="H656" s="6" t="s">
        <v>33</v>
      </c>
      <c r="I656" s="6" t="s">
        <v>767</v>
      </c>
      <c r="J656" s="6" t="s">
        <v>764</v>
      </c>
      <c r="K656" s="7">
        <v>6082075</v>
      </c>
      <c r="L656" s="7">
        <v>265292</v>
      </c>
      <c r="M656" s="7">
        <v>19</v>
      </c>
      <c r="N656" s="7">
        <v>1</v>
      </c>
      <c r="O656" s="7">
        <v>21</v>
      </c>
    </row>
    <row r="657" spans="1:15" x14ac:dyDescent="0.25">
      <c r="A657" s="6" t="s">
        <v>28</v>
      </c>
      <c r="B657" s="6" t="s">
        <v>296</v>
      </c>
      <c r="C657" s="7">
        <v>31552</v>
      </c>
      <c r="D657" s="6" t="s">
        <v>39</v>
      </c>
      <c r="E657" s="6" t="s">
        <v>310</v>
      </c>
      <c r="F657" s="6" t="s">
        <v>310</v>
      </c>
      <c r="G657" s="6" t="s">
        <v>32</v>
      </c>
      <c r="H657" s="6" t="s">
        <v>33</v>
      </c>
      <c r="I657" s="6" t="s">
        <v>767</v>
      </c>
      <c r="J657" s="6" t="s">
        <v>764</v>
      </c>
      <c r="K657" s="7">
        <v>6111991</v>
      </c>
      <c r="L657" s="7">
        <v>290498</v>
      </c>
      <c r="M657" s="7">
        <v>19</v>
      </c>
      <c r="N657" s="7">
        <v>1</v>
      </c>
      <c r="O657" s="7">
        <v>5</v>
      </c>
    </row>
    <row r="658" spans="1:15" x14ac:dyDescent="0.25">
      <c r="A658" s="6" t="s">
        <v>28</v>
      </c>
      <c r="B658" s="6" t="s">
        <v>296</v>
      </c>
      <c r="C658" s="7">
        <v>31556</v>
      </c>
      <c r="D658" s="6" t="s">
        <v>39</v>
      </c>
      <c r="E658" s="6" t="s">
        <v>53</v>
      </c>
      <c r="F658" s="6" t="s">
        <v>349</v>
      </c>
      <c r="G658" s="6" t="s">
        <v>32</v>
      </c>
      <c r="H658" s="6" t="s">
        <v>33</v>
      </c>
      <c r="I658" s="6" t="s">
        <v>767</v>
      </c>
      <c r="J658" s="6" t="s">
        <v>767</v>
      </c>
      <c r="K658" s="7">
        <v>6135506</v>
      </c>
      <c r="L658" s="7">
        <v>311304</v>
      </c>
      <c r="M658" s="7">
        <v>19</v>
      </c>
      <c r="N658" s="7">
        <v>1</v>
      </c>
      <c r="O658" s="7">
        <v>30</v>
      </c>
    </row>
    <row r="659" spans="1:15" x14ac:dyDescent="0.25">
      <c r="A659" s="6" t="s">
        <v>28</v>
      </c>
      <c r="B659" s="6" t="s">
        <v>296</v>
      </c>
      <c r="C659" s="7">
        <v>31561</v>
      </c>
      <c r="D659" s="6" t="s">
        <v>39</v>
      </c>
      <c r="E659" s="6" t="s">
        <v>53</v>
      </c>
      <c r="F659" s="6" t="s">
        <v>349</v>
      </c>
      <c r="G659" s="6" t="s">
        <v>32</v>
      </c>
      <c r="H659" s="6" t="s">
        <v>33</v>
      </c>
      <c r="I659" s="6" t="s">
        <v>767</v>
      </c>
      <c r="J659" s="6" t="s">
        <v>767</v>
      </c>
      <c r="K659" s="7">
        <v>6135315</v>
      </c>
      <c r="L659" s="7">
        <v>310722</v>
      </c>
      <c r="M659" s="7">
        <v>19</v>
      </c>
      <c r="N659" s="7">
        <v>2</v>
      </c>
      <c r="O659" s="7">
        <v>40</v>
      </c>
    </row>
    <row r="660" spans="1:15" x14ac:dyDescent="0.25">
      <c r="A660" s="6" t="s">
        <v>28</v>
      </c>
      <c r="B660" s="6" t="s">
        <v>296</v>
      </c>
      <c r="C660" s="7">
        <v>31574</v>
      </c>
      <c r="D660" s="6" t="s">
        <v>39</v>
      </c>
      <c r="E660" s="6" t="s">
        <v>41</v>
      </c>
      <c r="F660" s="6" t="s">
        <v>41</v>
      </c>
      <c r="G660" s="6" t="s">
        <v>32</v>
      </c>
      <c r="H660" s="6" t="s">
        <v>33</v>
      </c>
      <c r="I660" s="6" t="s">
        <v>767</v>
      </c>
      <c r="J660" s="6" t="s">
        <v>764</v>
      </c>
      <c r="K660" s="7">
        <v>6122432</v>
      </c>
      <c r="L660" s="7">
        <v>282412</v>
      </c>
      <c r="M660" s="7">
        <v>19</v>
      </c>
      <c r="N660" s="7">
        <v>2</v>
      </c>
      <c r="O660" s="7">
        <v>22</v>
      </c>
    </row>
    <row r="661" spans="1:15" x14ac:dyDescent="0.25">
      <c r="A661" s="6" t="s">
        <v>28</v>
      </c>
      <c r="B661" s="6" t="s">
        <v>296</v>
      </c>
      <c r="C661" s="7">
        <v>31579</v>
      </c>
      <c r="D661" s="6" t="s">
        <v>39</v>
      </c>
      <c r="E661" s="6" t="s">
        <v>310</v>
      </c>
      <c r="F661" s="6" t="s">
        <v>310</v>
      </c>
      <c r="G661" s="6" t="s">
        <v>32</v>
      </c>
      <c r="H661" s="6" t="s">
        <v>33</v>
      </c>
      <c r="I661" s="6" t="s">
        <v>767</v>
      </c>
      <c r="J661" s="6" t="s">
        <v>764</v>
      </c>
      <c r="K661" s="7">
        <v>6111953</v>
      </c>
      <c r="L661" s="7">
        <v>290861</v>
      </c>
      <c r="M661" s="7">
        <v>19</v>
      </c>
      <c r="N661" s="7">
        <v>4</v>
      </c>
      <c r="O661" s="7">
        <v>13</v>
      </c>
    </row>
    <row r="662" spans="1:15" x14ac:dyDescent="0.25">
      <c r="A662" s="6" t="s">
        <v>28</v>
      </c>
      <c r="B662" s="6" t="s">
        <v>296</v>
      </c>
      <c r="C662" s="7">
        <v>31582</v>
      </c>
      <c r="D662" s="6" t="s">
        <v>39</v>
      </c>
      <c r="E662" s="6" t="s">
        <v>310</v>
      </c>
      <c r="F662" s="6" t="s">
        <v>310</v>
      </c>
      <c r="G662" s="6" t="s">
        <v>32</v>
      </c>
      <c r="H662" s="6" t="s">
        <v>33</v>
      </c>
      <c r="I662" s="6" t="s">
        <v>767</v>
      </c>
      <c r="J662" s="6" t="s">
        <v>764</v>
      </c>
      <c r="K662" s="7">
        <v>6112481</v>
      </c>
      <c r="L662" s="7">
        <v>289952</v>
      </c>
      <c r="M662" s="7">
        <v>19</v>
      </c>
      <c r="N662" s="7">
        <v>2</v>
      </c>
      <c r="O662" s="7">
        <v>14</v>
      </c>
    </row>
    <row r="663" spans="1:15" x14ac:dyDescent="0.25">
      <c r="A663" s="6" t="s">
        <v>28</v>
      </c>
      <c r="B663" s="6" t="s">
        <v>296</v>
      </c>
      <c r="C663" s="7">
        <v>31585</v>
      </c>
      <c r="D663" s="6" t="s">
        <v>39</v>
      </c>
      <c r="E663" s="6" t="s">
        <v>53</v>
      </c>
      <c r="F663" s="6" t="s">
        <v>350</v>
      </c>
      <c r="G663" s="6" t="s">
        <v>32</v>
      </c>
      <c r="H663" s="6" t="s">
        <v>33</v>
      </c>
      <c r="I663" s="6" t="s">
        <v>767</v>
      </c>
      <c r="J663" s="6" t="s">
        <v>767</v>
      </c>
      <c r="K663" s="7">
        <v>6133177</v>
      </c>
      <c r="L663" s="7">
        <v>314069</v>
      </c>
      <c r="M663" s="7">
        <v>19</v>
      </c>
      <c r="N663" s="7">
        <v>3</v>
      </c>
      <c r="O663" s="7">
        <v>18</v>
      </c>
    </row>
    <row r="664" spans="1:15" x14ac:dyDescent="0.25">
      <c r="A664" s="6" t="s">
        <v>28</v>
      </c>
      <c r="B664" s="6" t="s">
        <v>296</v>
      </c>
      <c r="C664" s="7">
        <v>31586</v>
      </c>
      <c r="D664" s="6" t="s">
        <v>39</v>
      </c>
      <c r="E664" s="6" t="s">
        <v>53</v>
      </c>
      <c r="F664" s="6" t="s">
        <v>350</v>
      </c>
      <c r="G664" s="6" t="s">
        <v>32</v>
      </c>
      <c r="H664" s="6" t="s">
        <v>33</v>
      </c>
      <c r="I664" s="6" t="s">
        <v>767</v>
      </c>
      <c r="J664" s="6" t="s">
        <v>767</v>
      </c>
      <c r="K664" s="7">
        <v>6132636</v>
      </c>
      <c r="L664" s="7">
        <v>314002</v>
      </c>
      <c r="M664" s="7">
        <v>19</v>
      </c>
      <c r="N664" s="7">
        <v>1</v>
      </c>
      <c r="O664" s="7">
        <v>19</v>
      </c>
    </row>
    <row r="665" spans="1:15" x14ac:dyDescent="0.25">
      <c r="A665" s="6" t="s">
        <v>28</v>
      </c>
      <c r="B665" s="6" t="s">
        <v>296</v>
      </c>
      <c r="C665" s="7">
        <v>31590</v>
      </c>
      <c r="D665" s="6" t="s">
        <v>42</v>
      </c>
      <c r="E665" s="6" t="s">
        <v>51</v>
      </c>
      <c r="F665" s="6" t="s">
        <v>76</v>
      </c>
      <c r="G665" s="6" t="s">
        <v>32</v>
      </c>
      <c r="H665" s="6" t="s">
        <v>33</v>
      </c>
      <c r="I665" s="6" t="s">
        <v>767</v>
      </c>
      <c r="J665" s="6" t="s">
        <v>767</v>
      </c>
      <c r="K665" s="7">
        <v>6146294</v>
      </c>
      <c r="L665" s="7">
        <v>318369</v>
      </c>
      <c r="M665" s="7">
        <v>19</v>
      </c>
      <c r="N665" s="7">
        <v>2</v>
      </c>
      <c r="O665" s="7">
        <v>31</v>
      </c>
    </row>
    <row r="666" spans="1:15" x14ac:dyDescent="0.25">
      <c r="A666" s="6" t="s">
        <v>28</v>
      </c>
      <c r="B666" s="6" t="s">
        <v>296</v>
      </c>
      <c r="C666" s="7">
        <v>31592</v>
      </c>
      <c r="D666" s="6" t="s">
        <v>42</v>
      </c>
      <c r="E666" s="6" t="s">
        <v>51</v>
      </c>
      <c r="F666" s="6" t="s">
        <v>76</v>
      </c>
      <c r="G666" s="6" t="s">
        <v>32</v>
      </c>
      <c r="H666" s="6" t="s">
        <v>33</v>
      </c>
      <c r="I666" s="6" t="s">
        <v>767</v>
      </c>
      <c r="J666" s="6" t="s">
        <v>767</v>
      </c>
      <c r="K666" s="7">
        <v>6145794</v>
      </c>
      <c r="L666" s="7">
        <v>318600</v>
      </c>
      <c r="M666" s="7">
        <v>19</v>
      </c>
      <c r="N666" s="7">
        <v>4</v>
      </c>
      <c r="O666" s="7">
        <v>24</v>
      </c>
    </row>
    <row r="667" spans="1:15" x14ac:dyDescent="0.25">
      <c r="A667" s="6" t="s">
        <v>28</v>
      </c>
      <c r="B667" s="6" t="s">
        <v>296</v>
      </c>
      <c r="C667" s="7">
        <v>31600</v>
      </c>
      <c r="D667" s="6" t="s">
        <v>39</v>
      </c>
      <c r="E667" s="6" t="s">
        <v>177</v>
      </c>
      <c r="F667" s="6" t="s">
        <v>176</v>
      </c>
      <c r="G667" s="6" t="s">
        <v>32</v>
      </c>
      <c r="H667" s="6" t="s">
        <v>33</v>
      </c>
      <c r="I667" s="6" t="s">
        <v>767</v>
      </c>
      <c r="J667" s="6" t="s">
        <v>767</v>
      </c>
      <c r="K667" s="7">
        <v>6041020</v>
      </c>
      <c r="L667" s="7">
        <v>281659</v>
      </c>
      <c r="M667" s="7">
        <v>19</v>
      </c>
      <c r="N667" s="7">
        <v>7</v>
      </c>
      <c r="O667" s="7">
        <v>92.2</v>
      </c>
    </row>
    <row r="668" spans="1:15" x14ac:dyDescent="0.25">
      <c r="A668" s="6" t="s">
        <v>28</v>
      </c>
      <c r="B668" s="6" t="s">
        <v>296</v>
      </c>
      <c r="C668" s="7">
        <v>31602</v>
      </c>
      <c r="D668" s="6" t="s">
        <v>39</v>
      </c>
      <c r="E668" s="6" t="s">
        <v>80</v>
      </c>
      <c r="F668" s="6" t="s">
        <v>351</v>
      </c>
      <c r="G668" s="6" t="s">
        <v>32</v>
      </c>
      <c r="H668" s="6" t="s">
        <v>33</v>
      </c>
      <c r="I668" s="6" t="s">
        <v>767</v>
      </c>
      <c r="J668" s="6" t="s">
        <v>764</v>
      </c>
      <c r="K668" s="7">
        <v>6080184</v>
      </c>
      <c r="L668" s="7">
        <v>283727</v>
      </c>
      <c r="M668" s="7">
        <v>19</v>
      </c>
      <c r="N668" s="7">
        <v>1</v>
      </c>
      <c r="O668" s="7">
        <v>7</v>
      </c>
    </row>
    <row r="669" spans="1:15" x14ac:dyDescent="0.25">
      <c r="A669" s="6" t="s">
        <v>28</v>
      </c>
      <c r="B669" s="6" t="s">
        <v>296</v>
      </c>
      <c r="C669" s="7">
        <v>31606</v>
      </c>
      <c r="D669" s="6" t="s">
        <v>39</v>
      </c>
      <c r="E669" s="6" t="s">
        <v>177</v>
      </c>
      <c r="F669" s="6" t="s">
        <v>176</v>
      </c>
      <c r="G669" s="6" t="s">
        <v>32</v>
      </c>
      <c r="H669" s="6" t="s">
        <v>33</v>
      </c>
      <c r="I669" s="6" t="s">
        <v>767</v>
      </c>
      <c r="J669" s="6" t="s">
        <v>764</v>
      </c>
      <c r="K669" s="7">
        <v>6040014</v>
      </c>
      <c r="L669" s="7">
        <v>279664</v>
      </c>
      <c r="M669" s="7">
        <v>19</v>
      </c>
      <c r="N669" s="7">
        <v>5</v>
      </c>
      <c r="O669" s="7">
        <v>40</v>
      </c>
    </row>
    <row r="670" spans="1:15" x14ac:dyDescent="0.25">
      <c r="A670" s="6" t="s">
        <v>28</v>
      </c>
      <c r="B670" s="6" t="s">
        <v>296</v>
      </c>
      <c r="C670" s="7">
        <v>31609</v>
      </c>
      <c r="D670" s="6" t="s">
        <v>39</v>
      </c>
      <c r="E670" s="6" t="s">
        <v>72</v>
      </c>
      <c r="F670" s="6" t="s">
        <v>326</v>
      </c>
      <c r="G670" s="6" t="s">
        <v>32</v>
      </c>
      <c r="H670" s="6" t="s">
        <v>33</v>
      </c>
      <c r="I670" s="6" t="s">
        <v>767</v>
      </c>
      <c r="J670" s="6" t="s">
        <v>767</v>
      </c>
      <c r="K670" s="7">
        <v>6075157</v>
      </c>
      <c r="L670" s="7">
        <v>277371</v>
      </c>
      <c r="M670" s="7">
        <v>19</v>
      </c>
      <c r="N670" s="7">
        <v>3</v>
      </c>
      <c r="O670" s="7">
        <v>14.5</v>
      </c>
    </row>
    <row r="671" spans="1:15" x14ac:dyDescent="0.25">
      <c r="A671" s="6" t="s">
        <v>28</v>
      </c>
      <c r="B671" s="6" t="s">
        <v>296</v>
      </c>
      <c r="C671" s="7">
        <v>31611</v>
      </c>
      <c r="D671" s="6" t="s">
        <v>39</v>
      </c>
      <c r="E671" s="6" t="s">
        <v>72</v>
      </c>
      <c r="F671" s="6" t="s">
        <v>326</v>
      </c>
      <c r="G671" s="6" t="s">
        <v>32</v>
      </c>
      <c r="H671" s="6" t="s">
        <v>33</v>
      </c>
      <c r="I671" s="6" t="s">
        <v>767</v>
      </c>
      <c r="J671" s="6" t="s">
        <v>767</v>
      </c>
      <c r="K671" s="7">
        <v>6074814</v>
      </c>
      <c r="L671" s="7">
        <v>277643</v>
      </c>
      <c r="M671" s="7">
        <v>19</v>
      </c>
      <c r="N671" s="7">
        <v>2</v>
      </c>
      <c r="O671" s="7">
        <v>18.600000000000001</v>
      </c>
    </row>
    <row r="672" spans="1:15" x14ac:dyDescent="0.25">
      <c r="A672" s="6" t="s">
        <v>28</v>
      </c>
      <c r="B672" s="6" t="s">
        <v>296</v>
      </c>
      <c r="C672" s="7">
        <v>31612</v>
      </c>
      <c r="D672" s="6" t="s">
        <v>39</v>
      </c>
      <c r="E672" s="6" t="s">
        <v>72</v>
      </c>
      <c r="F672" s="6" t="s">
        <v>326</v>
      </c>
      <c r="G672" s="6" t="s">
        <v>32</v>
      </c>
      <c r="H672" s="6" t="s">
        <v>33</v>
      </c>
      <c r="I672" s="6" t="s">
        <v>767</v>
      </c>
      <c r="J672" s="6" t="s">
        <v>767</v>
      </c>
      <c r="K672" s="7">
        <v>6074911</v>
      </c>
      <c r="L672" s="7">
        <v>277426</v>
      </c>
      <c r="M672" s="7">
        <v>19</v>
      </c>
      <c r="N672" s="7">
        <v>1</v>
      </c>
      <c r="O672" s="7">
        <v>2.2000000000000002</v>
      </c>
    </row>
    <row r="673" spans="1:15" x14ac:dyDescent="0.25">
      <c r="A673" s="6" t="s">
        <v>28</v>
      </c>
      <c r="B673" s="6" t="s">
        <v>296</v>
      </c>
      <c r="C673" s="7">
        <v>31628</v>
      </c>
      <c r="D673" s="6" t="s">
        <v>16</v>
      </c>
      <c r="E673" s="6" t="s">
        <v>332</v>
      </c>
      <c r="F673" s="6" t="s">
        <v>352</v>
      </c>
      <c r="G673" s="6" t="s">
        <v>32</v>
      </c>
      <c r="H673" s="6" t="s">
        <v>19</v>
      </c>
      <c r="I673" s="6" t="s">
        <v>767</v>
      </c>
      <c r="J673" s="6" t="s">
        <v>767</v>
      </c>
      <c r="K673" s="7">
        <v>6362069</v>
      </c>
      <c r="L673" s="7">
        <v>318823</v>
      </c>
      <c r="M673" s="7">
        <v>19</v>
      </c>
      <c r="N673" s="7">
        <v>1</v>
      </c>
      <c r="O673" s="7">
        <v>0.96</v>
      </c>
    </row>
    <row r="674" spans="1:15" x14ac:dyDescent="0.25">
      <c r="A674" s="6" t="s">
        <v>28</v>
      </c>
      <c r="B674" s="6" t="s">
        <v>296</v>
      </c>
      <c r="C674" s="7">
        <v>31629</v>
      </c>
      <c r="D674" s="6" t="s">
        <v>16</v>
      </c>
      <c r="E674" s="6" t="s">
        <v>332</v>
      </c>
      <c r="F674" s="6" t="s">
        <v>333</v>
      </c>
      <c r="G674" s="6" t="s">
        <v>32</v>
      </c>
      <c r="H674" s="6" t="s">
        <v>19</v>
      </c>
      <c r="I674" s="6" t="s">
        <v>767</v>
      </c>
      <c r="J674" s="6" t="s">
        <v>767</v>
      </c>
      <c r="K674" s="7">
        <v>6364912</v>
      </c>
      <c r="L674" s="7">
        <v>313731</v>
      </c>
      <c r="M674" s="7">
        <v>19</v>
      </c>
      <c r="N674" s="7">
        <v>1</v>
      </c>
      <c r="O674" s="7">
        <v>2.58</v>
      </c>
    </row>
    <row r="675" spans="1:15" x14ac:dyDescent="0.25">
      <c r="A675" s="6" t="s">
        <v>28</v>
      </c>
      <c r="B675" s="6" t="s">
        <v>296</v>
      </c>
      <c r="C675" s="7">
        <v>31631</v>
      </c>
      <c r="D675" s="6" t="s">
        <v>16</v>
      </c>
      <c r="E675" s="6" t="s">
        <v>330</v>
      </c>
      <c r="F675" s="6" t="s">
        <v>353</v>
      </c>
      <c r="G675" s="6" t="s">
        <v>32</v>
      </c>
      <c r="H675" s="6" t="s">
        <v>153</v>
      </c>
      <c r="I675" s="6" t="s">
        <v>767</v>
      </c>
      <c r="J675" s="6" t="s">
        <v>764</v>
      </c>
      <c r="K675" s="7">
        <v>6358416</v>
      </c>
      <c r="L675" s="7">
        <v>302839</v>
      </c>
      <c r="M675" s="7">
        <v>19</v>
      </c>
      <c r="N675" s="7">
        <v>1</v>
      </c>
      <c r="O675" s="7">
        <v>0.4</v>
      </c>
    </row>
    <row r="676" spans="1:15" x14ac:dyDescent="0.25">
      <c r="A676" s="6" t="s">
        <v>28</v>
      </c>
      <c r="B676" s="6" t="s">
        <v>296</v>
      </c>
      <c r="C676" s="7">
        <v>31632</v>
      </c>
      <c r="D676" s="6" t="s">
        <v>16</v>
      </c>
      <c r="E676" s="6" t="s">
        <v>330</v>
      </c>
      <c r="F676" s="6" t="s">
        <v>353</v>
      </c>
      <c r="G676" s="6" t="s">
        <v>32</v>
      </c>
      <c r="H676" s="6" t="s">
        <v>19</v>
      </c>
      <c r="I676" s="6" t="s">
        <v>767</v>
      </c>
      <c r="J676" s="6" t="s">
        <v>767</v>
      </c>
      <c r="K676" s="7">
        <v>6358416</v>
      </c>
      <c r="L676" s="7">
        <v>302839</v>
      </c>
      <c r="M676" s="7">
        <v>19</v>
      </c>
      <c r="N676" s="7">
        <v>1</v>
      </c>
      <c r="O676" s="7">
        <v>0.4</v>
      </c>
    </row>
    <row r="677" spans="1:15" x14ac:dyDescent="0.25">
      <c r="A677" s="6" t="s">
        <v>28</v>
      </c>
      <c r="B677" s="6" t="s">
        <v>296</v>
      </c>
      <c r="C677" s="7">
        <v>31633</v>
      </c>
      <c r="D677" s="6" t="s">
        <v>16</v>
      </c>
      <c r="E677" s="6" t="s">
        <v>332</v>
      </c>
      <c r="F677" s="6" t="s">
        <v>352</v>
      </c>
      <c r="G677" s="6" t="s">
        <v>32</v>
      </c>
      <c r="H677" s="6" t="s">
        <v>19</v>
      </c>
      <c r="I677" s="6" t="s">
        <v>767</v>
      </c>
      <c r="J677" s="6" t="s">
        <v>767</v>
      </c>
      <c r="K677" s="7">
        <v>6362365</v>
      </c>
      <c r="L677" s="7">
        <v>318468</v>
      </c>
      <c r="M677" s="7">
        <v>19</v>
      </c>
      <c r="N677" s="7">
        <v>1</v>
      </c>
      <c r="O677" s="7">
        <v>1.29</v>
      </c>
    </row>
    <row r="678" spans="1:15" x14ac:dyDescent="0.25">
      <c r="A678" s="6" t="s">
        <v>28</v>
      </c>
      <c r="B678" s="6" t="s">
        <v>296</v>
      </c>
      <c r="C678" s="7">
        <v>31634</v>
      </c>
      <c r="D678" s="6" t="s">
        <v>16</v>
      </c>
      <c r="E678" s="6" t="s">
        <v>330</v>
      </c>
      <c r="F678" s="6" t="s">
        <v>334</v>
      </c>
      <c r="G678" s="6" t="s">
        <v>32</v>
      </c>
      <c r="H678" s="6" t="s">
        <v>19</v>
      </c>
      <c r="I678" s="6" t="s">
        <v>767</v>
      </c>
      <c r="J678" s="6" t="s">
        <v>767</v>
      </c>
      <c r="K678" s="7">
        <v>6367074</v>
      </c>
      <c r="L678" s="7">
        <v>309352</v>
      </c>
      <c r="M678" s="7">
        <v>19</v>
      </c>
      <c r="N678" s="7">
        <v>1</v>
      </c>
      <c r="O678" s="7">
        <v>0.4</v>
      </c>
    </row>
    <row r="679" spans="1:15" x14ac:dyDescent="0.25">
      <c r="A679" s="6" t="s">
        <v>14</v>
      </c>
      <c r="B679" s="6" t="s">
        <v>296</v>
      </c>
      <c r="C679" s="7">
        <v>31652</v>
      </c>
      <c r="D679" s="6" t="s">
        <v>16</v>
      </c>
      <c r="E679" s="6" t="s">
        <v>330</v>
      </c>
      <c r="F679" s="6" t="s">
        <v>354</v>
      </c>
      <c r="G679" s="6" t="s">
        <v>32</v>
      </c>
      <c r="H679" s="6" t="s">
        <v>19</v>
      </c>
      <c r="I679" s="6" t="s">
        <v>767</v>
      </c>
      <c r="J679" s="6" t="s">
        <v>767</v>
      </c>
      <c r="K679" s="7">
        <v>6366955</v>
      </c>
      <c r="L679" s="7">
        <v>308352</v>
      </c>
      <c r="M679" s="7">
        <v>19</v>
      </c>
      <c r="N679" s="7">
        <v>1</v>
      </c>
      <c r="O679" s="7">
        <v>0.4</v>
      </c>
    </row>
    <row r="680" spans="1:15" x14ac:dyDescent="0.25">
      <c r="A680" s="6" t="s">
        <v>28</v>
      </c>
      <c r="B680" s="6" t="s">
        <v>296</v>
      </c>
      <c r="C680" s="7">
        <v>31654</v>
      </c>
      <c r="D680" s="6" t="s">
        <v>16</v>
      </c>
      <c r="E680" s="6" t="s">
        <v>330</v>
      </c>
      <c r="F680" s="6" t="s">
        <v>355</v>
      </c>
      <c r="G680" s="6" t="s">
        <v>32</v>
      </c>
      <c r="H680" s="6" t="s">
        <v>19</v>
      </c>
      <c r="I680" s="6" t="s">
        <v>767</v>
      </c>
      <c r="J680" s="6" t="s">
        <v>767</v>
      </c>
      <c r="K680" s="7">
        <v>6359451</v>
      </c>
      <c r="L680" s="7">
        <v>302754</v>
      </c>
      <c r="M680" s="7">
        <v>19</v>
      </c>
      <c r="N680" s="7">
        <v>1</v>
      </c>
      <c r="O680" s="7">
        <v>0.63</v>
      </c>
    </row>
    <row r="681" spans="1:15" x14ac:dyDescent="0.25">
      <c r="A681" s="6" t="s">
        <v>28</v>
      </c>
      <c r="B681" s="6" t="s">
        <v>296</v>
      </c>
      <c r="C681" s="7">
        <v>31734</v>
      </c>
      <c r="D681" s="6" t="s">
        <v>39</v>
      </c>
      <c r="E681" s="6" t="s">
        <v>70</v>
      </c>
      <c r="F681" s="6" t="s">
        <v>309</v>
      </c>
      <c r="G681" s="6" t="s">
        <v>32</v>
      </c>
      <c r="H681" s="6" t="s">
        <v>153</v>
      </c>
      <c r="I681" s="6" t="s">
        <v>767</v>
      </c>
      <c r="J681" s="6" t="s">
        <v>764</v>
      </c>
      <c r="K681" s="7">
        <v>6083203</v>
      </c>
      <c r="L681" s="7">
        <v>263544</v>
      </c>
      <c r="M681" s="7">
        <v>19</v>
      </c>
      <c r="N681" s="7">
        <v>1</v>
      </c>
      <c r="O681" s="7">
        <v>8.1</v>
      </c>
    </row>
    <row r="682" spans="1:15" x14ac:dyDescent="0.25">
      <c r="A682" s="6" t="s">
        <v>28</v>
      </c>
      <c r="B682" s="6" t="s">
        <v>296</v>
      </c>
      <c r="C682" s="7">
        <v>31735</v>
      </c>
      <c r="D682" s="6" t="s">
        <v>39</v>
      </c>
      <c r="E682" s="6" t="s">
        <v>80</v>
      </c>
      <c r="F682" s="6" t="s">
        <v>313</v>
      </c>
      <c r="G682" s="6" t="s">
        <v>32</v>
      </c>
      <c r="H682" s="6" t="s">
        <v>19</v>
      </c>
      <c r="I682" s="6" t="s">
        <v>767</v>
      </c>
      <c r="J682" s="6" t="s">
        <v>767</v>
      </c>
      <c r="K682" s="7">
        <v>6088524</v>
      </c>
      <c r="L682" s="7">
        <v>285079</v>
      </c>
      <c r="M682" s="7">
        <v>19</v>
      </c>
      <c r="N682" s="7">
        <v>1</v>
      </c>
      <c r="O682" s="7">
        <v>0.4</v>
      </c>
    </row>
    <row r="683" spans="1:15" x14ac:dyDescent="0.25">
      <c r="A683" s="6" t="s">
        <v>28</v>
      </c>
      <c r="B683" s="6" t="s">
        <v>296</v>
      </c>
      <c r="C683" s="7">
        <v>31739</v>
      </c>
      <c r="D683" s="6" t="s">
        <v>39</v>
      </c>
      <c r="E683" s="6" t="s">
        <v>72</v>
      </c>
      <c r="F683" s="6" t="s">
        <v>255</v>
      </c>
      <c r="G683" s="6" t="s">
        <v>32</v>
      </c>
      <c r="H683" s="6" t="s">
        <v>19</v>
      </c>
      <c r="I683" s="6" t="s">
        <v>767</v>
      </c>
      <c r="J683" s="6" t="s">
        <v>767</v>
      </c>
      <c r="K683" s="7">
        <v>6075486</v>
      </c>
      <c r="L683" s="7">
        <v>289200</v>
      </c>
      <c r="M683" s="7">
        <v>19</v>
      </c>
      <c r="N683" s="7">
        <v>1</v>
      </c>
      <c r="O683" s="7">
        <v>0.81</v>
      </c>
    </row>
    <row r="684" spans="1:15" x14ac:dyDescent="0.25">
      <c r="A684" s="6" t="s">
        <v>28</v>
      </c>
      <c r="B684" s="6" t="s">
        <v>296</v>
      </c>
      <c r="C684" s="7">
        <v>31743</v>
      </c>
      <c r="D684" s="6" t="s">
        <v>39</v>
      </c>
      <c r="E684" s="6" t="s">
        <v>83</v>
      </c>
      <c r="F684" s="6" t="s">
        <v>356</v>
      </c>
      <c r="G684" s="6" t="s">
        <v>32</v>
      </c>
      <c r="H684" s="6" t="s">
        <v>19</v>
      </c>
      <c r="I684" s="6" t="s">
        <v>767</v>
      </c>
      <c r="J684" s="6" t="s">
        <v>767</v>
      </c>
      <c r="K684" s="7">
        <v>6093038</v>
      </c>
      <c r="L684" s="7">
        <v>275025</v>
      </c>
      <c r="M684" s="7">
        <v>19</v>
      </c>
      <c r="N684" s="7">
        <v>1</v>
      </c>
      <c r="O684" s="7">
        <v>0.61</v>
      </c>
    </row>
    <row r="685" spans="1:15" x14ac:dyDescent="0.25">
      <c r="A685" s="6" t="s">
        <v>28</v>
      </c>
      <c r="B685" s="6" t="s">
        <v>296</v>
      </c>
      <c r="C685" s="7">
        <v>31744</v>
      </c>
      <c r="D685" s="6" t="s">
        <v>39</v>
      </c>
      <c r="E685" s="6" t="s">
        <v>83</v>
      </c>
      <c r="F685" s="6" t="s">
        <v>356</v>
      </c>
      <c r="G685" s="6" t="s">
        <v>32</v>
      </c>
      <c r="H685" s="6" t="s">
        <v>153</v>
      </c>
      <c r="I685" s="6" t="s">
        <v>767</v>
      </c>
      <c r="J685" s="6" t="s">
        <v>764</v>
      </c>
      <c r="K685" s="7">
        <v>6093038</v>
      </c>
      <c r="L685" s="7">
        <v>275025</v>
      </c>
      <c r="M685" s="7">
        <v>19</v>
      </c>
      <c r="N685" s="7">
        <v>1</v>
      </c>
      <c r="O685" s="7">
        <v>0.61</v>
      </c>
    </row>
    <row r="686" spans="1:15" x14ac:dyDescent="0.25">
      <c r="A686" s="6" t="s">
        <v>14</v>
      </c>
      <c r="B686" s="6" t="s">
        <v>296</v>
      </c>
      <c r="C686" s="7">
        <v>31745</v>
      </c>
      <c r="D686" s="6" t="s">
        <v>39</v>
      </c>
      <c r="E686" s="6" t="s">
        <v>83</v>
      </c>
      <c r="F686" s="6" t="s">
        <v>357</v>
      </c>
      <c r="G686" s="6" t="s">
        <v>32</v>
      </c>
      <c r="H686" s="6" t="s">
        <v>19</v>
      </c>
      <c r="I686" s="6" t="s">
        <v>767</v>
      </c>
      <c r="J686" s="6" t="s">
        <v>767</v>
      </c>
      <c r="K686" s="7">
        <v>6096782</v>
      </c>
      <c r="L686" s="7">
        <v>274859</v>
      </c>
      <c r="M686" s="7">
        <v>19</v>
      </c>
      <c r="N686" s="7">
        <v>1</v>
      </c>
      <c r="O686" s="7">
        <v>1.41</v>
      </c>
    </row>
    <row r="687" spans="1:15" x14ac:dyDescent="0.25">
      <c r="A687" s="6" t="s">
        <v>28</v>
      </c>
      <c r="B687" s="6" t="s">
        <v>296</v>
      </c>
      <c r="C687" s="7">
        <v>31746</v>
      </c>
      <c r="D687" s="6" t="s">
        <v>39</v>
      </c>
      <c r="E687" s="6" t="s">
        <v>80</v>
      </c>
      <c r="F687" s="6" t="s">
        <v>313</v>
      </c>
      <c r="G687" s="6" t="s">
        <v>32</v>
      </c>
      <c r="H687" s="6" t="s">
        <v>19</v>
      </c>
      <c r="I687" s="6" t="s">
        <v>767</v>
      </c>
      <c r="J687" s="6" t="s">
        <v>767</v>
      </c>
      <c r="K687" s="7">
        <v>6087182</v>
      </c>
      <c r="L687" s="7">
        <v>284683</v>
      </c>
      <c r="M687" s="7">
        <v>19</v>
      </c>
      <c r="N687" s="7">
        <v>1</v>
      </c>
      <c r="O687" s="7">
        <v>0.4</v>
      </c>
    </row>
    <row r="688" spans="1:15" x14ac:dyDescent="0.25">
      <c r="A688" s="6" t="s">
        <v>28</v>
      </c>
      <c r="B688" s="6" t="s">
        <v>296</v>
      </c>
      <c r="C688" s="7">
        <v>31749</v>
      </c>
      <c r="D688" s="6" t="s">
        <v>39</v>
      </c>
      <c r="E688" s="6" t="s">
        <v>70</v>
      </c>
      <c r="F688" s="6" t="s">
        <v>92</v>
      </c>
      <c r="G688" s="6" t="s">
        <v>32</v>
      </c>
      <c r="H688" s="6" t="s">
        <v>19</v>
      </c>
      <c r="I688" s="6" t="s">
        <v>767</v>
      </c>
      <c r="J688" s="6" t="s">
        <v>767</v>
      </c>
      <c r="K688" s="7">
        <v>6070784</v>
      </c>
      <c r="L688" s="7">
        <v>267871</v>
      </c>
      <c r="M688" s="7">
        <v>19</v>
      </c>
      <c r="N688" s="7">
        <v>1</v>
      </c>
      <c r="O688" s="7">
        <v>6.95</v>
      </c>
    </row>
    <row r="689" spans="1:15" x14ac:dyDescent="0.25">
      <c r="A689" s="6" t="s">
        <v>28</v>
      </c>
      <c r="B689" s="6" t="s">
        <v>296</v>
      </c>
      <c r="C689" s="7">
        <v>31776</v>
      </c>
      <c r="D689" s="6" t="s">
        <v>42</v>
      </c>
      <c r="E689" s="6" t="s">
        <v>45</v>
      </c>
      <c r="F689" s="6" t="s">
        <v>46</v>
      </c>
      <c r="G689" s="6" t="s">
        <v>32</v>
      </c>
      <c r="H689" s="6" t="s">
        <v>33</v>
      </c>
      <c r="I689" s="6" t="s">
        <v>767</v>
      </c>
      <c r="J689" s="6" t="s">
        <v>767</v>
      </c>
      <c r="K689" s="7">
        <v>6172485</v>
      </c>
      <c r="L689" s="7">
        <v>323327</v>
      </c>
      <c r="M689" s="7">
        <v>19</v>
      </c>
      <c r="N689" s="7">
        <v>2</v>
      </c>
      <c r="O689" s="7">
        <v>15</v>
      </c>
    </row>
    <row r="690" spans="1:15" x14ac:dyDescent="0.25">
      <c r="A690" s="6" t="s">
        <v>28</v>
      </c>
      <c r="B690" s="6" t="s">
        <v>296</v>
      </c>
      <c r="C690" s="7">
        <v>31780</v>
      </c>
      <c r="D690" s="6" t="s">
        <v>42</v>
      </c>
      <c r="E690" s="6" t="s">
        <v>196</v>
      </c>
      <c r="F690" s="6" t="s">
        <v>358</v>
      </c>
      <c r="G690" s="6" t="s">
        <v>32</v>
      </c>
      <c r="H690" s="6" t="s">
        <v>33</v>
      </c>
      <c r="I690" s="6" t="s">
        <v>767</v>
      </c>
      <c r="J690" s="6" t="s">
        <v>767</v>
      </c>
      <c r="K690" s="7">
        <v>6220863</v>
      </c>
      <c r="L690" s="7">
        <v>337670</v>
      </c>
      <c r="M690" s="7">
        <v>19</v>
      </c>
      <c r="N690" s="7">
        <v>1</v>
      </c>
      <c r="O690" s="7">
        <v>4.4000000000000004</v>
      </c>
    </row>
    <row r="691" spans="1:15" x14ac:dyDescent="0.25">
      <c r="A691" s="6" t="s">
        <v>28</v>
      </c>
      <c r="B691" s="6" t="s">
        <v>296</v>
      </c>
      <c r="C691" s="7">
        <v>31788</v>
      </c>
      <c r="D691" s="6" t="s">
        <v>39</v>
      </c>
      <c r="E691" s="6" t="s">
        <v>179</v>
      </c>
      <c r="F691" s="6" t="s">
        <v>179</v>
      </c>
      <c r="G691" s="6" t="s">
        <v>32</v>
      </c>
      <c r="H691" s="6" t="s">
        <v>33</v>
      </c>
      <c r="I691" s="6" t="s">
        <v>767</v>
      </c>
      <c r="J691" s="6" t="s">
        <v>767</v>
      </c>
      <c r="K691" s="7">
        <v>6134794</v>
      </c>
      <c r="L691" s="7">
        <v>303074</v>
      </c>
      <c r="M691" s="7">
        <v>19</v>
      </c>
      <c r="N691" s="7">
        <v>1</v>
      </c>
      <c r="O691" s="7">
        <v>19</v>
      </c>
    </row>
    <row r="692" spans="1:15" x14ac:dyDescent="0.25">
      <c r="A692" s="6" t="s">
        <v>28</v>
      </c>
      <c r="B692" s="6" t="s">
        <v>296</v>
      </c>
      <c r="C692" s="7">
        <v>31799</v>
      </c>
      <c r="D692" s="6" t="s">
        <v>42</v>
      </c>
      <c r="E692" s="6" t="s">
        <v>45</v>
      </c>
      <c r="F692" s="6" t="s">
        <v>319</v>
      </c>
      <c r="G692" s="6" t="s">
        <v>32</v>
      </c>
      <c r="H692" s="6" t="s">
        <v>33</v>
      </c>
      <c r="I692" s="6" t="s">
        <v>767</v>
      </c>
      <c r="J692" s="6" t="s">
        <v>764</v>
      </c>
      <c r="K692" s="7">
        <v>6170449</v>
      </c>
      <c r="L692" s="7">
        <v>315177</v>
      </c>
      <c r="M692" s="7">
        <v>19</v>
      </c>
      <c r="N692" s="7">
        <v>1</v>
      </c>
      <c r="O692" s="7">
        <v>8.5</v>
      </c>
    </row>
    <row r="693" spans="1:15" x14ac:dyDescent="0.25">
      <c r="A693" s="6" t="s">
        <v>28</v>
      </c>
      <c r="B693" s="6" t="s">
        <v>296</v>
      </c>
      <c r="C693" s="7">
        <v>31801</v>
      </c>
      <c r="D693" s="6" t="s">
        <v>39</v>
      </c>
      <c r="E693" s="6" t="s">
        <v>40</v>
      </c>
      <c r="F693" s="6" t="s">
        <v>181</v>
      </c>
      <c r="G693" s="6" t="s">
        <v>32</v>
      </c>
      <c r="H693" s="6" t="s">
        <v>33</v>
      </c>
      <c r="I693" s="6" t="s">
        <v>767</v>
      </c>
      <c r="J693" s="6" t="s">
        <v>764</v>
      </c>
      <c r="K693" s="7">
        <v>6116478</v>
      </c>
      <c r="L693" s="7">
        <v>301020</v>
      </c>
      <c r="M693" s="7">
        <v>19</v>
      </c>
      <c r="N693" s="7">
        <v>1</v>
      </c>
      <c r="O693" s="7">
        <v>14</v>
      </c>
    </row>
    <row r="694" spans="1:15" x14ac:dyDescent="0.25">
      <c r="A694" s="6" t="s">
        <v>28</v>
      </c>
      <c r="B694" s="6" t="s">
        <v>296</v>
      </c>
      <c r="C694" s="7">
        <v>31824</v>
      </c>
      <c r="D694" s="6" t="s">
        <v>39</v>
      </c>
      <c r="E694" s="6" t="s">
        <v>53</v>
      </c>
      <c r="F694" s="6" t="s">
        <v>190</v>
      </c>
      <c r="G694" s="6" t="s">
        <v>32</v>
      </c>
      <c r="H694" s="6" t="s">
        <v>33</v>
      </c>
      <c r="I694" s="6" t="s">
        <v>767</v>
      </c>
      <c r="J694" s="6" t="s">
        <v>764</v>
      </c>
      <c r="K694" s="7">
        <v>6138413</v>
      </c>
      <c r="L694" s="7">
        <v>303025</v>
      </c>
      <c r="M694" s="7">
        <v>19</v>
      </c>
      <c r="N694" s="7">
        <v>1</v>
      </c>
      <c r="O694" s="7">
        <v>7</v>
      </c>
    </row>
    <row r="695" spans="1:15" x14ac:dyDescent="0.25">
      <c r="A695" s="6" t="s">
        <v>28</v>
      </c>
      <c r="B695" s="6" t="s">
        <v>296</v>
      </c>
      <c r="C695" s="7">
        <v>31836</v>
      </c>
      <c r="D695" s="6" t="s">
        <v>39</v>
      </c>
      <c r="E695" s="6" t="s">
        <v>53</v>
      </c>
      <c r="F695" s="6" t="s">
        <v>190</v>
      </c>
      <c r="G695" s="6" t="s">
        <v>32</v>
      </c>
      <c r="H695" s="6" t="s">
        <v>33</v>
      </c>
      <c r="I695" s="6" t="s">
        <v>767</v>
      </c>
      <c r="J695" s="6" t="s">
        <v>764</v>
      </c>
      <c r="K695" s="7">
        <v>6136145</v>
      </c>
      <c r="L695" s="7">
        <v>309566</v>
      </c>
      <c r="M695" s="7">
        <v>19</v>
      </c>
      <c r="N695" s="7">
        <v>1</v>
      </c>
      <c r="O695" s="7">
        <v>12</v>
      </c>
    </row>
    <row r="696" spans="1:15" x14ac:dyDescent="0.25">
      <c r="A696" s="6" t="s">
        <v>28</v>
      </c>
      <c r="B696" s="6" t="s">
        <v>296</v>
      </c>
      <c r="C696" s="7">
        <v>31839</v>
      </c>
      <c r="D696" s="6" t="s">
        <v>39</v>
      </c>
      <c r="E696" s="6" t="s">
        <v>87</v>
      </c>
      <c r="F696" s="6" t="s">
        <v>341</v>
      </c>
      <c r="G696" s="6" t="s">
        <v>32</v>
      </c>
      <c r="H696" s="6" t="s">
        <v>19</v>
      </c>
      <c r="I696" s="6" t="s">
        <v>767</v>
      </c>
      <c r="J696" s="6" t="s">
        <v>767</v>
      </c>
      <c r="K696" s="7">
        <v>6099114</v>
      </c>
      <c r="L696" s="7">
        <v>297764</v>
      </c>
      <c r="M696" s="7">
        <v>19</v>
      </c>
      <c r="N696" s="7">
        <v>1</v>
      </c>
      <c r="O696" s="7">
        <v>1.17</v>
      </c>
    </row>
    <row r="697" spans="1:15" x14ac:dyDescent="0.25">
      <c r="A697" s="6" t="s">
        <v>28</v>
      </c>
      <c r="B697" s="6" t="s">
        <v>296</v>
      </c>
      <c r="C697" s="7">
        <v>31852</v>
      </c>
      <c r="D697" s="6" t="s">
        <v>39</v>
      </c>
      <c r="E697" s="6" t="s">
        <v>53</v>
      </c>
      <c r="F697" s="6" t="s">
        <v>190</v>
      </c>
      <c r="G697" s="6" t="s">
        <v>32</v>
      </c>
      <c r="H697" s="6" t="s">
        <v>33</v>
      </c>
      <c r="I697" s="6" t="s">
        <v>767</v>
      </c>
      <c r="J697" s="6" t="s">
        <v>764</v>
      </c>
      <c r="K697" s="7">
        <v>6136212</v>
      </c>
      <c r="L697" s="7">
        <v>313227</v>
      </c>
      <c r="M697" s="7">
        <v>19</v>
      </c>
      <c r="N697" s="7">
        <v>1</v>
      </c>
      <c r="O697" s="7">
        <v>19</v>
      </c>
    </row>
    <row r="698" spans="1:15" x14ac:dyDescent="0.25">
      <c r="A698" s="6" t="s">
        <v>28</v>
      </c>
      <c r="B698" s="6" t="s">
        <v>296</v>
      </c>
      <c r="C698" s="7">
        <v>31857</v>
      </c>
      <c r="D698" s="6" t="s">
        <v>39</v>
      </c>
      <c r="E698" s="6" t="s">
        <v>87</v>
      </c>
      <c r="F698" s="6" t="s">
        <v>359</v>
      </c>
      <c r="G698" s="6" t="s">
        <v>32</v>
      </c>
      <c r="H698" s="6" t="s">
        <v>153</v>
      </c>
      <c r="I698" s="6" t="s">
        <v>767</v>
      </c>
      <c r="J698" s="6" t="s">
        <v>764</v>
      </c>
      <c r="K698" s="7">
        <v>6099751</v>
      </c>
      <c r="L698" s="7">
        <v>282599</v>
      </c>
      <c r="M698" s="7">
        <v>19</v>
      </c>
      <c r="N698" s="7">
        <v>1</v>
      </c>
      <c r="O698" s="7">
        <v>3.57</v>
      </c>
    </row>
    <row r="699" spans="1:15" x14ac:dyDescent="0.25">
      <c r="A699" s="6" t="s">
        <v>28</v>
      </c>
      <c r="B699" s="6" t="s">
        <v>296</v>
      </c>
      <c r="C699" s="7">
        <v>31865</v>
      </c>
      <c r="D699" s="6" t="s">
        <v>39</v>
      </c>
      <c r="E699" s="6" t="s">
        <v>72</v>
      </c>
      <c r="F699" s="6" t="s">
        <v>188</v>
      </c>
      <c r="G699" s="6" t="s">
        <v>32</v>
      </c>
      <c r="H699" s="6" t="s">
        <v>33</v>
      </c>
      <c r="I699" s="6" t="s">
        <v>767</v>
      </c>
      <c r="J699" s="6" t="s">
        <v>767</v>
      </c>
      <c r="K699" s="7">
        <v>6074447</v>
      </c>
      <c r="L699" s="7">
        <v>279487</v>
      </c>
      <c r="M699" s="7">
        <v>19</v>
      </c>
      <c r="N699" s="7">
        <v>4</v>
      </c>
      <c r="O699" s="7">
        <v>18</v>
      </c>
    </row>
    <row r="700" spans="1:15" x14ac:dyDescent="0.25">
      <c r="A700" s="6" t="s">
        <v>28</v>
      </c>
      <c r="B700" s="6" t="s">
        <v>296</v>
      </c>
      <c r="C700" s="7">
        <v>31871</v>
      </c>
      <c r="D700" s="6" t="s">
        <v>39</v>
      </c>
      <c r="E700" s="6" t="s">
        <v>87</v>
      </c>
      <c r="F700" s="6" t="s">
        <v>342</v>
      </c>
      <c r="G700" s="6" t="s">
        <v>32</v>
      </c>
      <c r="H700" s="6" t="s">
        <v>19</v>
      </c>
      <c r="I700" s="6" t="s">
        <v>767</v>
      </c>
      <c r="J700" s="6" t="s">
        <v>767</v>
      </c>
      <c r="K700" s="7">
        <v>6099751</v>
      </c>
      <c r="L700" s="7">
        <v>282599</v>
      </c>
      <c r="M700" s="7">
        <v>19</v>
      </c>
      <c r="N700" s="7">
        <v>1</v>
      </c>
      <c r="O700" s="7">
        <v>0.73</v>
      </c>
    </row>
    <row r="701" spans="1:15" x14ac:dyDescent="0.25">
      <c r="A701" s="6" t="s">
        <v>14</v>
      </c>
      <c r="B701" s="6" t="s">
        <v>296</v>
      </c>
      <c r="C701" s="7">
        <v>31874</v>
      </c>
      <c r="D701" s="6" t="s">
        <v>39</v>
      </c>
      <c r="E701" s="6" t="s">
        <v>87</v>
      </c>
      <c r="F701" s="6" t="s">
        <v>62</v>
      </c>
      <c r="G701" s="6" t="s">
        <v>32</v>
      </c>
      <c r="H701" s="6" t="s">
        <v>19</v>
      </c>
      <c r="I701" s="6" t="s">
        <v>767</v>
      </c>
      <c r="J701" s="6" t="s">
        <v>767</v>
      </c>
      <c r="K701" s="7">
        <v>6096959</v>
      </c>
      <c r="L701" s="7">
        <v>281581</v>
      </c>
      <c r="M701" s="7">
        <v>19</v>
      </c>
      <c r="N701" s="7">
        <v>1</v>
      </c>
      <c r="O701" s="7">
        <v>1.77</v>
      </c>
    </row>
    <row r="702" spans="1:15" x14ac:dyDescent="0.25">
      <c r="A702" s="6" t="s">
        <v>28</v>
      </c>
      <c r="B702" s="6" t="s">
        <v>296</v>
      </c>
      <c r="C702" s="7">
        <v>31887</v>
      </c>
      <c r="D702" s="6" t="s">
        <v>39</v>
      </c>
      <c r="E702" s="6" t="s">
        <v>87</v>
      </c>
      <c r="F702" s="6" t="s">
        <v>359</v>
      </c>
      <c r="G702" s="6" t="s">
        <v>32</v>
      </c>
      <c r="H702" s="6" t="s">
        <v>19</v>
      </c>
      <c r="I702" s="6" t="s">
        <v>767</v>
      </c>
      <c r="J702" s="6" t="s">
        <v>767</v>
      </c>
      <c r="K702" s="7">
        <v>6099100</v>
      </c>
      <c r="L702" s="7">
        <v>282823</v>
      </c>
      <c r="M702" s="7">
        <v>19</v>
      </c>
      <c r="N702" s="7">
        <v>1</v>
      </c>
      <c r="O702" s="7">
        <v>0.81</v>
      </c>
    </row>
    <row r="703" spans="1:15" x14ac:dyDescent="0.25">
      <c r="A703" s="6" t="s">
        <v>14</v>
      </c>
      <c r="B703" s="6" t="s">
        <v>296</v>
      </c>
      <c r="C703" s="7">
        <v>31892</v>
      </c>
      <c r="D703" s="6" t="s">
        <v>39</v>
      </c>
      <c r="E703" s="6" t="s">
        <v>87</v>
      </c>
      <c r="F703" s="6" t="s">
        <v>197</v>
      </c>
      <c r="G703" s="6" t="s">
        <v>32</v>
      </c>
      <c r="H703" s="6" t="s">
        <v>19</v>
      </c>
      <c r="I703" s="6" t="s">
        <v>767</v>
      </c>
      <c r="J703" s="6" t="s">
        <v>767</v>
      </c>
      <c r="K703" s="7">
        <v>6092972</v>
      </c>
      <c r="L703" s="7">
        <v>304910</v>
      </c>
      <c r="M703" s="7">
        <v>19</v>
      </c>
      <c r="N703" s="7">
        <v>1</v>
      </c>
      <c r="O703" s="7">
        <v>0.28999999999999998</v>
      </c>
    </row>
    <row r="704" spans="1:15" x14ac:dyDescent="0.25">
      <c r="A704" s="6" t="s">
        <v>14</v>
      </c>
      <c r="B704" s="6" t="s">
        <v>296</v>
      </c>
      <c r="C704" s="7">
        <v>31894</v>
      </c>
      <c r="D704" s="6" t="s">
        <v>39</v>
      </c>
      <c r="E704" s="6" t="s">
        <v>80</v>
      </c>
      <c r="F704" s="6" t="s">
        <v>81</v>
      </c>
      <c r="G704" s="6" t="s">
        <v>32</v>
      </c>
      <c r="H704" s="6" t="s">
        <v>33</v>
      </c>
      <c r="I704" s="6" t="s">
        <v>767</v>
      </c>
      <c r="J704" s="6" t="s">
        <v>764</v>
      </c>
      <c r="K704" s="7">
        <v>6082669</v>
      </c>
      <c r="L704" s="7">
        <v>265837</v>
      </c>
      <c r="M704" s="7">
        <v>19</v>
      </c>
      <c r="N704" s="7">
        <v>3</v>
      </c>
      <c r="O704" s="7">
        <v>12</v>
      </c>
    </row>
    <row r="705" spans="1:15" x14ac:dyDescent="0.25">
      <c r="A705" s="6" t="s">
        <v>28</v>
      </c>
      <c r="B705" s="6" t="s">
        <v>296</v>
      </c>
      <c r="C705" s="7">
        <v>31898</v>
      </c>
      <c r="D705" s="6" t="s">
        <v>39</v>
      </c>
      <c r="E705" s="6" t="s">
        <v>87</v>
      </c>
      <c r="F705" s="6" t="s">
        <v>62</v>
      </c>
      <c r="G705" s="6" t="s">
        <v>32</v>
      </c>
      <c r="H705" s="6" t="s">
        <v>19</v>
      </c>
      <c r="I705" s="6" t="s">
        <v>767</v>
      </c>
      <c r="J705" s="6" t="s">
        <v>767</v>
      </c>
      <c r="K705" s="7">
        <v>6101194</v>
      </c>
      <c r="L705" s="7">
        <v>292489</v>
      </c>
      <c r="M705" s="7">
        <v>19</v>
      </c>
      <c r="N705" s="7">
        <v>2</v>
      </c>
      <c r="O705" s="7">
        <v>4.8600000000000003</v>
      </c>
    </row>
    <row r="706" spans="1:15" x14ac:dyDescent="0.25">
      <c r="A706" s="6" t="s">
        <v>28</v>
      </c>
      <c r="B706" s="6" t="s">
        <v>296</v>
      </c>
      <c r="C706" s="7">
        <v>31906</v>
      </c>
      <c r="D706" s="6" t="s">
        <v>39</v>
      </c>
      <c r="E706" s="6" t="s">
        <v>87</v>
      </c>
      <c r="F706" s="6" t="s">
        <v>312</v>
      </c>
      <c r="G706" s="6" t="s">
        <v>32</v>
      </c>
      <c r="H706" s="6" t="s">
        <v>33</v>
      </c>
      <c r="I706" s="6" t="s">
        <v>767</v>
      </c>
      <c r="J706" s="6" t="s">
        <v>767</v>
      </c>
      <c r="K706" s="7">
        <v>6096008</v>
      </c>
      <c r="L706" s="7">
        <v>291110</v>
      </c>
      <c r="M706" s="7">
        <v>19</v>
      </c>
      <c r="N706" s="7">
        <v>2</v>
      </c>
      <c r="O706" s="7">
        <v>31</v>
      </c>
    </row>
    <row r="707" spans="1:15" x14ac:dyDescent="0.25">
      <c r="A707" s="6" t="s">
        <v>28</v>
      </c>
      <c r="B707" s="6" t="s">
        <v>296</v>
      </c>
      <c r="C707" s="7">
        <v>31907</v>
      </c>
      <c r="D707" s="6" t="s">
        <v>39</v>
      </c>
      <c r="E707" s="6" t="s">
        <v>87</v>
      </c>
      <c r="F707" s="6" t="s">
        <v>197</v>
      </c>
      <c r="G707" s="6" t="s">
        <v>32</v>
      </c>
      <c r="H707" s="6" t="s">
        <v>19</v>
      </c>
      <c r="I707" s="6" t="s">
        <v>767</v>
      </c>
      <c r="J707" s="6" t="s">
        <v>767</v>
      </c>
      <c r="K707" s="7">
        <v>6090804</v>
      </c>
      <c r="L707" s="7">
        <v>305223</v>
      </c>
      <c r="M707" s="7">
        <v>19</v>
      </c>
      <c r="N707" s="7">
        <v>1</v>
      </c>
      <c r="O707" s="7">
        <v>0.89</v>
      </c>
    </row>
    <row r="708" spans="1:15" x14ac:dyDescent="0.25">
      <c r="A708" s="6" t="s">
        <v>28</v>
      </c>
      <c r="B708" s="6" t="s">
        <v>296</v>
      </c>
      <c r="C708" s="7">
        <v>31921</v>
      </c>
      <c r="D708" s="6" t="s">
        <v>39</v>
      </c>
      <c r="E708" s="6" t="s">
        <v>310</v>
      </c>
      <c r="F708" s="6" t="s">
        <v>310</v>
      </c>
      <c r="G708" s="6" t="s">
        <v>32</v>
      </c>
      <c r="H708" s="6" t="s">
        <v>33</v>
      </c>
      <c r="I708" s="6" t="s">
        <v>767</v>
      </c>
      <c r="J708" s="6" t="s">
        <v>767</v>
      </c>
      <c r="K708" s="7">
        <v>6117564</v>
      </c>
      <c r="L708" s="7">
        <v>290997</v>
      </c>
      <c r="M708" s="7">
        <v>19</v>
      </c>
      <c r="N708" s="7">
        <v>4</v>
      </c>
      <c r="O708" s="7">
        <v>18</v>
      </c>
    </row>
    <row r="709" spans="1:15" x14ac:dyDescent="0.25">
      <c r="A709" s="6" t="s">
        <v>28</v>
      </c>
      <c r="B709" s="6" t="s">
        <v>296</v>
      </c>
      <c r="C709" s="7">
        <v>31928</v>
      </c>
      <c r="D709" s="6" t="s">
        <v>39</v>
      </c>
      <c r="E709" s="6" t="s">
        <v>87</v>
      </c>
      <c r="F709" s="6" t="s">
        <v>197</v>
      </c>
      <c r="G709" s="6" t="s">
        <v>32</v>
      </c>
      <c r="H709" s="6" t="s">
        <v>19</v>
      </c>
      <c r="I709" s="6" t="s">
        <v>767</v>
      </c>
      <c r="J709" s="6" t="s">
        <v>767</v>
      </c>
      <c r="K709" s="7">
        <v>6090804</v>
      </c>
      <c r="L709" s="7">
        <v>305223</v>
      </c>
      <c r="M709" s="7">
        <v>19</v>
      </c>
      <c r="N709" s="7">
        <v>2</v>
      </c>
      <c r="O709" s="7">
        <v>0.4</v>
      </c>
    </row>
    <row r="710" spans="1:15" x14ac:dyDescent="0.25">
      <c r="A710" s="6" t="s">
        <v>28</v>
      </c>
      <c r="B710" s="6" t="s">
        <v>296</v>
      </c>
      <c r="C710" s="7">
        <v>31945</v>
      </c>
      <c r="D710" s="6" t="s">
        <v>39</v>
      </c>
      <c r="E710" s="6" t="s">
        <v>87</v>
      </c>
      <c r="F710" s="6" t="s">
        <v>360</v>
      </c>
      <c r="G710" s="6" t="s">
        <v>32</v>
      </c>
      <c r="H710" s="6" t="s">
        <v>19</v>
      </c>
      <c r="I710" s="6" t="s">
        <v>767</v>
      </c>
      <c r="J710" s="6" t="s">
        <v>767</v>
      </c>
      <c r="K710" s="7">
        <v>6097085</v>
      </c>
      <c r="L710" s="7">
        <v>284341</v>
      </c>
      <c r="M710" s="7">
        <v>19</v>
      </c>
      <c r="N710" s="7">
        <v>1</v>
      </c>
      <c r="O710" s="7">
        <v>0.4</v>
      </c>
    </row>
    <row r="711" spans="1:15" x14ac:dyDescent="0.25">
      <c r="A711" s="6" t="s">
        <v>28</v>
      </c>
      <c r="B711" s="6" t="s">
        <v>296</v>
      </c>
      <c r="C711" s="7">
        <v>31951</v>
      </c>
      <c r="D711" s="6" t="s">
        <v>39</v>
      </c>
      <c r="E711" s="6" t="s">
        <v>177</v>
      </c>
      <c r="F711" s="6" t="s">
        <v>361</v>
      </c>
      <c r="G711" s="6" t="s">
        <v>32</v>
      </c>
      <c r="H711" s="6" t="s">
        <v>33</v>
      </c>
      <c r="I711" s="6" t="s">
        <v>767</v>
      </c>
      <c r="J711" s="6" t="s">
        <v>767</v>
      </c>
      <c r="K711" s="7">
        <v>6038238</v>
      </c>
      <c r="L711" s="7">
        <v>274768</v>
      </c>
      <c r="M711" s="7">
        <v>19</v>
      </c>
      <c r="N711" s="7">
        <v>2</v>
      </c>
      <c r="O711" s="7">
        <v>15</v>
      </c>
    </row>
    <row r="712" spans="1:15" x14ac:dyDescent="0.25">
      <c r="A712" s="6" t="s">
        <v>28</v>
      </c>
      <c r="B712" s="6" t="s">
        <v>296</v>
      </c>
      <c r="C712" s="7">
        <v>31963</v>
      </c>
      <c r="D712" s="6" t="s">
        <v>39</v>
      </c>
      <c r="E712" s="6" t="s">
        <v>72</v>
      </c>
      <c r="F712" s="6" t="s">
        <v>73</v>
      </c>
      <c r="G712" s="6" t="s">
        <v>32</v>
      </c>
      <c r="H712" s="6" t="s">
        <v>33</v>
      </c>
      <c r="I712" s="6" t="s">
        <v>767</v>
      </c>
      <c r="J712" s="6" t="s">
        <v>764</v>
      </c>
      <c r="K712" s="7">
        <v>6074080</v>
      </c>
      <c r="L712" s="7">
        <v>285218</v>
      </c>
      <c r="M712" s="7">
        <v>19</v>
      </c>
      <c r="N712" s="7">
        <v>5</v>
      </c>
      <c r="O712" s="7">
        <v>35</v>
      </c>
    </row>
    <row r="713" spans="1:15" x14ac:dyDescent="0.25">
      <c r="A713" s="6" t="s">
        <v>28</v>
      </c>
      <c r="B713" s="6" t="s">
        <v>296</v>
      </c>
      <c r="C713" s="7">
        <v>31998</v>
      </c>
      <c r="D713" s="6" t="s">
        <v>39</v>
      </c>
      <c r="E713" s="6" t="s">
        <v>80</v>
      </c>
      <c r="F713" s="6" t="s">
        <v>362</v>
      </c>
      <c r="G713" s="6" t="s">
        <v>32</v>
      </c>
      <c r="H713" s="6" t="s">
        <v>33</v>
      </c>
      <c r="I713" s="6" t="s">
        <v>767</v>
      </c>
      <c r="J713" s="6" t="s">
        <v>767</v>
      </c>
      <c r="K713" s="7">
        <v>6081282</v>
      </c>
      <c r="L713" s="7">
        <v>284448</v>
      </c>
      <c r="M713" s="7">
        <v>19</v>
      </c>
      <c r="N713" s="7">
        <v>2</v>
      </c>
      <c r="O713" s="7">
        <v>10.5</v>
      </c>
    </row>
    <row r="714" spans="1:15" x14ac:dyDescent="0.25">
      <c r="A714" s="6" t="s">
        <v>28</v>
      </c>
      <c r="B714" s="6" t="s">
        <v>296</v>
      </c>
      <c r="C714" s="7">
        <v>32002</v>
      </c>
      <c r="D714" s="6" t="s">
        <v>39</v>
      </c>
      <c r="E714" s="6" t="s">
        <v>80</v>
      </c>
      <c r="F714" s="6" t="s">
        <v>363</v>
      </c>
      <c r="G714" s="6" t="s">
        <v>32</v>
      </c>
      <c r="H714" s="6" t="s">
        <v>33</v>
      </c>
      <c r="I714" s="6" t="s">
        <v>767</v>
      </c>
      <c r="J714" s="6" t="s">
        <v>764</v>
      </c>
      <c r="K714" s="7">
        <v>6080740</v>
      </c>
      <c r="L714" s="7">
        <v>284262</v>
      </c>
      <c r="M714" s="7">
        <v>19</v>
      </c>
      <c r="N714" s="7">
        <v>2</v>
      </c>
      <c r="O714" s="7">
        <v>8</v>
      </c>
    </row>
    <row r="715" spans="1:15" x14ac:dyDescent="0.25">
      <c r="A715" s="6" t="s">
        <v>28</v>
      </c>
      <c r="B715" s="6" t="s">
        <v>296</v>
      </c>
      <c r="C715" s="7">
        <v>32008</v>
      </c>
      <c r="D715" s="6" t="s">
        <v>39</v>
      </c>
      <c r="E715" s="6" t="s">
        <v>80</v>
      </c>
      <c r="F715" s="6" t="s">
        <v>363</v>
      </c>
      <c r="G715" s="6" t="s">
        <v>32</v>
      </c>
      <c r="H715" s="6" t="s">
        <v>33</v>
      </c>
      <c r="I715" s="6" t="s">
        <v>767</v>
      </c>
      <c r="J715" s="6" t="s">
        <v>764</v>
      </c>
      <c r="K715" s="7">
        <v>6080352</v>
      </c>
      <c r="L715" s="7">
        <v>283101</v>
      </c>
      <c r="M715" s="7">
        <v>19</v>
      </c>
      <c r="N715" s="7">
        <v>1</v>
      </c>
      <c r="O715" s="7">
        <v>10</v>
      </c>
    </row>
    <row r="716" spans="1:15" x14ac:dyDescent="0.25">
      <c r="A716" s="6" t="s">
        <v>28</v>
      </c>
      <c r="B716" s="6" t="s">
        <v>296</v>
      </c>
      <c r="C716" s="7">
        <v>32010</v>
      </c>
      <c r="D716" s="6" t="s">
        <v>39</v>
      </c>
      <c r="E716" s="6" t="s">
        <v>80</v>
      </c>
      <c r="F716" s="6" t="s">
        <v>326</v>
      </c>
      <c r="G716" s="6" t="s">
        <v>32</v>
      </c>
      <c r="H716" s="6" t="s">
        <v>33</v>
      </c>
      <c r="I716" s="6" t="s">
        <v>767</v>
      </c>
      <c r="J716" s="6" t="s">
        <v>764</v>
      </c>
      <c r="K716" s="7">
        <v>6082532</v>
      </c>
      <c r="L716" s="7">
        <v>279356</v>
      </c>
      <c r="M716" s="7">
        <v>19</v>
      </c>
      <c r="N716" s="7">
        <v>3</v>
      </c>
      <c r="O716" s="7">
        <v>22</v>
      </c>
    </row>
    <row r="717" spans="1:15" x14ac:dyDescent="0.25">
      <c r="A717" s="6" t="s">
        <v>28</v>
      </c>
      <c r="B717" s="6" t="s">
        <v>296</v>
      </c>
      <c r="C717" s="7">
        <v>32012</v>
      </c>
      <c r="D717" s="6" t="s">
        <v>39</v>
      </c>
      <c r="E717" s="6" t="s">
        <v>173</v>
      </c>
      <c r="F717" s="6" t="s">
        <v>361</v>
      </c>
      <c r="G717" s="6" t="s">
        <v>32</v>
      </c>
      <c r="H717" s="6" t="s">
        <v>33</v>
      </c>
      <c r="I717" s="6" t="s">
        <v>767</v>
      </c>
      <c r="J717" s="6" t="s">
        <v>767</v>
      </c>
      <c r="K717" s="7">
        <v>6038414</v>
      </c>
      <c r="L717" s="7">
        <v>271632</v>
      </c>
      <c r="M717" s="7">
        <v>19</v>
      </c>
      <c r="N717" s="7">
        <v>4</v>
      </c>
      <c r="O717" s="7">
        <v>22</v>
      </c>
    </row>
    <row r="718" spans="1:15" x14ac:dyDescent="0.25">
      <c r="A718" s="6" t="s">
        <v>28</v>
      </c>
      <c r="B718" s="6" t="s">
        <v>296</v>
      </c>
      <c r="C718" s="7">
        <v>32027</v>
      </c>
      <c r="D718" s="6" t="s">
        <v>39</v>
      </c>
      <c r="E718" s="6" t="s">
        <v>53</v>
      </c>
      <c r="F718" s="6" t="s">
        <v>190</v>
      </c>
      <c r="G718" s="6" t="s">
        <v>32</v>
      </c>
      <c r="H718" s="6" t="s">
        <v>19</v>
      </c>
      <c r="I718" s="6" t="s">
        <v>767</v>
      </c>
      <c r="J718" s="6" t="s">
        <v>767</v>
      </c>
      <c r="K718" s="7">
        <v>6132713</v>
      </c>
      <c r="L718" s="7">
        <v>317805</v>
      </c>
      <c r="M718" s="7">
        <v>19</v>
      </c>
      <c r="N718" s="7">
        <v>1</v>
      </c>
      <c r="O718" s="7">
        <v>5.47</v>
      </c>
    </row>
    <row r="719" spans="1:15" x14ac:dyDescent="0.25">
      <c r="A719" s="6" t="s">
        <v>28</v>
      </c>
      <c r="B719" s="6" t="s">
        <v>296</v>
      </c>
      <c r="C719" s="7">
        <v>32029</v>
      </c>
      <c r="D719" s="6" t="s">
        <v>39</v>
      </c>
      <c r="E719" s="6" t="s">
        <v>53</v>
      </c>
      <c r="F719" s="6" t="s">
        <v>364</v>
      </c>
      <c r="G719" s="6" t="s">
        <v>32</v>
      </c>
      <c r="H719" s="6" t="s">
        <v>19</v>
      </c>
      <c r="I719" s="6" t="s">
        <v>767</v>
      </c>
      <c r="J719" s="6" t="s">
        <v>767</v>
      </c>
      <c r="K719" s="7">
        <v>6138577</v>
      </c>
      <c r="L719" s="7">
        <v>307198</v>
      </c>
      <c r="M719" s="7">
        <v>19</v>
      </c>
      <c r="N719" s="7">
        <v>1</v>
      </c>
      <c r="O719" s="7">
        <v>0.4</v>
      </c>
    </row>
    <row r="720" spans="1:15" x14ac:dyDescent="0.25">
      <c r="A720" s="6" t="s">
        <v>28</v>
      </c>
      <c r="B720" s="6" t="s">
        <v>296</v>
      </c>
      <c r="C720" s="7">
        <v>32032</v>
      </c>
      <c r="D720" s="6" t="s">
        <v>39</v>
      </c>
      <c r="E720" s="6" t="s">
        <v>53</v>
      </c>
      <c r="F720" s="6" t="s">
        <v>365</v>
      </c>
      <c r="G720" s="6" t="s">
        <v>32</v>
      </c>
      <c r="H720" s="6" t="s">
        <v>19</v>
      </c>
      <c r="I720" s="6" t="s">
        <v>767</v>
      </c>
      <c r="J720" s="6" t="s">
        <v>767</v>
      </c>
      <c r="K720" s="7">
        <v>6139571</v>
      </c>
      <c r="L720" s="7">
        <v>313618</v>
      </c>
      <c r="M720" s="7">
        <v>19</v>
      </c>
      <c r="N720" s="7">
        <v>1</v>
      </c>
      <c r="O720" s="7">
        <v>0.4</v>
      </c>
    </row>
    <row r="721" spans="1:15" x14ac:dyDescent="0.25">
      <c r="A721" s="6" t="s">
        <v>28</v>
      </c>
      <c r="B721" s="6" t="s">
        <v>296</v>
      </c>
      <c r="C721" s="7">
        <v>32113</v>
      </c>
      <c r="D721" s="6" t="s">
        <v>42</v>
      </c>
      <c r="E721" s="6" t="s">
        <v>45</v>
      </c>
      <c r="F721" s="6" t="s">
        <v>68</v>
      </c>
      <c r="G721" s="6" t="s">
        <v>32</v>
      </c>
      <c r="H721" s="6" t="s">
        <v>33</v>
      </c>
      <c r="I721" s="6" t="s">
        <v>767</v>
      </c>
      <c r="J721" s="6" t="s">
        <v>767</v>
      </c>
      <c r="K721" s="7">
        <v>6174360</v>
      </c>
      <c r="L721" s="7">
        <v>323283</v>
      </c>
      <c r="M721" s="7">
        <v>19</v>
      </c>
      <c r="N721" s="7">
        <v>1</v>
      </c>
      <c r="O721" s="7">
        <v>20</v>
      </c>
    </row>
    <row r="722" spans="1:15" x14ac:dyDescent="0.25">
      <c r="A722" s="6" t="s">
        <v>28</v>
      </c>
      <c r="B722" s="6" t="s">
        <v>296</v>
      </c>
      <c r="C722" s="7">
        <v>32202</v>
      </c>
      <c r="D722" s="6" t="s">
        <v>42</v>
      </c>
      <c r="E722" s="6" t="s">
        <v>51</v>
      </c>
      <c r="F722" s="6" t="s">
        <v>66</v>
      </c>
      <c r="G722" s="6" t="s">
        <v>32</v>
      </c>
      <c r="H722" s="6" t="s">
        <v>33</v>
      </c>
      <c r="I722" s="6" t="s">
        <v>767</v>
      </c>
      <c r="J722" s="6" t="s">
        <v>764</v>
      </c>
      <c r="K722" s="7">
        <v>6145300</v>
      </c>
      <c r="L722" s="7">
        <v>321511</v>
      </c>
      <c r="M722" s="7">
        <v>19</v>
      </c>
      <c r="N722" s="7">
        <v>1</v>
      </c>
      <c r="O722" s="7">
        <v>19.5</v>
      </c>
    </row>
    <row r="723" spans="1:15" x14ac:dyDescent="0.25">
      <c r="A723" s="6" t="s">
        <v>28</v>
      </c>
      <c r="B723" s="6" t="s">
        <v>296</v>
      </c>
      <c r="C723" s="7">
        <v>32208</v>
      </c>
      <c r="D723" s="6" t="s">
        <v>39</v>
      </c>
      <c r="E723" s="6" t="s">
        <v>53</v>
      </c>
      <c r="F723" s="6" t="s">
        <v>190</v>
      </c>
      <c r="G723" s="6" t="s">
        <v>32</v>
      </c>
      <c r="H723" s="6" t="s">
        <v>33</v>
      </c>
      <c r="I723" s="6" t="s">
        <v>767</v>
      </c>
      <c r="J723" s="6" t="s">
        <v>767</v>
      </c>
      <c r="K723" s="7">
        <v>6135417</v>
      </c>
      <c r="L723" s="7">
        <v>315284</v>
      </c>
      <c r="M723" s="7">
        <v>19</v>
      </c>
      <c r="N723" s="7">
        <v>1</v>
      </c>
      <c r="O723" s="7">
        <v>3.5</v>
      </c>
    </row>
    <row r="724" spans="1:15" x14ac:dyDescent="0.25">
      <c r="A724" s="6" t="s">
        <v>28</v>
      </c>
      <c r="B724" s="6" t="s">
        <v>296</v>
      </c>
      <c r="C724" s="7">
        <v>32228</v>
      </c>
      <c r="D724" s="6" t="s">
        <v>42</v>
      </c>
      <c r="E724" s="6" t="s">
        <v>196</v>
      </c>
      <c r="F724" s="6" t="s">
        <v>196</v>
      </c>
      <c r="G724" s="6" t="s">
        <v>32</v>
      </c>
      <c r="H724" s="6" t="s">
        <v>33</v>
      </c>
      <c r="I724" s="6" t="s">
        <v>767</v>
      </c>
      <c r="J724" s="6" t="s">
        <v>764</v>
      </c>
      <c r="K724" s="7">
        <v>6219780</v>
      </c>
      <c r="L724" s="7">
        <v>342986</v>
      </c>
      <c r="M724" s="7">
        <v>19</v>
      </c>
      <c r="N724" s="7">
        <v>1</v>
      </c>
      <c r="O724" s="7">
        <v>5</v>
      </c>
    </row>
    <row r="725" spans="1:15" x14ac:dyDescent="0.25">
      <c r="A725" s="6" t="s">
        <v>28</v>
      </c>
      <c r="B725" s="6" t="s">
        <v>296</v>
      </c>
      <c r="C725" s="7">
        <v>32234</v>
      </c>
      <c r="D725" s="6" t="s">
        <v>42</v>
      </c>
      <c r="E725" s="6" t="s">
        <v>45</v>
      </c>
      <c r="F725" s="6" t="s">
        <v>195</v>
      </c>
      <c r="G725" s="6" t="s">
        <v>32</v>
      </c>
      <c r="H725" s="6" t="s">
        <v>33</v>
      </c>
      <c r="I725" s="6" t="s">
        <v>767</v>
      </c>
      <c r="J725" s="6" t="s">
        <v>764</v>
      </c>
      <c r="K725" s="7">
        <v>6166123</v>
      </c>
      <c r="L725" s="7">
        <v>328819</v>
      </c>
      <c r="M725" s="7">
        <v>19</v>
      </c>
      <c r="N725" s="7">
        <v>1</v>
      </c>
      <c r="O725" s="7">
        <v>5</v>
      </c>
    </row>
    <row r="726" spans="1:15" x14ac:dyDescent="0.25">
      <c r="A726" s="6" t="s">
        <v>28</v>
      </c>
      <c r="B726" s="6" t="s">
        <v>296</v>
      </c>
      <c r="C726" s="7">
        <v>32251</v>
      </c>
      <c r="D726" s="6" t="s">
        <v>39</v>
      </c>
      <c r="E726" s="6" t="s">
        <v>87</v>
      </c>
      <c r="F726" s="6" t="s">
        <v>342</v>
      </c>
      <c r="G726" s="6" t="s">
        <v>32</v>
      </c>
      <c r="H726" s="6" t="s">
        <v>33</v>
      </c>
      <c r="I726" s="6" t="s">
        <v>767</v>
      </c>
      <c r="J726" s="6" t="s">
        <v>767</v>
      </c>
      <c r="K726" s="7">
        <v>6101137</v>
      </c>
      <c r="L726" s="7">
        <v>289224</v>
      </c>
      <c r="M726" s="7">
        <v>19</v>
      </c>
      <c r="N726" s="7">
        <v>3</v>
      </c>
      <c r="O726" s="7">
        <v>12</v>
      </c>
    </row>
    <row r="727" spans="1:15" x14ac:dyDescent="0.25">
      <c r="A727" s="6" t="s">
        <v>28</v>
      </c>
      <c r="B727" s="6" t="s">
        <v>296</v>
      </c>
      <c r="C727" s="7">
        <v>32253</v>
      </c>
      <c r="D727" s="6" t="s">
        <v>39</v>
      </c>
      <c r="E727" s="6" t="s">
        <v>87</v>
      </c>
      <c r="F727" s="6" t="s">
        <v>342</v>
      </c>
      <c r="G727" s="6" t="s">
        <v>32</v>
      </c>
      <c r="H727" s="6" t="s">
        <v>33</v>
      </c>
      <c r="I727" s="6" t="s">
        <v>767</v>
      </c>
      <c r="J727" s="6" t="s">
        <v>767</v>
      </c>
      <c r="K727" s="7">
        <v>6101158</v>
      </c>
      <c r="L727" s="7">
        <v>288711</v>
      </c>
      <c r="M727" s="7">
        <v>19</v>
      </c>
      <c r="N727" s="7">
        <v>1</v>
      </c>
      <c r="O727" s="7">
        <v>5</v>
      </c>
    </row>
    <row r="728" spans="1:15" x14ac:dyDescent="0.25">
      <c r="A728" s="6" t="s">
        <v>28</v>
      </c>
      <c r="B728" s="6" t="s">
        <v>296</v>
      </c>
      <c r="C728" s="7">
        <v>32255</v>
      </c>
      <c r="D728" s="6" t="s">
        <v>39</v>
      </c>
      <c r="E728" s="6" t="s">
        <v>87</v>
      </c>
      <c r="F728" s="6" t="s">
        <v>366</v>
      </c>
      <c r="G728" s="6" t="s">
        <v>32</v>
      </c>
      <c r="H728" s="6" t="s">
        <v>33</v>
      </c>
      <c r="I728" s="6" t="s">
        <v>767</v>
      </c>
      <c r="J728" s="6" t="s">
        <v>764</v>
      </c>
      <c r="K728" s="7">
        <v>6107894</v>
      </c>
      <c r="L728" s="7">
        <v>287409</v>
      </c>
      <c r="M728" s="7">
        <v>19</v>
      </c>
      <c r="N728" s="7">
        <v>1</v>
      </c>
      <c r="O728" s="7">
        <v>8</v>
      </c>
    </row>
    <row r="729" spans="1:15" x14ac:dyDescent="0.25">
      <c r="A729" s="6" t="s">
        <v>28</v>
      </c>
      <c r="B729" s="6" t="s">
        <v>296</v>
      </c>
      <c r="C729" s="7">
        <v>32256</v>
      </c>
      <c r="D729" s="6" t="s">
        <v>39</v>
      </c>
      <c r="E729" s="6" t="s">
        <v>87</v>
      </c>
      <c r="F729" s="6" t="s">
        <v>366</v>
      </c>
      <c r="G729" s="6" t="s">
        <v>32</v>
      </c>
      <c r="H729" s="6" t="s">
        <v>33</v>
      </c>
      <c r="I729" s="6" t="s">
        <v>767</v>
      </c>
      <c r="J729" s="6" t="s">
        <v>764</v>
      </c>
      <c r="K729" s="7">
        <v>6107764</v>
      </c>
      <c r="L729" s="7">
        <v>287260</v>
      </c>
      <c r="M729" s="7">
        <v>19</v>
      </c>
      <c r="N729" s="7">
        <v>1</v>
      </c>
      <c r="O729" s="7">
        <v>8</v>
      </c>
    </row>
    <row r="730" spans="1:15" x14ac:dyDescent="0.25">
      <c r="A730" s="6" t="s">
        <v>28</v>
      </c>
      <c r="B730" s="6" t="s">
        <v>296</v>
      </c>
      <c r="C730" s="7">
        <v>32269</v>
      </c>
      <c r="D730" s="6" t="s">
        <v>16</v>
      </c>
      <c r="E730" s="6" t="s">
        <v>332</v>
      </c>
      <c r="F730" s="6" t="s">
        <v>57</v>
      </c>
      <c r="G730" s="6" t="s">
        <v>32</v>
      </c>
      <c r="H730" s="6" t="s">
        <v>19</v>
      </c>
      <c r="I730" s="6" t="s">
        <v>767</v>
      </c>
      <c r="J730" s="6" t="s">
        <v>767</v>
      </c>
      <c r="K730" s="7">
        <v>6367413</v>
      </c>
      <c r="L730" s="7">
        <v>313310</v>
      </c>
      <c r="M730" s="7">
        <v>19</v>
      </c>
      <c r="N730" s="7">
        <v>1</v>
      </c>
      <c r="O730" s="7">
        <v>0.4</v>
      </c>
    </row>
    <row r="731" spans="1:15" x14ac:dyDescent="0.25">
      <c r="A731" s="6" t="s">
        <v>28</v>
      </c>
      <c r="B731" s="6" t="s">
        <v>296</v>
      </c>
      <c r="C731" s="7">
        <v>32271</v>
      </c>
      <c r="D731" s="6" t="s">
        <v>16</v>
      </c>
      <c r="E731" s="6" t="s">
        <v>330</v>
      </c>
      <c r="F731" s="6" t="s">
        <v>367</v>
      </c>
      <c r="G731" s="6" t="s">
        <v>32</v>
      </c>
      <c r="H731" s="6" t="s">
        <v>19</v>
      </c>
      <c r="I731" s="6" t="s">
        <v>767</v>
      </c>
      <c r="J731" s="6" t="s">
        <v>767</v>
      </c>
      <c r="K731" s="7">
        <v>6365956</v>
      </c>
      <c r="L731" s="7">
        <v>311408</v>
      </c>
      <c r="M731" s="7">
        <v>19</v>
      </c>
      <c r="N731" s="7">
        <v>1</v>
      </c>
      <c r="O731" s="7">
        <v>2.88</v>
      </c>
    </row>
    <row r="732" spans="1:15" x14ac:dyDescent="0.25">
      <c r="A732" s="6" t="s">
        <v>28</v>
      </c>
      <c r="B732" s="6" t="s">
        <v>296</v>
      </c>
      <c r="C732" s="7">
        <v>32272</v>
      </c>
      <c r="D732" s="6" t="s">
        <v>16</v>
      </c>
      <c r="E732" s="6" t="s">
        <v>332</v>
      </c>
      <c r="F732" s="6" t="s">
        <v>366</v>
      </c>
      <c r="G732" s="6" t="s">
        <v>32</v>
      </c>
      <c r="H732" s="6" t="s">
        <v>19</v>
      </c>
      <c r="I732" s="6" t="s">
        <v>767</v>
      </c>
      <c r="J732" s="6" t="s">
        <v>767</v>
      </c>
      <c r="K732" s="7">
        <v>6362776</v>
      </c>
      <c r="L732" s="7">
        <v>317619</v>
      </c>
      <c r="M732" s="7">
        <v>19</v>
      </c>
      <c r="N732" s="7">
        <v>2</v>
      </c>
      <c r="O732" s="7">
        <v>10.53</v>
      </c>
    </row>
    <row r="733" spans="1:15" x14ac:dyDescent="0.25">
      <c r="A733" s="6" t="s">
        <v>28</v>
      </c>
      <c r="B733" s="6" t="s">
        <v>296</v>
      </c>
      <c r="C733" s="7">
        <v>32273</v>
      </c>
      <c r="D733" s="6" t="s">
        <v>16</v>
      </c>
      <c r="E733" s="6" t="s">
        <v>332</v>
      </c>
      <c r="F733" s="6" t="s">
        <v>368</v>
      </c>
      <c r="G733" s="6" t="s">
        <v>32</v>
      </c>
      <c r="H733" s="6" t="s">
        <v>19</v>
      </c>
      <c r="I733" s="6" t="s">
        <v>767</v>
      </c>
      <c r="J733" s="6" t="s">
        <v>767</v>
      </c>
      <c r="K733" s="7">
        <v>6363446</v>
      </c>
      <c r="L733" s="7">
        <v>316371</v>
      </c>
      <c r="M733" s="7">
        <v>19</v>
      </c>
      <c r="N733" s="7">
        <v>3</v>
      </c>
      <c r="O733" s="7">
        <v>9.7200000000000006</v>
      </c>
    </row>
    <row r="734" spans="1:15" x14ac:dyDescent="0.25">
      <c r="A734" s="6" t="s">
        <v>28</v>
      </c>
      <c r="B734" s="6" t="s">
        <v>296</v>
      </c>
      <c r="C734" s="7">
        <v>32274</v>
      </c>
      <c r="D734" s="6" t="s">
        <v>39</v>
      </c>
      <c r="E734" s="6" t="s">
        <v>80</v>
      </c>
      <c r="F734" s="6" t="s">
        <v>338</v>
      </c>
      <c r="G734" s="6" t="s">
        <v>32</v>
      </c>
      <c r="H734" s="6" t="s">
        <v>153</v>
      </c>
      <c r="I734" s="6" t="s">
        <v>767</v>
      </c>
      <c r="J734" s="6" t="s">
        <v>764</v>
      </c>
      <c r="K734" s="7">
        <v>6086693</v>
      </c>
      <c r="L734" s="7">
        <v>282347</v>
      </c>
      <c r="M734" s="7">
        <v>19</v>
      </c>
      <c r="N734" s="7">
        <v>1</v>
      </c>
      <c r="O734" s="7">
        <v>4.75</v>
      </c>
    </row>
    <row r="735" spans="1:15" x14ac:dyDescent="0.25">
      <c r="A735" s="6" t="s">
        <v>28</v>
      </c>
      <c r="B735" s="6" t="s">
        <v>296</v>
      </c>
      <c r="C735" s="7">
        <v>32275</v>
      </c>
      <c r="D735" s="6" t="s">
        <v>39</v>
      </c>
      <c r="E735" s="6" t="s">
        <v>87</v>
      </c>
      <c r="F735" s="6" t="s">
        <v>369</v>
      </c>
      <c r="G735" s="6" t="s">
        <v>32</v>
      </c>
      <c r="H735" s="6" t="s">
        <v>153</v>
      </c>
      <c r="I735" s="6" t="s">
        <v>767</v>
      </c>
      <c r="J735" s="6" t="s">
        <v>764</v>
      </c>
      <c r="K735" s="7">
        <v>6096653</v>
      </c>
      <c r="L735" s="7">
        <v>287022</v>
      </c>
      <c r="M735" s="7">
        <v>19</v>
      </c>
      <c r="N735" s="7">
        <v>1</v>
      </c>
      <c r="O735" s="7">
        <v>1.42</v>
      </c>
    </row>
    <row r="736" spans="1:15" x14ac:dyDescent="0.25">
      <c r="A736" s="6" t="s">
        <v>28</v>
      </c>
      <c r="B736" s="6" t="s">
        <v>296</v>
      </c>
      <c r="C736" s="7">
        <v>32276</v>
      </c>
      <c r="D736" s="6" t="s">
        <v>39</v>
      </c>
      <c r="E736" s="6" t="s">
        <v>83</v>
      </c>
      <c r="F736" s="6" t="s">
        <v>370</v>
      </c>
      <c r="G736" s="6" t="s">
        <v>32</v>
      </c>
      <c r="H736" s="6" t="s">
        <v>19</v>
      </c>
      <c r="I736" s="6" t="s">
        <v>767</v>
      </c>
      <c r="J736" s="6" t="s">
        <v>767</v>
      </c>
      <c r="K736" s="7">
        <v>6094548</v>
      </c>
      <c r="L736" s="7">
        <v>279585</v>
      </c>
      <c r="M736" s="7">
        <v>19</v>
      </c>
      <c r="N736" s="7">
        <v>2</v>
      </c>
      <c r="O736" s="7">
        <v>13.39</v>
      </c>
    </row>
    <row r="737" spans="1:15" x14ac:dyDescent="0.25">
      <c r="A737" s="6" t="s">
        <v>28</v>
      </c>
      <c r="B737" s="6" t="s">
        <v>296</v>
      </c>
      <c r="C737" s="7">
        <v>32277</v>
      </c>
      <c r="D737" s="6" t="s">
        <v>39</v>
      </c>
      <c r="E737" s="6" t="s">
        <v>83</v>
      </c>
      <c r="F737" s="6" t="s">
        <v>371</v>
      </c>
      <c r="G737" s="6" t="s">
        <v>32</v>
      </c>
      <c r="H737" s="6" t="s">
        <v>19</v>
      </c>
      <c r="I737" s="6" t="s">
        <v>767</v>
      </c>
      <c r="J737" s="6" t="s">
        <v>767</v>
      </c>
      <c r="K737" s="7">
        <v>6086677</v>
      </c>
      <c r="L737" s="7">
        <v>272744</v>
      </c>
      <c r="M737" s="7">
        <v>19</v>
      </c>
      <c r="N737" s="7">
        <v>1</v>
      </c>
      <c r="O737" s="7">
        <v>2.75</v>
      </c>
    </row>
    <row r="738" spans="1:15" x14ac:dyDescent="0.25">
      <c r="A738" s="6" t="s">
        <v>28</v>
      </c>
      <c r="B738" s="6" t="s">
        <v>296</v>
      </c>
      <c r="C738" s="7">
        <v>32278</v>
      </c>
      <c r="D738" s="6" t="s">
        <v>39</v>
      </c>
      <c r="E738" s="6" t="s">
        <v>83</v>
      </c>
      <c r="F738" s="6" t="s">
        <v>372</v>
      </c>
      <c r="G738" s="6" t="s">
        <v>32</v>
      </c>
      <c r="H738" s="6" t="s">
        <v>19</v>
      </c>
      <c r="I738" s="6" t="s">
        <v>767</v>
      </c>
      <c r="J738" s="6" t="s">
        <v>767</v>
      </c>
      <c r="K738" s="7">
        <v>6085637</v>
      </c>
      <c r="L738" s="7">
        <v>274294</v>
      </c>
      <c r="M738" s="7">
        <v>19</v>
      </c>
      <c r="N738" s="7">
        <v>1</v>
      </c>
      <c r="O738" s="7">
        <v>4</v>
      </c>
    </row>
    <row r="739" spans="1:15" x14ac:dyDescent="0.25">
      <c r="A739" s="6" t="s">
        <v>28</v>
      </c>
      <c r="B739" s="6" t="s">
        <v>296</v>
      </c>
      <c r="C739" s="7">
        <v>32328</v>
      </c>
      <c r="D739" s="6" t="s">
        <v>39</v>
      </c>
      <c r="E739" s="6" t="s">
        <v>72</v>
      </c>
      <c r="F739" s="6" t="s">
        <v>171</v>
      </c>
      <c r="G739" s="6" t="s">
        <v>32</v>
      </c>
      <c r="H739" s="6" t="s">
        <v>19</v>
      </c>
      <c r="I739" s="6" t="s">
        <v>767</v>
      </c>
      <c r="J739" s="6" t="s">
        <v>767</v>
      </c>
      <c r="K739" s="7">
        <v>6065933</v>
      </c>
      <c r="L739" s="7">
        <v>283352</v>
      </c>
      <c r="M739" s="7">
        <v>19</v>
      </c>
      <c r="N739" s="7">
        <v>1</v>
      </c>
      <c r="O739" s="7">
        <v>3</v>
      </c>
    </row>
    <row r="740" spans="1:15" x14ac:dyDescent="0.25">
      <c r="A740" s="6" t="s">
        <v>28</v>
      </c>
      <c r="B740" s="6" t="s">
        <v>296</v>
      </c>
      <c r="C740" s="7">
        <v>32341</v>
      </c>
      <c r="D740" s="6" t="s">
        <v>39</v>
      </c>
      <c r="E740" s="6" t="s">
        <v>80</v>
      </c>
      <c r="F740" s="6" t="s">
        <v>348</v>
      </c>
      <c r="G740" s="6" t="s">
        <v>32</v>
      </c>
      <c r="H740" s="6" t="s">
        <v>33</v>
      </c>
      <c r="I740" s="6" t="s">
        <v>767</v>
      </c>
      <c r="J740" s="6" t="s">
        <v>767</v>
      </c>
      <c r="K740" s="7">
        <v>6078301</v>
      </c>
      <c r="L740" s="7">
        <v>285674</v>
      </c>
      <c r="M740" s="7">
        <v>19</v>
      </c>
      <c r="N740" s="7">
        <v>2</v>
      </c>
      <c r="O740" s="7">
        <v>18</v>
      </c>
    </row>
    <row r="741" spans="1:15" x14ac:dyDescent="0.25">
      <c r="A741" s="6" t="s">
        <v>28</v>
      </c>
      <c r="B741" s="6" t="s">
        <v>296</v>
      </c>
      <c r="C741" s="7">
        <v>32414</v>
      </c>
      <c r="D741" s="6" t="s">
        <v>39</v>
      </c>
      <c r="E741" s="6" t="s">
        <v>80</v>
      </c>
      <c r="F741" s="6" t="s">
        <v>373</v>
      </c>
      <c r="G741" s="6" t="s">
        <v>32</v>
      </c>
      <c r="H741" s="6" t="s">
        <v>153</v>
      </c>
      <c r="I741" s="6" t="s">
        <v>767</v>
      </c>
      <c r="J741" s="6" t="s">
        <v>764</v>
      </c>
      <c r="K741" s="7">
        <v>6075335</v>
      </c>
      <c r="L741" s="7">
        <v>290208</v>
      </c>
      <c r="M741" s="7">
        <v>19</v>
      </c>
      <c r="N741" s="7">
        <v>1</v>
      </c>
      <c r="O741" s="7">
        <v>0.61</v>
      </c>
    </row>
    <row r="742" spans="1:15" x14ac:dyDescent="0.25">
      <c r="A742" s="6" t="s">
        <v>28</v>
      </c>
      <c r="B742" s="6" t="s">
        <v>296</v>
      </c>
      <c r="C742" s="7">
        <v>32419</v>
      </c>
      <c r="D742" s="6" t="s">
        <v>39</v>
      </c>
      <c r="E742" s="6" t="s">
        <v>80</v>
      </c>
      <c r="F742" s="6" t="s">
        <v>338</v>
      </c>
      <c r="G742" s="6" t="s">
        <v>32</v>
      </c>
      <c r="H742" s="6" t="s">
        <v>19</v>
      </c>
      <c r="I742" s="6" t="s">
        <v>767</v>
      </c>
      <c r="J742" s="6" t="s">
        <v>767</v>
      </c>
      <c r="K742" s="7">
        <v>6086737</v>
      </c>
      <c r="L742" s="7">
        <v>283051</v>
      </c>
      <c r="M742" s="7">
        <v>19</v>
      </c>
      <c r="N742" s="7">
        <v>1</v>
      </c>
      <c r="O742" s="7">
        <v>1.53</v>
      </c>
    </row>
    <row r="743" spans="1:15" x14ac:dyDescent="0.25">
      <c r="A743" s="6" t="s">
        <v>14</v>
      </c>
      <c r="B743" s="6" t="s">
        <v>296</v>
      </c>
      <c r="C743" s="7">
        <v>32420</v>
      </c>
      <c r="D743" s="6" t="s">
        <v>39</v>
      </c>
      <c r="E743" s="6" t="s">
        <v>83</v>
      </c>
      <c r="F743" s="6" t="s">
        <v>357</v>
      </c>
      <c r="G743" s="6" t="s">
        <v>32</v>
      </c>
      <c r="H743" s="6" t="s">
        <v>19</v>
      </c>
      <c r="I743" s="6" t="s">
        <v>767</v>
      </c>
      <c r="J743" s="6" t="s">
        <v>767</v>
      </c>
      <c r="K743" s="7">
        <v>6094898</v>
      </c>
      <c r="L743" s="7">
        <v>274963</v>
      </c>
      <c r="M743" s="7">
        <v>19</v>
      </c>
      <c r="N743" s="7">
        <v>1</v>
      </c>
      <c r="O743" s="7">
        <v>0.77</v>
      </c>
    </row>
    <row r="744" spans="1:15" x14ac:dyDescent="0.25">
      <c r="A744" s="6" t="s">
        <v>28</v>
      </c>
      <c r="B744" s="6" t="s">
        <v>296</v>
      </c>
      <c r="C744" s="7">
        <v>32422</v>
      </c>
      <c r="D744" s="6" t="s">
        <v>39</v>
      </c>
      <c r="E744" s="6" t="s">
        <v>83</v>
      </c>
      <c r="F744" s="6" t="s">
        <v>357</v>
      </c>
      <c r="G744" s="6" t="s">
        <v>32</v>
      </c>
      <c r="H744" s="6" t="s">
        <v>19</v>
      </c>
      <c r="I744" s="6" t="s">
        <v>767</v>
      </c>
      <c r="J744" s="6" t="s">
        <v>767</v>
      </c>
      <c r="K744" s="7">
        <v>6095564</v>
      </c>
      <c r="L744" s="7">
        <v>275371</v>
      </c>
      <c r="M744" s="7">
        <v>19</v>
      </c>
      <c r="N744" s="7">
        <v>1</v>
      </c>
      <c r="O744" s="7">
        <v>0.84</v>
      </c>
    </row>
    <row r="745" spans="1:15" x14ac:dyDescent="0.25">
      <c r="A745" s="6" t="s">
        <v>28</v>
      </c>
      <c r="B745" s="6" t="s">
        <v>296</v>
      </c>
      <c r="C745" s="7">
        <v>32424</v>
      </c>
      <c r="D745" s="6" t="s">
        <v>39</v>
      </c>
      <c r="E745" s="6" t="s">
        <v>83</v>
      </c>
      <c r="F745" s="6" t="s">
        <v>309</v>
      </c>
      <c r="G745" s="6" t="s">
        <v>32</v>
      </c>
      <c r="H745" s="6" t="s">
        <v>19</v>
      </c>
      <c r="I745" s="6" t="s">
        <v>767</v>
      </c>
      <c r="J745" s="6" t="s">
        <v>767</v>
      </c>
      <c r="K745" s="7">
        <v>6085598</v>
      </c>
      <c r="L745" s="7">
        <v>266847</v>
      </c>
      <c r="M745" s="7">
        <v>19</v>
      </c>
      <c r="N745" s="7">
        <v>1</v>
      </c>
      <c r="O745" s="7">
        <v>0.4</v>
      </c>
    </row>
    <row r="746" spans="1:15" x14ac:dyDescent="0.25">
      <c r="A746" s="6" t="s">
        <v>28</v>
      </c>
      <c r="B746" s="6" t="s">
        <v>296</v>
      </c>
      <c r="C746" s="7">
        <v>32425</v>
      </c>
      <c r="D746" s="6" t="s">
        <v>39</v>
      </c>
      <c r="E746" s="6" t="s">
        <v>83</v>
      </c>
      <c r="F746" s="6" t="s">
        <v>357</v>
      </c>
      <c r="G746" s="6" t="s">
        <v>32</v>
      </c>
      <c r="H746" s="6" t="s">
        <v>19</v>
      </c>
      <c r="I746" s="6" t="s">
        <v>767</v>
      </c>
      <c r="J746" s="6" t="s">
        <v>767</v>
      </c>
      <c r="K746" s="7">
        <v>6096483</v>
      </c>
      <c r="L746" s="7">
        <v>275860</v>
      </c>
      <c r="M746" s="7">
        <v>19</v>
      </c>
      <c r="N746" s="7">
        <v>1</v>
      </c>
      <c r="O746" s="7">
        <v>0.4</v>
      </c>
    </row>
    <row r="747" spans="1:15" x14ac:dyDescent="0.25">
      <c r="A747" s="6" t="s">
        <v>28</v>
      </c>
      <c r="B747" s="6" t="s">
        <v>296</v>
      </c>
      <c r="C747" s="7">
        <v>32448</v>
      </c>
      <c r="D747" s="6" t="s">
        <v>39</v>
      </c>
      <c r="E747" s="6" t="s">
        <v>83</v>
      </c>
      <c r="F747" s="6" t="s">
        <v>374</v>
      </c>
      <c r="G747" s="6" t="s">
        <v>32</v>
      </c>
      <c r="H747" s="6" t="s">
        <v>153</v>
      </c>
      <c r="I747" s="6" t="s">
        <v>767</v>
      </c>
      <c r="J747" s="6" t="s">
        <v>764</v>
      </c>
      <c r="K747" s="7">
        <v>6094349</v>
      </c>
      <c r="L747" s="7">
        <v>275818</v>
      </c>
      <c r="M747" s="7">
        <v>19</v>
      </c>
      <c r="N747" s="7">
        <v>1</v>
      </c>
      <c r="O747" s="7">
        <v>7.42</v>
      </c>
    </row>
    <row r="748" spans="1:15" x14ac:dyDescent="0.25">
      <c r="A748" s="6" t="s">
        <v>28</v>
      </c>
      <c r="B748" s="6" t="s">
        <v>296</v>
      </c>
      <c r="C748" s="7">
        <v>32475</v>
      </c>
      <c r="D748" s="6" t="s">
        <v>39</v>
      </c>
      <c r="E748" s="6" t="s">
        <v>53</v>
      </c>
      <c r="F748" s="6" t="s">
        <v>375</v>
      </c>
      <c r="G748" s="6" t="s">
        <v>32</v>
      </c>
      <c r="H748" s="6" t="s">
        <v>33</v>
      </c>
      <c r="I748" s="6" t="s">
        <v>767</v>
      </c>
      <c r="J748" s="6" t="s">
        <v>767</v>
      </c>
      <c r="K748" s="7">
        <v>6140193</v>
      </c>
      <c r="L748" s="7">
        <v>295393</v>
      </c>
      <c r="M748" s="7">
        <v>19</v>
      </c>
      <c r="N748" s="7">
        <v>2</v>
      </c>
      <c r="O748" s="7">
        <v>28</v>
      </c>
    </row>
    <row r="749" spans="1:15" x14ac:dyDescent="0.25">
      <c r="A749" s="6" t="s">
        <v>28</v>
      </c>
      <c r="B749" s="6" t="s">
        <v>296</v>
      </c>
      <c r="C749" s="7">
        <v>32479</v>
      </c>
      <c r="D749" s="6" t="s">
        <v>39</v>
      </c>
      <c r="E749" s="6" t="s">
        <v>87</v>
      </c>
      <c r="F749" s="6" t="s">
        <v>341</v>
      </c>
      <c r="G749" s="6" t="s">
        <v>32</v>
      </c>
      <c r="H749" s="6" t="s">
        <v>19</v>
      </c>
      <c r="I749" s="6" t="s">
        <v>767</v>
      </c>
      <c r="J749" s="6" t="s">
        <v>767</v>
      </c>
      <c r="K749" s="7">
        <v>6102828</v>
      </c>
      <c r="L749" s="7">
        <v>295466</v>
      </c>
      <c r="M749" s="7">
        <v>19</v>
      </c>
      <c r="N749" s="7">
        <v>1</v>
      </c>
      <c r="O749" s="7">
        <v>4.0999999999999996</v>
      </c>
    </row>
    <row r="750" spans="1:15" x14ac:dyDescent="0.25">
      <c r="A750" s="6" t="s">
        <v>28</v>
      </c>
      <c r="B750" s="6" t="s">
        <v>296</v>
      </c>
      <c r="C750" s="7">
        <v>32494</v>
      </c>
      <c r="D750" s="6" t="s">
        <v>39</v>
      </c>
      <c r="E750" s="6" t="s">
        <v>87</v>
      </c>
      <c r="F750" s="6" t="s">
        <v>359</v>
      </c>
      <c r="G750" s="6" t="s">
        <v>32</v>
      </c>
      <c r="H750" s="6" t="s">
        <v>153</v>
      </c>
      <c r="I750" s="6" t="s">
        <v>767</v>
      </c>
      <c r="J750" s="6" t="s">
        <v>764</v>
      </c>
      <c r="K750" s="7">
        <v>6100077</v>
      </c>
      <c r="L750" s="7">
        <v>281678</v>
      </c>
      <c r="M750" s="7">
        <v>19</v>
      </c>
      <c r="N750" s="7">
        <v>1</v>
      </c>
      <c r="O750" s="7">
        <v>3.34</v>
      </c>
    </row>
    <row r="751" spans="1:15" x14ac:dyDescent="0.25">
      <c r="A751" s="6" t="s">
        <v>28</v>
      </c>
      <c r="B751" s="6" t="s">
        <v>296</v>
      </c>
      <c r="C751" s="7">
        <v>32513</v>
      </c>
      <c r="D751" s="6" t="s">
        <v>39</v>
      </c>
      <c r="E751" s="6" t="s">
        <v>87</v>
      </c>
      <c r="F751" s="6" t="s">
        <v>342</v>
      </c>
      <c r="G751" s="6" t="s">
        <v>32</v>
      </c>
      <c r="H751" s="6" t="s">
        <v>19</v>
      </c>
      <c r="I751" s="6" t="s">
        <v>767</v>
      </c>
      <c r="J751" s="6" t="s">
        <v>767</v>
      </c>
      <c r="K751" s="7">
        <v>6100241</v>
      </c>
      <c r="L751" s="7">
        <v>287692</v>
      </c>
      <c r="M751" s="7">
        <v>19</v>
      </c>
      <c r="N751" s="7">
        <v>1</v>
      </c>
      <c r="O751" s="7">
        <v>2.23</v>
      </c>
    </row>
    <row r="752" spans="1:15" x14ac:dyDescent="0.25">
      <c r="A752" s="6" t="s">
        <v>28</v>
      </c>
      <c r="B752" s="6" t="s">
        <v>296</v>
      </c>
      <c r="C752" s="7">
        <v>32535</v>
      </c>
      <c r="D752" s="6" t="s">
        <v>39</v>
      </c>
      <c r="E752" s="6" t="s">
        <v>40</v>
      </c>
      <c r="F752" s="6" t="s">
        <v>181</v>
      </c>
      <c r="G752" s="6" t="s">
        <v>32</v>
      </c>
      <c r="H752" s="6" t="s">
        <v>33</v>
      </c>
      <c r="I752" s="6" t="s">
        <v>767</v>
      </c>
      <c r="J752" s="6" t="s">
        <v>764</v>
      </c>
      <c r="K752" s="7">
        <v>6123885</v>
      </c>
      <c r="L752" s="7">
        <v>298099</v>
      </c>
      <c r="M752" s="7">
        <v>19</v>
      </c>
      <c r="N752" s="7">
        <v>2</v>
      </c>
      <c r="O752" s="7">
        <v>11.5</v>
      </c>
    </row>
    <row r="753" spans="1:15" x14ac:dyDescent="0.25">
      <c r="A753" s="6" t="s">
        <v>14</v>
      </c>
      <c r="B753" s="6" t="s">
        <v>296</v>
      </c>
      <c r="C753" s="7">
        <v>32545</v>
      </c>
      <c r="D753" s="6" t="s">
        <v>42</v>
      </c>
      <c r="E753" s="6" t="s">
        <v>45</v>
      </c>
      <c r="F753" s="6" t="s">
        <v>195</v>
      </c>
      <c r="G753" s="6" t="s">
        <v>32</v>
      </c>
      <c r="H753" s="6" t="s">
        <v>33</v>
      </c>
      <c r="I753" s="6" t="s">
        <v>767</v>
      </c>
      <c r="J753" s="6" t="s">
        <v>764</v>
      </c>
      <c r="K753" s="7">
        <v>6164194</v>
      </c>
      <c r="L753" s="7">
        <v>325052</v>
      </c>
      <c r="M753" s="7">
        <v>19</v>
      </c>
      <c r="N753" s="7">
        <v>1</v>
      </c>
      <c r="O753" s="7">
        <v>20</v>
      </c>
    </row>
    <row r="754" spans="1:15" x14ac:dyDescent="0.25">
      <c r="A754" s="6" t="s">
        <v>14</v>
      </c>
      <c r="B754" s="6" t="s">
        <v>296</v>
      </c>
      <c r="C754" s="7">
        <v>32555</v>
      </c>
      <c r="D754" s="6" t="s">
        <v>42</v>
      </c>
      <c r="E754" s="6" t="s">
        <v>196</v>
      </c>
      <c r="F754" s="6" t="s">
        <v>300</v>
      </c>
      <c r="G754" s="6" t="s">
        <v>32</v>
      </c>
      <c r="H754" s="6" t="s">
        <v>33</v>
      </c>
      <c r="I754" s="6" t="s">
        <v>767</v>
      </c>
      <c r="J754" s="6" t="s">
        <v>764</v>
      </c>
      <c r="K754" s="7">
        <v>6221170</v>
      </c>
      <c r="L754" s="7">
        <v>338106</v>
      </c>
      <c r="M754" s="7">
        <v>19</v>
      </c>
      <c r="N754" s="7">
        <v>2</v>
      </c>
      <c r="O754" s="7">
        <v>7</v>
      </c>
    </row>
    <row r="755" spans="1:15" x14ac:dyDescent="0.25">
      <c r="A755" s="6" t="s">
        <v>28</v>
      </c>
      <c r="B755" s="6" t="s">
        <v>296</v>
      </c>
      <c r="C755" s="7">
        <v>32561</v>
      </c>
      <c r="D755" s="6" t="s">
        <v>39</v>
      </c>
      <c r="E755" s="6" t="s">
        <v>179</v>
      </c>
      <c r="F755" s="6" t="s">
        <v>376</v>
      </c>
      <c r="G755" s="6" t="s">
        <v>32</v>
      </c>
      <c r="H755" s="6" t="s">
        <v>19</v>
      </c>
      <c r="I755" s="6" t="s">
        <v>767</v>
      </c>
      <c r="J755" s="6" t="s">
        <v>767</v>
      </c>
      <c r="K755" s="7">
        <v>6129621</v>
      </c>
      <c r="L755" s="7">
        <v>310291</v>
      </c>
      <c r="M755" s="7">
        <v>19</v>
      </c>
      <c r="N755" s="7">
        <v>1</v>
      </c>
      <c r="O755" s="7">
        <v>0.4</v>
      </c>
    </row>
    <row r="756" spans="1:15" x14ac:dyDescent="0.25">
      <c r="A756" s="6" t="s">
        <v>28</v>
      </c>
      <c r="B756" s="6" t="s">
        <v>296</v>
      </c>
      <c r="C756" s="7">
        <v>32565</v>
      </c>
      <c r="D756" s="6" t="s">
        <v>39</v>
      </c>
      <c r="E756" s="6" t="s">
        <v>179</v>
      </c>
      <c r="F756" s="6" t="s">
        <v>377</v>
      </c>
      <c r="G756" s="6" t="s">
        <v>32</v>
      </c>
      <c r="H756" s="6" t="s">
        <v>19</v>
      </c>
      <c r="I756" s="6" t="s">
        <v>767</v>
      </c>
      <c r="J756" s="6" t="s">
        <v>767</v>
      </c>
      <c r="K756" s="7">
        <v>6127834</v>
      </c>
      <c r="L756" s="7">
        <v>316107</v>
      </c>
      <c r="M756" s="7">
        <v>19</v>
      </c>
      <c r="N756" s="7">
        <v>1</v>
      </c>
      <c r="O756" s="7">
        <v>0.4</v>
      </c>
    </row>
    <row r="757" spans="1:15" x14ac:dyDescent="0.25">
      <c r="A757" s="6" t="s">
        <v>14</v>
      </c>
      <c r="B757" s="6" t="s">
        <v>296</v>
      </c>
      <c r="C757" s="7">
        <v>32569</v>
      </c>
      <c r="D757" s="6" t="s">
        <v>16</v>
      </c>
      <c r="E757" s="6" t="s">
        <v>378</v>
      </c>
      <c r="F757" s="6" t="s">
        <v>378</v>
      </c>
      <c r="G757" s="6" t="s">
        <v>89</v>
      </c>
      <c r="H757" s="6" t="s">
        <v>101</v>
      </c>
      <c r="I757" s="6" t="s">
        <v>767</v>
      </c>
      <c r="J757" s="6" t="s">
        <v>767</v>
      </c>
      <c r="K757" s="7">
        <v>6362058</v>
      </c>
      <c r="L757" s="7">
        <v>292942</v>
      </c>
      <c r="M757" s="7">
        <v>19</v>
      </c>
      <c r="N757" s="7">
        <v>1</v>
      </c>
      <c r="O757" s="7">
        <v>1.01</v>
      </c>
    </row>
    <row r="758" spans="1:15" x14ac:dyDescent="0.25">
      <c r="A758" s="6" t="s">
        <v>28</v>
      </c>
      <c r="B758" s="6" t="s">
        <v>296</v>
      </c>
      <c r="C758" s="7">
        <v>32580</v>
      </c>
      <c r="D758" s="6" t="s">
        <v>39</v>
      </c>
      <c r="E758" s="6" t="s">
        <v>179</v>
      </c>
      <c r="F758" s="6" t="s">
        <v>379</v>
      </c>
      <c r="G758" s="6" t="s">
        <v>32</v>
      </c>
      <c r="H758" s="6" t="s">
        <v>19</v>
      </c>
      <c r="I758" s="6" t="s">
        <v>767</v>
      </c>
      <c r="J758" s="6" t="s">
        <v>767</v>
      </c>
      <c r="K758" s="7">
        <v>6134500</v>
      </c>
      <c r="L758" s="7">
        <v>304938</v>
      </c>
      <c r="M758" s="7">
        <v>19</v>
      </c>
      <c r="N758" s="7">
        <v>1</v>
      </c>
      <c r="O758" s="7">
        <v>0.4</v>
      </c>
    </row>
    <row r="759" spans="1:15" x14ac:dyDescent="0.25">
      <c r="A759" s="6" t="s">
        <v>28</v>
      </c>
      <c r="B759" s="6" t="s">
        <v>296</v>
      </c>
      <c r="C759" s="7">
        <v>32588</v>
      </c>
      <c r="D759" s="6" t="s">
        <v>39</v>
      </c>
      <c r="E759" s="6" t="s">
        <v>179</v>
      </c>
      <c r="F759" s="6" t="s">
        <v>377</v>
      </c>
      <c r="G759" s="6" t="s">
        <v>32</v>
      </c>
      <c r="H759" s="6" t="s">
        <v>153</v>
      </c>
      <c r="I759" s="6" t="s">
        <v>767</v>
      </c>
      <c r="J759" s="6" t="s">
        <v>764</v>
      </c>
      <c r="K759" s="7">
        <v>6127937</v>
      </c>
      <c r="L759" s="7">
        <v>315736</v>
      </c>
      <c r="M759" s="7">
        <v>19</v>
      </c>
      <c r="N759" s="7">
        <v>1</v>
      </c>
      <c r="O759" s="7">
        <v>1.32</v>
      </c>
    </row>
    <row r="760" spans="1:15" x14ac:dyDescent="0.25">
      <c r="A760" s="6" t="s">
        <v>28</v>
      </c>
      <c r="B760" s="6" t="s">
        <v>296</v>
      </c>
      <c r="C760" s="7">
        <v>32603</v>
      </c>
      <c r="D760" s="6" t="s">
        <v>39</v>
      </c>
      <c r="E760" s="6" t="s">
        <v>80</v>
      </c>
      <c r="F760" s="6" t="s">
        <v>380</v>
      </c>
      <c r="G760" s="6" t="s">
        <v>32</v>
      </c>
      <c r="H760" s="6" t="s">
        <v>33</v>
      </c>
      <c r="I760" s="6" t="s">
        <v>767</v>
      </c>
      <c r="J760" s="6" t="s">
        <v>764</v>
      </c>
      <c r="K760" s="7">
        <v>6081105</v>
      </c>
      <c r="L760" s="7">
        <v>284910</v>
      </c>
      <c r="M760" s="7">
        <v>19</v>
      </c>
      <c r="N760" s="7">
        <v>3</v>
      </c>
      <c r="O760" s="7">
        <v>8</v>
      </c>
    </row>
    <row r="761" spans="1:15" x14ac:dyDescent="0.25">
      <c r="A761" s="6" t="s">
        <v>28</v>
      </c>
      <c r="B761" s="6" t="s">
        <v>296</v>
      </c>
      <c r="C761" s="7">
        <v>32607</v>
      </c>
      <c r="D761" s="6" t="s">
        <v>39</v>
      </c>
      <c r="E761" s="6" t="s">
        <v>80</v>
      </c>
      <c r="F761" s="6" t="s">
        <v>362</v>
      </c>
      <c r="G761" s="6" t="s">
        <v>32</v>
      </c>
      <c r="H761" s="6" t="s">
        <v>33</v>
      </c>
      <c r="I761" s="6" t="s">
        <v>767</v>
      </c>
      <c r="J761" s="6" t="s">
        <v>764</v>
      </c>
      <c r="K761" s="7">
        <v>6080633</v>
      </c>
      <c r="L761" s="7">
        <v>283457</v>
      </c>
      <c r="M761" s="7">
        <v>19</v>
      </c>
      <c r="N761" s="7">
        <v>1</v>
      </c>
      <c r="O761" s="7">
        <v>3</v>
      </c>
    </row>
    <row r="762" spans="1:15" x14ac:dyDescent="0.25">
      <c r="A762" s="6" t="s">
        <v>28</v>
      </c>
      <c r="B762" s="6" t="s">
        <v>296</v>
      </c>
      <c r="C762" s="7">
        <v>32613</v>
      </c>
      <c r="D762" s="6" t="s">
        <v>39</v>
      </c>
      <c r="E762" s="6" t="s">
        <v>179</v>
      </c>
      <c r="F762" s="6" t="s">
        <v>163</v>
      </c>
      <c r="G762" s="6" t="s">
        <v>32</v>
      </c>
      <c r="H762" s="6" t="s">
        <v>19</v>
      </c>
      <c r="I762" s="6" t="s">
        <v>767</v>
      </c>
      <c r="J762" s="6" t="s">
        <v>767</v>
      </c>
      <c r="K762" s="7">
        <v>6128292</v>
      </c>
      <c r="L762" s="7">
        <v>308667</v>
      </c>
      <c r="M762" s="7">
        <v>19</v>
      </c>
      <c r="N762" s="7">
        <v>1</v>
      </c>
      <c r="O762" s="7">
        <v>0.61</v>
      </c>
    </row>
    <row r="763" spans="1:15" x14ac:dyDescent="0.25">
      <c r="A763" s="6" t="s">
        <v>28</v>
      </c>
      <c r="B763" s="6" t="s">
        <v>296</v>
      </c>
      <c r="C763" s="7">
        <v>32614</v>
      </c>
      <c r="D763" s="6" t="s">
        <v>39</v>
      </c>
      <c r="E763" s="6" t="s">
        <v>109</v>
      </c>
      <c r="F763" s="6" t="s">
        <v>109</v>
      </c>
      <c r="G763" s="6" t="s">
        <v>32</v>
      </c>
      <c r="H763" s="6" t="s">
        <v>33</v>
      </c>
      <c r="I763" s="6" t="s">
        <v>767</v>
      </c>
      <c r="J763" s="6" t="s">
        <v>767</v>
      </c>
      <c r="K763" s="7">
        <v>6042834</v>
      </c>
      <c r="L763" s="7">
        <v>256737</v>
      </c>
      <c r="M763" s="7">
        <v>19</v>
      </c>
      <c r="N763" s="7">
        <v>1</v>
      </c>
      <c r="O763" s="7">
        <v>7.2</v>
      </c>
    </row>
    <row r="764" spans="1:15" x14ac:dyDescent="0.25">
      <c r="A764" s="6" t="s">
        <v>28</v>
      </c>
      <c r="B764" s="6" t="s">
        <v>296</v>
      </c>
      <c r="C764" s="7">
        <v>32615</v>
      </c>
      <c r="D764" s="6" t="s">
        <v>39</v>
      </c>
      <c r="E764" s="6" t="s">
        <v>53</v>
      </c>
      <c r="F764" s="6" t="s">
        <v>381</v>
      </c>
      <c r="G764" s="6" t="s">
        <v>32</v>
      </c>
      <c r="H764" s="6" t="s">
        <v>19</v>
      </c>
      <c r="I764" s="6" t="s">
        <v>767</v>
      </c>
      <c r="J764" s="6" t="s">
        <v>767</v>
      </c>
      <c r="K764" s="7">
        <v>6129500</v>
      </c>
      <c r="L764" s="7">
        <v>321373</v>
      </c>
      <c r="M764" s="7">
        <v>19</v>
      </c>
      <c r="N764" s="7">
        <v>1</v>
      </c>
      <c r="O764" s="7">
        <v>0.4</v>
      </c>
    </row>
    <row r="765" spans="1:15" x14ac:dyDescent="0.25">
      <c r="A765" s="6" t="s">
        <v>28</v>
      </c>
      <c r="B765" s="6" t="s">
        <v>296</v>
      </c>
      <c r="C765" s="7">
        <v>32616</v>
      </c>
      <c r="D765" s="6" t="s">
        <v>39</v>
      </c>
      <c r="E765" s="6" t="s">
        <v>109</v>
      </c>
      <c r="F765" s="6" t="s">
        <v>109</v>
      </c>
      <c r="G765" s="6" t="s">
        <v>32</v>
      </c>
      <c r="H765" s="6" t="s">
        <v>33</v>
      </c>
      <c r="I765" s="6" t="s">
        <v>767</v>
      </c>
      <c r="J765" s="6" t="s">
        <v>767</v>
      </c>
      <c r="K765" s="7">
        <v>6042420</v>
      </c>
      <c r="L765" s="7">
        <v>256362</v>
      </c>
      <c r="M765" s="7">
        <v>19</v>
      </c>
      <c r="N765" s="7">
        <v>1</v>
      </c>
      <c r="O765" s="7">
        <v>4.8</v>
      </c>
    </row>
    <row r="766" spans="1:15" x14ac:dyDescent="0.25">
      <c r="A766" s="6" t="s">
        <v>28</v>
      </c>
      <c r="B766" s="6" t="s">
        <v>296</v>
      </c>
      <c r="C766" s="7">
        <v>32638</v>
      </c>
      <c r="D766" s="6" t="s">
        <v>39</v>
      </c>
      <c r="E766" s="6" t="s">
        <v>70</v>
      </c>
      <c r="F766" s="6" t="s">
        <v>92</v>
      </c>
      <c r="G766" s="6" t="s">
        <v>32</v>
      </c>
      <c r="H766" s="6" t="s">
        <v>33</v>
      </c>
      <c r="I766" s="6" t="s">
        <v>767</v>
      </c>
      <c r="J766" s="6" t="s">
        <v>764</v>
      </c>
      <c r="K766" s="7">
        <v>6074231</v>
      </c>
      <c r="L766" s="7">
        <v>269460</v>
      </c>
      <c r="M766" s="7">
        <v>19</v>
      </c>
      <c r="N766" s="7">
        <v>3</v>
      </c>
      <c r="O766" s="7">
        <v>38</v>
      </c>
    </row>
    <row r="767" spans="1:15" x14ac:dyDescent="0.25">
      <c r="A767" s="6" t="s">
        <v>28</v>
      </c>
      <c r="B767" s="6" t="s">
        <v>296</v>
      </c>
      <c r="C767" s="7">
        <v>32644</v>
      </c>
      <c r="D767" s="6" t="s">
        <v>39</v>
      </c>
      <c r="E767" s="6" t="s">
        <v>53</v>
      </c>
      <c r="F767" s="6" t="s">
        <v>381</v>
      </c>
      <c r="G767" s="6" t="s">
        <v>32</v>
      </c>
      <c r="H767" s="6" t="s">
        <v>153</v>
      </c>
      <c r="I767" s="6" t="s">
        <v>767</v>
      </c>
      <c r="J767" s="6" t="s">
        <v>764</v>
      </c>
      <c r="K767" s="7">
        <v>6129500</v>
      </c>
      <c r="L767" s="7">
        <v>321373</v>
      </c>
      <c r="M767" s="7">
        <v>19</v>
      </c>
      <c r="N767" s="7">
        <v>1</v>
      </c>
      <c r="O767" s="7">
        <v>0.31</v>
      </c>
    </row>
    <row r="768" spans="1:15" x14ac:dyDescent="0.25">
      <c r="A768" s="6" t="s">
        <v>14</v>
      </c>
      <c r="B768" s="6" t="s">
        <v>296</v>
      </c>
      <c r="C768" s="7">
        <v>32695</v>
      </c>
      <c r="D768" s="6" t="s">
        <v>42</v>
      </c>
      <c r="E768" s="6" t="s">
        <v>196</v>
      </c>
      <c r="F768" s="6" t="s">
        <v>203</v>
      </c>
      <c r="G768" s="6" t="s">
        <v>32</v>
      </c>
      <c r="H768" s="6" t="s">
        <v>33</v>
      </c>
      <c r="I768" s="6" t="s">
        <v>767</v>
      </c>
      <c r="J768" s="6" t="s">
        <v>764</v>
      </c>
      <c r="K768" s="7">
        <v>6219649</v>
      </c>
      <c r="L768" s="7">
        <v>335515</v>
      </c>
      <c r="M768" s="7">
        <v>19</v>
      </c>
      <c r="N768" s="7">
        <v>1</v>
      </c>
      <c r="O768" s="7">
        <v>24</v>
      </c>
    </row>
    <row r="769" spans="1:15" x14ac:dyDescent="0.25">
      <c r="A769" s="6" t="s">
        <v>14</v>
      </c>
      <c r="B769" s="6" t="s">
        <v>296</v>
      </c>
      <c r="C769" s="7">
        <v>32702</v>
      </c>
      <c r="D769" s="6" t="s">
        <v>42</v>
      </c>
      <c r="E769" s="6" t="s">
        <v>196</v>
      </c>
      <c r="F769" s="6" t="s">
        <v>382</v>
      </c>
      <c r="G769" s="6" t="s">
        <v>32</v>
      </c>
      <c r="H769" s="6" t="s">
        <v>33</v>
      </c>
      <c r="I769" s="6" t="s">
        <v>767</v>
      </c>
      <c r="J769" s="6" t="s">
        <v>764</v>
      </c>
      <c r="K769" s="7">
        <v>6223093</v>
      </c>
      <c r="L769" s="7">
        <v>337084</v>
      </c>
      <c r="M769" s="7">
        <v>19</v>
      </c>
      <c r="N769" s="7">
        <v>1</v>
      </c>
      <c r="O769" s="7">
        <v>5.6</v>
      </c>
    </row>
    <row r="770" spans="1:15" x14ac:dyDescent="0.25">
      <c r="A770" s="6" t="s">
        <v>28</v>
      </c>
      <c r="B770" s="6" t="s">
        <v>296</v>
      </c>
      <c r="C770" s="7">
        <v>32704</v>
      </c>
      <c r="D770" s="6" t="s">
        <v>39</v>
      </c>
      <c r="E770" s="6" t="s">
        <v>87</v>
      </c>
      <c r="F770" s="6" t="s">
        <v>383</v>
      </c>
      <c r="G770" s="6" t="s">
        <v>32</v>
      </c>
      <c r="H770" s="6" t="s">
        <v>162</v>
      </c>
      <c r="I770" s="6" t="s">
        <v>767</v>
      </c>
      <c r="J770" s="6" t="s">
        <v>764</v>
      </c>
      <c r="K770" s="7">
        <v>6097535</v>
      </c>
      <c r="L770" s="7">
        <v>282873</v>
      </c>
      <c r="M770" s="7">
        <v>19</v>
      </c>
      <c r="N770" s="7">
        <v>1</v>
      </c>
      <c r="O770" s="7">
        <v>3.4</v>
      </c>
    </row>
    <row r="771" spans="1:15" x14ac:dyDescent="0.25">
      <c r="A771" s="6" t="s">
        <v>14</v>
      </c>
      <c r="B771" s="6" t="s">
        <v>296</v>
      </c>
      <c r="C771" s="7">
        <v>32812</v>
      </c>
      <c r="D771" s="6" t="s">
        <v>42</v>
      </c>
      <c r="E771" s="6" t="s">
        <v>196</v>
      </c>
      <c r="F771" s="6" t="s">
        <v>384</v>
      </c>
      <c r="G771" s="6" t="s">
        <v>32</v>
      </c>
      <c r="H771" s="6" t="s">
        <v>33</v>
      </c>
      <c r="I771" s="6" t="s">
        <v>767</v>
      </c>
      <c r="J771" s="6" t="s">
        <v>764</v>
      </c>
      <c r="K771" s="7">
        <v>6221426</v>
      </c>
      <c r="L771" s="7">
        <v>338376</v>
      </c>
      <c r="M771" s="7">
        <v>19</v>
      </c>
      <c r="N771" s="7">
        <v>1</v>
      </c>
      <c r="O771" s="7">
        <v>2.5</v>
      </c>
    </row>
    <row r="772" spans="1:15" x14ac:dyDescent="0.25">
      <c r="A772" s="6" t="s">
        <v>28</v>
      </c>
      <c r="B772" s="6" t="s">
        <v>296</v>
      </c>
      <c r="C772" s="7">
        <v>32814</v>
      </c>
      <c r="D772" s="6" t="s">
        <v>39</v>
      </c>
      <c r="E772" s="6" t="s">
        <v>83</v>
      </c>
      <c r="F772" s="6" t="s">
        <v>385</v>
      </c>
      <c r="G772" s="6" t="s">
        <v>32</v>
      </c>
      <c r="H772" s="6" t="s">
        <v>33</v>
      </c>
      <c r="I772" s="6" t="s">
        <v>767</v>
      </c>
      <c r="J772" s="6" t="s">
        <v>764</v>
      </c>
      <c r="K772" s="7">
        <v>6084758</v>
      </c>
      <c r="L772" s="7">
        <v>265269</v>
      </c>
      <c r="M772" s="7">
        <v>19</v>
      </c>
      <c r="N772" s="7">
        <v>3</v>
      </c>
      <c r="O772" s="7">
        <v>20</v>
      </c>
    </row>
    <row r="773" spans="1:15" x14ac:dyDescent="0.25">
      <c r="A773" s="6" t="s">
        <v>28</v>
      </c>
      <c r="B773" s="6" t="s">
        <v>296</v>
      </c>
      <c r="C773" s="7">
        <v>32821</v>
      </c>
      <c r="D773" s="6" t="s">
        <v>39</v>
      </c>
      <c r="E773" s="6" t="s">
        <v>386</v>
      </c>
      <c r="F773" s="6" t="s">
        <v>387</v>
      </c>
      <c r="G773" s="6" t="s">
        <v>32</v>
      </c>
      <c r="H773" s="6" t="s">
        <v>33</v>
      </c>
      <c r="I773" s="6" t="s">
        <v>767</v>
      </c>
      <c r="J773" s="6" t="s">
        <v>764</v>
      </c>
      <c r="K773" s="7">
        <v>6137640</v>
      </c>
      <c r="L773" s="7">
        <v>292153</v>
      </c>
      <c r="M773" s="7">
        <v>19</v>
      </c>
      <c r="N773" s="7">
        <v>1</v>
      </c>
      <c r="O773" s="7">
        <v>4.5</v>
      </c>
    </row>
    <row r="774" spans="1:15" x14ac:dyDescent="0.25">
      <c r="A774" s="6" t="s">
        <v>28</v>
      </c>
      <c r="B774" s="6" t="s">
        <v>296</v>
      </c>
      <c r="C774" s="7">
        <v>32824</v>
      </c>
      <c r="D774" s="6" t="s">
        <v>39</v>
      </c>
      <c r="E774" s="6" t="s">
        <v>80</v>
      </c>
      <c r="F774" s="6" t="s">
        <v>363</v>
      </c>
      <c r="G774" s="6" t="s">
        <v>32</v>
      </c>
      <c r="H774" s="6" t="s">
        <v>33</v>
      </c>
      <c r="I774" s="6" t="s">
        <v>767</v>
      </c>
      <c r="J774" s="6" t="s">
        <v>767</v>
      </c>
      <c r="K774" s="7">
        <v>6082616</v>
      </c>
      <c r="L774" s="7">
        <v>282436</v>
      </c>
      <c r="M774" s="7">
        <v>19</v>
      </c>
      <c r="N774" s="7">
        <v>2</v>
      </c>
      <c r="O774" s="7">
        <v>22</v>
      </c>
    </row>
    <row r="775" spans="1:15" x14ac:dyDescent="0.25">
      <c r="A775" s="6" t="s">
        <v>28</v>
      </c>
      <c r="B775" s="6" t="s">
        <v>296</v>
      </c>
      <c r="C775" s="7">
        <v>32827</v>
      </c>
      <c r="D775" s="6" t="s">
        <v>39</v>
      </c>
      <c r="E775" s="6" t="s">
        <v>310</v>
      </c>
      <c r="F775" s="6" t="s">
        <v>388</v>
      </c>
      <c r="G775" s="6" t="s">
        <v>32</v>
      </c>
      <c r="H775" s="6" t="s">
        <v>33</v>
      </c>
      <c r="I775" s="6" t="s">
        <v>767</v>
      </c>
      <c r="J775" s="6" t="s">
        <v>767</v>
      </c>
      <c r="K775" s="7">
        <v>6112587</v>
      </c>
      <c r="L775" s="7">
        <v>288215</v>
      </c>
      <c r="M775" s="7">
        <v>19</v>
      </c>
      <c r="N775" s="7">
        <v>1</v>
      </c>
      <c r="O775" s="7">
        <v>27</v>
      </c>
    </row>
    <row r="776" spans="1:15" x14ac:dyDescent="0.25">
      <c r="A776" s="6" t="s">
        <v>28</v>
      </c>
      <c r="B776" s="6" t="s">
        <v>296</v>
      </c>
      <c r="C776" s="7">
        <v>32832</v>
      </c>
      <c r="D776" s="6" t="s">
        <v>39</v>
      </c>
      <c r="E776" s="6" t="s">
        <v>83</v>
      </c>
      <c r="F776" s="6" t="s">
        <v>83</v>
      </c>
      <c r="G776" s="6" t="s">
        <v>32</v>
      </c>
      <c r="H776" s="6" t="s">
        <v>33</v>
      </c>
      <c r="I776" s="6" t="s">
        <v>767</v>
      </c>
      <c r="J776" s="6" t="s">
        <v>764</v>
      </c>
      <c r="K776" s="7">
        <v>6087913</v>
      </c>
      <c r="L776" s="7">
        <v>272041</v>
      </c>
      <c r="M776" s="7">
        <v>19</v>
      </c>
      <c r="N776" s="7">
        <v>5</v>
      </c>
      <c r="O776" s="7">
        <v>20</v>
      </c>
    </row>
    <row r="777" spans="1:15" x14ac:dyDescent="0.25">
      <c r="A777" s="6" t="s">
        <v>28</v>
      </c>
      <c r="B777" s="6" t="s">
        <v>296</v>
      </c>
      <c r="C777" s="7">
        <v>32893</v>
      </c>
      <c r="D777" s="6" t="s">
        <v>39</v>
      </c>
      <c r="E777" s="6" t="s">
        <v>310</v>
      </c>
      <c r="F777" s="6" t="s">
        <v>388</v>
      </c>
      <c r="G777" s="6" t="s">
        <v>32</v>
      </c>
      <c r="H777" s="6" t="s">
        <v>33</v>
      </c>
      <c r="I777" s="6" t="s">
        <v>767</v>
      </c>
      <c r="J777" s="6" t="s">
        <v>767</v>
      </c>
      <c r="K777" s="7">
        <v>6111765</v>
      </c>
      <c r="L777" s="7">
        <v>288096</v>
      </c>
      <c r="M777" s="7">
        <v>19</v>
      </c>
      <c r="N777" s="7">
        <v>3</v>
      </c>
      <c r="O777" s="7">
        <v>15</v>
      </c>
    </row>
    <row r="778" spans="1:15" x14ac:dyDescent="0.25">
      <c r="A778" s="6" t="s">
        <v>28</v>
      </c>
      <c r="B778" s="6" t="s">
        <v>296</v>
      </c>
      <c r="C778" s="7">
        <v>32908</v>
      </c>
      <c r="D778" s="6" t="s">
        <v>39</v>
      </c>
      <c r="E778" s="6" t="s">
        <v>310</v>
      </c>
      <c r="F778" s="6" t="s">
        <v>388</v>
      </c>
      <c r="G778" s="6" t="s">
        <v>32</v>
      </c>
      <c r="H778" s="6" t="s">
        <v>33</v>
      </c>
      <c r="I778" s="6" t="s">
        <v>767</v>
      </c>
      <c r="J778" s="6" t="s">
        <v>767</v>
      </c>
      <c r="K778" s="7">
        <v>6113263</v>
      </c>
      <c r="L778" s="7">
        <v>287752</v>
      </c>
      <c r="M778" s="7">
        <v>19</v>
      </c>
      <c r="N778" s="7">
        <v>1</v>
      </c>
      <c r="O778" s="7">
        <v>12</v>
      </c>
    </row>
    <row r="779" spans="1:15" x14ac:dyDescent="0.25">
      <c r="A779" s="6" t="s">
        <v>28</v>
      </c>
      <c r="B779" s="6" t="s">
        <v>296</v>
      </c>
      <c r="C779" s="7">
        <v>32912</v>
      </c>
      <c r="D779" s="6" t="s">
        <v>39</v>
      </c>
      <c r="E779" s="6" t="s">
        <v>310</v>
      </c>
      <c r="F779" s="6" t="s">
        <v>388</v>
      </c>
      <c r="G779" s="6" t="s">
        <v>32</v>
      </c>
      <c r="H779" s="6" t="s">
        <v>33</v>
      </c>
      <c r="I779" s="6" t="s">
        <v>767</v>
      </c>
      <c r="J779" s="6" t="s">
        <v>767</v>
      </c>
      <c r="K779" s="7">
        <v>6110275</v>
      </c>
      <c r="L779" s="7">
        <v>287997</v>
      </c>
      <c r="M779" s="7">
        <v>19</v>
      </c>
      <c r="N779" s="7">
        <v>2</v>
      </c>
      <c r="O779" s="7">
        <v>6</v>
      </c>
    </row>
    <row r="780" spans="1:15" x14ac:dyDescent="0.25">
      <c r="A780" s="6" t="s">
        <v>28</v>
      </c>
      <c r="B780" s="6" t="s">
        <v>296</v>
      </c>
      <c r="C780" s="7">
        <v>32914</v>
      </c>
      <c r="D780" s="6" t="s">
        <v>39</v>
      </c>
      <c r="E780" s="6" t="s">
        <v>386</v>
      </c>
      <c r="F780" s="6" t="s">
        <v>389</v>
      </c>
      <c r="G780" s="6" t="s">
        <v>32</v>
      </c>
      <c r="H780" s="6" t="s">
        <v>33</v>
      </c>
      <c r="I780" s="6" t="s">
        <v>767</v>
      </c>
      <c r="J780" s="6" t="s">
        <v>764</v>
      </c>
      <c r="K780" s="7">
        <v>6137826</v>
      </c>
      <c r="L780" s="7">
        <v>292212</v>
      </c>
      <c r="M780" s="7">
        <v>19</v>
      </c>
      <c r="N780" s="7">
        <v>2</v>
      </c>
      <c r="O780" s="7">
        <v>12</v>
      </c>
    </row>
    <row r="781" spans="1:15" x14ac:dyDescent="0.25">
      <c r="A781" s="6" t="s">
        <v>28</v>
      </c>
      <c r="B781" s="6" t="s">
        <v>296</v>
      </c>
      <c r="C781" s="7">
        <v>32925</v>
      </c>
      <c r="D781" s="6" t="s">
        <v>39</v>
      </c>
      <c r="E781" s="6" t="s">
        <v>53</v>
      </c>
      <c r="F781" s="6" t="s">
        <v>390</v>
      </c>
      <c r="G781" s="6" t="s">
        <v>32</v>
      </c>
      <c r="H781" s="6" t="s">
        <v>33</v>
      </c>
      <c r="I781" s="6" t="s">
        <v>767</v>
      </c>
      <c r="J781" s="6" t="s">
        <v>764</v>
      </c>
      <c r="K781" s="7">
        <v>6135749</v>
      </c>
      <c r="L781" s="7">
        <v>313807</v>
      </c>
      <c r="M781" s="7">
        <v>19</v>
      </c>
      <c r="N781" s="7">
        <v>1</v>
      </c>
      <c r="O781" s="7">
        <v>7</v>
      </c>
    </row>
    <row r="782" spans="1:15" x14ac:dyDescent="0.25">
      <c r="A782" s="6" t="s">
        <v>28</v>
      </c>
      <c r="B782" s="6" t="s">
        <v>296</v>
      </c>
      <c r="C782" s="7">
        <v>32929</v>
      </c>
      <c r="D782" s="6" t="s">
        <v>39</v>
      </c>
      <c r="E782" s="6" t="s">
        <v>41</v>
      </c>
      <c r="F782" s="6" t="s">
        <v>391</v>
      </c>
      <c r="G782" s="6" t="s">
        <v>32</v>
      </c>
      <c r="H782" s="6" t="s">
        <v>33</v>
      </c>
      <c r="I782" s="6" t="s">
        <v>767</v>
      </c>
      <c r="J782" s="6" t="s">
        <v>764</v>
      </c>
      <c r="K782" s="7">
        <v>6125523</v>
      </c>
      <c r="L782" s="7">
        <v>281799</v>
      </c>
      <c r="M782" s="7">
        <v>19</v>
      </c>
      <c r="N782" s="7">
        <v>1</v>
      </c>
      <c r="O782" s="7">
        <v>4.5999999999999996</v>
      </c>
    </row>
    <row r="783" spans="1:15" x14ac:dyDescent="0.25">
      <c r="A783" s="6" t="s">
        <v>28</v>
      </c>
      <c r="B783" s="6" t="s">
        <v>296</v>
      </c>
      <c r="C783" s="7">
        <v>32935</v>
      </c>
      <c r="D783" s="6" t="s">
        <v>39</v>
      </c>
      <c r="E783" s="6" t="s">
        <v>53</v>
      </c>
      <c r="F783" s="6" t="s">
        <v>190</v>
      </c>
      <c r="G783" s="6" t="s">
        <v>32</v>
      </c>
      <c r="H783" s="6" t="s">
        <v>33</v>
      </c>
      <c r="I783" s="6" t="s">
        <v>767</v>
      </c>
      <c r="J783" s="6" t="s">
        <v>764</v>
      </c>
      <c r="K783" s="7">
        <v>6128320</v>
      </c>
      <c r="L783" s="7">
        <v>323386</v>
      </c>
      <c r="M783" s="7">
        <v>19</v>
      </c>
      <c r="N783" s="7">
        <v>3</v>
      </c>
      <c r="O783" s="7">
        <v>25</v>
      </c>
    </row>
    <row r="784" spans="1:15" x14ac:dyDescent="0.25">
      <c r="A784" s="6" t="s">
        <v>28</v>
      </c>
      <c r="B784" s="6" t="s">
        <v>296</v>
      </c>
      <c r="C784" s="7">
        <v>33102</v>
      </c>
      <c r="D784" s="6" t="s">
        <v>39</v>
      </c>
      <c r="E784" s="6" t="s">
        <v>41</v>
      </c>
      <c r="F784" s="6" t="s">
        <v>41</v>
      </c>
      <c r="G784" s="6" t="s">
        <v>32</v>
      </c>
      <c r="H784" s="6" t="s">
        <v>33</v>
      </c>
      <c r="I784" s="6" t="s">
        <v>767</v>
      </c>
      <c r="J784" s="6" t="s">
        <v>764</v>
      </c>
      <c r="K784" s="7">
        <v>6119898</v>
      </c>
      <c r="L784" s="7">
        <v>276909</v>
      </c>
      <c r="M784" s="7">
        <v>19</v>
      </c>
      <c r="N784" s="7">
        <v>1</v>
      </c>
      <c r="O784" s="7">
        <v>5.5</v>
      </c>
    </row>
    <row r="785" spans="1:15" x14ac:dyDescent="0.25">
      <c r="A785" s="6" t="s">
        <v>28</v>
      </c>
      <c r="B785" s="6" t="s">
        <v>296</v>
      </c>
      <c r="C785" s="7">
        <v>33115</v>
      </c>
      <c r="D785" s="6" t="s">
        <v>39</v>
      </c>
      <c r="E785" s="6" t="s">
        <v>310</v>
      </c>
      <c r="F785" s="6" t="s">
        <v>388</v>
      </c>
      <c r="G785" s="6" t="s">
        <v>32</v>
      </c>
      <c r="H785" s="6" t="s">
        <v>33</v>
      </c>
      <c r="I785" s="6" t="s">
        <v>767</v>
      </c>
      <c r="J785" s="6" t="s">
        <v>767</v>
      </c>
      <c r="K785" s="7">
        <v>6111475</v>
      </c>
      <c r="L785" s="7">
        <v>287807</v>
      </c>
      <c r="M785" s="7">
        <v>19</v>
      </c>
      <c r="N785" s="7">
        <v>2</v>
      </c>
      <c r="O785" s="7">
        <v>4</v>
      </c>
    </row>
    <row r="786" spans="1:15" x14ac:dyDescent="0.25">
      <c r="A786" s="6" t="s">
        <v>28</v>
      </c>
      <c r="B786" s="6" t="s">
        <v>296</v>
      </c>
      <c r="C786" s="7">
        <v>33117</v>
      </c>
      <c r="D786" s="6" t="s">
        <v>39</v>
      </c>
      <c r="E786" s="6" t="s">
        <v>310</v>
      </c>
      <c r="F786" s="6" t="s">
        <v>388</v>
      </c>
      <c r="G786" s="6" t="s">
        <v>32</v>
      </c>
      <c r="H786" s="6" t="s">
        <v>33</v>
      </c>
      <c r="I786" s="6" t="s">
        <v>767</v>
      </c>
      <c r="J786" s="6" t="s">
        <v>767</v>
      </c>
      <c r="K786" s="7">
        <v>6111275</v>
      </c>
      <c r="L786" s="7">
        <v>287997</v>
      </c>
      <c r="M786" s="7">
        <v>19</v>
      </c>
      <c r="N786" s="7">
        <v>2</v>
      </c>
      <c r="O786" s="7">
        <v>12</v>
      </c>
    </row>
    <row r="787" spans="1:15" x14ac:dyDescent="0.25">
      <c r="A787" s="6" t="s">
        <v>28</v>
      </c>
      <c r="B787" s="6" t="s">
        <v>296</v>
      </c>
      <c r="C787" s="7">
        <v>33120</v>
      </c>
      <c r="D787" s="6" t="s">
        <v>16</v>
      </c>
      <c r="E787" s="6" t="s">
        <v>332</v>
      </c>
      <c r="F787" s="6" t="s">
        <v>352</v>
      </c>
      <c r="G787" s="6" t="s">
        <v>32</v>
      </c>
      <c r="H787" s="6" t="s">
        <v>19</v>
      </c>
      <c r="I787" s="6" t="s">
        <v>767</v>
      </c>
      <c r="J787" s="6" t="s">
        <v>767</v>
      </c>
      <c r="K787" s="7">
        <v>6362551</v>
      </c>
      <c r="L787" s="7">
        <v>318986</v>
      </c>
      <c r="M787" s="7">
        <v>19</v>
      </c>
      <c r="N787" s="7">
        <v>2</v>
      </c>
      <c r="O787" s="7">
        <v>1.62</v>
      </c>
    </row>
    <row r="788" spans="1:15" x14ac:dyDescent="0.25">
      <c r="A788" s="6" t="s">
        <v>28</v>
      </c>
      <c r="B788" s="6" t="s">
        <v>296</v>
      </c>
      <c r="C788" s="7">
        <v>33129</v>
      </c>
      <c r="D788" s="6" t="s">
        <v>39</v>
      </c>
      <c r="E788" s="6" t="s">
        <v>72</v>
      </c>
      <c r="F788" s="6" t="s">
        <v>203</v>
      </c>
      <c r="G788" s="6" t="s">
        <v>32</v>
      </c>
      <c r="H788" s="6" t="s">
        <v>33</v>
      </c>
      <c r="I788" s="6" t="s">
        <v>767</v>
      </c>
      <c r="J788" s="6" t="s">
        <v>767</v>
      </c>
      <c r="K788" s="7">
        <v>6072166</v>
      </c>
      <c r="L788" s="7">
        <v>275242</v>
      </c>
      <c r="M788" s="7">
        <v>19</v>
      </c>
      <c r="N788" s="7">
        <v>3</v>
      </c>
      <c r="O788" s="7">
        <v>18</v>
      </c>
    </row>
    <row r="789" spans="1:15" x14ac:dyDescent="0.25">
      <c r="A789" s="6" t="s">
        <v>28</v>
      </c>
      <c r="B789" s="6" t="s">
        <v>296</v>
      </c>
      <c r="C789" s="7">
        <v>33132</v>
      </c>
      <c r="D789" s="6" t="s">
        <v>39</v>
      </c>
      <c r="E789" s="6" t="s">
        <v>72</v>
      </c>
      <c r="F789" s="6" t="s">
        <v>326</v>
      </c>
      <c r="G789" s="6" t="s">
        <v>32</v>
      </c>
      <c r="H789" s="6" t="s">
        <v>33</v>
      </c>
      <c r="I789" s="6" t="s">
        <v>767</v>
      </c>
      <c r="J789" s="6" t="s">
        <v>767</v>
      </c>
      <c r="K789" s="7">
        <v>6075470</v>
      </c>
      <c r="L789" s="7">
        <v>276162</v>
      </c>
      <c r="M789" s="7">
        <v>19</v>
      </c>
      <c r="N789" s="7">
        <v>1</v>
      </c>
      <c r="O789" s="7">
        <v>10</v>
      </c>
    </row>
    <row r="790" spans="1:15" x14ac:dyDescent="0.25">
      <c r="A790" s="6" t="s">
        <v>28</v>
      </c>
      <c r="B790" s="6" t="s">
        <v>296</v>
      </c>
      <c r="C790" s="7">
        <v>33136</v>
      </c>
      <c r="D790" s="6" t="s">
        <v>16</v>
      </c>
      <c r="E790" s="6" t="s">
        <v>392</v>
      </c>
      <c r="F790" s="6" t="s">
        <v>393</v>
      </c>
      <c r="G790" s="6" t="s">
        <v>32</v>
      </c>
      <c r="H790" s="6" t="s">
        <v>19</v>
      </c>
      <c r="I790" s="6" t="s">
        <v>767</v>
      </c>
      <c r="J790" s="6" t="s">
        <v>767</v>
      </c>
      <c r="K790" s="7">
        <v>6381466</v>
      </c>
      <c r="L790" s="7">
        <v>317236</v>
      </c>
      <c r="M790" s="7">
        <v>19</v>
      </c>
      <c r="N790" s="7">
        <v>1</v>
      </c>
      <c r="O790" s="7">
        <v>1.47</v>
      </c>
    </row>
    <row r="791" spans="1:15" x14ac:dyDescent="0.25">
      <c r="A791" s="6" t="s">
        <v>28</v>
      </c>
      <c r="B791" s="6" t="s">
        <v>296</v>
      </c>
      <c r="C791" s="7">
        <v>33144</v>
      </c>
      <c r="D791" s="6" t="s">
        <v>39</v>
      </c>
      <c r="E791" s="6" t="s">
        <v>87</v>
      </c>
      <c r="F791" s="6" t="s">
        <v>394</v>
      </c>
      <c r="G791" s="6" t="s">
        <v>32</v>
      </c>
      <c r="H791" s="6" t="s">
        <v>33</v>
      </c>
      <c r="I791" s="6" t="s">
        <v>767</v>
      </c>
      <c r="J791" s="6" t="s">
        <v>764</v>
      </c>
      <c r="K791" s="7">
        <v>6107764</v>
      </c>
      <c r="L791" s="7">
        <v>287260</v>
      </c>
      <c r="M791" s="7">
        <v>19</v>
      </c>
      <c r="N791" s="7">
        <v>1</v>
      </c>
      <c r="O791" s="7">
        <v>33</v>
      </c>
    </row>
    <row r="792" spans="1:15" x14ac:dyDescent="0.25">
      <c r="A792" s="6" t="s">
        <v>28</v>
      </c>
      <c r="B792" s="6" t="s">
        <v>296</v>
      </c>
      <c r="C792" s="7">
        <v>33174</v>
      </c>
      <c r="D792" s="6" t="s">
        <v>39</v>
      </c>
      <c r="E792" s="6" t="s">
        <v>80</v>
      </c>
      <c r="F792" s="6" t="s">
        <v>313</v>
      </c>
      <c r="G792" s="6" t="s">
        <v>32</v>
      </c>
      <c r="H792" s="6" t="s">
        <v>19</v>
      </c>
      <c r="I792" s="6" t="s">
        <v>767</v>
      </c>
      <c r="J792" s="6" t="s">
        <v>767</v>
      </c>
      <c r="K792" s="7">
        <v>6087786</v>
      </c>
      <c r="L792" s="7">
        <v>286072</v>
      </c>
      <c r="M792" s="7">
        <v>19</v>
      </c>
      <c r="N792" s="7">
        <v>1</v>
      </c>
      <c r="O792" s="7">
        <v>3</v>
      </c>
    </row>
    <row r="793" spans="1:15" x14ac:dyDescent="0.25">
      <c r="A793" s="6" t="s">
        <v>28</v>
      </c>
      <c r="B793" s="6" t="s">
        <v>296</v>
      </c>
      <c r="C793" s="7">
        <v>33185</v>
      </c>
      <c r="D793" s="6" t="s">
        <v>39</v>
      </c>
      <c r="E793" s="6" t="s">
        <v>72</v>
      </c>
      <c r="F793" s="6" t="s">
        <v>395</v>
      </c>
      <c r="G793" s="6" t="s">
        <v>32</v>
      </c>
      <c r="H793" s="6" t="s">
        <v>33</v>
      </c>
      <c r="I793" s="6" t="s">
        <v>767</v>
      </c>
      <c r="J793" s="6" t="s">
        <v>764</v>
      </c>
      <c r="K793" s="7">
        <v>6061944</v>
      </c>
      <c r="L793" s="7">
        <v>281091</v>
      </c>
      <c r="M793" s="7">
        <v>19</v>
      </c>
      <c r="N793" s="7">
        <v>3</v>
      </c>
      <c r="O793" s="7">
        <v>22.4</v>
      </c>
    </row>
    <row r="794" spans="1:15" x14ac:dyDescent="0.25">
      <c r="A794" s="6" t="s">
        <v>28</v>
      </c>
      <c r="B794" s="6" t="s">
        <v>296</v>
      </c>
      <c r="C794" s="7">
        <v>33187</v>
      </c>
      <c r="D794" s="6" t="s">
        <v>39</v>
      </c>
      <c r="E794" s="6" t="s">
        <v>83</v>
      </c>
      <c r="F794" s="6" t="s">
        <v>371</v>
      </c>
      <c r="G794" s="6" t="s">
        <v>32</v>
      </c>
      <c r="H794" s="6" t="s">
        <v>19</v>
      </c>
      <c r="I794" s="6" t="s">
        <v>767</v>
      </c>
      <c r="J794" s="6" t="s">
        <v>767</v>
      </c>
      <c r="K794" s="7">
        <v>6087032</v>
      </c>
      <c r="L794" s="7">
        <v>270649</v>
      </c>
      <c r="M794" s="7">
        <v>19</v>
      </c>
      <c r="N794" s="7">
        <v>1</v>
      </c>
      <c r="O794" s="7">
        <v>3.1</v>
      </c>
    </row>
    <row r="795" spans="1:15" x14ac:dyDescent="0.25">
      <c r="A795" s="6" t="s">
        <v>28</v>
      </c>
      <c r="B795" s="6" t="s">
        <v>296</v>
      </c>
      <c r="C795" s="7">
        <v>33190</v>
      </c>
      <c r="D795" s="6" t="s">
        <v>39</v>
      </c>
      <c r="E795" s="6" t="s">
        <v>72</v>
      </c>
      <c r="F795" s="6" t="s">
        <v>396</v>
      </c>
      <c r="G795" s="6" t="s">
        <v>32</v>
      </c>
      <c r="H795" s="6" t="s">
        <v>33</v>
      </c>
      <c r="I795" s="6" t="s">
        <v>767</v>
      </c>
      <c r="J795" s="6" t="s">
        <v>767</v>
      </c>
      <c r="K795" s="7">
        <v>6061793</v>
      </c>
      <c r="L795" s="7">
        <v>281796</v>
      </c>
      <c r="M795" s="7">
        <v>19</v>
      </c>
      <c r="N795" s="7">
        <v>2</v>
      </c>
      <c r="O795" s="7">
        <v>10</v>
      </c>
    </row>
    <row r="796" spans="1:15" x14ac:dyDescent="0.25">
      <c r="A796" s="6" t="s">
        <v>28</v>
      </c>
      <c r="B796" s="6" t="s">
        <v>296</v>
      </c>
      <c r="C796" s="7">
        <v>33196</v>
      </c>
      <c r="D796" s="6" t="s">
        <v>39</v>
      </c>
      <c r="E796" s="6" t="s">
        <v>87</v>
      </c>
      <c r="F796" s="6" t="s">
        <v>182</v>
      </c>
      <c r="G796" s="6" t="s">
        <v>32</v>
      </c>
      <c r="H796" s="6" t="s">
        <v>19</v>
      </c>
      <c r="I796" s="6" t="s">
        <v>767</v>
      </c>
      <c r="J796" s="6" t="s">
        <v>767</v>
      </c>
      <c r="K796" s="7">
        <v>6094889</v>
      </c>
      <c r="L796" s="7">
        <v>296298</v>
      </c>
      <c r="M796" s="7">
        <v>19</v>
      </c>
      <c r="N796" s="7">
        <v>1</v>
      </c>
      <c r="O796" s="7">
        <v>2</v>
      </c>
    </row>
    <row r="797" spans="1:15" x14ac:dyDescent="0.25">
      <c r="A797" s="6" t="s">
        <v>28</v>
      </c>
      <c r="B797" s="6" t="s">
        <v>296</v>
      </c>
      <c r="C797" s="7">
        <v>33221</v>
      </c>
      <c r="D797" s="6" t="s">
        <v>39</v>
      </c>
      <c r="E797" s="6" t="s">
        <v>80</v>
      </c>
      <c r="F797" s="6" t="s">
        <v>397</v>
      </c>
      <c r="G797" s="6" t="s">
        <v>32</v>
      </c>
      <c r="H797" s="6" t="s">
        <v>19</v>
      </c>
      <c r="I797" s="6" t="s">
        <v>767</v>
      </c>
      <c r="J797" s="6" t="s">
        <v>767</v>
      </c>
      <c r="K797" s="7">
        <v>6082928</v>
      </c>
      <c r="L797" s="7">
        <v>278030</v>
      </c>
      <c r="M797" s="7">
        <v>19</v>
      </c>
      <c r="N797" s="7">
        <v>1</v>
      </c>
      <c r="O797" s="7">
        <v>2.06</v>
      </c>
    </row>
    <row r="798" spans="1:15" x14ac:dyDescent="0.25">
      <c r="A798" s="6" t="s">
        <v>28</v>
      </c>
      <c r="B798" s="6" t="s">
        <v>296</v>
      </c>
      <c r="C798" s="7">
        <v>33239</v>
      </c>
      <c r="D798" s="6" t="s">
        <v>39</v>
      </c>
      <c r="E798" s="6" t="s">
        <v>83</v>
      </c>
      <c r="F798" s="6" t="s">
        <v>337</v>
      </c>
      <c r="G798" s="6" t="s">
        <v>32</v>
      </c>
      <c r="H798" s="6" t="s">
        <v>153</v>
      </c>
      <c r="I798" s="6" t="s">
        <v>767</v>
      </c>
      <c r="J798" s="6" t="s">
        <v>764</v>
      </c>
      <c r="K798" s="7">
        <v>6090203</v>
      </c>
      <c r="L798" s="7">
        <v>283625</v>
      </c>
      <c r="M798" s="7">
        <v>19</v>
      </c>
      <c r="N798" s="7">
        <v>1</v>
      </c>
      <c r="O798" s="7">
        <v>3.49</v>
      </c>
    </row>
    <row r="799" spans="1:15" x14ac:dyDescent="0.25">
      <c r="A799" s="6" t="s">
        <v>28</v>
      </c>
      <c r="B799" s="6" t="s">
        <v>296</v>
      </c>
      <c r="C799" s="7">
        <v>33249</v>
      </c>
      <c r="D799" s="6" t="s">
        <v>39</v>
      </c>
      <c r="E799" s="6" t="s">
        <v>80</v>
      </c>
      <c r="F799" s="6" t="s">
        <v>397</v>
      </c>
      <c r="G799" s="6" t="s">
        <v>32</v>
      </c>
      <c r="H799" s="6" t="s">
        <v>19</v>
      </c>
      <c r="I799" s="6" t="s">
        <v>767</v>
      </c>
      <c r="J799" s="6" t="s">
        <v>767</v>
      </c>
      <c r="K799" s="7">
        <v>6083465</v>
      </c>
      <c r="L799" s="7">
        <v>277892</v>
      </c>
      <c r="M799" s="7">
        <v>19</v>
      </c>
      <c r="N799" s="7">
        <v>1</v>
      </c>
      <c r="O799" s="7">
        <v>0.4</v>
      </c>
    </row>
    <row r="800" spans="1:15" x14ac:dyDescent="0.25">
      <c r="A800" s="6" t="s">
        <v>28</v>
      </c>
      <c r="B800" s="6" t="s">
        <v>296</v>
      </c>
      <c r="C800" s="7">
        <v>33250</v>
      </c>
      <c r="D800" s="6" t="s">
        <v>39</v>
      </c>
      <c r="E800" s="6" t="s">
        <v>83</v>
      </c>
      <c r="F800" s="6" t="s">
        <v>337</v>
      </c>
      <c r="G800" s="6" t="s">
        <v>32</v>
      </c>
      <c r="H800" s="6" t="s">
        <v>19</v>
      </c>
      <c r="I800" s="6" t="s">
        <v>767</v>
      </c>
      <c r="J800" s="6" t="s">
        <v>767</v>
      </c>
      <c r="K800" s="7">
        <v>6089113</v>
      </c>
      <c r="L800" s="7">
        <v>278789</v>
      </c>
      <c r="M800" s="7">
        <v>19</v>
      </c>
      <c r="N800" s="7">
        <v>1</v>
      </c>
      <c r="O800" s="7">
        <v>0.67</v>
      </c>
    </row>
    <row r="801" spans="1:15" x14ac:dyDescent="0.25">
      <c r="A801" s="6" t="s">
        <v>28</v>
      </c>
      <c r="B801" s="6" t="s">
        <v>296</v>
      </c>
      <c r="C801" s="7">
        <v>33251</v>
      </c>
      <c r="D801" s="6" t="s">
        <v>39</v>
      </c>
      <c r="E801" s="6" t="s">
        <v>83</v>
      </c>
      <c r="F801" s="6" t="s">
        <v>385</v>
      </c>
      <c r="G801" s="6" t="s">
        <v>32</v>
      </c>
      <c r="H801" s="6" t="s">
        <v>153</v>
      </c>
      <c r="I801" s="6" t="s">
        <v>767</v>
      </c>
      <c r="J801" s="6" t="s">
        <v>764</v>
      </c>
      <c r="K801" s="7">
        <v>6084574</v>
      </c>
      <c r="L801" s="7">
        <v>267069</v>
      </c>
      <c r="M801" s="7">
        <v>19</v>
      </c>
      <c r="N801" s="7">
        <v>1</v>
      </c>
      <c r="O801" s="7">
        <v>2.82</v>
      </c>
    </row>
    <row r="802" spans="1:15" x14ac:dyDescent="0.25">
      <c r="A802" s="6" t="s">
        <v>28</v>
      </c>
      <c r="B802" s="6" t="s">
        <v>296</v>
      </c>
      <c r="C802" s="7">
        <v>33252</v>
      </c>
      <c r="D802" s="6" t="s">
        <v>39</v>
      </c>
      <c r="E802" s="6" t="s">
        <v>72</v>
      </c>
      <c r="F802" s="6" t="s">
        <v>188</v>
      </c>
      <c r="G802" s="6" t="s">
        <v>32</v>
      </c>
      <c r="H802" s="6" t="s">
        <v>33</v>
      </c>
      <c r="I802" s="6" t="s">
        <v>767</v>
      </c>
      <c r="J802" s="6" t="s">
        <v>767</v>
      </c>
      <c r="K802" s="7">
        <v>6074318</v>
      </c>
      <c r="L802" s="7">
        <v>279241</v>
      </c>
      <c r="M802" s="7">
        <v>19</v>
      </c>
      <c r="N802" s="7">
        <v>3</v>
      </c>
      <c r="O802" s="7">
        <v>19.3</v>
      </c>
    </row>
    <row r="803" spans="1:15" x14ac:dyDescent="0.25">
      <c r="A803" s="6" t="s">
        <v>28</v>
      </c>
      <c r="B803" s="6" t="s">
        <v>296</v>
      </c>
      <c r="C803" s="7">
        <v>33254</v>
      </c>
      <c r="D803" s="6" t="s">
        <v>39</v>
      </c>
      <c r="E803" s="6" t="s">
        <v>87</v>
      </c>
      <c r="F803" s="6" t="s">
        <v>398</v>
      </c>
      <c r="G803" s="6" t="s">
        <v>32</v>
      </c>
      <c r="H803" s="6" t="s">
        <v>33</v>
      </c>
      <c r="I803" s="6" t="s">
        <v>767</v>
      </c>
      <c r="J803" s="6" t="s">
        <v>767</v>
      </c>
      <c r="K803" s="7">
        <v>6108507</v>
      </c>
      <c r="L803" s="7">
        <v>288539</v>
      </c>
      <c r="M803" s="7">
        <v>19</v>
      </c>
      <c r="N803" s="7">
        <v>6</v>
      </c>
      <c r="O803" s="7">
        <v>40</v>
      </c>
    </row>
    <row r="804" spans="1:15" x14ac:dyDescent="0.25">
      <c r="A804" s="6" t="s">
        <v>28</v>
      </c>
      <c r="B804" s="6" t="s">
        <v>296</v>
      </c>
      <c r="C804" s="7">
        <v>33269</v>
      </c>
      <c r="D804" s="6" t="s">
        <v>39</v>
      </c>
      <c r="E804" s="6" t="s">
        <v>83</v>
      </c>
      <c r="F804" s="6" t="s">
        <v>399</v>
      </c>
      <c r="G804" s="6" t="s">
        <v>32</v>
      </c>
      <c r="H804" s="6" t="s">
        <v>33</v>
      </c>
      <c r="I804" s="6" t="s">
        <v>767</v>
      </c>
      <c r="J804" s="6" t="s">
        <v>767</v>
      </c>
      <c r="K804" s="7">
        <v>6094455</v>
      </c>
      <c r="L804" s="7">
        <v>277956</v>
      </c>
      <c r="M804" s="7">
        <v>19</v>
      </c>
      <c r="N804" s="7">
        <v>4</v>
      </c>
      <c r="O804" s="7">
        <v>30</v>
      </c>
    </row>
    <row r="805" spans="1:15" x14ac:dyDescent="0.25">
      <c r="A805" s="6" t="s">
        <v>28</v>
      </c>
      <c r="B805" s="6" t="s">
        <v>296</v>
      </c>
      <c r="C805" s="7">
        <v>33273</v>
      </c>
      <c r="D805" s="6" t="s">
        <v>39</v>
      </c>
      <c r="E805" s="6" t="s">
        <v>72</v>
      </c>
      <c r="F805" s="6" t="s">
        <v>73</v>
      </c>
      <c r="G805" s="6" t="s">
        <v>32</v>
      </c>
      <c r="H805" s="6" t="s">
        <v>33</v>
      </c>
      <c r="I805" s="6" t="s">
        <v>767</v>
      </c>
      <c r="J805" s="6" t="s">
        <v>764</v>
      </c>
      <c r="K805" s="7">
        <v>6075215</v>
      </c>
      <c r="L805" s="7">
        <v>285823</v>
      </c>
      <c r="M805" s="7">
        <v>19</v>
      </c>
      <c r="N805" s="7">
        <v>1</v>
      </c>
      <c r="O805" s="7">
        <v>7.4</v>
      </c>
    </row>
    <row r="806" spans="1:15" x14ac:dyDescent="0.25">
      <c r="A806" s="6" t="s">
        <v>28</v>
      </c>
      <c r="B806" s="6" t="s">
        <v>296</v>
      </c>
      <c r="C806" s="7">
        <v>33294</v>
      </c>
      <c r="D806" s="6" t="s">
        <v>39</v>
      </c>
      <c r="E806" s="6" t="s">
        <v>83</v>
      </c>
      <c r="F806" s="6" t="s">
        <v>337</v>
      </c>
      <c r="G806" s="6" t="s">
        <v>32</v>
      </c>
      <c r="H806" s="6" t="s">
        <v>19</v>
      </c>
      <c r="I806" s="6" t="s">
        <v>767</v>
      </c>
      <c r="J806" s="6" t="s">
        <v>767</v>
      </c>
      <c r="K806" s="7">
        <v>6088805</v>
      </c>
      <c r="L806" s="7">
        <v>280135</v>
      </c>
      <c r="M806" s="7">
        <v>19</v>
      </c>
      <c r="N806" s="7">
        <v>1</v>
      </c>
      <c r="O806" s="7">
        <v>1.1100000000000001</v>
      </c>
    </row>
    <row r="807" spans="1:15" x14ac:dyDescent="0.25">
      <c r="A807" s="6" t="s">
        <v>28</v>
      </c>
      <c r="B807" s="6" t="s">
        <v>296</v>
      </c>
      <c r="C807" s="7">
        <v>33305</v>
      </c>
      <c r="D807" s="6" t="s">
        <v>39</v>
      </c>
      <c r="E807" s="6" t="s">
        <v>83</v>
      </c>
      <c r="F807" s="6" t="s">
        <v>337</v>
      </c>
      <c r="G807" s="6" t="s">
        <v>32</v>
      </c>
      <c r="H807" s="6" t="s">
        <v>19</v>
      </c>
      <c r="I807" s="6" t="s">
        <v>767</v>
      </c>
      <c r="J807" s="6" t="s">
        <v>767</v>
      </c>
      <c r="K807" s="7">
        <v>6090506</v>
      </c>
      <c r="L807" s="7">
        <v>279616</v>
      </c>
      <c r="M807" s="7">
        <v>19</v>
      </c>
      <c r="N807" s="7">
        <v>1</v>
      </c>
      <c r="O807" s="7">
        <v>1.44</v>
      </c>
    </row>
    <row r="808" spans="1:15" x14ac:dyDescent="0.25">
      <c r="A808" s="6" t="s">
        <v>28</v>
      </c>
      <c r="B808" s="6" t="s">
        <v>296</v>
      </c>
      <c r="C808" s="7">
        <v>33315</v>
      </c>
      <c r="D808" s="6" t="s">
        <v>39</v>
      </c>
      <c r="E808" s="6" t="s">
        <v>70</v>
      </c>
      <c r="F808" s="6" t="s">
        <v>292</v>
      </c>
      <c r="G808" s="6" t="s">
        <v>32</v>
      </c>
      <c r="H808" s="6" t="s">
        <v>19</v>
      </c>
      <c r="I808" s="6" t="s">
        <v>767</v>
      </c>
      <c r="J808" s="6" t="s">
        <v>767</v>
      </c>
      <c r="K808" s="7">
        <v>6073607</v>
      </c>
      <c r="L808" s="7">
        <v>261750</v>
      </c>
      <c r="M808" s="7">
        <v>19</v>
      </c>
      <c r="N808" s="7">
        <v>1</v>
      </c>
      <c r="O808" s="7">
        <v>2.16</v>
      </c>
    </row>
    <row r="809" spans="1:15" x14ac:dyDescent="0.25">
      <c r="A809" s="6" t="s">
        <v>28</v>
      </c>
      <c r="B809" s="6" t="s">
        <v>296</v>
      </c>
      <c r="C809" s="7">
        <v>33321</v>
      </c>
      <c r="D809" s="6" t="s">
        <v>39</v>
      </c>
      <c r="E809" s="6" t="s">
        <v>83</v>
      </c>
      <c r="F809" s="6" t="s">
        <v>371</v>
      </c>
      <c r="G809" s="6" t="s">
        <v>32</v>
      </c>
      <c r="H809" s="6" t="s">
        <v>19</v>
      </c>
      <c r="I809" s="6" t="s">
        <v>767</v>
      </c>
      <c r="J809" s="6" t="s">
        <v>767</v>
      </c>
      <c r="K809" s="7">
        <v>6086181</v>
      </c>
      <c r="L809" s="7">
        <v>272421</v>
      </c>
      <c r="M809" s="7">
        <v>19</v>
      </c>
      <c r="N809" s="7">
        <v>1</v>
      </c>
      <c r="O809" s="7">
        <v>3.5</v>
      </c>
    </row>
    <row r="810" spans="1:15" x14ac:dyDescent="0.25">
      <c r="A810" s="6" t="s">
        <v>28</v>
      </c>
      <c r="B810" s="6" t="s">
        <v>296</v>
      </c>
      <c r="C810" s="7">
        <v>33323</v>
      </c>
      <c r="D810" s="6" t="s">
        <v>39</v>
      </c>
      <c r="E810" s="6" t="s">
        <v>83</v>
      </c>
      <c r="F810" s="6" t="s">
        <v>371</v>
      </c>
      <c r="G810" s="6" t="s">
        <v>32</v>
      </c>
      <c r="H810" s="6" t="s">
        <v>19</v>
      </c>
      <c r="I810" s="6" t="s">
        <v>767</v>
      </c>
      <c r="J810" s="6" t="s">
        <v>767</v>
      </c>
      <c r="K810" s="7">
        <v>6086400</v>
      </c>
      <c r="L810" s="7">
        <v>272132</v>
      </c>
      <c r="M810" s="7">
        <v>19</v>
      </c>
      <c r="N810" s="7">
        <v>1</v>
      </c>
      <c r="O810" s="7">
        <v>0.5</v>
      </c>
    </row>
    <row r="811" spans="1:15" x14ac:dyDescent="0.25">
      <c r="A811" s="6" t="s">
        <v>28</v>
      </c>
      <c r="B811" s="6" t="s">
        <v>296</v>
      </c>
      <c r="C811" s="7">
        <v>33351</v>
      </c>
      <c r="D811" s="6" t="s">
        <v>39</v>
      </c>
      <c r="E811" s="6" t="s">
        <v>87</v>
      </c>
      <c r="F811" s="6" t="s">
        <v>341</v>
      </c>
      <c r="G811" s="6" t="s">
        <v>32</v>
      </c>
      <c r="H811" s="6" t="s">
        <v>19</v>
      </c>
      <c r="I811" s="6" t="s">
        <v>767</v>
      </c>
      <c r="J811" s="6" t="s">
        <v>767</v>
      </c>
      <c r="K811" s="7">
        <v>6103185</v>
      </c>
      <c r="L811" s="7">
        <v>295795</v>
      </c>
      <c r="M811" s="7">
        <v>19</v>
      </c>
      <c r="N811" s="7">
        <v>1</v>
      </c>
      <c r="O811" s="7">
        <v>0.4</v>
      </c>
    </row>
    <row r="812" spans="1:15" x14ac:dyDescent="0.25">
      <c r="A812" s="6" t="s">
        <v>28</v>
      </c>
      <c r="B812" s="6" t="s">
        <v>296</v>
      </c>
      <c r="C812" s="7">
        <v>33355</v>
      </c>
      <c r="D812" s="6" t="s">
        <v>39</v>
      </c>
      <c r="E812" s="6" t="s">
        <v>87</v>
      </c>
      <c r="F812" s="6" t="s">
        <v>62</v>
      </c>
      <c r="G812" s="6" t="s">
        <v>32</v>
      </c>
      <c r="H812" s="6" t="s">
        <v>19</v>
      </c>
      <c r="I812" s="6" t="s">
        <v>767</v>
      </c>
      <c r="J812" s="6" t="s">
        <v>767</v>
      </c>
      <c r="K812" s="7">
        <v>6099770</v>
      </c>
      <c r="L812" s="7">
        <v>291602</v>
      </c>
      <c r="M812" s="7">
        <v>19</v>
      </c>
      <c r="N812" s="7">
        <v>1</v>
      </c>
      <c r="O812" s="7">
        <v>1.17</v>
      </c>
    </row>
    <row r="813" spans="1:15" x14ac:dyDescent="0.25">
      <c r="A813" s="6" t="s">
        <v>14</v>
      </c>
      <c r="B813" s="6" t="s">
        <v>296</v>
      </c>
      <c r="C813" s="7">
        <v>33358</v>
      </c>
      <c r="D813" s="6" t="s">
        <v>39</v>
      </c>
      <c r="E813" s="6" t="s">
        <v>87</v>
      </c>
      <c r="F813" s="6" t="s">
        <v>342</v>
      </c>
      <c r="G813" s="6" t="s">
        <v>32</v>
      </c>
      <c r="H813" s="6" t="s">
        <v>19</v>
      </c>
      <c r="I813" s="6" t="s">
        <v>767</v>
      </c>
      <c r="J813" s="6" t="s">
        <v>767</v>
      </c>
      <c r="K813" s="7">
        <v>6102158</v>
      </c>
      <c r="L813" s="7">
        <v>289072</v>
      </c>
      <c r="M813" s="7">
        <v>19</v>
      </c>
      <c r="N813" s="7">
        <v>1</v>
      </c>
      <c r="O813" s="7">
        <v>1.72</v>
      </c>
    </row>
    <row r="814" spans="1:15" x14ac:dyDescent="0.25">
      <c r="A814" s="6" t="s">
        <v>28</v>
      </c>
      <c r="B814" s="6" t="s">
        <v>296</v>
      </c>
      <c r="C814" s="7">
        <v>33362</v>
      </c>
      <c r="D814" s="6" t="s">
        <v>39</v>
      </c>
      <c r="E814" s="6" t="s">
        <v>87</v>
      </c>
      <c r="F814" s="6" t="s">
        <v>197</v>
      </c>
      <c r="G814" s="6" t="s">
        <v>32</v>
      </c>
      <c r="H814" s="6" t="s">
        <v>19</v>
      </c>
      <c r="I814" s="6" t="s">
        <v>767</v>
      </c>
      <c r="J814" s="6" t="s">
        <v>767</v>
      </c>
      <c r="K814" s="7">
        <v>6092620</v>
      </c>
      <c r="L814" s="7">
        <v>305356</v>
      </c>
      <c r="M814" s="7">
        <v>19</v>
      </c>
      <c r="N814" s="7">
        <v>1</v>
      </c>
      <c r="O814" s="7">
        <v>1.78</v>
      </c>
    </row>
    <row r="815" spans="1:15" x14ac:dyDescent="0.25">
      <c r="A815" s="6" t="s">
        <v>28</v>
      </c>
      <c r="B815" s="6" t="s">
        <v>296</v>
      </c>
      <c r="C815" s="7">
        <v>33365</v>
      </c>
      <c r="D815" s="6" t="s">
        <v>39</v>
      </c>
      <c r="E815" s="6" t="s">
        <v>83</v>
      </c>
      <c r="F815" s="6" t="s">
        <v>374</v>
      </c>
      <c r="G815" s="6" t="s">
        <v>32</v>
      </c>
      <c r="H815" s="6" t="s">
        <v>19</v>
      </c>
      <c r="I815" s="6" t="s">
        <v>767</v>
      </c>
      <c r="J815" s="6" t="s">
        <v>767</v>
      </c>
      <c r="K815" s="7">
        <v>6092766</v>
      </c>
      <c r="L815" s="7">
        <v>272910</v>
      </c>
      <c r="M815" s="7">
        <v>19</v>
      </c>
      <c r="N815" s="7">
        <v>1</v>
      </c>
      <c r="O815" s="7">
        <v>4.45</v>
      </c>
    </row>
    <row r="816" spans="1:15" x14ac:dyDescent="0.25">
      <c r="A816" s="6" t="s">
        <v>28</v>
      </c>
      <c r="B816" s="6" t="s">
        <v>296</v>
      </c>
      <c r="C816" s="7">
        <v>33367</v>
      </c>
      <c r="D816" s="6" t="s">
        <v>39</v>
      </c>
      <c r="E816" s="6" t="s">
        <v>83</v>
      </c>
      <c r="F816" s="6" t="s">
        <v>374</v>
      </c>
      <c r="G816" s="6" t="s">
        <v>32</v>
      </c>
      <c r="H816" s="6" t="s">
        <v>19</v>
      </c>
      <c r="I816" s="6" t="s">
        <v>767</v>
      </c>
      <c r="J816" s="6" t="s">
        <v>767</v>
      </c>
      <c r="K816" s="7">
        <v>6092766</v>
      </c>
      <c r="L816" s="7">
        <v>272910</v>
      </c>
      <c r="M816" s="7">
        <v>19</v>
      </c>
      <c r="N816" s="7">
        <v>1</v>
      </c>
      <c r="O816" s="7">
        <v>0.4</v>
      </c>
    </row>
    <row r="817" spans="1:15" x14ac:dyDescent="0.25">
      <c r="A817" s="6" t="s">
        <v>28</v>
      </c>
      <c r="B817" s="6" t="s">
        <v>296</v>
      </c>
      <c r="C817" s="7">
        <v>33368</v>
      </c>
      <c r="D817" s="6" t="s">
        <v>39</v>
      </c>
      <c r="E817" s="6" t="s">
        <v>87</v>
      </c>
      <c r="F817" s="6" t="s">
        <v>348</v>
      </c>
      <c r="G817" s="6" t="s">
        <v>32</v>
      </c>
      <c r="H817" s="6" t="s">
        <v>19</v>
      </c>
      <c r="I817" s="6" t="s">
        <v>767</v>
      </c>
      <c r="J817" s="6" t="s">
        <v>767</v>
      </c>
      <c r="K817" s="7">
        <v>6097294</v>
      </c>
      <c r="L817" s="7">
        <v>296114</v>
      </c>
      <c r="M817" s="7">
        <v>19</v>
      </c>
      <c r="N817" s="7">
        <v>1</v>
      </c>
      <c r="O817" s="7">
        <v>2.94</v>
      </c>
    </row>
    <row r="818" spans="1:15" x14ac:dyDescent="0.25">
      <c r="A818" s="6" t="s">
        <v>28</v>
      </c>
      <c r="B818" s="6" t="s">
        <v>296</v>
      </c>
      <c r="C818" s="7">
        <v>33374</v>
      </c>
      <c r="D818" s="6" t="s">
        <v>39</v>
      </c>
      <c r="E818" s="6" t="s">
        <v>179</v>
      </c>
      <c r="F818" s="6" t="s">
        <v>377</v>
      </c>
      <c r="G818" s="6" t="s">
        <v>32</v>
      </c>
      <c r="H818" s="6" t="s">
        <v>19</v>
      </c>
      <c r="I818" s="6" t="s">
        <v>767</v>
      </c>
      <c r="J818" s="6" t="s">
        <v>767</v>
      </c>
      <c r="K818" s="7">
        <v>6127303</v>
      </c>
      <c r="L818" s="7">
        <v>315933</v>
      </c>
      <c r="M818" s="7">
        <v>19</v>
      </c>
      <c r="N818" s="7">
        <v>1</v>
      </c>
      <c r="O818" s="7">
        <v>6.75</v>
      </c>
    </row>
    <row r="819" spans="1:15" x14ac:dyDescent="0.25">
      <c r="A819" s="6" t="s">
        <v>28</v>
      </c>
      <c r="B819" s="6" t="s">
        <v>296</v>
      </c>
      <c r="C819" s="7">
        <v>33492</v>
      </c>
      <c r="D819" s="6" t="s">
        <v>39</v>
      </c>
      <c r="E819" s="6" t="s">
        <v>179</v>
      </c>
      <c r="F819" s="6" t="s">
        <v>400</v>
      </c>
      <c r="G819" s="6" t="s">
        <v>32</v>
      </c>
      <c r="H819" s="6" t="s">
        <v>19</v>
      </c>
      <c r="I819" s="6" t="s">
        <v>767</v>
      </c>
      <c r="J819" s="6" t="s">
        <v>767</v>
      </c>
      <c r="K819" s="7">
        <v>6129678</v>
      </c>
      <c r="L819" s="7">
        <v>311963</v>
      </c>
      <c r="M819" s="7">
        <v>19</v>
      </c>
      <c r="N819" s="7">
        <v>1</v>
      </c>
      <c r="O819" s="7">
        <v>0.4</v>
      </c>
    </row>
    <row r="820" spans="1:15" x14ac:dyDescent="0.25">
      <c r="A820" s="6" t="s">
        <v>28</v>
      </c>
      <c r="B820" s="6" t="s">
        <v>296</v>
      </c>
      <c r="C820" s="7">
        <v>33499</v>
      </c>
      <c r="D820" s="6" t="s">
        <v>39</v>
      </c>
      <c r="E820" s="6" t="s">
        <v>179</v>
      </c>
      <c r="F820" s="6" t="s">
        <v>179</v>
      </c>
      <c r="G820" s="6" t="s">
        <v>32</v>
      </c>
      <c r="H820" s="6" t="s">
        <v>19</v>
      </c>
      <c r="I820" s="6" t="s">
        <v>767</v>
      </c>
      <c r="J820" s="6" t="s">
        <v>767</v>
      </c>
      <c r="K820" s="7">
        <v>6129325</v>
      </c>
      <c r="L820" s="7">
        <v>305154</v>
      </c>
      <c r="M820" s="7">
        <v>19</v>
      </c>
      <c r="N820" s="7">
        <v>1</v>
      </c>
      <c r="O820" s="7">
        <v>0.4</v>
      </c>
    </row>
    <row r="821" spans="1:15" x14ac:dyDescent="0.25">
      <c r="A821" s="6" t="s">
        <v>28</v>
      </c>
      <c r="B821" s="6" t="s">
        <v>296</v>
      </c>
      <c r="C821" s="7">
        <v>33504</v>
      </c>
      <c r="D821" s="6" t="s">
        <v>39</v>
      </c>
      <c r="E821" s="6" t="s">
        <v>179</v>
      </c>
      <c r="F821" s="6" t="s">
        <v>401</v>
      </c>
      <c r="G821" s="6" t="s">
        <v>32</v>
      </c>
      <c r="H821" s="6" t="s">
        <v>19</v>
      </c>
      <c r="I821" s="6" t="s">
        <v>767</v>
      </c>
      <c r="J821" s="6" t="s">
        <v>767</v>
      </c>
      <c r="K821" s="7">
        <v>6125714</v>
      </c>
      <c r="L821" s="7">
        <v>321287</v>
      </c>
      <c r="M821" s="7">
        <v>19</v>
      </c>
      <c r="N821" s="7">
        <v>1</v>
      </c>
      <c r="O821" s="7">
        <v>1.25</v>
      </c>
    </row>
    <row r="822" spans="1:15" x14ac:dyDescent="0.25">
      <c r="A822" s="6" t="s">
        <v>28</v>
      </c>
      <c r="B822" s="6" t="s">
        <v>296</v>
      </c>
      <c r="C822" s="7">
        <v>33507</v>
      </c>
      <c r="D822" s="6" t="s">
        <v>39</v>
      </c>
      <c r="E822" s="6" t="s">
        <v>179</v>
      </c>
      <c r="F822" s="6" t="s">
        <v>379</v>
      </c>
      <c r="G822" s="6" t="s">
        <v>32</v>
      </c>
      <c r="H822" s="6" t="s">
        <v>19</v>
      </c>
      <c r="I822" s="6" t="s">
        <v>767</v>
      </c>
      <c r="J822" s="6" t="s">
        <v>767</v>
      </c>
      <c r="K822" s="7">
        <v>6134246</v>
      </c>
      <c r="L822" s="7">
        <v>304400</v>
      </c>
      <c r="M822" s="7">
        <v>19</v>
      </c>
      <c r="N822" s="7">
        <v>1</v>
      </c>
      <c r="O822" s="7">
        <v>0.81</v>
      </c>
    </row>
    <row r="823" spans="1:15" x14ac:dyDescent="0.25">
      <c r="A823" s="6" t="s">
        <v>28</v>
      </c>
      <c r="B823" s="6" t="s">
        <v>296</v>
      </c>
      <c r="C823" s="7">
        <v>33729</v>
      </c>
      <c r="D823" s="6" t="s">
        <v>16</v>
      </c>
      <c r="E823" s="6" t="s">
        <v>332</v>
      </c>
      <c r="F823" s="6" t="s">
        <v>402</v>
      </c>
      <c r="G823" s="6" t="s">
        <v>32</v>
      </c>
      <c r="H823" s="6" t="s">
        <v>153</v>
      </c>
      <c r="I823" s="6" t="s">
        <v>767</v>
      </c>
      <c r="J823" s="6" t="s">
        <v>764</v>
      </c>
      <c r="K823" s="7">
        <v>6364054</v>
      </c>
      <c r="L823" s="7">
        <v>314365</v>
      </c>
      <c r="M823" s="7">
        <v>19</v>
      </c>
      <c r="N823" s="7">
        <v>2</v>
      </c>
      <c r="O823" s="7">
        <v>1.48</v>
      </c>
    </row>
    <row r="824" spans="1:15" x14ac:dyDescent="0.25">
      <c r="A824" s="6" t="s">
        <v>28</v>
      </c>
      <c r="B824" s="6" t="s">
        <v>296</v>
      </c>
      <c r="C824" s="7">
        <v>33730</v>
      </c>
      <c r="D824" s="6" t="s">
        <v>39</v>
      </c>
      <c r="E824" s="6" t="s">
        <v>53</v>
      </c>
      <c r="F824" s="6" t="s">
        <v>190</v>
      </c>
      <c r="G824" s="6" t="s">
        <v>32</v>
      </c>
      <c r="H824" s="6" t="s">
        <v>162</v>
      </c>
      <c r="I824" s="6" t="s">
        <v>767</v>
      </c>
      <c r="J824" s="6" t="s">
        <v>767</v>
      </c>
      <c r="K824" s="7">
        <v>6131490</v>
      </c>
      <c r="L824" s="7">
        <v>316143</v>
      </c>
      <c r="M824" s="7">
        <v>19</v>
      </c>
      <c r="N824" s="7">
        <v>1</v>
      </c>
      <c r="O824" s="7">
        <v>1.1000000000000001</v>
      </c>
    </row>
    <row r="825" spans="1:15" x14ac:dyDescent="0.25">
      <c r="A825" s="6" t="s">
        <v>28</v>
      </c>
      <c r="B825" s="6" t="s">
        <v>296</v>
      </c>
      <c r="C825" s="7">
        <v>33732</v>
      </c>
      <c r="D825" s="6" t="s">
        <v>42</v>
      </c>
      <c r="E825" s="6" t="s">
        <v>196</v>
      </c>
      <c r="F825" s="6" t="s">
        <v>203</v>
      </c>
      <c r="G825" s="6" t="s">
        <v>32</v>
      </c>
      <c r="H825" s="6" t="s">
        <v>19</v>
      </c>
      <c r="I825" s="6" t="s">
        <v>767</v>
      </c>
      <c r="J825" s="6" t="s">
        <v>767</v>
      </c>
      <c r="K825" s="7">
        <v>6219977</v>
      </c>
      <c r="L825" s="7">
        <v>333673</v>
      </c>
      <c r="M825" s="7">
        <v>19</v>
      </c>
      <c r="N825" s="7">
        <v>1</v>
      </c>
      <c r="O825" s="7">
        <v>2.4300000000000002</v>
      </c>
    </row>
    <row r="826" spans="1:15" x14ac:dyDescent="0.25">
      <c r="A826" s="6" t="s">
        <v>28</v>
      </c>
      <c r="B826" s="6" t="s">
        <v>296</v>
      </c>
      <c r="C826" s="7">
        <v>33734</v>
      </c>
      <c r="D826" s="6" t="s">
        <v>39</v>
      </c>
      <c r="E826" s="6" t="s">
        <v>53</v>
      </c>
      <c r="F826" s="6" t="s">
        <v>190</v>
      </c>
      <c r="G826" s="6" t="s">
        <v>32</v>
      </c>
      <c r="H826" s="6" t="s">
        <v>162</v>
      </c>
      <c r="I826" s="6" t="s">
        <v>767</v>
      </c>
      <c r="J826" s="6" t="s">
        <v>767</v>
      </c>
      <c r="K826" s="7">
        <v>6131490</v>
      </c>
      <c r="L826" s="7">
        <v>316143</v>
      </c>
      <c r="M826" s="7">
        <v>19</v>
      </c>
      <c r="N826" s="7">
        <v>1</v>
      </c>
      <c r="O826" s="7">
        <v>1.1000000000000001</v>
      </c>
    </row>
    <row r="827" spans="1:15" x14ac:dyDescent="0.25">
      <c r="A827" s="6" t="s">
        <v>28</v>
      </c>
      <c r="B827" s="6" t="s">
        <v>296</v>
      </c>
      <c r="C827" s="7">
        <v>33736</v>
      </c>
      <c r="D827" s="6" t="s">
        <v>42</v>
      </c>
      <c r="E827" s="6" t="s">
        <v>196</v>
      </c>
      <c r="F827" s="6" t="s">
        <v>403</v>
      </c>
      <c r="G827" s="6" t="s">
        <v>32</v>
      </c>
      <c r="H827" s="6" t="s">
        <v>153</v>
      </c>
      <c r="I827" s="6" t="s">
        <v>767</v>
      </c>
      <c r="J827" s="6" t="s">
        <v>764</v>
      </c>
      <c r="K827" s="7">
        <v>6223271</v>
      </c>
      <c r="L827" s="7">
        <v>331758</v>
      </c>
      <c r="M827" s="7">
        <v>19</v>
      </c>
      <c r="N827" s="7">
        <v>2</v>
      </c>
      <c r="O827" s="7">
        <v>1.51</v>
      </c>
    </row>
    <row r="828" spans="1:15" x14ac:dyDescent="0.25">
      <c r="A828" s="6" t="s">
        <v>28</v>
      </c>
      <c r="B828" s="6" t="s">
        <v>296</v>
      </c>
      <c r="C828" s="7">
        <v>33738</v>
      </c>
      <c r="D828" s="6" t="s">
        <v>39</v>
      </c>
      <c r="E828" s="6" t="s">
        <v>53</v>
      </c>
      <c r="F828" s="6" t="s">
        <v>404</v>
      </c>
      <c r="G828" s="6" t="s">
        <v>32</v>
      </c>
      <c r="H828" s="6" t="s">
        <v>162</v>
      </c>
      <c r="I828" s="6" t="s">
        <v>767</v>
      </c>
      <c r="J828" s="6" t="s">
        <v>767</v>
      </c>
      <c r="K828" s="7">
        <v>6132780</v>
      </c>
      <c r="L828" s="7">
        <v>318555</v>
      </c>
      <c r="M828" s="7">
        <v>19</v>
      </c>
      <c r="N828" s="7">
        <v>1</v>
      </c>
      <c r="O828" s="7">
        <v>1.1000000000000001</v>
      </c>
    </row>
    <row r="829" spans="1:15" x14ac:dyDescent="0.25">
      <c r="A829" s="6" t="s">
        <v>28</v>
      </c>
      <c r="B829" s="6" t="s">
        <v>296</v>
      </c>
      <c r="C829" s="7">
        <v>33746</v>
      </c>
      <c r="D829" s="6" t="s">
        <v>39</v>
      </c>
      <c r="E829" s="6" t="s">
        <v>53</v>
      </c>
      <c r="F829" s="6" t="s">
        <v>404</v>
      </c>
      <c r="G829" s="6" t="s">
        <v>32</v>
      </c>
      <c r="H829" s="6" t="s">
        <v>162</v>
      </c>
      <c r="I829" s="6" t="s">
        <v>767</v>
      </c>
      <c r="J829" s="6" t="s">
        <v>767</v>
      </c>
      <c r="K829" s="7">
        <v>6132780</v>
      </c>
      <c r="L829" s="7">
        <v>318555</v>
      </c>
      <c r="M829" s="7">
        <v>19</v>
      </c>
      <c r="N829" s="7">
        <v>1</v>
      </c>
      <c r="O829" s="7">
        <v>1.1000000000000001</v>
      </c>
    </row>
    <row r="830" spans="1:15" x14ac:dyDescent="0.25">
      <c r="A830" s="6" t="s">
        <v>28</v>
      </c>
      <c r="B830" s="6" t="s">
        <v>296</v>
      </c>
      <c r="C830" s="7">
        <v>33763</v>
      </c>
      <c r="D830" s="6" t="s">
        <v>39</v>
      </c>
      <c r="E830" s="6" t="s">
        <v>179</v>
      </c>
      <c r="F830" s="6" t="s">
        <v>400</v>
      </c>
      <c r="G830" s="6" t="s">
        <v>32</v>
      </c>
      <c r="H830" s="6" t="s">
        <v>162</v>
      </c>
      <c r="I830" s="6" t="s">
        <v>767</v>
      </c>
      <c r="J830" s="6" t="s">
        <v>767</v>
      </c>
      <c r="K830" s="7">
        <v>6131238</v>
      </c>
      <c r="L830" s="7">
        <v>311716</v>
      </c>
      <c r="M830" s="7">
        <v>19</v>
      </c>
      <c r="N830" s="7">
        <v>2</v>
      </c>
      <c r="O830" s="7">
        <v>1.1000000000000001</v>
      </c>
    </row>
    <row r="831" spans="1:15" x14ac:dyDescent="0.25">
      <c r="A831" s="6" t="s">
        <v>28</v>
      </c>
      <c r="B831" s="6" t="s">
        <v>296</v>
      </c>
      <c r="C831" s="7">
        <v>33770</v>
      </c>
      <c r="D831" s="6" t="s">
        <v>39</v>
      </c>
      <c r="E831" s="6" t="s">
        <v>179</v>
      </c>
      <c r="F831" s="6" t="s">
        <v>163</v>
      </c>
      <c r="G831" s="6" t="s">
        <v>32</v>
      </c>
      <c r="H831" s="6" t="s">
        <v>162</v>
      </c>
      <c r="I831" s="6" t="s">
        <v>767</v>
      </c>
      <c r="J831" s="6" t="s">
        <v>764</v>
      </c>
      <c r="K831" s="7">
        <v>6128870</v>
      </c>
      <c r="L831" s="7">
        <v>308285</v>
      </c>
      <c r="M831" s="7">
        <v>19</v>
      </c>
      <c r="N831" s="7">
        <v>1</v>
      </c>
      <c r="O831" s="7">
        <v>4</v>
      </c>
    </row>
    <row r="832" spans="1:15" x14ac:dyDescent="0.25">
      <c r="A832" s="6" t="s">
        <v>28</v>
      </c>
      <c r="B832" s="6" t="s">
        <v>296</v>
      </c>
      <c r="C832" s="7">
        <v>33826</v>
      </c>
      <c r="D832" s="6" t="s">
        <v>39</v>
      </c>
      <c r="E832" s="6" t="s">
        <v>72</v>
      </c>
      <c r="F832" s="6" t="s">
        <v>405</v>
      </c>
      <c r="G832" s="6" t="s">
        <v>32</v>
      </c>
      <c r="H832" s="6" t="s">
        <v>153</v>
      </c>
      <c r="I832" s="6" t="s">
        <v>767</v>
      </c>
      <c r="J832" s="6" t="s">
        <v>764</v>
      </c>
      <c r="K832" s="7">
        <v>6061400</v>
      </c>
      <c r="L832" s="7">
        <v>285395</v>
      </c>
      <c r="M832" s="7">
        <v>19</v>
      </c>
      <c r="N832" s="7">
        <v>1</v>
      </c>
      <c r="O832" s="7">
        <v>4.09</v>
      </c>
    </row>
    <row r="833" spans="1:15" x14ac:dyDescent="0.25">
      <c r="A833" s="6" t="s">
        <v>28</v>
      </c>
      <c r="B833" s="6" t="s">
        <v>296</v>
      </c>
      <c r="C833" s="7">
        <v>33827</v>
      </c>
      <c r="D833" s="6" t="s">
        <v>39</v>
      </c>
      <c r="E833" s="6" t="s">
        <v>83</v>
      </c>
      <c r="F833" s="6" t="s">
        <v>83</v>
      </c>
      <c r="G833" s="6" t="s">
        <v>32</v>
      </c>
      <c r="H833" s="6" t="s">
        <v>162</v>
      </c>
      <c r="I833" s="6" t="s">
        <v>767</v>
      </c>
      <c r="J833" s="6" t="s">
        <v>767</v>
      </c>
      <c r="K833" s="7">
        <v>6088387</v>
      </c>
      <c r="L833" s="7">
        <v>269969</v>
      </c>
      <c r="M833" s="7">
        <v>19</v>
      </c>
      <c r="N833" s="7">
        <v>1</v>
      </c>
      <c r="O833" s="7">
        <v>0.3</v>
      </c>
    </row>
    <row r="834" spans="1:15" x14ac:dyDescent="0.25">
      <c r="A834" s="6" t="s">
        <v>28</v>
      </c>
      <c r="B834" s="6" t="s">
        <v>296</v>
      </c>
      <c r="C834" s="7">
        <v>33828</v>
      </c>
      <c r="D834" s="6" t="s">
        <v>39</v>
      </c>
      <c r="E834" s="6" t="s">
        <v>179</v>
      </c>
      <c r="F834" s="6" t="s">
        <v>406</v>
      </c>
      <c r="G834" s="6" t="s">
        <v>32</v>
      </c>
      <c r="H834" s="6" t="s">
        <v>162</v>
      </c>
      <c r="I834" s="6" t="s">
        <v>767</v>
      </c>
      <c r="J834" s="6" t="s">
        <v>764</v>
      </c>
      <c r="K834" s="7">
        <v>6128097</v>
      </c>
      <c r="L834" s="7">
        <v>312540</v>
      </c>
      <c r="M834" s="7">
        <v>19</v>
      </c>
      <c r="N834" s="7">
        <v>1</v>
      </c>
      <c r="O834" s="7">
        <v>2</v>
      </c>
    </row>
    <row r="835" spans="1:15" x14ac:dyDescent="0.25">
      <c r="A835" s="6" t="s">
        <v>28</v>
      </c>
      <c r="B835" s="6" t="s">
        <v>296</v>
      </c>
      <c r="C835" s="7">
        <v>33829</v>
      </c>
      <c r="D835" s="6" t="s">
        <v>39</v>
      </c>
      <c r="E835" s="6" t="s">
        <v>80</v>
      </c>
      <c r="F835" s="6" t="s">
        <v>373</v>
      </c>
      <c r="G835" s="6" t="s">
        <v>32</v>
      </c>
      <c r="H835" s="6" t="s">
        <v>19</v>
      </c>
      <c r="I835" s="6" t="s">
        <v>767</v>
      </c>
      <c r="J835" s="6" t="s">
        <v>767</v>
      </c>
      <c r="K835" s="7">
        <v>6075080</v>
      </c>
      <c r="L835" s="7">
        <v>290786</v>
      </c>
      <c r="M835" s="7">
        <v>19</v>
      </c>
      <c r="N835" s="7">
        <v>1</v>
      </c>
      <c r="O835" s="7">
        <v>3.09</v>
      </c>
    </row>
    <row r="836" spans="1:15" x14ac:dyDescent="0.25">
      <c r="A836" s="6" t="s">
        <v>28</v>
      </c>
      <c r="B836" s="6" t="s">
        <v>296</v>
      </c>
      <c r="C836" s="7">
        <v>33832</v>
      </c>
      <c r="D836" s="6" t="s">
        <v>39</v>
      </c>
      <c r="E836" s="6" t="s">
        <v>83</v>
      </c>
      <c r="F836" s="6" t="s">
        <v>371</v>
      </c>
      <c r="G836" s="6" t="s">
        <v>32</v>
      </c>
      <c r="H836" s="6" t="s">
        <v>19</v>
      </c>
      <c r="I836" s="6" t="s">
        <v>767</v>
      </c>
      <c r="J836" s="6" t="s">
        <v>767</v>
      </c>
      <c r="K836" s="7">
        <v>6086038</v>
      </c>
      <c r="L836" s="7">
        <v>271744</v>
      </c>
      <c r="M836" s="7">
        <v>19</v>
      </c>
      <c r="N836" s="7">
        <v>4</v>
      </c>
      <c r="O836" s="7">
        <v>16.809999999999999</v>
      </c>
    </row>
    <row r="837" spans="1:15" x14ac:dyDescent="0.25">
      <c r="A837" s="6" t="s">
        <v>28</v>
      </c>
      <c r="B837" s="6" t="s">
        <v>296</v>
      </c>
      <c r="C837" s="7">
        <v>33833</v>
      </c>
      <c r="D837" s="6" t="s">
        <v>39</v>
      </c>
      <c r="E837" s="6" t="s">
        <v>40</v>
      </c>
      <c r="F837" s="6" t="s">
        <v>86</v>
      </c>
      <c r="G837" s="6" t="s">
        <v>32</v>
      </c>
      <c r="H837" s="6" t="s">
        <v>162</v>
      </c>
      <c r="I837" s="6" t="s">
        <v>767</v>
      </c>
      <c r="J837" s="6" t="s">
        <v>767</v>
      </c>
      <c r="K837" s="7">
        <v>6119925</v>
      </c>
      <c r="L837" s="7">
        <v>303813</v>
      </c>
      <c r="M837" s="7">
        <v>19</v>
      </c>
      <c r="N837" s="7">
        <v>1</v>
      </c>
      <c r="O837" s="7">
        <v>1.1000000000000001</v>
      </c>
    </row>
    <row r="838" spans="1:15" x14ac:dyDescent="0.25">
      <c r="A838" s="6" t="s">
        <v>28</v>
      </c>
      <c r="B838" s="6" t="s">
        <v>296</v>
      </c>
      <c r="C838" s="7">
        <v>33845</v>
      </c>
      <c r="D838" s="6" t="s">
        <v>39</v>
      </c>
      <c r="E838" s="6" t="s">
        <v>179</v>
      </c>
      <c r="F838" s="6" t="s">
        <v>407</v>
      </c>
      <c r="G838" s="6" t="s">
        <v>32</v>
      </c>
      <c r="H838" s="6" t="s">
        <v>162</v>
      </c>
      <c r="I838" s="6" t="s">
        <v>767</v>
      </c>
      <c r="J838" s="6" t="s">
        <v>764</v>
      </c>
      <c r="K838" s="7">
        <v>6132501</v>
      </c>
      <c r="L838" s="7">
        <v>310459</v>
      </c>
      <c r="M838" s="7">
        <v>19</v>
      </c>
      <c r="N838" s="7">
        <v>3</v>
      </c>
      <c r="O838" s="7">
        <v>3</v>
      </c>
    </row>
    <row r="839" spans="1:15" x14ac:dyDescent="0.25">
      <c r="A839" s="6" t="s">
        <v>28</v>
      </c>
      <c r="B839" s="6" t="s">
        <v>296</v>
      </c>
      <c r="C839" s="7">
        <v>33853</v>
      </c>
      <c r="D839" s="6" t="s">
        <v>39</v>
      </c>
      <c r="E839" s="6" t="s">
        <v>83</v>
      </c>
      <c r="F839" s="6" t="s">
        <v>371</v>
      </c>
      <c r="G839" s="6" t="s">
        <v>32</v>
      </c>
      <c r="H839" s="6" t="s">
        <v>19</v>
      </c>
      <c r="I839" s="6" t="s">
        <v>767</v>
      </c>
      <c r="J839" s="6" t="s">
        <v>767</v>
      </c>
      <c r="K839" s="7">
        <v>6085633</v>
      </c>
      <c r="L839" s="7">
        <v>272074</v>
      </c>
      <c r="M839" s="7">
        <v>19</v>
      </c>
      <c r="N839" s="7">
        <v>1</v>
      </c>
      <c r="O839" s="7">
        <v>4</v>
      </c>
    </row>
    <row r="840" spans="1:15" x14ac:dyDescent="0.25">
      <c r="A840" s="6" t="s">
        <v>28</v>
      </c>
      <c r="B840" s="6" t="s">
        <v>296</v>
      </c>
      <c r="C840" s="7">
        <v>33862</v>
      </c>
      <c r="D840" s="6" t="s">
        <v>39</v>
      </c>
      <c r="E840" s="6" t="s">
        <v>80</v>
      </c>
      <c r="F840" s="6" t="s">
        <v>373</v>
      </c>
      <c r="G840" s="6" t="s">
        <v>32</v>
      </c>
      <c r="H840" s="6" t="s">
        <v>19</v>
      </c>
      <c r="I840" s="6" t="s">
        <v>767</v>
      </c>
      <c r="J840" s="6" t="s">
        <v>767</v>
      </c>
      <c r="K840" s="7">
        <v>6074415</v>
      </c>
      <c r="L840" s="7">
        <v>290801</v>
      </c>
      <c r="M840" s="7">
        <v>19</v>
      </c>
      <c r="N840" s="7">
        <v>1</v>
      </c>
      <c r="O840" s="7">
        <v>5.84</v>
      </c>
    </row>
    <row r="841" spans="1:15" x14ac:dyDescent="0.25">
      <c r="A841" s="6" t="s">
        <v>28</v>
      </c>
      <c r="B841" s="6" t="s">
        <v>296</v>
      </c>
      <c r="C841" s="7">
        <v>33863</v>
      </c>
      <c r="D841" s="6" t="s">
        <v>39</v>
      </c>
      <c r="E841" s="6" t="s">
        <v>179</v>
      </c>
      <c r="F841" s="6" t="s">
        <v>377</v>
      </c>
      <c r="G841" s="6" t="s">
        <v>32</v>
      </c>
      <c r="H841" s="6" t="s">
        <v>162</v>
      </c>
      <c r="I841" s="6" t="s">
        <v>767</v>
      </c>
      <c r="J841" s="6" t="s">
        <v>767</v>
      </c>
      <c r="K841" s="7">
        <v>6129552</v>
      </c>
      <c r="L841" s="7">
        <v>317073</v>
      </c>
      <c r="M841" s="7">
        <v>19</v>
      </c>
      <c r="N841" s="7">
        <v>1</v>
      </c>
      <c r="O841" s="7">
        <v>0.3</v>
      </c>
    </row>
    <row r="842" spans="1:15" x14ac:dyDescent="0.25">
      <c r="A842" s="6" t="s">
        <v>28</v>
      </c>
      <c r="B842" s="6" t="s">
        <v>296</v>
      </c>
      <c r="C842" s="7">
        <v>33868</v>
      </c>
      <c r="D842" s="6" t="s">
        <v>39</v>
      </c>
      <c r="E842" s="6" t="s">
        <v>80</v>
      </c>
      <c r="F842" s="6" t="s">
        <v>373</v>
      </c>
      <c r="G842" s="6" t="s">
        <v>32</v>
      </c>
      <c r="H842" s="6" t="s">
        <v>19</v>
      </c>
      <c r="I842" s="6" t="s">
        <v>767</v>
      </c>
      <c r="J842" s="6" t="s">
        <v>767</v>
      </c>
      <c r="K842" s="7">
        <v>6074663</v>
      </c>
      <c r="L842" s="7">
        <v>290452</v>
      </c>
      <c r="M842" s="7">
        <v>19</v>
      </c>
      <c r="N842" s="7">
        <v>1</v>
      </c>
      <c r="O842" s="7">
        <v>0.81</v>
      </c>
    </row>
    <row r="843" spans="1:15" x14ac:dyDescent="0.25">
      <c r="A843" s="6" t="s">
        <v>28</v>
      </c>
      <c r="B843" s="6" t="s">
        <v>296</v>
      </c>
      <c r="C843" s="7">
        <v>33878</v>
      </c>
      <c r="D843" s="6" t="s">
        <v>39</v>
      </c>
      <c r="E843" s="6" t="s">
        <v>83</v>
      </c>
      <c r="F843" s="6" t="s">
        <v>83</v>
      </c>
      <c r="G843" s="6" t="s">
        <v>32</v>
      </c>
      <c r="H843" s="6" t="s">
        <v>162</v>
      </c>
      <c r="I843" s="6" t="s">
        <v>767</v>
      </c>
      <c r="J843" s="6" t="s">
        <v>767</v>
      </c>
      <c r="K843" s="7">
        <v>6091095</v>
      </c>
      <c r="L843" s="7">
        <v>271336</v>
      </c>
      <c r="M843" s="7">
        <v>19</v>
      </c>
      <c r="N843" s="7">
        <v>1</v>
      </c>
      <c r="O843" s="7">
        <v>0.3</v>
      </c>
    </row>
    <row r="844" spans="1:15" x14ac:dyDescent="0.25">
      <c r="A844" s="6" t="s">
        <v>28</v>
      </c>
      <c r="B844" s="6" t="s">
        <v>296</v>
      </c>
      <c r="C844" s="7">
        <v>33894</v>
      </c>
      <c r="D844" s="6" t="s">
        <v>39</v>
      </c>
      <c r="E844" s="6" t="s">
        <v>179</v>
      </c>
      <c r="F844" s="6" t="s">
        <v>377</v>
      </c>
      <c r="G844" s="6" t="s">
        <v>32</v>
      </c>
      <c r="H844" s="6" t="s">
        <v>162</v>
      </c>
      <c r="I844" s="6" t="s">
        <v>767</v>
      </c>
      <c r="J844" s="6" t="s">
        <v>767</v>
      </c>
      <c r="K844" s="7">
        <v>6129837</v>
      </c>
      <c r="L844" s="7">
        <v>316686</v>
      </c>
      <c r="M844" s="7">
        <v>19</v>
      </c>
      <c r="N844" s="7">
        <v>1</v>
      </c>
      <c r="O844" s="7">
        <v>0.3</v>
      </c>
    </row>
    <row r="845" spans="1:15" x14ac:dyDescent="0.25">
      <c r="A845" s="6" t="s">
        <v>28</v>
      </c>
      <c r="B845" s="6" t="s">
        <v>296</v>
      </c>
      <c r="C845" s="7">
        <v>33898</v>
      </c>
      <c r="D845" s="6" t="s">
        <v>39</v>
      </c>
      <c r="E845" s="6" t="s">
        <v>87</v>
      </c>
      <c r="F845" s="6" t="s">
        <v>408</v>
      </c>
      <c r="G845" s="6" t="s">
        <v>32</v>
      </c>
      <c r="H845" s="6" t="s">
        <v>162</v>
      </c>
      <c r="I845" s="6" t="s">
        <v>767</v>
      </c>
      <c r="J845" s="6" t="s">
        <v>764</v>
      </c>
      <c r="K845" s="7">
        <v>6092410</v>
      </c>
      <c r="L845" s="7">
        <v>288196</v>
      </c>
      <c r="M845" s="7">
        <v>19</v>
      </c>
      <c r="N845" s="7">
        <v>1</v>
      </c>
      <c r="O845" s="7">
        <v>4.5999999999999996</v>
      </c>
    </row>
    <row r="846" spans="1:15" x14ac:dyDescent="0.25">
      <c r="A846" s="6" t="s">
        <v>28</v>
      </c>
      <c r="B846" s="6" t="s">
        <v>296</v>
      </c>
      <c r="C846" s="7">
        <v>33902</v>
      </c>
      <c r="D846" s="6" t="s">
        <v>39</v>
      </c>
      <c r="E846" s="6" t="s">
        <v>83</v>
      </c>
      <c r="F846" s="6" t="s">
        <v>409</v>
      </c>
      <c r="G846" s="6" t="s">
        <v>32</v>
      </c>
      <c r="H846" s="6" t="s">
        <v>19</v>
      </c>
      <c r="I846" s="6" t="s">
        <v>767</v>
      </c>
      <c r="J846" s="6" t="s">
        <v>767</v>
      </c>
      <c r="K846" s="7">
        <v>6087097</v>
      </c>
      <c r="L846" s="7">
        <v>268374</v>
      </c>
      <c r="M846" s="7">
        <v>19</v>
      </c>
      <c r="N846" s="7">
        <v>1</v>
      </c>
      <c r="O846" s="7">
        <v>1.42</v>
      </c>
    </row>
    <row r="847" spans="1:15" x14ac:dyDescent="0.25">
      <c r="A847" s="6" t="s">
        <v>28</v>
      </c>
      <c r="B847" s="6" t="s">
        <v>296</v>
      </c>
      <c r="C847" s="7">
        <v>33907</v>
      </c>
      <c r="D847" s="6" t="s">
        <v>39</v>
      </c>
      <c r="E847" s="6" t="s">
        <v>87</v>
      </c>
      <c r="F847" s="6" t="s">
        <v>398</v>
      </c>
      <c r="G847" s="6" t="s">
        <v>32</v>
      </c>
      <c r="H847" s="6" t="s">
        <v>19</v>
      </c>
      <c r="I847" s="6" t="s">
        <v>767</v>
      </c>
      <c r="J847" s="6" t="s">
        <v>767</v>
      </c>
      <c r="K847" s="7">
        <v>6109713</v>
      </c>
      <c r="L847" s="7">
        <v>287203</v>
      </c>
      <c r="M847" s="7">
        <v>19</v>
      </c>
      <c r="N847" s="7">
        <v>1</v>
      </c>
      <c r="O847" s="7">
        <v>0.81</v>
      </c>
    </row>
    <row r="848" spans="1:15" x14ac:dyDescent="0.25">
      <c r="A848" s="6" t="s">
        <v>14</v>
      </c>
      <c r="B848" s="6" t="s">
        <v>296</v>
      </c>
      <c r="C848" s="7">
        <v>33910</v>
      </c>
      <c r="D848" s="6" t="s">
        <v>39</v>
      </c>
      <c r="E848" s="6" t="s">
        <v>87</v>
      </c>
      <c r="F848" s="6" t="s">
        <v>340</v>
      </c>
      <c r="G848" s="6" t="s">
        <v>32</v>
      </c>
      <c r="H848" s="6" t="s">
        <v>162</v>
      </c>
      <c r="I848" s="6" t="s">
        <v>767</v>
      </c>
      <c r="J848" s="6" t="s">
        <v>767</v>
      </c>
      <c r="K848" s="7">
        <v>6098808</v>
      </c>
      <c r="L848" s="7">
        <v>300662</v>
      </c>
      <c r="M848" s="7">
        <v>19</v>
      </c>
      <c r="N848" s="7">
        <v>1</v>
      </c>
      <c r="O848" s="7">
        <v>1.1000000000000001</v>
      </c>
    </row>
    <row r="849" spans="1:15" x14ac:dyDescent="0.25">
      <c r="A849" s="6" t="s">
        <v>28</v>
      </c>
      <c r="B849" s="6" t="s">
        <v>296</v>
      </c>
      <c r="C849" s="7">
        <v>33913</v>
      </c>
      <c r="D849" s="6" t="s">
        <v>39</v>
      </c>
      <c r="E849" s="6" t="s">
        <v>83</v>
      </c>
      <c r="F849" s="6" t="s">
        <v>409</v>
      </c>
      <c r="G849" s="6" t="s">
        <v>32</v>
      </c>
      <c r="H849" s="6" t="s">
        <v>19</v>
      </c>
      <c r="I849" s="6" t="s">
        <v>767</v>
      </c>
      <c r="J849" s="6" t="s">
        <v>767</v>
      </c>
      <c r="K849" s="7">
        <v>6085237</v>
      </c>
      <c r="L849" s="7">
        <v>267018</v>
      </c>
      <c r="M849" s="7">
        <v>19</v>
      </c>
      <c r="N849" s="7">
        <v>3</v>
      </c>
      <c r="O849" s="7">
        <v>6.88</v>
      </c>
    </row>
    <row r="850" spans="1:15" x14ac:dyDescent="0.25">
      <c r="A850" s="6" t="s">
        <v>28</v>
      </c>
      <c r="B850" s="6" t="s">
        <v>296</v>
      </c>
      <c r="C850" s="7">
        <v>33915</v>
      </c>
      <c r="D850" s="6" t="s">
        <v>39</v>
      </c>
      <c r="E850" s="6" t="s">
        <v>87</v>
      </c>
      <c r="F850" s="6" t="s">
        <v>341</v>
      </c>
      <c r="G850" s="6" t="s">
        <v>32</v>
      </c>
      <c r="H850" s="6" t="s">
        <v>19</v>
      </c>
      <c r="I850" s="6" t="s">
        <v>767</v>
      </c>
      <c r="J850" s="6" t="s">
        <v>767</v>
      </c>
      <c r="K850" s="7">
        <v>6101927</v>
      </c>
      <c r="L850" s="7">
        <v>296052</v>
      </c>
      <c r="M850" s="7">
        <v>19</v>
      </c>
      <c r="N850" s="7">
        <v>1</v>
      </c>
      <c r="O850" s="7">
        <v>8</v>
      </c>
    </row>
    <row r="851" spans="1:15" x14ac:dyDescent="0.25">
      <c r="A851" s="6" t="s">
        <v>28</v>
      </c>
      <c r="B851" s="6" t="s">
        <v>296</v>
      </c>
      <c r="C851" s="7">
        <v>33916</v>
      </c>
      <c r="D851" s="6" t="s">
        <v>39</v>
      </c>
      <c r="E851" s="6" t="s">
        <v>87</v>
      </c>
      <c r="F851" s="6" t="s">
        <v>182</v>
      </c>
      <c r="G851" s="6" t="s">
        <v>32</v>
      </c>
      <c r="H851" s="6" t="s">
        <v>153</v>
      </c>
      <c r="I851" s="6" t="s">
        <v>767</v>
      </c>
      <c r="J851" s="6" t="s">
        <v>764</v>
      </c>
      <c r="K851" s="7">
        <v>6094798</v>
      </c>
      <c r="L851" s="7">
        <v>296828</v>
      </c>
      <c r="M851" s="7">
        <v>19</v>
      </c>
      <c r="N851" s="7">
        <v>1</v>
      </c>
      <c r="O851" s="7">
        <v>2.82</v>
      </c>
    </row>
    <row r="852" spans="1:15" x14ac:dyDescent="0.25">
      <c r="A852" s="6" t="s">
        <v>28</v>
      </c>
      <c r="B852" s="6" t="s">
        <v>296</v>
      </c>
      <c r="C852" s="7">
        <v>33917</v>
      </c>
      <c r="D852" s="6" t="s">
        <v>39</v>
      </c>
      <c r="E852" s="6" t="s">
        <v>87</v>
      </c>
      <c r="F852" s="6" t="s">
        <v>182</v>
      </c>
      <c r="G852" s="6" t="s">
        <v>32</v>
      </c>
      <c r="H852" s="6" t="s">
        <v>19</v>
      </c>
      <c r="I852" s="6" t="s">
        <v>767</v>
      </c>
      <c r="J852" s="6" t="s">
        <v>767</v>
      </c>
      <c r="K852" s="7">
        <v>6094798</v>
      </c>
      <c r="L852" s="7">
        <v>296828</v>
      </c>
      <c r="M852" s="7">
        <v>19</v>
      </c>
      <c r="N852" s="7">
        <v>1</v>
      </c>
      <c r="O852" s="7">
        <v>1.34</v>
      </c>
    </row>
    <row r="853" spans="1:15" x14ac:dyDescent="0.25">
      <c r="A853" s="6" t="s">
        <v>28</v>
      </c>
      <c r="B853" s="6" t="s">
        <v>296</v>
      </c>
      <c r="C853" s="7">
        <v>33921</v>
      </c>
      <c r="D853" s="6" t="s">
        <v>39</v>
      </c>
      <c r="E853" s="6" t="s">
        <v>179</v>
      </c>
      <c r="F853" s="6" t="s">
        <v>401</v>
      </c>
      <c r="G853" s="6" t="s">
        <v>32</v>
      </c>
      <c r="H853" s="6" t="s">
        <v>19</v>
      </c>
      <c r="I853" s="6" t="s">
        <v>767</v>
      </c>
      <c r="J853" s="6" t="s">
        <v>767</v>
      </c>
      <c r="K853" s="7">
        <v>6125470</v>
      </c>
      <c r="L853" s="7">
        <v>321951</v>
      </c>
      <c r="M853" s="7">
        <v>19</v>
      </c>
      <c r="N853" s="7">
        <v>1</v>
      </c>
      <c r="O853" s="7">
        <v>2.02</v>
      </c>
    </row>
    <row r="854" spans="1:15" x14ac:dyDescent="0.25">
      <c r="A854" s="6" t="s">
        <v>14</v>
      </c>
      <c r="B854" s="6" t="s">
        <v>296</v>
      </c>
      <c r="C854" s="7">
        <v>33961</v>
      </c>
      <c r="D854" s="6" t="s">
        <v>16</v>
      </c>
      <c r="E854" s="6" t="s">
        <v>378</v>
      </c>
      <c r="F854" s="6" t="s">
        <v>378</v>
      </c>
      <c r="G854" s="6" t="s">
        <v>89</v>
      </c>
      <c r="H854" s="6" t="s">
        <v>101</v>
      </c>
      <c r="I854" s="6" t="s">
        <v>767</v>
      </c>
      <c r="J854" s="6" t="s">
        <v>767</v>
      </c>
      <c r="K854" s="7">
        <v>6362058</v>
      </c>
      <c r="L854" s="7">
        <v>292942</v>
      </c>
      <c r="M854" s="7">
        <v>19</v>
      </c>
      <c r="N854" s="7">
        <v>1</v>
      </c>
      <c r="O854" s="7">
        <v>0.15</v>
      </c>
    </row>
    <row r="855" spans="1:15" x14ac:dyDescent="0.25">
      <c r="A855" s="6" t="s">
        <v>14</v>
      </c>
      <c r="B855" s="6" t="s">
        <v>296</v>
      </c>
      <c r="C855" s="7">
        <v>33974</v>
      </c>
      <c r="D855" s="6" t="s">
        <v>39</v>
      </c>
      <c r="E855" s="6" t="s">
        <v>72</v>
      </c>
      <c r="F855" s="6" t="s">
        <v>410</v>
      </c>
      <c r="G855" s="6" t="s">
        <v>89</v>
      </c>
      <c r="H855" s="6" t="s">
        <v>101</v>
      </c>
      <c r="I855" s="6" t="s">
        <v>767</v>
      </c>
      <c r="J855" s="6" t="s">
        <v>767</v>
      </c>
      <c r="K855" s="7">
        <v>6060498</v>
      </c>
      <c r="L855" s="7">
        <v>284891</v>
      </c>
      <c r="M855" s="7">
        <v>19</v>
      </c>
      <c r="N855" s="7">
        <v>1</v>
      </c>
      <c r="O855" s="7">
        <v>0.8</v>
      </c>
    </row>
    <row r="856" spans="1:15" x14ac:dyDescent="0.25">
      <c r="A856" s="6" t="s">
        <v>14</v>
      </c>
      <c r="B856" s="6" t="s">
        <v>296</v>
      </c>
      <c r="C856" s="7">
        <v>33975</v>
      </c>
      <c r="D856" s="6" t="s">
        <v>39</v>
      </c>
      <c r="E856" s="6" t="s">
        <v>72</v>
      </c>
      <c r="F856" s="6" t="s">
        <v>410</v>
      </c>
      <c r="G856" s="6" t="s">
        <v>89</v>
      </c>
      <c r="H856" s="6" t="s">
        <v>101</v>
      </c>
      <c r="I856" s="6" t="s">
        <v>767</v>
      </c>
      <c r="J856" s="6" t="s">
        <v>767</v>
      </c>
      <c r="K856" s="7">
        <v>6060526</v>
      </c>
      <c r="L856" s="7">
        <v>284960</v>
      </c>
      <c r="M856" s="7">
        <v>19</v>
      </c>
      <c r="N856" s="7">
        <v>1</v>
      </c>
      <c r="O856" s="7">
        <v>0.8</v>
      </c>
    </row>
    <row r="857" spans="1:15" x14ac:dyDescent="0.25">
      <c r="A857" s="6" t="s">
        <v>14</v>
      </c>
      <c r="B857" s="6" t="s">
        <v>296</v>
      </c>
      <c r="C857" s="7">
        <v>33976</v>
      </c>
      <c r="D857" s="6" t="s">
        <v>39</v>
      </c>
      <c r="E857" s="6" t="s">
        <v>72</v>
      </c>
      <c r="F857" s="6" t="s">
        <v>410</v>
      </c>
      <c r="G857" s="6" t="s">
        <v>89</v>
      </c>
      <c r="H857" s="6" t="s">
        <v>101</v>
      </c>
      <c r="I857" s="6" t="s">
        <v>767</v>
      </c>
      <c r="J857" s="6" t="s">
        <v>767</v>
      </c>
      <c r="K857" s="7">
        <v>6060250</v>
      </c>
      <c r="L857" s="7">
        <v>284729</v>
      </c>
      <c r="M857" s="7">
        <v>19</v>
      </c>
      <c r="N857" s="7">
        <v>1</v>
      </c>
      <c r="O857" s="7">
        <v>11.3</v>
      </c>
    </row>
    <row r="858" spans="1:15" x14ac:dyDescent="0.25">
      <c r="A858" s="6" t="s">
        <v>14</v>
      </c>
      <c r="B858" s="6" t="s">
        <v>296</v>
      </c>
      <c r="C858" s="7">
        <v>33977</v>
      </c>
      <c r="D858" s="6" t="s">
        <v>39</v>
      </c>
      <c r="E858" s="6" t="s">
        <v>72</v>
      </c>
      <c r="F858" s="6" t="s">
        <v>410</v>
      </c>
      <c r="G858" s="6" t="s">
        <v>89</v>
      </c>
      <c r="H858" s="6" t="s">
        <v>101</v>
      </c>
      <c r="I858" s="6" t="s">
        <v>767</v>
      </c>
      <c r="J858" s="6" t="s">
        <v>767</v>
      </c>
      <c r="K858" s="7">
        <v>6060235</v>
      </c>
      <c r="L858" s="7">
        <v>284986</v>
      </c>
      <c r="M858" s="7">
        <v>19</v>
      </c>
      <c r="N858" s="7">
        <v>1</v>
      </c>
      <c r="O858" s="7">
        <v>0.65</v>
      </c>
    </row>
    <row r="859" spans="1:15" x14ac:dyDescent="0.25">
      <c r="A859" s="6" t="s">
        <v>14</v>
      </c>
      <c r="B859" s="6" t="s">
        <v>296</v>
      </c>
      <c r="C859" s="7">
        <v>33978</v>
      </c>
      <c r="D859" s="6" t="s">
        <v>39</v>
      </c>
      <c r="E859" s="6" t="s">
        <v>72</v>
      </c>
      <c r="F859" s="6" t="s">
        <v>410</v>
      </c>
      <c r="G859" s="6" t="s">
        <v>89</v>
      </c>
      <c r="H859" s="6" t="s">
        <v>101</v>
      </c>
      <c r="I859" s="6" t="s">
        <v>767</v>
      </c>
      <c r="J859" s="6" t="s">
        <v>767</v>
      </c>
      <c r="K859" s="7">
        <v>6060557</v>
      </c>
      <c r="L859" s="7">
        <v>285022</v>
      </c>
      <c r="M859" s="7">
        <v>19</v>
      </c>
      <c r="N859" s="7">
        <v>1</v>
      </c>
      <c r="O859" s="7">
        <v>2</v>
      </c>
    </row>
    <row r="860" spans="1:15" x14ac:dyDescent="0.25">
      <c r="A860" s="6" t="s">
        <v>28</v>
      </c>
      <c r="B860" s="6" t="s">
        <v>296</v>
      </c>
      <c r="C860" s="7">
        <v>33979</v>
      </c>
      <c r="D860" s="6" t="s">
        <v>39</v>
      </c>
      <c r="E860" s="6" t="s">
        <v>40</v>
      </c>
      <c r="F860" s="6" t="s">
        <v>181</v>
      </c>
      <c r="G860" s="6" t="s">
        <v>32</v>
      </c>
      <c r="H860" s="6" t="s">
        <v>19</v>
      </c>
      <c r="I860" s="6" t="s">
        <v>767</v>
      </c>
      <c r="J860" s="6" t="s">
        <v>767</v>
      </c>
      <c r="K860" s="7">
        <v>6117136</v>
      </c>
      <c r="L860" s="7">
        <v>304203</v>
      </c>
      <c r="M860" s="7">
        <v>19</v>
      </c>
      <c r="N860" s="7">
        <v>3</v>
      </c>
      <c r="O860" s="7">
        <v>5</v>
      </c>
    </row>
    <row r="861" spans="1:15" x14ac:dyDescent="0.25">
      <c r="A861" s="6" t="s">
        <v>14</v>
      </c>
      <c r="B861" s="6" t="s">
        <v>296</v>
      </c>
      <c r="C861" s="7">
        <v>34346</v>
      </c>
      <c r="D861" s="6" t="s">
        <v>42</v>
      </c>
      <c r="E861" s="6" t="s">
        <v>196</v>
      </c>
      <c r="F861" s="6" t="s">
        <v>411</v>
      </c>
      <c r="G861" s="6" t="s">
        <v>32</v>
      </c>
      <c r="H861" s="6" t="s">
        <v>101</v>
      </c>
      <c r="I861" s="6" t="s">
        <v>767</v>
      </c>
      <c r="J861" s="6" t="s">
        <v>767</v>
      </c>
      <c r="K861" s="7">
        <v>6220938</v>
      </c>
      <c r="L861" s="7">
        <v>329271</v>
      </c>
      <c r="M861" s="7">
        <v>19</v>
      </c>
      <c r="N861" s="7">
        <v>1</v>
      </c>
      <c r="O861" s="7">
        <v>2.02</v>
      </c>
    </row>
    <row r="862" spans="1:15" x14ac:dyDescent="0.25">
      <c r="A862" s="6" t="s">
        <v>14</v>
      </c>
      <c r="B862" s="6" t="s">
        <v>296</v>
      </c>
      <c r="C862" s="7">
        <v>34349</v>
      </c>
      <c r="D862" s="6" t="s">
        <v>42</v>
      </c>
      <c r="E862" s="6" t="s">
        <v>196</v>
      </c>
      <c r="F862" s="6" t="s">
        <v>411</v>
      </c>
      <c r="G862" s="6" t="s">
        <v>32</v>
      </c>
      <c r="H862" s="6" t="s">
        <v>101</v>
      </c>
      <c r="I862" s="6" t="s">
        <v>767</v>
      </c>
      <c r="J862" s="6" t="s">
        <v>767</v>
      </c>
      <c r="K862" s="7">
        <v>6220891</v>
      </c>
      <c r="L862" s="7">
        <v>329388</v>
      </c>
      <c r="M862" s="7">
        <v>19</v>
      </c>
      <c r="N862" s="7">
        <v>1</v>
      </c>
      <c r="O862" s="7">
        <v>0.99</v>
      </c>
    </row>
    <row r="863" spans="1:15" x14ac:dyDescent="0.25">
      <c r="A863" s="6" t="s">
        <v>14</v>
      </c>
      <c r="B863" s="6" t="s">
        <v>296</v>
      </c>
      <c r="C863" s="7">
        <v>34388</v>
      </c>
      <c r="D863" s="6" t="s">
        <v>42</v>
      </c>
      <c r="E863" s="6" t="s">
        <v>196</v>
      </c>
      <c r="F863" s="6" t="s">
        <v>411</v>
      </c>
      <c r="G863" s="6" t="s">
        <v>32</v>
      </c>
      <c r="H863" s="6" t="s">
        <v>101</v>
      </c>
      <c r="I863" s="6" t="s">
        <v>767</v>
      </c>
      <c r="J863" s="6" t="s">
        <v>767</v>
      </c>
      <c r="K863" s="7">
        <v>6220962</v>
      </c>
      <c r="L863" s="7">
        <v>329517</v>
      </c>
      <c r="M863" s="7">
        <v>19</v>
      </c>
      <c r="N863" s="7">
        <v>1</v>
      </c>
      <c r="O863" s="7">
        <v>0.51</v>
      </c>
    </row>
    <row r="864" spans="1:15" x14ac:dyDescent="0.25">
      <c r="A864" s="6" t="s">
        <v>14</v>
      </c>
      <c r="B864" s="6" t="s">
        <v>296</v>
      </c>
      <c r="C864" s="7">
        <v>34389</v>
      </c>
      <c r="D864" s="6" t="s">
        <v>42</v>
      </c>
      <c r="E864" s="6" t="s">
        <v>196</v>
      </c>
      <c r="F864" s="6" t="s">
        <v>411</v>
      </c>
      <c r="G864" s="6" t="s">
        <v>32</v>
      </c>
      <c r="H864" s="6" t="s">
        <v>101</v>
      </c>
      <c r="I864" s="6" t="s">
        <v>767</v>
      </c>
      <c r="J864" s="6" t="s">
        <v>767</v>
      </c>
      <c r="K864" s="7">
        <v>6221073</v>
      </c>
      <c r="L864" s="7">
        <v>329274</v>
      </c>
      <c r="M864" s="7">
        <v>19</v>
      </c>
      <c r="N864" s="7">
        <v>1</v>
      </c>
      <c r="O864" s="7">
        <v>0.52</v>
      </c>
    </row>
    <row r="865" spans="1:15" x14ac:dyDescent="0.25">
      <c r="A865" s="6" t="s">
        <v>14</v>
      </c>
      <c r="B865" s="6" t="s">
        <v>296</v>
      </c>
      <c r="C865" s="7">
        <v>34390</v>
      </c>
      <c r="D865" s="6" t="s">
        <v>42</v>
      </c>
      <c r="E865" s="6" t="s">
        <v>196</v>
      </c>
      <c r="F865" s="6" t="s">
        <v>411</v>
      </c>
      <c r="G865" s="6" t="s">
        <v>32</v>
      </c>
      <c r="H865" s="6" t="s">
        <v>101</v>
      </c>
      <c r="I865" s="6" t="s">
        <v>767</v>
      </c>
      <c r="J865" s="6" t="s">
        <v>767</v>
      </c>
      <c r="K865" s="7">
        <v>6220950</v>
      </c>
      <c r="L865" s="7">
        <v>329390</v>
      </c>
      <c r="M865" s="7">
        <v>19</v>
      </c>
      <c r="N865" s="7">
        <v>1</v>
      </c>
      <c r="O865" s="7">
        <v>1.42</v>
      </c>
    </row>
    <row r="866" spans="1:15" x14ac:dyDescent="0.25">
      <c r="A866" s="6" t="s">
        <v>14</v>
      </c>
      <c r="B866" s="6" t="s">
        <v>296</v>
      </c>
      <c r="C866" s="7">
        <v>34391</v>
      </c>
      <c r="D866" s="6" t="s">
        <v>42</v>
      </c>
      <c r="E866" s="6" t="s">
        <v>196</v>
      </c>
      <c r="F866" s="6" t="s">
        <v>411</v>
      </c>
      <c r="G866" s="6" t="s">
        <v>32</v>
      </c>
      <c r="H866" s="6" t="s">
        <v>101</v>
      </c>
      <c r="I866" s="6" t="s">
        <v>767</v>
      </c>
      <c r="J866" s="6" t="s">
        <v>767</v>
      </c>
      <c r="K866" s="7">
        <v>6220838</v>
      </c>
      <c r="L866" s="7">
        <v>329543</v>
      </c>
      <c r="M866" s="7">
        <v>19</v>
      </c>
      <c r="N866" s="7">
        <v>1</v>
      </c>
      <c r="O866" s="7">
        <v>0.34</v>
      </c>
    </row>
    <row r="867" spans="1:15" x14ac:dyDescent="0.25">
      <c r="A867" s="6" t="s">
        <v>14</v>
      </c>
      <c r="B867" s="6" t="s">
        <v>296</v>
      </c>
      <c r="C867" s="7">
        <v>34393</v>
      </c>
      <c r="D867" s="6" t="s">
        <v>42</v>
      </c>
      <c r="E867" s="6" t="s">
        <v>196</v>
      </c>
      <c r="F867" s="6" t="s">
        <v>411</v>
      </c>
      <c r="G867" s="6" t="s">
        <v>32</v>
      </c>
      <c r="H867" s="6" t="s">
        <v>101</v>
      </c>
      <c r="I867" s="6" t="s">
        <v>767</v>
      </c>
      <c r="J867" s="6" t="s">
        <v>767</v>
      </c>
      <c r="K867" s="7">
        <v>6221067</v>
      </c>
      <c r="L867" s="7">
        <v>329400</v>
      </c>
      <c r="M867" s="7">
        <v>19</v>
      </c>
      <c r="N867" s="7">
        <v>1</v>
      </c>
      <c r="O867" s="7">
        <v>0.42</v>
      </c>
    </row>
    <row r="868" spans="1:15" x14ac:dyDescent="0.25">
      <c r="A868" s="6" t="s">
        <v>14</v>
      </c>
      <c r="B868" s="6" t="s">
        <v>296</v>
      </c>
      <c r="C868" s="7">
        <v>34395</v>
      </c>
      <c r="D868" s="6" t="s">
        <v>42</v>
      </c>
      <c r="E868" s="6" t="s">
        <v>196</v>
      </c>
      <c r="F868" s="6" t="s">
        <v>411</v>
      </c>
      <c r="G868" s="6" t="s">
        <v>32</v>
      </c>
      <c r="H868" s="6" t="s">
        <v>101</v>
      </c>
      <c r="I868" s="6" t="s">
        <v>767</v>
      </c>
      <c r="J868" s="6" t="s">
        <v>767</v>
      </c>
      <c r="K868" s="7">
        <v>6221036</v>
      </c>
      <c r="L868" s="7">
        <v>329529</v>
      </c>
      <c r="M868" s="7">
        <v>19</v>
      </c>
      <c r="N868" s="7">
        <v>1</v>
      </c>
      <c r="O868" s="7">
        <v>0.28000000000000003</v>
      </c>
    </row>
    <row r="869" spans="1:15" x14ac:dyDescent="0.25">
      <c r="A869" s="6" t="s">
        <v>14</v>
      </c>
      <c r="B869" s="6" t="s">
        <v>296</v>
      </c>
      <c r="C869" s="7">
        <v>34397</v>
      </c>
      <c r="D869" s="6" t="s">
        <v>42</v>
      </c>
      <c r="E869" s="6" t="s">
        <v>196</v>
      </c>
      <c r="F869" s="6" t="s">
        <v>411</v>
      </c>
      <c r="G869" s="6" t="s">
        <v>32</v>
      </c>
      <c r="H869" s="6" t="s">
        <v>101</v>
      </c>
      <c r="I869" s="6" t="s">
        <v>767</v>
      </c>
      <c r="J869" s="6" t="s">
        <v>767</v>
      </c>
      <c r="K869" s="7">
        <v>6220927</v>
      </c>
      <c r="L869" s="7">
        <v>329519</v>
      </c>
      <c r="M869" s="7">
        <v>19</v>
      </c>
      <c r="N869" s="7">
        <v>1</v>
      </c>
      <c r="O869" s="7">
        <v>0.18</v>
      </c>
    </row>
    <row r="870" spans="1:15" x14ac:dyDescent="0.25">
      <c r="A870" s="6" t="s">
        <v>14</v>
      </c>
      <c r="B870" s="6" t="s">
        <v>296</v>
      </c>
      <c r="C870" s="7">
        <v>34401</v>
      </c>
      <c r="D870" s="6" t="s">
        <v>42</v>
      </c>
      <c r="E870" s="6" t="s">
        <v>196</v>
      </c>
      <c r="F870" s="6" t="s">
        <v>411</v>
      </c>
      <c r="G870" s="6" t="s">
        <v>32</v>
      </c>
      <c r="H870" s="6" t="s">
        <v>101</v>
      </c>
      <c r="I870" s="6" t="s">
        <v>767</v>
      </c>
      <c r="J870" s="6" t="s">
        <v>767</v>
      </c>
      <c r="K870" s="7">
        <v>6221108</v>
      </c>
      <c r="L870" s="7">
        <v>328153</v>
      </c>
      <c r="M870" s="7">
        <v>19</v>
      </c>
      <c r="N870" s="7">
        <v>1</v>
      </c>
      <c r="O870" s="7">
        <v>0.5</v>
      </c>
    </row>
    <row r="871" spans="1:15" x14ac:dyDescent="0.25">
      <c r="A871" s="6" t="s">
        <v>14</v>
      </c>
      <c r="B871" s="6" t="s">
        <v>296</v>
      </c>
      <c r="C871" s="7">
        <v>34402</v>
      </c>
      <c r="D871" s="6" t="s">
        <v>42</v>
      </c>
      <c r="E871" s="6" t="s">
        <v>196</v>
      </c>
      <c r="F871" s="6" t="s">
        <v>411</v>
      </c>
      <c r="G871" s="6" t="s">
        <v>32</v>
      </c>
      <c r="H871" s="6" t="s">
        <v>101</v>
      </c>
      <c r="I871" s="6" t="s">
        <v>767</v>
      </c>
      <c r="J871" s="6" t="s">
        <v>767</v>
      </c>
      <c r="K871" s="7">
        <v>6220735</v>
      </c>
      <c r="L871" s="7">
        <v>328138</v>
      </c>
      <c r="M871" s="7">
        <v>19</v>
      </c>
      <c r="N871" s="7">
        <v>1</v>
      </c>
      <c r="O871" s="7">
        <v>0.13</v>
      </c>
    </row>
    <row r="872" spans="1:15" x14ac:dyDescent="0.25">
      <c r="A872" s="6" t="s">
        <v>14</v>
      </c>
      <c r="B872" s="6" t="s">
        <v>296</v>
      </c>
      <c r="C872" s="7">
        <v>34404</v>
      </c>
      <c r="D872" s="6" t="s">
        <v>42</v>
      </c>
      <c r="E872" s="6" t="s">
        <v>196</v>
      </c>
      <c r="F872" s="6" t="s">
        <v>203</v>
      </c>
      <c r="G872" s="6" t="s">
        <v>32</v>
      </c>
      <c r="H872" s="6" t="s">
        <v>101</v>
      </c>
      <c r="I872" s="6" t="s">
        <v>767</v>
      </c>
      <c r="J872" s="6" t="s">
        <v>767</v>
      </c>
      <c r="K872" s="7">
        <v>6220127</v>
      </c>
      <c r="L872" s="7">
        <v>335446</v>
      </c>
      <c r="M872" s="7">
        <v>19</v>
      </c>
      <c r="N872" s="7">
        <v>1</v>
      </c>
      <c r="O872" s="7">
        <v>0.05</v>
      </c>
    </row>
    <row r="873" spans="1:15" x14ac:dyDescent="0.25">
      <c r="A873" s="6" t="s">
        <v>22</v>
      </c>
      <c r="B873" s="6" t="s">
        <v>296</v>
      </c>
      <c r="C873" s="7">
        <v>34533</v>
      </c>
      <c r="D873" s="6" t="s">
        <v>42</v>
      </c>
      <c r="E873" s="6" t="s">
        <v>196</v>
      </c>
      <c r="F873" s="6" t="s">
        <v>411</v>
      </c>
      <c r="G873" s="6" t="s">
        <v>32</v>
      </c>
      <c r="H873" s="6" t="s">
        <v>765</v>
      </c>
      <c r="I873" s="6" t="s">
        <v>767</v>
      </c>
      <c r="J873" s="6" t="s">
        <v>767</v>
      </c>
      <c r="K873" s="7">
        <v>6220828</v>
      </c>
      <c r="L873" s="7">
        <v>328024</v>
      </c>
      <c r="M873" s="7">
        <v>19</v>
      </c>
      <c r="N873" s="7">
        <v>1</v>
      </c>
      <c r="O873" s="7">
        <v>0.62</v>
      </c>
    </row>
    <row r="874" spans="1:15" x14ac:dyDescent="0.25">
      <c r="A874" s="6" t="s">
        <v>14</v>
      </c>
      <c r="B874" s="6" t="s">
        <v>296</v>
      </c>
      <c r="C874" s="7">
        <v>34662</v>
      </c>
      <c r="D874" s="6" t="s">
        <v>42</v>
      </c>
      <c r="E874" s="6" t="s">
        <v>196</v>
      </c>
      <c r="F874" s="6" t="s">
        <v>196</v>
      </c>
      <c r="G874" s="6" t="s">
        <v>89</v>
      </c>
      <c r="H874" s="6" t="s">
        <v>101</v>
      </c>
      <c r="I874" s="6" t="s">
        <v>767</v>
      </c>
      <c r="J874" s="6" t="s">
        <v>767</v>
      </c>
      <c r="K874" s="7">
        <v>6218327</v>
      </c>
      <c r="L874" s="7">
        <v>336244</v>
      </c>
      <c r="M874" s="7">
        <v>19</v>
      </c>
      <c r="N874" s="7">
        <v>1</v>
      </c>
      <c r="O874" s="7">
        <v>3.28</v>
      </c>
    </row>
    <row r="875" spans="1:15" x14ac:dyDescent="0.25">
      <c r="A875" s="6" t="s">
        <v>14</v>
      </c>
      <c r="B875" s="6" t="s">
        <v>296</v>
      </c>
      <c r="C875" s="7">
        <v>34748</v>
      </c>
      <c r="D875" s="6" t="s">
        <v>42</v>
      </c>
      <c r="E875" s="6" t="s">
        <v>196</v>
      </c>
      <c r="F875" s="6" t="s">
        <v>411</v>
      </c>
      <c r="G875" s="6" t="s">
        <v>89</v>
      </c>
      <c r="H875" s="6" t="s">
        <v>101</v>
      </c>
      <c r="I875" s="6" t="s">
        <v>767</v>
      </c>
      <c r="J875" s="6" t="s">
        <v>767</v>
      </c>
      <c r="K875" s="7">
        <v>6221227</v>
      </c>
      <c r="L875" s="7">
        <v>329410</v>
      </c>
      <c r="M875" s="7">
        <v>19</v>
      </c>
      <c r="N875" s="7">
        <v>1</v>
      </c>
      <c r="O875" s="7">
        <v>5.31</v>
      </c>
    </row>
    <row r="876" spans="1:15" x14ac:dyDescent="0.25">
      <c r="A876" s="6" t="s">
        <v>14</v>
      </c>
      <c r="B876" s="6" t="s">
        <v>296</v>
      </c>
      <c r="C876" s="7">
        <v>34767</v>
      </c>
      <c r="D876" s="6" t="s">
        <v>42</v>
      </c>
      <c r="E876" s="6" t="s">
        <v>196</v>
      </c>
      <c r="F876" s="6" t="s">
        <v>411</v>
      </c>
      <c r="G876" s="6" t="s">
        <v>89</v>
      </c>
      <c r="H876" s="6" t="s">
        <v>101</v>
      </c>
      <c r="I876" s="6" t="s">
        <v>767</v>
      </c>
      <c r="J876" s="6" t="s">
        <v>767</v>
      </c>
      <c r="K876" s="7">
        <v>6220676</v>
      </c>
      <c r="L876" s="7">
        <v>329630</v>
      </c>
      <c r="M876" s="7">
        <v>19</v>
      </c>
      <c r="N876" s="7">
        <v>1</v>
      </c>
      <c r="O876" s="7">
        <v>14.02</v>
      </c>
    </row>
    <row r="877" spans="1:15" x14ac:dyDescent="0.25">
      <c r="A877" s="6" t="s">
        <v>14</v>
      </c>
      <c r="B877" s="6" t="s">
        <v>296</v>
      </c>
      <c r="C877" s="7">
        <v>34803</v>
      </c>
      <c r="D877" s="6" t="s">
        <v>42</v>
      </c>
      <c r="E877" s="6" t="s">
        <v>196</v>
      </c>
      <c r="F877" s="6" t="s">
        <v>411</v>
      </c>
      <c r="G877" s="6" t="s">
        <v>89</v>
      </c>
      <c r="H877" s="6" t="s">
        <v>101</v>
      </c>
      <c r="I877" s="6" t="s">
        <v>767</v>
      </c>
      <c r="J877" s="6" t="s">
        <v>767</v>
      </c>
      <c r="K877" s="7">
        <v>6220341</v>
      </c>
      <c r="L877" s="7">
        <v>329384</v>
      </c>
      <c r="M877" s="7">
        <v>19</v>
      </c>
      <c r="N877" s="7">
        <v>1</v>
      </c>
      <c r="O877" s="7">
        <v>34.58</v>
      </c>
    </row>
    <row r="878" spans="1:15" x14ac:dyDescent="0.25">
      <c r="A878" s="6" t="s">
        <v>14</v>
      </c>
      <c r="B878" s="6" t="s">
        <v>296</v>
      </c>
      <c r="C878" s="7">
        <v>34809</v>
      </c>
      <c r="D878" s="6" t="s">
        <v>42</v>
      </c>
      <c r="E878" s="6" t="s">
        <v>196</v>
      </c>
      <c r="F878" s="6" t="s">
        <v>411</v>
      </c>
      <c r="G878" s="6" t="s">
        <v>89</v>
      </c>
      <c r="H878" s="6" t="s">
        <v>101</v>
      </c>
      <c r="I878" s="6" t="s">
        <v>767</v>
      </c>
      <c r="J878" s="6" t="s">
        <v>767</v>
      </c>
      <c r="K878" s="7">
        <v>6220950</v>
      </c>
      <c r="L878" s="7">
        <v>328121</v>
      </c>
      <c r="M878" s="7">
        <v>19</v>
      </c>
      <c r="N878" s="7">
        <v>1</v>
      </c>
      <c r="O878" s="7">
        <v>8.14</v>
      </c>
    </row>
    <row r="879" spans="1:15" x14ac:dyDescent="0.25">
      <c r="A879" s="6" t="s">
        <v>14</v>
      </c>
      <c r="B879" s="6" t="s">
        <v>296</v>
      </c>
      <c r="C879" s="7">
        <v>34841</v>
      </c>
      <c r="D879" s="6" t="s">
        <v>42</v>
      </c>
      <c r="E879" s="6" t="s">
        <v>196</v>
      </c>
      <c r="F879" s="6" t="s">
        <v>411</v>
      </c>
      <c r="G879" s="6" t="s">
        <v>89</v>
      </c>
      <c r="H879" s="6" t="s">
        <v>101</v>
      </c>
      <c r="I879" s="6" t="s">
        <v>767</v>
      </c>
      <c r="J879" s="6" t="s">
        <v>767</v>
      </c>
      <c r="K879" s="7">
        <v>6220341</v>
      </c>
      <c r="L879" s="7">
        <v>329384</v>
      </c>
      <c r="M879" s="7">
        <v>19</v>
      </c>
      <c r="N879" s="7">
        <v>1</v>
      </c>
      <c r="O879" s="7">
        <v>0.52</v>
      </c>
    </row>
    <row r="880" spans="1:15" x14ac:dyDescent="0.25">
      <c r="A880" s="6" t="s">
        <v>14</v>
      </c>
      <c r="B880" s="6" t="s">
        <v>296</v>
      </c>
      <c r="C880" s="7">
        <v>34842</v>
      </c>
      <c r="D880" s="6" t="s">
        <v>42</v>
      </c>
      <c r="E880" s="6" t="s">
        <v>196</v>
      </c>
      <c r="F880" s="6" t="s">
        <v>411</v>
      </c>
      <c r="G880" s="6" t="s">
        <v>89</v>
      </c>
      <c r="H880" s="6" t="s">
        <v>101</v>
      </c>
      <c r="I880" s="6" t="s">
        <v>767</v>
      </c>
      <c r="J880" s="6" t="s">
        <v>767</v>
      </c>
      <c r="K880" s="7">
        <v>6220341</v>
      </c>
      <c r="L880" s="7">
        <v>329384</v>
      </c>
      <c r="M880" s="7">
        <v>19</v>
      </c>
      <c r="N880" s="7">
        <v>1</v>
      </c>
      <c r="O880" s="7">
        <v>0.59</v>
      </c>
    </row>
    <row r="881" spans="1:15" x14ac:dyDescent="0.25">
      <c r="A881" s="6" t="s">
        <v>14</v>
      </c>
      <c r="B881" s="6" t="s">
        <v>296</v>
      </c>
      <c r="C881" s="7">
        <v>34845</v>
      </c>
      <c r="D881" s="6" t="s">
        <v>16</v>
      </c>
      <c r="E881" s="6" t="s">
        <v>412</v>
      </c>
      <c r="F881" s="6" t="s">
        <v>378</v>
      </c>
      <c r="G881" s="6" t="s">
        <v>89</v>
      </c>
      <c r="H881" s="6" t="s">
        <v>101</v>
      </c>
      <c r="I881" s="6" t="s">
        <v>767</v>
      </c>
      <c r="J881" s="6" t="s">
        <v>767</v>
      </c>
      <c r="K881" s="7">
        <v>6362398</v>
      </c>
      <c r="L881" s="7">
        <v>293080</v>
      </c>
      <c r="M881" s="7">
        <v>19</v>
      </c>
      <c r="N881" s="7">
        <v>1</v>
      </c>
      <c r="O881" s="7">
        <v>3.06</v>
      </c>
    </row>
    <row r="882" spans="1:15" x14ac:dyDescent="0.25">
      <c r="A882" s="6" t="s">
        <v>14</v>
      </c>
      <c r="B882" s="6" t="s">
        <v>296</v>
      </c>
      <c r="C882" s="7">
        <v>34846</v>
      </c>
      <c r="D882" s="6" t="s">
        <v>16</v>
      </c>
      <c r="E882" s="6" t="s">
        <v>412</v>
      </c>
      <c r="F882" s="6" t="s">
        <v>378</v>
      </c>
      <c r="G882" s="6" t="s">
        <v>89</v>
      </c>
      <c r="H882" s="6" t="s">
        <v>101</v>
      </c>
      <c r="I882" s="6" t="s">
        <v>767</v>
      </c>
      <c r="J882" s="6" t="s">
        <v>767</v>
      </c>
      <c r="K882" s="7">
        <v>6362523</v>
      </c>
      <c r="L882" s="7">
        <v>292958</v>
      </c>
      <c r="M882" s="7">
        <v>19</v>
      </c>
      <c r="N882" s="7">
        <v>1</v>
      </c>
      <c r="O882" s="7">
        <v>1.08</v>
      </c>
    </row>
    <row r="883" spans="1:15" x14ac:dyDescent="0.25">
      <c r="A883" s="6" t="s">
        <v>14</v>
      </c>
      <c r="B883" s="6" t="s">
        <v>296</v>
      </c>
      <c r="C883" s="7">
        <v>34881</v>
      </c>
      <c r="D883" s="6" t="s">
        <v>16</v>
      </c>
      <c r="E883" s="6" t="s">
        <v>412</v>
      </c>
      <c r="F883" s="6" t="s">
        <v>378</v>
      </c>
      <c r="G883" s="6" t="s">
        <v>89</v>
      </c>
      <c r="H883" s="6" t="s">
        <v>101</v>
      </c>
      <c r="I883" s="6" t="s">
        <v>767</v>
      </c>
      <c r="J883" s="6" t="s">
        <v>767</v>
      </c>
      <c r="K883" s="7">
        <v>6362238</v>
      </c>
      <c r="L883" s="7">
        <v>293120</v>
      </c>
      <c r="M883" s="7">
        <v>19</v>
      </c>
      <c r="N883" s="7">
        <v>1</v>
      </c>
      <c r="O883" s="7">
        <v>6.84</v>
      </c>
    </row>
    <row r="884" spans="1:15" x14ac:dyDescent="0.25">
      <c r="A884" s="6" t="s">
        <v>14</v>
      </c>
      <c r="B884" s="6" t="s">
        <v>296</v>
      </c>
      <c r="C884" s="7">
        <v>35018</v>
      </c>
      <c r="D884" s="6" t="s">
        <v>42</v>
      </c>
      <c r="E884" s="6" t="s">
        <v>196</v>
      </c>
      <c r="F884" s="6" t="s">
        <v>411</v>
      </c>
      <c r="G884" s="6" t="s">
        <v>89</v>
      </c>
      <c r="H884" s="6" t="s">
        <v>101</v>
      </c>
      <c r="I884" s="6" t="s">
        <v>767</v>
      </c>
      <c r="J884" s="6" t="s">
        <v>767</v>
      </c>
      <c r="K884" s="7">
        <v>6220089</v>
      </c>
      <c r="L884" s="7">
        <v>328834</v>
      </c>
      <c r="M884" s="7">
        <v>19</v>
      </c>
      <c r="N884" s="7">
        <v>1</v>
      </c>
      <c r="O884" s="7">
        <v>0.5</v>
      </c>
    </row>
    <row r="885" spans="1:15" x14ac:dyDescent="0.25">
      <c r="A885" s="6" t="s">
        <v>14</v>
      </c>
      <c r="B885" s="6" t="s">
        <v>296</v>
      </c>
      <c r="C885" s="7">
        <v>35026</v>
      </c>
      <c r="D885" s="6" t="s">
        <v>42</v>
      </c>
      <c r="E885" s="6" t="s">
        <v>196</v>
      </c>
      <c r="F885" s="6" t="s">
        <v>203</v>
      </c>
      <c r="G885" s="6" t="s">
        <v>89</v>
      </c>
      <c r="H885" s="6" t="s">
        <v>101</v>
      </c>
      <c r="I885" s="6" t="s">
        <v>767</v>
      </c>
      <c r="J885" s="6" t="s">
        <v>767</v>
      </c>
      <c r="K885" s="7">
        <v>6219886</v>
      </c>
      <c r="L885" s="7">
        <v>335799</v>
      </c>
      <c r="M885" s="7">
        <v>19</v>
      </c>
      <c r="N885" s="7">
        <v>1</v>
      </c>
      <c r="O885" s="7">
        <v>0.32</v>
      </c>
    </row>
    <row r="886" spans="1:15" x14ac:dyDescent="0.25">
      <c r="A886" s="6" t="s">
        <v>14</v>
      </c>
      <c r="B886" s="6" t="s">
        <v>296</v>
      </c>
      <c r="C886" s="7">
        <v>35032</v>
      </c>
      <c r="D886" s="6" t="s">
        <v>42</v>
      </c>
      <c r="E886" s="6" t="s">
        <v>196</v>
      </c>
      <c r="F886" s="6" t="s">
        <v>203</v>
      </c>
      <c r="G886" s="6" t="s">
        <v>89</v>
      </c>
      <c r="H886" s="6" t="s">
        <v>101</v>
      </c>
      <c r="I886" s="6" t="s">
        <v>767</v>
      </c>
      <c r="J886" s="6" t="s">
        <v>767</v>
      </c>
      <c r="K886" s="7">
        <v>6219767</v>
      </c>
      <c r="L886" s="7">
        <v>335482</v>
      </c>
      <c r="M886" s="7">
        <v>19</v>
      </c>
      <c r="N886" s="7">
        <v>1</v>
      </c>
      <c r="O886" s="7">
        <v>0.23</v>
      </c>
    </row>
    <row r="887" spans="1:15" x14ac:dyDescent="0.25">
      <c r="A887" s="6" t="s">
        <v>14</v>
      </c>
      <c r="B887" s="6" t="s">
        <v>296</v>
      </c>
      <c r="C887" s="7">
        <v>35036</v>
      </c>
      <c r="D887" s="6" t="s">
        <v>42</v>
      </c>
      <c r="E887" s="6" t="s">
        <v>196</v>
      </c>
      <c r="F887" s="6" t="s">
        <v>203</v>
      </c>
      <c r="G887" s="6" t="s">
        <v>89</v>
      </c>
      <c r="H887" s="6" t="s">
        <v>101</v>
      </c>
      <c r="I887" s="6" t="s">
        <v>767</v>
      </c>
      <c r="J887" s="6" t="s">
        <v>767</v>
      </c>
      <c r="K887" s="7">
        <v>6219627</v>
      </c>
      <c r="L887" s="7">
        <v>336014</v>
      </c>
      <c r="M887" s="7">
        <v>19</v>
      </c>
      <c r="N887" s="7">
        <v>1</v>
      </c>
      <c r="O887" s="7">
        <v>2.61</v>
      </c>
    </row>
    <row r="888" spans="1:15" x14ac:dyDescent="0.25">
      <c r="A888" s="6" t="s">
        <v>14</v>
      </c>
      <c r="B888" s="6" t="s">
        <v>296</v>
      </c>
      <c r="C888" s="7">
        <v>35038</v>
      </c>
      <c r="D888" s="6" t="s">
        <v>42</v>
      </c>
      <c r="E888" s="6" t="s">
        <v>196</v>
      </c>
      <c r="F888" s="6" t="s">
        <v>203</v>
      </c>
      <c r="G888" s="6" t="s">
        <v>89</v>
      </c>
      <c r="H888" s="6" t="s">
        <v>101</v>
      </c>
      <c r="I888" s="6" t="s">
        <v>767</v>
      </c>
      <c r="J888" s="6" t="s">
        <v>767</v>
      </c>
      <c r="K888" s="7">
        <v>6219719</v>
      </c>
      <c r="L888" s="7">
        <v>335688</v>
      </c>
      <c r="M888" s="7">
        <v>19</v>
      </c>
      <c r="N888" s="7">
        <v>1</v>
      </c>
      <c r="O888" s="7">
        <v>0.25</v>
      </c>
    </row>
    <row r="889" spans="1:15" x14ac:dyDescent="0.25">
      <c r="A889" s="6" t="s">
        <v>14</v>
      </c>
      <c r="B889" s="6" t="s">
        <v>296</v>
      </c>
      <c r="C889" s="7">
        <v>35039</v>
      </c>
      <c r="D889" s="6" t="s">
        <v>42</v>
      </c>
      <c r="E889" s="6" t="s">
        <v>196</v>
      </c>
      <c r="F889" s="6" t="s">
        <v>203</v>
      </c>
      <c r="G889" s="6" t="s">
        <v>89</v>
      </c>
      <c r="H889" s="6" t="s">
        <v>101</v>
      </c>
      <c r="I889" s="6" t="s">
        <v>767</v>
      </c>
      <c r="J889" s="6" t="s">
        <v>767</v>
      </c>
      <c r="K889" s="7">
        <v>6219668</v>
      </c>
      <c r="L889" s="7">
        <v>335776</v>
      </c>
      <c r="M889" s="7">
        <v>19</v>
      </c>
      <c r="N889" s="7">
        <v>1</v>
      </c>
      <c r="O889" s="7">
        <v>0.5</v>
      </c>
    </row>
    <row r="890" spans="1:15" x14ac:dyDescent="0.25">
      <c r="A890" s="6" t="s">
        <v>14</v>
      </c>
      <c r="B890" s="6" t="s">
        <v>296</v>
      </c>
      <c r="C890" s="7">
        <v>35041</v>
      </c>
      <c r="D890" s="6" t="s">
        <v>42</v>
      </c>
      <c r="E890" s="6" t="s">
        <v>196</v>
      </c>
      <c r="F890" s="6" t="s">
        <v>196</v>
      </c>
      <c r="G890" s="6" t="s">
        <v>89</v>
      </c>
      <c r="H890" s="6" t="s">
        <v>101</v>
      </c>
      <c r="I890" s="6" t="s">
        <v>767</v>
      </c>
      <c r="J890" s="6" t="s">
        <v>767</v>
      </c>
      <c r="K890" s="7">
        <v>6218290</v>
      </c>
      <c r="L890" s="7">
        <v>336039</v>
      </c>
      <c r="M890" s="7">
        <v>19</v>
      </c>
      <c r="N890" s="7">
        <v>1</v>
      </c>
      <c r="O890" s="7">
        <v>0.16</v>
      </c>
    </row>
    <row r="891" spans="1:15" x14ac:dyDescent="0.25">
      <c r="A891" s="6" t="s">
        <v>14</v>
      </c>
      <c r="B891" s="6" t="s">
        <v>296</v>
      </c>
      <c r="C891" s="7">
        <v>35042</v>
      </c>
      <c r="D891" s="6" t="s">
        <v>42</v>
      </c>
      <c r="E891" s="6" t="s">
        <v>196</v>
      </c>
      <c r="F891" s="6" t="s">
        <v>196</v>
      </c>
      <c r="G891" s="6" t="s">
        <v>89</v>
      </c>
      <c r="H891" s="6" t="s">
        <v>101</v>
      </c>
      <c r="I891" s="6" t="s">
        <v>767</v>
      </c>
      <c r="J891" s="6" t="s">
        <v>767</v>
      </c>
      <c r="K891" s="7">
        <v>6218290</v>
      </c>
      <c r="L891" s="7">
        <v>336039</v>
      </c>
      <c r="M891" s="7">
        <v>19</v>
      </c>
      <c r="N891" s="7">
        <v>1</v>
      </c>
      <c r="O891" s="7">
        <v>0.44</v>
      </c>
    </row>
    <row r="892" spans="1:15" x14ac:dyDescent="0.25">
      <c r="A892" s="6" t="s">
        <v>14</v>
      </c>
      <c r="B892" s="6" t="s">
        <v>296</v>
      </c>
      <c r="C892" s="7">
        <v>35043</v>
      </c>
      <c r="D892" s="6" t="s">
        <v>42</v>
      </c>
      <c r="E892" s="6" t="s">
        <v>196</v>
      </c>
      <c r="F892" s="6" t="s">
        <v>196</v>
      </c>
      <c r="G892" s="6" t="s">
        <v>89</v>
      </c>
      <c r="H892" s="6" t="s">
        <v>101</v>
      </c>
      <c r="I892" s="6" t="s">
        <v>767</v>
      </c>
      <c r="J892" s="6" t="s">
        <v>767</v>
      </c>
      <c r="K892" s="7">
        <v>6218291</v>
      </c>
      <c r="L892" s="7">
        <v>336039</v>
      </c>
      <c r="M892" s="7">
        <v>19</v>
      </c>
      <c r="N892" s="7">
        <v>1</v>
      </c>
      <c r="O892" s="7">
        <v>0.41</v>
      </c>
    </row>
    <row r="893" spans="1:15" x14ac:dyDescent="0.25">
      <c r="A893" s="6" t="s">
        <v>14</v>
      </c>
      <c r="B893" s="6" t="s">
        <v>296</v>
      </c>
      <c r="C893" s="7">
        <v>35084</v>
      </c>
      <c r="D893" s="6" t="s">
        <v>42</v>
      </c>
      <c r="E893" s="6" t="s">
        <v>196</v>
      </c>
      <c r="F893" s="6" t="s">
        <v>203</v>
      </c>
      <c r="G893" s="6" t="s">
        <v>89</v>
      </c>
      <c r="H893" s="6" t="s">
        <v>101</v>
      </c>
      <c r="I893" s="6" t="s">
        <v>767</v>
      </c>
      <c r="J893" s="6" t="s">
        <v>767</v>
      </c>
      <c r="K893" s="7">
        <v>6219558</v>
      </c>
      <c r="L893" s="7">
        <v>336010</v>
      </c>
      <c r="M893" s="7">
        <v>19</v>
      </c>
      <c r="N893" s="7">
        <v>1</v>
      </c>
      <c r="O893" s="7">
        <v>0.06</v>
      </c>
    </row>
    <row r="894" spans="1:15" x14ac:dyDescent="0.25">
      <c r="A894" s="6" t="s">
        <v>28</v>
      </c>
      <c r="B894" s="6" t="s">
        <v>296</v>
      </c>
      <c r="C894" s="7">
        <v>35097</v>
      </c>
      <c r="D894" s="6" t="s">
        <v>39</v>
      </c>
      <c r="E894" s="6" t="s">
        <v>87</v>
      </c>
      <c r="F894" s="6" t="s">
        <v>340</v>
      </c>
      <c r="G894" s="6" t="s">
        <v>32</v>
      </c>
      <c r="H894" s="6" t="s">
        <v>19</v>
      </c>
      <c r="I894" s="6" t="s">
        <v>767</v>
      </c>
      <c r="J894" s="6" t="s">
        <v>767</v>
      </c>
      <c r="K894" s="7">
        <v>6096743</v>
      </c>
      <c r="L894" s="7">
        <v>301861</v>
      </c>
      <c r="M894" s="7">
        <v>19</v>
      </c>
      <c r="N894" s="7">
        <v>1</v>
      </c>
      <c r="O894" s="7">
        <v>0.5</v>
      </c>
    </row>
    <row r="895" spans="1:15" x14ac:dyDescent="0.25">
      <c r="A895" s="6" t="s">
        <v>14</v>
      </c>
      <c r="B895" s="6" t="s">
        <v>296</v>
      </c>
      <c r="C895" s="7">
        <v>35131</v>
      </c>
      <c r="D895" s="6" t="s">
        <v>42</v>
      </c>
      <c r="E895" s="6" t="s">
        <v>196</v>
      </c>
      <c r="F895" s="6" t="s">
        <v>203</v>
      </c>
      <c r="G895" s="6" t="s">
        <v>89</v>
      </c>
      <c r="H895" s="6" t="s">
        <v>101</v>
      </c>
      <c r="I895" s="6" t="s">
        <v>767</v>
      </c>
      <c r="J895" s="6" t="s">
        <v>767</v>
      </c>
      <c r="K895" s="7">
        <v>6219890</v>
      </c>
      <c r="L895" s="7">
        <v>335655</v>
      </c>
      <c r="M895" s="7">
        <v>19</v>
      </c>
      <c r="N895" s="7">
        <v>1</v>
      </c>
      <c r="O895" s="7">
        <v>0.22</v>
      </c>
    </row>
    <row r="896" spans="1:15" x14ac:dyDescent="0.25">
      <c r="A896" s="6" t="s">
        <v>14</v>
      </c>
      <c r="B896" s="6" t="s">
        <v>296</v>
      </c>
      <c r="C896" s="7">
        <v>35215</v>
      </c>
      <c r="D896" s="6" t="s">
        <v>42</v>
      </c>
      <c r="E896" s="6" t="s">
        <v>196</v>
      </c>
      <c r="F896" s="6" t="s">
        <v>203</v>
      </c>
      <c r="G896" s="6" t="s">
        <v>89</v>
      </c>
      <c r="H896" s="6" t="s">
        <v>101</v>
      </c>
      <c r="I896" s="6" t="s">
        <v>767</v>
      </c>
      <c r="J896" s="6" t="s">
        <v>767</v>
      </c>
      <c r="K896" s="7">
        <v>6219781</v>
      </c>
      <c r="L896" s="7">
        <v>335813</v>
      </c>
      <c r="M896" s="7">
        <v>19</v>
      </c>
      <c r="N896" s="7">
        <v>1</v>
      </c>
      <c r="O896" s="7">
        <v>19.940000000000001</v>
      </c>
    </row>
    <row r="897" spans="1:15" x14ac:dyDescent="0.25">
      <c r="A897" s="6" t="s">
        <v>14</v>
      </c>
      <c r="B897" s="6" t="s">
        <v>296</v>
      </c>
      <c r="C897" s="7">
        <v>35242</v>
      </c>
      <c r="D897" s="6" t="s">
        <v>297</v>
      </c>
      <c r="E897" s="6" t="s">
        <v>298</v>
      </c>
      <c r="F897" s="6" t="s">
        <v>298</v>
      </c>
      <c r="G897" s="6" t="s">
        <v>32</v>
      </c>
      <c r="H897" s="6" t="s">
        <v>19</v>
      </c>
      <c r="I897" s="6" t="s">
        <v>767</v>
      </c>
      <c r="J897" s="6" t="s">
        <v>767</v>
      </c>
      <c r="K897" s="7">
        <v>7953453</v>
      </c>
      <c r="L897" s="7">
        <v>371955</v>
      </c>
      <c r="M897" s="7">
        <v>19</v>
      </c>
      <c r="N897" s="7">
        <v>1</v>
      </c>
      <c r="O897" s="7">
        <v>0.17</v>
      </c>
    </row>
    <row r="898" spans="1:15" x14ac:dyDescent="0.25">
      <c r="A898" s="6" t="s">
        <v>14</v>
      </c>
      <c r="B898" s="6" t="s">
        <v>296</v>
      </c>
      <c r="C898" s="7">
        <v>35257</v>
      </c>
      <c r="D898" s="6" t="s">
        <v>297</v>
      </c>
      <c r="E898" s="6" t="s">
        <v>298</v>
      </c>
      <c r="F898" s="6" t="s">
        <v>299</v>
      </c>
      <c r="G898" s="6" t="s">
        <v>50</v>
      </c>
      <c r="H898" s="6" t="s">
        <v>19</v>
      </c>
      <c r="I898" s="6" t="s">
        <v>767</v>
      </c>
      <c r="J898" s="6" t="s">
        <v>767</v>
      </c>
      <c r="K898" s="7">
        <v>7923164</v>
      </c>
      <c r="L898" s="7">
        <v>371703</v>
      </c>
      <c r="M898" s="7">
        <v>19</v>
      </c>
      <c r="N898" s="7">
        <v>1</v>
      </c>
      <c r="O898" s="7">
        <v>1.04</v>
      </c>
    </row>
    <row r="899" spans="1:15" x14ac:dyDescent="0.25">
      <c r="A899" s="6" t="s">
        <v>14</v>
      </c>
      <c r="B899" s="6" t="s">
        <v>296</v>
      </c>
      <c r="C899" s="7">
        <v>35261</v>
      </c>
      <c r="D899" s="6" t="s">
        <v>297</v>
      </c>
      <c r="E899" s="6" t="s">
        <v>298</v>
      </c>
      <c r="F899" s="6" t="s">
        <v>299</v>
      </c>
      <c r="G899" s="6" t="s">
        <v>50</v>
      </c>
      <c r="H899" s="6" t="s">
        <v>19</v>
      </c>
      <c r="I899" s="6" t="s">
        <v>767</v>
      </c>
      <c r="J899" s="6" t="s">
        <v>767</v>
      </c>
      <c r="K899" s="7">
        <v>7923164</v>
      </c>
      <c r="L899" s="7">
        <v>371703</v>
      </c>
      <c r="M899" s="7">
        <v>19</v>
      </c>
      <c r="N899" s="7">
        <v>1</v>
      </c>
      <c r="O899" s="7">
        <v>0.23</v>
      </c>
    </row>
    <row r="900" spans="1:15" x14ac:dyDescent="0.25">
      <c r="A900" s="6" t="s">
        <v>22</v>
      </c>
      <c r="B900" s="6" t="s">
        <v>296</v>
      </c>
      <c r="C900" s="7">
        <v>35275</v>
      </c>
      <c r="D900" s="6" t="s">
        <v>297</v>
      </c>
      <c r="E900" s="6" t="s">
        <v>298</v>
      </c>
      <c r="F900" s="6" t="s">
        <v>298</v>
      </c>
      <c r="G900" s="6" t="s">
        <v>32</v>
      </c>
      <c r="H900" s="6" t="s">
        <v>765</v>
      </c>
      <c r="I900" s="6" t="s">
        <v>767</v>
      </c>
      <c r="J900" s="6" t="s">
        <v>767</v>
      </c>
      <c r="K900" s="7">
        <v>7953453</v>
      </c>
      <c r="L900" s="7">
        <v>371955</v>
      </c>
      <c r="M900" s="7">
        <v>19</v>
      </c>
      <c r="N900" s="7">
        <v>1</v>
      </c>
      <c r="O900" s="7">
        <v>1.2</v>
      </c>
    </row>
    <row r="901" spans="1:15" x14ac:dyDescent="0.25">
      <c r="A901" s="6" t="s">
        <v>22</v>
      </c>
      <c r="B901" s="6" t="s">
        <v>296</v>
      </c>
      <c r="C901" s="7">
        <v>35306</v>
      </c>
      <c r="D901" s="6" t="s">
        <v>297</v>
      </c>
      <c r="E901" s="6" t="s">
        <v>298</v>
      </c>
      <c r="F901" s="6" t="s">
        <v>299</v>
      </c>
      <c r="G901" s="6" t="s">
        <v>50</v>
      </c>
      <c r="H901" s="6" t="s">
        <v>765</v>
      </c>
      <c r="I901" s="6" t="s">
        <v>767</v>
      </c>
      <c r="J901" s="6" t="s">
        <v>767</v>
      </c>
      <c r="K901" s="7">
        <v>7923164</v>
      </c>
      <c r="L901" s="7">
        <v>371703</v>
      </c>
      <c r="M901" s="7">
        <v>19</v>
      </c>
      <c r="N901" s="7">
        <v>1</v>
      </c>
      <c r="O901" s="7">
        <v>0.14000000000000001</v>
      </c>
    </row>
    <row r="902" spans="1:15" x14ac:dyDescent="0.25">
      <c r="A902" s="6" t="s">
        <v>22</v>
      </c>
      <c r="B902" s="6" t="s">
        <v>296</v>
      </c>
      <c r="C902" s="7">
        <v>35307</v>
      </c>
      <c r="D902" s="6" t="s">
        <v>297</v>
      </c>
      <c r="E902" s="6" t="s">
        <v>298</v>
      </c>
      <c r="F902" s="6" t="s">
        <v>413</v>
      </c>
      <c r="G902" s="6" t="s">
        <v>50</v>
      </c>
      <c r="H902" s="6" t="s">
        <v>765</v>
      </c>
      <c r="I902" s="6" t="s">
        <v>767</v>
      </c>
      <c r="J902" s="6" t="s">
        <v>767</v>
      </c>
      <c r="K902" s="7">
        <v>7918550</v>
      </c>
      <c r="L902" s="7">
        <v>379852</v>
      </c>
      <c r="M902" s="7">
        <v>19</v>
      </c>
      <c r="N902" s="7">
        <v>1</v>
      </c>
      <c r="O902" s="7">
        <v>0.18</v>
      </c>
    </row>
    <row r="903" spans="1:15" x14ac:dyDescent="0.25">
      <c r="A903" s="6" t="s">
        <v>22</v>
      </c>
      <c r="B903" s="6" t="s">
        <v>296</v>
      </c>
      <c r="C903" s="7">
        <v>35336</v>
      </c>
      <c r="D903" s="6" t="s">
        <v>297</v>
      </c>
      <c r="E903" s="6" t="s">
        <v>298</v>
      </c>
      <c r="F903" s="6" t="s">
        <v>298</v>
      </c>
      <c r="G903" s="6" t="s">
        <v>89</v>
      </c>
      <c r="H903" s="6" t="s">
        <v>765</v>
      </c>
      <c r="I903" s="6" t="s">
        <v>767</v>
      </c>
      <c r="J903" s="6" t="s">
        <v>767</v>
      </c>
      <c r="K903" s="7">
        <v>7952476</v>
      </c>
      <c r="L903" s="7">
        <v>373331</v>
      </c>
      <c r="M903" s="7">
        <v>19</v>
      </c>
      <c r="N903" s="7">
        <v>1</v>
      </c>
      <c r="O903" s="7">
        <v>0.04</v>
      </c>
    </row>
    <row r="904" spans="1:15" x14ac:dyDescent="0.25">
      <c r="A904" s="6" t="s">
        <v>22</v>
      </c>
      <c r="B904" s="6" t="s">
        <v>296</v>
      </c>
      <c r="C904" s="7">
        <v>35337</v>
      </c>
      <c r="D904" s="6" t="s">
        <v>297</v>
      </c>
      <c r="E904" s="6" t="s">
        <v>298</v>
      </c>
      <c r="F904" s="6" t="s">
        <v>299</v>
      </c>
      <c r="G904" s="6" t="s">
        <v>50</v>
      </c>
      <c r="H904" s="6" t="s">
        <v>765</v>
      </c>
      <c r="I904" s="6" t="s">
        <v>767</v>
      </c>
      <c r="J904" s="6" t="s">
        <v>767</v>
      </c>
      <c r="K904" s="7">
        <v>7922618</v>
      </c>
      <c r="L904" s="7">
        <v>372096</v>
      </c>
      <c r="M904" s="7">
        <v>19</v>
      </c>
      <c r="N904" s="7">
        <v>1</v>
      </c>
      <c r="O904" s="7">
        <v>0.01</v>
      </c>
    </row>
    <row r="905" spans="1:15" x14ac:dyDescent="0.25">
      <c r="A905" s="6" t="s">
        <v>22</v>
      </c>
      <c r="B905" s="6" t="s">
        <v>414</v>
      </c>
      <c r="C905" s="7">
        <v>29881</v>
      </c>
      <c r="D905" s="6" t="s">
        <v>24</v>
      </c>
      <c r="E905" s="6" t="s">
        <v>31</v>
      </c>
      <c r="F905" s="6" t="s">
        <v>415</v>
      </c>
      <c r="G905" s="6" t="s">
        <v>50</v>
      </c>
      <c r="H905" s="6" t="s">
        <v>765</v>
      </c>
      <c r="I905" s="6" t="s">
        <v>767</v>
      </c>
      <c r="J905" s="6" t="s">
        <v>767</v>
      </c>
      <c r="K905" s="7">
        <v>6271200</v>
      </c>
      <c r="L905" s="7">
        <v>300487</v>
      </c>
      <c r="M905" s="7">
        <v>19</v>
      </c>
      <c r="N905" s="7">
        <v>1</v>
      </c>
      <c r="O905" s="7">
        <v>0.9</v>
      </c>
    </row>
    <row r="906" spans="1:15" x14ac:dyDescent="0.25">
      <c r="A906" s="6" t="s">
        <v>28</v>
      </c>
      <c r="B906" s="6" t="s">
        <v>414</v>
      </c>
      <c r="C906" s="7">
        <v>30083</v>
      </c>
      <c r="D906" s="6" t="s">
        <v>24</v>
      </c>
      <c r="E906" s="6" t="s">
        <v>62</v>
      </c>
      <c r="F906" s="6" t="s">
        <v>416</v>
      </c>
      <c r="G906" s="6" t="s">
        <v>32</v>
      </c>
      <c r="H906" s="6" t="s">
        <v>33</v>
      </c>
      <c r="I906" s="6" t="s">
        <v>767</v>
      </c>
      <c r="J906" s="6" t="s">
        <v>764</v>
      </c>
      <c r="K906" s="7">
        <v>6279657</v>
      </c>
      <c r="L906" s="7">
        <v>330967</v>
      </c>
      <c r="M906" s="7">
        <v>19</v>
      </c>
      <c r="N906" s="7">
        <v>2</v>
      </c>
      <c r="O906" s="7">
        <v>12</v>
      </c>
    </row>
    <row r="907" spans="1:15" x14ac:dyDescent="0.25">
      <c r="A907" s="6" t="s">
        <v>28</v>
      </c>
      <c r="B907" s="6" t="s">
        <v>414</v>
      </c>
      <c r="C907" s="7">
        <v>30117</v>
      </c>
      <c r="D907" s="6" t="s">
        <v>24</v>
      </c>
      <c r="E907" s="6" t="s">
        <v>96</v>
      </c>
      <c r="F907" s="6" t="s">
        <v>417</v>
      </c>
      <c r="G907" s="6" t="s">
        <v>32</v>
      </c>
      <c r="H907" s="6" t="s">
        <v>19</v>
      </c>
      <c r="I907" s="6" t="s">
        <v>767</v>
      </c>
      <c r="J907" s="6" t="s">
        <v>767</v>
      </c>
      <c r="K907" s="7">
        <v>6246317</v>
      </c>
      <c r="L907" s="7">
        <v>339004</v>
      </c>
      <c r="M907" s="7">
        <v>19</v>
      </c>
      <c r="N907" s="7">
        <v>1</v>
      </c>
      <c r="O907" s="7">
        <v>0.4</v>
      </c>
    </row>
    <row r="908" spans="1:15" x14ac:dyDescent="0.25">
      <c r="A908" s="6" t="s">
        <v>28</v>
      </c>
      <c r="B908" s="6" t="s">
        <v>414</v>
      </c>
      <c r="C908" s="7">
        <v>30118</v>
      </c>
      <c r="D908" s="6" t="s">
        <v>24</v>
      </c>
      <c r="E908" s="6" t="s">
        <v>96</v>
      </c>
      <c r="F908" s="6" t="s">
        <v>417</v>
      </c>
      <c r="G908" s="6" t="s">
        <v>32</v>
      </c>
      <c r="H908" s="6" t="s">
        <v>19</v>
      </c>
      <c r="I908" s="6" t="s">
        <v>767</v>
      </c>
      <c r="J908" s="6" t="s">
        <v>767</v>
      </c>
      <c r="K908" s="7">
        <v>6245691</v>
      </c>
      <c r="L908" s="7">
        <v>339008</v>
      </c>
      <c r="M908" s="7">
        <v>19</v>
      </c>
      <c r="N908" s="7">
        <v>1</v>
      </c>
      <c r="O908" s="7">
        <v>0.4</v>
      </c>
    </row>
    <row r="909" spans="1:15" x14ac:dyDescent="0.25">
      <c r="A909" s="6" t="s">
        <v>28</v>
      </c>
      <c r="B909" s="6" t="s">
        <v>414</v>
      </c>
      <c r="C909" s="7">
        <v>30137</v>
      </c>
      <c r="D909" s="6" t="s">
        <v>24</v>
      </c>
      <c r="E909" s="6" t="s">
        <v>96</v>
      </c>
      <c r="F909" s="6" t="s">
        <v>96</v>
      </c>
      <c r="G909" s="6" t="s">
        <v>32</v>
      </c>
      <c r="H909" s="6" t="s">
        <v>19</v>
      </c>
      <c r="I909" s="6" t="s">
        <v>767</v>
      </c>
      <c r="J909" s="6" t="s">
        <v>767</v>
      </c>
      <c r="K909" s="7">
        <v>6260599</v>
      </c>
      <c r="L909" s="7">
        <v>339072</v>
      </c>
      <c r="M909" s="7">
        <v>19</v>
      </c>
      <c r="N909" s="7">
        <v>1</v>
      </c>
      <c r="O909" s="7">
        <v>0.4</v>
      </c>
    </row>
    <row r="910" spans="1:15" x14ac:dyDescent="0.25">
      <c r="A910" s="6" t="s">
        <v>28</v>
      </c>
      <c r="B910" s="6" t="s">
        <v>414</v>
      </c>
      <c r="C910" s="7">
        <v>30146</v>
      </c>
      <c r="D910" s="6" t="s">
        <v>24</v>
      </c>
      <c r="E910" s="6" t="s">
        <v>56</v>
      </c>
      <c r="F910" s="6" t="s">
        <v>418</v>
      </c>
      <c r="G910" s="6" t="s">
        <v>32</v>
      </c>
      <c r="H910" s="6" t="s">
        <v>19</v>
      </c>
      <c r="I910" s="6" t="s">
        <v>767</v>
      </c>
      <c r="J910" s="6" t="s">
        <v>767</v>
      </c>
      <c r="K910" s="7">
        <v>6273206</v>
      </c>
      <c r="L910" s="7">
        <v>339360</v>
      </c>
      <c r="M910" s="7">
        <v>19</v>
      </c>
      <c r="N910" s="7">
        <v>1</v>
      </c>
      <c r="O910" s="7">
        <v>1.65</v>
      </c>
    </row>
    <row r="911" spans="1:15" x14ac:dyDescent="0.25">
      <c r="A911" s="6" t="s">
        <v>28</v>
      </c>
      <c r="B911" s="6" t="s">
        <v>414</v>
      </c>
      <c r="C911" s="7">
        <v>30147</v>
      </c>
      <c r="D911" s="6" t="s">
        <v>24</v>
      </c>
      <c r="E911" s="6" t="s">
        <v>56</v>
      </c>
      <c r="F911" s="6" t="s">
        <v>419</v>
      </c>
      <c r="G911" s="6" t="s">
        <v>32</v>
      </c>
      <c r="H911" s="6" t="s">
        <v>19</v>
      </c>
      <c r="I911" s="6" t="s">
        <v>767</v>
      </c>
      <c r="J911" s="6" t="s">
        <v>767</v>
      </c>
      <c r="K911" s="7">
        <v>6275200</v>
      </c>
      <c r="L911" s="7">
        <v>342171</v>
      </c>
      <c r="M911" s="7">
        <v>19</v>
      </c>
      <c r="N911" s="7">
        <v>1</v>
      </c>
      <c r="O911" s="7">
        <v>6</v>
      </c>
    </row>
    <row r="912" spans="1:15" x14ac:dyDescent="0.25">
      <c r="A912" s="6" t="s">
        <v>28</v>
      </c>
      <c r="B912" s="6" t="s">
        <v>414</v>
      </c>
      <c r="C912" s="7">
        <v>30149</v>
      </c>
      <c r="D912" s="6" t="s">
        <v>24</v>
      </c>
      <c r="E912" s="6" t="s">
        <v>56</v>
      </c>
      <c r="F912" s="6" t="s">
        <v>419</v>
      </c>
      <c r="G912" s="6" t="s">
        <v>32</v>
      </c>
      <c r="H912" s="6" t="s">
        <v>19</v>
      </c>
      <c r="I912" s="6" t="s">
        <v>767</v>
      </c>
      <c r="J912" s="6" t="s">
        <v>767</v>
      </c>
      <c r="K912" s="7">
        <v>6278034</v>
      </c>
      <c r="L912" s="7">
        <v>343299</v>
      </c>
      <c r="M912" s="7">
        <v>19</v>
      </c>
      <c r="N912" s="7">
        <v>1</v>
      </c>
      <c r="O912" s="7">
        <v>2.5</v>
      </c>
    </row>
    <row r="913" spans="1:15" x14ac:dyDescent="0.25">
      <c r="A913" s="6" t="s">
        <v>28</v>
      </c>
      <c r="B913" s="6" t="s">
        <v>414</v>
      </c>
      <c r="C913" s="7">
        <v>30154</v>
      </c>
      <c r="D913" s="6" t="s">
        <v>39</v>
      </c>
      <c r="E913" s="6" t="s">
        <v>40</v>
      </c>
      <c r="F913" s="6" t="s">
        <v>181</v>
      </c>
      <c r="G913" s="6" t="s">
        <v>32</v>
      </c>
      <c r="H913" s="6" t="s">
        <v>33</v>
      </c>
      <c r="I913" s="6" t="s">
        <v>767</v>
      </c>
      <c r="J913" s="6" t="s">
        <v>764</v>
      </c>
      <c r="K913" s="7">
        <v>6145193</v>
      </c>
      <c r="L913" s="7">
        <v>312475</v>
      </c>
      <c r="M913" s="7">
        <v>19</v>
      </c>
      <c r="N913" s="7">
        <v>1</v>
      </c>
      <c r="O913" s="7">
        <v>60</v>
      </c>
    </row>
    <row r="914" spans="1:15" x14ac:dyDescent="0.25">
      <c r="A914" s="6" t="s">
        <v>28</v>
      </c>
      <c r="B914" s="6" t="s">
        <v>414</v>
      </c>
      <c r="C914" s="7">
        <v>30155</v>
      </c>
      <c r="D914" s="6" t="s">
        <v>39</v>
      </c>
      <c r="E914" s="6" t="s">
        <v>179</v>
      </c>
      <c r="F914" s="6" t="s">
        <v>179</v>
      </c>
      <c r="G914" s="6" t="s">
        <v>32</v>
      </c>
      <c r="H914" s="6" t="s">
        <v>33</v>
      </c>
      <c r="I914" s="6" t="s">
        <v>767</v>
      </c>
      <c r="J914" s="6" t="s">
        <v>764</v>
      </c>
      <c r="K914" s="7">
        <v>6124764</v>
      </c>
      <c r="L914" s="7">
        <v>314036</v>
      </c>
      <c r="M914" s="7">
        <v>19</v>
      </c>
      <c r="N914" s="7">
        <v>1</v>
      </c>
      <c r="O914" s="7">
        <v>10</v>
      </c>
    </row>
    <row r="915" spans="1:15" x14ac:dyDescent="0.25">
      <c r="A915" s="6" t="s">
        <v>28</v>
      </c>
      <c r="B915" s="6" t="s">
        <v>414</v>
      </c>
      <c r="C915" s="7">
        <v>30161</v>
      </c>
      <c r="D915" s="6" t="s">
        <v>39</v>
      </c>
      <c r="E915" s="6" t="s">
        <v>310</v>
      </c>
      <c r="F915" s="6" t="s">
        <v>310</v>
      </c>
      <c r="G915" s="6" t="s">
        <v>32</v>
      </c>
      <c r="H915" s="6" t="s">
        <v>33</v>
      </c>
      <c r="I915" s="6" t="s">
        <v>767</v>
      </c>
      <c r="J915" s="6" t="s">
        <v>764</v>
      </c>
      <c r="K915" s="7">
        <v>6106170</v>
      </c>
      <c r="L915" s="7">
        <v>294284</v>
      </c>
      <c r="M915" s="7">
        <v>19</v>
      </c>
      <c r="N915" s="7">
        <v>1</v>
      </c>
      <c r="O915" s="7">
        <v>12</v>
      </c>
    </row>
    <row r="916" spans="1:15" x14ac:dyDescent="0.25">
      <c r="A916" s="6" t="s">
        <v>28</v>
      </c>
      <c r="B916" s="6" t="s">
        <v>414</v>
      </c>
      <c r="C916" s="7">
        <v>30162</v>
      </c>
      <c r="D916" s="6" t="s">
        <v>39</v>
      </c>
      <c r="E916" s="6" t="s">
        <v>40</v>
      </c>
      <c r="F916" s="6" t="s">
        <v>40</v>
      </c>
      <c r="G916" s="6" t="s">
        <v>32</v>
      </c>
      <c r="H916" s="6" t="s">
        <v>33</v>
      </c>
      <c r="I916" s="6" t="s">
        <v>767</v>
      </c>
      <c r="J916" s="6" t="s">
        <v>764</v>
      </c>
      <c r="K916" s="7">
        <v>6130270</v>
      </c>
      <c r="L916" s="7">
        <v>299949</v>
      </c>
      <c r="M916" s="7">
        <v>19</v>
      </c>
      <c r="N916" s="7">
        <v>1</v>
      </c>
      <c r="O916" s="7">
        <v>5.4</v>
      </c>
    </row>
    <row r="917" spans="1:15" x14ac:dyDescent="0.25">
      <c r="A917" s="6" t="s">
        <v>28</v>
      </c>
      <c r="B917" s="6" t="s">
        <v>414</v>
      </c>
      <c r="C917" s="7">
        <v>30163</v>
      </c>
      <c r="D917" s="6" t="s">
        <v>39</v>
      </c>
      <c r="E917" s="6" t="s">
        <v>40</v>
      </c>
      <c r="F917" s="6" t="s">
        <v>420</v>
      </c>
      <c r="G917" s="6" t="s">
        <v>32</v>
      </c>
      <c r="H917" s="6" t="s">
        <v>33</v>
      </c>
      <c r="I917" s="6" t="s">
        <v>767</v>
      </c>
      <c r="J917" s="6" t="s">
        <v>764</v>
      </c>
      <c r="K917" s="7">
        <v>6129276</v>
      </c>
      <c r="L917" s="7">
        <v>296404</v>
      </c>
      <c r="M917" s="7">
        <v>19</v>
      </c>
      <c r="N917" s="7">
        <v>1</v>
      </c>
      <c r="O917" s="7">
        <v>10</v>
      </c>
    </row>
    <row r="918" spans="1:15" x14ac:dyDescent="0.25">
      <c r="A918" s="6" t="s">
        <v>28</v>
      </c>
      <c r="B918" s="6" t="s">
        <v>414</v>
      </c>
      <c r="C918" s="7">
        <v>30166</v>
      </c>
      <c r="D918" s="6" t="s">
        <v>39</v>
      </c>
      <c r="E918" s="6" t="s">
        <v>40</v>
      </c>
      <c r="F918" s="6" t="s">
        <v>421</v>
      </c>
      <c r="G918" s="6" t="s">
        <v>32</v>
      </c>
      <c r="H918" s="6" t="s">
        <v>33</v>
      </c>
      <c r="I918" s="6" t="s">
        <v>767</v>
      </c>
      <c r="J918" s="6" t="s">
        <v>764</v>
      </c>
      <c r="K918" s="7">
        <v>6131820</v>
      </c>
      <c r="L918" s="7">
        <v>292973</v>
      </c>
      <c r="M918" s="7">
        <v>19</v>
      </c>
      <c r="N918" s="7">
        <v>2</v>
      </c>
      <c r="O918" s="7">
        <v>18</v>
      </c>
    </row>
    <row r="919" spans="1:15" x14ac:dyDescent="0.25">
      <c r="A919" s="6" t="s">
        <v>28</v>
      </c>
      <c r="B919" s="6" t="s">
        <v>414</v>
      </c>
      <c r="C919" s="7">
        <v>30173</v>
      </c>
      <c r="D919" s="6" t="s">
        <v>39</v>
      </c>
      <c r="E919" s="6" t="s">
        <v>40</v>
      </c>
      <c r="F919" s="6" t="s">
        <v>421</v>
      </c>
      <c r="G919" s="6" t="s">
        <v>32</v>
      </c>
      <c r="H919" s="6" t="s">
        <v>33</v>
      </c>
      <c r="I919" s="6" t="s">
        <v>767</v>
      </c>
      <c r="J919" s="6" t="s">
        <v>764</v>
      </c>
      <c r="K919" s="7">
        <v>6131199</v>
      </c>
      <c r="L919" s="7">
        <v>291928</v>
      </c>
      <c r="M919" s="7">
        <v>19</v>
      </c>
      <c r="N919" s="7">
        <v>1</v>
      </c>
      <c r="O919" s="7">
        <v>22</v>
      </c>
    </row>
    <row r="920" spans="1:15" x14ac:dyDescent="0.25">
      <c r="A920" s="6" t="s">
        <v>28</v>
      </c>
      <c r="B920" s="6" t="s">
        <v>414</v>
      </c>
      <c r="C920" s="7">
        <v>30179</v>
      </c>
      <c r="D920" s="6" t="s">
        <v>39</v>
      </c>
      <c r="E920" s="6" t="s">
        <v>179</v>
      </c>
      <c r="F920" s="6" t="s">
        <v>179</v>
      </c>
      <c r="G920" s="6" t="s">
        <v>32</v>
      </c>
      <c r="H920" s="6" t="s">
        <v>33</v>
      </c>
      <c r="I920" s="6" t="s">
        <v>767</v>
      </c>
      <c r="J920" s="6" t="s">
        <v>764</v>
      </c>
      <c r="K920" s="7">
        <v>6124109</v>
      </c>
      <c r="L920" s="7">
        <v>314377</v>
      </c>
      <c r="M920" s="7">
        <v>19</v>
      </c>
      <c r="N920" s="7">
        <v>1</v>
      </c>
      <c r="O920" s="7">
        <v>9.5</v>
      </c>
    </row>
    <row r="921" spans="1:15" x14ac:dyDescent="0.25">
      <c r="A921" s="6" t="s">
        <v>28</v>
      </c>
      <c r="B921" s="6" t="s">
        <v>414</v>
      </c>
      <c r="C921" s="7">
        <v>30184</v>
      </c>
      <c r="D921" s="6" t="s">
        <v>39</v>
      </c>
      <c r="E921" s="6" t="s">
        <v>41</v>
      </c>
      <c r="F921" s="6" t="s">
        <v>41</v>
      </c>
      <c r="G921" s="6" t="s">
        <v>32</v>
      </c>
      <c r="H921" s="6" t="s">
        <v>33</v>
      </c>
      <c r="I921" s="6" t="s">
        <v>767</v>
      </c>
      <c r="J921" s="6" t="s">
        <v>764</v>
      </c>
      <c r="K921" s="7">
        <v>6121423</v>
      </c>
      <c r="L921" s="7">
        <v>294621</v>
      </c>
      <c r="M921" s="7">
        <v>19</v>
      </c>
      <c r="N921" s="7">
        <v>1</v>
      </c>
      <c r="O921" s="7">
        <v>4</v>
      </c>
    </row>
    <row r="922" spans="1:15" x14ac:dyDescent="0.25">
      <c r="A922" s="6" t="s">
        <v>28</v>
      </c>
      <c r="B922" s="6" t="s">
        <v>414</v>
      </c>
      <c r="C922" s="7">
        <v>30186</v>
      </c>
      <c r="D922" s="6" t="s">
        <v>39</v>
      </c>
      <c r="E922" s="6" t="s">
        <v>41</v>
      </c>
      <c r="F922" s="6" t="s">
        <v>152</v>
      </c>
      <c r="G922" s="6" t="s">
        <v>32</v>
      </c>
      <c r="H922" s="6" t="s">
        <v>33</v>
      </c>
      <c r="I922" s="6" t="s">
        <v>767</v>
      </c>
      <c r="J922" s="6" t="s">
        <v>764</v>
      </c>
      <c r="K922" s="7">
        <v>6123792</v>
      </c>
      <c r="L922" s="7">
        <v>288660</v>
      </c>
      <c r="M922" s="7">
        <v>19</v>
      </c>
      <c r="N922" s="7">
        <v>1</v>
      </c>
      <c r="O922" s="7">
        <v>9</v>
      </c>
    </row>
    <row r="923" spans="1:15" x14ac:dyDescent="0.25">
      <c r="A923" s="6" t="s">
        <v>28</v>
      </c>
      <c r="B923" s="6" t="s">
        <v>414</v>
      </c>
      <c r="C923" s="7">
        <v>30187</v>
      </c>
      <c r="D923" s="6" t="s">
        <v>39</v>
      </c>
      <c r="E923" s="6" t="s">
        <v>310</v>
      </c>
      <c r="F923" s="6" t="s">
        <v>310</v>
      </c>
      <c r="G923" s="6" t="s">
        <v>32</v>
      </c>
      <c r="H923" s="6" t="s">
        <v>33</v>
      </c>
      <c r="I923" s="6" t="s">
        <v>767</v>
      </c>
      <c r="J923" s="6" t="s">
        <v>764</v>
      </c>
      <c r="K923" s="7">
        <v>6106871</v>
      </c>
      <c r="L923" s="7">
        <v>294206</v>
      </c>
      <c r="M923" s="7">
        <v>19</v>
      </c>
      <c r="N923" s="7">
        <v>1</v>
      </c>
      <c r="O923" s="7">
        <v>12</v>
      </c>
    </row>
    <row r="924" spans="1:15" x14ac:dyDescent="0.25">
      <c r="A924" s="6" t="s">
        <v>22</v>
      </c>
      <c r="B924" s="6" t="s">
        <v>414</v>
      </c>
      <c r="C924" s="7">
        <v>30316</v>
      </c>
      <c r="D924" s="6" t="s">
        <v>133</v>
      </c>
      <c r="E924" s="6" t="s">
        <v>422</v>
      </c>
      <c r="F924" s="6" t="s">
        <v>423</v>
      </c>
      <c r="G924" s="6" t="s">
        <v>50</v>
      </c>
      <c r="H924" s="6" t="s">
        <v>765</v>
      </c>
      <c r="I924" s="6" t="s">
        <v>767</v>
      </c>
      <c r="J924" s="6" t="s">
        <v>767</v>
      </c>
      <c r="K924" s="7">
        <v>5721129</v>
      </c>
      <c r="L924" s="7">
        <v>721530</v>
      </c>
      <c r="M924" s="7">
        <v>18</v>
      </c>
      <c r="N924" s="7">
        <v>1</v>
      </c>
      <c r="O924" s="7">
        <v>7</v>
      </c>
    </row>
    <row r="925" spans="1:15" x14ac:dyDescent="0.25">
      <c r="A925" s="6" t="s">
        <v>28</v>
      </c>
      <c r="B925" s="6" t="s">
        <v>414</v>
      </c>
      <c r="C925" s="7">
        <v>30348</v>
      </c>
      <c r="D925" s="6" t="s">
        <v>39</v>
      </c>
      <c r="E925" s="6" t="s">
        <v>53</v>
      </c>
      <c r="F925" s="6" t="s">
        <v>424</v>
      </c>
      <c r="G925" s="6" t="s">
        <v>32</v>
      </c>
      <c r="H925" s="6" t="s">
        <v>19</v>
      </c>
      <c r="I925" s="6" t="s">
        <v>767</v>
      </c>
      <c r="J925" s="6" t="s">
        <v>767</v>
      </c>
      <c r="K925" s="7">
        <v>6132445</v>
      </c>
      <c r="L925" s="7">
        <v>312638</v>
      </c>
      <c r="M925" s="7">
        <v>19</v>
      </c>
      <c r="N925" s="7">
        <v>1</v>
      </c>
      <c r="O925" s="7">
        <v>0.5</v>
      </c>
    </row>
    <row r="926" spans="1:15" x14ac:dyDescent="0.25">
      <c r="A926" s="6" t="s">
        <v>28</v>
      </c>
      <c r="B926" s="6" t="s">
        <v>414</v>
      </c>
      <c r="C926" s="7">
        <v>30349</v>
      </c>
      <c r="D926" s="6" t="s">
        <v>39</v>
      </c>
      <c r="E926" s="6" t="s">
        <v>53</v>
      </c>
      <c r="F926" s="6" t="s">
        <v>424</v>
      </c>
      <c r="G926" s="6" t="s">
        <v>32</v>
      </c>
      <c r="H926" s="6" t="s">
        <v>19</v>
      </c>
      <c r="I926" s="6" t="s">
        <v>767</v>
      </c>
      <c r="J926" s="6" t="s">
        <v>767</v>
      </c>
      <c r="K926" s="7">
        <v>6134238</v>
      </c>
      <c r="L926" s="7">
        <v>317514</v>
      </c>
      <c r="M926" s="7">
        <v>19</v>
      </c>
      <c r="N926" s="7">
        <v>1</v>
      </c>
      <c r="O926" s="7">
        <v>8.5</v>
      </c>
    </row>
    <row r="927" spans="1:15" x14ac:dyDescent="0.25">
      <c r="A927" s="6" t="s">
        <v>28</v>
      </c>
      <c r="B927" s="6" t="s">
        <v>414</v>
      </c>
      <c r="C927" s="7">
        <v>30354</v>
      </c>
      <c r="D927" s="6" t="s">
        <v>24</v>
      </c>
      <c r="E927" s="6" t="s">
        <v>25</v>
      </c>
      <c r="F927" s="6" t="s">
        <v>425</v>
      </c>
      <c r="G927" s="6" t="s">
        <v>32</v>
      </c>
      <c r="H927" s="6" t="s">
        <v>33</v>
      </c>
      <c r="I927" s="6" t="s">
        <v>767</v>
      </c>
      <c r="J927" s="6" t="s">
        <v>764</v>
      </c>
      <c r="K927" s="7">
        <v>6261917</v>
      </c>
      <c r="L927" s="7">
        <v>343241</v>
      </c>
      <c r="M927" s="7">
        <v>19</v>
      </c>
      <c r="N927" s="7">
        <v>3</v>
      </c>
      <c r="O927" s="7">
        <v>20</v>
      </c>
    </row>
    <row r="928" spans="1:15" x14ac:dyDescent="0.25">
      <c r="A928" s="6" t="s">
        <v>28</v>
      </c>
      <c r="B928" s="6" t="s">
        <v>414</v>
      </c>
      <c r="C928" s="7">
        <v>30355</v>
      </c>
      <c r="D928" s="6" t="s">
        <v>24</v>
      </c>
      <c r="E928" s="6" t="s">
        <v>25</v>
      </c>
      <c r="F928" s="6" t="s">
        <v>426</v>
      </c>
      <c r="G928" s="6" t="s">
        <v>32</v>
      </c>
      <c r="H928" s="6" t="s">
        <v>33</v>
      </c>
      <c r="I928" s="6" t="s">
        <v>767</v>
      </c>
      <c r="J928" s="6" t="s">
        <v>767</v>
      </c>
      <c r="K928" s="7">
        <v>6261408</v>
      </c>
      <c r="L928" s="7">
        <v>335672</v>
      </c>
      <c r="M928" s="7">
        <v>19</v>
      </c>
      <c r="N928" s="7">
        <v>1</v>
      </c>
      <c r="O928" s="7">
        <v>10</v>
      </c>
    </row>
    <row r="929" spans="1:15" x14ac:dyDescent="0.25">
      <c r="A929" s="6" t="s">
        <v>28</v>
      </c>
      <c r="B929" s="6" t="s">
        <v>414</v>
      </c>
      <c r="C929" s="7">
        <v>30356</v>
      </c>
      <c r="D929" s="6" t="s">
        <v>24</v>
      </c>
      <c r="E929" s="6" t="s">
        <v>56</v>
      </c>
      <c r="F929" s="6" t="s">
        <v>418</v>
      </c>
      <c r="G929" s="6" t="s">
        <v>32</v>
      </c>
      <c r="H929" s="6" t="s">
        <v>33</v>
      </c>
      <c r="I929" s="6" t="s">
        <v>767</v>
      </c>
      <c r="J929" s="6" t="s">
        <v>767</v>
      </c>
      <c r="K929" s="7">
        <v>6273462</v>
      </c>
      <c r="L929" s="7">
        <v>342992</v>
      </c>
      <c r="M929" s="7">
        <v>19</v>
      </c>
      <c r="N929" s="7">
        <v>1</v>
      </c>
      <c r="O929" s="7">
        <v>17</v>
      </c>
    </row>
    <row r="930" spans="1:15" x14ac:dyDescent="0.25">
      <c r="A930" s="6" t="s">
        <v>28</v>
      </c>
      <c r="B930" s="6" t="s">
        <v>414</v>
      </c>
      <c r="C930" s="7">
        <v>30357</v>
      </c>
      <c r="D930" s="6" t="s">
        <v>24</v>
      </c>
      <c r="E930" s="6" t="s">
        <v>25</v>
      </c>
      <c r="F930" s="6" t="s">
        <v>426</v>
      </c>
      <c r="G930" s="6" t="s">
        <v>32</v>
      </c>
      <c r="H930" s="6" t="s">
        <v>33</v>
      </c>
      <c r="I930" s="6" t="s">
        <v>767</v>
      </c>
      <c r="J930" s="6" t="s">
        <v>767</v>
      </c>
      <c r="K930" s="7">
        <v>6260614</v>
      </c>
      <c r="L930" s="7">
        <v>335322</v>
      </c>
      <c r="M930" s="7">
        <v>19</v>
      </c>
      <c r="N930" s="7">
        <v>1</v>
      </c>
      <c r="O930" s="7">
        <v>4</v>
      </c>
    </row>
    <row r="931" spans="1:15" x14ac:dyDescent="0.25">
      <c r="A931" s="6" t="s">
        <v>28</v>
      </c>
      <c r="B931" s="6" t="s">
        <v>414</v>
      </c>
      <c r="C931" s="7">
        <v>30360</v>
      </c>
      <c r="D931" s="6" t="s">
        <v>24</v>
      </c>
      <c r="E931" s="6" t="s">
        <v>25</v>
      </c>
      <c r="F931" s="6" t="s">
        <v>426</v>
      </c>
      <c r="G931" s="6" t="s">
        <v>32</v>
      </c>
      <c r="H931" s="6" t="s">
        <v>33</v>
      </c>
      <c r="I931" s="6" t="s">
        <v>767</v>
      </c>
      <c r="J931" s="6" t="s">
        <v>767</v>
      </c>
      <c r="K931" s="7">
        <v>6261623</v>
      </c>
      <c r="L931" s="7">
        <v>332999</v>
      </c>
      <c r="M931" s="7">
        <v>19</v>
      </c>
      <c r="N931" s="7">
        <v>1</v>
      </c>
      <c r="O931" s="7">
        <v>20</v>
      </c>
    </row>
    <row r="932" spans="1:15" x14ac:dyDescent="0.25">
      <c r="A932" s="6" t="s">
        <v>28</v>
      </c>
      <c r="B932" s="6" t="s">
        <v>414</v>
      </c>
      <c r="C932" s="7">
        <v>30424</v>
      </c>
      <c r="D932" s="6" t="s">
        <v>24</v>
      </c>
      <c r="E932" s="6" t="s">
        <v>427</v>
      </c>
      <c r="F932" s="6" t="s">
        <v>428</v>
      </c>
      <c r="G932" s="6" t="s">
        <v>32</v>
      </c>
      <c r="H932" s="6" t="s">
        <v>19</v>
      </c>
      <c r="I932" s="6" t="s">
        <v>767</v>
      </c>
      <c r="J932" s="6" t="s">
        <v>767</v>
      </c>
      <c r="K932" s="7">
        <v>6285483</v>
      </c>
      <c r="L932" s="7">
        <v>335829</v>
      </c>
      <c r="M932" s="7">
        <v>19</v>
      </c>
      <c r="N932" s="7">
        <v>1</v>
      </c>
      <c r="O932" s="7">
        <v>4</v>
      </c>
    </row>
    <row r="933" spans="1:15" x14ac:dyDescent="0.25">
      <c r="A933" s="6" t="s">
        <v>28</v>
      </c>
      <c r="B933" s="6" t="s">
        <v>414</v>
      </c>
      <c r="C933" s="7">
        <v>30425</v>
      </c>
      <c r="D933" s="6" t="s">
        <v>24</v>
      </c>
      <c r="E933" s="6" t="s">
        <v>429</v>
      </c>
      <c r="F933" s="6" t="s">
        <v>430</v>
      </c>
      <c r="G933" s="6" t="s">
        <v>32</v>
      </c>
      <c r="H933" s="6" t="s">
        <v>19</v>
      </c>
      <c r="I933" s="6" t="s">
        <v>767</v>
      </c>
      <c r="J933" s="6" t="s">
        <v>767</v>
      </c>
      <c r="K933" s="7">
        <v>6301809</v>
      </c>
      <c r="L933" s="7">
        <v>325624</v>
      </c>
      <c r="M933" s="7">
        <v>19</v>
      </c>
      <c r="N933" s="7">
        <v>2</v>
      </c>
      <c r="O933" s="7">
        <v>6.5</v>
      </c>
    </row>
    <row r="934" spans="1:15" x14ac:dyDescent="0.25">
      <c r="A934" s="6" t="s">
        <v>28</v>
      </c>
      <c r="B934" s="6" t="s">
        <v>414</v>
      </c>
      <c r="C934" s="7">
        <v>30455</v>
      </c>
      <c r="D934" s="6" t="s">
        <v>42</v>
      </c>
      <c r="E934" s="6" t="s">
        <v>63</v>
      </c>
      <c r="F934" s="6" t="s">
        <v>431</v>
      </c>
      <c r="G934" s="6" t="s">
        <v>32</v>
      </c>
      <c r="H934" s="6" t="s">
        <v>33</v>
      </c>
      <c r="I934" s="6" t="s">
        <v>767</v>
      </c>
      <c r="J934" s="6" t="s">
        <v>764</v>
      </c>
      <c r="K934" s="7">
        <v>6164682</v>
      </c>
      <c r="L934" s="7">
        <v>288732</v>
      </c>
      <c r="M934" s="7">
        <v>19</v>
      </c>
      <c r="N934" s="7">
        <v>2</v>
      </c>
      <c r="O934" s="7">
        <v>13</v>
      </c>
    </row>
    <row r="935" spans="1:15" x14ac:dyDescent="0.25">
      <c r="A935" s="6" t="s">
        <v>28</v>
      </c>
      <c r="B935" s="6" t="s">
        <v>414</v>
      </c>
      <c r="C935" s="7">
        <v>30456</v>
      </c>
      <c r="D935" s="6" t="s">
        <v>42</v>
      </c>
      <c r="E935" s="6" t="s">
        <v>63</v>
      </c>
      <c r="F935" s="6" t="s">
        <v>431</v>
      </c>
      <c r="G935" s="6" t="s">
        <v>32</v>
      </c>
      <c r="H935" s="6" t="s">
        <v>33</v>
      </c>
      <c r="I935" s="6" t="s">
        <v>767</v>
      </c>
      <c r="J935" s="6" t="s">
        <v>764</v>
      </c>
      <c r="K935" s="7">
        <v>6165913</v>
      </c>
      <c r="L935" s="7">
        <v>289492</v>
      </c>
      <c r="M935" s="7">
        <v>19</v>
      </c>
      <c r="N935" s="7">
        <v>5</v>
      </c>
      <c r="O935" s="7">
        <v>92.1</v>
      </c>
    </row>
    <row r="936" spans="1:15" x14ac:dyDescent="0.25">
      <c r="A936" s="6" t="s">
        <v>28</v>
      </c>
      <c r="B936" s="6" t="s">
        <v>414</v>
      </c>
      <c r="C936" s="7">
        <v>30463</v>
      </c>
      <c r="D936" s="6" t="s">
        <v>42</v>
      </c>
      <c r="E936" s="6" t="s">
        <v>63</v>
      </c>
      <c r="F936" s="6" t="s">
        <v>432</v>
      </c>
      <c r="G936" s="6" t="s">
        <v>32</v>
      </c>
      <c r="H936" s="6" t="s">
        <v>33</v>
      </c>
      <c r="I936" s="6" t="s">
        <v>767</v>
      </c>
      <c r="J936" s="6" t="s">
        <v>764</v>
      </c>
      <c r="K936" s="7">
        <v>6167486</v>
      </c>
      <c r="L936" s="7">
        <v>289455</v>
      </c>
      <c r="M936" s="7">
        <v>19</v>
      </c>
      <c r="N936" s="7">
        <v>4</v>
      </c>
      <c r="O936" s="7">
        <v>120</v>
      </c>
    </row>
    <row r="937" spans="1:15" x14ac:dyDescent="0.25">
      <c r="A937" s="6" t="s">
        <v>28</v>
      </c>
      <c r="B937" s="6" t="s">
        <v>414</v>
      </c>
      <c r="C937" s="7">
        <v>30464</v>
      </c>
      <c r="D937" s="6" t="s">
        <v>39</v>
      </c>
      <c r="E937" s="6" t="s">
        <v>41</v>
      </c>
      <c r="F937" s="6" t="s">
        <v>152</v>
      </c>
      <c r="G937" s="6" t="s">
        <v>32</v>
      </c>
      <c r="H937" s="6" t="s">
        <v>33</v>
      </c>
      <c r="I937" s="6" t="s">
        <v>767</v>
      </c>
      <c r="J937" s="6" t="s">
        <v>764</v>
      </c>
      <c r="K937" s="7">
        <v>6123327</v>
      </c>
      <c r="L937" s="7">
        <v>288098</v>
      </c>
      <c r="M937" s="7">
        <v>19</v>
      </c>
      <c r="N937" s="7">
        <v>1</v>
      </c>
      <c r="O937" s="7">
        <v>25</v>
      </c>
    </row>
    <row r="938" spans="1:15" x14ac:dyDescent="0.25">
      <c r="A938" s="6" t="s">
        <v>28</v>
      </c>
      <c r="B938" s="6" t="s">
        <v>414</v>
      </c>
      <c r="C938" s="7">
        <v>30465</v>
      </c>
      <c r="D938" s="6" t="s">
        <v>39</v>
      </c>
      <c r="E938" s="6" t="s">
        <v>40</v>
      </c>
      <c r="F938" s="6" t="s">
        <v>433</v>
      </c>
      <c r="G938" s="6" t="s">
        <v>32</v>
      </c>
      <c r="H938" s="6" t="s">
        <v>33</v>
      </c>
      <c r="I938" s="6" t="s">
        <v>767</v>
      </c>
      <c r="J938" s="6" t="s">
        <v>764</v>
      </c>
      <c r="K938" s="7">
        <v>6129821</v>
      </c>
      <c r="L938" s="7">
        <v>291102</v>
      </c>
      <c r="M938" s="7">
        <v>19</v>
      </c>
      <c r="N938" s="7">
        <v>1</v>
      </c>
      <c r="O938" s="7">
        <v>12</v>
      </c>
    </row>
    <row r="939" spans="1:15" x14ac:dyDescent="0.25">
      <c r="A939" s="6" t="s">
        <v>28</v>
      </c>
      <c r="B939" s="6" t="s">
        <v>414</v>
      </c>
      <c r="C939" s="7">
        <v>30466</v>
      </c>
      <c r="D939" s="6" t="s">
        <v>39</v>
      </c>
      <c r="E939" s="6" t="s">
        <v>40</v>
      </c>
      <c r="F939" s="6" t="s">
        <v>434</v>
      </c>
      <c r="G939" s="6" t="s">
        <v>32</v>
      </c>
      <c r="H939" s="6" t="s">
        <v>33</v>
      </c>
      <c r="I939" s="6" t="s">
        <v>767</v>
      </c>
      <c r="J939" s="6" t="s">
        <v>764</v>
      </c>
      <c r="K939" s="7">
        <v>6127389</v>
      </c>
      <c r="L939" s="7">
        <v>290219</v>
      </c>
      <c r="M939" s="7">
        <v>19</v>
      </c>
      <c r="N939" s="7">
        <v>1</v>
      </c>
      <c r="O939" s="7">
        <v>3.5</v>
      </c>
    </row>
    <row r="940" spans="1:15" x14ac:dyDescent="0.25">
      <c r="A940" s="6" t="s">
        <v>28</v>
      </c>
      <c r="B940" s="6" t="s">
        <v>414</v>
      </c>
      <c r="C940" s="7">
        <v>30469</v>
      </c>
      <c r="D940" s="6" t="s">
        <v>39</v>
      </c>
      <c r="E940" s="6" t="s">
        <v>40</v>
      </c>
      <c r="F940" s="6" t="s">
        <v>434</v>
      </c>
      <c r="G940" s="6" t="s">
        <v>32</v>
      </c>
      <c r="H940" s="6" t="s">
        <v>33</v>
      </c>
      <c r="I940" s="6" t="s">
        <v>767</v>
      </c>
      <c r="J940" s="6" t="s">
        <v>764</v>
      </c>
      <c r="K940" s="7">
        <v>6127631</v>
      </c>
      <c r="L940" s="7">
        <v>289939</v>
      </c>
      <c r="M940" s="7">
        <v>19</v>
      </c>
      <c r="N940" s="7">
        <v>1</v>
      </c>
      <c r="O940" s="7">
        <v>7</v>
      </c>
    </row>
    <row r="941" spans="1:15" x14ac:dyDescent="0.25">
      <c r="A941" s="6" t="s">
        <v>28</v>
      </c>
      <c r="B941" s="6" t="s">
        <v>414</v>
      </c>
      <c r="C941" s="7">
        <v>30521</v>
      </c>
      <c r="D941" s="6" t="s">
        <v>42</v>
      </c>
      <c r="E941" s="6" t="s">
        <v>43</v>
      </c>
      <c r="F941" s="6" t="s">
        <v>435</v>
      </c>
      <c r="G941" s="6" t="s">
        <v>32</v>
      </c>
      <c r="H941" s="6" t="s">
        <v>19</v>
      </c>
      <c r="I941" s="6" t="s">
        <v>767</v>
      </c>
      <c r="J941" s="6" t="s">
        <v>767</v>
      </c>
      <c r="K941" s="7">
        <v>6189345</v>
      </c>
      <c r="L941" s="7">
        <v>330246</v>
      </c>
      <c r="M941" s="7">
        <v>19</v>
      </c>
      <c r="N941" s="7">
        <v>1</v>
      </c>
      <c r="O941" s="7">
        <v>5</v>
      </c>
    </row>
    <row r="942" spans="1:15" x14ac:dyDescent="0.25">
      <c r="A942" s="6" t="s">
        <v>28</v>
      </c>
      <c r="B942" s="6" t="s">
        <v>414</v>
      </c>
      <c r="C942" s="7">
        <v>30522</v>
      </c>
      <c r="D942" s="6" t="s">
        <v>42</v>
      </c>
      <c r="E942" s="6" t="s">
        <v>66</v>
      </c>
      <c r="F942" s="6" t="s">
        <v>66</v>
      </c>
      <c r="G942" s="6" t="s">
        <v>32</v>
      </c>
      <c r="H942" s="6" t="s">
        <v>19</v>
      </c>
      <c r="I942" s="6" t="s">
        <v>767</v>
      </c>
      <c r="J942" s="6" t="s">
        <v>767</v>
      </c>
      <c r="K942" s="7">
        <v>6236707</v>
      </c>
      <c r="L942" s="7">
        <v>342358</v>
      </c>
      <c r="M942" s="7">
        <v>19</v>
      </c>
      <c r="N942" s="7">
        <v>1</v>
      </c>
      <c r="O942" s="7">
        <v>3</v>
      </c>
    </row>
    <row r="943" spans="1:15" x14ac:dyDescent="0.25">
      <c r="A943" s="6" t="s">
        <v>28</v>
      </c>
      <c r="B943" s="6" t="s">
        <v>414</v>
      </c>
      <c r="C943" s="7">
        <v>30523</v>
      </c>
      <c r="D943" s="6" t="s">
        <v>42</v>
      </c>
      <c r="E943" s="6" t="s">
        <v>66</v>
      </c>
      <c r="F943" s="6" t="s">
        <v>66</v>
      </c>
      <c r="G943" s="6" t="s">
        <v>32</v>
      </c>
      <c r="H943" s="6" t="s">
        <v>19</v>
      </c>
      <c r="I943" s="6" t="s">
        <v>767</v>
      </c>
      <c r="J943" s="6" t="s">
        <v>767</v>
      </c>
      <c r="K943" s="7">
        <v>6236754</v>
      </c>
      <c r="L943" s="7">
        <v>342680</v>
      </c>
      <c r="M943" s="7">
        <v>19</v>
      </c>
      <c r="N943" s="7">
        <v>1</v>
      </c>
      <c r="O943" s="7">
        <v>2</v>
      </c>
    </row>
    <row r="944" spans="1:15" x14ac:dyDescent="0.25">
      <c r="A944" s="6" t="s">
        <v>28</v>
      </c>
      <c r="B944" s="6" t="s">
        <v>414</v>
      </c>
      <c r="C944" s="7">
        <v>30595</v>
      </c>
      <c r="D944" s="6" t="s">
        <v>24</v>
      </c>
      <c r="E944" s="6" t="s">
        <v>56</v>
      </c>
      <c r="F944" s="6" t="s">
        <v>418</v>
      </c>
      <c r="G944" s="6" t="s">
        <v>32</v>
      </c>
      <c r="H944" s="6" t="s">
        <v>33</v>
      </c>
      <c r="I944" s="6" t="s">
        <v>767</v>
      </c>
      <c r="J944" s="6" t="s">
        <v>764</v>
      </c>
      <c r="K944" s="7">
        <v>6272988</v>
      </c>
      <c r="L944" s="7">
        <v>340852</v>
      </c>
      <c r="M944" s="7">
        <v>19</v>
      </c>
      <c r="N944" s="7">
        <v>1</v>
      </c>
      <c r="O944" s="7">
        <v>5</v>
      </c>
    </row>
    <row r="945" spans="1:15" x14ac:dyDescent="0.25">
      <c r="A945" s="6" t="s">
        <v>28</v>
      </c>
      <c r="B945" s="6" t="s">
        <v>414</v>
      </c>
      <c r="C945" s="7">
        <v>30599</v>
      </c>
      <c r="D945" s="6" t="s">
        <v>24</v>
      </c>
      <c r="E945" s="6" t="s">
        <v>56</v>
      </c>
      <c r="F945" s="6" t="s">
        <v>418</v>
      </c>
      <c r="G945" s="6" t="s">
        <v>32</v>
      </c>
      <c r="H945" s="6" t="s">
        <v>33</v>
      </c>
      <c r="I945" s="6" t="s">
        <v>767</v>
      </c>
      <c r="J945" s="6" t="s">
        <v>764</v>
      </c>
      <c r="K945" s="7">
        <v>6273325</v>
      </c>
      <c r="L945" s="7">
        <v>340827</v>
      </c>
      <c r="M945" s="7">
        <v>19</v>
      </c>
      <c r="N945" s="7">
        <v>1</v>
      </c>
      <c r="O945" s="7">
        <v>21</v>
      </c>
    </row>
    <row r="946" spans="1:15" x14ac:dyDescent="0.25">
      <c r="A946" s="6" t="s">
        <v>28</v>
      </c>
      <c r="B946" s="6" t="s">
        <v>414</v>
      </c>
      <c r="C946" s="7">
        <v>30604</v>
      </c>
      <c r="D946" s="6" t="s">
        <v>24</v>
      </c>
      <c r="E946" s="6" t="s">
        <v>56</v>
      </c>
      <c r="F946" s="6" t="s">
        <v>418</v>
      </c>
      <c r="G946" s="6" t="s">
        <v>32</v>
      </c>
      <c r="H946" s="6" t="s">
        <v>33</v>
      </c>
      <c r="I946" s="6" t="s">
        <v>767</v>
      </c>
      <c r="J946" s="6" t="s">
        <v>764</v>
      </c>
      <c r="K946" s="7">
        <v>6273870</v>
      </c>
      <c r="L946" s="7">
        <v>340525</v>
      </c>
      <c r="M946" s="7">
        <v>19</v>
      </c>
      <c r="N946" s="7">
        <v>1</v>
      </c>
      <c r="O946" s="7">
        <v>1</v>
      </c>
    </row>
    <row r="947" spans="1:15" x14ac:dyDescent="0.25">
      <c r="A947" s="6" t="s">
        <v>28</v>
      </c>
      <c r="B947" s="6" t="s">
        <v>414</v>
      </c>
      <c r="C947" s="7">
        <v>30608</v>
      </c>
      <c r="D947" s="6" t="s">
        <v>24</v>
      </c>
      <c r="E947" s="6" t="s">
        <v>62</v>
      </c>
      <c r="F947" s="6" t="s">
        <v>416</v>
      </c>
      <c r="G947" s="6" t="s">
        <v>32</v>
      </c>
      <c r="H947" s="6" t="s">
        <v>33</v>
      </c>
      <c r="I947" s="6" t="s">
        <v>767</v>
      </c>
      <c r="J947" s="6" t="s">
        <v>764</v>
      </c>
      <c r="K947" s="7">
        <v>6279354</v>
      </c>
      <c r="L947" s="7">
        <v>329628</v>
      </c>
      <c r="M947" s="7">
        <v>19</v>
      </c>
      <c r="N947" s="7">
        <v>4</v>
      </c>
      <c r="O947" s="7">
        <v>47</v>
      </c>
    </row>
    <row r="948" spans="1:15" x14ac:dyDescent="0.25">
      <c r="A948" s="6" t="s">
        <v>28</v>
      </c>
      <c r="B948" s="6" t="s">
        <v>414</v>
      </c>
      <c r="C948" s="7">
        <v>30622</v>
      </c>
      <c r="D948" s="6" t="s">
        <v>24</v>
      </c>
      <c r="E948" s="6" t="s">
        <v>436</v>
      </c>
      <c r="F948" s="6" t="s">
        <v>428</v>
      </c>
      <c r="G948" s="6" t="s">
        <v>32</v>
      </c>
      <c r="H948" s="6" t="s">
        <v>33</v>
      </c>
      <c r="I948" s="6" t="s">
        <v>767</v>
      </c>
      <c r="J948" s="6" t="s">
        <v>764</v>
      </c>
      <c r="K948" s="7">
        <v>6278351</v>
      </c>
      <c r="L948" s="7">
        <v>333436</v>
      </c>
      <c r="M948" s="7">
        <v>19</v>
      </c>
      <c r="N948" s="7">
        <v>2</v>
      </c>
      <c r="O948" s="7">
        <v>23</v>
      </c>
    </row>
    <row r="949" spans="1:15" x14ac:dyDescent="0.25">
      <c r="A949" s="6" t="s">
        <v>28</v>
      </c>
      <c r="B949" s="6" t="s">
        <v>414</v>
      </c>
      <c r="C949" s="7">
        <v>30716</v>
      </c>
      <c r="D949" s="6" t="s">
        <v>39</v>
      </c>
      <c r="E949" s="6" t="s">
        <v>53</v>
      </c>
      <c r="F949" s="6" t="s">
        <v>424</v>
      </c>
      <c r="G949" s="6" t="s">
        <v>32</v>
      </c>
      <c r="H949" s="6" t="s">
        <v>19</v>
      </c>
      <c r="I949" s="6" t="s">
        <v>767</v>
      </c>
      <c r="J949" s="6" t="s">
        <v>767</v>
      </c>
      <c r="K949" s="7">
        <v>6137060</v>
      </c>
      <c r="L949" s="7">
        <v>310177</v>
      </c>
      <c r="M949" s="7">
        <v>19</v>
      </c>
      <c r="N949" s="7">
        <v>1</v>
      </c>
      <c r="O949" s="7">
        <v>2.6</v>
      </c>
    </row>
    <row r="950" spans="1:15" x14ac:dyDescent="0.25">
      <c r="A950" s="6" t="s">
        <v>28</v>
      </c>
      <c r="B950" s="6" t="s">
        <v>414</v>
      </c>
      <c r="C950" s="7">
        <v>30725</v>
      </c>
      <c r="D950" s="6" t="s">
        <v>39</v>
      </c>
      <c r="E950" s="6" t="s">
        <v>53</v>
      </c>
      <c r="F950" s="6" t="s">
        <v>424</v>
      </c>
      <c r="G950" s="6" t="s">
        <v>32</v>
      </c>
      <c r="H950" s="6" t="s">
        <v>19</v>
      </c>
      <c r="I950" s="6" t="s">
        <v>767</v>
      </c>
      <c r="J950" s="6" t="s">
        <v>767</v>
      </c>
      <c r="K950" s="7">
        <v>6134901</v>
      </c>
      <c r="L950" s="7">
        <v>309761</v>
      </c>
      <c r="M950" s="7">
        <v>19</v>
      </c>
      <c r="N950" s="7">
        <v>1</v>
      </c>
      <c r="O950" s="7">
        <v>0.5</v>
      </c>
    </row>
    <row r="951" spans="1:15" x14ac:dyDescent="0.25">
      <c r="A951" s="6" t="s">
        <v>28</v>
      </c>
      <c r="B951" s="6" t="s">
        <v>414</v>
      </c>
      <c r="C951" s="7">
        <v>30729</v>
      </c>
      <c r="D951" s="6" t="s">
        <v>39</v>
      </c>
      <c r="E951" s="6" t="s">
        <v>53</v>
      </c>
      <c r="F951" s="6" t="s">
        <v>424</v>
      </c>
      <c r="G951" s="6" t="s">
        <v>32</v>
      </c>
      <c r="H951" s="6" t="s">
        <v>19</v>
      </c>
      <c r="I951" s="6" t="s">
        <v>767</v>
      </c>
      <c r="J951" s="6" t="s">
        <v>767</v>
      </c>
      <c r="K951" s="7">
        <v>6134864</v>
      </c>
      <c r="L951" s="7">
        <v>309636</v>
      </c>
      <c r="M951" s="7">
        <v>19</v>
      </c>
      <c r="N951" s="7">
        <v>1</v>
      </c>
      <c r="O951" s="7">
        <v>0.42</v>
      </c>
    </row>
    <row r="952" spans="1:15" x14ac:dyDescent="0.25">
      <c r="A952" s="6" t="s">
        <v>14</v>
      </c>
      <c r="B952" s="6" t="s">
        <v>414</v>
      </c>
      <c r="C952" s="7">
        <v>30734</v>
      </c>
      <c r="D952" s="6" t="s">
        <v>39</v>
      </c>
      <c r="E952" s="6" t="s">
        <v>53</v>
      </c>
      <c r="F952" s="6" t="s">
        <v>424</v>
      </c>
      <c r="G952" s="6" t="s">
        <v>32</v>
      </c>
      <c r="H952" s="6" t="s">
        <v>19</v>
      </c>
      <c r="I952" s="6" t="s">
        <v>767</v>
      </c>
      <c r="J952" s="6" t="s">
        <v>767</v>
      </c>
      <c r="K952" s="7">
        <v>6138248</v>
      </c>
      <c r="L952" s="7">
        <v>305440</v>
      </c>
      <c r="M952" s="7">
        <v>19</v>
      </c>
      <c r="N952" s="7">
        <v>1</v>
      </c>
      <c r="O952" s="7">
        <v>0.4</v>
      </c>
    </row>
    <row r="953" spans="1:15" x14ac:dyDescent="0.25">
      <c r="A953" s="6" t="s">
        <v>28</v>
      </c>
      <c r="B953" s="6" t="s">
        <v>414</v>
      </c>
      <c r="C953" s="7">
        <v>30741</v>
      </c>
      <c r="D953" s="6" t="s">
        <v>39</v>
      </c>
      <c r="E953" s="6" t="s">
        <v>53</v>
      </c>
      <c r="F953" s="6" t="s">
        <v>437</v>
      </c>
      <c r="G953" s="6" t="s">
        <v>32</v>
      </c>
      <c r="H953" s="6" t="s">
        <v>19</v>
      </c>
      <c r="I953" s="6" t="s">
        <v>767</v>
      </c>
      <c r="J953" s="6" t="s">
        <v>767</v>
      </c>
      <c r="K953" s="7">
        <v>6139387</v>
      </c>
      <c r="L953" s="7">
        <v>307347</v>
      </c>
      <c r="M953" s="7">
        <v>19</v>
      </c>
      <c r="N953" s="7">
        <v>1</v>
      </c>
      <c r="O953" s="7">
        <v>2</v>
      </c>
    </row>
    <row r="954" spans="1:15" x14ac:dyDescent="0.25">
      <c r="A954" s="6" t="s">
        <v>28</v>
      </c>
      <c r="B954" s="6" t="s">
        <v>414</v>
      </c>
      <c r="C954" s="7">
        <v>30746</v>
      </c>
      <c r="D954" s="6" t="s">
        <v>42</v>
      </c>
      <c r="E954" s="6" t="s">
        <v>43</v>
      </c>
      <c r="F954" s="6" t="s">
        <v>44</v>
      </c>
      <c r="G954" s="6" t="s">
        <v>32</v>
      </c>
      <c r="H954" s="6" t="s">
        <v>19</v>
      </c>
      <c r="I954" s="6" t="s">
        <v>767</v>
      </c>
      <c r="J954" s="6" t="s">
        <v>767</v>
      </c>
      <c r="K954" s="7">
        <v>6197577</v>
      </c>
      <c r="L954" s="7">
        <v>327760</v>
      </c>
      <c r="M954" s="7">
        <v>19</v>
      </c>
      <c r="N954" s="7">
        <v>1</v>
      </c>
      <c r="O954" s="7">
        <v>0.6</v>
      </c>
    </row>
    <row r="955" spans="1:15" x14ac:dyDescent="0.25">
      <c r="A955" s="6" t="s">
        <v>28</v>
      </c>
      <c r="B955" s="6" t="s">
        <v>414</v>
      </c>
      <c r="C955" s="7">
        <v>30783</v>
      </c>
      <c r="D955" s="6" t="s">
        <v>39</v>
      </c>
      <c r="E955" s="6" t="s">
        <v>156</v>
      </c>
      <c r="F955" s="6" t="s">
        <v>174</v>
      </c>
      <c r="G955" s="6" t="s">
        <v>32</v>
      </c>
      <c r="H955" s="6" t="s">
        <v>33</v>
      </c>
      <c r="I955" s="6" t="s">
        <v>767</v>
      </c>
      <c r="J955" s="6" t="s">
        <v>767</v>
      </c>
      <c r="K955" s="7">
        <v>6029997</v>
      </c>
      <c r="L955" s="7">
        <v>269331</v>
      </c>
      <c r="M955" s="7">
        <v>19</v>
      </c>
      <c r="N955" s="7">
        <v>1</v>
      </c>
      <c r="O955" s="7">
        <v>25</v>
      </c>
    </row>
    <row r="956" spans="1:15" x14ac:dyDescent="0.25">
      <c r="A956" s="6" t="s">
        <v>28</v>
      </c>
      <c r="B956" s="6" t="s">
        <v>414</v>
      </c>
      <c r="C956" s="7">
        <v>30786</v>
      </c>
      <c r="D956" s="6" t="s">
        <v>39</v>
      </c>
      <c r="E956" s="6" t="s">
        <v>156</v>
      </c>
      <c r="F956" s="6" t="s">
        <v>174</v>
      </c>
      <c r="G956" s="6" t="s">
        <v>32</v>
      </c>
      <c r="H956" s="6" t="s">
        <v>33</v>
      </c>
      <c r="I956" s="6" t="s">
        <v>767</v>
      </c>
      <c r="J956" s="6" t="s">
        <v>767</v>
      </c>
      <c r="K956" s="7">
        <v>6030393</v>
      </c>
      <c r="L956" s="7">
        <v>268848</v>
      </c>
      <c r="M956" s="7">
        <v>19</v>
      </c>
      <c r="N956" s="7">
        <v>1</v>
      </c>
      <c r="O956" s="7">
        <v>45</v>
      </c>
    </row>
    <row r="957" spans="1:15" x14ac:dyDescent="0.25">
      <c r="A957" s="6" t="s">
        <v>28</v>
      </c>
      <c r="B957" s="6" t="s">
        <v>414</v>
      </c>
      <c r="C957" s="7">
        <v>30853</v>
      </c>
      <c r="D957" s="6" t="s">
        <v>42</v>
      </c>
      <c r="E957" s="6" t="s">
        <v>43</v>
      </c>
      <c r="F957" s="6" t="s">
        <v>438</v>
      </c>
      <c r="G957" s="6" t="s">
        <v>32</v>
      </c>
      <c r="H957" s="6" t="s">
        <v>19</v>
      </c>
      <c r="I957" s="6" t="s">
        <v>767</v>
      </c>
      <c r="J957" s="6" t="s">
        <v>767</v>
      </c>
      <c r="K957" s="7">
        <v>6197498</v>
      </c>
      <c r="L957" s="7">
        <v>325417</v>
      </c>
      <c r="M957" s="7">
        <v>19</v>
      </c>
      <c r="N957" s="7">
        <v>1</v>
      </c>
      <c r="O957" s="7">
        <v>0.6</v>
      </c>
    </row>
    <row r="958" spans="1:15" x14ac:dyDescent="0.25">
      <c r="A958" s="6" t="s">
        <v>28</v>
      </c>
      <c r="B958" s="6" t="s">
        <v>414</v>
      </c>
      <c r="C958" s="7">
        <v>30857</v>
      </c>
      <c r="D958" s="6" t="s">
        <v>42</v>
      </c>
      <c r="E958" s="6" t="s">
        <v>196</v>
      </c>
      <c r="F958" s="6" t="s">
        <v>203</v>
      </c>
      <c r="G958" s="6" t="s">
        <v>32</v>
      </c>
      <c r="H958" s="6" t="s">
        <v>19</v>
      </c>
      <c r="I958" s="6" t="s">
        <v>767</v>
      </c>
      <c r="J958" s="6" t="s">
        <v>767</v>
      </c>
      <c r="K958" s="7">
        <v>6220871</v>
      </c>
      <c r="L958" s="7">
        <v>336062</v>
      </c>
      <c r="M958" s="7">
        <v>19</v>
      </c>
      <c r="N958" s="7">
        <v>1</v>
      </c>
      <c r="O958" s="7">
        <v>0.5</v>
      </c>
    </row>
    <row r="959" spans="1:15" x14ac:dyDescent="0.25">
      <c r="A959" s="6" t="s">
        <v>28</v>
      </c>
      <c r="B959" s="6" t="s">
        <v>414</v>
      </c>
      <c r="C959" s="7">
        <v>30858</v>
      </c>
      <c r="D959" s="6" t="s">
        <v>42</v>
      </c>
      <c r="E959" s="6" t="s">
        <v>184</v>
      </c>
      <c r="F959" s="6" t="s">
        <v>439</v>
      </c>
      <c r="G959" s="6" t="s">
        <v>32</v>
      </c>
      <c r="H959" s="6" t="s">
        <v>19</v>
      </c>
      <c r="I959" s="6" t="s">
        <v>767</v>
      </c>
      <c r="J959" s="6" t="s">
        <v>767</v>
      </c>
      <c r="K959" s="7">
        <v>6208774</v>
      </c>
      <c r="L959" s="7">
        <v>337094</v>
      </c>
      <c r="M959" s="7">
        <v>19</v>
      </c>
      <c r="N959" s="7">
        <v>1</v>
      </c>
      <c r="O959" s="7">
        <v>0.5</v>
      </c>
    </row>
    <row r="960" spans="1:15" x14ac:dyDescent="0.25">
      <c r="A960" s="6" t="s">
        <v>28</v>
      </c>
      <c r="B960" s="6" t="s">
        <v>414</v>
      </c>
      <c r="C960" s="7">
        <v>30859</v>
      </c>
      <c r="D960" s="6" t="s">
        <v>42</v>
      </c>
      <c r="E960" s="6" t="s">
        <v>184</v>
      </c>
      <c r="F960" s="6" t="s">
        <v>439</v>
      </c>
      <c r="G960" s="6" t="s">
        <v>32</v>
      </c>
      <c r="H960" s="6" t="s">
        <v>19</v>
      </c>
      <c r="I960" s="6" t="s">
        <v>767</v>
      </c>
      <c r="J960" s="6" t="s">
        <v>767</v>
      </c>
      <c r="K960" s="7">
        <v>6209224</v>
      </c>
      <c r="L960" s="7">
        <v>336213</v>
      </c>
      <c r="M960" s="7">
        <v>19</v>
      </c>
      <c r="N960" s="7">
        <v>1</v>
      </c>
      <c r="O960" s="7">
        <v>0.13</v>
      </c>
    </row>
    <row r="961" spans="1:15" x14ac:dyDescent="0.25">
      <c r="A961" s="6" t="s">
        <v>28</v>
      </c>
      <c r="B961" s="6" t="s">
        <v>414</v>
      </c>
      <c r="C961" s="7">
        <v>30861</v>
      </c>
      <c r="D961" s="6" t="s">
        <v>42</v>
      </c>
      <c r="E961" s="6" t="s">
        <v>43</v>
      </c>
      <c r="F961" s="6" t="s">
        <v>440</v>
      </c>
      <c r="G961" s="6" t="s">
        <v>32</v>
      </c>
      <c r="H961" s="6" t="s">
        <v>19</v>
      </c>
      <c r="I961" s="6" t="s">
        <v>767</v>
      </c>
      <c r="J961" s="6" t="s">
        <v>767</v>
      </c>
      <c r="K961" s="7">
        <v>6197822</v>
      </c>
      <c r="L961" s="7">
        <v>325540</v>
      </c>
      <c r="M961" s="7">
        <v>19</v>
      </c>
      <c r="N961" s="7">
        <v>1</v>
      </c>
      <c r="O961" s="7">
        <v>7</v>
      </c>
    </row>
    <row r="962" spans="1:15" x14ac:dyDescent="0.25">
      <c r="A962" s="6" t="s">
        <v>28</v>
      </c>
      <c r="B962" s="6" t="s">
        <v>414</v>
      </c>
      <c r="C962" s="7">
        <v>30868</v>
      </c>
      <c r="D962" s="6" t="s">
        <v>42</v>
      </c>
      <c r="E962" s="6" t="s">
        <v>43</v>
      </c>
      <c r="F962" s="6" t="s">
        <v>441</v>
      </c>
      <c r="G962" s="6" t="s">
        <v>32</v>
      </c>
      <c r="H962" s="6" t="s">
        <v>153</v>
      </c>
      <c r="I962" s="6" t="s">
        <v>767</v>
      </c>
      <c r="J962" s="6" t="s">
        <v>764</v>
      </c>
      <c r="K962" s="7">
        <v>6202842</v>
      </c>
      <c r="L962" s="7">
        <v>326854</v>
      </c>
      <c r="M962" s="7">
        <v>19</v>
      </c>
      <c r="N962" s="7">
        <v>1</v>
      </c>
      <c r="O962" s="7">
        <v>2.4</v>
      </c>
    </row>
    <row r="963" spans="1:15" x14ac:dyDescent="0.25">
      <c r="A963" s="6" t="s">
        <v>28</v>
      </c>
      <c r="B963" s="6" t="s">
        <v>414</v>
      </c>
      <c r="C963" s="7">
        <v>30869</v>
      </c>
      <c r="D963" s="6" t="s">
        <v>42</v>
      </c>
      <c r="E963" s="6" t="s">
        <v>43</v>
      </c>
      <c r="F963" s="6" t="s">
        <v>441</v>
      </c>
      <c r="G963" s="6" t="s">
        <v>32</v>
      </c>
      <c r="H963" s="6" t="s">
        <v>19</v>
      </c>
      <c r="I963" s="6" t="s">
        <v>767</v>
      </c>
      <c r="J963" s="6" t="s">
        <v>767</v>
      </c>
      <c r="K963" s="7">
        <v>6202842</v>
      </c>
      <c r="L963" s="7">
        <v>326854</v>
      </c>
      <c r="M963" s="7">
        <v>19</v>
      </c>
      <c r="N963" s="7">
        <v>1</v>
      </c>
      <c r="O963" s="7">
        <v>0.6</v>
      </c>
    </row>
    <row r="964" spans="1:15" x14ac:dyDescent="0.25">
      <c r="A964" s="6" t="s">
        <v>28</v>
      </c>
      <c r="B964" s="6" t="s">
        <v>414</v>
      </c>
      <c r="C964" s="7">
        <v>30870</v>
      </c>
      <c r="D964" s="6" t="s">
        <v>42</v>
      </c>
      <c r="E964" s="6" t="s">
        <v>43</v>
      </c>
      <c r="F964" s="6" t="s">
        <v>440</v>
      </c>
      <c r="G964" s="6" t="s">
        <v>32</v>
      </c>
      <c r="H964" s="6" t="s">
        <v>19</v>
      </c>
      <c r="I964" s="6" t="s">
        <v>767</v>
      </c>
      <c r="J964" s="6" t="s">
        <v>767</v>
      </c>
      <c r="K964" s="7">
        <v>6198065</v>
      </c>
      <c r="L964" s="7">
        <v>325688</v>
      </c>
      <c r="M964" s="7">
        <v>19</v>
      </c>
      <c r="N964" s="7">
        <v>1</v>
      </c>
      <c r="O964" s="7">
        <v>2.5</v>
      </c>
    </row>
    <row r="965" spans="1:15" x14ac:dyDescent="0.25">
      <c r="A965" s="6" t="s">
        <v>14</v>
      </c>
      <c r="B965" s="6" t="s">
        <v>414</v>
      </c>
      <c r="C965" s="7">
        <v>30871</v>
      </c>
      <c r="D965" s="6" t="s">
        <v>42</v>
      </c>
      <c r="E965" s="6" t="s">
        <v>184</v>
      </c>
      <c r="F965" s="6" t="s">
        <v>184</v>
      </c>
      <c r="G965" s="6" t="s">
        <v>32</v>
      </c>
      <c r="H965" s="6" t="s">
        <v>19</v>
      </c>
      <c r="I965" s="6" t="s">
        <v>767</v>
      </c>
      <c r="J965" s="6" t="s">
        <v>767</v>
      </c>
      <c r="K965" s="7">
        <v>6199621</v>
      </c>
      <c r="L965" s="7">
        <v>338846</v>
      </c>
      <c r="M965" s="7">
        <v>19</v>
      </c>
      <c r="N965" s="7">
        <v>1</v>
      </c>
      <c r="O965" s="7">
        <v>0.6</v>
      </c>
    </row>
    <row r="966" spans="1:15" x14ac:dyDescent="0.25">
      <c r="A966" s="6" t="s">
        <v>28</v>
      </c>
      <c r="B966" s="6" t="s">
        <v>414</v>
      </c>
      <c r="C966" s="7">
        <v>30872</v>
      </c>
      <c r="D966" s="6" t="s">
        <v>42</v>
      </c>
      <c r="E966" s="6" t="s">
        <v>184</v>
      </c>
      <c r="F966" s="6" t="s">
        <v>439</v>
      </c>
      <c r="G966" s="6" t="s">
        <v>32</v>
      </c>
      <c r="H966" s="6" t="s">
        <v>19</v>
      </c>
      <c r="I966" s="6" t="s">
        <v>767</v>
      </c>
      <c r="J966" s="6" t="s">
        <v>767</v>
      </c>
      <c r="K966" s="7">
        <v>6209333</v>
      </c>
      <c r="L966" s="7">
        <v>336829</v>
      </c>
      <c r="M966" s="7">
        <v>19</v>
      </c>
      <c r="N966" s="7">
        <v>1</v>
      </c>
      <c r="O966" s="7">
        <v>0.5</v>
      </c>
    </row>
    <row r="967" spans="1:15" x14ac:dyDescent="0.25">
      <c r="A967" s="6" t="s">
        <v>28</v>
      </c>
      <c r="B967" s="6" t="s">
        <v>414</v>
      </c>
      <c r="C967" s="7">
        <v>30873</v>
      </c>
      <c r="D967" s="6" t="s">
        <v>42</v>
      </c>
      <c r="E967" s="6" t="s">
        <v>184</v>
      </c>
      <c r="F967" s="6" t="s">
        <v>439</v>
      </c>
      <c r="G967" s="6" t="s">
        <v>32</v>
      </c>
      <c r="H967" s="6" t="s">
        <v>19</v>
      </c>
      <c r="I967" s="6" t="s">
        <v>767</v>
      </c>
      <c r="J967" s="6" t="s">
        <v>767</v>
      </c>
      <c r="K967" s="7">
        <v>6209237</v>
      </c>
      <c r="L967" s="7">
        <v>336557</v>
      </c>
      <c r="M967" s="7">
        <v>19</v>
      </c>
      <c r="N967" s="7">
        <v>1</v>
      </c>
      <c r="O967" s="7">
        <v>0.5</v>
      </c>
    </row>
    <row r="968" spans="1:15" x14ac:dyDescent="0.25">
      <c r="A968" s="6" t="s">
        <v>28</v>
      </c>
      <c r="B968" s="6" t="s">
        <v>414</v>
      </c>
      <c r="C968" s="7">
        <v>30874</v>
      </c>
      <c r="D968" s="6" t="s">
        <v>42</v>
      </c>
      <c r="E968" s="6" t="s">
        <v>184</v>
      </c>
      <c r="F968" s="6" t="s">
        <v>439</v>
      </c>
      <c r="G968" s="6" t="s">
        <v>32</v>
      </c>
      <c r="H968" s="6" t="s">
        <v>19</v>
      </c>
      <c r="I968" s="6" t="s">
        <v>767</v>
      </c>
      <c r="J968" s="6" t="s">
        <v>767</v>
      </c>
      <c r="K968" s="7">
        <v>6209055</v>
      </c>
      <c r="L968" s="7">
        <v>337258</v>
      </c>
      <c r="M968" s="7">
        <v>19</v>
      </c>
      <c r="N968" s="7">
        <v>1</v>
      </c>
      <c r="O968" s="7">
        <v>0.5</v>
      </c>
    </row>
    <row r="969" spans="1:15" x14ac:dyDescent="0.25">
      <c r="A969" s="6" t="s">
        <v>28</v>
      </c>
      <c r="B969" s="6" t="s">
        <v>414</v>
      </c>
      <c r="C969" s="7">
        <v>30875</v>
      </c>
      <c r="D969" s="6" t="s">
        <v>42</v>
      </c>
      <c r="E969" s="6" t="s">
        <v>167</v>
      </c>
      <c r="F969" s="6" t="s">
        <v>66</v>
      </c>
      <c r="G969" s="6" t="s">
        <v>32</v>
      </c>
      <c r="H969" s="6" t="s">
        <v>33</v>
      </c>
      <c r="I969" s="6" t="s">
        <v>767</v>
      </c>
      <c r="J969" s="6" t="s">
        <v>764</v>
      </c>
      <c r="K969" s="7">
        <v>6227061</v>
      </c>
      <c r="L969" s="7">
        <v>344326</v>
      </c>
      <c r="M969" s="7">
        <v>19</v>
      </c>
      <c r="N969" s="7">
        <v>3</v>
      </c>
      <c r="O969" s="7">
        <v>19</v>
      </c>
    </row>
    <row r="970" spans="1:15" x14ac:dyDescent="0.25">
      <c r="A970" s="6" t="s">
        <v>28</v>
      </c>
      <c r="B970" s="6" t="s">
        <v>414</v>
      </c>
      <c r="C970" s="7">
        <v>30876</v>
      </c>
      <c r="D970" s="6" t="s">
        <v>42</v>
      </c>
      <c r="E970" s="6" t="s">
        <v>167</v>
      </c>
      <c r="F970" s="6" t="s">
        <v>66</v>
      </c>
      <c r="G970" s="6" t="s">
        <v>32</v>
      </c>
      <c r="H970" s="6" t="s">
        <v>33</v>
      </c>
      <c r="I970" s="6" t="s">
        <v>767</v>
      </c>
      <c r="J970" s="6" t="s">
        <v>764</v>
      </c>
      <c r="K970" s="7">
        <v>6224395</v>
      </c>
      <c r="L970" s="7">
        <v>346066</v>
      </c>
      <c r="M970" s="7">
        <v>19</v>
      </c>
      <c r="N970" s="7">
        <v>2</v>
      </c>
      <c r="O970" s="7">
        <v>14</v>
      </c>
    </row>
    <row r="971" spans="1:15" x14ac:dyDescent="0.25">
      <c r="A971" s="6" t="s">
        <v>28</v>
      </c>
      <c r="B971" s="6" t="s">
        <v>414</v>
      </c>
      <c r="C971" s="7">
        <v>30877</v>
      </c>
      <c r="D971" s="6" t="s">
        <v>42</v>
      </c>
      <c r="E971" s="6" t="s">
        <v>192</v>
      </c>
      <c r="F971" s="6" t="s">
        <v>442</v>
      </c>
      <c r="G971" s="6" t="s">
        <v>32</v>
      </c>
      <c r="H971" s="6" t="s">
        <v>33</v>
      </c>
      <c r="I971" s="6" t="s">
        <v>767</v>
      </c>
      <c r="J971" s="6" t="s">
        <v>764</v>
      </c>
      <c r="K971" s="7">
        <v>6234983</v>
      </c>
      <c r="L971" s="7">
        <v>340557</v>
      </c>
      <c r="M971" s="7">
        <v>19</v>
      </c>
      <c r="N971" s="7">
        <v>2</v>
      </c>
      <c r="O971" s="7">
        <v>18</v>
      </c>
    </row>
    <row r="972" spans="1:15" x14ac:dyDescent="0.25">
      <c r="A972" s="6" t="s">
        <v>28</v>
      </c>
      <c r="B972" s="6" t="s">
        <v>414</v>
      </c>
      <c r="C972" s="7">
        <v>30894</v>
      </c>
      <c r="D972" s="6" t="s">
        <v>42</v>
      </c>
      <c r="E972" s="6" t="s">
        <v>66</v>
      </c>
      <c r="F972" s="6" t="s">
        <v>66</v>
      </c>
      <c r="G972" s="6" t="s">
        <v>32</v>
      </c>
      <c r="H972" s="6" t="s">
        <v>33</v>
      </c>
      <c r="I972" s="6" t="s">
        <v>767</v>
      </c>
      <c r="J972" s="6" t="s">
        <v>764</v>
      </c>
      <c r="K972" s="7">
        <v>6227397</v>
      </c>
      <c r="L972" s="7">
        <v>343967</v>
      </c>
      <c r="M972" s="7">
        <v>19</v>
      </c>
      <c r="N972" s="7">
        <v>1</v>
      </c>
      <c r="O972" s="7">
        <v>6</v>
      </c>
    </row>
    <row r="973" spans="1:15" x14ac:dyDescent="0.25">
      <c r="A973" s="6" t="s">
        <v>28</v>
      </c>
      <c r="B973" s="6" t="s">
        <v>414</v>
      </c>
      <c r="C973" s="7">
        <v>30896</v>
      </c>
      <c r="D973" s="6" t="s">
        <v>24</v>
      </c>
      <c r="E973" s="6" t="s">
        <v>96</v>
      </c>
      <c r="F973" s="6" t="s">
        <v>96</v>
      </c>
      <c r="G973" s="6" t="s">
        <v>32</v>
      </c>
      <c r="H973" s="6" t="s">
        <v>19</v>
      </c>
      <c r="I973" s="6" t="s">
        <v>767</v>
      </c>
      <c r="J973" s="6" t="s">
        <v>767</v>
      </c>
      <c r="K973" s="7">
        <v>6257826</v>
      </c>
      <c r="L973" s="7">
        <v>340108</v>
      </c>
      <c r="M973" s="7">
        <v>19</v>
      </c>
      <c r="N973" s="7">
        <v>1</v>
      </c>
      <c r="O973" s="7">
        <v>0.3</v>
      </c>
    </row>
    <row r="974" spans="1:15" x14ac:dyDescent="0.25">
      <c r="A974" s="6" t="s">
        <v>28</v>
      </c>
      <c r="B974" s="6" t="s">
        <v>414</v>
      </c>
      <c r="C974" s="7">
        <v>30903</v>
      </c>
      <c r="D974" s="6" t="s">
        <v>24</v>
      </c>
      <c r="E974" s="6" t="s">
        <v>96</v>
      </c>
      <c r="F974" s="6" t="s">
        <v>96</v>
      </c>
      <c r="G974" s="6" t="s">
        <v>32</v>
      </c>
      <c r="H974" s="6" t="s">
        <v>19</v>
      </c>
      <c r="I974" s="6" t="s">
        <v>767</v>
      </c>
      <c r="J974" s="6" t="s">
        <v>767</v>
      </c>
      <c r="K974" s="7">
        <v>6261425</v>
      </c>
      <c r="L974" s="7">
        <v>340123</v>
      </c>
      <c r="M974" s="7">
        <v>19</v>
      </c>
      <c r="N974" s="7">
        <v>1</v>
      </c>
      <c r="O974" s="7">
        <v>1</v>
      </c>
    </row>
    <row r="975" spans="1:15" x14ac:dyDescent="0.25">
      <c r="A975" s="6" t="s">
        <v>28</v>
      </c>
      <c r="B975" s="6" t="s">
        <v>414</v>
      </c>
      <c r="C975" s="7">
        <v>30927</v>
      </c>
      <c r="D975" s="6" t="s">
        <v>24</v>
      </c>
      <c r="E975" s="6" t="s">
        <v>96</v>
      </c>
      <c r="F975" s="6" t="s">
        <v>96</v>
      </c>
      <c r="G975" s="6" t="s">
        <v>32</v>
      </c>
      <c r="H975" s="6" t="s">
        <v>19</v>
      </c>
      <c r="I975" s="6" t="s">
        <v>767</v>
      </c>
      <c r="J975" s="6" t="s">
        <v>767</v>
      </c>
      <c r="K975" s="7">
        <v>6261616</v>
      </c>
      <c r="L975" s="7">
        <v>339508</v>
      </c>
      <c r="M975" s="7">
        <v>19</v>
      </c>
      <c r="N975" s="7">
        <v>1</v>
      </c>
      <c r="O975" s="7">
        <v>2.7</v>
      </c>
    </row>
    <row r="976" spans="1:15" x14ac:dyDescent="0.25">
      <c r="A976" s="6" t="s">
        <v>28</v>
      </c>
      <c r="B976" s="6" t="s">
        <v>414</v>
      </c>
      <c r="C976" s="7">
        <v>30934</v>
      </c>
      <c r="D976" s="6" t="s">
        <v>24</v>
      </c>
      <c r="E976" s="6" t="s">
        <v>427</v>
      </c>
      <c r="F976" s="6" t="s">
        <v>443</v>
      </c>
      <c r="G976" s="6" t="s">
        <v>32</v>
      </c>
      <c r="H976" s="6" t="s">
        <v>33</v>
      </c>
      <c r="I976" s="6" t="s">
        <v>767</v>
      </c>
      <c r="J976" s="6" t="s">
        <v>764</v>
      </c>
      <c r="K976" s="7">
        <v>6261959</v>
      </c>
      <c r="L976" s="7">
        <v>324460</v>
      </c>
      <c r="M976" s="7">
        <v>19</v>
      </c>
      <c r="N976" s="7">
        <v>1</v>
      </c>
      <c r="O976" s="7">
        <v>8</v>
      </c>
    </row>
    <row r="977" spans="1:15" x14ac:dyDescent="0.25">
      <c r="A977" s="6" t="s">
        <v>28</v>
      </c>
      <c r="B977" s="6" t="s">
        <v>414</v>
      </c>
      <c r="C977" s="7">
        <v>30936</v>
      </c>
      <c r="D977" s="6" t="s">
        <v>24</v>
      </c>
      <c r="E977" s="6" t="s">
        <v>436</v>
      </c>
      <c r="F977" s="6" t="s">
        <v>428</v>
      </c>
      <c r="G977" s="6" t="s">
        <v>32</v>
      </c>
      <c r="H977" s="6" t="s">
        <v>33</v>
      </c>
      <c r="I977" s="6" t="s">
        <v>767</v>
      </c>
      <c r="J977" s="6" t="s">
        <v>764</v>
      </c>
      <c r="K977" s="7">
        <v>6279050</v>
      </c>
      <c r="L977" s="7">
        <v>332991</v>
      </c>
      <c r="M977" s="7">
        <v>19</v>
      </c>
      <c r="N977" s="7">
        <v>2</v>
      </c>
      <c r="O977" s="7">
        <v>25</v>
      </c>
    </row>
    <row r="978" spans="1:15" x14ac:dyDescent="0.25">
      <c r="A978" s="6" t="s">
        <v>28</v>
      </c>
      <c r="B978" s="6" t="s">
        <v>414</v>
      </c>
      <c r="C978" s="7">
        <v>30943</v>
      </c>
      <c r="D978" s="6" t="s">
        <v>24</v>
      </c>
      <c r="E978" s="6" t="s">
        <v>25</v>
      </c>
      <c r="F978" s="6" t="s">
        <v>26</v>
      </c>
      <c r="G978" s="6" t="s">
        <v>32</v>
      </c>
      <c r="H978" s="6" t="s">
        <v>33</v>
      </c>
      <c r="I978" s="6" t="s">
        <v>767</v>
      </c>
      <c r="J978" s="6" t="s">
        <v>764</v>
      </c>
      <c r="K978" s="7">
        <v>6264577</v>
      </c>
      <c r="L978" s="7">
        <v>337155</v>
      </c>
      <c r="M978" s="7">
        <v>19</v>
      </c>
      <c r="N978" s="7">
        <v>2</v>
      </c>
      <c r="O978" s="7">
        <v>20</v>
      </c>
    </row>
    <row r="979" spans="1:15" x14ac:dyDescent="0.25">
      <c r="A979" s="6" t="s">
        <v>28</v>
      </c>
      <c r="B979" s="6" t="s">
        <v>414</v>
      </c>
      <c r="C979" s="7">
        <v>30946</v>
      </c>
      <c r="D979" s="6" t="s">
        <v>24</v>
      </c>
      <c r="E979" s="6" t="s">
        <v>25</v>
      </c>
      <c r="F979" s="6" t="s">
        <v>25</v>
      </c>
      <c r="G979" s="6" t="s">
        <v>32</v>
      </c>
      <c r="H979" s="6" t="s">
        <v>33</v>
      </c>
      <c r="I979" s="6" t="s">
        <v>767</v>
      </c>
      <c r="J979" s="6" t="s">
        <v>764</v>
      </c>
      <c r="K979" s="7">
        <v>6267725</v>
      </c>
      <c r="L979" s="7">
        <v>340880</v>
      </c>
      <c r="M979" s="7">
        <v>19</v>
      </c>
      <c r="N979" s="7">
        <v>2</v>
      </c>
      <c r="O979" s="7">
        <v>22</v>
      </c>
    </row>
    <row r="980" spans="1:15" x14ac:dyDescent="0.25">
      <c r="A980" s="6" t="s">
        <v>28</v>
      </c>
      <c r="B980" s="6" t="s">
        <v>414</v>
      </c>
      <c r="C980" s="7">
        <v>30947</v>
      </c>
      <c r="D980" s="6" t="s">
        <v>24</v>
      </c>
      <c r="E980" s="6" t="s">
        <v>436</v>
      </c>
      <c r="F980" s="6" t="s">
        <v>444</v>
      </c>
      <c r="G980" s="6" t="s">
        <v>32</v>
      </c>
      <c r="H980" s="6" t="s">
        <v>33</v>
      </c>
      <c r="I980" s="6" t="s">
        <v>767</v>
      </c>
      <c r="J980" s="6" t="s">
        <v>764</v>
      </c>
      <c r="K980" s="7">
        <v>6275037</v>
      </c>
      <c r="L980" s="7">
        <v>327460</v>
      </c>
      <c r="M980" s="7">
        <v>19</v>
      </c>
      <c r="N980" s="7">
        <v>1</v>
      </c>
      <c r="O980" s="7">
        <v>7.5</v>
      </c>
    </row>
    <row r="981" spans="1:15" x14ac:dyDescent="0.25">
      <c r="A981" s="6" t="s">
        <v>28</v>
      </c>
      <c r="B981" s="6" t="s">
        <v>414</v>
      </c>
      <c r="C981" s="7">
        <v>30950</v>
      </c>
      <c r="D981" s="6" t="s">
        <v>24</v>
      </c>
      <c r="E981" s="6" t="s">
        <v>31</v>
      </c>
      <c r="F981" s="6" t="s">
        <v>415</v>
      </c>
      <c r="G981" s="6" t="s">
        <v>32</v>
      </c>
      <c r="H981" s="6" t="s">
        <v>33</v>
      </c>
      <c r="I981" s="6" t="s">
        <v>767</v>
      </c>
      <c r="J981" s="6" t="s">
        <v>767</v>
      </c>
      <c r="K981" s="7">
        <v>6275034</v>
      </c>
      <c r="L981" s="7">
        <v>298975</v>
      </c>
      <c r="M981" s="7">
        <v>19</v>
      </c>
      <c r="N981" s="7">
        <v>1</v>
      </c>
      <c r="O981" s="7">
        <v>24</v>
      </c>
    </row>
    <row r="982" spans="1:15" x14ac:dyDescent="0.25">
      <c r="A982" s="6" t="s">
        <v>28</v>
      </c>
      <c r="B982" s="6" t="s">
        <v>414</v>
      </c>
      <c r="C982" s="7">
        <v>30955</v>
      </c>
      <c r="D982" s="6" t="s">
        <v>24</v>
      </c>
      <c r="E982" s="6" t="s">
        <v>31</v>
      </c>
      <c r="F982" s="6" t="s">
        <v>415</v>
      </c>
      <c r="G982" s="6" t="s">
        <v>32</v>
      </c>
      <c r="H982" s="6" t="s">
        <v>33</v>
      </c>
      <c r="I982" s="6" t="s">
        <v>767</v>
      </c>
      <c r="J982" s="6" t="s">
        <v>767</v>
      </c>
      <c r="K982" s="7">
        <v>6275467</v>
      </c>
      <c r="L982" s="7">
        <v>297470</v>
      </c>
      <c r="M982" s="7">
        <v>19</v>
      </c>
      <c r="N982" s="7">
        <v>4</v>
      </c>
      <c r="O982" s="7">
        <v>47</v>
      </c>
    </row>
    <row r="983" spans="1:15" x14ac:dyDescent="0.25">
      <c r="A983" s="6" t="s">
        <v>28</v>
      </c>
      <c r="B983" s="6" t="s">
        <v>414</v>
      </c>
      <c r="C983" s="7">
        <v>30956</v>
      </c>
      <c r="D983" s="6" t="s">
        <v>24</v>
      </c>
      <c r="E983" s="6" t="s">
        <v>96</v>
      </c>
      <c r="F983" s="6" t="s">
        <v>96</v>
      </c>
      <c r="G983" s="6" t="s">
        <v>32</v>
      </c>
      <c r="H983" s="6" t="s">
        <v>19</v>
      </c>
      <c r="I983" s="6" t="s">
        <v>767</v>
      </c>
      <c r="J983" s="6" t="s">
        <v>767</v>
      </c>
      <c r="K983" s="7">
        <v>6261116</v>
      </c>
      <c r="L983" s="7">
        <v>340100</v>
      </c>
      <c r="M983" s="7">
        <v>19</v>
      </c>
      <c r="N983" s="7">
        <v>1</v>
      </c>
      <c r="O983" s="7">
        <v>0.4</v>
      </c>
    </row>
    <row r="984" spans="1:15" x14ac:dyDescent="0.25">
      <c r="A984" s="6" t="s">
        <v>14</v>
      </c>
      <c r="B984" s="6" t="s">
        <v>414</v>
      </c>
      <c r="C984" s="7">
        <v>30960</v>
      </c>
      <c r="D984" s="6" t="s">
        <v>24</v>
      </c>
      <c r="E984" s="6" t="s">
        <v>96</v>
      </c>
      <c r="F984" s="6" t="s">
        <v>96</v>
      </c>
      <c r="G984" s="6" t="s">
        <v>32</v>
      </c>
      <c r="H984" s="6" t="s">
        <v>19</v>
      </c>
      <c r="I984" s="6" t="s">
        <v>767</v>
      </c>
      <c r="J984" s="6" t="s">
        <v>767</v>
      </c>
      <c r="K984" s="7">
        <v>6259108</v>
      </c>
      <c r="L984" s="7">
        <v>343184</v>
      </c>
      <c r="M984" s="7">
        <v>19</v>
      </c>
      <c r="N984" s="7">
        <v>1</v>
      </c>
      <c r="O984" s="7">
        <v>0.4</v>
      </c>
    </row>
    <row r="985" spans="1:15" x14ac:dyDescent="0.25">
      <c r="A985" s="6" t="s">
        <v>28</v>
      </c>
      <c r="B985" s="6" t="s">
        <v>414</v>
      </c>
      <c r="C985" s="7">
        <v>30981</v>
      </c>
      <c r="D985" s="6" t="s">
        <v>24</v>
      </c>
      <c r="E985" s="6" t="s">
        <v>37</v>
      </c>
      <c r="F985" s="6" t="s">
        <v>37</v>
      </c>
      <c r="G985" s="6" t="s">
        <v>32</v>
      </c>
      <c r="H985" s="6" t="s">
        <v>33</v>
      </c>
      <c r="I985" s="6" t="s">
        <v>767</v>
      </c>
      <c r="J985" s="6" t="s">
        <v>767</v>
      </c>
      <c r="K985" s="7">
        <v>6268929</v>
      </c>
      <c r="L985" s="7">
        <v>321286</v>
      </c>
      <c r="M985" s="7">
        <v>19</v>
      </c>
      <c r="N985" s="7">
        <v>1</v>
      </c>
      <c r="O985" s="7">
        <v>16</v>
      </c>
    </row>
    <row r="986" spans="1:15" x14ac:dyDescent="0.25">
      <c r="A986" s="6" t="s">
        <v>28</v>
      </c>
      <c r="B986" s="6" t="s">
        <v>414</v>
      </c>
      <c r="C986" s="7">
        <v>30986</v>
      </c>
      <c r="D986" s="6" t="s">
        <v>24</v>
      </c>
      <c r="E986" s="6" t="s">
        <v>25</v>
      </c>
      <c r="F986" s="6" t="s">
        <v>425</v>
      </c>
      <c r="G986" s="6" t="s">
        <v>32</v>
      </c>
      <c r="H986" s="6" t="s">
        <v>33</v>
      </c>
      <c r="I986" s="6" t="s">
        <v>767</v>
      </c>
      <c r="J986" s="6" t="s">
        <v>767</v>
      </c>
      <c r="K986" s="7">
        <v>6262242</v>
      </c>
      <c r="L986" s="7">
        <v>343689</v>
      </c>
      <c r="M986" s="7">
        <v>19</v>
      </c>
      <c r="N986" s="7">
        <v>2</v>
      </c>
      <c r="O986" s="7">
        <v>12</v>
      </c>
    </row>
    <row r="987" spans="1:15" x14ac:dyDescent="0.25">
      <c r="A987" s="6" t="s">
        <v>28</v>
      </c>
      <c r="B987" s="6" t="s">
        <v>414</v>
      </c>
      <c r="C987" s="7">
        <v>30988</v>
      </c>
      <c r="D987" s="6" t="s">
        <v>24</v>
      </c>
      <c r="E987" s="6" t="s">
        <v>96</v>
      </c>
      <c r="F987" s="6" t="s">
        <v>96</v>
      </c>
      <c r="G987" s="6" t="s">
        <v>32</v>
      </c>
      <c r="H987" s="6" t="s">
        <v>19</v>
      </c>
      <c r="I987" s="6" t="s">
        <v>767</v>
      </c>
      <c r="J987" s="6" t="s">
        <v>767</v>
      </c>
      <c r="K987" s="7">
        <v>6257465</v>
      </c>
      <c r="L987" s="7">
        <v>340084</v>
      </c>
      <c r="M987" s="7">
        <v>19</v>
      </c>
      <c r="N987" s="7">
        <v>1</v>
      </c>
      <c r="O987" s="7">
        <v>6</v>
      </c>
    </row>
    <row r="988" spans="1:15" x14ac:dyDescent="0.25">
      <c r="A988" s="6" t="s">
        <v>28</v>
      </c>
      <c r="B988" s="6" t="s">
        <v>414</v>
      </c>
      <c r="C988" s="7">
        <v>30990</v>
      </c>
      <c r="D988" s="6" t="s">
        <v>24</v>
      </c>
      <c r="E988" s="6" t="s">
        <v>37</v>
      </c>
      <c r="F988" s="6" t="s">
        <v>37</v>
      </c>
      <c r="G988" s="6" t="s">
        <v>32</v>
      </c>
      <c r="H988" s="6" t="s">
        <v>33</v>
      </c>
      <c r="I988" s="6" t="s">
        <v>767</v>
      </c>
      <c r="J988" s="6" t="s">
        <v>767</v>
      </c>
      <c r="K988" s="7">
        <v>6269156</v>
      </c>
      <c r="L988" s="7">
        <v>321774</v>
      </c>
      <c r="M988" s="7">
        <v>19</v>
      </c>
      <c r="N988" s="7">
        <v>2</v>
      </c>
      <c r="O988" s="7">
        <v>18</v>
      </c>
    </row>
    <row r="989" spans="1:15" x14ac:dyDescent="0.25">
      <c r="A989" s="6" t="s">
        <v>28</v>
      </c>
      <c r="B989" s="6" t="s">
        <v>414</v>
      </c>
      <c r="C989" s="7">
        <v>30991</v>
      </c>
      <c r="D989" s="6" t="s">
        <v>24</v>
      </c>
      <c r="E989" s="6" t="s">
        <v>96</v>
      </c>
      <c r="F989" s="6" t="s">
        <v>96</v>
      </c>
      <c r="G989" s="6" t="s">
        <v>32</v>
      </c>
      <c r="H989" s="6" t="s">
        <v>19</v>
      </c>
      <c r="I989" s="6" t="s">
        <v>767</v>
      </c>
      <c r="J989" s="6" t="s">
        <v>767</v>
      </c>
      <c r="K989" s="7">
        <v>6260351</v>
      </c>
      <c r="L989" s="7">
        <v>338838</v>
      </c>
      <c r="M989" s="7">
        <v>19</v>
      </c>
      <c r="N989" s="7">
        <v>1</v>
      </c>
      <c r="O989" s="7">
        <v>5.5</v>
      </c>
    </row>
    <row r="990" spans="1:15" x14ac:dyDescent="0.25">
      <c r="A990" s="6" t="s">
        <v>28</v>
      </c>
      <c r="B990" s="6" t="s">
        <v>414</v>
      </c>
      <c r="C990" s="7">
        <v>30992</v>
      </c>
      <c r="D990" s="6" t="s">
        <v>24</v>
      </c>
      <c r="E990" s="6" t="s">
        <v>96</v>
      </c>
      <c r="F990" s="6" t="s">
        <v>96</v>
      </c>
      <c r="G990" s="6" t="s">
        <v>32</v>
      </c>
      <c r="H990" s="6" t="s">
        <v>19</v>
      </c>
      <c r="I990" s="6" t="s">
        <v>767</v>
      </c>
      <c r="J990" s="6" t="s">
        <v>767</v>
      </c>
      <c r="K990" s="7">
        <v>6260313</v>
      </c>
      <c r="L990" s="7">
        <v>340869</v>
      </c>
      <c r="M990" s="7">
        <v>19</v>
      </c>
      <c r="N990" s="7">
        <v>1</v>
      </c>
      <c r="O990" s="7">
        <v>0.3</v>
      </c>
    </row>
    <row r="991" spans="1:15" x14ac:dyDescent="0.25">
      <c r="A991" s="6" t="s">
        <v>28</v>
      </c>
      <c r="B991" s="6" t="s">
        <v>414</v>
      </c>
      <c r="C991" s="7">
        <v>30995</v>
      </c>
      <c r="D991" s="6" t="s">
        <v>24</v>
      </c>
      <c r="E991" s="6" t="s">
        <v>96</v>
      </c>
      <c r="F991" s="6" t="s">
        <v>417</v>
      </c>
      <c r="G991" s="6" t="s">
        <v>32</v>
      </c>
      <c r="H991" s="6" t="s">
        <v>19</v>
      </c>
      <c r="I991" s="6" t="s">
        <v>767</v>
      </c>
      <c r="J991" s="6" t="s">
        <v>767</v>
      </c>
      <c r="K991" s="7">
        <v>6247222</v>
      </c>
      <c r="L991" s="7">
        <v>338810</v>
      </c>
      <c r="M991" s="7">
        <v>19</v>
      </c>
      <c r="N991" s="7">
        <v>1</v>
      </c>
      <c r="O991" s="7">
        <v>0.4</v>
      </c>
    </row>
    <row r="992" spans="1:15" x14ac:dyDescent="0.25">
      <c r="A992" s="6" t="s">
        <v>28</v>
      </c>
      <c r="B992" s="6" t="s">
        <v>414</v>
      </c>
      <c r="C992" s="7">
        <v>31009</v>
      </c>
      <c r="D992" s="6" t="s">
        <v>24</v>
      </c>
      <c r="E992" s="6" t="s">
        <v>96</v>
      </c>
      <c r="F992" s="6" t="s">
        <v>445</v>
      </c>
      <c r="G992" s="6" t="s">
        <v>32</v>
      </c>
      <c r="H992" s="6" t="s">
        <v>33</v>
      </c>
      <c r="I992" s="6" t="s">
        <v>767</v>
      </c>
      <c r="J992" s="6" t="s">
        <v>767</v>
      </c>
      <c r="K992" s="7">
        <v>6255561</v>
      </c>
      <c r="L992" s="7">
        <v>334101</v>
      </c>
      <c r="M992" s="7">
        <v>19</v>
      </c>
      <c r="N992" s="7">
        <v>1</v>
      </c>
      <c r="O992" s="7">
        <v>18</v>
      </c>
    </row>
    <row r="993" spans="1:15" x14ac:dyDescent="0.25">
      <c r="A993" s="6" t="s">
        <v>28</v>
      </c>
      <c r="B993" s="6" t="s">
        <v>414</v>
      </c>
      <c r="C993" s="7">
        <v>31012</v>
      </c>
      <c r="D993" s="6" t="s">
        <v>24</v>
      </c>
      <c r="E993" s="6" t="s">
        <v>56</v>
      </c>
      <c r="F993" s="6" t="s">
        <v>418</v>
      </c>
      <c r="G993" s="6" t="s">
        <v>32</v>
      </c>
      <c r="H993" s="6" t="s">
        <v>33</v>
      </c>
      <c r="I993" s="6" t="s">
        <v>767</v>
      </c>
      <c r="J993" s="6" t="s">
        <v>764</v>
      </c>
      <c r="K993" s="7">
        <v>6272636</v>
      </c>
      <c r="L993" s="7">
        <v>335366</v>
      </c>
      <c r="M993" s="7">
        <v>19</v>
      </c>
      <c r="N993" s="7">
        <v>3</v>
      </c>
      <c r="O993" s="7">
        <v>25</v>
      </c>
    </row>
    <row r="994" spans="1:15" x14ac:dyDescent="0.25">
      <c r="A994" s="6" t="s">
        <v>28</v>
      </c>
      <c r="B994" s="6" t="s">
        <v>414</v>
      </c>
      <c r="C994" s="7">
        <v>31017</v>
      </c>
      <c r="D994" s="6" t="s">
        <v>24</v>
      </c>
      <c r="E994" s="6" t="s">
        <v>56</v>
      </c>
      <c r="F994" s="6" t="s">
        <v>418</v>
      </c>
      <c r="G994" s="6" t="s">
        <v>32</v>
      </c>
      <c r="H994" s="6" t="s">
        <v>33</v>
      </c>
      <c r="I994" s="6" t="s">
        <v>767</v>
      </c>
      <c r="J994" s="6" t="s">
        <v>764</v>
      </c>
      <c r="K994" s="7">
        <v>6273920</v>
      </c>
      <c r="L994" s="7">
        <v>340982</v>
      </c>
      <c r="M994" s="7">
        <v>19</v>
      </c>
      <c r="N994" s="7">
        <v>1</v>
      </c>
      <c r="O994" s="7">
        <v>7</v>
      </c>
    </row>
    <row r="995" spans="1:15" x14ac:dyDescent="0.25">
      <c r="A995" s="6" t="s">
        <v>28</v>
      </c>
      <c r="B995" s="6" t="s">
        <v>414</v>
      </c>
      <c r="C995" s="7">
        <v>31022</v>
      </c>
      <c r="D995" s="6" t="s">
        <v>24</v>
      </c>
      <c r="E995" s="6" t="s">
        <v>56</v>
      </c>
      <c r="F995" s="6" t="s">
        <v>418</v>
      </c>
      <c r="G995" s="6" t="s">
        <v>32</v>
      </c>
      <c r="H995" s="6" t="s">
        <v>33</v>
      </c>
      <c r="I995" s="6" t="s">
        <v>767</v>
      </c>
      <c r="J995" s="6" t="s">
        <v>767</v>
      </c>
      <c r="K995" s="7">
        <v>6271757</v>
      </c>
      <c r="L995" s="7">
        <v>335230</v>
      </c>
      <c r="M995" s="7">
        <v>19</v>
      </c>
      <c r="N995" s="7">
        <v>1</v>
      </c>
      <c r="O995" s="7">
        <v>8</v>
      </c>
    </row>
    <row r="996" spans="1:15" x14ac:dyDescent="0.25">
      <c r="A996" s="6" t="s">
        <v>28</v>
      </c>
      <c r="B996" s="6" t="s">
        <v>414</v>
      </c>
      <c r="C996" s="7">
        <v>31030</v>
      </c>
      <c r="D996" s="6" t="s">
        <v>24</v>
      </c>
      <c r="E996" s="6" t="s">
        <v>96</v>
      </c>
      <c r="F996" s="6" t="s">
        <v>96</v>
      </c>
      <c r="G996" s="6" t="s">
        <v>32</v>
      </c>
      <c r="H996" s="6" t="s">
        <v>153</v>
      </c>
      <c r="I996" s="6" t="s">
        <v>767</v>
      </c>
      <c r="J996" s="6" t="s">
        <v>764</v>
      </c>
      <c r="K996" s="7">
        <v>6259776</v>
      </c>
      <c r="L996" s="7">
        <v>340851</v>
      </c>
      <c r="M996" s="7">
        <v>19</v>
      </c>
      <c r="N996" s="7">
        <v>2</v>
      </c>
      <c r="O996" s="7">
        <v>6</v>
      </c>
    </row>
    <row r="997" spans="1:15" x14ac:dyDescent="0.25">
      <c r="A997" s="6" t="s">
        <v>28</v>
      </c>
      <c r="B997" s="6" t="s">
        <v>414</v>
      </c>
      <c r="C997" s="7">
        <v>31054</v>
      </c>
      <c r="D997" s="6" t="s">
        <v>24</v>
      </c>
      <c r="E997" s="6" t="s">
        <v>96</v>
      </c>
      <c r="F997" s="6" t="s">
        <v>96</v>
      </c>
      <c r="G997" s="6" t="s">
        <v>32</v>
      </c>
      <c r="H997" s="6" t="s">
        <v>153</v>
      </c>
      <c r="I997" s="6" t="s">
        <v>767</v>
      </c>
      <c r="J997" s="6" t="s">
        <v>764</v>
      </c>
      <c r="K997" s="7">
        <v>6260713</v>
      </c>
      <c r="L997" s="7">
        <v>340113</v>
      </c>
      <c r="M997" s="7">
        <v>19</v>
      </c>
      <c r="N997" s="7">
        <v>1</v>
      </c>
      <c r="O997" s="7">
        <v>7.5</v>
      </c>
    </row>
    <row r="998" spans="1:15" x14ac:dyDescent="0.25">
      <c r="A998" s="6" t="s">
        <v>28</v>
      </c>
      <c r="B998" s="6" t="s">
        <v>414</v>
      </c>
      <c r="C998" s="7">
        <v>31058</v>
      </c>
      <c r="D998" s="6" t="s">
        <v>39</v>
      </c>
      <c r="E998" s="6" t="s">
        <v>40</v>
      </c>
      <c r="F998" s="6" t="s">
        <v>181</v>
      </c>
      <c r="G998" s="6" t="s">
        <v>32</v>
      </c>
      <c r="H998" s="6" t="s">
        <v>33</v>
      </c>
      <c r="I998" s="6" t="s">
        <v>767</v>
      </c>
      <c r="J998" s="6" t="s">
        <v>764</v>
      </c>
      <c r="K998" s="7">
        <v>6114098</v>
      </c>
      <c r="L998" s="7">
        <v>306387</v>
      </c>
      <c r="M998" s="7">
        <v>19</v>
      </c>
      <c r="N998" s="7">
        <v>2</v>
      </c>
      <c r="O998" s="7">
        <v>50.37</v>
      </c>
    </row>
    <row r="999" spans="1:15" x14ac:dyDescent="0.25">
      <c r="A999" s="6" t="s">
        <v>28</v>
      </c>
      <c r="B999" s="6" t="s">
        <v>414</v>
      </c>
      <c r="C999" s="7">
        <v>31059</v>
      </c>
      <c r="D999" s="6" t="s">
        <v>39</v>
      </c>
      <c r="E999" s="6" t="s">
        <v>310</v>
      </c>
      <c r="F999" s="6" t="s">
        <v>446</v>
      </c>
      <c r="G999" s="6" t="s">
        <v>32</v>
      </c>
      <c r="H999" s="6" t="s">
        <v>33</v>
      </c>
      <c r="I999" s="6" t="s">
        <v>767</v>
      </c>
      <c r="J999" s="6" t="s">
        <v>764</v>
      </c>
      <c r="K999" s="7">
        <v>6115793</v>
      </c>
      <c r="L999" s="7">
        <v>295619</v>
      </c>
      <c r="M999" s="7">
        <v>19</v>
      </c>
      <c r="N999" s="7">
        <v>5</v>
      </c>
      <c r="O999" s="7">
        <v>23.83</v>
      </c>
    </row>
    <row r="1000" spans="1:15" x14ac:dyDescent="0.25">
      <c r="A1000" s="6" t="s">
        <v>28</v>
      </c>
      <c r="B1000" s="6" t="s">
        <v>414</v>
      </c>
      <c r="C1000" s="7">
        <v>31077</v>
      </c>
      <c r="D1000" s="6" t="s">
        <v>39</v>
      </c>
      <c r="E1000" s="6" t="s">
        <v>41</v>
      </c>
      <c r="F1000" s="6" t="s">
        <v>41</v>
      </c>
      <c r="G1000" s="6" t="s">
        <v>32</v>
      </c>
      <c r="H1000" s="6" t="s">
        <v>33</v>
      </c>
      <c r="I1000" s="6" t="s">
        <v>767</v>
      </c>
      <c r="J1000" s="6" t="s">
        <v>764</v>
      </c>
      <c r="K1000" s="7">
        <v>6124388</v>
      </c>
      <c r="L1000" s="7">
        <v>284696</v>
      </c>
      <c r="M1000" s="7">
        <v>19</v>
      </c>
      <c r="N1000" s="7">
        <v>1</v>
      </c>
      <c r="O1000" s="7">
        <v>5.42</v>
      </c>
    </row>
    <row r="1001" spans="1:15" x14ac:dyDescent="0.25">
      <c r="A1001" s="6" t="s">
        <v>28</v>
      </c>
      <c r="B1001" s="6" t="s">
        <v>414</v>
      </c>
      <c r="C1001" s="7">
        <v>31080</v>
      </c>
      <c r="D1001" s="6" t="s">
        <v>39</v>
      </c>
      <c r="E1001" s="6" t="s">
        <v>179</v>
      </c>
      <c r="F1001" s="6" t="s">
        <v>179</v>
      </c>
      <c r="G1001" s="6" t="s">
        <v>32</v>
      </c>
      <c r="H1001" s="6" t="s">
        <v>33</v>
      </c>
      <c r="I1001" s="6" t="s">
        <v>767</v>
      </c>
      <c r="J1001" s="6" t="s">
        <v>764</v>
      </c>
      <c r="K1001" s="7">
        <v>6131575</v>
      </c>
      <c r="L1001" s="7">
        <v>303577</v>
      </c>
      <c r="M1001" s="7">
        <v>19</v>
      </c>
      <c r="N1001" s="7">
        <v>1</v>
      </c>
      <c r="O1001" s="7">
        <v>40</v>
      </c>
    </row>
    <row r="1002" spans="1:15" x14ac:dyDescent="0.25">
      <c r="A1002" s="6" t="s">
        <v>28</v>
      </c>
      <c r="B1002" s="6" t="s">
        <v>414</v>
      </c>
      <c r="C1002" s="7">
        <v>31089</v>
      </c>
      <c r="D1002" s="6" t="s">
        <v>39</v>
      </c>
      <c r="E1002" s="6" t="s">
        <v>41</v>
      </c>
      <c r="F1002" s="6" t="s">
        <v>447</v>
      </c>
      <c r="G1002" s="6" t="s">
        <v>32</v>
      </c>
      <c r="H1002" s="6" t="s">
        <v>33</v>
      </c>
      <c r="I1002" s="6" t="s">
        <v>767</v>
      </c>
      <c r="J1002" s="6" t="s">
        <v>764</v>
      </c>
      <c r="K1002" s="7">
        <v>6121507</v>
      </c>
      <c r="L1002" s="7">
        <v>291454</v>
      </c>
      <c r="M1002" s="7">
        <v>19</v>
      </c>
      <c r="N1002" s="7">
        <v>1</v>
      </c>
      <c r="O1002" s="7">
        <v>7</v>
      </c>
    </row>
    <row r="1003" spans="1:15" x14ac:dyDescent="0.25">
      <c r="A1003" s="6" t="s">
        <v>28</v>
      </c>
      <c r="B1003" s="6" t="s">
        <v>414</v>
      </c>
      <c r="C1003" s="7">
        <v>31091</v>
      </c>
      <c r="D1003" s="6" t="s">
        <v>39</v>
      </c>
      <c r="E1003" s="6" t="s">
        <v>179</v>
      </c>
      <c r="F1003" s="6" t="s">
        <v>179</v>
      </c>
      <c r="G1003" s="6" t="s">
        <v>32</v>
      </c>
      <c r="H1003" s="6" t="s">
        <v>33</v>
      </c>
      <c r="I1003" s="6" t="s">
        <v>767</v>
      </c>
      <c r="J1003" s="6" t="s">
        <v>764</v>
      </c>
      <c r="K1003" s="7">
        <v>6127534</v>
      </c>
      <c r="L1003" s="7">
        <v>311379</v>
      </c>
      <c r="M1003" s="7">
        <v>19</v>
      </c>
      <c r="N1003" s="7">
        <v>2</v>
      </c>
      <c r="O1003" s="7">
        <v>33</v>
      </c>
    </row>
    <row r="1004" spans="1:15" x14ac:dyDescent="0.25">
      <c r="A1004" s="6" t="s">
        <v>28</v>
      </c>
      <c r="B1004" s="6" t="s">
        <v>414</v>
      </c>
      <c r="C1004" s="7">
        <v>31092</v>
      </c>
      <c r="D1004" s="6" t="s">
        <v>42</v>
      </c>
      <c r="E1004" s="6" t="s">
        <v>448</v>
      </c>
      <c r="F1004" s="6" t="s">
        <v>448</v>
      </c>
      <c r="G1004" s="6" t="s">
        <v>32</v>
      </c>
      <c r="H1004" s="6" t="s">
        <v>33</v>
      </c>
      <c r="I1004" s="6" t="s">
        <v>767</v>
      </c>
      <c r="J1004" s="6" t="s">
        <v>767</v>
      </c>
      <c r="K1004" s="7">
        <v>6160494</v>
      </c>
      <c r="L1004" s="7">
        <v>294571</v>
      </c>
      <c r="M1004" s="7">
        <v>19</v>
      </c>
      <c r="N1004" s="7">
        <v>1</v>
      </c>
      <c r="O1004" s="7">
        <v>22</v>
      </c>
    </row>
    <row r="1005" spans="1:15" x14ac:dyDescent="0.25">
      <c r="A1005" s="6" t="s">
        <v>28</v>
      </c>
      <c r="B1005" s="6" t="s">
        <v>414</v>
      </c>
      <c r="C1005" s="7">
        <v>31093</v>
      </c>
      <c r="D1005" s="6" t="s">
        <v>42</v>
      </c>
      <c r="E1005" s="6" t="s">
        <v>449</v>
      </c>
      <c r="F1005" s="6" t="s">
        <v>450</v>
      </c>
      <c r="G1005" s="6" t="s">
        <v>32</v>
      </c>
      <c r="H1005" s="6" t="s">
        <v>33</v>
      </c>
      <c r="I1005" s="6" t="s">
        <v>767</v>
      </c>
      <c r="J1005" s="6" t="s">
        <v>767</v>
      </c>
      <c r="K1005" s="7">
        <v>6161948</v>
      </c>
      <c r="L1005" s="7">
        <v>305773</v>
      </c>
      <c r="M1005" s="7">
        <v>19</v>
      </c>
      <c r="N1005" s="7">
        <v>2</v>
      </c>
      <c r="O1005" s="7">
        <v>19.12</v>
      </c>
    </row>
    <row r="1006" spans="1:15" x14ac:dyDescent="0.25">
      <c r="A1006" s="6" t="s">
        <v>28</v>
      </c>
      <c r="B1006" s="6" t="s">
        <v>414</v>
      </c>
      <c r="C1006" s="7">
        <v>31098</v>
      </c>
      <c r="D1006" s="6" t="s">
        <v>39</v>
      </c>
      <c r="E1006" s="6" t="s">
        <v>40</v>
      </c>
      <c r="F1006" s="6" t="s">
        <v>451</v>
      </c>
      <c r="G1006" s="6" t="s">
        <v>32</v>
      </c>
      <c r="H1006" s="6" t="s">
        <v>33</v>
      </c>
      <c r="I1006" s="6" t="s">
        <v>767</v>
      </c>
      <c r="J1006" s="6" t="s">
        <v>764</v>
      </c>
      <c r="K1006" s="7">
        <v>6124198</v>
      </c>
      <c r="L1006" s="7">
        <v>292561</v>
      </c>
      <c r="M1006" s="7">
        <v>19</v>
      </c>
      <c r="N1006" s="7">
        <v>2</v>
      </c>
      <c r="O1006" s="7">
        <v>20</v>
      </c>
    </row>
    <row r="1007" spans="1:15" x14ac:dyDescent="0.25">
      <c r="A1007" s="6" t="s">
        <v>28</v>
      </c>
      <c r="B1007" s="6" t="s">
        <v>414</v>
      </c>
      <c r="C1007" s="7">
        <v>31100</v>
      </c>
      <c r="D1007" s="6" t="s">
        <v>39</v>
      </c>
      <c r="E1007" s="6" t="s">
        <v>179</v>
      </c>
      <c r="F1007" s="6" t="s">
        <v>452</v>
      </c>
      <c r="G1007" s="6" t="s">
        <v>32</v>
      </c>
      <c r="H1007" s="6" t="s">
        <v>33</v>
      </c>
      <c r="I1007" s="6" t="s">
        <v>767</v>
      </c>
      <c r="J1007" s="6" t="s">
        <v>764</v>
      </c>
      <c r="K1007" s="7">
        <v>6126285</v>
      </c>
      <c r="L1007" s="7">
        <v>310519</v>
      </c>
      <c r="M1007" s="7">
        <v>19</v>
      </c>
      <c r="N1007" s="7">
        <v>1</v>
      </c>
      <c r="O1007" s="7">
        <v>21</v>
      </c>
    </row>
    <row r="1008" spans="1:15" x14ac:dyDescent="0.25">
      <c r="A1008" s="6" t="s">
        <v>28</v>
      </c>
      <c r="B1008" s="6" t="s">
        <v>414</v>
      </c>
      <c r="C1008" s="7">
        <v>31102</v>
      </c>
      <c r="D1008" s="6" t="s">
        <v>39</v>
      </c>
      <c r="E1008" s="6" t="s">
        <v>40</v>
      </c>
      <c r="F1008" s="6" t="s">
        <v>86</v>
      </c>
      <c r="G1008" s="6" t="s">
        <v>32</v>
      </c>
      <c r="H1008" s="6" t="s">
        <v>33</v>
      </c>
      <c r="I1008" s="6" t="s">
        <v>767</v>
      </c>
      <c r="J1008" s="6" t="s">
        <v>764</v>
      </c>
      <c r="K1008" s="7">
        <v>6124336</v>
      </c>
      <c r="L1008" s="7">
        <v>299791</v>
      </c>
      <c r="M1008" s="7">
        <v>19</v>
      </c>
      <c r="N1008" s="7">
        <v>1</v>
      </c>
      <c r="O1008" s="7">
        <v>5.5</v>
      </c>
    </row>
    <row r="1009" spans="1:15" x14ac:dyDescent="0.25">
      <c r="A1009" s="6" t="s">
        <v>28</v>
      </c>
      <c r="B1009" s="6" t="s">
        <v>414</v>
      </c>
      <c r="C1009" s="7">
        <v>31109</v>
      </c>
      <c r="D1009" s="6" t="s">
        <v>39</v>
      </c>
      <c r="E1009" s="6" t="s">
        <v>40</v>
      </c>
      <c r="F1009" s="6" t="s">
        <v>453</v>
      </c>
      <c r="G1009" s="6" t="s">
        <v>32</v>
      </c>
      <c r="H1009" s="6" t="s">
        <v>33</v>
      </c>
      <c r="I1009" s="6" t="s">
        <v>767</v>
      </c>
      <c r="J1009" s="6" t="s">
        <v>767</v>
      </c>
      <c r="K1009" s="7">
        <v>6122680</v>
      </c>
      <c r="L1009" s="7">
        <v>300729</v>
      </c>
      <c r="M1009" s="7">
        <v>19</v>
      </c>
      <c r="N1009" s="7">
        <v>1</v>
      </c>
      <c r="O1009" s="7">
        <v>10</v>
      </c>
    </row>
    <row r="1010" spans="1:15" x14ac:dyDescent="0.25">
      <c r="A1010" s="6" t="s">
        <v>28</v>
      </c>
      <c r="B1010" s="6" t="s">
        <v>414</v>
      </c>
      <c r="C1010" s="7">
        <v>31110</v>
      </c>
      <c r="D1010" s="6" t="s">
        <v>39</v>
      </c>
      <c r="E1010" s="6" t="s">
        <v>40</v>
      </c>
      <c r="F1010" s="6" t="s">
        <v>181</v>
      </c>
      <c r="G1010" s="6" t="s">
        <v>32</v>
      </c>
      <c r="H1010" s="6" t="s">
        <v>33</v>
      </c>
      <c r="I1010" s="6" t="s">
        <v>767</v>
      </c>
      <c r="J1010" s="6" t="s">
        <v>764</v>
      </c>
      <c r="K1010" s="7">
        <v>6121539</v>
      </c>
      <c r="L1010" s="7">
        <v>300887</v>
      </c>
      <c r="M1010" s="7">
        <v>19</v>
      </c>
      <c r="N1010" s="7">
        <v>1</v>
      </c>
      <c r="O1010" s="7">
        <v>6.5</v>
      </c>
    </row>
    <row r="1011" spans="1:15" x14ac:dyDescent="0.25">
      <c r="A1011" s="6" t="s">
        <v>28</v>
      </c>
      <c r="B1011" s="6" t="s">
        <v>414</v>
      </c>
      <c r="C1011" s="7">
        <v>31183</v>
      </c>
      <c r="D1011" s="6" t="s">
        <v>42</v>
      </c>
      <c r="E1011" s="6" t="s">
        <v>51</v>
      </c>
      <c r="F1011" s="6" t="s">
        <v>51</v>
      </c>
      <c r="G1011" s="6" t="s">
        <v>32</v>
      </c>
      <c r="H1011" s="6" t="s">
        <v>33</v>
      </c>
      <c r="I1011" s="6" t="s">
        <v>767</v>
      </c>
      <c r="J1011" s="6" t="s">
        <v>767</v>
      </c>
      <c r="K1011" s="7">
        <v>6151958</v>
      </c>
      <c r="L1011" s="7">
        <v>313378</v>
      </c>
      <c r="M1011" s="7">
        <v>19</v>
      </c>
      <c r="N1011" s="7">
        <v>1</v>
      </c>
      <c r="O1011" s="7">
        <v>30</v>
      </c>
    </row>
    <row r="1012" spans="1:15" x14ac:dyDescent="0.25">
      <c r="A1012" s="6" t="s">
        <v>28</v>
      </c>
      <c r="B1012" s="6" t="s">
        <v>414</v>
      </c>
      <c r="C1012" s="7">
        <v>31187</v>
      </c>
      <c r="D1012" s="6" t="s">
        <v>42</v>
      </c>
      <c r="E1012" s="6" t="s">
        <v>51</v>
      </c>
      <c r="F1012" s="6" t="s">
        <v>454</v>
      </c>
      <c r="G1012" s="6" t="s">
        <v>32</v>
      </c>
      <c r="H1012" s="6" t="s">
        <v>33</v>
      </c>
      <c r="I1012" s="6" t="s">
        <v>767</v>
      </c>
      <c r="J1012" s="6" t="s">
        <v>767</v>
      </c>
      <c r="K1012" s="7">
        <v>6154480</v>
      </c>
      <c r="L1012" s="7">
        <v>317368</v>
      </c>
      <c r="M1012" s="7">
        <v>19</v>
      </c>
      <c r="N1012" s="7">
        <v>1</v>
      </c>
      <c r="O1012" s="7">
        <v>6</v>
      </c>
    </row>
    <row r="1013" spans="1:15" x14ac:dyDescent="0.25">
      <c r="A1013" s="6" t="s">
        <v>28</v>
      </c>
      <c r="B1013" s="6" t="s">
        <v>414</v>
      </c>
      <c r="C1013" s="7">
        <v>31190</v>
      </c>
      <c r="D1013" s="6" t="s">
        <v>24</v>
      </c>
      <c r="E1013" s="6" t="s">
        <v>56</v>
      </c>
      <c r="F1013" s="6" t="s">
        <v>419</v>
      </c>
      <c r="G1013" s="6" t="s">
        <v>32</v>
      </c>
      <c r="H1013" s="6" t="s">
        <v>33</v>
      </c>
      <c r="I1013" s="6" t="s">
        <v>767</v>
      </c>
      <c r="J1013" s="6" t="s">
        <v>764</v>
      </c>
      <c r="K1013" s="7">
        <v>6274935</v>
      </c>
      <c r="L1013" s="7">
        <v>343662</v>
      </c>
      <c r="M1013" s="7">
        <v>19</v>
      </c>
      <c r="N1013" s="7">
        <v>1</v>
      </c>
      <c r="O1013" s="7">
        <v>4</v>
      </c>
    </row>
    <row r="1014" spans="1:15" x14ac:dyDescent="0.25">
      <c r="A1014" s="6" t="s">
        <v>28</v>
      </c>
      <c r="B1014" s="6" t="s">
        <v>414</v>
      </c>
      <c r="C1014" s="7">
        <v>31193</v>
      </c>
      <c r="D1014" s="6" t="s">
        <v>24</v>
      </c>
      <c r="E1014" s="6" t="s">
        <v>56</v>
      </c>
      <c r="F1014" s="6" t="s">
        <v>419</v>
      </c>
      <c r="G1014" s="6" t="s">
        <v>32</v>
      </c>
      <c r="H1014" s="6" t="s">
        <v>33</v>
      </c>
      <c r="I1014" s="6" t="s">
        <v>767</v>
      </c>
      <c r="J1014" s="6" t="s">
        <v>764</v>
      </c>
      <c r="K1014" s="7">
        <v>6275551</v>
      </c>
      <c r="L1014" s="7">
        <v>343164</v>
      </c>
      <c r="M1014" s="7">
        <v>19</v>
      </c>
      <c r="N1014" s="7">
        <v>1</v>
      </c>
      <c r="O1014" s="7">
        <v>18</v>
      </c>
    </row>
    <row r="1015" spans="1:15" x14ac:dyDescent="0.25">
      <c r="A1015" s="6" t="s">
        <v>28</v>
      </c>
      <c r="B1015" s="6" t="s">
        <v>414</v>
      </c>
      <c r="C1015" s="7">
        <v>31196</v>
      </c>
      <c r="D1015" s="6" t="s">
        <v>24</v>
      </c>
      <c r="E1015" s="6" t="s">
        <v>56</v>
      </c>
      <c r="F1015" s="6" t="s">
        <v>418</v>
      </c>
      <c r="G1015" s="6" t="s">
        <v>32</v>
      </c>
      <c r="H1015" s="6" t="s">
        <v>33</v>
      </c>
      <c r="I1015" s="6" t="s">
        <v>767</v>
      </c>
      <c r="J1015" s="6" t="s">
        <v>764</v>
      </c>
      <c r="K1015" s="7">
        <v>6274636</v>
      </c>
      <c r="L1015" s="7">
        <v>343373</v>
      </c>
      <c r="M1015" s="7">
        <v>19</v>
      </c>
      <c r="N1015" s="7">
        <v>1</v>
      </c>
      <c r="O1015" s="7">
        <v>9.5</v>
      </c>
    </row>
    <row r="1016" spans="1:15" x14ac:dyDescent="0.25">
      <c r="A1016" s="6" t="s">
        <v>28</v>
      </c>
      <c r="B1016" s="6" t="s">
        <v>414</v>
      </c>
      <c r="C1016" s="7">
        <v>31211</v>
      </c>
      <c r="D1016" s="6" t="s">
        <v>42</v>
      </c>
      <c r="E1016" s="6" t="s">
        <v>51</v>
      </c>
      <c r="F1016" s="6" t="s">
        <v>51</v>
      </c>
      <c r="G1016" s="6" t="s">
        <v>32</v>
      </c>
      <c r="H1016" s="6" t="s">
        <v>33</v>
      </c>
      <c r="I1016" s="6" t="s">
        <v>767</v>
      </c>
      <c r="J1016" s="6" t="s">
        <v>764</v>
      </c>
      <c r="K1016" s="7">
        <v>6155920</v>
      </c>
      <c r="L1016" s="7">
        <v>316456</v>
      </c>
      <c r="M1016" s="7">
        <v>19</v>
      </c>
      <c r="N1016" s="7">
        <v>6</v>
      </c>
      <c r="O1016" s="7">
        <v>50.5</v>
      </c>
    </row>
    <row r="1017" spans="1:15" x14ac:dyDescent="0.25">
      <c r="A1017" s="6" t="s">
        <v>28</v>
      </c>
      <c r="B1017" s="6" t="s">
        <v>414</v>
      </c>
      <c r="C1017" s="7">
        <v>31216</v>
      </c>
      <c r="D1017" s="6" t="s">
        <v>42</v>
      </c>
      <c r="E1017" s="6" t="s">
        <v>51</v>
      </c>
      <c r="F1017" s="6" t="s">
        <v>366</v>
      </c>
      <c r="G1017" s="6" t="s">
        <v>32</v>
      </c>
      <c r="H1017" s="6" t="s">
        <v>33</v>
      </c>
      <c r="I1017" s="6" t="s">
        <v>767</v>
      </c>
      <c r="J1017" s="6" t="s">
        <v>767</v>
      </c>
      <c r="K1017" s="7">
        <v>6151274</v>
      </c>
      <c r="L1017" s="7">
        <v>312714</v>
      </c>
      <c r="M1017" s="7">
        <v>19</v>
      </c>
      <c r="N1017" s="7">
        <v>1</v>
      </c>
      <c r="O1017" s="7">
        <v>22</v>
      </c>
    </row>
    <row r="1018" spans="1:15" x14ac:dyDescent="0.25">
      <c r="A1018" s="6" t="s">
        <v>28</v>
      </c>
      <c r="B1018" s="6" t="s">
        <v>414</v>
      </c>
      <c r="C1018" s="7">
        <v>31219</v>
      </c>
      <c r="D1018" s="6" t="s">
        <v>42</v>
      </c>
      <c r="E1018" s="6" t="s">
        <v>51</v>
      </c>
      <c r="F1018" s="6" t="s">
        <v>455</v>
      </c>
      <c r="G1018" s="6" t="s">
        <v>32</v>
      </c>
      <c r="H1018" s="6" t="s">
        <v>33</v>
      </c>
      <c r="I1018" s="6" t="s">
        <v>767</v>
      </c>
      <c r="J1018" s="6" t="s">
        <v>764</v>
      </c>
      <c r="K1018" s="7">
        <v>6155794</v>
      </c>
      <c r="L1018" s="7">
        <v>318237</v>
      </c>
      <c r="M1018" s="7">
        <v>19</v>
      </c>
      <c r="N1018" s="7">
        <v>1</v>
      </c>
      <c r="O1018" s="7">
        <v>4</v>
      </c>
    </row>
    <row r="1019" spans="1:15" x14ac:dyDescent="0.25">
      <c r="A1019" s="6" t="s">
        <v>28</v>
      </c>
      <c r="B1019" s="6" t="s">
        <v>414</v>
      </c>
      <c r="C1019" s="7">
        <v>31225</v>
      </c>
      <c r="D1019" s="6" t="s">
        <v>42</v>
      </c>
      <c r="E1019" s="6" t="s">
        <v>51</v>
      </c>
      <c r="F1019" s="6" t="s">
        <v>455</v>
      </c>
      <c r="G1019" s="6" t="s">
        <v>32</v>
      </c>
      <c r="H1019" s="6" t="s">
        <v>33</v>
      </c>
      <c r="I1019" s="6" t="s">
        <v>767</v>
      </c>
      <c r="J1019" s="6" t="s">
        <v>764</v>
      </c>
      <c r="K1019" s="7">
        <v>6155612</v>
      </c>
      <c r="L1019" s="7">
        <v>318136</v>
      </c>
      <c r="M1019" s="7">
        <v>19</v>
      </c>
      <c r="N1019" s="7">
        <v>1</v>
      </c>
      <c r="O1019" s="7">
        <v>7</v>
      </c>
    </row>
    <row r="1020" spans="1:15" x14ac:dyDescent="0.25">
      <c r="A1020" s="6" t="s">
        <v>28</v>
      </c>
      <c r="B1020" s="6" t="s">
        <v>414</v>
      </c>
      <c r="C1020" s="7">
        <v>31291</v>
      </c>
      <c r="D1020" s="6" t="s">
        <v>24</v>
      </c>
      <c r="E1020" s="6" t="s">
        <v>96</v>
      </c>
      <c r="F1020" s="6" t="s">
        <v>417</v>
      </c>
      <c r="G1020" s="6" t="s">
        <v>32</v>
      </c>
      <c r="H1020" s="6" t="s">
        <v>19</v>
      </c>
      <c r="I1020" s="6" t="s">
        <v>767</v>
      </c>
      <c r="J1020" s="6" t="s">
        <v>767</v>
      </c>
      <c r="K1020" s="7">
        <v>6245937</v>
      </c>
      <c r="L1020" s="7">
        <v>338986</v>
      </c>
      <c r="M1020" s="7">
        <v>19</v>
      </c>
      <c r="N1020" s="7">
        <v>1</v>
      </c>
      <c r="O1020" s="7">
        <v>0.4</v>
      </c>
    </row>
    <row r="1021" spans="1:15" x14ac:dyDescent="0.25">
      <c r="A1021" s="6" t="s">
        <v>28</v>
      </c>
      <c r="B1021" s="6" t="s">
        <v>414</v>
      </c>
      <c r="C1021" s="7">
        <v>31300</v>
      </c>
      <c r="D1021" s="6" t="s">
        <v>24</v>
      </c>
      <c r="E1021" s="6" t="s">
        <v>96</v>
      </c>
      <c r="F1021" s="6" t="s">
        <v>417</v>
      </c>
      <c r="G1021" s="6" t="s">
        <v>32</v>
      </c>
      <c r="H1021" s="6" t="s">
        <v>19</v>
      </c>
      <c r="I1021" s="6" t="s">
        <v>767</v>
      </c>
      <c r="J1021" s="6" t="s">
        <v>767</v>
      </c>
      <c r="K1021" s="7">
        <v>6246629</v>
      </c>
      <c r="L1021" s="7">
        <v>337997</v>
      </c>
      <c r="M1021" s="7">
        <v>19</v>
      </c>
      <c r="N1021" s="7">
        <v>1</v>
      </c>
      <c r="O1021" s="7">
        <v>0.2</v>
      </c>
    </row>
    <row r="1022" spans="1:15" x14ac:dyDescent="0.25">
      <c r="A1022" s="6" t="s">
        <v>14</v>
      </c>
      <c r="B1022" s="6" t="s">
        <v>414</v>
      </c>
      <c r="C1022" s="7">
        <v>31304</v>
      </c>
      <c r="D1022" s="6" t="s">
        <v>39</v>
      </c>
      <c r="E1022" s="6" t="s">
        <v>72</v>
      </c>
      <c r="F1022" s="6" t="s">
        <v>210</v>
      </c>
      <c r="G1022" s="6" t="s">
        <v>32</v>
      </c>
      <c r="H1022" s="6" t="s">
        <v>19</v>
      </c>
      <c r="I1022" s="6" t="s">
        <v>767</v>
      </c>
      <c r="J1022" s="6" t="s">
        <v>767</v>
      </c>
      <c r="K1022" s="7">
        <v>6067932</v>
      </c>
      <c r="L1022" s="7">
        <v>284087</v>
      </c>
      <c r="M1022" s="7">
        <v>19</v>
      </c>
      <c r="N1022" s="7">
        <v>1</v>
      </c>
      <c r="O1022" s="7">
        <v>0.4</v>
      </c>
    </row>
    <row r="1023" spans="1:15" x14ac:dyDescent="0.25">
      <c r="A1023" s="6" t="s">
        <v>28</v>
      </c>
      <c r="B1023" s="6" t="s">
        <v>414</v>
      </c>
      <c r="C1023" s="7">
        <v>31307</v>
      </c>
      <c r="D1023" s="6" t="s">
        <v>24</v>
      </c>
      <c r="E1023" s="6" t="s">
        <v>96</v>
      </c>
      <c r="F1023" s="6" t="s">
        <v>417</v>
      </c>
      <c r="G1023" s="6" t="s">
        <v>32</v>
      </c>
      <c r="H1023" s="6" t="s">
        <v>153</v>
      </c>
      <c r="I1023" s="6" t="s">
        <v>767</v>
      </c>
      <c r="J1023" s="6" t="s">
        <v>764</v>
      </c>
      <c r="K1023" s="7">
        <v>6245937</v>
      </c>
      <c r="L1023" s="7">
        <v>338986</v>
      </c>
      <c r="M1023" s="7">
        <v>19</v>
      </c>
      <c r="N1023" s="7">
        <v>1</v>
      </c>
      <c r="O1023" s="7">
        <v>0.4</v>
      </c>
    </row>
    <row r="1024" spans="1:15" x14ac:dyDescent="0.25">
      <c r="A1024" s="6" t="s">
        <v>28</v>
      </c>
      <c r="B1024" s="6" t="s">
        <v>414</v>
      </c>
      <c r="C1024" s="7">
        <v>31329</v>
      </c>
      <c r="D1024" s="6" t="s">
        <v>39</v>
      </c>
      <c r="E1024" s="6" t="s">
        <v>72</v>
      </c>
      <c r="F1024" s="6" t="s">
        <v>131</v>
      </c>
      <c r="G1024" s="6" t="s">
        <v>32</v>
      </c>
      <c r="H1024" s="6" t="s">
        <v>19</v>
      </c>
      <c r="I1024" s="6" t="s">
        <v>767</v>
      </c>
      <c r="J1024" s="6" t="s">
        <v>767</v>
      </c>
      <c r="K1024" s="7">
        <v>6070620</v>
      </c>
      <c r="L1024" s="7">
        <v>282346</v>
      </c>
      <c r="M1024" s="7">
        <v>19</v>
      </c>
      <c r="N1024" s="7">
        <v>1</v>
      </c>
      <c r="O1024" s="7">
        <v>0.5</v>
      </c>
    </row>
    <row r="1025" spans="1:15" x14ac:dyDescent="0.25">
      <c r="A1025" s="6" t="s">
        <v>28</v>
      </c>
      <c r="B1025" s="6" t="s">
        <v>414</v>
      </c>
      <c r="C1025" s="7">
        <v>31330</v>
      </c>
      <c r="D1025" s="6" t="s">
        <v>39</v>
      </c>
      <c r="E1025" s="6" t="s">
        <v>72</v>
      </c>
      <c r="F1025" s="6" t="s">
        <v>131</v>
      </c>
      <c r="G1025" s="6" t="s">
        <v>32</v>
      </c>
      <c r="H1025" s="6" t="s">
        <v>19</v>
      </c>
      <c r="I1025" s="6" t="s">
        <v>767</v>
      </c>
      <c r="J1025" s="6" t="s">
        <v>767</v>
      </c>
      <c r="K1025" s="7">
        <v>6070620</v>
      </c>
      <c r="L1025" s="7">
        <v>282346</v>
      </c>
      <c r="M1025" s="7">
        <v>19</v>
      </c>
      <c r="N1025" s="7">
        <v>1</v>
      </c>
      <c r="O1025" s="7">
        <v>0.5</v>
      </c>
    </row>
    <row r="1026" spans="1:15" x14ac:dyDescent="0.25">
      <c r="A1026" s="6" t="s">
        <v>14</v>
      </c>
      <c r="B1026" s="6" t="s">
        <v>414</v>
      </c>
      <c r="C1026" s="7">
        <v>31331</v>
      </c>
      <c r="D1026" s="6" t="s">
        <v>39</v>
      </c>
      <c r="E1026" s="6" t="s">
        <v>72</v>
      </c>
      <c r="F1026" s="6" t="s">
        <v>210</v>
      </c>
      <c r="G1026" s="6" t="s">
        <v>32</v>
      </c>
      <c r="H1026" s="6" t="s">
        <v>19</v>
      </c>
      <c r="I1026" s="6" t="s">
        <v>767</v>
      </c>
      <c r="J1026" s="6" t="s">
        <v>767</v>
      </c>
      <c r="K1026" s="7">
        <v>6067868</v>
      </c>
      <c r="L1026" s="7">
        <v>283743</v>
      </c>
      <c r="M1026" s="7">
        <v>19</v>
      </c>
      <c r="N1026" s="7">
        <v>1</v>
      </c>
      <c r="O1026" s="7">
        <v>0.4</v>
      </c>
    </row>
    <row r="1027" spans="1:15" x14ac:dyDescent="0.25">
      <c r="A1027" s="6" t="s">
        <v>28</v>
      </c>
      <c r="B1027" s="6" t="s">
        <v>414</v>
      </c>
      <c r="C1027" s="7">
        <v>31332</v>
      </c>
      <c r="D1027" s="6" t="s">
        <v>39</v>
      </c>
      <c r="E1027" s="6" t="s">
        <v>72</v>
      </c>
      <c r="F1027" s="6" t="s">
        <v>131</v>
      </c>
      <c r="G1027" s="6" t="s">
        <v>32</v>
      </c>
      <c r="H1027" s="6" t="s">
        <v>19</v>
      </c>
      <c r="I1027" s="6" t="s">
        <v>767</v>
      </c>
      <c r="J1027" s="6" t="s">
        <v>767</v>
      </c>
      <c r="K1027" s="7">
        <v>6065255</v>
      </c>
      <c r="L1027" s="7">
        <v>283846</v>
      </c>
      <c r="M1027" s="7">
        <v>19</v>
      </c>
      <c r="N1027" s="7">
        <v>1</v>
      </c>
      <c r="O1027" s="7">
        <v>2</v>
      </c>
    </row>
    <row r="1028" spans="1:15" x14ac:dyDescent="0.25">
      <c r="A1028" s="6" t="s">
        <v>28</v>
      </c>
      <c r="B1028" s="6" t="s">
        <v>414</v>
      </c>
      <c r="C1028" s="7">
        <v>31333</v>
      </c>
      <c r="D1028" s="6" t="s">
        <v>24</v>
      </c>
      <c r="E1028" s="6" t="s">
        <v>456</v>
      </c>
      <c r="F1028" s="6" t="s">
        <v>456</v>
      </c>
      <c r="G1028" s="6" t="s">
        <v>32</v>
      </c>
      <c r="H1028" s="6" t="s">
        <v>33</v>
      </c>
      <c r="I1028" s="6" t="s">
        <v>767</v>
      </c>
      <c r="J1028" s="6" t="s">
        <v>764</v>
      </c>
      <c r="K1028" s="7">
        <v>6296601</v>
      </c>
      <c r="L1028" s="7">
        <v>335339</v>
      </c>
      <c r="M1028" s="7">
        <v>19</v>
      </c>
      <c r="N1028" s="7">
        <v>1</v>
      </c>
      <c r="O1028" s="7">
        <v>13</v>
      </c>
    </row>
    <row r="1029" spans="1:15" x14ac:dyDescent="0.25">
      <c r="A1029" s="6" t="s">
        <v>28</v>
      </c>
      <c r="B1029" s="6" t="s">
        <v>414</v>
      </c>
      <c r="C1029" s="7">
        <v>31334</v>
      </c>
      <c r="D1029" s="6" t="s">
        <v>24</v>
      </c>
      <c r="E1029" s="6" t="s">
        <v>62</v>
      </c>
      <c r="F1029" s="6" t="s">
        <v>416</v>
      </c>
      <c r="G1029" s="6" t="s">
        <v>32</v>
      </c>
      <c r="H1029" s="6" t="s">
        <v>33</v>
      </c>
      <c r="I1029" s="6" t="s">
        <v>767</v>
      </c>
      <c r="J1029" s="6" t="s">
        <v>764</v>
      </c>
      <c r="K1029" s="7">
        <v>6278707</v>
      </c>
      <c r="L1029" s="7">
        <v>328833</v>
      </c>
      <c r="M1029" s="7">
        <v>19</v>
      </c>
      <c r="N1029" s="7">
        <v>1</v>
      </c>
      <c r="O1029" s="7">
        <v>30</v>
      </c>
    </row>
    <row r="1030" spans="1:15" x14ac:dyDescent="0.25">
      <c r="A1030" s="6" t="s">
        <v>28</v>
      </c>
      <c r="B1030" s="6" t="s">
        <v>414</v>
      </c>
      <c r="C1030" s="7">
        <v>31342</v>
      </c>
      <c r="D1030" s="6" t="s">
        <v>39</v>
      </c>
      <c r="E1030" s="6" t="s">
        <v>40</v>
      </c>
      <c r="F1030" s="6" t="s">
        <v>53</v>
      </c>
      <c r="G1030" s="6" t="s">
        <v>32</v>
      </c>
      <c r="H1030" s="6" t="s">
        <v>19</v>
      </c>
      <c r="I1030" s="6" t="s">
        <v>767</v>
      </c>
      <c r="J1030" s="6" t="s">
        <v>767</v>
      </c>
      <c r="K1030" s="7">
        <v>6138065</v>
      </c>
      <c r="L1030" s="7">
        <v>307527</v>
      </c>
      <c r="M1030" s="7">
        <v>19</v>
      </c>
      <c r="N1030" s="7">
        <v>1</v>
      </c>
      <c r="O1030" s="7">
        <v>0.4</v>
      </c>
    </row>
    <row r="1031" spans="1:15" x14ac:dyDescent="0.25">
      <c r="A1031" s="6" t="s">
        <v>28</v>
      </c>
      <c r="B1031" s="6" t="s">
        <v>414</v>
      </c>
      <c r="C1031" s="7">
        <v>31346</v>
      </c>
      <c r="D1031" s="6" t="s">
        <v>24</v>
      </c>
      <c r="E1031" s="6" t="s">
        <v>436</v>
      </c>
      <c r="F1031" s="6" t="s">
        <v>457</v>
      </c>
      <c r="G1031" s="6" t="s">
        <v>32</v>
      </c>
      <c r="H1031" s="6" t="s">
        <v>19</v>
      </c>
      <c r="I1031" s="6" t="s">
        <v>767</v>
      </c>
      <c r="J1031" s="6" t="s">
        <v>767</v>
      </c>
      <c r="K1031" s="7">
        <v>6282257</v>
      </c>
      <c r="L1031" s="7">
        <v>335582</v>
      </c>
      <c r="M1031" s="7">
        <v>19</v>
      </c>
      <c r="N1031" s="7">
        <v>1</v>
      </c>
      <c r="O1031" s="7">
        <v>0.5</v>
      </c>
    </row>
    <row r="1032" spans="1:15" x14ac:dyDescent="0.25">
      <c r="A1032" s="6" t="s">
        <v>28</v>
      </c>
      <c r="B1032" s="6" t="s">
        <v>414</v>
      </c>
      <c r="C1032" s="7">
        <v>31348</v>
      </c>
      <c r="D1032" s="6" t="s">
        <v>24</v>
      </c>
      <c r="E1032" s="6" t="s">
        <v>436</v>
      </c>
      <c r="F1032" s="6" t="s">
        <v>457</v>
      </c>
      <c r="G1032" s="6" t="s">
        <v>32</v>
      </c>
      <c r="H1032" s="6" t="s">
        <v>19</v>
      </c>
      <c r="I1032" s="6" t="s">
        <v>767</v>
      </c>
      <c r="J1032" s="6" t="s">
        <v>767</v>
      </c>
      <c r="K1032" s="7">
        <v>6282154</v>
      </c>
      <c r="L1032" s="7">
        <v>335882</v>
      </c>
      <c r="M1032" s="7">
        <v>19</v>
      </c>
      <c r="N1032" s="7">
        <v>1</v>
      </c>
      <c r="O1032" s="7">
        <v>0.5</v>
      </c>
    </row>
    <row r="1033" spans="1:15" x14ac:dyDescent="0.25">
      <c r="A1033" s="6" t="s">
        <v>28</v>
      </c>
      <c r="B1033" s="6" t="s">
        <v>414</v>
      </c>
      <c r="C1033" s="7">
        <v>31350</v>
      </c>
      <c r="D1033" s="6" t="s">
        <v>39</v>
      </c>
      <c r="E1033" s="6" t="s">
        <v>40</v>
      </c>
      <c r="F1033" s="6" t="s">
        <v>424</v>
      </c>
      <c r="G1033" s="6" t="s">
        <v>32</v>
      </c>
      <c r="H1033" s="6" t="s">
        <v>19</v>
      </c>
      <c r="I1033" s="6" t="s">
        <v>767</v>
      </c>
      <c r="J1033" s="6" t="s">
        <v>767</v>
      </c>
      <c r="K1033" s="7">
        <v>6138079</v>
      </c>
      <c r="L1033" s="7">
        <v>307276</v>
      </c>
      <c r="M1033" s="7">
        <v>19</v>
      </c>
      <c r="N1033" s="7">
        <v>1</v>
      </c>
      <c r="O1033" s="7">
        <v>0.5</v>
      </c>
    </row>
    <row r="1034" spans="1:15" x14ac:dyDescent="0.25">
      <c r="A1034" s="6" t="s">
        <v>28</v>
      </c>
      <c r="B1034" s="6" t="s">
        <v>414</v>
      </c>
      <c r="C1034" s="7">
        <v>31351</v>
      </c>
      <c r="D1034" s="6" t="s">
        <v>24</v>
      </c>
      <c r="E1034" s="6" t="s">
        <v>427</v>
      </c>
      <c r="F1034" s="6" t="s">
        <v>457</v>
      </c>
      <c r="G1034" s="6" t="s">
        <v>32</v>
      </c>
      <c r="H1034" s="6" t="s">
        <v>19</v>
      </c>
      <c r="I1034" s="6" t="s">
        <v>767</v>
      </c>
      <c r="J1034" s="6" t="s">
        <v>767</v>
      </c>
      <c r="K1034" s="7">
        <v>6282888</v>
      </c>
      <c r="L1034" s="7">
        <v>334233</v>
      </c>
      <c r="M1034" s="7">
        <v>19</v>
      </c>
      <c r="N1034" s="7">
        <v>1</v>
      </c>
      <c r="O1034" s="7">
        <v>0.5</v>
      </c>
    </row>
    <row r="1035" spans="1:15" x14ac:dyDescent="0.25">
      <c r="A1035" s="6" t="s">
        <v>28</v>
      </c>
      <c r="B1035" s="6" t="s">
        <v>414</v>
      </c>
      <c r="C1035" s="7">
        <v>31353</v>
      </c>
      <c r="D1035" s="6" t="s">
        <v>39</v>
      </c>
      <c r="E1035" s="6" t="s">
        <v>53</v>
      </c>
      <c r="F1035" s="6" t="s">
        <v>424</v>
      </c>
      <c r="G1035" s="6" t="s">
        <v>32</v>
      </c>
      <c r="H1035" s="6" t="s">
        <v>19</v>
      </c>
      <c r="I1035" s="6" t="s">
        <v>767</v>
      </c>
      <c r="J1035" s="6" t="s">
        <v>767</v>
      </c>
      <c r="K1035" s="7">
        <v>6131052</v>
      </c>
      <c r="L1035" s="7">
        <v>321625</v>
      </c>
      <c r="M1035" s="7">
        <v>19</v>
      </c>
      <c r="N1035" s="7">
        <v>1</v>
      </c>
      <c r="O1035" s="7">
        <v>0.5</v>
      </c>
    </row>
    <row r="1036" spans="1:15" x14ac:dyDescent="0.25">
      <c r="A1036" s="6" t="s">
        <v>28</v>
      </c>
      <c r="B1036" s="6" t="s">
        <v>414</v>
      </c>
      <c r="C1036" s="7">
        <v>31359</v>
      </c>
      <c r="D1036" s="6" t="s">
        <v>39</v>
      </c>
      <c r="E1036" s="6" t="s">
        <v>53</v>
      </c>
      <c r="F1036" s="6" t="s">
        <v>53</v>
      </c>
      <c r="G1036" s="6" t="s">
        <v>32</v>
      </c>
      <c r="H1036" s="6" t="s">
        <v>19</v>
      </c>
      <c r="I1036" s="6" t="s">
        <v>767</v>
      </c>
      <c r="J1036" s="6" t="s">
        <v>767</v>
      </c>
      <c r="K1036" s="7">
        <v>6135002</v>
      </c>
      <c r="L1036" s="7">
        <v>309559</v>
      </c>
      <c r="M1036" s="7">
        <v>19</v>
      </c>
      <c r="N1036" s="7">
        <v>1</v>
      </c>
      <c r="O1036" s="7">
        <v>0.5</v>
      </c>
    </row>
    <row r="1037" spans="1:15" x14ac:dyDescent="0.25">
      <c r="A1037" s="6" t="s">
        <v>28</v>
      </c>
      <c r="B1037" s="6" t="s">
        <v>414</v>
      </c>
      <c r="C1037" s="7">
        <v>31365</v>
      </c>
      <c r="D1037" s="6" t="s">
        <v>39</v>
      </c>
      <c r="E1037" s="6" t="s">
        <v>53</v>
      </c>
      <c r="F1037" s="6" t="s">
        <v>53</v>
      </c>
      <c r="G1037" s="6" t="s">
        <v>32</v>
      </c>
      <c r="H1037" s="6" t="s">
        <v>19</v>
      </c>
      <c r="I1037" s="6" t="s">
        <v>767</v>
      </c>
      <c r="J1037" s="6" t="s">
        <v>767</v>
      </c>
      <c r="K1037" s="7">
        <v>6134534</v>
      </c>
      <c r="L1037" s="7">
        <v>310453</v>
      </c>
      <c r="M1037" s="7">
        <v>19</v>
      </c>
      <c r="N1037" s="7">
        <v>1</v>
      </c>
      <c r="O1037" s="7">
        <v>0.44</v>
      </c>
    </row>
    <row r="1038" spans="1:15" x14ac:dyDescent="0.25">
      <c r="A1038" s="6" t="s">
        <v>28</v>
      </c>
      <c r="B1038" s="6" t="s">
        <v>414</v>
      </c>
      <c r="C1038" s="7">
        <v>31394</v>
      </c>
      <c r="D1038" s="6" t="s">
        <v>39</v>
      </c>
      <c r="E1038" s="6" t="s">
        <v>70</v>
      </c>
      <c r="F1038" s="6" t="s">
        <v>458</v>
      </c>
      <c r="G1038" s="6" t="s">
        <v>32</v>
      </c>
      <c r="H1038" s="6" t="s">
        <v>19</v>
      </c>
      <c r="I1038" s="6" t="s">
        <v>767</v>
      </c>
      <c r="J1038" s="6" t="s">
        <v>767</v>
      </c>
      <c r="K1038" s="7">
        <v>6061317</v>
      </c>
      <c r="L1038" s="7">
        <v>267670</v>
      </c>
      <c r="M1038" s="7">
        <v>19</v>
      </c>
      <c r="N1038" s="7">
        <v>1</v>
      </c>
      <c r="O1038" s="7">
        <v>4</v>
      </c>
    </row>
    <row r="1039" spans="1:15" x14ac:dyDescent="0.25">
      <c r="A1039" s="6" t="s">
        <v>28</v>
      </c>
      <c r="B1039" s="6" t="s">
        <v>414</v>
      </c>
      <c r="C1039" s="7">
        <v>31395</v>
      </c>
      <c r="D1039" s="6" t="s">
        <v>39</v>
      </c>
      <c r="E1039" s="6" t="s">
        <v>53</v>
      </c>
      <c r="F1039" s="6" t="s">
        <v>53</v>
      </c>
      <c r="G1039" s="6" t="s">
        <v>32</v>
      </c>
      <c r="H1039" s="6" t="s">
        <v>19</v>
      </c>
      <c r="I1039" s="6" t="s">
        <v>767</v>
      </c>
      <c r="J1039" s="6" t="s">
        <v>767</v>
      </c>
      <c r="K1039" s="7">
        <v>6134809</v>
      </c>
      <c r="L1039" s="7">
        <v>311171</v>
      </c>
      <c r="M1039" s="7">
        <v>19</v>
      </c>
      <c r="N1039" s="7">
        <v>1</v>
      </c>
      <c r="O1039" s="7">
        <v>0.48</v>
      </c>
    </row>
    <row r="1040" spans="1:15" x14ac:dyDescent="0.25">
      <c r="A1040" s="6" t="s">
        <v>28</v>
      </c>
      <c r="B1040" s="6" t="s">
        <v>414</v>
      </c>
      <c r="C1040" s="7">
        <v>31400</v>
      </c>
      <c r="D1040" s="6" t="s">
        <v>39</v>
      </c>
      <c r="E1040" s="6" t="s">
        <v>53</v>
      </c>
      <c r="F1040" s="6" t="s">
        <v>424</v>
      </c>
      <c r="G1040" s="6" t="s">
        <v>32</v>
      </c>
      <c r="H1040" s="6" t="s">
        <v>19</v>
      </c>
      <c r="I1040" s="6" t="s">
        <v>767</v>
      </c>
      <c r="J1040" s="6" t="s">
        <v>767</v>
      </c>
      <c r="K1040" s="7">
        <v>6134756</v>
      </c>
      <c r="L1040" s="7">
        <v>310512</v>
      </c>
      <c r="M1040" s="7">
        <v>19</v>
      </c>
      <c r="N1040" s="7">
        <v>1</v>
      </c>
      <c r="O1040" s="7">
        <v>0.45</v>
      </c>
    </row>
    <row r="1041" spans="1:15" x14ac:dyDescent="0.25">
      <c r="A1041" s="6" t="s">
        <v>28</v>
      </c>
      <c r="B1041" s="6" t="s">
        <v>414</v>
      </c>
      <c r="C1041" s="7">
        <v>31415</v>
      </c>
      <c r="D1041" s="6" t="s">
        <v>39</v>
      </c>
      <c r="E1041" s="6" t="s">
        <v>53</v>
      </c>
      <c r="F1041" s="6" t="s">
        <v>53</v>
      </c>
      <c r="G1041" s="6" t="s">
        <v>32</v>
      </c>
      <c r="H1041" s="6" t="s">
        <v>19</v>
      </c>
      <c r="I1041" s="6" t="s">
        <v>767</v>
      </c>
      <c r="J1041" s="6" t="s">
        <v>767</v>
      </c>
      <c r="K1041" s="7">
        <v>6140946</v>
      </c>
      <c r="L1041" s="7">
        <v>310622</v>
      </c>
      <c r="M1041" s="7">
        <v>19</v>
      </c>
      <c r="N1041" s="7">
        <v>1</v>
      </c>
      <c r="O1041" s="7">
        <v>0.47</v>
      </c>
    </row>
    <row r="1042" spans="1:15" x14ac:dyDescent="0.25">
      <c r="A1042" s="6" t="s">
        <v>28</v>
      </c>
      <c r="B1042" s="6" t="s">
        <v>414</v>
      </c>
      <c r="C1042" s="7">
        <v>31416</v>
      </c>
      <c r="D1042" s="6" t="s">
        <v>39</v>
      </c>
      <c r="E1042" s="6" t="s">
        <v>53</v>
      </c>
      <c r="F1042" s="6" t="s">
        <v>53</v>
      </c>
      <c r="G1042" s="6" t="s">
        <v>32</v>
      </c>
      <c r="H1042" s="6" t="s">
        <v>19</v>
      </c>
      <c r="I1042" s="6" t="s">
        <v>767</v>
      </c>
      <c r="J1042" s="6" t="s">
        <v>767</v>
      </c>
      <c r="K1042" s="7">
        <v>6141171</v>
      </c>
      <c r="L1042" s="7">
        <v>310481</v>
      </c>
      <c r="M1042" s="7">
        <v>19</v>
      </c>
      <c r="N1042" s="7">
        <v>1</v>
      </c>
      <c r="O1042" s="7">
        <v>0.44</v>
      </c>
    </row>
    <row r="1043" spans="1:15" x14ac:dyDescent="0.25">
      <c r="A1043" s="6" t="s">
        <v>28</v>
      </c>
      <c r="B1043" s="6" t="s">
        <v>414</v>
      </c>
      <c r="C1043" s="7">
        <v>31417</v>
      </c>
      <c r="D1043" s="6" t="s">
        <v>39</v>
      </c>
      <c r="E1043" s="6" t="s">
        <v>53</v>
      </c>
      <c r="F1043" s="6" t="s">
        <v>53</v>
      </c>
      <c r="G1043" s="6" t="s">
        <v>32</v>
      </c>
      <c r="H1043" s="6" t="s">
        <v>19</v>
      </c>
      <c r="I1043" s="6" t="s">
        <v>767</v>
      </c>
      <c r="J1043" s="6" t="s">
        <v>767</v>
      </c>
      <c r="K1043" s="7">
        <v>6136929</v>
      </c>
      <c r="L1043" s="7">
        <v>310935</v>
      </c>
      <c r="M1043" s="7">
        <v>19</v>
      </c>
      <c r="N1043" s="7">
        <v>1</v>
      </c>
      <c r="O1043" s="7">
        <v>0.5</v>
      </c>
    </row>
    <row r="1044" spans="1:15" x14ac:dyDescent="0.25">
      <c r="A1044" s="6" t="s">
        <v>28</v>
      </c>
      <c r="B1044" s="6" t="s">
        <v>414</v>
      </c>
      <c r="C1044" s="7">
        <v>31419</v>
      </c>
      <c r="D1044" s="6" t="s">
        <v>39</v>
      </c>
      <c r="E1044" s="6" t="s">
        <v>53</v>
      </c>
      <c r="F1044" s="6" t="s">
        <v>53</v>
      </c>
      <c r="G1044" s="6" t="s">
        <v>32</v>
      </c>
      <c r="H1044" s="6" t="s">
        <v>19</v>
      </c>
      <c r="I1044" s="6" t="s">
        <v>767</v>
      </c>
      <c r="J1044" s="6" t="s">
        <v>767</v>
      </c>
      <c r="K1044" s="7">
        <v>6134852</v>
      </c>
      <c r="L1044" s="7">
        <v>309383</v>
      </c>
      <c r="M1044" s="7">
        <v>19</v>
      </c>
      <c r="N1044" s="7">
        <v>1</v>
      </c>
      <c r="O1044" s="7">
        <v>0.49</v>
      </c>
    </row>
    <row r="1045" spans="1:15" x14ac:dyDescent="0.25">
      <c r="A1045" s="6" t="s">
        <v>28</v>
      </c>
      <c r="B1045" s="6" t="s">
        <v>414</v>
      </c>
      <c r="C1045" s="7">
        <v>31426</v>
      </c>
      <c r="D1045" s="6" t="s">
        <v>39</v>
      </c>
      <c r="E1045" s="6" t="s">
        <v>53</v>
      </c>
      <c r="F1045" s="6" t="s">
        <v>53</v>
      </c>
      <c r="G1045" s="6" t="s">
        <v>32</v>
      </c>
      <c r="H1045" s="6" t="s">
        <v>19</v>
      </c>
      <c r="I1045" s="6" t="s">
        <v>767</v>
      </c>
      <c r="J1045" s="6" t="s">
        <v>767</v>
      </c>
      <c r="K1045" s="7">
        <v>6139435</v>
      </c>
      <c r="L1045" s="7">
        <v>301284</v>
      </c>
      <c r="M1045" s="7">
        <v>19</v>
      </c>
      <c r="N1045" s="7">
        <v>1</v>
      </c>
      <c r="O1045" s="7">
        <v>1.2</v>
      </c>
    </row>
    <row r="1046" spans="1:15" x14ac:dyDescent="0.25">
      <c r="A1046" s="6" t="s">
        <v>28</v>
      </c>
      <c r="B1046" s="6" t="s">
        <v>414</v>
      </c>
      <c r="C1046" s="7">
        <v>31432</v>
      </c>
      <c r="D1046" s="6" t="s">
        <v>39</v>
      </c>
      <c r="E1046" s="6" t="s">
        <v>53</v>
      </c>
      <c r="F1046" s="6" t="s">
        <v>53</v>
      </c>
      <c r="G1046" s="6" t="s">
        <v>32</v>
      </c>
      <c r="H1046" s="6" t="s">
        <v>19</v>
      </c>
      <c r="I1046" s="6" t="s">
        <v>767</v>
      </c>
      <c r="J1046" s="6" t="s">
        <v>767</v>
      </c>
      <c r="K1046" s="7">
        <v>6141916</v>
      </c>
      <c r="L1046" s="7">
        <v>305217</v>
      </c>
      <c r="M1046" s="7">
        <v>19</v>
      </c>
      <c r="N1046" s="7">
        <v>1</v>
      </c>
      <c r="O1046" s="7">
        <v>10.1</v>
      </c>
    </row>
    <row r="1047" spans="1:15" x14ac:dyDescent="0.25">
      <c r="A1047" s="6" t="s">
        <v>28</v>
      </c>
      <c r="B1047" s="6" t="s">
        <v>414</v>
      </c>
      <c r="C1047" s="7">
        <v>31435</v>
      </c>
      <c r="D1047" s="6" t="s">
        <v>24</v>
      </c>
      <c r="E1047" s="6" t="s">
        <v>96</v>
      </c>
      <c r="F1047" s="6" t="s">
        <v>96</v>
      </c>
      <c r="G1047" s="6" t="s">
        <v>32</v>
      </c>
      <c r="H1047" s="6" t="s">
        <v>19</v>
      </c>
      <c r="I1047" s="6" t="s">
        <v>767</v>
      </c>
      <c r="J1047" s="6" t="s">
        <v>767</v>
      </c>
      <c r="K1047" s="7">
        <v>6260713</v>
      </c>
      <c r="L1047" s="7">
        <v>340113</v>
      </c>
      <c r="M1047" s="7">
        <v>19</v>
      </c>
      <c r="N1047" s="7">
        <v>1</v>
      </c>
      <c r="O1047" s="7">
        <v>2</v>
      </c>
    </row>
    <row r="1048" spans="1:15" x14ac:dyDescent="0.25">
      <c r="A1048" s="6" t="s">
        <v>28</v>
      </c>
      <c r="B1048" s="6" t="s">
        <v>414</v>
      </c>
      <c r="C1048" s="7">
        <v>31441</v>
      </c>
      <c r="D1048" s="6" t="s">
        <v>24</v>
      </c>
      <c r="E1048" s="6" t="s">
        <v>96</v>
      </c>
      <c r="F1048" s="6" t="s">
        <v>96</v>
      </c>
      <c r="G1048" s="6" t="s">
        <v>32</v>
      </c>
      <c r="H1048" s="6" t="s">
        <v>19</v>
      </c>
      <c r="I1048" s="6" t="s">
        <v>767</v>
      </c>
      <c r="J1048" s="6" t="s">
        <v>767</v>
      </c>
      <c r="K1048" s="7">
        <v>6259776</v>
      </c>
      <c r="L1048" s="7">
        <v>340851</v>
      </c>
      <c r="M1048" s="7">
        <v>19</v>
      </c>
      <c r="N1048" s="7">
        <v>2</v>
      </c>
      <c r="O1048" s="7">
        <v>1.5</v>
      </c>
    </row>
    <row r="1049" spans="1:15" x14ac:dyDescent="0.25">
      <c r="A1049" s="6" t="s">
        <v>28</v>
      </c>
      <c r="B1049" s="6" t="s">
        <v>414</v>
      </c>
      <c r="C1049" s="7">
        <v>31447</v>
      </c>
      <c r="D1049" s="6" t="s">
        <v>24</v>
      </c>
      <c r="E1049" s="6" t="s">
        <v>96</v>
      </c>
      <c r="F1049" s="6" t="s">
        <v>96</v>
      </c>
      <c r="G1049" s="6" t="s">
        <v>32</v>
      </c>
      <c r="H1049" s="6" t="s">
        <v>153</v>
      </c>
      <c r="I1049" s="6" t="s">
        <v>767</v>
      </c>
      <c r="J1049" s="6" t="s">
        <v>764</v>
      </c>
      <c r="K1049" s="7">
        <v>6260313</v>
      </c>
      <c r="L1049" s="7">
        <v>340869</v>
      </c>
      <c r="M1049" s="7">
        <v>19</v>
      </c>
      <c r="N1049" s="7">
        <v>1</v>
      </c>
      <c r="O1049" s="7">
        <v>0.3</v>
      </c>
    </row>
    <row r="1050" spans="1:15" x14ac:dyDescent="0.25">
      <c r="A1050" s="6" t="s">
        <v>28</v>
      </c>
      <c r="B1050" s="6" t="s">
        <v>414</v>
      </c>
      <c r="C1050" s="7">
        <v>31448</v>
      </c>
      <c r="D1050" s="6" t="s">
        <v>39</v>
      </c>
      <c r="E1050" s="6" t="s">
        <v>53</v>
      </c>
      <c r="F1050" s="6" t="s">
        <v>53</v>
      </c>
      <c r="G1050" s="6" t="s">
        <v>32</v>
      </c>
      <c r="H1050" s="6" t="s">
        <v>19</v>
      </c>
      <c r="I1050" s="6" t="s">
        <v>767</v>
      </c>
      <c r="J1050" s="6" t="s">
        <v>767</v>
      </c>
      <c r="K1050" s="7">
        <v>6136531</v>
      </c>
      <c r="L1050" s="7">
        <v>309225</v>
      </c>
      <c r="M1050" s="7">
        <v>19</v>
      </c>
      <c r="N1050" s="7">
        <v>1</v>
      </c>
      <c r="O1050" s="7">
        <v>3.8</v>
      </c>
    </row>
    <row r="1051" spans="1:15" x14ac:dyDescent="0.25">
      <c r="A1051" s="6" t="s">
        <v>22</v>
      </c>
      <c r="B1051" s="6" t="s">
        <v>414</v>
      </c>
      <c r="C1051" s="7">
        <v>31532</v>
      </c>
      <c r="D1051" s="6" t="s">
        <v>133</v>
      </c>
      <c r="E1051" s="6" t="s">
        <v>422</v>
      </c>
      <c r="F1051" s="6" t="s">
        <v>423</v>
      </c>
      <c r="G1051" s="6" t="s">
        <v>50</v>
      </c>
      <c r="H1051" s="6" t="s">
        <v>765</v>
      </c>
      <c r="I1051" s="6" t="s">
        <v>767</v>
      </c>
      <c r="J1051" s="6" t="s">
        <v>767</v>
      </c>
      <c r="K1051" s="7">
        <v>5722849</v>
      </c>
      <c r="L1051" s="7">
        <v>721687</v>
      </c>
      <c r="M1051" s="7">
        <v>18</v>
      </c>
      <c r="N1051" s="7">
        <v>1</v>
      </c>
      <c r="O1051" s="7">
        <v>1.5</v>
      </c>
    </row>
    <row r="1052" spans="1:15" x14ac:dyDescent="0.25">
      <c r="A1052" s="6" t="s">
        <v>28</v>
      </c>
      <c r="B1052" s="6" t="s">
        <v>414</v>
      </c>
      <c r="C1052" s="7">
        <v>31540</v>
      </c>
      <c r="D1052" s="6" t="s">
        <v>42</v>
      </c>
      <c r="E1052" s="6" t="s">
        <v>43</v>
      </c>
      <c r="F1052" s="6" t="s">
        <v>44</v>
      </c>
      <c r="G1052" s="6" t="s">
        <v>32</v>
      </c>
      <c r="H1052" s="6" t="s">
        <v>153</v>
      </c>
      <c r="I1052" s="6" t="s">
        <v>767</v>
      </c>
      <c r="J1052" s="6" t="s">
        <v>764</v>
      </c>
      <c r="K1052" s="7">
        <v>6196530</v>
      </c>
      <c r="L1052" s="7">
        <v>328082</v>
      </c>
      <c r="M1052" s="7">
        <v>19</v>
      </c>
      <c r="N1052" s="7">
        <v>1</v>
      </c>
      <c r="O1052" s="7">
        <v>0.6</v>
      </c>
    </row>
    <row r="1053" spans="1:15" x14ac:dyDescent="0.25">
      <c r="A1053" s="6" t="s">
        <v>28</v>
      </c>
      <c r="B1053" s="6" t="s">
        <v>414</v>
      </c>
      <c r="C1053" s="7">
        <v>31541</v>
      </c>
      <c r="D1053" s="6" t="s">
        <v>42</v>
      </c>
      <c r="E1053" s="6" t="s">
        <v>43</v>
      </c>
      <c r="F1053" s="6" t="s">
        <v>459</v>
      </c>
      <c r="G1053" s="6" t="s">
        <v>32</v>
      </c>
      <c r="H1053" s="6" t="s">
        <v>19</v>
      </c>
      <c r="I1053" s="6" t="s">
        <v>767</v>
      </c>
      <c r="J1053" s="6" t="s">
        <v>767</v>
      </c>
      <c r="K1053" s="7">
        <v>6195029</v>
      </c>
      <c r="L1053" s="7">
        <v>334695</v>
      </c>
      <c r="M1053" s="7">
        <v>19</v>
      </c>
      <c r="N1053" s="7">
        <v>1</v>
      </c>
      <c r="O1053" s="7">
        <v>4.5</v>
      </c>
    </row>
    <row r="1054" spans="1:15" x14ac:dyDescent="0.25">
      <c r="A1054" s="6" t="s">
        <v>28</v>
      </c>
      <c r="B1054" s="6" t="s">
        <v>414</v>
      </c>
      <c r="C1054" s="7">
        <v>31543</v>
      </c>
      <c r="D1054" s="6" t="s">
        <v>42</v>
      </c>
      <c r="E1054" s="6" t="s">
        <v>184</v>
      </c>
      <c r="F1054" s="6" t="s">
        <v>184</v>
      </c>
      <c r="G1054" s="6" t="s">
        <v>32</v>
      </c>
      <c r="H1054" s="6" t="s">
        <v>19</v>
      </c>
      <c r="I1054" s="6" t="s">
        <v>767</v>
      </c>
      <c r="J1054" s="6" t="s">
        <v>767</v>
      </c>
      <c r="K1054" s="7">
        <v>6199568</v>
      </c>
      <c r="L1054" s="7">
        <v>342022</v>
      </c>
      <c r="M1054" s="7">
        <v>19</v>
      </c>
      <c r="N1054" s="7">
        <v>1</v>
      </c>
      <c r="O1054" s="7">
        <v>2</v>
      </c>
    </row>
    <row r="1055" spans="1:15" x14ac:dyDescent="0.25">
      <c r="A1055" s="6" t="s">
        <v>28</v>
      </c>
      <c r="B1055" s="6" t="s">
        <v>414</v>
      </c>
      <c r="C1055" s="7">
        <v>31544</v>
      </c>
      <c r="D1055" s="6" t="s">
        <v>42</v>
      </c>
      <c r="E1055" s="6" t="s">
        <v>184</v>
      </c>
      <c r="F1055" s="6" t="s">
        <v>184</v>
      </c>
      <c r="G1055" s="6" t="s">
        <v>32</v>
      </c>
      <c r="H1055" s="6" t="s">
        <v>19</v>
      </c>
      <c r="I1055" s="6" t="s">
        <v>767</v>
      </c>
      <c r="J1055" s="6" t="s">
        <v>767</v>
      </c>
      <c r="K1055" s="7">
        <v>6199967</v>
      </c>
      <c r="L1055" s="7">
        <v>339062</v>
      </c>
      <c r="M1055" s="7">
        <v>19</v>
      </c>
      <c r="N1055" s="7">
        <v>1</v>
      </c>
      <c r="O1055" s="7">
        <v>0.32</v>
      </c>
    </row>
    <row r="1056" spans="1:15" x14ac:dyDescent="0.25">
      <c r="A1056" s="6" t="s">
        <v>28</v>
      </c>
      <c r="B1056" s="6" t="s">
        <v>414</v>
      </c>
      <c r="C1056" s="7">
        <v>31553</v>
      </c>
      <c r="D1056" s="6" t="s">
        <v>42</v>
      </c>
      <c r="E1056" s="6" t="s">
        <v>43</v>
      </c>
      <c r="F1056" s="6" t="s">
        <v>44</v>
      </c>
      <c r="G1056" s="6" t="s">
        <v>32</v>
      </c>
      <c r="H1056" s="6" t="s">
        <v>19</v>
      </c>
      <c r="I1056" s="6" t="s">
        <v>767</v>
      </c>
      <c r="J1056" s="6" t="s">
        <v>767</v>
      </c>
      <c r="K1056" s="7">
        <v>6196530</v>
      </c>
      <c r="L1056" s="7">
        <v>328082</v>
      </c>
      <c r="M1056" s="7">
        <v>19</v>
      </c>
      <c r="N1056" s="7">
        <v>1</v>
      </c>
      <c r="O1056" s="7">
        <v>0.6</v>
      </c>
    </row>
    <row r="1057" spans="1:15" x14ac:dyDescent="0.25">
      <c r="A1057" s="6" t="s">
        <v>28</v>
      </c>
      <c r="B1057" s="6" t="s">
        <v>414</v>
      </c>
      <c r="C1057" s="7">
        <v>31623</v>
      </c>
      <c r="D1057" s="6" t="s">
        <v>39</v>
      </c>
      <c r="E1057" s="6" t="s">
        <v>72</v>
      </c>
      <c r="F1057" s="6" t="s">
        <v>460</v>
      </c>
      <c r="G1057" s="6" t="s">
        <v>32</v>
      </c>
      <c r="H1057" s="6" t="s">
        <v>33</v>
      </c>
      <c r="I1057" s="6" t="s">
        <v>767</v>
      </c>
      <c r="J1057" s="6" t="s">
        <v>764</v>
      </c>
      <c r="K1057" s="7">
        <v>6060469</v>
      </c>
      <c r="L1057" s="7">
        <v>274551</v>
      </c>
      <c r="M1057" s="7">
        <v>19</v>
      </c>
      <c r="N1057" s="7">
        <v>1</v>
      </c>
      <c r="O1057" s="7">
        <v>11</v>
      </c>
    </row>
    <row r="1058" spans="1:15" x14ac:dyDescent="0.25">
      <c r="A1058" s="6" t="s">
        <v>28</v>
      </c>
      <c r="B1058" s="6" t="s">
        <v>414</v>
      </c>
      <c r="C1058" s="7">
        <v>31624</v>
      </c>
      <c r="D1058" s="6" t="s">
        <v>39</v>
      </c>
      <c r="E1058" s="6" t="s">
        <v>72</v>
      </c>
      <c r="F1058" s="6" t="s">
        <v>131</v>
      </c>
      <c r="G1058" s="6" t="s">
        <v>32</v>
      </c>
      <c r="H1058" s="6" t="s">
        <v>33</v>
      </c>
      <c r="I1058" s="6" t="s">
        <v>767</v>
      </c>
      <c r="J1058" s="6" t="s">
        <v>764</v>
      </c>
      <c r="K1058" s="7">
        <v>6064927</v>
      </c>
      <c r="L1058" s="7">
        <v>280693</v>
      </c>
      <c r="M1058" s="7">
        <v>19</v>
      </c>
      <c r="N1058" s="7">
        <v>1</v>
      </c>
      <c r="O1058" s="7">
        <v>9.5</v>
      </c>
    </row>
    <row r="1059" spans="1:15" x14ac:dyDescent="0.25">
      <c r="A1059" s="6" t="s">
        <v>28</v>
      </c>
      <c r="B1059" s="6" t="s">
        <v>414</v>
      </c>
      <c r="C1059" s="7">
        <v>31625</v>
      </c>
      <c r="D1059" s="6" t="s">
        <v>39</v>
      </c>
      <c r="E1059" s="6" t="s">
        <v>107</v>
      </c>
      <c r="F1059" s="6" t="s">
        <v>107</v>
      </c>
      <c r="G1059" s="6" t="s">
        <v>32</v>
      </c>
      <c r="H1059" s="6" t="s">
        <v>33</v>
      </c>
      <c r="I1059" s="6" t="s">
        <v>767</v>
      </c>
      <c r="J1059" s="6" t="s">
        <v>764</v>
      </c>
      <c r="K1059" s="7">
        <v>6081979</v>
      </c>
      <c r="L1059" s="7">
        <v>244275</v>
      </c>
      <c r="M1059" s="7">
        <v>19</v>
      </c>
      <c r="N1059" s="7">
        <v>3</v>
      </c>
      <c r="O1059" s="7">
        <v>70</v>
      </c>
    </row>
    <row r="1060" spans="1:15" x14ac:dyDescent="0.25">
      <c r="A1060" s="6" t="s">
        <v>28</v>
      </c>
      <c r="B1060" s="6" t="s">
        <v>414</v>
      </c>
      <c r="C1060" s="7">
        <v>31626</v>
      </c>
      <c r="D1060" s="6" t="s">
        <v>39</v>
      </c>
      <c r="E1060" s="6" t="s">
        <v>72</v>
      </c>
      <c r="F1060" s="6" t="s">
        <v>461</v>
      </c>
      <c r="G1060" s="6" t="s">
        <v>32</v>
      </c>
      <c r="H1060" s="6" t="s">
        <v>33</v>
      </c>
      <c r="I1060" s="6" t="s">
        <v>767</v>
      </c>
      <c r="J1060" s="6" t="s">
        <v>764</v>
      </c>
      <c r="K1060" s="7">
        <v>6064114</v>
      </c>
      <c r="L1060" s="7">
        <v>270078</v>
      </c>
      <c r="M1060" s="7">
        <v>19</v>
      </c>
      <c r="N1060" s="7">
        <v>6</v>
      </c>
      <c r="O1060" s="7">
        <v>45</v>
      </c>
    </row>
    <row r="1061" spans="1:15" x14ac:dyDescent="0.25">
      <c r="A1061" s="6" t="s">
        <v>28</v>
      </c>
      <c r="B1061" s="6" t="s">
        <v>414</v>
      </c>
      <c r="C1061" s="7">
        <v>31627</v>
      </c>
      <c r="D1061" s="6" t="s">
        <v>39</v>
      </c>
      <c r="E1061" s="6" t="s">
        <v>72</v>
      </c>
      <c r="F1061" s="6" t="s">
        <v>131</v>
      </c>
      <c r="G1061" s="6" t="s">
        <v>32</v>
      </c>
      <c r="H1061" s="6" t="s">
        <v>33</v>
      </c>
      <c r="I1061" s="6" t="s">
        <v>767</v>
      </c>
      <c r="J1061" s="6" t="s">
        <v>764</v>
      </c>
      <c r="K1061" s="7">
        <v>6064614</v>
      </c>
      <c r="L1061" s="7">
        <v>280344</v>
      </c>
      <c r="M1061" s="7">
        <v>19</v>
      </c>
      <c r="N1061" s="7">
        <v>1</v>
      </c>
      <c r="O1061" s="7">
        <v>13</v>
      </c>
    </row>
    <row r="1062" spans="1:15" x14ac:dyDescent="0.25">
      <c r="A1062" s="6" t="s">
        <v>28</v>
      </c>
      <c r="B1062" s="6" t="s">
        <v>414</v>
      </c>
      <c r="C1062" s="7">
        <v>31630</v>
      </c>
      <c r="D1062" s="6" t="s">
        <v>39</v>
      </c>
      <c r="E1062" s="6" t="s">
        <v>72</v>
      </c>
      <c r="F1062" s="6" t="s">
        <v>462</v>
      </c>
      <c r="G1062" s="6" t="s">
        <v>32</v>
      </c>
      <c r="H1062" s="6" t="s">
        <v>33</v>
      </c>
      <c r="I1062" s="6" t="s">
        <v>767</v>
      </c>
      <c r="J1062" s="6" t="s">
        <v>764</v>
      </c>
      <c r="K1062" s="7">
        <v>6063682</v>
      </c>
      <c r="L1062" s="7">
        <v>270458</v>
      </c>
      <c r="M1062" s="7">
        <v>19</v>
      </c>
      <c r="N1062" s="7">
        <v>2</v>
      </c>
      <c r="O1062" s="7">
        <v>22</v>
      </c>
    </row>
    <row r="1063" spans="1:15" x14ac:dyDescent="0.25">
      <c r="A1063" s="6" t="s">
        <v>28</v>
      </c>
      <c r="B1063" s="6" t="s">
        <v>414</v>
      </c>
      <c r="C1063" s="7">
        <v>31638</v>
      </c>
      <c r="D1063" s="6" t="s">
        <v>39</v>
      </c>
      <c r="E1063" s="6" t="s">
        <v>72</v>
      </c>
      <c r="F1063" s="6" t="s">
        <v>131</v>
      </c>
      <c r="G1063" s="6" t="s">
        <v>32</v>
      </c>
      <c r="H1063" s="6" t="s">
        <v>33</v>
      </c>
      <c r="I1063" s="6" t="s">
        <v>767</v>
      </c>
      <c r="J1063" s="6" t="s">
        <v>764</v>
      </c>
      <c r="K1063" s="7">
        <v>6064482</v>
      </c>
      <c r="L1063" s="7">
        <v>279747</v>
      </c>
      <c r="M1063" s="7">
        <v>19</v>
      </c>
      <c r="N1063" s="7">
        <v>2</v>
      </c>
      <c r="O1063" s="7">
        <v>60</v>
      </c>
    </row>
    <row r="1064" spans="1:15" x14ac:dyDescent="0.25">
      <c r="A1064" s="6" t="s">
        <v>28</v>
      </c>
      <c r="B1064" s="6" t="s">
        <v>414</v>
      </c>
      <c r="C1064" s="7">
        <v>31639</v>
      </c>
      <c r="D1064" s="6" t="s">
        <v>24</v>
      </c>
      <c r="E1064" s="6" t="s">
        <v>56</v>
      </c>
      <c r="F1064" s="6" t="s">
        <v>419</v>
      </c>
      <c r="G1064" s="6" t="s">
        <v>32</v>
      </c>
      <c r="H1064" s="6" t="s">
        <v>33</v>
      </c>
      <c r="I1064" s="6" t="s">
        <v>767</v>
      </c>
      <c r="J1064" s="6" t="s">
        <v>764</v>
      </c>
      <c r="K1064" s="7">
        <v>6276856</v>
      </c>
      <c r="L1064" s="7">
        <v>344092</v>
      </c>
      <c r="M1064" s="7">
        <v>19</v>
      </c>
      <c r="N1064" s="7">
        <v>7</v>
      </c>
      <c r="O1064" s="7">
        <v>55</v>
      </c>
    </row>
    <row r="1065" spans="1:15" x14ac:dyDescent="0.25">
      <c r="A1065" s="6" t="s">
        <v>28</v>
      </c>
      <c r="B1065" s="6" t="s">
        <v>414</v>
      </c>
      <c r="C1065" s="7">
        <v>31640</v>
      </c>
      <c r="D1065" s="6" t="s">
        <v>24</v>
      </c>
      <c r="E1065" s="6" t="s">
        <v>96</v>
      </c>
      <c r="F1065" s="6" t="s">
        <v>96</v>
      </c>
      <c r="G1065" s="6" t="s">
        <v>32</v>
      </c>
      <c r="H1065" s="6" t="s">
        <v>33</v>
      </c>
      <c r="I1065" s="6" t="s">
        <v>767</v>
      </c>
      <c r="J1065" s="6" t="s">
        <v>764</v>
      </c>
      <c r="K1065" s="7">
        <v>6260124</v>
      </c>
      <c r="L1065" s="7">
        <v>339660</v>
      </c>
      <c r="M1065" s="7">
        <v>19</v>
      </c>
      <c r="N1065" s="7">
        <v>3</v>
      </c>
      <c r="O1065" s="7">
        <v>15</v>
      </c>
    </row>
    <row r="1066" spans="1:15" x14ac:dyDescent="0.25">
      <c r="A1066" s="6" t="s">
        <v>28</v>
      </c>
      <c r="B1066" s="6" t="s">
        <v>414</v>
      </c>
      <c r="C1066" s="7">
        <v>31641</v>
      </c>
      <c r="D1066" s="6" t="s">
        <v>24</v>
      </c>
      <c r="E1066" s="6" t="s">
        <v>56</v>
      </c>
      <c r="F1066" s="6" t="s">
        <v>418</v>
      </c>
      <c r="G1066" s="6" t="s">
        <v>32</v>
      </c>
      <c r="H1066" s="6" t="s">
        <v>33</v>
      </c>
      <c r="I1066" s="6" t="s">
        <v>767</v>
      </c>
      <c r="J1066" s="6" t="s">
        <v>764</v>
      </c>
      <c r="K1066" s="7">
        <v>6273795</v>
      </c>
      <c r="L1066" s="7">
        <v>340985</v>
      </c>
      <c r="M1066" s="7">
        <v>19</v>
      </c>
      <c r="N1066" s="7">
        <v>1</v>
      </c>
      <c r="O1066" s="7">
        <v>5</v>
      </c>
    </row>
    <row r="1067" spans="1:15" x14ac:dyDescent="0.25">
      <c r="A1067" s="6" t="s">
        <v>28</v>
      </c>
      <c r="B1067" s="6" t="s">
        <v>414</v>
      </c>
      <c r="C1067" s="7">
        <v>31642</v>
      </c>
      <c r="D1067" s="6" t="s">
        <v>24</v>
      </c>
      <c r="E1067" s="6" t="s">
        <v>37</v>
      </c>
      <c r="F1067" s="6" t="s">
        <v>37</v>
      </c>
      <c r="G1067" s="6" t="s">
        <v>32</v>
      </c>
      <c r="H1067" s="6" t="s">
        <v>33</v>
      </c>
      <c r="I1067" s="6" t="s">
        <v>767</v>
      </c>
      <c r="J1067" s="6" t="s">
        <v>764</v>
      </c>
      <c r="K1067" s="7">
        <v>6268267</v>
      </c>
      <c r="L1067" s="7">
        <v>323033</v>
      </c>
      <c r="M1067" s="7">
        <v>19</v>
      </c>
      <c r="N1067" s="7">
        <v>1</v>
      </c>
      <c r="O1067" s="7">
        <v>12</v>
      </c>
    </row>
    <row r="1068" spans="1:15" x14ac:dyDescent="0.25">
      <c r="A1068" s="6" t="s">
        <v>28</v>
      </c>
      <c r="B1068" s="6" t="s">
        <v>414</v>
      </c>
      <c r="C1068" s="7">
        <v>31643</v>
      </c>
      <c r="D1068" s="6" t="s">
        <v>24</v>
      </c>
      <c r="E1068" s="6" t="s">
        <v>31</v>
      </c>
      <c r="F1068" s="6" t="s">
        <v>415</v>
      </c>
      <c r="G1068" s="6" t="s">
        <v>32</v>
      </c>
      <c r="H1068" s="6" t="s">
        <v>33</v>
      </c>
      <c r="I1068" s="6" t="s">
        <v>767</v>
      </c>
      <c r="J1068" s="6" t="s">
        <v>764</v>
      </c>
      <c r="K1068" s="7">
        <v>6276163</v>
      </c>
      <c r="L1068" s="7">
        <v>298391</v>
      </c>
      <c r="M1068" s="7">
        <v>19</v>
      </c>
      <c r="N1068" s="7">
        <v>2</v>
      </c>
      <c r="O1068" s="7">
        <v>16</v>
      </c>
    </row>
    <row r="1069" spans="1:15" x14ac:dyDescent="0.25">
      <c r="A1069" s="6" t="s">
        <v>28</v>
      </c>
      <c r="B1069" s="6" t="s">
        <v>414</v>
      </c>
      <c r="C1069" s="7">
        <v>31644</v>
      </c>
      <c r="D1069" s="6" t="s">
        <v>24</v>
      </c>
      <c r="E1069" s="6" t="s">
        <v>62</v>
      </c>
      <c r="F1069" s="6" t="s">
        <v>416</v>
      </c>
      <c r="G1069" s="6" t="s">
        <v>32</v>
      </c>
      <c r="H1069" s="6" t="s">
        <v>33</v>
      </c>
      <c r="I1069" s="6" t="s">
        <v>767</v>
      </c>
      <c r="J1069" s="6" t="s">
        <v>764</v>
      </c>
      <c r="K1069" s="7">
        <v>6278576</v>
      </c>
      <c r="L1069" s="7">
        <v>329841</v>
      </c>
      <c r="M1069" s="7">
        <v>19</v>
      </c>
      <c r="N1069" s="7">
        <v>3</v>
      </c>
      <c r="O1069" s="7">
        <v>27</v>
      </c>
    </row>
    <row r="1070" spans="1:15" x14ac:dyDescent="0.25">
      <c r="A1070" s="6" t="s">
        <v>28</v>
      </c>
      <c r="B1070" s="6" t="s">
        <v>414</v>
      </c>
      <c r="C1070" s="7">
        <v>31645</v>
      </c>
      <c r="D1070" s="6" t="s">
        <v>24</v>
      </c>
      <c r="E1070" s="6" t="s">
        <v>56</v>
      </c>
      <c r="F1070" s="6" t="s">
        <v>457</v>
      </c>
      <c r="G1070" s="6" t="s">
        <v>32</v>
      </c>
      <c r="H1070" s="6" t="s">
        <v>33</v>
      </c>
      <c r="I1070" s="6" t="s">
        <v>767</v>
      </c>
      <c r="J1070" s="6" t="s">
        <v>764</v>
      </c>
      <c r="K1070" s="7">
        <v>6282349</v>
      </c>
      <c r="L1070" s="7">
        <v>333792</v>
      </c>
      <c r="M1070" s="7">
        <v>19</v>
      </c>
      <c r="N1070" s="7">
        <v>1</v>
      </c>
      <c r="O1070" s="7">
        <v>20</v>
      </c>
    </row>
    <row r="1071" spans="1:15" x14ac:dyDescent="0.25">
      <c r="A1071" s="6" t="s">
        <v>28</v>
      </c>
      <c r="B1071" s="6" t="s">
        <v>414</v>
      </c>
      <c r="C1071" s="7">
        <v>31646</v>
      </c>
      <c r="D1071" s="6" t="s">
        <v>24</v>
      </c>
      <c r="E1071" s="6" t="s">
        <v>456</v>
      </c>
      <c r="F1071" s="6" t="s">
        <v>456</v>
      </c>
      <c r="G1071" s="6" t="s">
        <v>32</v>
      </c>
      <c r="H1071" s="6" t="s">
        <v>33</v>
      </c>
      <c r="I1071" s="6" t="s">
        <v>767</v>
      </c>
      <c r="J1071" s="6" t="s">
        <v>764</v>
      </c>
      <c r="K1071" s="7">
        <v>6293790</v>
      </c>
      <c r="L1071" s="7">
        <v>334660</v>
      </c>
      <c r="M1071" s="7">
        <v>19</v>
      </c>
      <c r="N1071" s="7">
        <v>2</v>
      </c>
      <c r="O1071" s="7">
        <v>14</v>
      </c>
    </row>
    <row r="1072" spans="1:15" x14ac:dyDescent="0.25">
      <c r="A1072" s="6" t="s">
        <v>28</v>
      </c>
      <c r="B1072" s="6" t="s">
        <v>414</v>
      </c>
      <c r="C1072" s="7">
        <v>31647</v>
      </c>
      <c r="D1072" s="6" t="s">
        <v>24</v>
      </c>
      <c r="E1072" s="6" t="s">
        <v>456</v>
      </c>
      <c r="F1072" s="6" t="s">
        <v>456</v>
      </c>
      <c r="G1072" s="6" t="s">
        <v>32</v>
      </c>
      <c r="H1072" s="6" t="s">
        <v>33</v>
      </c>
      <c r="I1072" s="6" t="s">
        <v>767</v>
      </c>
      <c r="J1072" s="6" t="s">
        <v>764</v>
      </c>
      <c r="K1072" s="7">
        <v>6294034</v>
      </c>
      <c r="L1072" s="7">
        <v>334981</v>
      </c>
      <c r="M1072" s="7">
        <v>19</v>
      </c>
      <c r="N1072" s="7">
        <v>1</v>
      </c>
      <c r="O1072" s="7">
        <v>10</v>
      </c>
    </row>
    <row r="1073" spans="1:15" x14ac:dyDescent="0.25">
      <c r="A1073" s="6" t="s">
        <v>28</v>
      </c>
      <c r="B1073" s="6" t="s">
        <v>414</v>
      </c>
      <c r="C1073" s="7">
        <v>31648</v>
      </c>
      <c r="D1073" s="6" t="s">
        <v>24</v>
      </c>
      <c r="E1073" s="6" t="s">
        <v>463</v>
      </c>
      <c r="F1073" s="6" t="s">
        <v>56</v>
      </c>
      <c r="G1073" s="6" t="s">
        <v>32</v>
      </c>
      <c r="H1073" s="6" t="s">
        <v>33</v>
      </c>
      <c r="I1073" s="6" t="s">
        <v>767</v>
      </c>
      <c r="J1073" s="6" t="s">
        <v>767</v>
      </c>
      <c r="K1073" s="7">
        <v>6280278</v>
      </c>
      <c r="L1073" s="7">
        <v>347999</v>
      </c>
      <c r="M1073" s="7">
        <v>19</v>
      </c>
      <c r="N1073" s="7">
        <v>1</v>
      </c>
      <c r="O1073" s="7">
        <v>23</v>
      </c>
    </row>
    <row r="1074" spans="1:15" x14ac:dyDescent="0.25">
      <c r="A1074" s="6" t="s">
        <v>28</v>
      </c>
      <c r="B1074" s="6" t="s">
        <v>414</v>
      </c>
      <c r="C1074" s="7">
        <v>31657</v>
      </c>
      <c r="D1074" s="6" t="s">
        <v>24</v>
      </c>
      <c r="E1074" s="6" t="s">
        <v>56</v>
      </c>
      <c r="F1074" s="6" t="s">
        <v>418</v>
      </c>
      <c r="G1074" s="6" t="s">
        <v>32</v>
      </c>
      <c r="H1074" s="6" t="s">
        <v>19</v>
      </c>
      <c r="I1074" s="6" t="s">
        <v>767</v>
      </c>
      <c r="J1074" s="6" t="s">
        <v>767</v>
      </c>
      <c r="K1074" s="7">
        <v>6275067</v>
      </c>
      <c r="L1074" s="7">
        <v>340652</v>
      </c>
      <c r="M1074" s="7">
        <v>19</v>
      </c>
      <c r="N1074" s="7">
        <v>1</v>
      </c>
      <c r="O1074" s="7">
        <v>4.5</v>
      </c>
    </row>
    <row r="1075" spans="1:15" x14ac:dyDescent="0.25">
      <c r="A1075" s="6" t="s">
        <v>28</v>
      </c>
      <c r="B1075" s="6" t="s">
        <v>414</v>
      </c>
      <c r="C1075" s="7">
        <v>31658</v>
      </c>
      <c r="D1075" s="6" t="s">
        <v>42</v>
      </c>
      <c r="E1075" s="6" t="s">
        <v>51</v>
      </c>
      <c r="F1075" s="6" t="s">
        <v>455</v>
      </c>
      <c r="G1075" s="6" t="s">
        <v>32</v>
      </c>
      <c r="H1075" s="6" t="s">
        <v>33</v>
      </c>
      <c r="I1075" s="6" t="s">
        <v>767</v>
      </c>
      <c r="J1075" s="6" t="s">
        <v>767</v>
      </c>
      <c r="K1075" s="7">
        <v>6154723</v>
      </c>
      <c r="L1075" s="7">
        <v>317212</v>
      </c>
      <c r="M1075" s="7">
        <v>19</v>
      </c>
      <c r="N1075" s="7">
        <v>1</v>
      </c>
      <c r="O1075" s="7">
        <v>13.5</v>
      </c>
    </row>
    <row r="1076" spans="1:15" x14ac:dyDescent="0.25">
      <c r="A1076" s="6" t="s">
        <v>28</v>
      </c>
      <c r="B1076" s="6" t="s">
        <v>414</v>
      </c>
      <c r="C1076" s="7">
        <v>31660</v>
      </c>
      <c r="D1076" s="6" t="s">
        <v>24</v>
      </c>
      <c r="E1076" s="6" t="s">
        <v>427</v>
      </c>
      <c r="F1076" s="6" t="s">
        <v>443</v>
      </c>
      <c r="G1076" s="6" t="s">
        <v>32</v>
      </c>
      <c r="H1076" s="6" t="s">
        <v>19</v>
      </c>
      <c r="I1076" s="6" t="s">
        <v>767</v>
      </c>
      <c r="J1076" s="6" t="s">
        <v>767</v>
      </c>
      <c r="K1076" s="7">
        <v>6267253</v>
      </c>
      <c r="L1076" s="7">
        <v>327207</v>
      </c>
      <c r="M1076" s="7">
        <v>19</v>
      </c>
      <c r="N1076" s="7">
        <v>1</v>
      </c>
      <c r="O1076" s="7">
        <v>4.5</v>
      </c>
    </row>
    <row r="1077" spans="1:15" x14ac:dyDescent="0.25">
      <c r="A1077" s="6" t="s">
        <v>28</v>
      </c>
      <c r="B1077" s="6" t="s">
        <v>414</v>
      </c>
      <c r="C1077" s="7">
        <v>31661</v>
      </c>
      <c r="D1077" s="6" t="s">
        <v>42</v>
      </c>
      <c r="E1077" s="6" t="s">
        <v>51</v>
      </c>
      <c r="F1077" s="6" t="s">
        <v>51</v>
      </c>
      <c r="G1077" s="6" t="s">
        <v>32</v>
      </c>
      <c r="H1077" s="6" t="s">
        <v>33</v>
      </c>
      <c r="I1077" s="6" t="s">
        <v>767</v>
      </c>
      <c r="J1077" s="6" t="s">
        <v>767</v>
      </c>
      <c r="K1077" s="7">
        <v>6151578</v>
      </c>
      <c r="L1077" s="7">
        <v>313583</v>
      </c>
      <c r="M1077" s="7">
        <v>19</v>
      </c>
      <c r="N1077" s="7">
        <v>1</v>
      </c>
      <c r="O1077" s="7">
        <v>15</v>
      </c>
    </row>
    <row r="1078" spans="1:15" x14ac:dyDescent="0.25">
      <c r="A1078" s="6" t="s">
        <v>28</v>
      </c>
      <c r="B1078" s="6" t="s">
        <v>414</v>
      </c>
      <c r="C1078" s="7">
        <v>31664</v>
      </c>
      <c r="D1078" s="6" t="s">
        <v>24</v>
      </c>
      <c r="E1078" s="6" t="s">
        <v>429</v>
      </c>
      <c r="F1078" s="6" t="s">
        <v>429</v>
      </c>
      <c r="G1078" s="6" t="s">
        <v>32</v>
      </c>
      <c r="H1078" s="6" t="s">
        <v>19</v>
      </c>
      <c r="I1078" s="6" t="s">
        <v>767</v>
      </c>
      <c r="J1078" s="6" t="s">
        <v>767</v>
      </c>
      <c r="K1078" s="7">
        <v>6303322</v>
      </c>
      <c r="L1078" s="7">
        <v>328338</v>
      </c>
      <c r="M1078" s="7">
        <v>19</v>
      </c>
      <c r="N1078" s="7">
        <v>1</v>
      </c>
      <c r="O1078" s="7">
        <v>0.5</v>
      </c>
    </row>
    <row r="1079" spans="1:15" x14ac:dyDescent="0.25">
      <c r="A1079" s="6" t="s">
        <v>28</v>
      </c>
      <c r="B1079" s="6" t="s">
        <v>414</v>
      </c>
      <c r="C1079" s="7">
        <v>31668</v>
      </c>
      <c r="D1079" s="6" t="s">
        <v>42</v>
      </c>
      <c r="E1079" s="6" t="s">
        <v>167</v>
      </c>
      <c r="F1079" s="6" t="s">
        <v>167</v>
      </c>
      <c r="G1079" s="6" t="s">
        <v>32</v>
      </c>
      <c r="H1079" s="6" t="s">
        <v>33</v>
      </c>
      <c r="I1079" s="6" t="s">
        <v>767</v>
      </c>
      <c r="J1079" s="6" t="s">
        <v>764</v>
      </c>
      <c r="K1079" s="7">
        <v>6229971</v>
      </c>
      <c r="L1079" s="7">
        <v>342837</v>
      </c>
      <c r="M1079" s="7">
        <v>19</v>
      </c>
      <c r="N1079" s="7">
        <v>3</v>
      </c>
      <c r="O1079" s="7">
        <v>36</v>
      </c>
    </row>
    <row r="1080" spans="1:15" x14ac:dyDescent="0.25">
      <c r="A1080" s="6" t="s">
        <v>28</v>
      </c>
      <c r="B1080" s="6" t="s">
        <v>414</v>
      </c>
      <c r="C1080" s="7">
        <v>31669</v>
      </c>
      <c r="D1080" s="6" t="s">
        <v>24</v>
      </c>
      <c r="E1080" s="6" t="s">
        <v>456</v>
      </c>
      <c r="F1080" s="6" t="s">
        <v>456</v>
      </c>
      <c r="G1080" s="6" t="s">
        <v>32</v>
      </c>
      <c r="H1080" s="6" t="s">
        <v>19</v>
      </c>
      <c r="I1080" s="6" t="s">
        <v>767</v>
      </c>
      <c r="J1080" s="6" t="s">
        <v>767</v>
      </c>
      <c r="K1080" s="7">
        <v>6293739</v>
      </c>
      <c r="L1080" s="7">
        <v>333836</v>
      </c>
      <c r="M1080" s="7">
        <v>19</v>
      </c>
      <c r="N1080" s="7">
        <v>1</v>
      </c>
      <c r="O1080" s="7">
        <v>0.5</v>
      </c>
    </row>
    <row r="1081" spans="1:15" x14ac:dyDescent="0.25">
      <c r="A1081" s="6" t="s">
        <v>28</v>
      </c>
      <c r="B1081" s="6" t="s">
        <v>414</v>
      </c>
      <c r="C1081" s="7">
        <v>31671</v>
      </c>
      <c r="D1081" s="6" t="s">
        <v>24</v>
      </c>
      <c r="E1081" s="6" t="s">
        <v>463</v>
      </c>
      <c r="F1081" s="6" t="s">
        <v>464</v>
      </c>
      <c r="G1081" s="6" t="s">
        <v>32</v>
      </c>
      <c r="H1081" s="6" t="s">
        <v>19</v>
      </c>
      <c r="I1081" s="6" t="s">
        <v>767</v>
      </c>
      <c r="J1081" s="6" t="s">
        <v>767</v>
      </c>
      <c r="K1081" s="7">
        <v>6294170</v>
      </c>
      <c r="L1081" s="7">
        <v>335729</v>
      </c>
      <c r="M1081" s="7">
        <v>19</v>
      </c>
      <c r="N1081" s="7">
        <v>1</v>
      </c>
      <c r="O1081" s="7">
        <v>0.5</v>
      </c>
    </row>
    <row r="1082" spans="1:15" x14ac:dyDescent="0.25">
      <c r="A1082" s="6" t="s">
        <v>28</v>
      </c>
      <c r="B1082" s="6" t="s">
        <v>414</v>
      </c>
      <c r="C1082" s="7">
        <v>31679</v>
      </c>
      <c r="D1082" s="6" t="s">
        <v>24</v>
      </c>
      <c r="E1082" s="6" t="s">
        <v>456</v>
      </c>
      <c r="F1082" s="6" t="s">
        <v>456</v>
      </c>
      <c r="G1082" s="6" t="s">
        <v>32</v>
      </c>
      <c r="H1082" s="6" t="s">
        <v>19</v>
      </c>
      <c r="I1082" s="6" t="s">
        <v>767</v>
      </c>
      <c r="J1082" s="6" t="s">
        <v>767</v>
      </c>
      <c r="K1082" s="7">
        <v>6294791</v>
      </c>
      <c r="L1082" s="7">
        <v>336018</v>
      </c>
      <c r="M1082" s="7">
        <v>19</v>
      </c>
      <c r="N1082" s="7">
        <v>1</v>
      </c>
      <c r="O1082" s="7">
        <v>0.5</v>
      </c>
    </row>
    <row r="1083" spans="1:15" x14ac:dyDescent="0.25">
      <c r="A1083" s="6" t="s">
        <v>28</v>
      </c>
      <c r="B1083" s="6" t="s">
        <v>414</v>
      </c>
      <c r="C1083" s="7">
        <v>31681</v>
      </c>
      <c r="D1083" s="6" t="s">
        <v>24</v>
      </c>
      <c r="E1083" s="6" t="s">
        <v>456</v>
      </c>
      <c r="F1083" s="6" t="s">
        <v>456</v>
      </c>
      <c r="G1083" s="6" t="s">
        <v>32</v>
      </c>
      <c r="H1083" s="6" t="s">
        <v>19</v>
      </c>
      <c r="I1083" s="6" t="s">
        <v>767</v>
      </c>
      <c r="J1083" s="6" t="s">
        <v>767</v>
      </c>
      <c r="K1083" s="7">
        <v>6295437</v>
      </c>
      <c r="L1083" s="7">
        <v>336143</v>
      </c>
      <c r="M1083" s="7">
        <v>19</v>
      </c>
      <c r="N1083" s="7">
        <v>1</v>
      </c>
      <c r="O1083" s="7">
        <v>1.5</v>
      </c>
    </row>
    <row r="1084" spans="1:15" x14ac:dyDescent="0.25">
      <c r="A1084" s="6" t="s">
        <v>28</v>
      </c>
      <c r="B1084" s="6" t="s">
        <v>414</v>
      </c>
      <c r="C1084" s="7">
        <v>31748</v>
      </c>
      <c r="D1084" s="6" t="s">
        <v>39</v>
      </c>
      <c r="E1084" s="6" t="s">
        <v>72</v>
      </c>
      <c r="F1084" s="6" t="s">
        <v>465</v>
      </c>
      <c r="G1084" s="6" t="s">
        <v>32</v>
      </c>
      <c r="H1084" s="6" t="s">
        <v>19</v>
      </c>
      <c r="I1084" s="6" t="s">
        <v>767</v>
      </c>
      <c r="J1084" s="6" t="s">
        <v>767</v>
      </c>
      <c r="K1084" s="7">
        <v>6057955</v>
      </c>
      <c r="L1084" s="7">
        <v>284900</v>
      </c>
      <c r="M1084" s="7">
        <v>19</v>
      </c>
      <c r="N1084" s="7">
        <v>1</v>
      </c>
      <c r="O1084" s="7">
        <v>0.4</v>
      </c>
    </row>
    <row r="1085" spans="1:15" x14ac:dyDescent="0.25">
      <c r="A1085" s="6" t="s">
        <v>28</v>
      </c>
      <c r="B1085" s="6" t="s">
        <v>414</v>
      </c>
      <c r="C1085" s="7">
        <v>31750</v>
      </c>
      <c r="D1085" s="6" t="s">
        <v>39</v>
      </c>
      <c r="E1085" s="6" t="s">
        <v>72</v>
      </c>
      <c r="F1085" s="6" t="s">
        <v>131</v>
      </c>
      <c r="G1085" s="6" t="s">
        <v>32</v>
      </c>
      <c r="H1085" s="6" t="s">
        <v>19</v>
      </c>
      <c r="I1085" s="6" t="s">
        <v>767</v>
      </c>
      <c r="J1085" s="6" t="s">
        <v>767</v>
      </c>
      <c r="K1085" s="7">
        <v>6061922</v>
      </c>
      <c r="L1085" s="7">
        <v>283011</v>
      </c>
      <c r="M1085" s="7">
        <v>19</v>
      </c>
      <c r="N1085" s="7">
        <v>1</v>
      </c>
      <c r="O1085" s="7">
        <v>2.5</v>
      </c>
    </row>
    <row r="1086" spans="1:15" x14ac:dyDescent="0.25">
      <c r="A1086" s="6" t="s">
        <v>28</v>
      </c>
      <c r="B1086" s="6" t="s">
        <v>414</v>
      </c>
      <c r="C1086" s="7">
        <v>31751</v>
      </c>
      <c r="D1086" s="6" t="s">
        <v>42</v>
      </c>
      <c r="E1086" s="6" t="s">
        <v>466</v>
      </c>
      <c r="F1086" s="6" t="s">
        <v>466</v>
      </c>
      <c r="G1086" s="6" t="s">
        <v>32</v>
      </c>
      <c r="H1086" s="6" t="s">
        <v>19</v>
      </c>
      <c r="I1086" s="6" t="s">
        <v>767</v>
      </c>
      <c r="J1086" s="6" t="s">
        <v>767</v>
      </c>
      <c r="K1086" s="7">
        <v>6204538</v>
      </c>
      <c r="L1086" s="7">
        <v>328881</v>
      </c>
      <c r="M1086" s="7">
        <v>19</v>
      </c>
      <c r="N1086" s="7">
        <v>1</v>
      </c>
      <c r="O1086" s="7">
        <v>4.5</v>
      </c>
    </row>
    <row r="1087" spans="1:15" x14ac:dyDescent="0.25">
      <c r="A1087" s="6" t="s">
        <v>28</v>
      </c>
      <c r="B1087" s="6" t="s">
        <v>414</v>
      </c>
      <c r="C1087" s="7">
        <v>31752</v>
      </c>
      <c r="D1087" s="6" t="s">
        <v>42</v>
      </c>
      <c r="E1087" s="6" t="s">
        <v>466</v>
      </c>
      <c r="F1087" s="6" t="s">
        <v>466</v>
      </c>
      <c r="G1087" s="6" t="s">
        <v>32</v>
      </c>
      <c r="H1087" s="6" t="s">
        <v>19</v>
      </c>
      <c r="I1087" s="6" t="s">
        <v>767</v>
      </c>
      <c r="J1087" s="6" t="s">
        <v>767</v>
      </c>
      <c r="K1087" s="7">
        <v>6196711</v>
      </c>
      <c r="L1087" s="7">
        <v>324983</v>
      </c>
      <c r="M1087" s="7">
        <v>19</v>
      </c>
      <c r="N1087" s="7">
        <v>1</v>
      </c>
      <c r="O1087" s="7">
        <v>1.5</v>
      </c>
    </row>
    <row r="1088" spans="1:15" x14ac:dyDescent="0.25">
      <c r="A1088" s="6" t="s">
        <v>28</v>
      </c>
      <c r="B1088" s="6" t="s">
        <v>414</v>
      </c>
      <c r="C1088" s="7">
        <v>31753</v>
      </c>
      <c r="D1088" s="6" t="s">
        <v>42</v>
      </c>
      <c r="E1088" s="6" t="s">
        <v>184</v>
      </c>
      <c r="F1088" s="6" t="s">
        <v>441</v>
      </c>
      <c r="G1088" s="6" t="s">
        <v>32</v>
      </c>
      <c r="H1088" s="6" t="s">
        <v>19</v>
      </c>
      <c r="I1088" s="6" t="s">
        <v>767</v>
      </c>
      <c r="J1088" s="6" t="s">
        <v>767</v>
      </c>
      <c r="K1088" s="7">
        <v>6204430</v>
      </c>
      <c r="L1088" s="7">
        <v>328793</v>
      </c>
      <c r="M1088" s="7">
        <v>19</v>
      </c>
      <c r="N1088" s="7">
        <v>1</v>
      </c>
      <c r="O1088" s="7">
        <v>6</v>
      </c>
    </row>
    <row r="1089" spans="1:15" x14ac:dyDescent="0.25">
      <c r="A1089" s="6" t="s">
        <v>28</v>
      </c>
      <c r="B1089" s="6" t="s">
        <v>414</v>
      </c>
      <c r="C1089" s="7">
        <v>31919</v>
      </c>
      <c r="D1089" s="6" t="s">
        <v>42</v>
      </c>
      <c r="E1089" s="6" t="s">
        <v>167</v>
      </c>
      <c r="F1089" s="6" t="s">
        <v>66</v>
      </c>
      <c r="G1089" s="6" t="s">
        <v>32</v>
      </c>
      <c r="H1089" s="6" t="s">
        <v>33</v>
      </c>
      <c r="I1089" s="6" t="s">
        <v>767</v>
      </c>
      <c r="J1089" s="6" t="s">
        <v>764</v>
      </c>
      <c r="K1089" s="7">
        <v>6224460</v>
      </c>
      <c r="L1089" s="7">
        <v>345377</v>
      </c>
      <c r="M1089" s="7">
        <v>19</v>
      </c>
      <c r="N1089" s="7">
        <v>2</v>
      </c>
      <c r="O1089" s="7">
        <v>15</v>
      </c>
    </row>
    <row r="1090" spans="1:15" x14ac:dyDescent="0.25">
      <c r="A1090" s="6" t="s">
        <v>28</v>
      </c>
      <c r="B1090" s="6" t="s">
        <v>414</v>
      </c>
      <c r="C1090" s="7">
        <v>31920</v>
      </c>
      <c r="D1090" s="6" t="s">
        <v>42</v>
      </c>
      <c r="E1090" s="6" t="s">
        <v>196</v>
      </c>
      <c r="F1090" s="6" t="s">
        <v>196</v>
      </c>
      <c r="G1090" s="6" t="s">
        <v>32</v>
      </c>
      <c r="H1090" s="6" t="s">
        <v>33</v>
      </c>
      <c r="I1090" s="6" t="s">
        <v>767</v>
      </c>
      <c r="J1090" s="6" t="s">
        <v>764</v>
      </c>
      <c r="K1090" s="7">
        <v>6215186</v>
      </c>
      <c r="L1090" s="7">
        <v>340090</v>
      </c>
      <c r="M1090" s="7">
        <v>19</v>
      </c>
      <c r="N1090" s="7">
        <v>4</v>
      </c>
      <c r="O1090" s="7">
        <v>22</v>
      </c>
    </row>
    <row r="1091" spans="1:15" x14ac:dyDescent="0.25">
      <c r="A1091" s="6" t="s">
        <v>28</v>
      </c>
      <c r="B1091" s="6" t="s">
        <v>414</v>
      </c>
      <c r="C1091" s="7">
        <v>31949</v>
      </c>
      <c r="D1091" s="6" t="s">
        <v>24</v>
      </c>
      <c r="E1091" s="6" t="s">
        <v>56</v>
      </c>
      <c r="F1091" s="6" t="s">
        <v>467</v>
      </c>
      <c r="G1091" s="6" t="s">
        <v>32</v>
      </c>
      <c r="H1091" s="6" t="s">
        <v>33</v>
      </c>
      <c r="I1091" s="6" t="s">
        <v>767</v>
      </c>
      <c r="J1091" s="6" t="s">
        <v>767</v>
      </c>
      <c r="K1091" s="7">
        <v>6276323</v>
      </c>
      <c r="L1091" s="7">
        <v>347680</v>
      </c>
      <c r="M1091" s="7">
        <v>19</v>
      </c>
      <c r="N1091" s="7">
        <v>2</v>
      </c>
      <c r="O1091" s="7">
        <v>12</v>
      </c>
    </row>
    <row r="1092" spans="1:15" x14ac:dyDescent="0.25">
      <c r="A1092" s="6" t="s">
        <v>28</v>
      </c>
      <c r="B1092" s="6" t="s">
        <v>414</v>
      </c>
      <c r="C1092" s="7">
        <v>31956</v>
      </c>
      <c r="D1092" s="6" t="s">
        <v>24</v>
      </c>
      <c r="E1092" s="6" t="s">
        <v>456</v>
      </c>
      <c r="F1092" s="6" t="s">
        <v>456</v>
      </c>
      <c r="G1092" s="6" t="s">
        <v>32</v>
      </c>
      <c r="H1092" s="6" t="s">
        <v>33</v>
      </c>
      <c r="I1092" s="6" t="s">
        <v>767</v>
      </c>
      <c r="J1092" s="6" t="s">
        <v>764</v>
      </c>
      <c r="K1092" s="7">
        <v>6295014</v>
      </c>
      <c r="L1092" s="7">
        <v>332646</v>
      </c>
      <c r="M1092" s="7">
        <v>19</v>
      </c>
      <c r="N1092" s="7">
        <v>1</v>
      </c>
      <c r="O1092" s="7">
        <v>35</v>
      </c>
    </row>
    <row r="1093" spans="1:15" x14ac:dyDescent="0.25">
      <c r="A1093" s="6" t="s">
        <v>28</v>
      </c>
      <c r="B1093" s="6" t="s">
        <v>414</v>
      </c>
      <c r="C1093" s="7">
        <v>31960</v>
      </c>
      <c r="D1093" s="6" t="s">
        <v>24</v>
      </c>
      <c r="E1093" s="6" t="s">
        <v>456</v>
      </c>
      <c r="F1093" s="6" t="s">
        <v>456</v>
      </c>
      <c r="G1093" s="6" t="s">
        <v>32</v>
      </c>
      <c r="H1093" s="6" t="s">
        <v>33</v>
      </c>
      <c r="I1093" s="6" t="s">
        <v>767</v>
      </c>
      <c r="J1093" s="6" t="s">
        <v>764</v>
      </c>
      <c r="K1093" s="7">
        <v>6294855</v>
      </c>
      <c r="L1093" s="7">
        <v>335465</v>
      </c>
      <c r="M1093" s="7">
        <v>19</v>
      </c>
      <c r="N1093" s="7">
        <v>2</v>
      </c>
      <c r="O1093" s="7">
        <v>9</v>
      </c>
    </row>
    <row r="1094" spans="1:15" x14ac:dyDescent="0.25">
      <c r="A1094" s="6" t="s">
        <v>28</v>
      </c>
      <c r="B1094" s="6" t="s">
        <v>414</v>
      </c>
      <c r="C1094" s="7">
        <v>31962</v>
      </c>
      <c r="D1094" s="6" t="s">
        <v>24</v>
      </c>
      <c r="E1094" s="6" t="s">
        <v>56</v>
      </c>
      <c r="F1094" s="6" t="s">
        <v>467</v>
      </c>
      <c r="G1094" s="6" t="s">
        <v>32</v>
      </c>
      <c r="H1094" s="6" t="s">
        <v>33</v>
      </c>
      <c r="I1094" s="6" t="s">
        <v>767</v>
      </c>
      <c r="J1094" s="6" t="s">
        <v>767</v>
      </c>
      <c r="K1094" s="7">
        <v>6276127</v>
      </c>
      <c r="L1094" s="7">
        <v>347135</v>
      </c>
      <c r="M1094" s="7">
        <v>19</v>
      </c>
      <c r="N1094" s="7">
        <v>1</v>
      </c>
      <c r="O1094" s="7">
        <v>23</v>
      </c>
    </row>
    <row r="1095" spans="1:15" x14ac:dyDescent="0.25">
      <c r="A1095" s="6" t="s">
        <v>28</v>
      </c>
      <c r="B1095" s="6" t="s">
        <v>414</v>
      </c>
      <c r="C1095" s="7">
        <v>31969</v>
      </c>
      <c r="D1095" s="6" t="s">
        <v>24</v>
      </c>
      <c r="E1095" s="6" t="s">
        <v>96</v>
      </c>
      <c r="F1095" s="6" t="s">
        <v>96</v>
      </c>
      <c r="G1095" s="6" t="s">
        <v>32</v>
      </c>
      <c r="H1095" s="6" t="s">
        <v>153</v>
      </c>
      <c r="I1095" s="6" t="s">
        <v>767</v>
      </c>
      <c r="J1095" s="6" t="s">
        <v>764</v>
      </c>
      <c r="K1095" s="7">
        <v>6260649</v>
      </c>
      <c r="L1095" s="7">
        <v>340612</v>
      </c>
      <c r="M1095" s="7">
        <v>19</v>
      </c>
      <c r="N1095" s="7">
        <v>1</v>
      </c>
      <c r="O1095" s="7">
        <v>6</v>
      </c>
    </row>
    <row r="1096" spans="1:15" x14ac:dyDescent="0.25">
      <c r="A1096" s="6" t="s">
        <v>28</v>
      </c>
      <c r="B1096" s="6" t="s">
        <v>414</v>
      </c>
      <c r="C1096" s="7">
        <v>31970</v>
      </c>
      <c r="D1096" s="6" t="s">
        <v>39</v>
      </c>
      <c r="E1096" s="6" t="s">
        <v>72</v>
      </c>
      <c r="F1096" s="6" t="s">
        <v>131</v>
      </c>
      <c r="G1096" s="6" t="s">
        <v>32</v>
      </c>
      <c r="H1096" s="6" t="s">
        <v>33</v>
      </c>
      <c r="I1096" s="6" t="s">
        <v>767</v>
      </c>
      <c r="J1096" s="6" t="s">
        <v>764</v>
      </c>
      <c r="K1096" s="7">
        <v>6065296</v>
      </c>
      <c r="L1096" s="7">
        <v>279494</v>
      </c>
      <c r="M1096" s="7">
        <v>19</v>
      </c>
      <c r="N1096" s="7">
        <v>1</v>
      </c>
      <c r="O1096" s="7">
        <v>16</v>
      </c>
    </row>
    <row r="1097" spans="1:15" x14ac:dyDescent="0.25">
      <c r="A1097" s="6" t="s">
        <v>28</v>
      </c>
      <c r="B1097" s="6" t="s">
        <v>414</v>
      </c>
      <c r="C1097" s="7">
        <v>31971</v>
      </c>
      <c r="D1097" s="6" t="s">
        <v>39</v>
      </c>
      <c r="E1097" s="6" t="s">
        <v>177</v>
      </c>
      <c r="F1097" s="6" t="s">
        <v>177</v>
      </c>
      <c r="G1097" s="6" t="s">
        <v>32</v>
      </c>
      <c r="H1097" s="6" t="s">
        <v>33</v>
      </c>
      <c r="I1097" s="6" t="s">
        <v>767</v>
      </c>
      <c r="J1097" s="6" t="s">
        <v>767</v>
      </c>
      <c r="K1097" s="7">
        <v>6052210</v>
      </c>
      <c r="L1097" s="7">
        <v>279243</v>
      </c>
      <c r="M1097" s="7">
        <v>19</v>
      </c>
      <c r="N1097" s="7">
        <v>1</v>
      </c>
      <c r="O1097" s="7">
        <v>36</v>
      </c>
    </row>
    <row r="1098" spans="1:15" x14ac:dyDescent="0.25">
      <c r="A1098" s="6" t="s">
        <v>28</v>
      </c>
      <c r="B1098" s="6" t="s">
        <v>414</v>
      </c>
      <c r="C1098" s="7">
        <v>31972</v>
      </c>
      <c r="D1098" s="6" t="s">
        <v>39</v>
      </c>
      <c r="E1098" s="6" t="s">
        <v>177</v>
      </c>
      <c r="F1098" s="6" t="s">
        <v>468</v>
      </c>
      <c r="G1098" s="6" t="s">
        <v>32</v>
      </c>
      <c r="H1098" s="6" t="s">
        <v>33</v>
      </c>
      <c r="I1098" s="6" t="s">
        <v>767</v>
      </c>
      <c r="J1098" s="6" t="s">
        <v>767</v>
      </c>
      <c r="K1098" s="7">
        <v>6046609</v>
      </c>
      <c r="L1098" s="7">
        <v>280896</v>
      </c>
      <c r="M1098" s="7">
        <v>19</v>
      </c>
      <c r="N1098" s="7">
        <v>1</v>
      </c>
      <c r="O1098" s="7">
        <v>11</v>
      </c>
    </row>
    <row r="1099" spans="1:15" x14ac:dyDescent="0.25">
      <c r="A1099" s="6" t="s">
        <v>28</v>
      </c>
      <c r="B1099" s="6" t="s">
        <v>414</v>
      </c>
      <c r="C1099" s="7">
        <v>31974</v>
      </c>
      <c r="D1099" s="6" t="s">
        <v>39</v>
      </c>
      <c r="E1099" s="6" t="s">
        <v>72</v>
      </c>
      <c r="F1099" s="6" t="s">
        <v>72</v>
      </c>
      <c r="G1099" s="6" t="s">
        <v>32</v>
      </c>
      <c r="H1099" s="6" t="s">
        <v>33</v>
      </c>
      <c r="I1099" s="6" t="s">
        <v>767</v>
      </c>
      <c r="J1099" s="6" t="s">
        <v>767</v>
      </c>
      <c r="K1099" s="7">
        <v>6066954</v>
      </c>
      <c r="L1099" s="7">
        <v>273821</v>
      </c>
      <c r="M1099" s="7">
        <v>19</v>
      </c>
      <c r="N1099" s="7">
        <v>1</v>
      </c>
      <c r="O1099" s="7">
        <v>18</v>
      </c>
    </row>
    <row r="1100" spans="1:15" x14ac:dyDescent="0.25">
      <c r="A1100" s="6" t="s">
        <v>28</v>
      </c>
      <c r="B1100" s="6" t="s">
        <v>414</v>
      </c>
      <c r="C1100" s="7">
        <v>31978</v>
      </c>
      <c r="D1100" s="6" t="s">
        <v>39</v>
      </c>
      <c r="E1100" s="6" t="s">
        <v>72</v>
      </c>
      <c r="F1100" s="6" t="s">
        <v>182</v>
      </c>
      <c r="G1100" s="6" t="s">
        <v>32</v>
      </c>
      <c r="H1100" s="6" t="s">
        <v>33</v>
      </c>
      <c r="I1100" s="6" t="s">
        <v>767</v>
      </c>
      <c r="J1100" s="6" t="s">
        <v>764</v>
      </c>
      <c r="K1100" s="7">
        <v>6072018</v>
      </c>
      <c r="L1100" s="7">
        <v>270967</v>
      </c>
      <c r="M1100" s="7">
        <v>19</v>
      </c>
      <c r="N1100" s="7">
        <v>2</v>
      </c>
      <c r="O1100" s="7">
        <v>28</v>
      </c>
    </row>
    <row r="1101" spans="1:15" x14ac:dyDescent="0.25">
      <c r="A1101" s="6" t="s">
        <v>28</v>
      </c>
      <c r="B1101" s="6" t="s">
        <v>414</v>
      </c>
      <c r="C1101" s="7">
        <v>31979</v>
      </c>
      <c r="D1101" s="6" t="s">
        <v>24</v>
      </c>
      <c r="E1101" s="6" t="s">
        <v>96</v>
      </c>
      <c r="F1101" s="6" t="s">
        <v>96</v>
      </c>
      <c r="G1101" s="6" t="s">
        <v>32</v>
      </c>
      <c r="H1101" s="6" t="s">
        <v>19</v>
      </c>
      <c r="I1101" s="6" t="s">
        <v>767</v>
      </c>
      <c r="J1101" s="6" t="s">
        <v>767</v>
      </c>
      <c r="K1101" s="7">
        <v>6260649</v>
      </c>
      <c r="L1101" s="7">
        <v>340612</v>
      </c>
      <c r="M1101" s="7">
        <v>19</v>
      </c>
      <c r="N1101" s="7">
        <v>1</v>
      </c>
      <c r="O1101" s="7">
        <v>1.6</v>
      </c>
    </row>
    <row r="1102" spans="1:15" x14ac:dyDescent="0.25">
      <c r="A1102" s="6" t="s">
        <v>28</v>
      </c>
      <c r="B1102" s="6" t="s">
        <v>414</v>
      </c>
      <c r="C1102" s="7">
        <v>31981</v>
      </c>
      <c r="D1102" s="6" t="s">
        <v>39</v>
      </c>
      <c r="E1102" s="6" t="s">
        <v>70</v>
      </c>
      <c r="F1102" s="6" t="s">
        <v>438</v>
      </c>
      <c r="G1102" s="6" t="s">
        <v>32</v>
      </c>
      <c r="H1102" s="6" t="s">
        <v>33</v>
      </c>
      <c r="I1102" s="6" t="s">
        <v>767</v>
      </c>
      <c r="J1102" s="6" t="s">
        <v>764</v>
      </c>
      <c r="K1102" s="7">
        <v>6075177</v>
      </c>
      <c r="L1102" s="7">
        <v>265411</v>
      </c>
      <c r="M1102" s="7">
        <v>19</v>
      </c>
      <c r="N1102" s="7">
        <v>1</v>
      </c>
      <c r="O1102" s="7">
        <v>7</v>
      </c>
    </row>
    <row r="1103" spans="1:15" x14ac:dyDescent="0.25">
      <c r="A1103" s="6" t="s">
        <v>28</v>
      </c>
      <c r="B1103" s="6" t="s">
        <v>414</v>
      </c>
      <c r="C1103" s="7">
        <v>31984</v>
      </c>
      <c r="D1103" s="6" t="s">
        <v>39</v>
      </c>
      <c r="E1103" s="6" t="s">
        <v>70</v>
      </c>
      <c r="F1103" s="6" t="s">
        <v>438</v>
      </c>
      <c r="G1103" s="6" t="s">
        <v>32</v>
      </c>
      <c r="H1103" s="6" t="s">
        <v>33</v>
      </c>
      <c r="I1103" s="6" t="s">
        <v>767</v>
      </c>
      <c r="J1103" s="6" t="s">
        <v>764</v>
      </c>
      <c r="K1103" s="7">
        <v>6074942</v>
      </c>
      <c r="L1103" s="7">
        <v>266019</v>
      </c>
      <c r="M1103" s="7">
        <v>19</v>
      </c>
      <c r="N1103" s="7">
        <v>1</v>
      </c>
      <c r="O1103" s="7">
        <v>10</v>
      </c>
    </row>
    <row r="1104" spans="1:15" x14ac:dyDescent="0.25">
      <c r="A1104" s="6" t="s">
        <v>28</v>
      </c>
      <c r="B1104" s="6" t="s">
        <v>414</v>
      </c>
      <c r="C1104" s="7">
        <v>31993</v>
      </c>
      <c r="D1104" s="6" t="s">
        <v>24</v>
      </c>
      <c r="E1104" s="6" t="s">
        <v>96</v>
      </c>
      <c r="F1104" s="6" t="s">
        <v>96</v>
      </c>
      <c r="G1104" s="6" t="s">
        <v>32</v>
      </c>
      <c r="H1104" s="6" t="s">
        <v>19</v>
      </c>
      <c r="I1104" s="6" t="s">
        <v>767</v>
      </c>
      <c r="J1104" s="6" t="s">
        <v>767</v>
      </c>
      <c r="K1104" s="7">
        <v>6248299</v>
      </c>
      <c r="L1104" s="7">
        <v>346577</v>
      </c>
      <c r="M1104" s="7">
        <v>19</v>
      </c>
      <c r="N1104" s="7">
        <v>1</v>
      </c>
      <c r="O1104" s="7">
        <v>0.4</v>
      </c>
    </row>
    <row r="1105" spans="1:15" x14ac:dyDescent="0.25">
      <c r="A1105" s="6" t="s">
        <v>28</v>
      </c>
      <c r="B1105" s="6" t="s">
        <v>414</v>
      </c>
      <c r="C1105" s="7">
        <v>31997</v>
      </c>
      <c r="D1105" s="6" t="s">
        <v>24</v>
      </c>
      <c r="E1105" s="6" t="s">
        <v>96</v>
      </c>
      <c r="F1105" s="6" t="s">
        <v>96</v>
      </c>
      <c r="G1105" s="6" t="s">
        <v>32</v>
      </c>
      <c r="H1105" s="6" t="s">
        <v>153</v>
      </c>
      <c r="I1105" s="6" t="s">
        <v>767</v>
      </c>
      <c r="J1105" s="6" t="s">
        <v>764</v>
      </c>
      <c r="K1105" s="7">
        <v>6248299</v>
      </c>
      <c r="L1105" s="7">
        <v>346577</v>
      </c>
      <c r="M1105" s="7">
        <v>19</v>
      </c>
      <c r="N1105" s="7">
        <v>1</v>
      </c>
      <c r="O1105" s="7">
        <v>0.8</v>
      </c>
    </row>
    <row r="1106" spans="1:15" x14ac:dyDescent="0.25">
      <c r="A1106" s="6" t="s">
        <v>28</v>
      </c>
      <c r="B1106" s="6" t="s">
        <v>414</v>
      </c>
      <c r="C1106" s="7">
        <v>32001</v>
      </c>
      <c r="D1106" s="6" t="s">
        <v>24</v>
      </c>
      <c r="E1106" s="6" t="s">
        <v>96</v>
      </c>
      <c r="F1106" s="6" t="s">
        <v>96</v>
      </c>
      <c r="G1106" s="6" t="s">
        <v>32</v>
      </c>
      <c r="H1106" s="6" t="s">
        <v>19</v>
      </c>
      <c r="I1106" s="6" t="s">
        <v>767</v>
      </c>
      <c r="J1106" s="6" t="s">
        <v>767</v>
      </c>
      <c r="K1106" s="7">
        <v>6247895</v>
      </c>
      <c r="L1106" s="7">
        <v>348639</v>
      </c>
      <c r="M1106" s="7">
        <v>19</v>
      </c>
      <c r="N1106" s="7">
        <v>1</v>
      </c>
      <c r="O1106" s="7">
        <v>0.2</v>
      </c>
    </row>
    <row r="1107" spans="1:15" x14ac:dyDescent="0.25">
      <c r="A1107" s="6" t="s">
        <v>28</v>
      </c>
      <c r="B1107" s="6" t="s">
        <v>414</v>
      </c>
      <c r="C1107" s="7">
        <v>32006</v>
      </c>
      <c r="D1107" s="6" t="s">
        <v>24</v>
      </c>
      <c r="E1107" s="6" t="s">
        <v>56</v>
      </c>
      <c r="F1107" s="6" t="s">
        <v>418</v>
      </c>
      <c r="G1107" s="6" t="s">
        <v>32</v>
      </c>
      <c r="H1107" s="6" t="s">
        <v>19</v>
      </c>
      <c r="I1107" s="6" t="s">
        <v>767</v>
      </c>
      <c r="J1107" s="6" t="s">
        <v>767</v>
      </c>
      <c r="K1107" s="7">
        <v>6273296</v>
      </c>
      <c r="L1107" s="7">
        <v>339605</v>
      </c>
      <c r="M1107" s="7">
        <v>19</v>
      </c>
      <c r="N1107" s="7">
        <v>1</v>
      </c>
      <c r="O1107" s="7">
        <v>0.4</v>
      </c>
    </row>
    <row r="1108" spans="1:15" x14ac:dyDescent="0.25">
      <c r="A1108" s="6" t="s">
        <v>28</v>
      </c>
      <c r="B1108" s="6" t="s">
        <v>414</v>
      </c>
      <c r="C1108" s="7">
        <v>32015</v>
      </c>
      <c r="D1108" s="6" t="s">
        <v>42</v>
      </c>
      <c r="E1108" s="6" t="s">
        <v>301</v>
      </c>
      <c r="F1108" s="6" t="s">
        <v>302</v>
      </c>
      <c r="G1108" s="6" t="s">
        <v>32</v>
      </c>
      <c r="H1108" s="6" t="s">
        <v>33</v>
      </c>
      <c r="I1108" s="6" t="s">
        <v>767</v>
      </c>
      <c r="J1108" s="6" t="s">
        <v>764</v>
      </c>
      <c r="K1108" s="7">
        <v>6215710</v>
      </c>
      <c r="L1108" s="7">
        <v>346904</v>
      </c>
      <c r="M1108" s="7">
        <v>19</v>
      </c>
      <c r="N1108" s="7">
        <v>4</v>
      </c>
      <c r="O1108" s="7">
        <v>48.48</v>
      </c>
    </row>
    <row r="1109" spans="1:15" x14ac:dyDescent="0.25">
      <c r="A1109" s="6" t="s">
        <v>14</v>
      </c>
      <c r="B1109" s="6" t="s">
        <v>414</v>
      </c>
      <c r="C1109" s="7">
        <v>32024</v>
      </c>
      <c r="D1109" s="6" t="s">
        <v>42</v>
      </c>
      <c r="E1109" s="6" t="s">
        <v>301</v>
      </c>
      <c r="F1109" s="6" t="s">
        <v>302</v>
      </c>
      <c r="G1109" s="6" t="s">
        <v>32</v>
      </c>
      <c r="H1109" s="6" t="s">
        <v>33</v>
      </c>
      <c r="I1109" s="6" t="s">
        <v>767</v>
      </c>
      <c r="J1109" s="6" t="s">
        <v>764</v>
      </c>
      <c r="K1109" s="7">
        <v>6217276</v>
      </c>
      <c r="L1109" s="7">
        <v>345908</v>
      </c>
      <c r="M1109" s="7">
        <v>19</v>
      </c>
      <c r="N1109" s="7">
        <v>4</v>
      </c>
      <c r="O1109" s="7">
        <v>44</v>
      </c>
    </row>
    <row r="1110" spans="1:15" x14ac:dyDescent="0.25">
      <c r="A1110" s="6" t="s">
        <v>28</v>
      </c>
      <c r="B1110" s="6" t="s">
        <v>414</v>
      </c>
      <c r="C1110" s="7">
        <v>32030</v>
      </c>
      <c r="D1110" s="6" t="s">
        <v>24</v>
      </c>
      <c r="E1110" s="6" t="s">
        <v>25</v>
      </c>
      <c r="F1110" s="6" t="s">
        <v>25</v>
      </c>
      <c r="G1110" s="6" t="s">
        <v>32</v>
      </c>
      <c r="H1110" s="6" t="s">
        <v>19</v>
      </c>
      <c r="I1110" s="6" t="s">
        <v>767</v>
      </c>
      <c r="J1110" s="6" t="s">
        <v>767</v>
      </c>
      <c r="K1110" s="7">
        <v>6262682</v>
      </c>
      <c r="L1110" s="7">
        <v>345463</v>
      </c>
      <c r="M1110" s="7">
        <v>19</v>
      </c>
      <c r="N1110" s="7">
        <v>1</v>
      </c>
      <c r="O1110" s="7">
        <v>3.5</v>
      </c>
    </row>
    <row r="1111" spans="1:15" x14ac:dyDescent="0.25">
      <c r="A1111" s="6" t="s">
        <v>28</v>
      </c>
      <c r="B1111" s="6" t="s">
        <v>414</v>
      </c>
      <c r="C1111" s="7">
        <v>32036</v>
      </c>
      <c r="D1111" s="6" t="s">
        <v>24</v>
      </c>
      <c r="E1111" s="6" t="s">
        <v>96</v>
      </c>
      <c r="F1111" s="6" t="s">
        <v>96</v>
      </c>
      <c r="G1111" s="6" t="s">
        <v>32</v>
      </c>
      <c r="H1111" s="6" t="s">
        <v>19</v>
      </c>
      <c r="I1111" s="6" t="s">
        <v>767</v>
      </c>
      <c r="J1111" s="6" t="s">
        <v>767</v>
      </c>
      <c r="K1111" s="7">
        <v>6259536</v>
      </c>
      <c r="L1111" s="7">
        <v>343347</v>
      </c>
      <c r="M1111" s="7">
        <v>19</v>
      </c>
      <c r="N1111" s="7">
        <v>2</v>
      </c>
      <c r="O1111" s="7">
        <v>6</v>
      </c>
    </row>
    <row r="1112" spans="1:15" x14ac:dyDescent="0.25">
      <c r="A1112" s="6" t="s">
        <v>28</v>
      </c>
      <c r="B1112" s="6" t="s">
        <v>414</v>
      </c>
      <c r="C1112" s="7">
        <v>32037</v>
      </c>
      <c r="D1112" s="6" t="s">
        <v>42</v>
      </c>
      <c r="E1112" s="6" t="s">
        <v>51</v>
      </c>
      <c r="F1112" s="6" t="s">
        <v>455</v>
      </c>
      <c r="G1112" s="6" t="s">
        <v>32</v>
      </c>
      <c r="H1112" s="6" t="s">
        <v>33</v>
      </c>
      <c r="I1112" s="6" t="s">
        <v>767</v>
      </c>
      <c r="J1112" s="6" t="s">
        <v>764</v>
      </c>
      <c r="K1112" s="7">
        <v>6155366</v>
      </c>
      <c r="L1112" s="7">
        <v>317724</v>
      </c>
      <c r="M1112" s="7">
        <v>19</v>
      </c>
      <c r="N1112" s="7">
        <v>3</v>
      </c>
      <c r="O1112" s="7">
        <v>45.25</v>
      </c>
    </row>
    <row r="1113" spans="1:15" x14ac:dyDescent="0.25">
      <c r="A1113" s="6" t="s">
        <v>28</v>
      </c>
      <c r="B1113" s="6" t="s">
        <v>414</v>
      </c>
      <c r="C1113" s="7">
        <v>32049</v>
      </c>
      <c r="D1113" s="6" t="s">
        <v>24</v>
      </c>
      <c r="E1113" s="6" t="s">
        <v>96</v>
      </c>
      <c r="F1113" s="6" t="s">
        <v>417</v>
      </c>
      <c r="G1113" s="6" t="s">
        <v>32</v>
      </c>
      <c r="H1113" s="6" t="s">
        <v>19</v>
      </c>
      <c r="I1113" s="6" t="s">
        <v>767</v>
      </c>
      <c r="J1113" s="6" t="s">
        <v>767</v>
      </c>
      <c r="K1113" s="7">
        <v>6245741</v>
      </c>
      <c r="L1113" s="7">
        <v>339261</v>
      </c>
      <c r="M1113" s="7">
        <v>19</v>
      </c>
      <c r="N1113" s="7">
        <v>1</v>
      </c>
      <c r="O1113" s="7">
        <v>0.4</v>
      </c>
    </row>
    <row r="1114" spans="1:15" x14ac:dyDescent="0.25">
      <c r="A1114" s="6" t="s">
        <v>28</v>
      </c>
      <c r="B1114" s="6" t="s">
        <v>414</v>
      </c>
      <c r="C1114" s="7">
        <v>32050</v>
      </c>
      <c r="D1114" s="6" t="s">
        <v>42</v>
      </c>
      <c r="E1114" s="6" t="s">
        <v>51</v>
      </c>
      <c r="F1114" s="6" t="s">
        <v>455</v>
      </c>
      <c r="G1114" s="6" t="s">
        <v>32</v>
      </c>
      <c r="H1114" s="6" t="s">
        <v>33</v>
      </c>
      <c r="I1114" s="6" t="s">
        <v>767</v>
      </c>
      <c r="J1114" s="6" t="s">
        <v>764</v>
      </c>
      <c r="K1114" s="7">
        <v>6155351</v>
      </c>
      <c r="L1114" s="7">
        <v>318108</v>
      </c>
      <c r="M1114" s="7">
        <v>19</v>
      </c>
      <c r="N1114" s="7">
        <v>1</v>
      </c>
      <c r="O1114" s="7">
        <v>20.5</v>
      </c>
    </row>
    <row r="1115" spans="1:15" x14ac:dyDescent="0.25">
      <c r="A1115" s="6" t="s">
        <v>28</v>
      </c>
      <c r="B1115" s="6" t="s">
        <v>414</v>
      </c>
      <c r="C1115" s="7">
        <v>32055</v>
      </c>
      <c r="D1115" s="6" t="s">
        <v>42</v>
      </c>
      <c r="E1115" s="6" t="s">
        <v>51</v>
      </c>
      <c r="F1115" s="6" t="s">
        <v>51</v>
      </c>
      <c r="G1115" s="6" t="s">
        <v>32</v>
      </c>
      <c r="H1115" s="6" t="s">
        <v>33</v>
      </c>
      <c r="I1115" s="6" t="s">
        <v>767</v>
      </c>
      <c r="J1115" s="6" t="s">
        <v>764</v>
      </c>
      <c r="K1115" s="7">
        <v>6162407</v>
      </c>
      <c r="L1115" s="7">
        <v>314410</v>
      </c>
      <c r="M1115" s="7">
        <v>19</v>
      </c>
      <c r="N1115" s="7">
        <v>11</v>
      </c>
      <c r="O1115" s="7">
        <v>101.1</v>
      </c>
    </row>
    <row r="1116" spans="1:15" x14ac:dyDescent="0.25">
      <c r="A1116" s="6" t="s">
        <v>28</v>
      </c>
      <c r="B1116" s="6" t="s">
        <v>414</v>
      </c>
      <c r="C1116" s="7">
        <v>32056</v>
      </c>
      <c r="D1116" s="6" t="s">
        <v>42</v>
      </c>
      <c r="E1116" s="6" t="s">
        <v>51</v>
      </c>
      <c r="F1116" s="6" t="s">
        <v>131</v>
      </c>
      <c r="G1116" s="6" t="s">
        <v>32</v>
      </c>
      <c r="H1116" s="6" t="s">
        <v>33</v>
      </c>
      <c r="I1116" s="6" t="s">
        <v>767</v>
      </c>
      <c r="J1116" s="6" t="s">
        <v>764</v>
      </c>
      <c r="K1116" s="7">
        <v>6158553</v>
      </c>
      <c r="L1116" s="7">
        <v>315782</v>
      </c>
      <c r="M1116" s="7">
        <v>19</v>
      </c>
      <c r="N1116" s="7">
        <v>1</v>
      </c>
      <c r="O1116" s="7">
        <v>9</v>
      </c>
    </row>
    <row r="1117" spans="1:15" x14ac:dyDescent="0.25">
      <c r="A1117" s="6" t="s">
        <v>28</v>
      </c>
      <c r="B1117" s="6" t="s">
        <v>414</v>
      </c>
      <c r="C1117" s="7">
        <v>32059</v>
      </c>
      <c r="D1117" s="6" t="s">
        <v>42</v>
      </c>
      <c r="E1117" s="6" t="s">
        <v>51</v>
      </c>
      <c r="F1117" s="6" t="s">
        <v>51</v>
      </c>
      <c r="G1117" s="6" t="s">
        <v>32</v>
      </c>
      <c r="H1117" s="6" t="s">
        <v>33</v>
      </c>
      <c r="I1117" s="6" t="s">
        <v>767</v>
      </c>
      <c r="J1117" s="6" t="s">
        <v>764</v>
      </c>
      <c r="K1117" s="7">
        <v>6158174</v>
      </c>
      <c r="L1117" s="7">
        <v>315539</v>
      </c>
      <c r="M1117" s="7">
        <v>19</v>
      </c>
      <c r="N1117" s="7">
        <v>1</v>
      </c>
      <c r="O1117" s="7">
        <v>19</v>
      </c>
    </row>
    <row r="1118" spans="1:15" x14ac:dyDescent="0.25">
      <c r="A1118" s="6" t="s">
        <v>28</v>
      </c>
      <c r="B1118" s="6" t="s">
        <v>414</v>
      </c>
      <c r="C1118" s="7">
        <v>32061</v>
      </c>
      <c r="D1118" s="6" t="s">
        <v>42</v>
      </c>
      <c r="E1118" s="6" t="s">
        <v>51</v>
      </c>
      <c r="F1118" s="6" t="s">
        <v>51</v>
      </c>
      <c r="G1118" s="6" t="s">
        <v>32</v>
      </c>
      <c r="H1118" s="6" t="s">
        <v>33</v>
      </c>
      <c r="I1118" s="6" t="s">
        <v>767</v>
      </c>
      <c r="J1118" s="6" t="s">
        <v>767</v>
      </c>
      <c r="K1118" s="7">
        <v>6158088</v>
      </c>
      <c r="L1118" s="7">
        <v>316273</v>
      </c>
      <c r="M1118" s="7">
        <v>19</v>
      </c>
      <c r="N1118" s="7">
        <v>1</v>
      </c>
      <c r="O1118" s="7">
        <v>18</v>
      </c>
    </row>
    <row r="1119" spans="1:15" x14ac:dyDescent="0.25">
      <c r="A1119" s="6" t="s">
        <v>28</v>
      </c>
      <c r="B1119" s="6" t="s">
        <v>414</v>
      </c>
      <c r="C1119" s="7">
        <v>32063</v>
      </c>
      <c r="D1119" s="6" t="s">
        <v>42</v>
      </c>
      <c r="E1119" s="6" t="s">
        <v>45</v>
      </c>
      <c r="F1119" s="6" t="s">
        <v>46</v>
      </c>
      <c r="G1119" s="6" t="s">
        <v>32</v>
      </c>
      <c r="H1119" s="6" t="s">
        <v>33</v>
      </c>
      <c r="I1119" s="6" t="s">
        <v>767</v>
      </c>
      <c r="J1119" s="6" t="s">
        <v>764</v>
      </c>
      <c r="K1119" s="7">
        <v>6170545</v>
      </c>
      <c r="L1119" s="7">
        <v>320965</v>
      </c>
      <c r="M1119" s="7">
        <v>19</v>
      </c>
      <c r="N1119" s="7">
        <v>2</v>
      </c>
      <c r="O1119" s="7">
        <v>9</v>
      </c>
    </row>
    <row r="1120" spans="1:15" x14ac:dyDescent="0.25">
      <c r="A1120" s="6" t="s">
        <v>28</v>
      </c>
      <c r="B1120" s="6" t="s">
        <v>414</v>
      </c>
      <c r="C1120" s="7">
        <v>32064</v>
      </c>
      <c r="D1120" s="6" t="s">
        <v>42</v>
      </c>
      <c r="E1120" s="6" t="s">
        <v>51</v>
      </c>
      <c r="F1120" s="6" t="s">
        <v>51</v>
      </c>
      <c r="G1120" s="6" t="s">
        <v>32</v>
      </c>
      <c r="H1120" s="6" t="s">
        <v>33</v>
      </c>
      <c r="I1120" s="6" t="s">
        <v>767</v>
      </c>
      <c r="J1120" s="6" t="s">
        <v>767</v>
      </c>
      <c r="K1120" s="7">
        <v>6151373</v>
      </c>
      <c r="L1120" s="7">
        <v>313354</v>
      </c>
      <c r="M1120" s="7">
        <v>19</v>
      </c>
      <c r="N1120" s="7">
        <v>1</v>
      </c>
      <c r="O1120" s="7">
        <v>5</v>
      </c>
    </row>
    <row r="1121" spans="1:15" x14ac:dyDescent="0.25">
      <c r="A1121" s="6" t="s">
        <v>28</v>
      </c>
      <c r="B1121" s="6" t="s">
        <v>414</v>
      </c>
      <c r="C1121" s="7">
        <v>32071</v>
      </c>
      <c r="D1121" s="6" t="s">
        <v>42</v>
      </c>
      <c r="E1121" s="6" t="s">
        <v>51</v>
      </c>
      <c r="F1121" s="6" t="s">
        <v>51</v>
      </c>
      <c r="G1121" s="6" t="s">
        <v>32</v>
      </c>
      <c r="H1121" s="6" t="s">
        <v>33</v>
      </c>
      <c r="I1121" s="6" t="s">
        <v>767</v>
      </c>
      <c r="J1121" s="6" t="s">
        <v>764</v>
      </c>
      <c r="K1121" s="7">
        <v>6162869</v>
      </c>
      <c r="L1121" s="7">
        <v>315592</v>
      </c>
      <c r="M1121" s="7">
        <v>19</v>
      </c>
      <c r="N1121" s="7">
        <v>3</v>
      </c>
      <c r="O1121" s="7">
        <v>25.5</v>
      </c>
    </row>
    <row r="1122" spans="1:15" x14ac:dyDescent="0.25">
      <c r="A1122" s="6" t="s">
        <v>22</v>
      </c>
      <c r="B1122" s="6" t="s">
        <v>414</v>
      </c>
      <c r="C1122" s="7">
        <v>32078</v>
      </c>
      <c r="D1122" s="6" t="s">
        <v>42</v>
      </c>
      <c r="E1122" s="6" t="s">
        <v>167</v>
      </c>
      <c r="F1122" s="6" t="s">
        <v>281</v>
      </c>
      <c r="G1122" s="6" t="s">
        <v>32</v>
      </c>
      <c r="H1122" s="6" t="s">
        <v>765</v>
      </c>
      <c r="I1122" s="6" t="s">
        <v>767</v>
      </c>
      <c r="J1122" s="6" t="s">
        <v>767</v>
      </c>
      <c r="K1122" s="7">
        <v>6229103</v>
      </c>
      <c r="L1122" s="7">
        <v>337069</v>
      </c>
      <c r="M1122" s="7">
        <v>19</v>
      </c>
      <c r="N1122" s="7">
        <v>1</v>
      </c>
      <c r="O1122" s="7">
        <v>5</v>
      </c>
    </row>
    <row r="1123" spans="1:15" x14ac:dyDescent="0.25">
      <c r="A1123" s="6" t="s">
        <v>28</v>
      </c>
      <c r="B1123" s="6" t="s">
        <v>414</v>
      </c>
      <c r="C1123" s="7">
        <v>32080</v>
      </c>
      <c r="D1123" s="6" t="s">
        <v>24</v>
      </c>
      <c r="E1123" s="6" t="s">
        <v>96</v>
      </c>
      <c r="F1123" s="6" t="s">
        <v>96</v>
      </c>
      <c r="G1123" s="6" t="s">
        <v>32</v>
      </c>
      <c r="H1123" s="6" t="s">
        <v>19</v>
      </c>
      <c r="I1123" s="6" t="s">
        <v>767</v>
      </c>
      <c r="J1123" s="6" t="s">
        <v>767</v>
      </c>
      <c r="K1123" s="7">
        <v>6248342</v>
      </c>
      <c r="L1123" s="7">
        <v>346840</v>
      </c>
      <c r="M1123" s="7">
        <v>19</v>
      </c>
      <c r="N1123" s="7">
        <v>1</v>
      </c>
      <c r="O1123" s="7">
        <v>0.4</v>
      </c>
    </row>
    <row r="1124" spans="1:15" x14ac:dyDescent="0.25">
      <c r="A1124" s="6" t="s">
        <v>28</v>
      </c>
      <c r="B1124" s="6" t="s">
        <v>414</v>
      </c>
      <c r="C1124" s="7">
        <v>32084</v>
      </c>
      <c r="D1124" s="6" t="s">
        <v>42</v>
      </c>
      <c r="E1124" s="6" t="s">
        <v>196</v>
      </c>
      <c r="F1124" s="6" t="s">
        <v>196</v>
      </c>
      <c r="G1124" s="6" t="s">
        <v>32</v>
      </c>
      <c r="H1124" s="6" t="s">
        <v>33</v>
      </c>
      <c r="I1124" s="6" t="s">
        <v>767</v>
      </c>
      <c r="J1124" s="6" t="s">
        <v>764</v>
      </c>
      <c r="K1124" s="7">
        <v>6214948</v>
      </c>
      <c r="L1124" s="7">
        <v>344570</v>
      </c>
      <c r="M1124" s="7">
        <v>19</v>
      </c>
      <c r="N1124" s="7">
        <v>7</v>
      </c>
      <c r="O1124" s="7">
        <v>94</v>
      </c>
    </row>
    <row r="1125" spans="1:15" x14ac:dyDescent="0.25">
      <c r="A1125" s="6" t="s">
        <v>28</v>
      </c>
      <c r="B1125" s="6" t="s">
        <v>414</v>
      </c>
      <c r="C1125" s="7">
        <v>32085</v>
      </c>
      <c r="D1125" s="6" t="s">
        <v>24</v>
      </c>
      <c r="E1125" s="6" t="s">
        <v>96</v>
      </c>
      <c r="F1125" s="6" t="s">
        <v>96</v>
      </c>
      <c r="G1125" s="6" t="s">
        <v>32</v>
      </c>
      <c r="H1125" s="6" t="s">
        <v>153</v>
      </c>
      <c r="I1125" s="6" t="s">
        <v>767</v>
      </c>
      <c r="J1125" s="6" t="s">
        <v>764</v>
      </c>
      <c r="K1125" s="7">
        <v>6248342</v>
      </c>
      <c r="L1125" s="7">
        <v>346840</v>
      </c>
      <c r="M1125" s="7">
        <v>19</v>
      </c>
      <c r="N1125" s="7">
        <v>1</v>
      </c>
      <c r="O1125" s="7">
        <v>0.4</v>
      </c>
    </row>
    <row r="1126" spans="1:15" x14ac:dyDescent="0.25">
      <c r="A1126" s="6" t="s">
        <v>28</v>
      </c>
      <c r="B1126" s="6" t="s">
        <v>414</v>
      </c>
      <c r="C1126" s="7">
        <v>32086</v>
      </c>
      <c r="D1126" s="6" t="s">
        <v>39</v>
      </c>
      <c r="E1126" s="6" t="s">
        <v>53</v>
      </c>
      <c r="F1126" s="6" t="s">
        <v>424</v>
      </c>
      <c r="G1126" s="6" t="s">
        <v>32</v>
      </c>
      <c r="H1126" s="6" t="s">
        <v>33</v>
      </c>
      <c r="I1126" s="6" t="s">
        <v>767</v>
      </c>
      <c r="J1126" s="6" t="s">
        <v>767</v>
      </c>
      <c r="K1126" s="7">
        <v>6134493</v>
      </c>
      <c r="L1126" s="7">
        <v>314589</v>
      </c>
      <c r="M1126" s="7">
        <v>19</v>
      </c>
      <c r="N1126" s="7">
        <v>4</v>
      </c>
      <c r="O1126" s="7">
        <v>60</v>
      </c>
    </row>
    <row r="1127" spans="1:15" x14ac:dyDescent="0.25">
      <c r="A1127" s="6" t="s">
        <v>28</v>
      </c>
      <c r="B1127" s="6" t="s">
        <v>414</v>
      </c>
      <c r="C1127" s="7">
        <v>32088</v>
      </c>
      <c r="D1127" s="6" t="s">
        <v>39</v>
      </c>
      <c r="E1127" s="6" t="s">
        <v>53</v>
      </c>
      <c r="F1127" s="6" t="s">
        <v>469</v>
      </c>
      <c r="G1127" s="6" t="s">
        <v>32</v>
      </c>
      <c r="H1127" s="6" t="s">
        <v>33</v>
      </c>
      <c r="I1127" s="6" t="s">
        <v>767</v>
      </c>
      <c r="J1127" s="6" t="s">
        <v>767</v>
      </c>
      <c r="K1127" s="7">
        <v>6136089</v>
      </c>
      <c r="L1127" s="7">
        <v>314243</v>
      </c>
      <c r="M1127" s="7">
        <v>19</v>
      </c>
      <c r="N1127" s="7">
        <v>1</v>
      </c>
      <c r="O1127" s="7">
        <v>10</v>
      </c>
    </row>
    <row r="1128" spans="1:15" x14ac:dyDescent="0.25">
      <c r="A1128" s="6" t="s">
        <v>28</v>
      </c>
      <c r="B1128" s="6" t="s">
        <v>414</v>
      </c>
      <c r="C1128" s="7">
        <v>32096</v>
      </c>
      <c r="D1128" s="6" t="s">
        <v>42</v>
      </c>
      <c r="E1128" s="6" t="s">
        <v>51</v>
      </c>
      <c r="F1128" s="6" t="s">
        <v>131</v>
      </c>
      <c r="G1128" s="6" t="s">
        <v>32</v>
      </c>
      <c r="H1128" s="6" t="s">
        <v>33</v>
      </c>
      <c r="I1128" s="6" t="s">
        <v>767</v>
      </c>
      <c r="J1128" s="6" t="s">
        <v>767</v>
      </c>
      <c r="K1128" s="7">
        <v>6158472</v>
      </c>
      <c r="L1128" s="7">
        <v>316160</v>
      </c>
      <c r="M1128" s="7">
        <v>19</v>
      </c>
      <c r="N1128" s="7">
        <v>1</v>
      </c>
      <c r="O1128" s="7">
        <v>10</v>
      </c>
    </row>
    <row r="1129" spans="1:15" x14ac:dyDescent="0.25">
      <c r="A1129" s="6" t="s">
        <v>28</v>
      </c>
      <c r="B1129" s="6" t="s">
        <v>414</v>
      </c>
      <c r="C1129" s="7">
        <v>32114</v>
      </c>
      <c r="D1129" s="6" t="s">
        <v>39</v>
      </c>
      <c r="E1129" s="6" t="s">
        <v>72</v>
      </c>
      <c r="F1129" s="6" t="s">
        <v>470</v>
      </c>
      <c r="G1129" s="6" t="s">
        <v>32</v>
      </c>
      <c r="H1129" s="6" t="s">
        <v>19</v>
      </c>
      <c r="I1129" s="6" t="s">
        <v>767</v>
      </c>
      <c r="J1129" s="6" t="s">
        <v>767</v>
      </c>
      <c r="K1129" s="7">
        <v>6067488</v>
      </c>
      <c r="L1129" s="7">
        <v>278555</v>
      </c>
      <c r="M1129" s="7">
        <v>19</v>
      </c>
      <c r="N1129" s="7">
        <v>1</v>
      </c>
      <c r="O1129" s="7">
        <v>7</v>
      </c>
    </row>
    <row r="1130" spans="1:15" x14ac:dyDescent="0.25">
      <c r="A1130" s="6" t="s">
        <v>28</v>
      </c>
      <c r="B1130" s="6" t="s">
        <v>414</v>
      </c>
      <c r="C1130" s="7">
        <v>32115</v>
      </c>
      <c r="D1130" s="6" t="s">
        <v>39</v>
      </c>
      <c r="E1130" s="6" t="s">
        <v>72</v>
      </c>
      <c r="F1130" s="6" t="s">
        <v>131</v>
      </c>
      <c r="G1130" s="6" t="s">
        <v>32</v>
      </c>
      <c r="H1130" s="6" t="s">
        <v>19</v>
      </c>
      <c r="I1130" s="6" t="s">
        <v>767</v>
      </c>
      <c r="J1130" s="6" t="s">
        <v>767</v>
      </c>
      <c r="K1130" s="7">
        <v>6069140</v>
      </c>
      <c r="L1130" s="7">
        <v>282291</v>
      </c>
      <c r="M1130" s="7">
        <v>19</v>
      </c>
      <c r="N1130" s="7">
        <v>1</v>
      </c>
      <c r="O1130" s="7">
        <v>2.6</v>
      </c>
    </row>
    <row r="1131" spans="1:15" x14ac:dyDescent="0.25">
      <c r="A1131" s="6" t="s">
        <v>28</v>
      </c>
      <c r="B1131" s="6" t="s">
        <v>414</v>
      </c>
      <c r="C1131" s="7">
        <v>32116</v>
      </c>
      <c r="D1131" s="6" t="s">
        <v>39</v>
      </c>
      <c r="E1131" s="6" t="s">
        <v>72</v>
      </c>
      <c r="F1131" s="6" t="s">
        <v>471</v>
      </c>
      <c r="G1131" s="6" t="s">
        <v>32</v>
      </c>
      <c r="H1131" s="6" t="s">
        <v>19</v>
      </c>
      <c r="I1131" s="6" t="s">
        <v>767</v>
      </c>
      <c r="J1131" s="6" t="s">
        <v>767</v>
      </c>
      <c r="K1131" s="7">
        <v>6058589</v>
      </c>
      <c r="L1131" s="7">
        <v>278890</v>
      </c>
      <c r="M1131" s="7">
        <v>19</v>
      </c>
      <c r="N1131" s="7">
        <v>1</v>
      </c>
      <c r="O1131" s="7">
        <v>7</v>
      </c>
    </row>
    <row r="1132" spans="1:15" x14ac:dyDescent="0.25">
      <c r="A1132" s="6" t="s">
        <v>28</v>
      </c>
      <c r="B1132" s="6" t="s">
        <v>414</v>
      </c>
      <c r="C1132" s="7">
        <v>32120</v>
      </c>
      <c r="D1132" s="6" t="s">
        <v>24</v>
      </c>
      <c r="E1132" s="6" t="s">
        <v>56</v>
      </c>
      <c r="F1132" s="6" t="s">
        <v>463</v>
      </c>
      <c r="G1132" s="6" t="s">
        <v>32</v>
      </c>
      <c r="H1132" s="6" t="s">
        <v>19</v>
      </c>
      <c r="I1132" s="6" t="s">
        <v>767</v>
      </c>
      <c r="J1132" s="6" t="s">
        <v>767</v>
      </c>
      <c r="K1132" s="7">
        <v>6278446</v>
      </c>
      <c r="L1132" s="7">
        <v>346944</v>
      </c>
      <c r="M1132" s="7">
        <v>19</v>
      </c>
      <c r="N1132" s="7">
        <v>2</v>
      </c>
      <c r="O1132" s="7">
        <v>13.21</v>
      </c>
    </row>
    <row r="1133" spans="1:15" x14ac:dyDescent="0.25">
      <c r="A1133" s="6" t="s">
        <v>28</v>
      </c>
      <c r="B1133" s="6" t="s">
        <v>414</v>
      </c>
      <c r="C1133" s="7">
        <v>32123</v>
      </c>
      <c r="D1133" s="6" t="s">
        <v>24</v>
      </c>
      <c r="E1133" s="6" t="s">
        <v>37</v>
      </c>
      <c r="F1133" s="6" t="s">
        <v>37</v>
      </c>
      <c r="G1133" s="6" t="s">
        <v>32</v>
      </c>
      <c r="H1133" s="6" t="s">
        <v>19</v>
      </c>
      <c r="I1133" s="6" t="s">
        <v>767</v>
      </c>
      <c r="J1133" s="6" t="s">
        <v>767</v>
      </c>
      <c r="K1133" s="7">
        <v>6271460</v>
      </c>
      <c r="L1133" s="7">
        <v>326985</v>
      </c>
      <c r="M1133" s="7">
        <v>19</v>
      </c>
      <c r="N1133" s="7">
        <v>1</v>
      </c>
      <c r="O1133" s="7">
        <v>3.2</v>
      </c>
    </row>
    <row r="1134" spans="1:15" x14ac:dyDescent="0.25">
      <c r="A1134" s="6" t="s">
        <v>28</v>
      </c>
      <c r="B1134" s="6" t="s">
        <v>414</v>
      </c>
      <c r="C1134" s="7">
        <v>32125</v>
      </c>
      <c r="D1134" s="6" t="s">
        <v>24</v>
      </c>
      <c r="E1134" s="6" t="s">
        <v>25</v>
      </c>
      <c r="F1134" s="6" t="s">
        <v>472</v>
      </c>
      <c r="G1134" s="6" t="s">
        <v>32</v>
      </c>
      <c r="H1134" s="6" t="s">
        <v>19</v>
      </c>
      <c r="I1134" s="6" t="s">
        <v>767</v>
      </c>
      <c r="J1134" s="6" t="s">
        <v>767</v>
      </c>
      <c r="K1134" s="7">
        <v>6268809</v>
      </c>
      <c r="L1134" s="7">
        <v>342606</v>
      </c>
      <c r="M1134" s="7">
        <v>19</v>
      </c>
      <c r="N1134" s="7">
        <v>1</v>
      </c>
      <c r="O1134" s="7">
        <v>3</v>
      </c>
    </row>
    <row r="1135" spans="1:15" x14ac:dyDescent="0.25">
      <c r="A1135" s="6" t="s">
        <v>28</v>
      </c>
      <c r="B1135" s="6" t="s">
        <v>414</v>
      </c>
      <c r="C1135" s="7">
        <v>32147</v>
      </c>
      <c r="D1135" s="6" t="s">
        <v>39</v>
      </c>
      <c r="E1135" s="6" t="s">
        <v>41</v>
      </c>
      <c r="F1135" s="6" t="s">
        <v>41</v>
      </c>
      <c r="G1135" s="6" t="s">
        <v>32</v>
      </c>
      <c r="H1135" s="6" t="s">
        <v>33</v>
      </c>
      <c r="I1135" s="6" t="s">
        <v>767</v>
      </c>
      <c r="J1135" s="6" t="s">
        <v>764</v>
      </c>
      <c r="K1135" s="7">
        <v>6124467</v>
      </c>
      <c r="L1135" s="7">
        <v>284968</v>
      </c>
      <c r="M1135" s="7">
        <v>19</v>
      </c>
      <c r="N1135" s="7">
        <v>4</v>
      </c>
      <c r="O1135" s="7">
        <v>22.5</v>
      </c>
    </row>
    <row r="1136" spans="1:15" x14ac:dyDescent="0.25">
      <c r="A1136" s="6" t="s">
        <v>28</v>
      </c>
      <c r="B1136" s="6" t="s">
        <v>414</v>
      </c>
      <c r="C1136" s="7">
        <v>32152</v>
      </c>
      <c r="D1136" s="6" t="s">
        <v>39</v>
      </c>
      <c r="E1136" s="6" t="s">
        <v>310</v>
      </c>
      <c r="F1136" s="6" t="s">
        <v>310</v>
      </c>
      <c r="G1136" s="6" t="s">
        <v>32</v>
      </c>
      <c r="H1136" s="6" t="s">
        <v>33</v>
      </c>
      <c r="I1136" s="6" t="s">
        <v>767</v>
      </c>
      <c r="J1136" s="6" t="s">
        <v>767</v>
      </c>
      <c r="K1136" s="7">
        <v>6110851</v>
      </c>
      <c r="L1136" s="7">
        <v>293946</v>
      </c>
      <c r="M1136" s="7">
        <v>19</v>
      </c>
      <c r="N1136" s="7">
        <v>1</v>
      </c>
      <c r="O1136" s="7">
        <v>52</v>
      </c>
    </row>
    <row r="1137" spans="1:15" x14ac:dyDescent="0.25">
      <c r="A1137" s="6" t="s">
        <v>28</v>
      </c>
      <c r="B1137" s="6" t="s">
        <v>414</v>
      </c>
      <c r="C1137" s="7">
        <v>32199</v>
      </c>
      <c r="D1137" s="6" t="s">
        <v>39</v>
      </c>
      <c r="E1137" s="6" t="s">
        <v>72</v>
      </c>
      <c r="F1137" s="6" t="s">
        <v>145</v>
      </c>
      <c r="G1137" s="6" t="s">
        <v>32</v>
      </c>
      <c r="H1137" s="6" t="s">
        <v>33</v>
      </c>
      <c r="I1137" s="6" t="s">
        <v>767</v>
      </c>
      <c r="J1137" s="6" t="s">
        <v>764</v>
      </c>
      <c r="K1137" s="7">
        <v>6068860</v>
      </c>
      <c r="L1137" s="7">
        <v>274265</v>
      </c>
      <c r="M1137" s="7">
        <v>19</v>
      </c>
      <c r="N1137" s="7">
        <v>1</v>
      </c>
      <c r="O1137" s="7">
        <v>5</v>
      </c>
    </row>
    <row r="1138" spans="1:15" x14ac:dyDescent="0.25">
      <c r="A1138" s="6" t="s">
        <v>28</v>
      </c>
      <c r="B1138" s="6" t="s">
        <v>414</v>
      </c>
      <c r="C1138" s="7">
        <v>32203</v>
      </c>
      <c r="D1138" s="6" t="s">
        <v>39</v>
      </c>
      <c r="E1138" s="6" t="s">
        <v>177</v>
      </c>
      <c r="F1138" s="6" t="s">
        <v>468</v>
      </c>
      <c r="G1138" s="6" t="s">
        <v>32</v>
      </c>
      <c r="H1138" s="6" t="s">
        <v>33</v>
      </c>
      <c r="I1138" s="6" t="s">
        <v>767</v>
      </c>
      <c r="J1138" s="6" t="s">
        <v>767</v>
      </c>
      <c r="K1138" s="7">
        <v>6046697</v>
      </c>
      <c r="L1138" s="7">
        <v>280417</v>
      </c>
      <c r="M1138" s="7">
        <v>19</v>
      </c>
      <c r="N1138" s="7">
        <v>1</v>
      </c>
      <c r="O1138" s="7">
        <v>22</v>
      </c>
    </row>
    <row r="1139" spans="1:15" x14ac:dyDescent="0.25">
      <c r="A1139" s="6" t="s">
        <v>28</v>
      </c>
      <c r="B1139" s="6" t="s">
        <v>414</v>
      </c>
      <c r="C1139" s="7">
        <v>32204</v>
      </c>
      <c r="D1139" s="6" t="s">
        <v>39</v>
      </c>
      <c r="E1139" s="6" t="s">
        <v>40</v>
      </c>
      <c r="F1139" s="6" t="s">
        <v>181</v>
      </c>
      <c r="G1139" s="6" t="s">
        <v>32</v>
      </c>
      <c r="H1139" s="6" t="s">
        <v>33</v>
      </c>
      <c r="I1139" s="6" t="s">
        <v>767</v>
      </c>
      <c r="J1139" s="6" t="s">
        <v>764</v>
      </c>
      <c r="K1139" s="7">
        <v>6070686</v>
      </c>
      <c r="L1139" s="7">
        <v>271642</v>
      </c>
      <c r="M1139" s="7">
        <v>19</v>
      </c>
      <c r="N1139" s="7">
        <v>2</v>
      </c>
      <c r="O1139" s="7">
        <v>18</v>
      </c>
    </row>
    <row r="1140" spans="1:15" x14ac:dyDescent="0.25">
      <c r="A1140" s="6" t="s">
        <v>28</v>
      </c>
      <c r="B1140" s="6" t="s">
        <v>414</v>
      </c>
      <c r="C1140" s="7">
        <v>32210</v>
      </c>
      <c r="D1140" s="6" t="s">
        <v>39</v>
      </c>
      <c r="E1140" s="6" t="s">
        <v>72</v>
      </c>
      <c r="F1140" s="6" t="s">
        <v>72</v>
      </c>
      <c r="G1140" s="6" t="s">
        <v>32</v>
      </c>
      <c r="H1140" s="6" t="s">
        <v>33</v>
      </c>
      <c r="I1140" s="6" t="s">
        <v>767</v>
      </c>
      <c r="J1140" s="6" t="s">
        <v>764</v>
      </c>
      <c r="K1140" s="7">
        <v>6068947</v>
      </c>
      <c r="L1140" s="7">
        <v>274916</v>
      </c>
      <c r="M1140" s="7">
        <v>19</v>
      </c>
      <c r="N1140" s="7">
        <v>4</v>
      </c>
      <c r="O1140" s="7">
        <v>34</v>
      </c>
    </row>
    <row r="1141" spans="1:15" x14ac:dyDescent="0.25">
      <c r="A1141" s="6" t="s">
        <v>28</v>
      </c>
      <c r="B1141" s="6" t="s">
        <v>414</v>
      </c>
      <c r="C1141" s="7">
        <v>32212</v>
      </c>
      <c r="D1141" s="6" t="s">
        <v>39</v>
      </c>
      <c r="E1141" s="6" t="s">
        <v>72</v>
      </c>
      <c r="F1141" s="6" t="s">
        <v>473</v>
      </c>
      <c r="G1141" s="6" t="s">
        <v>32</v>
      </c>
      <c r="H1141" s="6" t="s">
        <v>33</v>
      </c>
      <c r="I1141" s="6" t="s">
        <v>767</v>
      </c>
      <c r="J1141" s="6" t="s">
        <v>764</v>
      </c>
      <c r="K1141" s="7">
        <v>6072080</v>
      </c>
      <c r="L1141" s="7">
        <v>273026</v>
      </c>
      <c r="M1141" s="7">
        <v>19</v>
      </c>
      <c r="N1141" s="7">
        <v>2</v>
      </c>
      <c r="O1141" s="7">
        <v>40</v>
      </c>
    </row>
    <row r="1142" spans="1:15" x14ac:dyDescent="0.25">
      <c r="A1142" s="6" t="s">
        <v>28</v>
      </c>
      <c r="B1142" s="6" t="s">
        <v>414</v>
      </c>
      <c r="C1142" s="7">
        <v>32213</v>
      </c>
      <c r="D1142" s="6" t="s">
        <v>39</v>
      </c>
      <c r="E1142" s="6" t="s">
        <v>72</v>
      </c>
      <c r="F1142" s="6" t="s">
        <v>72</v>
      </c>
      <c r="G1142" s="6" t="s">
        <v>32</v>
      </c>
      <c r="H1142" s="6" t="s">
        <v>33</v>
      </c>
      <c r="I1142" s="6" t="s">
        <v>767</v>
      </c>
      <c r="J1142" s="6" t="s">
        <v>764</v>
      </c>
      <c r="K1142" s="7">
        <v>6065885</v>
      </c>
      <c r="L1142" s="7">
        <v>277347</v>
      </c>
      <c r="M1142" s="7">
        <v>19</v>
      </c>
      <c r="N1142" s="7">
        <v>2</v>
      </c>
      <c r="O1142" s="7">
        <v>26</v>
      </c>
    </row>
    <row r="1143" spans="1:15" x14ac:dyDescent="0.25">
      <c r="A1143" s="6" t="s">
        <v>28</v>
      </c>
      <c r="B1143" s="6" t="s">
        <v>414</v>
      </c>
      <c r="C1143" s="7">
        <v>32215</v>
      </c>
      <c r="D1143" s="6" t="s">
        <v>39</v>
      </c>
      <c r="E1143" s="6" t="s">
        <v>72</v>
      </c>
      <c r="F1143" s="6" t="s">
        <v>471</v>
      </c>
      <c r="G1143" s="6" t="s">
        <v>32</v>
      </c>
      <c r="H1143" s="6" t="s">
        <v>33</v>
      </c>
      <c r="I1143" s="6" t="s">
        <v>767</v>
      </c>
      <c r="J1143" s="6" t="s">
        <v>767</v>
      </c>
      <c r="K1143" s="7">
        <v>6061648</v>
      </c>
      <c r="L1143" s="7">
        <v>276836</v>
      </c>
      <c r="M1143" s="7">
        <v>19</v>
      </c>
      <c r="N1143" s="7">
        <v>2</v>
      </c>
      <c r="O1143" s="7">
        <v>20</v>
      </c>
    </row>
    <row r="1144" spans="1:15" x14ac:dyDescent="0.25">
      <c r="A1144" s="6" t="s">
        <v>28</v>
      </c>
      <c r="B1144" s="6" t="s">
        <v>414</v>
      </c>
      <c r="C1144" s="7">
        <v>32216</v>
      </c>
      <c r="D1144" s="6" t="s">
        <v>39</v>
      </c>
      <c r="E1144" s="6" t="s">
        <v>70</v>
      </c>
      <c r="F1144" s="6" t="s">
        <v>474</v>
      </c>
      <c r="G1144" s="6" t="s">
        <v>32</v>
      </c>
      <c r="H1144" s="6" t="s">
        <v>33</v>
      </c>
      <c r="I1144" s="6" t="s">
        <v>767</v>
      </c>
      <c r="J1144" s="6" t="s">
        <v>767</v>
      </c>
      <c r="K1144" s="7">
        <v>6073525</v>
      </c>
      <c r="L1144" s="7">
        <v>267071</v>
      </c>
      <c r="M1144" s="7">
        <v>19</v>
      </c>
      <c r="N1144" s="7">
        <v>1</v>
      </c>
      <c r="O1144" s="7">
        <v>40</v>
      </c>
    </row>
    <row r="1145" spans="1:15" x14ac:dyDescent="0.25">
      <c r="A1145" s="6" t="s">
        <v>28</v>
      </c>
      <c r="B1145" s="6" t="s">
        <v>414</v>
      </c>
      <c r="C1145" s="7">
        <v>32217</v>
      </c>
      <c r="D1145" s="6" t="s">
        <v>39</v>
      </c>
      <c r="E1145" s="6" t="s">
        <v>72</v>
      </c>
      <c r="F1145" s="6" t="s">
        <v>72</v>
      </c>
      <c r="G1145" s="6" t="s">
        <v>32</v>
      </c>
      <c r="H1145" s="6" t="s">
        <v>33</v>
      </c>
      <c r="I1145" s="6" t="s">
        <v>767</v>
      </c>
      <c r="J1145" s="6" t="s">
        <v>764</v>
      </c>
      <c r="K1145" s="7">
        <v>6066012</v>
      </c>
      <c r="L1145" s="7">
        <v>276975</v>
      </c>
      <c r="M1145" s="7">
        <v>19</v>
      </c>
      <c r="N1145" s="7">
        <v>2</v>
      </c>
      <c r="O1145" s="7">
        <v>26</v>
      </c>
    </row>
    <row r="1146" spans="1:15" x14ac:dyDescent="0.25">
      <c r="A1146" s="6" t="s">
        <v>28</v>
      </c>
      <c r="B1146" s="6" t="s">
        <v>414</v>
      </c>
      <c r="C1146" s="7">
        <v>32219</v>
      </c>
      <c r="D1146" s="6" t="s">
        <v>39</v>
      </c>
      <c r="E1146" s="6" t="s">
        <v>72</v>
      </c>
      <c r="F1146" s="6" t="s">
        <v>475</v>
      </c>
      <c r="G1146" s="6" t="s">
        <v>32</v>
      </c>
      <c r="H1146" s="6" t="s">
        <v>33</v>
      </c>
      <c r="I1146" s="6" t="s">
        <v>767</v>
      </c>
      <c r="J1146" s="6" t="s">
        <v>764</v>
      </c>
      <c r="K1146" s="7">
        <v>6064860</v>
      </c>
      <c r="L1146" s="7">
        <v>276006</v>
      </c>
      <c r="M1146" s="7">
        <v>19</v>
      </c>
      <c r="N1146" s="7">
        <v>1</v>
      </c>
      <c r="O1146" s="7">
        <v>16</v>
      </c>
    </row>
    <row r="1147" spans="1:15" x14ac:dyDescent="0.25">
      <c r="A1147" s="6" t="s">
        <v>28</v>
      </c>
      <c r="B1147" s="6" t="s">
        <v>414</v>
      </c>
      <c r="C1147" s="7">
        <v>32222</v>
      </c>
      <c r="D1147" s="6" t="s">
        <v>39</v>
      </c>
      <c r="E1147" s="6" t="s">
        <v>72</v>
      </c>
      <c r="F1147" s="6" t="s">
        <v>72</v>
      </c>
      <c r="G1147" s="6" t="s">
        <v>32</v>
      </c>
      <c r="H1147" s="6" t="s">
        <v>33</v>
      </c>
      <c r="I1147" s="6" t="s">
        <v>767</v>
      </c>
      <c r="J1147" s="6" t="s">
        <v>767</v>
      </c>
      <c r="K1147" s="7">
        <v>6068686</v>
      </c>
      <c r="L1147" s="7">
        <v>277062</v>
      </c>
      <c r="M1147" s="7">
        <v>19</v>
      </c>
      <c r="N1147" s="7">
        <v>1</v>
      </c>
      <c r="O1147" s="7">
        <v>32</v>
      </c>
    </row>
    <row r="1148" spans="1:15" x14ac:dyDescent="0.25">
      <c r="A1148" s="6" t="s">
        <v>28</v>
      </c>
      <c r="B1148" s="6" t="s">
        <v>414</v>
      </c>
      <c r="C1148" s="7">
        <v>32226</v>
      </c>
      <c r="D1148" s="6" t="s">
        <v>39</v>
      </c>
      <c r="E1148" s="6" t="s">
        <v>70</v>
      </c>
      <c r="F1148" s="6" t="s">
        <v>70</v>
      </c>
      <c r="G1148" s="6" t="s">
        <v>32</v>
      </c>
      <c r="H1148" s="6" t="s">
        <v>33</v>
      </c>
      <c r="I1148" s="6" t="s">
        <v>767</v>
      </c>
      <c r="J1148" s="6" t="s">
        <v>767</v>
      </c>
      <c r="K1148" s="7">
        <v>6074731</v>
      </c>
      <c r="L1148" s="7">
        <v>264777</v>
      </c>
      <c r="M1148" s="7">
        <v>19</v>
      </c>
      <c r="N1148" s="7">
        <v>2</v>
      </c>
      <c r="O1148" s="7">
        <v>55.5</v>
      </c>
    </row>
    <row r="1149" spans="1:15" x14ac:dyDescent="0.25">
      <c r="A1149" s="6" t="s">
        <v>22</v>
      </c>
      <c r="B1149" s="6" t="s">
        <v>414</v>
      </c>
      <c r="C1149" s="7">
        <v>32427</v>
      </c>
      <c r="D1149" s="6" t="s">
        <v>42</v>
      </c>
      <c r="E1149" s="6" t="s">
        <v>167</v>
      </c>
      <c r="F1149" s="6" t="s">
        <v>281</v>
      </c>
      <c r="G1149" s="6" t="s">
        <v>32</v>
      </c>
      <c r="H1149" s="6" t="s">
        <v>765</v>
      </c>
      <c r="I1149" s="6" t="s">
        <v>767</v>
      </c>
      <c r="J1149" s="6" t="s">
        <v>767</v>
      </c>
      <c r="K1149" s="7">
        <v>6228809</v>
      </c>
      <c r="L1149" s="7">
        <v>336949</v>
      </c>
      <c r="M1149" s="7">
        <v>19</v>
      </c>
      <c r="N1149" s="7">
        <v>1</v>
      </c>
      <c r="O1149" s="7">
        <v>0.4</v>
      </c>
    </row>
    <row r="1150" spans="1:15" x14ac:dyDescent="0.25">
      <c r="A1150" s="6" t="s">
        <v>28</v>
      </c>
      <c r="B1150" s="6" t="s">
        <v>414</v>
      </c>
      <c r="C1150" s="7">
        <v>32440</v>
      </c>
      <c r="D1150" s="6" t="s">
        <v>39</v>
      </c>
      <c r="E1150" s="6" t="s">
        <v>72</v>
      </c>
      <c r="F1150" s="6" t="s">
        <v>166</v>
      </c>
      <c r="G1150" s="6" t="s">
        <v>32</v>
      </c>
      <c r="H1150" s="6" t="s">
        <v>19</v>
      </c>
      <c r="I1150" s="6" t="s">
        <v>767</v>
      </c>
      <c r="J1150" s="6" t="s">
        <v>767</v>
      </c>
      <c r="K1150" s="7">
        <v>6062333</v>
      </c>
      <c r="L1150" s="7">
        <v>268074</v>
      </c>
      <c r="M1150" s="7">
        <v>19</v>
      </c>
      <c r="N1150" s="7">
        <v>1</v>
      </c>
      <c r="O1150" s="7">
        <v>0.4</v>
      </c>
    </row>
    <row r="1151" spans="1:15" x14ac:dyDescent="0.25">
      <c r="A1151" s="6" t="s">
        <v>28</v>
      </c>
      <c r="B1151" s="6" t="s">
        <v>414</v>
      </c>
      <c r="C1151" s="7">
        <v>32464</v>
      </c>
      <c r="D1151" s="6" t="s">
        <v>24</v>
      </c>
      <c r="E1151" s="6" t="s">
        <v>463</v>
      </c>
      <c r="F1151" s="6" t="s">
        <v>463</v>
      </c>
      <c r="G1151" s="6" t="s">
        <v>32</v>
      </c>
      <c r="H1151" s="6" t="s">
        <v>19</v>
      </c>
      <c r="I1151" s="6" t="s">
        <v>767</v>
      </c>
      <c r="J1151" s="6" t="s">
        <v>767</v>
      </c>
      <c r="K1151" s="7">
        <v>6278860</v>
      </c>
      <c r="L1151" s="7">
        <v>346602</v>
      </c>
      <c r="M1151" s="7">
        <v>19</v>
      </c>
      <c r="N1151" s="7">
        <v>1</v>
      </c>
      <c r="O1151" s="7">
        <v>2.8</v>
      </c>
    </row>
    <row r="1152" spans="1:15" x14ac:dyDescent="0.25">
      <c r="A1152" s="6" t="s">
        <v>28</v>
      </c>
      <c r="B1152" s="6" t="s">
        <v>414</v>
      </c>
      <c r="C1152" s="7">
        <v>32466</v>
      </c>
      <c r="D1152" s="6" t="s">
        <v>39</v>
      </c>
      <c r="E1152" s="6" t="s">
        <v>72</v>
      </c>
      <c r="F1152" s="6" t="s">
        <v>131</v>
      </c>
      <c r="G1152" s="6" t="s">
        <v>32</v>
      </c>
      <c r="H1152" s="6" t="s">
        <v>19</v>
      </c>
      <c r="I1152" s="6" t="s">
        <v>767</v>
      </c>
      <c r="J1152" s="6" t="s">
        <v>767</v>
      </c>
      <c r="K1152" s="7">
        <v>6063412</v>
      </c>
      <c r="L1152" s="7">
        <v>281589</v>
      </c>
      <c r="M1152" s="7">
        <v>19</v>
      </c>
      <c r="N1152" s="7">
        <v>1</v>
      </c>
      <c r="O1152" s="7">
        <v>4.3</v>
      </c>
    </row>
    <row r="1153" spans="1:15" x14ac:dyDescent="0.25">
      <c r="A1153" s="6" t="s">
        <v>28</v>
      </c>
      <c r="B1153" s="6" t="s">
        <v>414</v>
      </c>
      <c r="C1153" s="7">
        <v>32473</v>
      </c>
      <c r="D1153" s="6" t="s">
        <v>39</v>
      </c>
      <c r="E1153" s="6" t="s">
        <v>72</v>
      </c>
      <c r="F1153" s="6" t="s">
        <v>200</v>
      </c>
      <c r="G1153" s="6" t="s">
        <v>32</v>
      </c>
      <c r="H1153" s="6" t="s">
        <v>19</v>
      </c>
      <c r="I1153" s="6" t="s">
        <v>767</v>
      </c>
      <c r="J1153" s="6" t="s">
        <v>767</v>
      </c>
      <c r="K1153" s="7">
        <v>6066278</v>
      </c>
      <c r="L1153" s="7">
        <v>286673</v>
      </c>
      <c r="M1153" s="7">
        <v>19</v>
      </c>
      <c r="N1153" s="7">
        <v>1</v>
      </c>
      <c r="O1153" s="7">
        <v>2.5</v>
      </c>
    </row>
    <row r="1154" spans="1:15" x14ac:dyDescent="0.25">
      <c r="A1154" s="6" t="s">
        <v>28</v>
      </c>
      <c r="B1154" s="6" t="s">
        <v>414</v>
      </c>
      <c r="C1154" s="7">
        <v>32478</v>
      </c>
      <c r="D1154" s="6" t="s">
        <v>39</v>
      </c>
      <c r="E1154" s="6" t="s">
        <v>72</v>
      </c>
      <c r="F1154" s="6" t="s">
        <v>131</v>
      </c>
      <c r="G1154" s="6" t="s">
        <v>32</v>
      </c>
      <c r="H1154" s="6" t="s">
        <v>19</v>
      </c>
      <c r="I1154" s="6" t="s">
        <v>767</v>
      </c>
      <c r="J1154" s="6" t="s">
        <v>767</v>
      </c>
      <c r="K1154" s="7">
        <v>6061380</v>
      </c>
      <c r="L1154" s="7">
        <v>282846</v>
      </c>
      <c r="M1154" s="7">
        <v>19</v>
      </c>
      <c r="N1154" s="7">
        <v>1</v>
      </c>
      <c r="O1154" s="7">
        <v>4.5</v>
      </c>
    </row>
    <row r="1155" spans="1:15" x14ac:dyDescent="0.25">
      <c r="A1155" s="6" t="s">
        <v>28</v>
      </c>
      <c r="B1155" s="6" t="s">
        <v>414</v>
      </c>
      <c r="C1155" s="7">
        <v>32486</v>
      </c>
      <c r="D1155" s="6" t="s">
        <v>39</v>
      </c>
      <c r="E1155" s="6" t="s">
        <v>80</v>
      </c>
      <c r="F1155" s="6" t="s">
        <v>80</v>
      </c>
      <c r="G1155" s="6" t="s">
        <v>32</v>
      </c>
      <c r="H1155" s="6" t="s">
        <v>19</v>
      </c>
      <c r="I1155" s="6" t="s">
        <v>767</v>
      </c>
      <c r="J1155" s="6" t="s">
        <v>767</v>
      </c>
      <c r="K1155" s="7">
        <v>6077536</v>
      </c>
      <c r="L1155" s="7">
        <v>274016</v>
      </c>
      <c r="M1155" s="7">
        <v>19</v>
      </c>
      <c r="N1155" s="7">
        <v>1</v>
      </c>
      <c r="O1155" s="7">
        <v>3</v>
      </c>
    </row>
    <row r="1156" spans="1:15" x14ac:dyDescent="0.25">
      <c r="A1156" s="6" t="s">
        <v>28</v>
      </c>
      <c r="B1156" s="6" t="s">
        <v>414</v>
      </c>
      <c r="C1156" s="7">
        <v>32490</v>
      </c>
      <c r="D1156" s="6" t="s">
        <v>39</v>
      </c>
      <c r="E1156" s="6" t="s">
        <v>72</v>
      </c>
      <c r="F1156" s="6" t="s">
        <v>131</v>
      </c>
      <c r="G1156" s="6" t="s">
        <v>32</v>
      </c>
      <c r="H1156" s="6" t="s">
        <v>153</v>
      </c>
      <c r="I1156" s="6" t="s">
        <v>767</v>
      </c>
      <c r="J1156" s="6" t="s">
        <v>764</v>
      </c>
      <c r="K1156" s="7">
        <v>6064477</v>
      </c>
      <c r="L1156" s="7">
        <v>282833</v>
      </c>
      <c r="M1156" s="7">
        <v>19</v>
      </c>
      <c r="N1156" s="7">
        <v>1</v>
      </c>
      <c r="O1156" s="7">
        <v>4</v>
      </c>
    </row>
    <row r="1157" spans="1:15" x14ac:dyDescent="0.25">
      <c r="A1157" s="6" t="s">
        <v>28</v>
      </c>
      <c r="B1157" s="6" t="s">
        <v>414</v>
      </c>
      <c r="C1157" s="7">
        <v>32502</v>
      </c>
      <c r="D1157" s="6" t="s">
        <v>39</v>
      </c>
      <c r="E1157" s="6" t="s">
        <v>70</v>
      </c>
      <c r="F1157" s="6" t="s">
        <v>70</v>
      </c>
      <c r="G1157" s="6" t="s">
        <v>32</v>
      </c>
      <c r="H1157" s="6" t="s">
        <v>153</v>
      </c>
      <c r="I1157" s="6" t="s">
        <v>767</v>
      </c>
      <c r="J1157" s="6" t="s">
        <v>764</v>
      </c>
      <c r="K1157" s="7">
        <v>6075683</v>
      </c>
      <c r="L1157" s="7">
        <v>264548</v>
      </c>
      <c r="M1157" s="7">
        <v>19</v>
      </c>
      <c r="N1157" s="7">
        <v>1</v>
      </c>
      <c r="O1157" s="7">
        <v>1.3</v>
      </c>
    </row>
    <row r="1158" spans="1:15" x14ac:dyDescent="0.25">
      <c r="A1158" s="6" t="s">
        <v>28</v>
      </c>
      <c r="B1158" s="6" t="s">
        <v>414</v>
      </c>
      <c r="C1158" s="7">
        <v>32507</v>
      </c>
      <c r="D1158" s="6" t="s">
        <v>39</v>
      </c>
      <c r="E1158" s="6" t="s">
        <v>70</v>
      </c>
      <c r="F1158" s="6" t="s">
        <v>70</v>
      </c>
      <c r="G1158" s="6" t="s">
        <v>32</v>
      </c>
      <c r="H1158" s="6" t="s">
        <v>19</v>
      </c>
      <c r="I1158" s="6" t="s">
        <v>767</v>
      </c>
      <c r="J1158" s="6" t="s">
        <v>767</v>
      </c>
      <c r="K1158" s="7">
        <v>6075683</v>
      </c>
      <c r="L1158" s="7">
        <v>264548</v>
      </c>
      <c r="M1158" s="7">
        <v>19</v>
      </c>
      <c r="N1158" s="7">
        <v>1</v>
      </c>
      <c r="O1158" s="7">
        <v>0.6</v>
      </c>
    </row>
    <row r="1159" spans="1:15" x14ac:dyDescent="0.25">
      <c r="A1159" s="6" t="s">
        <v>28</v>
      </c>
      <c r="B1159" s="6" t="s">
        <v>414</v>
      </c>
      <c r="C1159" s="7">
        <v>32539</v>
      </c>
      <c r="D1159" s="6" t="s">
        <v>24</v>
      </c>
      <c r="E1159" s="6" t="s">
        <v>463</v>
      </c>
      <c r="F1159" s="6" t="s">
        <v>463</v>
      </c>
      <c r="G1159" s="6" t="s">
        <v>32</v>
      </c>
      <c r="H1159" s="6" t="s">
        <v>19</v>
      </c>
      <c r="I1159" s="6" t="s">
        <v>767</v>
      </c>
      <c r="J1159" s="6" t="s">
        <v>767</v>
      </c>
      <c r="K1159" s="7">
        <v>6277128</v>
      </c>
      <c r="L1159" s="7">
        <v>350218</v>
      </c>
      <c r="M1159" s="7">
        <v>19</v>
      </c>
      <c r="N1159" s="7">
        <v>1</v>
      </c>
      <c r="O1159" s="7">
        <v>6</v>
      </c>
    </row>
    <row r="1160" spans="1:15" x14ac:dyDescent="0.25">
      <c r="A1160" s="6" t="s">
        <v>28</v>
      </c>
      <c r="B1160" s="6" t="s">
        <v>414</v>
      </c>
      <c r="C1160" s="7">
        <v>32546</v>
      </c>
      <c r="D1160" s="6" t="s">
        <v>42</v>
      </c>
      <c r="E1160" s="6" t="s">
        <v>196</v>
      </c>
      <c r="F1160" s="6" t="s">
        <v>476</v>
      </c>
      <c r="G1160" s="6" t="s">
        <v>32</v>
      </c>
      <c r="H1160" s="6" t="s">
        <v>33</v>
      </c>
      <c r="I1160" s="6" t="s">
        <v>767</v>
      </c>
      <c r="J1160" s="6" t="s">
        <v>764</v>
      </c>
      <c r="K1160" s="7">
        <v>6216594</v>
      </c>
      <c r="L1160" s="7">
        <v>336823</v>
      </c>
      <c r="M1160" s="7">
        <v>19</v>
      </c>
      <c r="N1160" s="7">
        <v>1</v>
      </c>
      <c r="O1160" s="7">
        <v>13</v>
      </c>
    </row>
    <row r="1161" spans="1:15" x14ac:dyDescent="0.25">
      <c r="A1161" s="6" t="s">
        <v>28</v>
      </c>
      <c r="B1161" s="6" t="s">
        <v>414</v>
      </c>
      <c r="C1161" s="7">
        <v>32547</v>
      </c>
      <c r="D1161" s="6" t="s">
        <v>24</v>
      </c>
      <c r="E1161" s="6" t="s">
        <v>463</v>
      </c>
      <c r="F1161" s="6" t="s">
        <v>463</v>
      </c>
      <c r="G1161" s="6" t="s">
        <v>32</v>
      </c>
      <c r="H1161" s="6" t="s">
        <v>19</v>
      </c>
      <c r="I1161" s="6" t="s">
        <v>767</v>
      </c>
      <c r="J1161" s="6" t="s">
        <v>767</v>
      </c>
      <c r="K1161" s="7">
        <v>6276700</v>
      </c>
      <c r="L1161" s="7">
        <v>350165</v>
      </c>
      <c r="M1161" s="7">
        <v>19</v>
      </c>
      <c r="N1161" s="7">
        <v>1</v>
      </c>
      <c r="O1161" s="7">
        <v>8</v>
      </c>
    </row>
    <row r="1162" spans="1:15" x14ac:dyDescent="0.25">
      <c r="A1162" s="6" t="s">
        <v>28</v>
      </c>
      <c r="B1162" s="6" t="s">
        <v>414</v>
      </c>
      <c r="C1162" s="7">
        <v>32549</v>
      </c>
      <c r="D1162" s="6" t="s">
        <v>42</v>
      </c>
      <c r="E1162" s="6" t="s">
        <v>196</v>
      </c>
      <c r="F1162" s="6" t="s">
        <v>196</v>
      </c>
      <c r="G1162" s="6" t="s">
        <v>32</v>
      </c>
      <c r="H1162" s="6" t="s">
        <v>33</v>
      </c>
      <c r="I1162" s="6" t="s">
        <v>767</v>
      </c>
      <c r="J1162" s="6" t="s">
        <v>764</v>
      </c>
      <c r="K1162" s="7">
        <v>6216748</v>
      </c>
      <c r="L1162" s="7">
        <v>336653</v>
      </c>
      <c r="M1162" s="7">
        <v>19</v>
      </c>
      <c r="N1162" s="7">
        <v>2</v>
      </c>
      <c r="O1162" s="7">
        <v>19</v>
      </c>
    </row>
    <row r="1163" spans="1:15" x14ac:dyDescent="0.25">
      <c r="A1163" s="6" t="s">
        <v>28</v>
      </c>
      <c r="B1163" s="6" t="s">
        <v>414</v>
      </c>
      <c r="C1163" s="7">
        <v>32554</v>
      </c>
      <c r="D1163" s="6" t="s">
        <v>42</v>
      </c>
      <c r="E1163" s="6" t="s">
        <v>45</v>
      </c>
      <c r="F1163" s="6" t="s">
        <v>477</v>
      </c>
      <c r="G1163" s="6" t="s">
        <v>32</v>
      </c>
      <c r="H1163" s="6" t="s">
        <v>33</v>
      </c>
      <c r="I1163" s="6" t="s">
        <v>767</v>
      </c>
      <c r="J1163" s="6" t="s">
        <v>767</v>
      </c>
      <c r="K1163" s="7">
        <v>6175906</v>
      </c>
      <c r="L1163" s="7">
        <v>318112</v>
      </c>
      <c r="M1163" s="7">
        <v>19</v>
      </c>
      <c r="N1163" s="7">
        <v>1</v>
      </c>
      <c r="O1163" s="7">
        <v>10</v>
      </c>
    </row>
    <row r="1164" spans="1:15" x14ac:dyDescent="0.25">
      <c r="A1164" s="6" t="s">
        <v>28</v>
      </c>
      <c r="B1164" s="6" t="s">
        <v>414</v>
      </c>
      <c r="C1164" s="7">
        <v>32558</v>
      </c>
      <c r="D1164" s="6" t="s">
        <v>42</v>
      </c>
      <c r="E1164" s="6" t="s">
        <v>51</v>
      </c>
      <c r="F1164" s="6" t="s">
        <v>51</v>
      </c>
      <c r="G1164" s="6" t="s">
        <v>32</v>
      </c>
      <c r="H1164" s="6" t="s">
        <v>33</v>
      </c>
      <c r="I1164" s="6" t="s">
        <v>767</v>
      </c>
      <c r="J1164" s="6" t="s">
        <v>767</v>
      </c>
      <c r="K1164" s="7">
        <v>6157586</v>
      </c>
      <c r="L1164" s="7">
        <v>316971</v>
      </c>
      <c r="M1164" s="7">
        <v>19</v>
      </c>
      <c r="N1164" s="7">
        <v>1</v>
      </c>
      <c r="O1164" s="7">
        <v>9</v>
      </c>
    </row>
    <row r="1165" spans="1:15" x14ac:dyDescent="0.25">
      <c r="A1165" s="6" t="s">
        <v>28</v>
      </c>
      <c r="B1165" s="6" t="s">
        <v>414</v>
      </c>
      <c r="C1165" s="7">
        <v>32560</v>
      </c>
      <c r="D1165" s="6" t="s">
        <v>42</v>
      </c>
      <c r="E1165" s="6" t="s">
        <v>51</v>
      </c>
      <c r="F1165" s="6" t="s">
        <v>51</v>
      </c>
      <c r="G1165" s="6" t="s">
        <v>32</v>
      </c>
      <c r="H1165" s="6" t="s">
        <v>33</v>
      </c>
      <c r="I1165" s="6" t="s">
        <v>767</v>
      </c>
      <c r="J1165" s="6" t="s">
        <v>767</v>
      </c>
      <c r="K1165" s="7">
        <v>6150702</v>
      </c>
      <c r="L1165" s="7">
        <v>322983</v>
      </c>
      <c r="M1165" s="7">
        <v>19</v>
      </c>
      <c r="N1165" s="7">
        <v>1</v>
      </c>
      <c r="O1165" s="7">
        <v>7</v>
      </c>
    </row>
    <row r="1166" spans="1:15" x14ac:dyDescent="0.25">
      <c r="A1166" s="6" t="s">
        <v>28</v>
      </c>
      <c r="B1166" s="6" t="s">
        <v>414</v>
      </c>
      <c r="C1166" s="7">
        <v>32564</v>
      </c>
      <c r="D1166" s="6" t="s">
        <v>42</v>
      </c>
      <c r="E1166" s="6" t="s">
        <v>51</v>
      </c>
      <c r="F1166" s="6" t="s">
        <v>51</v>
      </c>
      <c r="G1166" s="6" t="s">
        <v>32</v>
      </c>
      <c r="H1166" s="6" t="s">
        <v>33</v>
      </c>
      <c r="I1166" s="6" t="s">
        <v>767</v>
      </c>
      <c r="J1166" s="6" t="s">
        <v>767</v>
      </c>
      <c r="K1166" s="7">
        <v>6146923</v>
      </c>
      <c r="L1166" s="7">
        <v>319509</v>
      </c>
      <c r="M1166" s="7">
        <v>19</v>
      </c>
      <c r="N1166" s="7">
        <v>1</v>
      </c>
      <c r="O1166" s="7">
        <v>32</v>
      </c>
    </row>
    <row r="1167" spans="1:15" x14ac:dyDescent="0.25">
      <c r="A1167" s="6" t="s">
        <v>28</v>
      </c>
      <c r="B1167" s="6" t="s">
        <v>414</v>
      </c>
      <c r="C1167" s="7">
        <v>32568</v>
      </c>
      <c r="D1167" s="6" t="s">
        <v>42</v>
      </c>
      <c r="E1167" s="6" t="s">
        <v>51</v>
      </c>
      <c r="F1167" s="6" t="s">
        <v>51</v>
      </c>
      <c r="G1167" s="6" t="s">
        <v>32</v>
      </c>
      <c r="H1167" s="6" t="s">
        <v>33</v>
      </c>
      <c r="I1167" s="6" t="s">
        <v>767</v>
      </c>
      <c r="J1167" s="6" t="s">
        <v>767</v>
      </c>
      <c r="K1167" s="7">
        <v>6146251</v>
      </c>
      <c r="L1167" s="7">
        <v>319522</v>
      </c>
      <c r="M1167" s="7">
        <v>19</v>
      </c>
      <c r="N1167" s="7">
        <v>2</v>
      </c>
      <c r="O1167" s="7">
        <v>30</v>
      </c>
    </row>
    <row r="1168" spans="1:15" x14ac:dyDescent="0.25">
      <c r="A1168" s="6" t="s">
        <v>28</v>
      </c>
      <c r="B1168" s="6" t="s">
        <v>414</v>
      </c>
      <c r="C1168" s="7">
        <v>32577</v>
      </c>
      <c r="D1168" s="6" t="s">
        <v>42</v>
      </c>
      <c r="E1168" s="6" t="s">
        <v>51</v>
      </c>
      <c r="F1168" s="6" t="s">
        <v>51</v>
      </c>
      <c r="G1168" s="6" t="s">
        <v>32</v>
      </c>
      <c r="H1168" s="6" t="s">
        <v>33</v>
      </c>
      <c r="I1168" s="6" t="s">
        <v>767</v>
      </c>
      <c r="J1168" s="6" t="s">
        <v>767</v>
      </c>
      <c r="K1168" s="7">
        <v>6146137</v>
      </c>
      <c r="L1168" s="7">
        <v>320140</v>
      </c>
      <c r="M1168" s="7">
        <v>19</v>
      </c>
      <c r="N1168" s="7">
        <v>1</v>
      </c>
      <c r="O1168" s="7">
        <v>22</v>
      </c>
    </row>
    <row r="1169" spans="1:15" x14ac:dyDescent="0.25">
      <c r="A1169" s="6" t="s">
        <v>28</v>
      </c>
      <c r="B1169" s="6" t="s">
        <v>414</v>
      </c>
      <c r="C1169" s="7">
        <v>32584</v>
      </c>
      <c r="D1169" s="6" t="s">
        <v>42</v>
      </c>
      <c r="E1169" s="6" t="s">
        <v>51</v>
      </c>
      <c r="F1169" s="6" t="s">
        <v>51</v>
      </c>
      <c r="G1169" s="6" t="s">
        <v>32</v>
      </c>
      <c r="H1169" s="6" t="s">
        <v>33</v>
      </c>
      <c r="I1169" s="6" t="s">
        <v>767</v>
      </c>
      <c r="J1169" s="6" t="s">
        <v>767</v>
      </c>
      <c r="K1169" s="7">
        <v>6156661</v>
      </c>
      <c r="L1169" s="7">
        <v>317049</v>
      </c>
      <c r="M1169" s="7">
        <v>19</v>
      </c>
      <c r="N1169" s="7">
        <v>2</v>
      </c>
      <c r="O1169" s="7">
        <v>17</v>
      </c>
    </row>
    <row r="1170" spans="1:15" x14ac:dyDescent="0.25">
      <c r="A1170" s="6" t="s">
        <v>28</v>
      </c>
      <c r="B1170" s="6" t="s">
        <v>414</v>
      </c>
      <c r="C1170" s="7">
        <v>32590</v>
      </c>
      <c r="D1170" s="6" t="s">
        <v>42</v>
      </c>
      <c r="E1170" s="6" t="s">
        <v>192</v>
      </c>
      <c r="F1170" s="6" t="s">
        <v>192</v>
      </c>
      <c r="G1170" s="6" t="s">
        <v>32</v>
      </c>
      <c r="H1170" s="6" t="s">
        <v>33</v>
      </c>
      <c r="I1170" s="6" t="s">
        <v>767</v>
      </c>
      <c r="J1170" s="6" t="s">
        <v>764</v>
      </c>
      <c r="K1170" s="7">
        <v>6235862</v>
      </c>
      <c r="L1170" s="7">
        <v>341042</v>
      </c>
      <c r="M1170" s="7">
        <v>19</v>
      </c>
      <c r="N1170" s="7">
        <v>5</v>
      </c>
      <c r="O1170" s="7">
        <v>37</v>
      </c>
    </row>
    <row r="1171" spans="1:15" x14ac:dyDescent="0.25">
      <c r="A1171" s="6" t="s">
        <v>28</v>
      </c>
      <c r="B1171" s="6" t="s">
        <v>414</v>
      </c>
      <c r="C1171" s="7">
        <v>32592</v>
      </c>
      <c r="D1171" s="6" t="s">
        <v>42</v>
      </c>
      <c r="E1171" s="6" t="s">
        <v>192</v>
      </c>
      <c r="F1171" s="6" t="s">
        <v>192</v>
      </c>
      <c r="G1171" s="6" t="s">
        <v>32</v>
      </c>
      <c r="H1171" s="6" t="s">
        <v>33</v>
      </c>
      <c r="I1171" s="6" t="s">
        <v>767</v>
      </c>
      <c r="J1171" s="6" t="s">
        <v>764</v>
      </c>
      <c r="K1171" s="7">
        <v>6236321</v>
      </c>
      <c r="L1171" s="7">
        <v>340947</v>
      </c>
      <c r="M1171" s="7">
        <v>19</v>
      </c>
      <c r="N1171" s="7">
        <v>3</v>
      </c>
      <c r="O1171" s="7">
        <v>20</v>
      </c>
    </row>
    <row r="1172" spans="1:15" x14ac:dyDescent="0.25">
      <c r="A1172" s="6" t="s">
        <v>28</v>
      </c>
      <c r="B1172" s="6" t="s">
        <v>414</v>
      </c>
      <c r="C1172" s="7">
        <v>32628</v>
      </c>
      <c r="D1172" s="6" t="s">
        <v>42</v>
      </c>
      <c r="E1172" s="6" t="s">
        <v>196</v>
      </c>
      <c r="F1172" s="6" t="s">
        <v>203</v>
      </c>
      <c r="G1172" s="6" t="s">
        <v>32</v>
      </c>
      <c r="H1172" s="6" t="s">
        <v>19</v>
      </c>
      <c r="I1172" s="6" t="s">
        <v>767</v>
      </c>
      <c r="J1172" s="6" t="s">
        <v>767</v>
      </c>
      <c r="K1172" s="7">
        <v>6220484</v>
      </c>
      <c r="L1172" s="7">
        <v>335968</v>
      </c>
      <c r="M1172" s="7">
        <v>19</v>
      </c>
      <c r="N1172" s="7">
        <v>1</v>
      </c>
      <c r="O1172" s="7">
        <v>0.5</v>
      </c>
    </row>
    <row r="1173" spans="1:15" x14ac:dyDescent="0.25">
      <c r="A1173" s="6" t="s">
        <v>28</v>
      </c>
      <c r="B1173" s="6" t="s">
        <v>414</v>
      </c>
      <c r="C1173" s="7">
        <v>32634</v>
      </c>
      <c r="D1173" s="6" t="s">
        <v>42</v>
      </c>
      <c r="E1173" s="6" t="s">
        <v>43</v>
      </c>
      <c r="F1173" s="6" t="s">
        <v>459</v>
      </c>
      <c r="G1173" s="6" t="s">
        <v>32</v>
      </c>
      <c r="H1173" s="6" t="s">
        <v>19</v>
      </c>
      <c r="I1173" s="6" t="s">
        <v>767</v>
      </c>
      <c r="J1173" s="6" t="s">
        <v>767</v>
      </c>
      <c r="K1173" s="7">
        <v>6195029</v>
      </c>
      <c r="L1173" s="7">
        <v>334695</v>
      </c>
      <c r="M1173" s="7">
        <v>19</v>
      </c>
      <c r="N1173" s="7">
        <v>1</v>
      </c>
      <c r="O1173" s="7">
        <v>1</v>
      </c>
    </row>
    <row r="1174" spans="1:15" x14ac:dyDescent="0.25">
      <c r="A1174" s="6" t="s">
        <v>28</v>
      </c>
      <c r="B1174" s="6" t="s">
        <v>414</v>
      </c>
      <c r="C1174" s="7">
        <v>32635</v>
      </c>
      <c r="D1174" s="6" t="s">
        <v>42</v>
      </c>
      <c r="E1174" s="6" t="s">
        <v>43</v>
      </c>
      <c r="F1174" s="6" t="s">
        <v>43</v>
      </c>
      <c r="G1174" s="6" t="s">
        <v>32</v>
      </c>
      <c r="H1174" s="6" t="s">
        <v>19</v>
      </c>
      <c r="I1174" s="6" t="s">
        <v>767</v>
      </c>
      <c r="J1174" s="6" t="s">
        <v>767</v>
      </c>
      <c r="K1174" s="7">
        <v>6196711</v>
      </c>
      <c r="L1174" s="7">
        <v>324983</v>
      </c>
      <c r="M1174" s="7">
        <v>19</v>
      </c>
      <c r="N1174" s="7">
        <v>1</v>
      </c>
      <c r="O1174" s="7">
        <v>7</v>
      </c>
    </row>
    <row r="1175" spans="1:15" x14ac:dyDescent="0.25">
      <c r="A1175" s="6" t="s">
        <v>28</v>
      </c>
      <c r="B1175" s="6" t="s">
        <v>414</v>
      </c>
      <c r="C1175" s="7">
        <v>32636</v>
      </c>
      <c r="D1175" s="6" t="s">
        <v>42</v>
      </c>
      <c r="E1175" s="6" t="s">
        <v>43</v>
      </c>
      <c r="F1175" s="6" t="s">
        <v>440</v>
      </c>
      <c r="G1175" s="6" t="s">
        <v>32</v>
      </c>
      <c r="H1175" s="6" t="s">
        <v>19</v>
      </c>
      <c r="I1175" s="6" t="s">
        <v>767</v>
      </c>
      <c r="J1175" s="6" t="s">
        <v>767</v>
      </c>
      <c r="K1175" s="7">
        <v>6197007</v>
      </c>
      <c r="L1175" s="7">
        <v>324950</v>
      </c>
      <c r="M1175" s="7">
        <v>19</v>
      </c>
      <c r="N1175" s="7">
        <v>1</v>
      </c>
      <c r="O1175" s="7">
        <v>1.6</v>
      </c>
    </row>
    <row r="1176" spans="1:15" x14ac:dyDescent="0.25">
      <c r="A1176" s="6" t="s">
        <v>28</v>
      </c>
      <c r="B1176" s="6" t="s">
        <v>414</v>
      </c>
      <c r="C1176" s="7">
        <v>32637</v>
      </c>
      <c r="D1176" s="6" t="s">
        <v>42</v>
      </c>
      <c r="E1176" s="6" t="s">
        <v>43</v>
      </c>
      <c r="F1176" s="6" t="s">
        <v>438</v>
      </c>
      <c r="G1176" s="6" t="s">
        <v>32</v>
      </c>
      <c r="H1176" s="6" t="s">
        <v>19</v>
      </c>
      <c r="I1176" s="6" t="s">
        <v>767</v>
      </c>
      <c r="J1176" s="6" t="s">
        <v>767</v>
      </c>
      <c r="K1176" s="7">
        <v>6197823</v>
      </c>
      <c r="L1176" s="7">
        <v>325798</v>
      </c>
      <c r="M1176" s="7">
        <v>19</v>
      </c>
      <c r="N1176" s="7">
        <v>1</v>
      </c>
      <c r="O1176" s="7">
        <v>6.5</v>
      </c>
    </row>
    <row r="1177" spans="1:15" x14ac:dyDescent="0.25">
      <c r="A1177" s="6" t="s">
        <v>28</v>
      </c>
      <c r="B1177" s="6" t="s">
        <v>414</v>
      </c>
      <c r="C1177" s="7">
        <v>32639</v>
      </c>
      <c r="D1177" s="6" t="s">
        <v>42</v>
      </c>
      <c r="E1177" s="6" t="s">
        <v>43</v>
      </c>
      <c r="F1177" s="6" t="s">
        <v>43</v>
      </c>
      <c r="G1177" s="6" t="s">
        <v>32</v>
      </c>
      <c r="H1177" s="6" t="s">
        <v>19</v>
      </c>
      <c r="I1177" s="6" t="s">
        <v>767</v>
      </c>
      <c r="J1177" s="6" t="s">
        <v>767</v>
      </c>
      <c r="K1177" s="7">
        <v>6197768</v>
      </c>
      <c r="L1177" s="7">
        <v>326106</v>
      </c>
      <c r="M1177" s="7">
        <v>19</v>
      </c>
      <c r="N1177" s="7">
        <v>1</v>
      </c>
      <c r="O1177" s="7">
        <v>0.7</v>
      </c>
    </row>
    <row r="1178" spans="1:15" x14ac:dyDescent="0.25">
      <c r="A1178" s="6" t="s">
        <v>28</v>
      </c>
      <c r="B1178" s="6" t="s">
        <v>414</v>
      </c>
      <c r="C1178" s="7">
        <v>32640</v>
      </c>
      <c r="D1178" s="6" t="s">
        <v>42</v>
      </c>
      <c r="E1178" s="6" t="s">
        <v>66</v>
      </c>
      <c r="F1178" s="6" t="s">
        <v>66</v>
      </c>
      <c r="G1178" s="6" t="s">
        <v>32</v>
      </c>
      <c r="H1178" s="6" t="s">
        <v>19</v>
      </c>
      <c r="I1178" s="6" t="s">
        <v>767</v>
      </c>
      <c r="J1178" s="6" t="s">
        <v>767</v>
      </c>
      <c r="K1178" s="7">
        <v>6227382</v>
      </c>
      <c r="L1178" s="7">
        <v>352241</v>
      </c>
      <c r="M1178" s="7">
        <v>19</v>
      </c>
      <c r="N1178" s="7">
        <v>1</v>
      </c>
      <c r="O1178" s="7">
        <v>0.5</v>
      </c>
    </row>
    <row r="1179" spans="1:15" x14ac:dyDescent="0.25">
      <c r="A1179" s="6" t="s">
        <v>28</v>
      </c>
      <c r="B1179" s="6" t="s">
        <v>414</v>
      </c>
      <c r="C1179" s="7">
        <v>32641</v>
      </c>
      <c r="D1179" s="6" t="s">
        <v>42</v>
      </c>
      <c r="E1179" s="6" t="s">
        <v>43</v>
      </c>
      <c r="F1179" s="6" t="s">
        <v>43</v>
      </c>
      <c r="G1179" s="6" t="s">
        <v>32</v>
      </c>
      <c r="H1179" s="6" t="s">
        <v>19</v>
      </c>
      <c r="I1179" s="6" t="s">
        <v>767</v>
      </c>
      <c r="J1179" s="6" t="s">
        <v>767</v>
      </c>
      <c r="K1179" s="7">
        <v>6200532</v>
      </c>
      <c r="L1179" s="7">
        <v>331792</v>
      </c>
      <c r="M1179" s="7">
        <v>19</v>
      </c>
      <c r="N1179" s="7">
        <v>1</v>
      </c>
      <c r="O1179" s="7">
        <v>0.8</v>
      </c>
    </row>
    <row r="1180" spans="1:15" x14ac:dyDescent="0.25">
      <c r="A1180" s="6" t="s">
        <v>28</v>
      </c>
      <c r="B1180" s="6" t="s">
        <v>414</v>
      </c>
      <c r="C1180" s="7">
        <v>32692</v>
      </c>
      <c r="D1180" s="6" t="s">
        <v>39</v>
      </c>
      <c r="E1180" s="6" t="s">
        <v>72</v>
      </c>
      <c r="F1180" s="6" t="s">
        <v>131</v>
      </c>
      <c r="G1180" s="6" t="s">
        <v>32</v>
      </c>
      <c r="H1180" s="6" t="s">
        <v>19</v>
      </c>
      <c r="I1180" s="6" t="s">
        <v>767</v>
      </c>
      <c r="J1180" s="6" t="s">
        <v>767</v>
      </c>
      <c r="K1180" s="7">
        <v>6064949</v>
      </c>
      <c r="L1180" s="7">
        <v>283456</v>
      </c>
      <c r="M1180" s="7">
        <v>19</v>
      </c>
      <c r="N1180" s="7">
        <v>1</v>
      </c>
      <c r="O1180" s="7">
        <v>0.6</v>
      </c>
    </row>
    <row r="1181" spans="1:15" x14ac:dyDescent="0.25">
      <c r="A1181" s="6" t="s">
        <v>28</v>
      </c>
      <c r="B1181" s="6" t="s">
        <v>414</v>
      </c>
      <c r="C1181" s="7">
        <v>32696</v>
      </c>
      <c r="D1181" s="6" t="s">
        <v>39</v>
      </c>
      <c r="E1181" s="6" t="s">
        <v>72</v>
      </c>
      <c r="F1181" s="6" t="s">
        <v>157</v>
      </c>
      <c r="G1181" s="6" t="s">
        <v>32</v>
      </c>
      <c r="H1181" s="6" t="s">
        <v>19</v>
      </c>
      <c r="I1181" s="6" t="s">
        <v>767</v>
      </c>
      <c r="J1181" s="6" t="s">
        <v>767</v>
      </c>
      <c r="K1181" s="7">
        <v>6069069</v>
      </c>
      <c r="L1181" s="7">
        <v>285623</v>
      </c>
      <c r="M1181" s="7">
        <v>19</v>
      </c>
      <c r="N1181" s="7">
        <v>1</v>
      </c>
      <c r="O1181" s="7">
        <v>1.5</v>
      </c>
    </row>
    <row r="1182" spans="1:15" x14ac:dyDescent="0.25">
      <c r="A1182" s="6" t="s">
        <v>28</v>
      </c>
      <c r="B1182" s="6" t="s">
        <v>414</v>
      </c>
      <c r="C1182" s="7">
        <v>32699</v>
      </c>
      <c r="D1182" s="6" t="s">
        <v>24</v>
      </c>
      <c r="E1182" s="6" t="s">
        <v>478</v>
      </c>
      <c r="F1182" s="6" t="s">
        <v>479</v>
      </c>
      <c r="G1182" s="6" t="s">
        <v>32</v>
      </c>
      <c r="H1182" s="6" t="s">
        <v>19</v>
      </c>
      <c r="I1182" s="6" t="s">
        <v>767</v>
      </c>
      <c r="J1182" s="6" t="s">
        <v>767</v>
      </c>
      <c r="K1182" s="7">
        <v>6292578</v>
      </c>
      <c r="L1182" s="7">
        <v>353397</v>
      </c>
      <c r="M1182" s="7">
        <v>19</v>
      </c>
      <c r="N1182" s="7">
        <v>1</v>
      </c>
      <c r="O1182" s="7">
        <v>3.1</v>
      </c>
    </row>
    <row r="1183" spans="1:15" x14ac:dyDescent="0.25">
      <c r="A1183" s="6" t="s">
        <v>28</v>
      </c>
      <c r="B1183" s="6" t="s">
        <v>414</v>
      </c>
      <c r="C1183" s="7">
        <v>32703</v>
      </c>
      <c r="D1183" s="6" t="s">
        <v>24</v>
      </c>
      <c r="E1183" s="6" t="s">
        <v>478</v>
      </c>
      <c r="F1183" s="6" t="s">
        <v>479</v>
      </c>
      <c r="G1183" s="6" t="s">
        <v>32</v>
      </c>
      <c r="H1183" s="6" t="s">
        <v>153</v>
      </c>
      <c r="I1183" s="6" t="s">
        <v>767</v>
      </c>
      <c r="J1183" s="6" t="s">
        <v>764</v>
      </c>
      <c r="K1183" s="7">
        <v>6292578</v>
      </c>
      <c r="L1183" s="7">
        <v>353397</v>
      </c>
      <c r="M1183" s="7">
        <v>19</v>
      </c>
      <c r="N1183" s="7">
        <v>1</v>
      </c>
      <c r="O1183" s="7">
        <v>11.91</v>
      </c>
    </row>
    <row r="1184" spans="1:15" x14ac:dyDescent="0.25">
      <c r="A1184" s="6" t="s">
        <v>14</v>
      </c>
      <c r="B1184" s="6" t="s">
        <v>414</v>
      </c>
      <c r="C1184" s="7">
        <v>32709</v>
      </c>
      <c r="D1184" s="6" t="s">
        <v>39</v>
      </c>
      <c r="E1184" s="6" t="s">
        <v>72</v>
      </c>
      <c r="F1184" s="6" t="s">
        <v>465</v>
      </c>
      <c r="G1184" s="6" t="s">
        <v>32</v>
      </c>
      <c r="H1184" s="6" t="s">
        <v>19</v>
      </c>
      <c r="I1184" s="6" t="s">
        <v>767</v>
      </c>
      <c r="J1184" s="6" t="s">
        <v>767</v>
      </c>
      <c r="K1184" s="7">
        <v>6058156</v>
      </c>
      <c r="L1184" s="7">
        <v>285110</v>
      </c>
      <c r="M1184" s="7">
        <v>19</v>
      </c>
      <c r="N1184" s="7">
        <v>1</v>
      </c>
      <c r="O1184" s="7">
        <v>0.4</v>
      </c>
    </row>
    <row r="1185" spans="1:15" x14ac:dyDescent="0.25">
      <c r="A1185" s="6" t="s">
        <v>28</v>
      </c>
      <c r="B1185" s="6" t="s">
        <v>414</v>
      </c>
      <c r="C1185" s="7">
        <v>32710</v>
      </c>
      <c r="D1185" s="6" t="s">
        <v>39</v>
      </c>
      <c r="E1185" s="6" t="s">
        <v>72</v>
      </c>
      <c r="F1185" s="6" t="s">
        <v>131</v>
      </c>
      <c r="G1185" s="6" t="s">
        <v>32</v>
      </c>
      <c r="H1185" s="6" t="s">
        <v>19</v>
      </c>
      <c r="I1185" s="6" t="s">
        <v>767</v>
      </c>
      <c r="J1185" s="6" t="s">
        <v>767</v>
      </c>
      <c r="K1185" s="7">
        <v>6062987</v>
      </c>
      <c r="L1185" s="7">
        <v>282101</v>
      </c>
      <c r="M1185" s="7">
        <v>19</v>
      </c>
      <c r="N1185" s="7">
        <v>1</v>
      </c>
      <c r="O1185" s="7">
        <v>0.6</v>
      </c>
    </row>
    <row r="1186" spans="1:15" x14ac:dyDescent="0.25">
      <c r="A1186" s="6" t="s">
        <v>28</v>
      </c>
      <c r="B1186" s="6" t="s">
        <v>414</v>
      </c>
      <c r="C1186" s="7">
        <v>32711</v>
      </c>
      <c r="D1186" s="6" t="s">
        <v>39</v>
      </c>
      <c r="E1186" s="6" t="s">
        <v>72</v>
      </c>
      <c r="F1186" s="6" t="s">
        <v>210</v>
      </c>
      <c r="G1186" s="6" t="s">
        <v>32</v>
      </c>
      <c r="H1186" s="6" t="s">
        <v>19</v>
      </c>
      <c r="I1186" s="6" t="s">
        <v>767</v>
      </c>
      <c r="J1186" s="6" t="s">
        <v>767</v>
      </c>
      <c r="K1186" s="7">
        <v>6067678</v>
      </c>
      <c r="L1186" s="7">
        <v>283023</v>
      </c>
      <c r="M1186" s="7">
        <v>19</v>
      </c>
      <c r="N1186" s="7">
        <v>1</v>
      </c>
      <c r="O1186" s="7">
        <v>0.4</v>
      </c>
    </row>
    <row r="1187" spans="1:15" x14ac:dyDescent="0.25">
      <c r="A1187" s="6" t="s">
        <v>28</v>
      </c>
      <c r="B1187" s="6" t="s">
        <v>414</v>
      </c>
      <c r="C1187" s="7">
        <v>32712</v>
      </c>
      <c r="D1187" s="6" t="s">
        <v>39</v>
      </c>
      <c r="E1187" s="6" t="s">
        <v>72</v>
      </c>
      <c r="F1187" s="6" t="s">
        <v>131</v>
      </c>
      <c r="G1187" s="6" t="s">
        <v>32</v>
      </c>
      <c r="H1187" s="6" t="s">
        <v>19</v>
      </c>
      <c r="I1187" s="6" t="s">
        <v>767</v>
      </c>
      <c r="J1187" s="6" t="s">
        <v>767</v>
      </c>
      <c r="K1187" s="7">
        <v>6064045</v>
      </c>
      <c r="L1187" s="7">
        <v>283057</v>
      </c>
      <c r="M1187" s="7">
        <v>19</v>
      </c>
      <c r="N1187" s="7">
        <v>1</v>
      </c>
      <c r="O1187" s="7">
        <v>0.4</v>
      </c>
    </row>
    <row r="1188" spans="1:15" x14ac:dyDescent="0.25">
      <c r="A1188" s="6" t="s">
        <v>28</v>
      </c>
      <c r="B1188" s="6" t="s">
        <v>414</v>
      </c>
      <c r="C1188" s="7">
        <v>32713</v>
      </c>
      <c r="D1188" s="6" t="s">
        <v>39</v>
      </c>
      <c r="E1188" s="6" t="s">
        <v>72</v>
      </c>
      <c r="F1188" s="6" t="s">
        <v>471</v>
      </c>
      <c r="G1188" s="6" t="s">
        <v>32</v>
      </c>
      <c r="H1188" s="6" t="s">
        <v>19</v>
      </c>
      <c r="I1188" s="6" t="s">
        <v>767</v>
      </c>
      <c r="J1188" s="6" t="s">
        <v>767</v>
      </c>
      <c r="K1188" s="7">
        <v>6057886</v>
      </c>
      <c r="L1188" s="7">
        <v>280948</v>
      </c>
      <c r="M1188" s="7">
        <v>19</v>
      </c>
      <c r="N1188" s="7">
        <v>1</v>
      </c>
      <c r="O1188" s="7">
        <v>0.4</v>
      </c>
    </row>
    <row r="1189" spans="1:15" x14ac:dyDescent="0.25">
      <c r="A1189" s="6" t="s">
        <v>28</v>
      </c>
      <c r="B1189" s="6" t="s">
        <v>414</v>
      </c>
      <c r="C1189" s="7">
        <v>32714</v>
      </c>
      <c r="D1189" s="6" t="s">
        <v>39</v>
      </c>
      <c r="E1189" s="6" t="s">
        <v>72</v>
      </c>
      <c r="F1189" s="6" t="s">
        <v>131</v>
      </c>
      <c r="G1189" s="6" t="s">
        <v>32</v>
      </c>
      <c r="H1189" s="6" t="s">
        <v>19</v>
      </c>
      <c r="I1189" s="6" t="s">
        <v>767</v>
      </c>
      <c r="J1189" s="6" t="s">
        <v>767</v>
      </c>
      <c r="K1189" s="7">
        <v>6070620</v>
      </c>
      <c r="L1189" s="7">
        <v>282346</v>
      </c>
      <c r="M1189" s="7">
        <v>19</v>
      </c>
      <c r="N1189" s="7">
        <v>1</v>
      </c>
      <c r="O1189" s="7">
        <v>0.4</v>
      </c>
    </row>
    <row r="1190" spans="1:15" x14ac:dyDescent="0.25">
      <c r="A1190" s="6" t="s">
        <v>28</v>
      </c>
      <c r="B1190" s="6" t="s">
        <v>414</v>
      </c>
      <c r="C1190" s="7">
        <v>32715</v>
      </c>
      <c r="D1190" s="6" t="s">
        <v>39</v>
      </c>
      <c r="E1190" s="6" t="s">
        <v>72</v>
      </c>
      <c r="F1190" s="6" t="s">
        <v>131</v>
      </c>
      <c r="G1190" s="6" t="s">
        <v>32</v>
      </c>
      <c r="H1190" s="6" t="s">
        <v>19</v>
      </c>
      <c r="I1190" s="6" t="s">
        <v>767</v>
      </c>
      <c r="J1190" s="6" t="s">
        <v>767</v>
      </c>
      <c r="K1190" s="7">
        <v>6062579</v>
      </c>
      <c r="L1190" s="7">
        <v>282227</v>
      </c>
      <c r="M1190" s="7">
        <v>19</v>
      </c>
      <c r="N1190" s="7">
        <v>1</v>
      </c>
      <c r="O1190" s="7">
        <v>3</v>
      </c>
    </row>
    <row r="1191" spans="1:15" x14ac:dyDescent="0.25">
      <c r="A1191" s="6" t="s">
        <v>28</v>
      </c>
      <c r="B1191" s="6" t="s">
        <v>414</v>
      </c>
      <c r="C1191" s="7">
        <v>32719</v>
      </c>
      <c r="D1191" s="6" t="s">
        <v>24</v>
      </c>
      <c r="E1191" s="6" t="s">
        <v>429</v>
      </c>
      <c r="F1191" s="6" t="s">
        <v>429</v>
      </c>
      <c r="G1191" s="6" t="s">
        <v>32</v>
      </c>
      <c r="H1191" s="6" t="s">
        <v>19</v>
      </c>
      <c r="I1191" s="6" t="s">
        <v>767</v>
      </c>
      <c r="J1191" s="6" t="s">
        <v>767</v>
      </c>
      <c r="K1191" s="7">
        <v>6302511</v>
      </c>
      <c r="L1191" s="7">
        <v>328326</v>
      </c>
      <c r="M1191" s="7">
        <v>19</v>
      </c>
      <c r="N1191" s="7">
        <v>1</v>
      </c>
      <c r="O1191" s="7">
        <v>0.5</v>
      </c>
    </row>
    <row r="1192" spans="1:15" x14ac:dyDescent="0.25">
      <c r="A1192" s="6" t="s">
        <v>28</v>
      </c>
      <c r="B1192" s="6" t="s">
        <v>414</v>
      </c>
      <c r="C1192" s="7">
        <v>32720</v>
      </c>
      <c r="D1192" s="6" t="s">
        <v>24</v>
      </c>
      <c r="E1192" s="6" t="s">
        <v>429</v>
      </c>
      <c r="F1192" s="6" t="s">
        <v>429</v>
      </c>
      <c r="G1192" s="6" t="s">
        <v>32</v>
      </c>
      <c r="H1192" s="6" t="s">
        <v>19</v>
      </c>
      <c r="I1192" s="6" t="s">
        <v>767</v>
      </c>
      <c r="J1192" s="6" t="s">
        <v>767</v>
      </c>
      <c r="K1192" s="7">
        <v>6302762</v>
      </c>
      <c r="L1192" s="7">
        <v>328511</v>
      </c>
      <c r="M1192" s="7">
        <v>19</v>
      </c>
      <c r="N1192" s="7">
        <v>1</v>
      </c>
      <c r="O1192" s="7">
        <v>3</v>
      </c>
    </row>
    <row r="1193" spans="1:15" x14ac:dyDescent="0.25">
      <c r="A1193" s="6" t="s">
        <v>28</v>
      </c>
      <c r="B1193" s="6" t="s">
        <v>414</v>
      </c>
      <c r="C1193" s="7">
        <v>32721</v>
      </c>
      <c r="D1193" s="6" t="s">
        <v>39</v>
      </c>
      <c r="E1193" s="6" t="s">
        <v>72</v>
      </c>
      <c r="F1193" s="6" t="s">
        <v>131</v>
      </c>
      <c r="G1193" s="6" t="s">
        <v>32</v>
      </c>
      <c r="H1193" s="6" t="s">
        <v>19</v>
      </c>
      <c r="I1193" s="6" t="s">
        <v>767</v>
      </c>
      <c r="J1193" s="6" t="s">
        <v>767</v>
      </c>
      <c r="K1193" s="7">
        <v>6064477</v>
      </c>
      <c r="L1193" s="7">
        <v>282833</v>
      </c>
      <c r="M1193" s="7">
        <v>19</v>
      </c>
      <c r="N1193" s="7">
        <v>1</v>
      </c>
      <c r="O1193" s="7">
        <v>1</v>
      </c>
    </row>
    <row r="1194" spans="1:15" x14ac:dyDescent="0.25">
      <c r="A1194" s="6" t="s">
        <v>28</v>
      </c>
      <c r="B1194" s="6" t="s">
        <v>414</v>
      </c>
      <c r="C1194" s="7">
        <v>32816</v>
      </c>
      <c r="D1194" s="6" t="s">
        <v>39</v>
      </c>
      <c r="E1194" s="6" t="s">
        <v>177</v>
      </c>
      <c r="F1194" s="6" t="s">
        <v>468</v>
      </c>
      <c r="G1194" s="6" t="s">
        <v>32</v>
      </c>
      <c r="H1194" s="6" t="s">
        <v>33</v>
      </c>
      <c r="I1194" s="6" t="s">
        <v>767</v>
      </c>
      <c r="J1194" s="6" t="s">
        <v>767</v>
      </c>
      <c r="K1194" s="7">
        <v>6046528</v>
      </c>
      <c r="L1194" s="7">
        <v>282025</v>
      </c>
      <c r="M1194" s="7">
        <v>19</v>
      </c>
      <c r="N1194" s="7">
        <v>1</v>
      </c>
      <c r="O1194" s="7">
        <v>8</v>
      </c>
    </row>
    <row r="1195" spans="1:15" x14ac:dyDescent="0.25">
      <c r="A1195" s="6" t="s">
        <v>28</v>
      </c>
      <c r="B1195" s="6" t="s">
        <v>414</v>
      </c>
      <c r="C1195" s="7">
        <v>32818</v>
      </c>
      <c r="D1195" s="6" t="s">
        <v>39</v>
      </c>
      <c r="E1195" s="6" t="s">
        <v>70</v>
      </c>
      <c r="F1195" s="6" t="s">
        <v>480</v>
      </c>
      <c r="G1195" s="6" t="s">
        <v>32</v>
      </c>
      <c r="H1195" s="6" t="s">
        <v>33</v>
      </c>
      <c r="I1195" s="6" t="s">
        <v>767</v>
      </c>
      <c r="J1195" s="6" t="s">
        <v>764</v>
      </c>
      <c r="K1195" s="7">
        <v>6075508</v>
      </c>
      <c r="L1195" s="7">
        <v>265564</v>
      </c>
      <c r="M1195" s="7">
        <v>19</v>
      </c>
      <c r="N1195" s="7">
        <v>1</v>
      </c>
      <c r="O1195" s="7">
        <v>9</v>
      </c>
    </row>
    <row r="1196" spans="1:15" x14ac:dyDescent="0.25">
      <c r="A1196" s="6" t="s">
        <v>28</v>
      </c>
      <c r="B1196" s="6" t="s">
        <v>414</v>
      </c>
      <c r="C1196" s="7">
        <v>32820</v>
      </c>
      <c r="D1196" s="6" t="s">
        <v>39</v>
      </c>
      <c r="E1196" s="6" t="s">
        <v>70</v>
      </c>
      <c r="F1196" s="6" t="s">
        <v>480</v>
      </c>
      <c r="G1196" s="6" t="s">
        <v>32</v>
      </c>
      <c r="H1196" s="6" t="s">
        <v>33</v>
      </c>
      <c r="I1196" s="6" t="s">
        <v>767</v>
      </c>
      <c r="J1196" s="6" t="s">
        <v>764</v>
      </c>
      <c r="K1196" s="7">
        <v>6075694</v>
      </c>
      <c r="L1196" s="7">
        <v>265352</v>
      </c>
      <c r="M1196" s="7">
        <v>19</v>
      </c>
      <c r="N1196" s="7">
        <v>1</v>
      </c>
      <c r="O1196" s="7">
        <v>10</v>
      </c>
    </row>
    <row r="1197" spans="1:15" x14ac:dyDescent="0.25">
      <c r="A1197" s="6" t="s">
        <v>28</v>
      </c>
      <c r="B1197" s="6" t="s">
        <v>414</v>
      </c>
      <c r="C1197" s="7">
        <v>32823</v>
      </c>
      <c r="D1197" s="6" t="s">
        <v>39</v>
      </c>
      <c r="E1197" s="6" t="s">
        <v>72</v>
      </c>
      <c r="F1197" s="6" t="s">
        <v>72</v>
      </c>
      <c r="G1197" s="6" t="s">
        <v>32</v>
      </c>
      <c r="H1197" s="6" t="s">
        <v>33</v>
      </c>
      <c r="I1197" s="6" t="s">
        <v>767</v>
      </c>
      <c r="J1197" s="6" t="s">
        <v>767</v>
      </c>
      <c r="K1197" s="7">
        <v>6068816</v>
      </c>
      <c r="L1197" s="7">
        <v>277192</v>
      </c>
      <c r="M1197" s="7">
        <v>19</v>
      </c>
      <c r="N1197" s="7">
        <v>1</v>
      </c>
      <c r="O1197" s="7">
        <v>25</v>
      </c>
    </row>
    <row r="1198" spans="1:15" x14ac:dyDescent="0.25">
      <c r="A1198" s="6" t="s">
        <v>28</v>
      </c>
      <c r="B1198" s="6" t="s">
        <v>414</v>
      </c>
      <c r="C1198" s="7">
        <v>32825</v>
      </c>
      <c r="D1198" s="6" t="s">
        <v>39</v>
      </c>
      <c r="E1198" s="6" t="s">
        <v>40</v>
      </c>
      <c r="F1198" s="6" t="s">
        <v>181</v>
      </c>
      <c r="G1198" s="6" t="s">
        <v>32</v>
      </c>
      <c r="H1198" s="6" t="s">
        <v>33</v>
      </c>
      <c r="I1198" s="6" t="s">
        <v>767</v>
      </c>
      <c r="J1198" s="6" t="s">
        <v>767</v>
      </c>
      <c r="K1198" s="7">
        <v>6114523</v>
      </c>
      <c r="L1198" s="7">
        <v>305911</v>
      </c>
      <c r="M1198" s="7">
        <v>19</v>
      </c>
      <c r="N1198" s="7">
        <v>3</v>
      </c>
      <c r="O1198" s="7">
        <v>40</v>
      </c>
    </row>
    <row r="1199" spans="1:15" x14ac:dyDescent="0.25">
      <c r="A1199" s="6" t="s">
        <v>28</v>
      </c>
      <c r="B1199" s="6" t="s">
        <v>414</v>
      </c>
      <c r="C1199" s="7">
        <v>32828</v>
      </c>
      <c r="D1199" s="6" t="s">
        <v>39</v>
      </c>
      <c r="E1199" s="6" t="s">
        <v>72</v>
      </c>
      <c r="F1199" s="6" t="s">
        <v>72</v>
      </c>
      <c r="G1199" s="6" t="s">
        <v>32</v>
      </c>
      <c r="H1199" s="6" t="s">
        <v>33</v>
      </c>
      <c r="I1199" s="6" t="s">
        <v>767</v>
      </c>
      <c r="J1199" s="6" t="s">
        <v>764</v>
      </c>
      <c r="K1199" s="7">
        <v>6068723</v>
      </c>
      <c r="L1199" s="7">
        <v>273155</v>
      </c>
      <c r="M1199" s="7">
        <v>19</v>
      </c>
      <c r="N1199" s="7">
        <v>8</v>
      </c>
      <c r="O1199" s="7">
        <v>48</v>
      </c>
    </row>
    <row r="1200" spans="1:15" x14ac:dyDescent="0.25">
      <c r="A1200" s="6" t="s">
        <v>28</v>
      </c>
      <c r="B1200" s="6" t="s">
        <v>414</v>
      </c>
      <c r="C1200" s="7">
        <v>32829</v>
      </c>
      <c r="D1200" s="6" t="s">
        <v>39</v>
      </c>
      <c r="E1200" s="6" t="s">
        <v>41</v>
      </c>
      <c r="F1200" s="6" t="s">
        <v>41</v>
      </c>
      <c r="G1200" s="6" t="s">
        <v>32</v>
      </c>
      <c r="H1200" s="6" t="s">
        <v>33</v>
      </c>
      <c r="I1200" s="6" t="s">
        <v>767</v>
      </c>
      <c r="J1200" s="6" t="s">
        <v>764</v>
      </c>
      <c r="K1200" s="7">
        <v>6125438</v>
      </c>
      <c r="L1200" s="7">
        <v>284049</v>
      </c>
      <c r="M1200" s="7">
        <v>19</v>
      </c>
      <c r="N1200" s="7">
        <v>2</v>
      </c>
      <c r="O1200" s="7">
        <v>7</v>
      </c>
    </row>
    <row r="1201" spans="1:15" x14ac:dyDescent="0.25">
      <c r="A1201" s="6" t="s">
        <v>28</v>
      </c>
      <c r="B1201" s="6" t="s">
        <v>414</v>
      </c>
      <c r="C1201" s="7">
        <v>32830</v>
      </c>
      <c r="D1201" s="6" t="s">
        <v>39</v>
      </c>
      <c r="E1201" s="6" t="s">
        <v>72</v>
      </c>
      <c r="F1201" s="6" t="s">
        <v>72</v>
      </c>
      <c r="G1201" s="6" t="s">
        <v>32</v>
      </c>
      <c r="H1201" s="6" t="s">
        <v>33</v>
      </c>
      <c r="I1201" s="6" t="s">
        <v>767</v>
      </c>
      <c r="J1201" s="6" t="s">
        <v>764</v>
      </c>
      <c r="K1201" s="7">
        <v>6069223</v>
      </c>
      <c r="L1201" s="7">
        <v>275687</v>
      </c>
      <c r="M1201" s="7">
        <v>19</v>
      </c>
      <c r="N1201" s="7">
        <v>1</v>
      </c>
      <c r="O1201" s="7">
        <v>25</v>
      </c>
    </row>
    <row r="1202" spans="1:15" x14ac:dyDescent="0.25">
      <c r="A1202" s="6" t="s">
        <v>28</v>
      </c>
      <c r="B1202" s="6" t="s">
        <v>414</v>
      </c>
      <c r="C1202" s="7">
        <v>32831</v>
      </c>
      <c r="D1202" s="6" t="s">
        <v>39</v>
      </c>
      <c r="E1202" s="6" t="s">
        <v>310</v>
      </c>
      <c r="F1202" s="6" t="s">
        <v>310</v>
      </c>
      <c r="G1202" s="6" t="s">
        <v>32</v>
      </c>
      <c r="H1202" s="6" t="s">
        <v>33</v>
      </c>
      <c r="I1202" s="6" t="s">
        <v>767</v>
      </c>
      <c r="J1202" s="6" t="s">
        <v>767</v>
      </c>
      <c r="K1202" s="7">
        <v>6115291</v>
      </c>
      <c r="L1202" s="7">
        <v>292872</v>
      </c>
      <c r="M1202" s="7">
        <v>19</v>
      </c>
      <c r="N1202" s="7">
        <v>3</v>
      </c>
      <c r="O1202" s="7">
        <v>48</v>
      </c>
    </row>
    <row r="1203" spans="1:15" x14ac:dyDescent="0.25">
      <c r="A1203" s="6" t="s">
        <v>28</v>
      </c>
      <c r="B1203" s="6" t="s">
        <v>414</v>
      </c>
      <c r="C1203" s="7">
        <v>32833</v>
      </c>
      <c r="D1203" s="6" t="s">
        <v>39</v>
      </c>
      <c r="E1203" s="6" t="s">
        <v>310</v>
      </c>
      <c r="F1203" s="6" t="s">
        <v>310</v>
      </c>
      <c r="G1203" s="6" t="s">
        <v>32</v>
      </c>
      <c r="H1203" s="6" t="s">
        <v>33</v>
      </c>
      <c r="I1203" s="6" t="s">
        <v>767</v>
      </c>
      <c r="J1203" s="6" t="s">
        <v>767</v>
      </c>
      <c r="K1203" s="7">
        <v>6111222</v>
      </c>
      <c r="L1203" s="7">
        <v>294128</v>
      </c>
      <c r="M1203" s="7">
        <v>19</v>
      </c>
      <c r="N1203" s="7">
        <v>1</v>
      </c>
      <c r="O1203" s="7">
        <v>43</v>
      </c>
    </row>
    <row r="1204" spans="1:15" x14ac:dyDescent="0.25">
      <c r="A1204" s="6" t="s">
        <v>28</v>
      </c>
      <c r="B1204" s="6" t="s">
        <v>414</v>
      </c>
      <c r="C1204" s="7">
        <v>32835</v>
      </c>
      <c r="D1204" s="6" t="s">
        <v>39</v>
      </c>
      <c r="E1204" s="6" t="s">
        <v>87</v>
      </c>
      <c r="F1204" s="6" t="s">
        <v>481</v>
      </c>
      <c r="G1204" s="6" t="s">
        <v>32</v>
      </c>
      <c r="H1204" s="6" t="s">
        <v>33</v>
      </c>
      <c r="I1204" s="6" t="s">
        <v>767</v>
      </c>
      <c r="J1204" s="6" t="s">
        <v>764</v>
      </c>
      <c r="K1204" s="7">
        <v>6104000</v>
      </c>
      <c r="L1204" s="7">
        <v>292909</v>
      </c>
      <c r="M1204" s="7">
        <v>19</v>
      </c>
      <c r="N1204" s="7">
        <v>2</v>
      </c>
      <c r="O1204" s="7">
        <v>20</v>
      </c>
    </row>
    <row r="1205" spans="1:15" x14ac:dyDescent="0.25">
      <c r="A1205" s="6" t="s">
        <v>28</v>
      </c>
      <c r="B1205" s="6" t="s">
        <v>414</v>
      </c>
      <c r="C1205" s="7">
        <v>32841</v>
      </c>
      <c r="D1205" s="6" t="s">
        <v>39</v>
      </c>
      <c r="E1205" s="6" t="s">
        <v>482</v>
      </c>
      <c r="F1205" s="6" t="s">
        <v>483</v>
      </c>
      <c r="G1205" s="6" t="s">
        <v>32</v>
      </c>
      <c r="H1205" s="6" t="s">
        <v>33</v>
      </c>
      <c r="I1205" s="6" t="s">
        <v>767</v>
      </c>
      <c r="J1205" s="6" t="s">
        <v>764</v>
      </c>
      <c r="K1205" s="7">
        <v>6057288</v>
      </c>
      <c r="L1205" s="7">
        <v>241716</v>
      </c>
      <c r="M1205" s="7">
        <v>19</v>
      </c>
      <c r="N1205" s="7">
        <v>2</v>
      </c>
      <c r="O1205" s="7">
        <v>72</v>
      </c>
    </row>
    <row r="1206" spans="1:15" x14ac:dyDescent="0.25">
      <c r="A1206" s="6" t="s">
        <v>28</v>
      </c>
      <c r="B1206" s="6" t="s">
        <v>414</v>
      </c>
      <c r="C1206" s="7">
        <v>32842</v>
      </c>
      <c r="D1206" s="6" t="s">
        <v>39</v>
      </c>
      <c r="E1206" s="6" t="s">
        <v>177</v>
      </c>
      <c r="F1206" s="6" t="s">
        <v>484</v>
      </c>
      <c r="G1206" s="6" t="s">
        <v>32</v>
      </c>
      <c r="H1206" s="6" t="s">
        <v>33</v>
      </c>
      <c r="I1206" s="6" t="s">
        <v>767</v>
      </c>
      <c r="J1206" s="6" t="s">
        <v>764</v>
      </c>
      <c r="K1206" s="7">
        <v>6048021</v>
      </c>
      <c r="L1206" s="7">
        <v>279703</v>
      </c>
      <c r="M1206" s="7">
        <v>19</v>
      </c>
      <c r="N1206" s="7">
        <v>1</v>
      </c>
      <c r="O1206" s="7">
        <v>13</v>
      </c>
    </row>
    <row r="1207" spans="1:15" x14ac:dyDescent="0.25">
      <c r="A1207" s="6" t="s">
        <v>22</v>
      </c>
      <c r="B1207" s="6" t="s">
        <v>414</v>
      </c>
      <c r="C1207" s="7">
        <v>32844</v>
      </c>
      <c r="D1207" s="6" t="s">
        <v>42</v>
      </c>
      <c r="E1207" s="6" t="s">
        <v>66</v>
      </c>
      <c r="F1207" s="6" t="s">
        <v>485</v>
      </c>
      <c r="G1207" s="6" t="s">
        <v>32</v>
      </c>
      <c r="H1207" s="6" t="s">
        <v>765</v>
      </c>
      <c r="I1207" s="6" t="s">
        <v>767</v>
      </c>
      <c r="J1207" s="6" t="s">
        <v>767</v>
      </c>
      <c r="K1207" s="7">
        <v>6231886</v>
      </c>
      <c r="L1207" s="7">
        <v>342992</v>
      </c>
      <c r="M1207" s="7">
        <v>19</v>
      </c>
      <c r="N1207" s="7">
        <v>1</v>
      </c>
      <c r="O1207" s="7">
        <v>16.3</v>
      </c>
    </row>
    <row r="1208" spans="1:15" x14ac:dyDescent="0.25">
      <c r="A1208" s="6" t="s">
        <v>28</v>
      </c>
      <c r="B1208" s="6" t="s">
        <v>414</v>
      </c>
      <c r="C1208" s="7">
        <v>32849</v>
      </c>
      <c r="D1208" s="6" t="s">
        <v>39</v>
      </c>
      <c r="E1208" s="6" t="s">
        <v>72</v>
      </c>
      <c r="F1208" s="6" t="s">
        <v>72</v>
      </c>
      <c r="G1208" s="6" t="s">
        <v>32</v>
      </c>
      <c r="H1208" s="6" t="s">
        <v>33</v>
      </c>
      <c r="I1208" s="6" t="s">
        <v>767</v>
      </c>
      <c r="J1208" s="6" t="s">
        <v>767</v>
      </c>
      <c r="K1208" s="7">
        <v>6066393</v>
      </c>
      <c r="L1208" s="7">
        <v>273562</v>
      </c>
      <c r="M1208" s="7">
        <v>19</v>
      </c>
      <c r="N1208" s="7">
        <v>1</v>
      </c>
      <c r="O1208" s="7">
        <v>11</v>
      </c>
    </row>
    <row r="1209" spans="1:15" x14ac:dyDescent="0.25">
      <c r="A1209" s="6" t="s">
        <v>28</v>
      </c>
      <c r="B1209" s="6" t="s">
        <v>414</v>
      </c>
      <c r="C1209" s="7">
        <v>32857</v>
      </c>
      <c r="D1209" s="6" t="s">
        <v>39</v>
      </c>
      <c r="E1209" s="6" t="s">
        <v>72</v>
      </c>
      <c r="F1209" s="6" t="s">
        <v>188</v>
      </c>
      <c r="G1209" s="6" t="s">
        <v>32</v>
      </c>
      <c r="H1209" s="6" t="s">
        <v>33</v>
      </c>
      <c r="I1209" s="6" t="s">
        <v>767</v>
      </c>
      <c r="J1209" s="6" t="s">
        <v>764</v>
      </c>
      <c r="K1209" s="7">
        <v>6073439</v>
      </c>
      <c r="L1209" s="7">
        <v>279015</v>
      </c>
      <c r="M1209" s="7">
        <v>19</v>
      </c>
      <c r="N1209" s="7">
        <v>3</v>
      </c>
      <c r="O1209" s="7">
        <v>24</v>
      </c>
    </row>
    <row r="1210" spans="1:15" x14ac:dyDescent="0.25">
      <c r="A1210" s="6" t="s">
        <v>28</v>
      </c>
      <c r="B1210" s="6" t="s">
        <v>414</v>
      </c>
      <c r="C1210" s="7">
        <v>32864</v>
      </c>
      <c r="D1210" s="6" t="s">
        <v>39</v>
      </c>
      <c r="E1210" s="6" t="s">
        <v>70</v>
      </c>
      <c r="F1210" s="6" t="s">
        <v>486</v>
      </c>
      <c r="G1210" s="6" t="s">
        <v>32</v>
      </c>
      <c r="H1210" s="6" t="s">
        <v>33</v>
      </c>
      <c r="I1210" s="6" t="s">
        <v>767</v>
      </c>
      <c r="J1210" s="6" t="s">
        <v>764</v>
      </c>
      <c r="K1210" s="7">
        <v>6068818</v>
      </c>
      <c r="L1210" s="7">
        <v>269420</v>
      </c>
      <c r="M1210" s="7">
        <v>19</v>
      </c>
      <c r="N1210" s="7">
        <v>1</v>
      </c>
      <c r="O1210" s="7">
        <v>23</v>
      </c>
    </row>
    <row r="1211" spans="1:15" x14ac:dyDescent="0.25">
      <c r="A1211" s="6" t="s">
        <v>28</v>
      </c>
      <c r="B1211" s="6" t="s">
        <v>414</v>
      </c>
      <c r="C1211" s="7">
        <v>32865</v>
      </c>
      <c r="D1211" s="6" t="s">
        <v>39</v>
      </c>
      <c r="E1211" s="6" t="s">
        <v>72</v>
      </c>
      <c r="F1211" s="6" t="s">
        <v>487</v>
      </c>
      <c r="G1211" s="6" t="s">
        <v>32</v>
      </c>
      <c r="H1211" s="6" t="s">
        <v>33</v>
      </c>
      <c r="I1211" s="6" t="s">
        <v>767</v>
      </c>
      <c r="J1211" s="6" t="s">
        <v>764</v>
      </c>
      <c r="K1211" s="7">
        <v>6063369</v>
      </c>
      <c r="L1211" s="7">
        <v>270077</v>
      </c>
      <c r="M1211" s="7">
        <v>19</v>
      </c>
      <c r="N1211" s="7">
        <v>1</v>
      </c>
      <c r="O1211" s="7">
        <v>8</v>
      </c>
    </row>
    <row r="1212" spans="1:15" x14ac:dyDescent="0.25">
      <c r="A1212" s="6" t="s">
        <v>28</v>
      </c>
      <c r="B1212" s="6" t="s">
        <v>414</v>
      </c>
      <c r="C1212" s="7">
        <v>32866</v>
      </c>
      <c r="D1212" s="6" t="s">
        <v>39</v>
      </c>
      <c r="E1212" s="6" t="s">
        <v>72</v>
      </c>
      <c r="F1212" s="6" t="s">
        <v>488</v>
      </c>
      <c r="G1212" s="6" t="s">
        <v>32</v>
      </c>
      <c r="H1212" s="6" t="s">
        <v>33</v>
      </c>
      <c r="I1212" s="6" t="s">
        <v>767</v>
      </c>
      <c r="J1212" s="6" t="s">
        <v>764</v>
      </c>
      <c r="K1212" s="7">
        <v>6070148</v>
      </c>
      <c r="L1212" s="7">
        <v>271108</v>
      </c>
      <c r="M1212" s="7">
        <v>19</v>
      </c>
      <c r="N1212" s="7">
        <v>3</v>
      </c>
      <c r="O1212" s="7">
        <v>57</v>
      </c>
    </row>
    <row r="1213" spans="1:15" x14ac:dyDescent="0.25">
      <c r="A1213" s="6" t="s">
        <v>28</v>
      </c>
      <c r="B1213" s="6" t="s">
        <v>414</v>
      </c>
      <c r="C1213" s="7">
        <v>32867</v>
      </c>
      <c r="D1213" s="6" t="s">
        <v>39</v>
      </c>
      <c r="E1213" s="6" t="s">
        <v>177</v>
      </c>
      <c r="F1213" s="6" t="s">
        <v>484</v>
      </c>
      <c r="G1213" s="6" t="s">
        <v>32</v>
      </c>
      <c r="H1213" s="6" t="s">
        <v>33</v>
      </c>
      <c r="I1213" s="6" t="s">
        <v>767</v>
      </c>
      <c r="J1213" s="6" t="s">
        <v>764</v>
      </c>
      <c r="K1213" s="7">
        <v>6047915</v>
      </c>
      <c r="L1213" s="7">
        <v>280023</v>
      </c>
      <c r="M1213" s="7">
        <v>19</v>
      </c>
      <c r="N1213" s="7">
        <v>1</v>
      </c>
      <c r="O1213" s="7">
        <v>3</v>
      </c>
    </row>
    <row r="1214" spans="1:15" x14ac:dyDescent="0.25">
      <c r="A1214" s="6" t="s">
        <v>28</v>
      </c>
      <c r="B1214" s="6" t="s">
        <v>414</v>
      </c>
      <c r="C1214" s="7">
        <v>32868</v>
      </c>
      <c r="D1214" s="6" t="s">
        <v>39</v>
      </c>
      <c r="E1214" s="6" t="s">
        <v>72</v>
      </c>
      <c r="F1214" s="6" t="s">
        <v>197</v>
      </c>
      <c r="G1214" s="6" t="s">
        <v>32</v>
      </c>
      <c r="H1214" s="6" t="s">
        <v>33</v>
      </c>
      <c r="I1214" s="6" t="s">
        <v>767</v>
      </c>
      <c r="J1214" s="6" t="s">
        <v>764</v>
      </c>
      <c r="K1214" s="7">
        <v>6059013</v>
      </c>
      <c r="L1214" s="7">
        <v>286024</v>
      </c>
      <c r="M1214" s="7">
        <v>19</v>
      </c>
      <c r="N1214" s="7">
        <v>1</v>
      </c>
      <c r="O1214" s="7">
        <v>45</v>
      </c>
    </row>
    <row r="1215" spans="1:15" x14ac:dyDescent="0.25">
      <c r="A1215" s="6" t="s">
        <v>28</v>
      </c>
      <c r="B1215" s="6" t="s">
        <v>414</v>
      </c>
      <c r="C1215" s="7">
        <v>32869</v>
      </c>
      <c r="D1215" s="6" t="s">
        <v>39</v>
      </c>
      <c r="E1215" s="6" t="s">
        <v>72</v>
      </c>
      <c r="F1215" s="6" t="s">
        <v>210</v>
      </c>
      <c r="G1215" s="6" t="s">
        <v>32</v>
      </c>
      <c r="H1215" s="6" t="s">
        <v>33</v>
      </c>
      <c r="I1215" s="6" t="s">
        <v>767</v>
      </c>
      <c r="J1215" s="6" t="s">
        <v>767</v>
      </c>
      <c r="K1215" s="7">
        <v>6068680</v>
      </c>
      <c r="L1215" s="7">
        <v>283622</v>
      </c>
      <c r="M1215" s="7">
        <v>19</v>
      </c>
      <c r="N1215" s="7">
        <v>2</v>
      </c>
      <c r="O1215" s="7">
        <v>15</v>
      </c>
    </row>
    <row r="1216" spans="1:15" x14ac:dyDescent="0.25">
      <c r="A1216" s="6" t="s">
        <v>28</v>
      </c>
      <c r="B1216" s="6" t="s">
        <v>414</v>
      </c>
      <c r="C1216" s="7">
        <v>32870</v>
      </c>
      <c r="D1216" s="6" t="s">
        <v>39</v>
      </c>
      <c r="E1216" s="6" t="s">
        <v>72</v>
      </c>
      <c r="F1216" s="6" t="s">
        <v>131</v>
      </c>
      <c r="G1216" s="6" t="s">
        <v>32</v>
      </c>
      <c r="H1216" s="6" t="s">
        <v>33</v>
      </c>
      <c r="I1216" s="6" t="s">
        <v>767</v>
      </c>
      <c r="J1216" s="6" t="s">
        <v>764</v>
      </c>
      <c r="K1216" s="7">
        <v>6066180</v>
      </c>
      <c r="L1216" s="7">
        <v>281607</v>
      </c>
      <c r="M1216" s="7">
        <v>19</v>
      </c>
      <c r="N1216" s="7">
        <v>1</v>
      </c>
      <c r="O1216" s="7">
        <v>12</v>
      </c>
    </row>
    <row r="1217" spans="1:15" x14ac:dyDescent="0.25">
      <c r="A1217" s="6" t="s">
        <v>28</v>
      </c>
      <c r="B1217" s="6" t="s">
        <v>414</v>
      </c>
      <c r="C1217" s="7">
        <v>32871</v>
      </c>
      <c r="D1217" s="6" t="s">
        <v>39</v>
      </c>
      <c r="E1217" s="6" t="s">
        <v>72</v>
      </c>
      <c r="F1217" s="6" t="s">
        <v>72</v>
      </c>
      <c r="G1217" s="6" t="s">
        <v>32</v>
      </c>
      <c r="H1217" s="6" t="s">
        <v>33</v>
      </c>
      <c r="I1217" s="6" t="s">
        <v>767</v>
      </c>
      <c r="J1217" s="6" t="s">
        <v>767</v>
      </c>
      <c r="K1217" s="7">
        <v>6067941</v>
      </c>
      <c r="L1217" s="7">
        <v>272757</v>
      </c>
      <c r="M1217" s="7">
        <v>19</v>
      </c>
      <c r="N1217" s="7">
        <v>1</v>
      </c>
      <c r="O1217" s="7">
        <v>8.5</v>
      </c>
    </row>
    <row r="1218" spans="1:15" x14ac:dyDescent="0.25">
      <c r="A1218" s="6" t="s">
        <v>28</v>
      </c>
      <c r="B1218" s="6" t="s">
        <v>414</v>
      </c>
      <c r="C1218" s="7">
        <v>32873</v>
      </c>
      <c r="D1218" s="6" t="s">
        <v>39</v>
      </c>
      <c r="E1218" s="6" t="s">
        <v>72</v>
      </c>
      <c r="F1218" s="6" t="s">
        <v>72</v>
      </c>
      <c r="G1218" s="6" t="s">
        <v>32</v>
      </c>
      <c r="H1218" s="6" t="s">
        <v>33</v>
      </c>
      <c r="I1218" s="6" t="s">
        <v>767</v>
      </c>
      <c r="J1218" s="6" t="s">
        <v>767</v>
      </c>
      <c r="K1218" s="7">
        <v>6068320</v>
      </c>
      <c r="L1218" s="7">
        <v>272264</v>
      </c>
      <c r="M1218" s="7">
        <v>19</v>
      </c>
      <c r="N1218" s="7">
        <v>1</v>
      </c>
      <c r="O1218" s="7">
        <v>2.6</v>
      </c>
    </row>
    <row r="1219" spans="1:15" x14ac:dyDescent="0.25">
      <c r="A1219" s="6" t="s">
        <v>28</v>
      </c>
      <c r="B1219" s="6" t="s">
        <v>414</v>
      </c>
      <c r="C1219" s="7">
        <v>32874</v>
      </c>
      <c r="D1219" s="6" t="s">
        <v>39</v>
      </c>
      <c r="E1219" s="6" t="s">
        <v>72</v>
      </c>
      <c r="F1219" s="6" t="s">
        <v>131</v>
      </c>
      <c r="G1219" s="6" t="s">
        <v>32</v>
      </c>
      <c r="H1219" s="6" t="s">
        <v>33</v>
      </c>
      <c r="I1219" s="6" t="s">
        <v>767</v>
      </c>
      <c r="J1219" s="6" t="s">
        <v>764</v>
      </c>
      <c r="K1219" s="7">
        <v>6065738</v>
      </c>
      <c r="L1219" s="7">
        <v>281615</v>
      </c>
      <c r="M1219" s="7">
        <v>19</v>
      </c>
      <c r="N1219" s="7">
        <v>1</v>
      </c>
      <c r="O1219" s="7">
        <v>7</v>
      </c>
    </row>
    <row r="1220" spans="1:15" x14ac:dyDescent="0.25">
      <c r="A1220" s="6" t="s">
        <v>28</v>
      </c>
      <c r="B1220" s="6" t="s">
        <v>414</v>
      </c>
      <c r="C1220" s="7">
        <v>32876</v>
      </c>
      <c r="D1220" s="6" t="s">
        <v>39</v>
      </c>
      <c r="E1220" s="6" t="s">
        <v>72</v>
      </c>
      <c r="F1220" s="6" t="s">
        <v>72</v>
      </c>
      <c r="G1220" s="6" t="s">
        <v>32</v>
      </c>
      <c r="H1220" s="6" t="s">
        <v>33</v>
      </c>
      <c r="I1220" s="6" t="s">
        <v>767</v>
      </c>
      <c r="J1220" s="6" t="s">
        <v>764</v>
      </c>
      <c r="K1220" s="7">
        <v>6066474</v>
      </c>
      <c r="L1220" s="7">
        <v>277123</v>
      </c>
      <c r="M1220" s="7">
        <v>19</v>
      </c>
      <c r="N1220" s="7">
        <v>1</v>
      </c>
      <c r="O1220" s="7">
        <v>12.5</v>
      </c>
    </row>
    <row r="1221" spans="1:15" x14ac:dyDescent="0.25">
      <c r="A1221" s="6" t="s">
        <v>28</v>
      </c>
      <c r="B1221" s="6" t="s">
        <v>414</v>
      </c>
      <c r="C1221" s="7">
        <v>32881</v>
      </c>
      <c r="D1221" s="6" t="s">
        <v>39</v>
      </c>
      <c r="E1221" s="6" t="s">
        <v>40</v>
      </c>
      <c r="F1221" s="6" t="s">
        <v>86</v>
      </c>
      <c r="G1221" s="6" t="s">
        <v>32</v>
      </c>
      <c r="H1221" s="6" t="s">
        <v>33</v>
      </c>
      <c r="I1221" s="6" t="s">
        <v>767</v>
      </c>
      <c r="J1221" s="6" t="s">
        <v>764</v>
      </c>
      <c r="K1221" s="7">
        <v>6124348</v>
      </c>
      <c r="L1221" s="7">
        <v>299148</v>
      </c>
      <c r="M1221" s="7">
        <v>19</v>
      </c>
      <c r="N1221" s="7">
        <v>2</v>
      </c>
      <c r="O1221" s="7">
        <v>27.7</v>
      </c>
    </row>
    <row r="1222" spans="1:15" x14ac:dyDescent="0.25">
      <c r="A1222" s="6" t="s">
        <v>28</v>
      </c>
      <c r="B1222" s="6" t="s">
        <v>414</v>
      </c>
      <c r="C1222" s="7">
        <v>32883</v>
      </c>
      <c r="D1222" s="6" t="s">
        <v>39</v>
      </c>
      <c r="E1222" s="6" t="s">
        <v>40</v>
      </c>
      <c r="F1222" s="6" t="s">
        <v>86</v>
      </c>
      <c r="G1222" s="6" t="s">
        <v>32</v>
      </c>
      <c r="H1222" s="6" t="s">
        <v>33</v>
      </c>
      <c r="I1222" s="6" t="s">
        <v>767</v>
      </c>
      <c r="J1222" s="6" t="s">
        <v>764</v>
      </c>
      <c r="K1222" s="7">
        <v>6123619</v>
      </c>
      <c r="L1222" s="7">
        <v>300588</v>
      </c>
      <c r="M1222" s="7">
        <v>19</v>
      </c>
      <c r="N1222" s="7">
        <v>2</v>
      </c>
      <c r="O1222" s="7">
        <v>31</v>
      </c>
    </row>
    <row r="1223" spans="1:15" x14ac:dyDescent="0.25">
      <c r="A1223" s="6" t="s">
        <v>28</v>
      </c>
      <c r="B1223" s="6" t="s">
        <v>414</v>
      </c>
      <c r="C1223" s="7">
        <v>32884</v>
      </c>
      <c r="D1223" s="6" t="s">
        <v>39</v>
      </c>
      <c r="E1223" s="6" t="s">
        <v>40</v>
      </c>
      <c r="F1223" s="6" t="s">
        <v>86</v>
      </c>
      <c r="G1223" s="6" t="s">
        <v>32</v>
      </c>
      <c r="H1223" s="6" t="s">
        <v>33</v>
      </c>
      <c r="I1223" s="6" t="s">
        <v>767</v>
      </c>
      <c r="J1223" s="6" t="s">
        <v>764</v>
      </c>
      <c r="K1223" s="7">
        <v>6122959</v>
      </c>
      <c r="L1223" s="7">
        <v>301463</v>
      </c>
      <c r="M1223" s="7">
        <v>19</v>
      </c>
      <c r="N1223" s="7">
        <v>4</v>
      </c>
      <c r="O1223" s="7">
        <v>23.5</v>
      </c>
    </row>
    <row r="1224" spans="1:15" x14ac:dyDescent="0.25">
      <c r="A1224" s="6" t="s">
        <v>28</v>
      </c>
      <c r="B1224" s="6" t="s">
        <v>414</v>
      </c>
      <c r="C1224" s="7">
        <v>32885</v>
      </c>
      <c r="D1224" s="6" t="s">
        <v>39</v>
      </c>
      <c r="E1224" s="6" t="s">
        <v>87</v>
      </c>
      <c r="F1224" s="6" t="s">
        <v>481</v>
      </c>
      <c r="G1224" s="6" t="s">
        <v>32</v>
      </c>
      <c r="H1224" s="6" t="s">
        <v>33</v>
      </c>
      <c r="I1224" s="6" t="s">
        <v>767</v>
      </c>
      <c r="J1224" s="6" t="s">
        <v>764</v>
      </c>
      <c r="K1224" s="7">
        <v>6103412</v>
      </c>
      <c r="L1224" s="7">
        <v>293718</v>
      </c>
      <c r="M1224" s="7">
        <v>19</v>
      </c>
      <c r="N1224" s="7">
        <v>1</v>
      </c>
      <c r="O1224" s="7">
        <v>12</v>
      </c>
    </row>
    <row r="1225" spans="1:15" x14ac:dyDescent="0.25">
      <c r="A1225" s="6" t="s">
        <v>28</v>
      </c>
      <c r="B1225" s="6" t="s">
        <v>414</v>
      </c>
      <c r="C1225" s="7">
        <v>32977</v>
      </c>
      <c r="D1225" s="6" t="s">
        <v>24</v>
      </c>
      <c r="E1225" s="6" t="s">
        <v>456</v>
      </c>
      <c r="F1225" s="6" t="s">
        <v>456</v>
      </c>
      <c r="G1225" s="6" t="s">
        <v>32</v>
      </c>
      <c r="H1225" s="6" t="s">
        <v>33</v>
      </c>
      <c r="I1225" s="6" t="s">
        <v>767</v>
      </c>
      <c r="J1225" s="6" t="s">
        <v>764</v>
      </c>
      <c r="K1225" s="7">
        <v>6286362</v>
      </c>
      <c r="L1225" s="7">
        <v>336872</v>
      </c>
      <c r="M1225" s="7">
        <v>19</v>
      </c>
      <c r="N1225" s="7">
        <v>1</v>
      </c>
      <c r="O1225" s="7">
        <v>10</v>
      </c>
    </row>
    <row r="1226" spans="1:15" x14ac:dyDescent="0.25">
      <c r="A1226" s="6" t="s">
        <v>28</v>
      </c>
      <c r="B1226" s="6" t="s">
        <v>414</v>
      </c>
      <c r="C1226" s="7">
        <v>32978</v>
      </c>
      <c r="D1226" s="6" t="s">
        <v>24</v>
      </c>
      <c r="E1226" s="6" t="s">
        <v>96</v>
      </c>
      <c r="F1226" s="6" t="s">
        <v>445</v>
      </c>
      <c r="G1226" s="6" t="s">
        <v>32</v>
      </c>
      <c r="H1226" s="6" t="s">
        <v>33</v>
      </c>
      <c r="I1226" s="6" t="s">
        <v>767</v>
      </c>
      <c r="J1226" s="6" t="s">
        <v>767</v>
      </c>
      <c r="K1226" s="7">
        <v>6256385</v>
      </c>
      <c r="L1226" s="7">
        <v>334674</v>
      </c>
      <c r="M1226" s="7">
        <v>19</v>
      </c>
      <c r="N1226" s="7">
        <v>1</v>
      </c>
      <c r="O1226" s="7">
        <v>15</v>
      </c>
    </row>
    <row r="1227" spans="1:15" x14ac:dyDescent="0.25">
      <c r="A1227" s="6" t="s">
        <v>28</v>
      </c>
      <c r="B1227" s="6" t="s">
        <v>414</v>
      </c>
      <c r="C1227" s="7">
        <v>32979</v>
      </c>
      <c r="D1227" s="6" t="s">
        <v>24</v>
      </c>
      <c r="E1227" s="6" t="s">
        <v>25</v>
      </c>
      <c r="F1227" s="6" t="s">
        <v>472</v>
      </c>
      <c r="G1227" s="6" t="s">
        <v>32</v>
      </c>
      <c r="H1227" s="6" t="s">
        <v>33</v>
      </c>
      <c r="I1227" s="6" t="s">
        <v>767</v>
      </c>
      <c r="J1227" s="6" t="s">
        <v>764</v>
      </c>
      <c r="K1227" s="7">
        <v>6267668</v>
      </c>
      <c r="L1227" s="7">
        <v>343483</v>
      </c>
      <c r="M1227" s="7">
        <v>19</v>
      </c>
      <c r="N1227" s="7">
        <v>2</v>
      </c>
      <c r="O1227" s="7">
        <v>8</v>
      </c>
    </row>
    <row r="1228" spans="1:15" x14ac:dyDescent="0.25">
      <c r="A1228" s="6" t="s">
        <v>28</v>
      </c>
      <c r="B1228" s="6" t="s">
        <v>414</v>
      </c>
      <c r="C1228" s="7">
        <v>32980</v>
      </c>
      <c r="D1228" s="6" t="s">
        <v>24</v>
      </c>
      <c r="E1228" s="6" t="s">
        <v>56</v>
      </c>
      <c r="F1228" s="6" t="s">
        <v>419</v>
      </c>
      <c r="G1228" s="6" t="s">
        <v>32</v>
      </c>
      <c r="H1228" s="6" t="s">
        <v>33</v>
      </c>
      <c r="I1228" s="6" t="s">
        <v>767</v>
      </c>
      <c r="J1228" s="6" t="s">
        <v>764</v>
      </c>
      <c r="K1228" s="7">
        <v>6277184</v>
      </c>
      <c r="L1228" s="7">
        <v>343203</v>
      </c>
      <c r="M1228" s="7">
        <v>19</v>
      </c>
      <c r="N1228" s="7">
        <v>1</v>
      </c>
      <c r="O1228" s="7">
        <v>9</v>
      </c>
    </row>
    <row r="1229" spans="1:15" x14ac:dyDescent="0.25">
      <c r="A1229" s="6" t="s">
        <v>28</v>
      </c>
      <c r="B1229" s="6" t="s">
        <v>414</v>
      </c>
      <c r="C1229" s="7">
        <v>32981</v>
      </c>
      <c r="D1229" s="6" t="s">
        <v>24</v>
      </c>
      <c r="E1229" s="6" t="s">
        <v>463</v>
      </c>
      <c r="F1229" s="6" t="s">
        <v>56</v>
      </c>
      <c r="G1229" s="6" t="s">
        <v>32</v>
      </c>
      <c r="H1229" s="6" t="s">
        <v>33</v>
      </c>
      <c r="I1229" s="6" t="s">
        <v>767</v>
      </c>
      <c r="J1229" s="6" t="s">
        <v>764</v>
      </c>
      <c r="K1229" s="7">
        <v>6280731</v>
      </c>
      <c r="L1229" s="7">
        <v>348880</v>
      </c>
      <c r="M1229" s="7">
        <v>19</v>
      </c>
      <c r="N1229" s="7">
        <v>1</v>
      </c>
      <c r="O1229" s="7">
        <v>12</v>
      </c>
    </row>
    <row r="1230" spans="1:15" x14ac:dyDescent="0.25">
      <c r="A1230" s="6" t="s">
        <v>28</v>
      </c>
      <c r="B1230" s="6" t="s">
        <v>414</v>
      </c>
      <c r="C1230" s="7">
        <v>32983</v>
      </c>
      <c r="D1230" s="6" t="s">
        <v>24</v>
      </c>
      <c r="E1230" s="6" t="s">
        <v>25</v>
      </c>
      <c r="F1230" s="6" t="s">
        <v>26</v>
      </c>
      <c r="G1230" s="6" t="s">
        <v>32</v>
      </c>
      <c r="H1230" s="6" t="s">
        <v>33</v>
      </c>
      <c r="I1230" s="6" t="s">
        <v>767</v>
      </c>
      <c r="J1230" s="6" t="s">
        <v>767</v>
      </c>
      <c r="K1230" s="7">
        <v>6264087</v>
      </c>
      <c r="L1230" s="7">
        <v>337112</v>
      </c>
      <c r="M1230" s="7">
        <v>19</v>
      </c>
      <c r="N1230" s="7">
        <v>1</v>
      </c>
      <c r="O1230" s="7">
        <v>20</v>
      </c>
    </row>
    <row r="1231" spans="1:15" x14ac:dyDescent="0.25">
      <c r="A1231" s="6" t="s">
        <v>28</v>
      </c>
      <c r="B1231" s="6" t="s">
        <v>414</v>
      </c>
      <c r="C1231" s="7">
        <v>32987</v>
      </c>
      <c r="D1231" s="6" t="s">
        <v>24</v>
      </c>
      <c r="E1231" s="6" t="s">
        <v>429</v>
      </c>
      <c r="F1231" s="6" t="s">
        <v>429</v>
      </c>
      <c r="G1231" s="6" t="s">
        <v>32</v>
      </c>
      <c r="H1231" s="6" t="s">
        <v>19</v>
      </c>
      <c r="I1231" s="6" t="s">
        <v>767</v>
      </c>
      <c r="J1231" s="6" t="s">
        <v>767</v>
      </c>
      <c r="K1231" s="7">
        <v>6303054</v>
      </c>
      <c r="L1231" s="7">
        <v>328434</v>
      </c>
      <c r="M1231" s="7">
        <v>19</v>
      </c>
      <c r="N1231" s="7">
        <v>1</v>
      </c>
      <c r="O1231" s="7">
        <v>0.5</v>
      </c>
    </row>
    <row r="1232" spans="1:15" x14ac:dyDescent="0.25">
      <c r="A1232" s="6" t="s">
        <v>28</v>
      </c>
      <c r="B1232" s="6" t="s">
        <v>414</v>
      </c>
      <c r="C1232" s="7">
        <v>33004</v>
      </c>
      <c r="D1232" s="6" t="s">
        <v>24</v>
      </c>
      <c r="E1232" s="6" t="s">
        <v>429</v>
      </c>
      <c r="F1232" s="6" t="s">
        <v>429</v>
      </c>
      <c r="G1232" s="6" t="s">
        <v>32</v>
      </c>
      <c r="H1232" s="6" t="s">
        <v>19</v>
      </c>
      <c r="I1232" s="6" t="s">
        <v>767</v>
      </c>
      <c r="J1232" s="6" t="s">
        <v>767</v>
      </c>
      <c r="K1232" s="7">
        <v>6303387</v>
      </c>
      <c r="L1232" s="7">
        <v>328584</v>
      </c>
      <c r="M1232" s="7">
        <v>19</v>
      </c>
      <c r="N1232" s="7">
        <v>1</v>
      </c>
      <c r="O1232" s="7">
        <v>0.5</v>
      </c>
    </row>
    <row r="1233" spans="1:15" x14ac:dyDescent="0.25">
      <c r="A1233" s="6" t="s">
        <v>28</v>
      </c>
      <c r="B1233" s="6" t="s">
        <v>414</v>
      </c>
      <c r="C1233" s="7">
        <v>33010</v>
      </c>
      <c r="D1233" s="6" t="s">
        <v>24</v>
      </c>
      <c r="E1233" s="6" t="s">
        <v>37</v>
      </c>
      <c r="F1233" s="6" t="s">
        <v>489</v>
      </c>
      <c r="G1233" s="6" t="s">
        <v>32</v>
      </c>
      <c r="H1233" s="6" t="s">
        <v>19</v>
      </c>
      <c r="I1233" s="6" t="s">
        <v>767</v>
      </c>
      <c r="J1233" s="6" t="s">
        <v>767</v>
      </c>
      <c r="K1233" s="7">
        <v>6273110</v>
      </c>
      <c r="L1233" s="7">
        <v>329966</v>
      </c>
      <c r="M1233" s="7">
        <v>19</v>
      </c>
      <c r="N1233" s="7">
        <v>1</v>
      </c>
      <c r="O1233" s="7">
        <v>3.5</v>
      </c>
    </row>
    <row r="1234" spans="1:15" x14ac:dyDescent="0.25">
      <c r="A1234" s="6" t="s">
        <v>28</v>
      </c>
      <c r="B1234" s="6" t="s">
        <v>414</v>
      </c>
      <c r="C1234" s="7">
        <v>33014</v>
      </c>
      <c r="D1234" s="6" t="s">
        <v>24</v>
      </c>
      <c r="E1234" s="6" t="s">
        <v>47</v>
      </c>
      <c r="F1234" s="6" t="s">
        <v>47</v>
      </c>
      <c r="G1234" s="6" t="s">
        <v>32</v>
      </c>
      <c r="H1234" s="6" t="s">
        <v>19</v>
      </c>
      <c r="I1234" s="6" t="s">
        <v>767</v>
      </c>
      <c r="J1234" s="6" t="s">
        <v>767</v>
      </c>
      <c r="K1234" s="7">
        <v>6290440</v>
      </c>
      <c r="L1234" s="7">
        <v>340699</v>
      </c>
      <c r="M1234" s="7">
        <v>19</v>
      </c>
      <c r="N1234" s="7">
        <v>1</v>
      </c>
      <c r="O1234" s="7">
        <v>5</v>
      </c>
    </row>
    <row r="1235" spans="1:15" x14ac:dyDescent="0.25">
      <c r="A1235" s="6" t="s">
        <v>28</v>
      </c>
      <c r="B1235" s="6" t="s">
        <v>414</v>
      </c>
      <c r="C1235" s="7">
        <v>33019</v>
      </c>
      <c r="D1235" s="6" t="s">
        <v>24</v>
      </c>
      <c r="E1235" s="6" t="s">
        <v>47</v>
      </c>
      <c r="F1235" s="6" t="s">
        <v>47</v>
      </c>
      <c r="G1235" s="6" t="s">
        <v>32</v>
      </c>
      <c r="H1235" s="6" t="s">
        <v>19</v>
      </c>
      <c r="I1235" s="6" t="s">
        <v>767</v>
      </c>
      <c r="J1235" s="6" t="s">
        <v>767</v>
      </c>
      <c r="K1235" s="7">
        <v>6290312</v>
      </c>
      <c r="L1235" s="7">
        <v>341002</v>
      </c>
      <c r="M1235" s="7">
        <v>19</v>
      </c>
      <c r="N1235" s="7">
        <v>1</v>
      </c>
      <c r="O1235" s="7">
        <v>2.5</v>
      </c>
    </row>
    <row r="1236" spans="1:15" x14ac:dyDescent="0.25">
      <c r="A1236" s="6" t="s">
        <v>28</v>
      </c>
      <c r="B1236" s="6" t="s">
        <v>414</v>
      </c>
      <c r="C1236" s="7">
        <v>33023</v>
      </c>
      <c r="D1236" s="6" t="s">
        <v>24</v>
      </c>
      <c r="E1236" s="6" t="s">
        <v>47</v>
      </c>
      <c r="F1236" s="6" t="s">
        <v>47</v>
      </c>
      <c r="G1236" s="6" t="s">
        <v>32</v>
      </c>
      <c r="H1236" s="6" t="s">
        <v>19</v>
      </c>
      <c r="I1236" s="6" t="s">
        <v>767</v>
      </c>
      <c r="J1236" s="6" t="s">
        <v>767</v>
      </c>
      <c r="K1236" s="7">
        <v>6287284</v>
      </c>
      <c r="L1236" s="7">
        <v>338505</v>
      </c>
      <c r="M1236" s="7">
        <v>19</v>
      </c>
      <c r="N1236" s="7">
        <v>1</v>
      </c>
      <c r="O1236" s="7">
        <v>2</v>
      </c>
    </row>
    <row r="1237" spans="1:15" x14ac:dyDescent="0.25">
      <c r="A1237" s="6" t="s">
        <v>28</v>
      </c>
      <c r="B1237" s="6" t="s">
        <v>414</v>
      </c>
      <c r="C1237" s="7">
        <v>33046</v>
      </c>
      <c r="D1237" s="6" t="s">
        <v>24</v>
      </c>
      <c r="E1237" s="6" t="s">
        <v>463</v>
      </c>
      <c r="F1237" s="6" t="s">
        <v>56</v>
      </c>
      <c r="G1237" s="6" t="s">
        <v>32</v>
      </c>
      <c r="H1237" s="6" t="s">
        <v>19</v>
      </c>
      <c r="I1237" s="6" t="s">
        <v>767</v>
      </c>
      <c r="J1237" s="6" t="s">
        <v>767</v>
      </c>
      <c r="K1237" s="7">
        <v>6280753</v>
      </c>
      <c r="L1237" s="7">
        <v>348381</v>
      </c>
      <c r="M1237" s="7">
        <v>19</v>
      </c>
      <c r="N1237" s="7">
        <v>1</v>
      </c>
      <c r="O1237" s="7">
        <v>7.5</v>
      </c>
    </row>
    <row r="1238" spans="1:15" x14ac:dyDescent="0.25">
      <c r="A1238" s="6" t="s">
        <v>28</v>
      </c>
      <c r="B1238" s="6" t="s">
        <v>414</v>
      </c>
      <c r="C1238" s="7">
        <v>33063</v>
      </c>
      <c r="D1238" s="6" t="s">
        <v>24</v>
      </c>
      <c r="E1238" s="6" t="s">
        <v>463</v>
      </c>
      <c r="F1238" s="6" t="s">
        <v>56</v>
      </c>
      <c r="G1238" s="6" t="s">
        <v>32</v>
      </c>
      <c r="H1238" s="6" t="s">
        <v>19</v>
      </c>
      <c r="I1238" s="6" t="s">
        <v>767</v>
      </c>
      <c r="J1238" s="6" t="s">
        <v>767</v>
      </c>
      <c r="K1238" s="7">
        <v>6280852</v>
      </c>
      <c r="L1238" s="7">
        <v>347885</v>
      </c>
      <c r="M1238" s="7">
        <v>19</v>
      </c>
      <c r="N1238" s="7">
        <v>1</v>
      </c>
      <c r="O1238" s="7">
        <v>1</v>
      </c>
    </row>
    <row r="1239" spans="1:15" x14ac:dyDescent="0.25">
      <c r="A1239" s="6" t="s">
        <v>28</v>
      </c>
      <c r="B1239" s="6" t="s">
        <v>414</v>
      </c>
      <c r="C1239" s="7">
        <v>33067</v>
      </c>
      <c r="D1239" s="6" t="s">
        <v>42</v>
      </c>
      <c r="E1239" s="6" t="s">
        <v>490</v>
      </c>
      <c r="F1239" s="6" t="s">
        <v>490</v>
      </c>
      <c r="G1239" s="6" t="s">
        <v>32</v>
      </c>
      <c r="H1239" s="6" t="s">
        <v>19</v>
      </c>
      <c r="I1239" s="6" t="s">
        <v>767</v>
      </c>
      <c r="J1239" s="6" t="s">
        <v>767</v>
      </c>
      <c r="K1239" s="7">
        <v>6198027</v>
      </c>
      <c r="L1239" s="7">
        <v>295336</v>
      </c>
      <c r="M1239" s="7">
        <v>19</v>
      </c>
      <c r="N1239" s="7">
        <v>1</v>
      </c>
      <c r="O1239" s="7">
        <v>7</v>
      </c>
    </row>
    <row r="1240" spans="1:15" x14ac:dyDescent="0.25">
      <c r="A1240" s="6" t="s">
        <v>28</v>
      </c>
      <c r="B1240" s="6" t="s">
        <v>414</v>
      </c>
      <c r="C1240" s="7">
        <v>33071</v>
      </c>
      <c r="D1240" s="6" t="s">
        <v>42</v>
      </c>
      <c r="E1240" s="6" t="s">
        <v>184</v>
      </c>
      <c r="F1240" s="6" t="s">
        <v>184</v>
      </c>
      <c r="G1240" s="6" t="s">
        <v>32</v>
      </c>
      <c r="H1240" s="6" t="s">
        <v>19</v>
      </c>
      <c r="I1240" s="6" t="s">
        <v>767</v>
      </c>
      <c r="J1240" s="6" t="s">
        <v>767</v>
      </c>
      <c r="K1240" s="7">
        <v>6203869</v>
      </c>
      <c r="L1240" s="7">
        <v>333525</v>
      </c>
      <c r="M1240" s="7">
        <v>19</v>
      </c>
      <c r="N1240" s="7">
        <v>1</v>
      </c>
      <c r="O1240" s="7">
        <v>3.7</v>
      </c>
    </row>
    <row r="1241" spans="1:15" x14ac:dyDescent="0.25">
      <c r="A1241" s="6" t="s">
        <v>28</v>
      </c>
      <c r="B1241" s="6" t="s">
        <v>414</v>
      </c>
      <c r="C1241" s="7">
        <v>33072</v>
      </c>
      <c r="D1241" s="6" t="s">
        <v>42</v>
      </c>
      <c r="E1241" s="6" t="s">
        <v>184</v>
      </c>
      <c r="F1241" s="6" t="s">
        <v>184</v>
      </c>
      <c r="G1241" s="6" t="s">
        <v>32</v>
      </c>
      <c r="H1241" s="6" t="s">
        <v>19</v>
      </c>
      <c r="I1241" s="6" t="s">
        <v>767</v>
      </c>
      <c r="J1241" s="6" t="s">
        <v>767</v>
      </c>
      <c r="K1241" s="7">
        <v>6204227</v>
      </c>
      <c r="L1241" s="7">
        <v>330171</v>
      </c>
      <c r="M1241" s="7">
        <v>19</v>
      </c>
      <c r="N1241" s="7">
        <v>1</v>
      </c>
      <c r="O1241" s="7">
        <v>0.6</v>
      </c>
    </row>
    <row r="1242" spans="1:15" x14ac:dyDescent="0.25">
      <c r="A1242" s="6" t="s">
        <v>14</v>
      </c>
      <c r="B1242" s="6" t="s">
        <v>414</v>
      </c>
      <c r="C1242" s="7">
        <v>33073</v>
      </c>
      <c r="D1242" s="6" t="s">
        <v>24</v>
      </c>
      <c r="E1242" s="6" t="s">
        <v>429</v>
      </c>
      <c r="F1242" s="6" t="s">
        <v>491</v>
      </c>
      <c r="G1242" s="6" t="s">
        <v>32</v>
      </c>
      <c r="H1242" s="6" t="s">
        <v>19</v>
      </c>
      <c r="I1242" s="6" t="s">
        <v>767</v>
      </c>
      <c r="J1242" s="6" t="s">
        <v>767</v>
      </c>
      <c r="K1242" s="7">
        <v>6302662</v>
      </c>
      <c r="L1242" s="7">
        <v>325243</v>
      </c>
      <c r="M1242" s="7">
        <v>19</v>
      </c>
      <c r="N1242" s="7">
        <v>1</v>
      </c>
      <c r="O1242" s="7">
        <v>0.5</v>
      </c>
    </row>
    <row r="1243" spans="1:15" x14ac:dyDescent="0.25">
      <c r="A1243" s="6" t="s">
        <v>28</v>
      </c>
      <c r="B1243" s="6" t="s">
        <v>414</v>
      </c>
      <c r="C1243" s="7">
        <v>33075</v>
      </c>
      <c r="D1243" s="6" t="s">
        <v>42</v>
      </c>
      <c r="E1243" s="6" t="s">
        <v>184</v>
      </c>
      <c r="F1243" s="6" t="s">
        <v>184</v>
      </c>
      <c r="G1243" s="6" t="s">
        <v>32</v>
      </c>
      <c r="H1243" s="6" t="s">
        <v>19</v>
      </c>
      <c r="I1243" s="6" t="s">
        <v>767</v>
      </c>
      <c r="J1243" s="6" t="s">
        <v>767</v>
      </c>
      <c r="K1243" s="7">
        <v>6204130</v>
      </c>
      <c r="L1243" s="7">
        <v>330421</v>
      </c>
      <c r="M1243" s="7">
        <v>19</v>
      </c>
      <c r="N1243" s="7">
        <v>1</v>
      </c>
      <c r="O1243" s="7">
        <v>0.6</v>
      </c>
    </row>
    <row r="1244" spans="1:15" x14ac:dyDescent="0.25">
      <c r="A1244" s="6" t="s">
        <v>28</v>
      </c>
      <c r="B1244" s="6" t="s">
        <v>414</v>
      </c>
      <c r="C1244" s="7">
        <v>33076</v>
      </c>
      <c r="D1244" s="6" t="s">
        <v>24</v>
      </c>
      <c r="E1244" s="6" t="s">
        <v>429</v>
      </c>
      <c r="F1244" s="6" t="s">
        <v>491</v>
      </c>
      <c r="G1244" s="6" t="s">
        <v>32</v>
      </c>
      <c r="H1244" s="6" t="s">
        <v>19</v>
      </c>
      <c r="I1244" s="6" t="s">
        <v>767</v>
      </c>
      <c r="J1244" s="6" t="s">
        <v>767</v>
      </c>
      <c r="K1244" s="7">
        <v>6301412</v>
      </c>
      <c r="L1244" s="7">
        <v>325295</v>
      </c>
      <c r="M1244" s="7">
        <v>19</v>
      </c>
      <c r="N1244" s="7">
        <v>1</v>
      </c>
      <c r="O1244" s="7">
        <v>0.5</v>
      </c>
    </row>
    <row r="1245" spans="1:15" x14ac:dyDescent="0.25">
      <c r="A1245" s="6" t="s">
        <v>28</v>
      </c>
      <c r="B1245" s="6" t="s">
        <v>414</v>
      </c>
      <c r="C1245" s="7">
        <v>33077</v>
      </c>
      <c r="D1245" s="6" t="s">
        <v>42</v>
      </c>
      <c r="E1245" s="6" t="s">
        <v>43</v>
      </c>
      <c r="F1245" s="6" t="s">
        <v>441</v>
      </c>
      <c r="G1245" s="6" t="s">
        <v>32</v>
      </c>
      <c r="H1245" s="6" t="s">
        <v>19</v>
      </c>
      <c r="I1245" s="6" t="s">
        <v>767</v>
      </c>
      <c r="J1245" s="6" t="s">
        <v>767</v>
      </c>
      <c r="K1245" s="7">
        <v>6202652</v>
      </c>
      <c r="L1245" s="7">
        <v>327140</v>
      </c>
      <c r="M1245" s="7">
        <v>19</v>
      </c>
      <c r="N1245" s="7">
        <v>1</v>
      </c>
      <c r="O1245" s="7">
        <v>0.5</v>
      </c>
    </row>
    <row r="1246" spans="1:15" x14ac:dyDescent="0.25">
      <c r="A1246" s="6" t="s">
        <v>28</v>
      </c>
      <c r="B1246" s="6" t="s">
        <v>414</v>
      </c>
      <c r="C1246" s="7">
        <v>33079</v>
      </c>
      <c r="D1246" s="6" t="s">
        <v>42</v>
      </c>
      <c r="E1246" s="6" t="s">
        <v>490</v>
      </c>
      <c r="F1246" s="6" t="s">
        <v>492</v>
      </c>
      <c r="G1246" s="6" t="s">
        <v>32</v>
      </c>
      <c r="H1246" s="6" t="s">
        <v>19</v>
      </c>
      <c r="I1246" s="6" t="s">
        <v>767</v>
      </c>
      <c r="J1246" s="6" t="s">
        <v>767</v>
      </c>
      <c r="K1246" s="7">
        <v>6198663</v>
      </c>
      <c r="L1246" s="7">
        <v>295707</v>
      </c>
      <c r="M1246" s="7">
        <v>19</v>
      </c>
      <c r="N1246" s="7">
        <v>1</v>
      </c>
      <c r="O1246" s="7">
        <v>2</v>
      </c>
    </row>
    <row r="1247" spans="1:15" x14ac:dyDescent="0.25">
      <c r="A1247" s="6" t="s">
        <v>28</v>
      </c>
      <c r="B1247" s="6" t="s">
        <v>414</v>
      </c>
      <c r="C1247" s="7">
        <v>33171</v>
      </c>
      <c r="D1247" s="6" t="s">
        <v>39</v>
      </c>
      <c r="E1247" s="6" t="s">
        <v>72</v>
      </c>
      <c r="F1247" s="6" t="s">
        <v>145</v>
      </c>
      <c r="G1247" s="6" t="s">
        <v>32</v>
      </c>
      <c r="H1247" s="6" t="s">
        <v>33</v>
      </c>
      <c r="I1247" s="6" t="s">
        <v>767</v>
      </c>
      <c r="J1247" s="6" t="s">
        <v>764</v>
      </c>
      <c r="K1247" s="7">
        <v>6069678</v>
      </c>
      <c r="L1247" s="7">
        <v>273666</v>
      </c>
      <c r="M1247" s="7">
        <v>19</v>
      </c>
      <c r="N1247" s="7">
        <v>1</v>
      </c>
      <c r="O1247" s="7">
        <v>7.8</v>
      </c>
    </row>
    <row r="1248" spans="1:15" x14ac:dyDescent="0.25">
      <c r="A1248" s="6" t="s">
        <v>28</v>
      </c>
      <c r="B1248" s="6" t="s">
        <v>414</v>
      </c>
      <c r="C1248" s="7">
        <v>33172</v>
      </c>
      <c r="D1248" s="6" t="s">
        <v>39</v>
      </c>
      <c r="E1248" s="6" t="s">
        <v>482</v>
      </c>
      <c r="F1248" s="6" t="s">
        <v>483</v>
      </c>
      <c r="G1248" s="6" t="s">
        <v>32</v>
      </c>
      <c r="H1248" s="6" t="s">
        <v>33</v>
      </c>
      <c r="I1248" s="6" t="s">
        <v>767</v>
      </c>
      <c r="J1248" s="6" t="s">
        <v>764</v>
      </c>
      <c r="K1248" s="7">
        <v>6056696</v>
      </c>
      <c r="L1248" s="7">
        <v>243842</v>
      </c>
      <c r="M1248" s="7">
        <v>19</v>
      </c>
      <c r="N1248" s="7">
        <v>1</v>
      </c>
      <c r="O1248" s="7">
        <v>20</v>
      </c>
    </row>
    <row r="1249" spans="1:15" x14ac:dyDescent="0.25">
      <c r="A1249" s="6" t="s">
        <v>28</v>
      </c>
      <c r="B1249" s="6" t="s">
        <v>414</v>
      </c>
      <c r="C1249" s="7">
        <v>33175</v>
      </c>
      <c r="D1249" s="6" t="s">
        <v>39</v>
      </c>
      <c r="E1249" s="6" t="s">
        <v>72</v>
      </c>
      <c r="F1249" s="6" t="s">
        <v>488</v>
      </c>
      <c r="G1249" s="6" t="s">
        <v>32</v>
      </c>
      <c r="H1249" s="6" t="s">
        <v>33</v>
      </c>
      <c r="I1249" s="6" t="s">
        <v>767</v>
      </c>
      <c r="J1249" s="6" t="s">
        <v>764</v>
      </c>
      <c r="K1249" s="7">
        <v>6069159</v>
      </c>
      <c r="L1249" s="7">
        <v>272978</v>
      </c>
      <c r="M1249" s="7">
        <v>19</v>
      </c>
      <c r="N1249" s="7">
        <v>2</v>
      </c>
      <c r="O1249" s="7">
        <v>20</v>
      </c>
    </row>
    <row r="1250" spans="1:15" x14ac:dyDescent="0.25">
      <c r="A1250" s="6" t="s">
        <v>22</v>
      </c>
      <c r="B1250" s="6" t="s">
        <v>414</v>
      </c>
      <c r="C1250" s="7">
        <v>33176</v>
      </c>
      <c r="D1250" s="6" t="s">
        <v>24</v>
      </c>
      <c r="E1250" s="6" t="s">
        <v>31</v>
      </c>
      <c r="F1250" s="6" t="s">
        <v>415</v>
      </c>
      <c r="G1250" s="6" t="s">
        <v>50</v>
      </c>
      <c r="H1250" s="6" t="s">
        <v>765</v>
      </c>
      <c r="I1250" s="6" t="s">
        <v>767</v>
      </c>
      <c r="J1250" s="6" t="s">
        <v>767</v>
      </c>
      <c r="K1250" s="7">
        <v>6271200</v>
      </c>
      <c r="L1250" s="7">
        <v>300487</v>
      </c>
      <c r="M1250" s="7">
        <v>19</v>
      </c>
      <c r="N1250" s="7">
        <v>1</v>
      </c>
      <c r="O1250" s="7">
        <v>1.51</v>
      </c>
    </row>
    <row r="1251" spans="1:15" x14ac:dyDescent="0.25">
      <c r="A1251" s="6" t="s">
        <v>28</v>
      </c>
      <c r="B1251" s="6" t="s">
        <v>414</v>
      </c>
      <c r="C1251" s="7">
        <v>33177</v>
      </c>
      <c r="D1251" s="6" t="s">
        <v>39</v>
      </c>
      <c r="E1251" s="6" t="s">
        <v>177</v>
      </c>
      <c r="F1251" s="6" t="s">
        <v>493</v>
      </c>
      <c r="G1251" s="6" t="s">
        <v>32</v>
      </c>
      <c r="H1251" s="6" t="s">
        <v>33</v>
      </c>
      <c r="I1251" s="6" t="s">
        <v>767</v>
      </c>
      <c r="J1251" s="6" t="s">
        <v>767</v>
      </c>
      <c r="K1251" s="7">
        <v>6045564</v>
      </c>
      <c r="L1251" s="7">
        <v>279313</v>
      </c>
      <c r="M1251" s="7">
        <v>19</v>
      </c>
      <c r="N1251" s="7">
        <v>1</v>
      </c>
      <c r="O1251" s="7">
        <v>25</v>
      </c>
    </row>
    <row r="1252" spans="1:15" x14ac:dyDescent="0.25">
      <c r="A1252" s="6" t="s">
        <v>28</v>
      </c>
      <c r="B1252" s="6" t="s">
        <v>414</v>
      </c>
      <c r="C1252" s="7">
        <v>33178</v>
      </c>
      <c r="D1252" s="6" t="s">
        <v>39</v>
      </c>
      <c r="E1252" s="6" t="s">
        <v>72</v>
      </c>
      <c r="F1252" s="6" t="s">
        <v>72</v>
      </c>
      <c r="G1252" s="6" t="s">
        <v>32</v>
      </c>
      <c r="H1252" s="6" t="s">
        <v>33</v>
      </c>
      <c r="I1252" s="6" t="s">
        <v>767</v>
      </c>
      <c r="J1252" s="6" t="s">
        <v>767</v>
      </c>
      <c r="K1252" s="7">
        <v>6067585</v>
      </c>
      <c r="L1252" s="7">
        <v>273279</v>
      </c>
      <c r="M1252" s="7">
        <v>19</v>
      </c>
      <c r="N1252" s="7">
        <v>1</v>
      </c>
      <c r="O1252" s="7">
        <v>12.5</v>
      </c>
    </row>
    <row r="1253" spans="1:15" x14ac:dyDescent="0.25">
      <c r="A1253" s="6" t="s">
        <v>28</v>
      </c>
      <c r="B1253" s="6" t="s">
        <v>414</v>
      </c>
      <c r="C1253" s="7">
        <v>33179</v>
      </c>
      <c r="D1253" s="6" t="s">
        <v>39</v>
      </c>
      <c r="E1253" s="6" t="s">
        <v>72</v>
      </c>
      <c r="F1253" s="6" t="s">
        <v>72</v>
      </c>
      <c r="G1253" s="6" t="s">
        <v>32</v>
      </c>
      <c r="H1253" s="6" t="s">
        <v>33</v>
      </c>
      <c r="I1253" s="6" t="s">
        <v>767</v>
      </c>
      <c r="J1253" s="6" t="s">
        <v>767</v>
      </c>
      <c r="K1253" s="7">
        <v>6067899</v>
      </c>
      <c r="L1253" s="7">
        <v>272054</v>
      </c>
      <c r="M1253" s="7">
        <v>19</v>
      </c>
      <c r="N1253" s="7">
        <v>1</v>
      </c>
      <c r="O1253" s="7">
        <v>16</v>
      </c>
    </row>
    <row r="1254" spans="1:15" x14ac:dyDescent="0.25">
      <c r="A1254" s="6" t="s">
        <v>28</v>
      </c>
      <c r="B1254" s="6" t="s">
        <v>414</v>
      </c>
      <c r="C1254" s="7">
        <v>33181</v>
      </c>
      <c r="D1254" s="6" t="s">
        <v>39</v>
      </c>
      <c r="E1254" s="6" t="s">
        <v>177</v>
      </c>
      <c r="F1254" s="6" t="s">
        <v>468</v>
      </c>
      <c r="G1254" s="6" t="s">
        <v>32</v>
      </c>
      <c r="H1254" s="6" t="s">
        <v>33</v>
      </c>
      <c r="I1254" s="6" t="s">
        <v>767</v>
      </c>
      <c r="J1254" s="6" t="s">
        <v>767</v>
      </c>
      <c r="K1254" s="7">
        <v>6046978</v>
      </c>
      <c r="L1254" s="7">
        <v>281971</v>
      </c>
      <c r="M1254" s="7">
        <v>19</v>
      </c>
      <c r="N1254" s="7">
        <v>1</v>
      </c>
      <c r="O1254" s="7">
        <v>18</v>
      </c>
    </row>
    <row r="1255" spans="1:15" x14ac:dyDescent="0.25">
      <c r="A1255" s="6" t="s">
        <v>14</v>
      </c>
      <c r="B1255" s="6" t="s">
        <v>414</v>
      </c>
      <c r="C1255" s="7">
        <v>33183</v>
      </c>
      <c r="D1255" s="6" t="s">
        <v>39</v>
      </c>
      <c r="E1255" s="6" t="s">
        <v>72</v>
      </c>
      <c r="F1255" s="6" t="s">
        <v>197</v>
      </c>
      <c r="G1255" s="6" t="s">
        <v>32</v>
      </c>
      <c r="H1255" s="6" t="s">
        <v>33</v>
      </c>
      <c r="I1255" s="6" t="s">
        <v>767</v>
      </c>
      <c r="J1255" s="6" t="s">
        <v>764</v>
      </c>
      <c r="K1255" s="7">
        <v>6059513</v>
      </c>
      <c r="L1255" s="7">
        <v>286704</v>
      </c>
      <c r="M1255" s="7">
        <v>19</v>
      </c>
      <c r="N1255" s="7">
        <v>1</v>
      </c>
      <c r="O1255" s="7">
        <v>20</v>
      </c>
    </row>
    <row r="1256" spans="1:15" x14ac:dyDescent="0.25">
      <c r="A1256" s="6" t="s">
        <v>28</v>
      </c>
      <c r="B1256" s="6" t="s">
        <v>414</v>
      </c>
      <c r="C1256" s="7">
        <v>33195</v>
      </c>
      <c r="D1256" s="6" t="s">
        <v>39</v>
      </c>
      <c r="E1256" s="6" t="s">
        <v>72</v>
      </c>
      <c r="F1256" s="6" t="s">
        <v>71</v>
      </c>
      <c r="G1256" s="6" t="s">
        <v>32</v>
      </c>
      <c r="H1256" s="6" t="s">
        <v>153</v>
      </c>
      <c r="I1256" s="6" t="s">
        <v>767</v>
      </c>
      <c r="J1256" s="6" t="s">
        <v>764</v>
      </c>
      <c r="K1256" s="7">
        <v>6076260</v>
      </c>
      <c r="L1256" s="7">
        <v>275283</v>
      </c>
      <c r="M1256" s="7">
        <v>19</v>
      </c>
      <c r="N1256" s="7">
        <v>1</v>
      </c>
      <c r="O1256" s="7">
        <v>9.5</v>
      </c>
    </row>
    <row r="1257" spans="1:15" x14ac:dyDescent="0.25">
      <c r="A1257" s="6" t="s">
        <v>28</v>
      </c>
      <c r="B1257" s="6" t="s">
        <v>414</v>
      </c>
      <c r="C1257" s="7">
        <v>33197</v>
      </c>
      <c r="D1257" s="6" t="s">
        <v>39</v>
      </c>
      <c r="E1257" s="6" t="s">
        <v>72</v>
      </c>
      <c r="F1257" s="6" t="s">
        <v>71</v>
      </c>
      <c r="G1257" s="6" t="s">
        <v>32</v>
      </c>
      <c r="H1257" s="6" t="s">
        <v>19</v>
      </c>
      <c r="I1257" s="6" t="s">
        <v>767</v>
      </c>
      <c r="J1257" s="6" t="s">
        <v>767</v>
      </c>
      <c r="K1257" s="7">
        <v>6076260</v>
      </c>
      <c r="L1257" s="7">
        <v>275283</v>
      </c>
      <c r="M1257" s="7">
        <v>19</v>
      </c>
      <c r="N1257" s="7">
        <v>1</v>
      </c>
      <c r="O1257" s="7">
        <v>2.5</v>
      </c>
    </row>
    <row r="1258" spans="1:15" x14ac:dyDescent="0.25">
      <c r="A1258" s="6" t="s">
        <v>28</v>
      </c>
      <c r="B1258" s="6" t="s">
        <v>414</v>
      </c>
      <c r="C1258" s="7">
        <v>33223</v>
      </c>
      <c r="D1258" s="6" t="s">
        <v>39</v>
      </c>
      <c r="E1258" s="6" t="s">
        <v>72</v>
      </c>
      <c r="F1258" s="6" t="s">
        <v>131</v>
      </c>
      <c r="G1258" s="6" t="s">
        <v>32</v>
      </c>
      <c r="H1258" s="6" t="s">
        <v>153</v>
      </c>
      <c r="I1258" s="6" t="s">
        <v>767</v>
      </c>
      <c r="J1258" s="6" t="s">
        <v>764</v>
      </c>
      <c r="K1258" s="7">
        <v>6071122</v>
      </c>
      <c r="L1258" s="7">
        <v>283822</v>
      </c>
      <c r="M1258" s="7">
        <v>19</v>
      </c>
      <c r="N1258" s="7">
        <v>1</v>
      </c>
      <c r="O1258" s="7">
        <v>0.4</v>
      </c>
    </row>
    <row r="1259" spans="1:15" x14ac:dyDescent="0.25">
      <c r="A1259" s="6" t="s">
        <v>28</v>
      </c>
      <c r="B1259" s="6" t="s">
        <v>414</v>
      </c>
      <c r="C1259" s="7">
        <v>33228</v>
      </c>
      <c r="D1259" s="6" t="s">
        <v>39</v>
      </c>
      <c r="E1259" s="6" t="s">
        <v>72</v>
      </c>
      <c r="F1259" s="6" t="s">
        <v>131</v>
      </c>
      <c r="G1259" s="6" t="s">
        <v>32</v>
      </c>
      <c r="H1259" s="6" t="s">
        <v>19</v>
      </c>
      <c r="I1259" s="6" t="s">
        <v>767</v>
      </c>
      <c r="J1259" s="6" t="s">
        <v>767</v>
      </c>
      <c r="K1259" s="7">
        <v>6071122</v>
      </c>
      <c r="L1259" s="7">
        <v>283822</v>
      </c>
      <c r="M1259" s="7">
        <v>19</v>
      </c>
      <c r="N1259" s="7">
        <v>1</v>
      </c>
      <c r="O1259" s="7">
        <v>0.1</v>
      </c>
    </row>
    <row r="1260" spans="1:15" x14ac:dyDescent="0.25">
      <c r="A1260" s="6" t="s">
        <v>28</v>
      </c>
      <c r="B1260" s="6" t="s">
        <v>414</v>
      </c>
      <c r="C1260" s="7">
        <v>33233</v>
      </c>
      <c r="D1260" s="6" t="s">
        <v>39</v>
      </c>
      <c r="E1260" s="6" t="s">
        <v>72</v>
      </c>
      <c r="F1260" s="6" t="s">
        <v>72</v>
      </c>
      <c r="G1260" s="6" t="s">
        <v>32</v>
      </c>
      <c r="H1260" s="6" t="s">
        <v>19</v>
      </c>
      <c r="I1260" s="6" t="s">
        <v>767</v>
      </c>
      <c r="J1260" s="6" t="s">
        <v>767</v>
      </c>
      <c r="K1260" s="7">
        <v>6066134</v>
      </c>
      <c r="L1260" s="7">
        <v>284682</v>
      </c>
      <c r="M1260" s="7">
        <v>19</v>
      </c>
      <c r="N1260" s="7">
        <v>1</v>
      </c>
      <c r="O1260" s="7">
        <v>2</v>
      </c>
    </row>
    <row r="1261" spans="1:15" x14ac:dyDescent="0.25">
      <c r="A1261" s="6" t="s">
        <v>22</v>
      </c>
      <c r="B1261" s="6" t="s">
        <v>414</v>
      </c>
      <c r="C1261" s="7">
        <v>33253</v>
      </c>
      <c r="D1261" s="6" t="s">
        <v>24</v>
      </c>
      <c r="E1261" s="6" t="s">
        <v>31</v>
      </c>
      <c r="F1261" s="6" t="s">
        <v>415</v>
      </c>
      <c r="G1261" s="6" t="s">
        <v>89</v>
      </c>
      <c r="H1261" s="6" t="s">
        <v>765</v>
      </c>
      <c r="I1261" s="6" t="s">
        <v>767</v>
      </c>
      <c r="J1261" s="6" t="s">
        <v>767</v>
      </c>
      <c r="K1261" s="7">
        <v>6271011</v>
      </c>
      <c r="L1261" s="7">
        <v>300516</v>
      </c>
      <c r="M1261" s="7">
        <v>19</v>
      </c>
      <c r="N1261" s="7">
        <v>1</v>
      </c>
      <c r="O1261" s="7">
        <v>0.5</v>
      </c>
    </row>
    <row r="1262" spans="1:15" x14ac:dyDescent="0.25">
      <c r="A1262" s="6" t="s">
        <v>28</v>
      </c>
      <c r="B1262" s="6" t="s">
        <v>414</v>
      </c>
      <c r="C1262" s="7">
        <v>33377</v>
      </c>
      <c r="D1262" s="6" t="s">
        <v>39</v>
      </c>
      <c r="E1262" s="6" t="s">
        <v>53</v>
      </c>
      <c r="F1262" s="6" t="s">
        <v>437</v>
      </c>
      <c r="G1262" s="6" t="s">
        <v>32</v>
      </c>
      <c r="H1262" s="6" t="s">
        <v>19</v>
      </c>
      <c r="I1262" s="6" t="s">
        <v>767</v>
      </c>
      <c r="J1262" s="6" t="s">
        <v>767</v>
      </c>
      <c r="K1262" s="7">
        <v>6141283</v>
      </c>
      <c r="L1262" s="7">
        <v>310680</v>
      </c>
      <c r="M1262" s="7">
        <v>19</v>
      </c>
      <c r="N1262" s="7">
        <v>1</v>
      </c>
      <c r="O1262" s="7">
        <v>0.4</v>
      </c>
    </row>
    <row r="1263" spans="1:15" x14ac:dyDescent="0.25">
      <c r="A1263" s="6" t="s">
        <v>22</v>
      </c>
      <c r="B1263" s="6" t="s">
        <v>414</v>
      </c>
      <c r="C1263" s="7">
        <v>33456</v>
      </c>
      <c r="D1263" s="6" t="s">
        <v>42</v>
      </c>
      <c r="E1263" s="6" t="s">
        <v>184</v>
      </c>
      <c r="F1263" s="6" t="s">
        <v>494</v>
      </c>
      <c r="G1263" s="6" t="s">
        <v>32</v>
      </c>
      <c r="H1263" s="6" t="s">
        <v>765</v>
      </c>
      <c r="I1263" s="6" t="s">
        <v>767</v>
      </c>
      <c r="J1263" s="6" t="s">
        <v>767</v>
      </c>
      <c r="K1263" s="7">
        <v>6199637</v>
      </c>
      <c r="L1263" s="7">
        <v>337503</v>
      </c>
      <c r="M1263" s="7">
        <v>19</v>
      </c>
      <c r="N1263" s="7">
        <v>1</v>
      </c>
      <c r="O1263" s="7">
        <v>13.3</v>
      </c>
    </row>
    <row r="1264" spans="1:15" x14ac:dyDescent="0.25">
      <c r="A1264" s="6" t="s">
        <v>28</v>
      </c>
      <c r="B1264" s="6" t="s">
        <v>414</v>
      </c>
      <c r="C1264" s="7">
        <v>33468</v>
      </c>
      <c r="D1264" s="6" t="s">
        <v>39</v>
      </c>
      <c r="E1264" s="6" t="s">
        <v>72</v>
      </c>
      <c r="F1264" s="6" t="s">
        <v>495</v>
      </c>
      <c r="G1264" s="6" t="s">
        <v>32</v>
      </c>
      <c r="H1264" s="6" t="s">
        <v>162</v>
      </c>
      <c r="I1264" s="6" t="s">
        <v>767</v>
      </c>
      <c r="J1264" s="6" t="s">
        <v>764</v>
      </c>
      <c r="K1264" s="7">
        <v>6066697</v>
      </c>
      <c r="L1264" s="7">
        <v>281335</v>
      </c>
      <c r="M1264" s="7">
        <v>19</v>
      </c>
      <c r="N1264" s="7">
        <v>1</v>
      </c>
      <c r="O1264" s="7">
        <v>3</v>
      </c>
    </row>
    <row r="1265" spans="1:15" x14ac:dyDescent="0.25">
      <c r="A1265" s="6" t="s">
        <v>28</v>
      </c>
      <c r="B1265" s="6" t="s">
        <v>414</v>
      </c>
      <c r="C1265" s="7">
        <v>33474</v>
      </c>
      <c r="D1265" s="6" t="s">
        <v>39</v>
      </c>
      <c r="E1265" s="6" t="s">
        <v>72</v>
      </c>
      <c r="F1265" s="6" t="s">
        <v>131</v>
      </c>
      <c r="G1265" s="6" t="s">
        <v>32</v>
      </c>
      <c r="H1265" s="6" t="s">
        <v>162</v>
      </c>
      <c r="I1265" s="6" t="s">
        <v>767</v>
      </c>
      <c r="J1265" s="6" t="s">
        <v>764</v>
      </c>
      <c r="K1265" s="7">
        <v>6067168</v>
      </c>
      <c r="L1265" s="7">
        <v>281290</v>
      </c>
      <c r="M1265" s="7">
        <v>19</v>
      </c>
      <c r="N1265" s="7">
        <v>1</v>
      </c>
      <c r="O1265" s="7">
        <v>2.5</v>
      </c>
    </row>
    <row r="1266" spans="1:15" x14ac:dyDescent="0.25">
      <c r="A1266" s="6" t="s">
        <v>28</v>
      </c>
      <c r="B1266" s="6" t="s">
        <v>414</v>
      </c>
      <c r="C1266" s="7">
        <v>33475</v>
      </c>
      <c r="D1266" s="6" t="s">
        <v>39</v>
      </c>
      <c r="E1266" s="6" t="s">
        <v>72</v>
      </c>
      <c r="F1266" s="6" t="s">
        <v>166</v>
      </c>
      <c r="G1266" s="6" t="s">
        <v>32</v>
      </c>
      <c r="H1266" s="6" t="s">
        <v>19</v>
      </c>
      <c r="I1266" s="6" t="s">
        <v>767</v>
      </c>
      <c r="J1266" s="6" t="s">
        <v>767</v>
      </c>
      <c r="K1266" s="7">
        <v>6060884</v>
      </c>
      <c r="L1266" s="7">
        <v>269983</v>
      </c>
      <c r="M1266" s="7">
        <v>19</v>
      </c>
      <c r="N1266" s="7">
        <v>1</v>
      </c>
      <c r="O1266" s="7">
        <v>0.4</v>
      </c>
    </row>
    <row r="1267" spans="1:15" x14ac:dyDescent="0.25">
      <c r="A1267" s="6" t="s">
        <v>28</v>
      </c>
      <c r="B1267" s="6" t="s">
        <v>414</v>
      </c>
      <c r="C1267" s="7">
        <v>33516</v>
      </c>
      <c r="D1267" s="6" t="s">
        <v>42</v>
      </c>
      <c r="E1267" s="6" t="s">
        <v>43</v>
      </c>
      <c r="F1267" s="6" t="s">
        <v>43</v>
      </c>
      <c r="G1267" s="6" t="s">
        <v>32</v>
      </c>
      <c r="H1267" s="6" t="s">
        <v>19</v>
      </c>
      <c r="I1267" s="6" t="s">
        <v>767</v>
      </c>
      <c r="J1267" s="6" t="s">
        <v>767</v>
      </c>
      <c r="K1267" s="7">
        <v>6194399</v>
      </c>
      <c r="L1267" s="7">
        <v>329034</v>
      </c>
      <c r="M1267" s="7">
        <v>19</v>
      </c>
      <c r="N1267" s="7">
        <v>1</v>
      </c>
      <c r="O1267" s="7">
        <v>0.7</v>
      </c>
    </row>
    <row r="1268" spans="1:15" x14ac:dyDescent="0.25">
      <c r="A1268" s="6" t="s">
        <v>28</v>
      </c>
      <c r="B1268" s="6" t="s">
        <v>414</v>
      </c>
      <c r="C1268" s="7">
        <v>33520</v>
      </c>
      <c r="D1268" s="6" t="s">
        <v>42</v>
      </c>
      <c r="E1268" s="6" t="s">
        <v>43</v>
      </c>
      <c r="F1268" s="6" t="s">
        <v>438</v>
      </c>
      <c r="G1268" s="6" t="s">
        <v>32</v>
      </c>
      <c r="H1268" s="6" t="s">
        <v>19</v>
      </c>
      <c r="I1268" s="6" t="s">
        <v>767</v>
      </c>
      <c r="J1268" s="6" t="s">
        <v>767</v>
      </c>
      <c r="K1268" s="7">
        <v>6198742</v>
      </c>
      <c r="L1268" s="7">
        <v>324565</v>
      </c>
      <c r="M1268" s="7">
        <v>19</v>
      </c>
      <c r="N1268" s="7">
        <v>1</v>
      </c>
      <c r="O1268" s="7">
        <v>5</v>
      </c>
    </row>
    <row r="1269" spans="1:15" x14ac:dyDescent="0.25">
      <c r="A1269" s="6" t="s">
        <v>28</v>
      </c>
      <c r="B1269" s="6" t="s">
        <v>414</v>
      </c>
      <c r="C1269" s="7">
        <v>33521</v>
      </c>
      <c r="D1269" s="6" t="s">
        <v>42</v>
      </c>
      <c r="E1269" s="6" t="s">
        <v>184</v>
      </c>
      <c r="F1269" s="6" t="s">
        <v>441</v>
      </c>
      <c r="G1269" s="6" t="s">
        <v>32</v>
      </c>
      <c r="H1269" s="6" t="s">
        <v>19</v>
      </c>
      <c r="I1269" s="6" t="s">
        <v>767</v>
      </c>
      <c r="J1269" s="6" t="s">
        <v>767</v>
      </c>
      <c r="K1269" s="7">
        <v>6204830</v>
      </c>
      <c r="L1269" s="7">
        <v>329023</v>
      </c>
      <c r="M1269" s="7">
        <v>19</v>
      </c>
      <c r="N1269" s="7">
        <v>1</v>
      </c>
      <c r="O1269" s="7">
        <v>6</v>
      </c>
    </row>
    <row r="1270" spans="1:15" x14ac:dyDescent="0.25">
      <c r="A1270" s="6" t="s">
        <v>28</v>
      </c>
      <c r="B1270" s="6" t="s">
        <v>414</v>
      </c>
      <c r="C1270" s="7">
        <v>33522</v>
      </c>
      <c r="D1270" s="6" t="s">
        <v>42</v>
      </c>
      <c r="E1270" s="6" t="s">
        <v>184</v>
      </c>
      <c r="F1270" s="6" t="s">
        <v>184</v>
      </c>
      <c r="G1270" s="6" t="s">
        <v>32</v>
      </c>
      <c r="H1270" s="6" t="s">
        <v>19</v>
      </c>
      <c r="I1270" s="6" t="s">
        <v>767</v>
      </c>
      <c r="J1270" s="6" t="s">
        <v>767</v>
      </c>
      <c r="K1270" s="7">
        <v>6203983</v>
      </c>
      <c r="L1270" s="7">
        <v>333225</v>
      </c>
      <c r="M1270" s="7">
        <v>19</v>
      </c>
      <c r="N1270" s="7">
        <v>1</v>
      </c>
      <c r="O1270" s="7">
        <v>0.5</v>
      </c>
    </row>
    <row r="1271" spans="1:15" x14ac:dyDescent="0.25">
      <c r="A1271" s="6" t="s">
        <v>28</v>
      </c>
      <c r="B1271" s="6" t="s">
        <v>414</v>
      </c>
      <c r="C1271" s="7">
        <v>33523</v>
      </c>
      <c r="D1271" s="6" t="s">
        <v>42</v>
      </c>
      <c r="E1271" s="6" t="s">
        <v>43</v>
      </c>
      <c r="F1271" s="6" t="s">
        <v>432</v>
      </c>
      <c r="G1271" s="6" t="s">
        <v>32</v>
      </c>
      <c r="H1271" s="6" t="s">
        <v>19</v>
      </c>
      <c r="I1271" s="6" t="s">
        <v>767</v>
      </c>
      <c r="J1271" s="6" t="s">
        <v>767</v>
      </c>
      <c r="K1271" s="7">
        <v>6200489</v>
      </c>
      <c r="L1271" s="7">
        <v>329549</v>
      </c>
      <c r="M1271" s="7">
        <v>19</v>
      </c>
      <c r="N1271" s="7">
        <v>1</v>
      </c>
      <c r="O1271" s="7">
        <v>2</v>
      </c>
    </row>
    <row r="1272" spans="1:15" x14ac:dyDescent="0.25">
      <c r="A1272" s="6" t="s">
        <v>28</v>
      </c>
      <c r="B1272" s="6" t="s">
        <v>414</v>
      </c>
      <c r="C1272" s="7">
        <v>33524</v>
      </c>
      <c r="D1272" s="6" t="s">
        <v>42</v>
      </c>
      <c r="E1272" s="6" t="s">
        <v>43</v>
      </c>
      <c r="F1272" s="6" t="s">
        <v>432</v>
      </c>
      <c r="G1272" s="6" t="s">
        <v>32</v>
      </c>
      <c r="H1272" s="6" t="s">
        <v>19</v>
      </c>
      <c r="I1272" s="6" t="s">
        <v>767</v>
      </c>
      <c r="J1272" s="6" t="s">
        <v>767</v>
      </c>
      <c r="K1272" s="7">
        <v>6200782</v>
      </c>
      <c r="L1272" s="7">
        <v>328988</v>
      </c>
      <c r="M1272" s="7">
        <v>19</v>
      </c>
      <c r="N1272" s="7">
        <v>1</v>
      </c>
      <c r="O1272" s="7">
        <v>3</v>
      </c>
    </row>
    <row r="1273" spans="1:15" x14ac:dyDescent="0.25">
      <c r="A1273" s="6" t="s">
        <v>28</v>
      </c>
      <c r="B1273" s="6" t="s">
        <v>414</v>
      </c>
      <c r="C1273" s="7">
        <v>33526</v>
      </c>
      <c r="D1273" s="6" t="s">
        <v>42</v>
      </c>
      <c r="E1273" s="6" t="s">
        <v>43</v>
      </c>
      <c r="F1273" s="6" t="s">
        <v>44</v>
      </c>
      <c r="G1273" s="6" t="s">
        <v>32</v>
      </c>
      <c r="H1273" s="6" t="s">
        <v>153</v>
      </c>
      <c r="I1273" s="6" t="s">
        <v>767</v>
      </c>
      <c r="J1273" s="6" t="s">
        <v>764</v>
      </c>
      <c r="K1273" s="7">
        <v>6198128</v>
      </c>
      <c r="L1273" s="7">
        <v>327808</v>
      </c>
      <c r="M1273" s="7">
        <v>19</v>
      </c>
      <c r="N1273" s="7">
        <v>1</v>
      </c>
      <c r="O1273" s="7">
        <v>1.5</v>
      </c>
    </row>
    <row r="1274" spans="1:15" x14ac:dyDescent="0.25">
      <c r="A1274" s="6" t="s">
        <v>22</v>
      </c>
      <c r="B1274" s="6" t="s">
        <v>414</v>
      </c>
      <c r="C1274" s="7">
        <v>33589</v>
      </c>
      <c r="D1274" s="6" t="s">
        <v>42</v>
      </c>
      <c r="E1274" s="6" t="s">
        <v>496</v>
      </c>
      <c r="F1274" s="6" t="s">
        <v>496</v>
      </c>
      <c r="G1274" s="6" t="s">
        <v>32</v>
      </c>
      <c r="H1274" s="6" t="s">
        <v>765</v>
      </c>
      <c r="I1274" s="6" t="s">
        <v>767</v>
      </c>
      <c r="J1274" s="6" t="s">
        <v>767</v>
      </c>
      <c r="K1274" s="7">
        <v>6193862</v>
      </c>
      <c r="L1274" s="7">
        <v>320817</v>
      </c>
      <c r="M1274" s="7">
        <v>19</v>
      </c>
      <c r="N1274" s="7">
        <v>1</v>
      </c>
      <c r="O1274" s="7">
        <v>1.2</v>
      </c>
    </row>
    <row r="1275" spans="1:15" x14ac:dyDescent="0.25">
      <c r="A1275" s="6" t="s">
        <v>28</v>
      </c>
      <c r="B1275" s="6" t="s">
        <v>414</v>
      </c>
      <c r="C1275" s="7">
        <v>33595</v>
      </c>
      <c r="D1275" s="6" t="s">
        <v>42</v>
      </c>
      <c r="E1275" s="6" t="s">
        <v>43</v>
      </c>
      <c r="F1275" s="6" t="s">
        <v>44</v>
      </c>
      <c r="G1275" s="6" t="s">
        <v>32</v>
      </c>
      <c r="H1275" s="6" t="s">
        <v>19</v>
      </c>
      <c r="I1275" s="6" t="s">
        <v>767</v>
      </c>
      <c r="J1275" s="6" t="s">
        <v>767</v>
      </c>
      <c r="K1275" s="7">
        <v>6198128</v>
      </c>
      <c r="L1275" s="7">
        <v>327808</v>
      </c>
      <c r="M1275" s="7">
        <v>19</v>
      </c>
      <c r="N1275" s="7">
        <v>1</v>
      </c>
      <c r="O1275" s="7">
        <v>0.4</v>
      </c>
    </row>
    <row r="1276" spans="1:15" x14ac:dyDescent="0.25">
      <c r="A1276" s="6" t="s">
        <v>28</v>
      </c>
      <c r="B1276" s="6" t="s">
        <v>414</v>
      </c>
      <c r="C1276" s="7">
        <v>33627</v>
      </c>
      <c r="D1276" s="6" t="s">
        <v>39</v>
      </c>
      <c r="E1276" s="6" t="s">
        <v>41</v>
      </c>
      <c r="F1276" s="6" t="s">
        <v>447</v>
      </c>
      <c r="G1276" s="6" t="s">
        <v>32</v>
      </c>
      <c r="H1276" s="6" t="s">
        <v>33</v>
      </c>
      <c r="I1276" s="6" t="s">
        <v>767</v>
      </c>
      <c r="J1276" s="6" t="s">
        <v>764</v>
      </c>
      <c r="K1276" s="7">
        <v>6119492</v>
      </c>
      <c r="L1276" s="7">
        <v>291218</v>
      </c>
      <c r="M1276" s="7">
        <v>19</v>
      </c>
      <c r="N1276" s="7">
        <v>2</v>
      </c>
      <c r="O1276" s="7">
        <v>14</v>
      </c>
    </row>
    <row r="1277" spans="1:15" x14ac:dyDescent="0.25">
      <c r="A1277" s="6" t="s">
        <v>28</v>
      </c>
      <c r="B1277" s="6" t="s">
        <v>414</v>
      </c>
      <c r="C1277" s="7">
        <v>33632</v>
      </c>
      <c r="D1277" s="6" t="s">
        <v>39</v>
      </c>
      <c r="E1277" s="6" t="s">
        <v>179</v>
      </c>
      <c r="F1277" s="6" t="s">
        <v>179</v>
      </c>
      <c r="G1277" s="6" t="s">
        <v>32</v>
      </c>
      <c r="H1277" s="6" t="s">
        <v>33</v>
      </c>
      <c r="I1277" s="6" t="s">
        <v>767</v>
      </c>
      <c r="J1277" s="6" t="s">
        <v>767</v>
      </c>
      <c r="K1277" s="7">
        <v>6125159</v>
      </c>
      <c r="L1277" s="7">
        <v>313718</v>
      </c>
      <c r="M1277" s="7">
        <v>19</v>
      </c>
      <c r="N1277" s="7">
        <v>2</v>
      </c>
      <c r="O1277" s="7">
        <v>69.849999999999994</v>
      </c>
    </row>
    <row r="1278" spans="1:15" x14ac:dyDescent="0.25">
      <c r="A1278" s="6" t="s">
        <v>28</v>
      </c>
      <c r="B1278" s="6" t="s">
        <v>414</v>
      </c>
      <c r="C1278" s="7">
        <v>33640</v>
      </c>
      <c r="D1278" s="6" t="s">
        <v>39</v>
      </c>
      <c r="E1278" s="6" t="s">
        <v>310</v>
      </c>
      <c r="F1278" s="6" t="s">
        <v>310</v>
      </c>
      <c r="G1278" s="6" t="s">
        <v>32</v>
      </c>
      <c r="H1278" s="6" t="s">
        <v>33</v>
      </c>
      <c r="I1278" s="6" t="s">
        <v>767</v>
      </c>
      <c r="J1278" s="6" t="s">
        <v>764</v>
      </c>
      <c r="K1278" s="7">
        <v>6114956</v>
      </c>
      <c r="L1278" s="7">
        <v>291318</v>
      </c>
      <c r="M1278" s="7">
        <v>19</v>
      </c>
      <c r="N1278" s="7">
        <v>2</v>
      </c>
      <c r="O1278" s="7">
        <v>24</v>
      </c>
    </row>
    <row r="1279" spans="1:15" x14ac:dyDescent="0.25">
      <c r="A1279" s="6" t="s">
        <v>28</v>
      </c>
      <c r="B1279" s="6" t="s">
        <v>414</v>
      </c>
      <c r="C1279" s="7">
        <v>33648</v>
      </c>
      <c r="D1279" s="6" t="s">
        <v>39</v>
      </c>
      <c r="E1279" s="6" t="s">
        <v>40</v>
      </c>
      <c r="F1279" s="6" t="s">
        <v>421</v>
      </c>
      <c r="G1279" s="6" t="s">
        <v>32</v>
      </c>
      <c r="H1279" s="6" t="s">
        <v>33</v>
      </c>
      <c r="I1279" s="6" t="s">
        <v>767</v>
      </c>
      <c r="J1279" s="6" t="s">
        <v>764</v>
      </c>
      <c r="K1279" s="7">
        <v>6131835</v>
      </c>
      <c r="L1279" s="7">
        <v>295208</v>
      </c>
      <c r="M1279" s="7">
        <v>19</v>
      </c>
      <c r="N1279" s="7">
        <v>1</v>
      </c>
      <c r="O1279" s="7">
        <v>16</v>
      </c>
    </row>
    <row r="1280" spans="1:15" x14ac:dyDescent="0.25">
      <c r="A1280" s="6" t="s">
        <v>28</v>
      </c>
      <c r="B1280" s="6" t="s">
        <v>414</v>
      </c>
      <c r="C1280" s="7">
        <v>33659</v>
      </c>
      <c r="D1280" s="6" t="s">
        <v>39</v>
      </c>
      <c r="E1280" s="6" t="s">
        <v>310</v>
      </c>
      <c r="F1280" s="6" t="s">
        <v>310</v>
      </c>
      <c r="G1280" s="6" t="s">
        <v>32</v>
      </c>
      <c r="H1280" s="6" t="s">
        <v>33</v>
      </c>
      <c r="I1280" s="6" t="s">
        <v>767</v>
      </c>
      <c r="J1280" s="6" t="s">
        <v>767</v>
      </c>
      <c r="K1280" s="7">
        <v>6112111</v>
      </c>
      <c r="L1280" s="7">
        <v>294421</v>
      </c>
      <c r="M1280" s="7">
        <v>19</v>
      </c>
      <c r="N1280" s="7">
        <v>1</v>
      </c>
      <c r="O1280" s="7">
        <v>14.5</v>
      </c>
    </row>
    <row r="1281" spans="1:15" x14ac:dyDescent="0.25">
      <c r="A1281" s="6" t="s">
        <v>28</v>
      </c>
      <c r="B1281" s="6" t="s">
        <v>414</v>
      </c>
      <c r="C1281" s="7">
        <v>33663</v>
      </c>
      <c r="D1281" s="6" t="s">
        <v>39</v>
      </c>
      <c r="E1281" s="6" t="s">
        <v>40</v>
      </c>
      <c r="F1281" s="6" t="s">
        <v>181</v>
      </c>
      <c r="G1281" s="6" t="s">
        <v>32</v>
      </c>
      <c r="H1281" s="6" t="s">
        <v>33</v>
      </c>
      <c r="I1281" s="6" t="s">
        <v>767</v>
      </c>
      <c r="J1281" s="6" t="s">
        <v>767</v>
      </c>
      <c r="K1281" s="7">
        <v>6114781</v>
      </c>
      <c r="L1281" s="7">
        <v>307249</v>
      </c>
      <c r="M1281" s="7">
        <v>19</v>
      </c>
      <c r="N1281" s="7">
        <v>4</v>
      </c>
      <c r="O1281" s="7">
        <v>50</v>
      </c>
    </row>
    <row r="1282" spans="1:15" x14ac:dyDescent="0.25">
      <c r="A1282" s="6" t="s">
        <v>28</v>
      </c>
      <c r="B1282" s="6" t="s">
        <v>414</v>
      </c>
      <c r="C1282" s="7">
        <v>33727</v>
      </c>
      <c r="D1282" s="6" t="s">
        <v>42</v>
      </c>
      <c r="E1282" s="6" t="s">
        <v>184</v>
      </c>
      <c r="F1282" s="6" t="s">
        <v>441</v>
      </c>
      <c r="G1282" s="6" t="s">
        <v>32</v>
      </c>
      <c r="H1282" s="6" t="s">
        <v>19</v>
      </c>
      <c r="I1282" s="6" t="s">
        <v>767</v>
      </c>
      <c r="J1282" s="6" t="s">
        <v>767</v>
      </c>
      <c r="K1282" s="7">
        <v>6204773</v>
      </c>
      <c r="L1282" s="7">
        <v>329417</v>
      </c>
      <c r="M1282" s="7">
        <v>19</v>
      </c>
      <c r="N1282" s="7">
        <v>1</v>
      </c>
      <c r="O1282" s="7">
        <v>0.6</v>
      </c>
    </row>
    <row r="1283" spans="1:15" x14ac:dyDescent="0.25">
      <c r="A1283" s="6" t="s">
        <v>28</v>
      </c>
      <c r="B1283" s="6" t="s">
        <v>414</v>
      </c>
      <c r="C1283" s="7">
        <v>33781</v>
      </c>
      <c r="D1283" s="6" t="s">
        <v>39</v>
      </c>
      <c r="E1283" s="6" t="s">
        <v>72</v>
      </c>
      <c r="F1283" s="6" t="s">
        <v>72</v>
      </c>
      <c r="G1283" s="6" t="s">
        <v>32</v>
      </c>
      <c r="H1283" s="6" t="s">
        <v>153</v>
      </c>
      <c r="I1283" s="6" t="s">
        <v>767</v>
      </c>
      <c r="J1283" s="6" t="s">
        <v>764</v>
      </c>
      <c r="K1283" s="7">
        <v>6072834</v>
      </c>
      <c r="L1283" s="7">
        <v>284482</v>
      </c>
      <c r="M1283" s="7">
        <v>19</v>
      </c>
      <c r="N1283" s="7">
        <v>1</v>
      </c>
      <c r="O1283" s="7">
        <v>2.5</v>
      </c>
    </row>
    <row r="1284" spans="1:15" x14ac:dyDescent="0.25">
      <c r="A1284" s="6" t="s">
        <v>28</v>
      </c>
      <c r="B1284" s="6" t="s">
        <v>414</v>
      </c>
      <c r="C1284" s="7">
        <v>33783</v>
      </c>
      <c r="D1284" s="6" t="s">
        <v>39</v>
      </c>
      <c r="E1284" s="6" t="s">
        <v>72</v>
      </c>
      <c r="F1284" s="6" t="s">
        <v>72</v>
      </c>
      <c r="G1284" s="6" t="s">
        <v>32</v>
      </c>
      <c r="H1284" s="6" t="s">
        <v>19</v>
      </c>
      <c r="I1284" s="6" t="s">
        <v>767</v>
      </c>
      <c r="J1284" s="6" t="s">
        <v>767</v>
      </c>
      <c r="K1284" s="7">
        <v>6072834</v>
      </c>
      <c r="L1284" s="7">
        <v>284482</v>
      </c>
      <c r="M1284" s="7">
        <v>19</v>
      </c>
      <c r="N1284" s="7">
        <v>1</v>
      </c>
      <c r="O1284" s="7">
        <v>0.6</v>
      </c>
    </row>
    <row r="1285" spans="1:15" x14ac:dyDescent="0.25">
      <c r="A1285" s="6" t="s">
        <v>28</v>
      </c>
      <c r="B1285" s="6" t="s">
        <v>414</v>
      </c>
      <c r="C1285" s="7">
        <v>33790</v>
      </c>
      <c r="D1285" s="6" t="s">
        <v>39</v>
      </c>
      <c r="E1285" s="6" t="s">
        <v>72</v>
      </c>
      <c r="F1285" s="6" t="s">
        <v>131</v>
      </c>
      <c r="G1285" s="6" t="s">
        <v>32</v>
      </c>
      <c r="H1285" s="6" t="s">
        <v>162</v>
      </c>
      <c r="I1285" s="6" t="s">
        <v>767</v>
      </c>
      <c r="J1285" s="6" t="s">
        <v>764</v>
      </c>
      <c r="K1285" s="7">
        <v>6063003</v>
      </c>
      <c r="L1285" s="7">
        <v>280426</v>
      </c>
      <c r="M1285" s="7">
        <v>19</v>
      </c>
      <c r="N1285" s="7">
        <v>1</v>
      </c>
      <c r="O1285" s="7">
        <v>2.5</v>
      </c>
    </row>
    <row r="1286" spans="1:15" x14ac:dyDescent="0.25">
      <c r="A1286" s="6" t="s">
        <v>28</v>
      </c>
      <c r="B1286" s="6" t="s">
        <v>414</v>
      </c>
      <c r="C1286" s="7">
        <v>33793</v>
      </c>
      <c r="D1286" s="6" t="s">
        <v>39</v>
      </c>
      <c r="E1286" s="6" t="s">
        <v>72</v>
      </c>
      <c r="F1286" s="6" t="s">
        <v>131</v>
      </c>
      <c r="G1286" s="6" t="s">
        <v>32</v>
      </c>
      <c r="H1286" s="6" t="s">
        <v>153</v>
      </c>
      <c r="I1286" s="6" t="s">
        <v>767</v>
      </c>
      <c r="J1286" s="6" t="s">
        <v>764</v>
      </c>
      <c r="K1286" s="7">
        <v>6067044</v>
      </c>
      <c r="L1286" s="7">
        <v>278344</v>
      </c>
      <c r="M1286" s="7">
        <v>19</v>
      </c>
      <c r="N1286" s="7">
        <v>1</v>
      </c>
      <c r="O1286" s="7">
        <v>0.4</v>
      </c>
    </row>
    <row r="1287" spans="1:15" x14ac:dyDescent="0.25">
      <c r="A1287" s="6" t="s">
        <v>28</v>
      </c>
      <c r="B1287" s="6" t="s">
        <v>414</v>
      </c>
      <c r="C1287" s="7">
        <v>33796</v>
      </c>
      <c r="D1287" s="6" t="s">
        <v>39</v>
      </c>
      <c r="E1287" s="6" t="s">
        <v>72</v>
      </c>
      <c r="F1287" s="6" t="s">
        <v>131</v>
      </c>
      <c r="G1287" s="6" t="s">
        <v>32</v>
      </c>
      <c r="H1287" s="6" t="s">
        <v>19</v>
      </c>
      <c r="I1287" s="6" t="s">
        <v>767</v>
      </c>
      <c r="J1287" s="6" t="s">
        <v>767</v>
      </c>
      <c r="K1287" s="7">
        <v>6067044</v>
      </c>
      <c r="L1287" s="7">
        <v>278344</v>
      </c>
      <c r="M1287" s="7">
        <v>19</v>
      </c>
      <c r="N1287" s="7">
        <v>1</v>
      </c>
      <c r="O1287" s="7">
        <v>0.1</v>
      </c>
    </row>
    <row r="1288" spans="1:15" x14ac:dyDescent="0.25">
      <c r="A1288" s="6" t="s">
        <v>28</v>
      </c>
      <c r="B1288" s="6" t="s">
        <v>414</v>
      </c>
      <c r="C1288" s="7">
        <v>33799</v>
      </c>
      <c r="D1288" s="6" t="s">
        <v>39</v>
      </c>
      <c r="E1288" s="6" t="s">
        <v>72</v>
      </c>
      <c r="F1288" s="6" t="s">
        <v>131</v>
      </c>
      <c r="G1288" s="6" t="s">
        <v>32</v>
      </c>
      <c r="H1288" s="6" t="s">
        <v>153</v>
      </c>
      <c r="I1288" s="6" t="s">
        <v>767</v>
      </c>
      <c r="J1288" s="6" t="s">
        <v>764</v>
      </c>
      <c r="K1288" s="7">
        <v>6066868</v>
      </c>
      <c r="L1288" s="7">
        <v>278542</v>
      </c>
      <c r="M1288" s="7">
        <v>19</v>
      </c>
      <c r="N1288" s="7">
        <v>1</v>
      </c>
      <c r="O1288" s="7">
        <v>0.4</v>
      </c>
    </row>
    <row r="1289" spans="1:15" x14ac:dyDescent="0.25">
      <c r="A1289" s="6" t="s">
        <v>28</v>
      </c>
      <c r="B1289" s="6" t="s">
        <v>414</v>
      </c>
      <c r="C1289" s="7">
        <v>33802</v>
      </c>
      <c r="D1289" s="6" t="s">
        <v>39</v>
      </c>
      <c r="E1289" s="6" t="s">
        <v>72</v>
      </c>
      <c r="F1289" s="6" t="s">
        <v>131</v>
      </c>
      <c r="G1289" s="6" t="s">
        <v>32</v>
      </c>
      <c r="H1289" s="6" t="s">
        <v>19</v>
      </c>
      <c r="I1289" s="6" t="s">
        <v>767</v>
      </c>
      <c r="J1289" s="6" t="s">
        <v>767</v>
      </c>
      <c r="K1289" s="7">
        <v>6066868</v>
      </c>
      <c r="L1289" s="7">
        <v>278542</v>
      </c>
      <c r="M1289" s="7">
        <v>19</v>
      </c>
      <c r="N1289" s="7">
        <v>1</v>
      </c>
      <c r="O1289" s="7">
        <v>0.1</v>
      </c>
    </row>
    <row r="1290" spans="1:15" x14ac:dyDescent="0.25">
      <c r="A1290" s="6" t="s">
        <v>28</v>
      </c>
      <c r="B1290" s="6" t="s">
        <v>414</v>
      </c>
      <c r="C1290" s="7">
        <v>33804</v>
      </c>
      <c r="D1290" s="6" t="s">
        <v>39</v>
      </c>
      <c r="E1290" s="6" t="s">
        <v>72</v>
      </c>
      <c r="F1290" s="6" t="s">
        <v>131</v>
      </c>
      <c r="G1290" s="6" t="s">
        <v>32</v>
      </c>
      <c r="H1290" s="6" t="s">
        <v>162</v>
      </c>
      <c r="I1290" s="6" t="s">
        <v>767</v>
      </c>
      <c r="J1290" s="6" t="s">
        <v>764</v>
      </c>
      <c r="K1290" s="7">
        <v>6070559</v>
      </c>
      <c r="L1290" s="7">
        <v>281718</v>
      </c>
      <c r="M1290" s="7">
        <v>19</v>
      </c>
      <c r="N1290" s="7">
        <v>1</v>
      </c>
      <c r="O1290" s="7">
        <v>2.25</v>
      </c>
    </row>
    <row r="1291" spans="1:15" x14ac:dyDescent="0.25">
      <c r="A1291" s="6" t="s">
        <v>28</v>
      </c>
      <c r="B1291" s="6" t="s">
        <v>414</v>
      </c>
      <c r="C1291" s="7">
        <v>33815</v>
      </c>
      <c r="D1291" s="6" t="s">
        <v>39</v>
      </c>
      <c r="E1291" s="6" t="s">
        <v>72</v>
      </c>
      <c r="F1291" s="6" t="s">
        <v>131</v>
      </c>
      <c r="G1291" s="6" t="s">
        <v>32</v>
      </c>
      <c r="H1291" s="6" t="s">
        <v>162</v>
      </c>
      <c r="I1291" s="6" t="s">
        <v>767</v>
      </c>
      <c r="J1291" s="6" t="s">
        <v>767</v>
      </c>
      <c r="K1291" s="7">
        <v>6064430</v>
      </c>
      <c r="L1291" s="7">
        <v>282200</v>
      </c>
      <c r="M1291" s="7">
        <v>19</v>
      </c>
      <c r="N1291" s="7">
        <v>1</v>
      </c>
      <c r="O1291" s="7">
        <v>0.3</v>
      </c>
    </row>
    <row r="1292" spans="1:15" x14ac:dyDescent="0.25">
      <c r="A1292" s="6" t="s">
        <v>28</v>
      </c>
      <c r="B1292" s="6" t="s">
        <v>414</v>
      </c>
      <c r="C1292" s="7">
        <v>33820</v>
      </c>
      <c r="D1292" s="6" t="s">
        <v>39</v>
      </c>
      <c r="E1292" s="6" t="s">
        <v>72</v>
      </c>
      <c r="F1292" s="6" t="s">
        <v>131</v>
      </c>
      <c r="G1292" s="6" t="s">
        <v>32</v>
      </c>
      <c r="H1292" s="6" t="s">
        <v>162</v>
      </c>
      <c r="I1292" s="6" t="s">
        <v>767</v>
      </c>
      <c r="J1292" s="6" t="s">
        <v>767</v>
      </c>
      <c r="K1292" s="7">
        <v>6064430</v>
      </c>
      <c r="L1292" s="7">
        <v>282200</v>
      </c>
      <c r="M1292" s="7">
        <v>19</v>
      </c>
      <c r="N1292" s="7">
        <v>1</v>
      </c>
      <c r="O1292" s="7">
        <v>0.3</v>
      </c>
    </row>
    <row r="1293" spans="1:15" x14ac:dyDescent="0.25">
      <c r="A1293" s="6" t="s">
        <v>28</v>
      </c>
      <c r="B1293" s="6" t="s">
        <v>414</v>
      </c>
      <c r="C1293" s="7">
        <v>33823</v>
      </c>
      <c r="D1293" s="6" t="s">
        <v>39</v>
      </c>
      <c r="E1293" s="6" t="s">
        <v>72</v>
      </c>
      <c r="F1293" s="6" t="s">
        <v>131</v>
      </c>
      <c r="G1293" s="6" t="s">
        <v>32</v>
      </c>
      <c r="H1293" s="6" t="s">
        <v>162</v>
      </c>
      <c r="I1293" s="6" t="s">
        <v>767</v>
      </c>
      <c r="J1293" s="6" t="s">
        <v>767</v>
      </c>
      <c r="K1293" s="7">
        <v>6063694</v>
      </c>
      <c r="L1293" s="7">
        <v>280694</v>
      </c>
      <c r="M1293" s="7">
        <v>19</v>
      </c>
      <c r="N1293" s="7">
        <v>1</v>
      </c>
      <c r="O1293" s="7">
        <v>0.3</v>
      </c>
    </row>
    <row r="1294" spans="1:15" x14ac:dyDescent="0.25">
      <c r="A1294" s="6" t="s">
        <v>28</v>
      </c>
      <c r="B1294" s="6" t="s">
        <v>414</v>
      </c>
      <c r="C1294" s="7">
        <v>33835</v>
      </c>
      <c r="D1294" s="6" t="s">
        <v>39</v>
      </c>
      <c r="E1294" s="6" t="s">
        <v>72</v>
      </c>
      <c r="F1294" s="6" t="s">
        <v>131</v>
      </c>
      <c r="G1294" s="6" t="s">
        <v>32</v>
      </c>
      <c r="H1294" s="6" t="s">
        <v>162</v>
      </c>
      <c r="I1294" s="6" t="s">
        <v>767</v>
      </c>
      <c r="J1294" s="6" t="s">
        <v>767</v>
      </c>
      <c r="K1294" s="7">
        <v>6063694</v>
      </c>
      <c r="L1294" s="7">
        <v>280694</v>
      </c>
      <c r="M1294" s="7">
        <v>19</v>
      </c>
      <c r="N1294" s="7">
        <v>1</v>
      </c>
      <c r="O1294" s="7">
        <v>0.3</v>
      </c>
    </row>
    <row r="1295" spans="1:15" x14ac:dyDescent="0.25">
      <c r="A1295" s="6" t="s">
        <v>28</v>
      </c>
      <c r="B1295" s="6" t="s">
        <v>414</v>
      </c>
      <c r="C1295" s="7">
        <v>33836</v>
      </c>
      <c r="D1295" s="6" t="s">
        <v>39</v>
      </c>
      <c r="E1295" s="6" t="s">
        <v>72</v>
      </c>
      <c r="F1295" s="6" t="s">
        <v>131</v>
      </c>
      <c r="G1295" s="6" t="s">
        <v>32</v>
      </c>
      <c r="H1295" s="6" t="s">
        <v>162</v>
      </c>
      <c r="I1295" s="6" t="s">
        <v>767</v>
      </c>
      <c r="J1295" s="6" t="s">
        <v>767</v>
      </c>
      <c r="K1295" s="7">
        <v>6063694</v>
      </c>
      <c r="L1295" s="7">
        <v>280694</v>
      </c>
      <c r="M1295" s="7">
        <v>19</v>
      </c>
      <c r="N1295" s="7">
        <v>1</v>
      </c>
      <c r="O1295" s="7">
        <v>0.3</v>
      </c>
    </row>
    <row r="1296" spans="1:15" x14ac:dyDescent="0.25">
      <c r="A1296" s="6" t="s">
        <v>28</v>
      </c>
      <c r="B1296" s="6" t="s">
        <v>414</v>
      </c>
      <c r="C1296" s="7">
        <v>33837</v>
      </c>
      <c r="D1296" s="6" t="s">
        <v>39</v>
      </c>
      <c r="E1296" s="6" t="s">
        <v>72</v>
      </c>
      <c r="F1296" s="6" t="s">
        <v>131</v>
      </c>
      <c r="G1296" s="6" t="s">
        <v>32</v>
      </c>
      <c r="H1296" s="6" t="s">
        <v>162</v>
      </c>
      <c r="I1296" s="6" t="s">
        <v>767</v>
      </c>
      <c r="J1296" s="6" t="s">
        <v>764</v>
      </c>
      <c r="K1296" s="7">
        <v>6063705</v>
      </c>
      <c r="L1296" s="7">
        <v>280343</v>
      </c>
      <c r="M1296" s="7">
        <v>19</v>
      </c>
      <c r="N1296" s="7">
        <v>1</v>
      </c>
      <c r="O1296" s="7">
        <v>1.1000000000000001</v>
      </c>
    </row>
    <row r="1297" spans="1:15" x14ac:dyDescent="0.25">
      <c r="A1297" s="6" t="s">
        <v>28</v>
      </c>
      <c r="B1297" s="6" t="s">
        <v>414</v>
      </c>
      <c r="C1297" s="7">
        <v>33838</v>
      </c>
      <c r="D1297" s="6" t="s">
        <v>39</v>
      </c>
      <c r="E1297" s="6" t="s">
        <v>72</v>
      </c>
      <c r="F1297" s="6" t="s">
        <v>497</v>
      </c>
      <c r="G1297" s="6" t="s">
        <v>32</v>
      </c>
      <c r="H1297" s="6" t="s">
        <v>162</v>
      </c>
      <c r="I1297" s="6" t="s">
        <v>767</v>
      </c>
      <c r="J1297" s="6" t="s">
        <v>764</v>
      </c>
      <c r="K1297" s="7">
        <v>6064222</v>
      </c>
      <c r="L1297" s="7">
        <v>271656</v>
      </c>
      <c r="M1297" s="7">
        <v>19</v>
      </c>
      <c r="N1297" s="7">
        <v>1</v>
      </c>
      <c r="O1297" s="7">
        <v>2</v>
      </c>
    </row>
    <row r="1298" spans="1:15" x14ac:dyDescent="0.25">
      <c r="A1298" s="6" t="s">
        <v>28</v>
      </c>
      <c r="B1298" s="6" t="s">
        <v>414</v>
      </c>
      <c r="C1298" s="7">
        <v>33839</v>
      </c>
      <c r="D1298" s="6" t="s">
        <v>39</v>
      </c>
      <c r="E1298" s="6" t="s">
        <v>72</v>
      </c>
      <c r="F1298" s="6" t="s">
        <v>131</v>
      </c>
      <c r="G1298" s="6" t="s">
        <v>32</v>
      </c>
      <c r="H1298" s="6" t="s">
        <v>19</v>
      </c>
      <c r="I1298" s="6" t="s">
        <v>767</v>
      </c>
      <c r="J1298" s="6" t="s">
        <v>767</v>
      </c>
      <c r="K1298" s="7">
        <v>6068183</v>
      </c>
      <c r="L1298" s="7">
        <v>286039</v>
      </c>
      <c r="M1298" s="7">
        <v>19</v>
      </c>
      <c r="N1298" s="7">
        <v>1</v>
      </c>
      <c r="O1298" s="7">
        <v>5</v>
      </c>
    </row>
    <row r="1299" spans="1:15" x14ac:dyDescent="0.25">
      <c r="A1299" s="6" t="s">
        <v>28</v>
      </c>
      <c r="B1299" s="6" t="s">
        <v>414</v>
      </c>
      <c r="C1299" s="7">
        <v>33840</v>
      </c>
      <c r="D1299" s="6" t="s">
        <v>39</v>
      </c>
      <c r="E1299" s="6" t="s">
        <v>72</v>
      </c>
      <c r="F1299" s="6" t="s">
        <v>210</v>
      </c>
      <c r="G1299" s="6" t="s">
        <v>32</v>
      </c>
      <c r="H1299" s="6" t="s">
        <v>19</v>
      </c>
      <c r="I1299" s="6" t="s">
        <v>767</v>
      </c>
      <c r="J1299" s="6" t="s">
        <v>767</v>
      </c>
      <c r="K1299" s="7">
        <v>6067502</v>
      </c>
      <c r="L1299" s="7">
        <v>282960</v>
      </c>
      <c r="M1299" s="7">
        <v>19</v>
      </c>
      <c r="N1299" s="7">
        <v>1</v>
      </c>
      <c r="O1299" s="7">
        <v>0.4</v>
      </c>
    </row>
    <row r="1300" spans="1:15" x14ac:dyDescent="0.25">
      <c r="A1300" s="6" t="s">
        <v>28</v>
      </c>
      <c r="B1300" s="6" t="s">
        <v>414</v>
      </c>
      <c r="C1300" s="7">
        <v>33841</v>
      </c>
      <c r="D1300" s="6" t="s">
        <v>39</v>
      </c>
      <c r="E1300" s="6" t="s">
        <v>72</v>
      </c>
      <c r="F1300" s="6" t="s">
        <v>131</v>
      </c>
      <c r="G1300" s="6" t="s">
        <v>32</v>
      </c>
      <c r="H1300" s="6" t="s">
        <v>19</v>
      </c>
      <c r="I1300" s="6" t="s">
        <v>767</v>
      </c>
      <c r="J1300" s="6" t="s">
        <v>767</v>
      </c>
      <c r="K1300" s="7">
        <v>6064160</v>
      </c>
      <c r="L1300" s="7">
        <v>283364</v>
      </c>
      <c r="M1300" s="7">
        <v>19</v>
      </c>
      <c r="N1300" s="7">
        <v>1</v>
      </c>
      <c r="O1300" s="7">
        <v>3</v>
      </c>
    </row>
    <row r="1301" spans="1:15" x14ac:dyDescent="0.25">
      <c r="A1301" s="6" t="s">
        <v>28</v>
      </c>
      <c r="B1301" s="6" t="s">
        <v>414</v>
      </c>
      <c r="C1301" s="7">
        <v>33843</v>
      </c>
      <c r="D1301" s="6" t="s">
        <v>39</v>
      </c>
      <c r="E1301" s="6" t="s">
        <v>72</v>
      </c>
      <c r="F1301" s="6" t="s">
        <v>210</v>
      </c>
      <c r="G1301" s="6" t="s">
        <v>32</v>
      </c>
      <c r="H1301" s="6" t="s">
        <v>19</v>
      </c>
      <c r="I1301" s="6" t="s">
        <v>767</v>
      </c>
      <c r="J1301" s="6" t="s">
        <v>767</v>
      </c>
      <c r="K1301" s="7">
        <v>6067817</v>
      </c>
      <c r="L1301" s="7">
        <v>284414</v>
      </c>
      <c r="M1301" s="7">
        <v>19</v>
      </c>
      <c r="N1301" s="7">
        <v>1</v>
      </c>
      <c r="O1301" s="7">
        <v>0.4</v>
      </c>
    </row>
    <row r="1302" spans="1:15" x14ac:dyDescent="0.25">
      <c r="A1302" s="6" t="s">
        <v>28</v>
      </c>
      <c r="B1302" s="6" t="s">
        <v>414</v>
      </c>
      <c r="C1302" s="7">
        <v>33844</v>
      </c>
      <c r="D1302" s="6" t="s">
        <v>39</v>
      </c>
      <c r="E1302" s="6" t="s">
        <v>72</v>
      </c>
      <c r="F1302" s="6" t="s">
        <v>131</v>
      </c>
      <c r="G1302" s="6" t="s">
        <v>32</v>
      </c>
      <c r="H1302" s="6" t="s">
        <v>19</v>
      </c>
      <c r="I1302" s="6" t="s">
        <v>767</v>
      </c>
      <c r="J1302" s="6" t="s">
        <v>767</v>
      </c>
      <c r="K1302" s="7">
        <v>6063412</v>
      </c>
      <c r="L1302" s="7">
        <v>281589</v>
      </c>
      <c r="M1302" s="7">
        <v>19</v>
      </c>
      <c r="N1302" s="7">
        <v>1</v>
      </c>
      <c r="O1302" s="7">
        <v>0.4</v>
      </c>
    </row>
    <row r="1303" spans="1:15" x14ac:dyDescent="0.25">
      <c r="A1303" s="6" t="s">
        <v>28</v>
      </c>
      <c r="B1303" s="6" t="s">
        <v>414</v>
      </c>
      <c r="C1303" s="7">
        <v>33867</v>
      </c>
      <c r="D1303" s="6" t="s">
        <v>39</v>
      </c>
      <c r="E1303" s="6" t="s">
        <v>72</v>
      </c>
      <c r="F1303" s="6" t="s">
        <v>131</v>
      </c>
      <c r="G1303" s="6" t="s">
        <v>32</v>
      </c>
      <c r="H1303" s="6" t="s">
        <v>19</v>
      </c>
      <c r="I1303" s="6" t="s">
        <v>767</v>
      </c>
      <c r="J1303" s="6" t="s">
        <v>767</v>
      </c>
      <c r="K1303" s="7">
        <v>6070894</v>
      </c>
      <c r="L1303" s="7">
        <v>284233</v>
      </c>
      <c r="M1303" s="7">
        <v>19</v>
      </c>
      <c r="N1303" s="7">
        <v>1</v>
      </c>
      <c r="O1303" s="7">
        <v>2.5</v>
      </c>
    </row>
    <row r="1304" spans="1:15" x14ac:dyDescent="0.25">
      <c r="A1304" s="6" t="s">
        <v>28</v>
      </c>
      <c r="B1304" s="6" t="s">
        <v>414</v>
      </c>
      <c r="C1304" s="7">
        <v>33924</v>
      </c>
      <c r="D1304" s="6" t="s">
        <v>39</v>
      </c>
      <c r="E1304" s="6" t="s">
        <v>53</v>
      </c>
      <c r="F1304" s="6" t="s">
        <v>424</v>
      </c>
      <c r="G1304" s="6" t="s">
        <v>32</v>
      </c>
      <c r="H1304" s="6" t="s">
        <v>19</v>
      </c>
      <c r="I1304" s="6" t="s">
        <v>767</v>
      </c>
      <c r="J1304" s="6" t="s">
        <v>767</v>
      </c>
      <c r="K1304" s="7">
        <v>6139916</v>
      </c>
      <c r="L1304" s="7">
        <v>300914</v>
      </c>
      <c r="M1304" s="7">
        <v>19</v>
      </c>
      <c r="N1304" s="7">
        <v>1</v>
      </c>
      <c r="O1304" s="7">
        <v>3</v>
      </c>
    </row>
    <row r="1305" spans="1:15" x14ac:dyDescent="0.25">
      <c r="A1305" s="6" t="s">
        <v>28</v>
      </c>
      <c r="B1305" s="6" t="s">
        <v>414</v>
      </c>
      <c r="C1305" s="7">
        <v>33925</v>
      </c>
      <c r="D1305" s="6" t="s">
        <v>39</v>
      </c>
      <c r="E1305" s="6" t="s">
        <v>53</v>
      </c>
      <c r="F1305" s="6" t="s">
        <v>424</v>
      </c>
      <c r="G1305" s="6" t="s">
        <v>32</v>
      </c>
      <c r="H1305" s="6" t="s">
        <v>19</v>
      </c>
      <c r="I1305" s="6" t="s">
        <v>767</v>
      </c>
      <c r="J1305" s="6" t="s">
        <v>767</v>
      </c>
      <c r="K1305" s="7">
        <v>6137432</v>
      </c>
      <c r="L1305" s="7">
        <v>309519</v>
      </c>
      <c r="M1305" s="7">
        <v>19</v>
      </c>
      <c r="N1305" s="7">
        <v>1</v>
      </c>
      <c r="O1305" s="7">
        <v>10</v>
      </c>
    </row>
    <row r="1306" spans="1:15" x14ac:dyDescent="0.25">
      <c r="A1306" s="6" t="s">
        <v>28</v>
      </c>
      <c r="B1306" s="6" t="s">
        <v>414</v>
      </c>
      <c r="C1306" s="7">
        <v>33929</v>
      </c>
      <c r="D1306" s="6" t="s">
        <v>39</v>
      </c>
      <c r="E1306" s="6" t="s">
        <v>53</v>
      </c>
      <c r="F1306" s="6" t="s">
        <v>424</v>
      </c>
      <c r="G1306" s="6" t="s">
        <v>32</v>
      </c>
      <c r="H1306" s="6" t="s">
        <v>19</v>
      </c>
      <c r="I1306" s="6" t="s">
        <v>767</v>
      </c>
      <c r="J1306" s="6" t="s">
        <v>767</v>
      </c>
      <c r="K1306" s="7">
        <v>6137275</v>
      </c>
      <c r="L1306" s="7">
        <v>309236</v>
      </c>
      <c r="M1306" s="7">
        <v>19</v>
      </c>
      <c r="N1306" s="7">
        <v>1</v>
      </c>
      <c r="O1306" s="7">
        <v>0.5</v>
      </c>
    </row>
    <row r="1307" spans="1:15" x14ac:dyDescent="0.25">
      <c r="A1307" s="6" t="s">
        <v>28</v>
      </c>
      <c r="B1307" s="6" t="s">
        <v>414</v>
      </c>
      <c r="C1307" s="7">
        <v>33930</v>
      </c>
      <c r="D1307" s="6" t="s">
        <v>39</v>
      </c>
      <c r="E1307" s="6" t="s">
        <v>40</v>
      </c>
      <c r="F1307" s="6" t="s">
        <v>424</v>
      </c>
      <c r="G1307" s="6" t="s">
        <v>32</v>
      </c>
      <c r="H1307" s="6" t="s">
        <v>19</v>
      </c>
      <c r="I1307" s="6" t="s">
        <v>767</v>
      </c>
      <c r="J1307" s="6" t="s">
        <v>767</v>
      </c>
      <c r="K1307" s="7">
        <v>6141380</v>
      </c>
      <c r="L1307" s="7">
        <v>309856</v>
      </c>
      <c r="M1307" s="7">
        <v>19</v>
      </c>
      <c r="N1307" s="7">
        <v>1</v>
      </c>
      <c r="O1307" s="7">
        <v>2</v>
      </c>
    </row>
    <row r="1308" spans="1:15" x14ac:dyDescent="0.25">
      <c r="A1308" s="6" t="s">
        <v>28</v>
      </c>
      <c r="B1308" s="6" t="s">
        <v>414</v>
      </c>
      <c r="C1308" s="7">
        <v>34106</v>
      </c>
      <c r="D1308" s="6" t="s">
        <v>24</v>
      </c>
      <c r="E1308" s="6" t="s">
        <v>37</v>
      </c>
      <c r="F1308" s="6" t="s">
        <v>416</v>
      </c>
      <c r="G1308" s="6" t="s">
        <v>32</v>
      </c>
      <c r="H1308" s="6" t="s">
        <v>33</v>
      </c>
      <c r="I1308" s="6" t="s">
        <v>767</v>
      </c>
      <c r="J1308" s="6" t="s">
        <v>764</v>
      </c>
      <c r="K1308" s="7">
        <v>6278112</v>
      </c>
      <c r="L1308" s="7">
        <v>327936</v>
      </c>
      <c r="M1308" s="7">
        <v>19</v>
      </c>
      <c r="N1308" s="7">
        <v>1</v>
      </c>
      <c r="O1308" s="7">
        <v>10</v>
      </c>
    </row>
    <row r="1309" spans="1:15" x14ac:dyDescent="0.25">
      <c r="A1309" s="6" t="s">
        <v>28</v>
      </c>
      <c r="B1309" s="6" t="s">
        <v>414</v>
      </c>
      <c r="C1309" s="7">
        <v>34114</v>
      </c>
      <c r="D1309" s="6" t="s">
        <v>24</v>
      </c>
      <c r="E1309" s="6" t="s">
        <v>37</v>
      </c>
      <c r="F1309" s="6" t="s">
        <v>482</v>
      </c>
      <c r="G1309" s="6" t="s">
        <v>32</v>
      </c>
      <c r="H1309" s="6" t="s">
        <v>19</v>
      </c>
      <c r="I1309" s="6" t="s">
        <v>767</v>
      </c>
      <c r="J1309" s="6" t="s">
        <v>767</v>
      </c>
      <c r="K1309" s="7">
        <v>6277714</v>
      </c>
      <c r="L1309" s="7">
        <v>328741</v>
      </c>
      <c r="M1309" s="7">
        <v>19</v>
      </c>
      <c r="N1309" s="7">
        <v>1</v>
      </c>
      <c r="O1309" s="7">
        <v>0.7</v>
      </c>
    </row>
    <row r="1310" spans="1:15" x14ac:dyDescent="0.25">
      <c r="A1310" s="6" t="s">
        <v>28</v>
      </c>
      <c r="B1310" s="6" t="s">
        <v>414</v>
      </c>
      <c r="C1310" s="7">
        <v>34116</v>
      </c>
      <c r="D1310" s="6" t="s">
        <v>24</v>
      </c>
      <c r="E1310" s="6" t="s">
        <v>37</v>
      </c>
      <c r="F1310" s="6" t="s">
        <v>482</v>
      </c>
      <c r="G1310" s="6" t="s">
        <v>32</v>
      </c>
      <c r="H1310" s="6" t="s">
        <v>19</v>
      </c>
      <c r="I1310" s="6" t="s">
        <v>767</v>
      </c>
      <c r="J1310" s="6" t="s">
        <v>767</v>
      </c>
      <c r="K1310" s="7">
        <v>6277551</v>
      </c>
      <c r="L1310" s="7">
        <v>328510</v>
      </c>
      <c r="M1310" s="7">
        <v>19</v>
      </c>
      <c r="N1310" s="7">
        <v>1</v>
      </c>
      <c r="O1310" s="7">
        <v>3.5</v>
      </c>
    </row>
    <row r="1311" spans="1:15" x14ac:dyDescent="0.25">
      <c r="A1311" s="6" t="s">
        <v>22</v>
      </c>
      <c r="B1311" s="6" t="s">
        <v>414</v>
      </c>
      <c r="C1311" s="7">
        <v>34118</v>
      </c>
      <c r="D1311" s="6" t="s">
        <v>42</v>
      </c>
      <c r="E1311" s="6" t="s">
        <v>167</v>
      </c>
      <c r="F1311" s="6" t="s">
        <v>167</v>
      </c>
      <c r="G1311" s="6" t="s">
        <v>32</v>
      </c>
      <c r="H1311" s="6" t="s">
        <v>765</v>
      </c>
      <c r="I1311" s="6" t="s">
        <v>767</v>
      </c>
      <c r="J1311" s="6" t="s">
        <v>767</v>
      </c>
      <c r="K1311" s="7">
        <v>6228774</v>
      </c>
      <c r="L1311" s="7">
        <v>336850</v>
      </c>
      <c r="M1311" s="7">
        <v>19</v>
      </c>
      <c r="N1311" s="7">
        <v>1</v>
      </c>
      <c r="O1311" s="7">
        <v>2.7</v>
      </c>
    </row>
    <row r="1312" spans="1:15" x14ac:dyDescent="0.25">
      <c r="A1312" s="6" t="s">
        <v>28</v>
      </c>
      <c r="B1312" s="6" t="s">
        <v>414</v>
      </c>
      <c r="C1312" s="7">
        <v>34125</v>
      </c>
      <c r="D1312" s="6" t="s">
        <v>24</v>
      </c>
      <c r="E1312" s="6" t="s">
        <v>37</v>
      </c>
      <c r="F1312" s="6" t="s">
        <v>498</v>
      </c>
      <c r="G1312" s="6" t="s">
        <v>32</v>
      </c>
      <c r="H1312" s="6" t="s">
        <v>19</v>
      </c>
      <c r="I1312" s="6" t="s">
        <v>767</v>
      </c>
      <c r="J1312" s="6" t="s">
        <v>767</v>
      </c>
      <c r="K1312" s="7">
        <v>6281441</v>
      </c>
      <c r="L1312" s="7">
        <v>331516</v>
      </c>
      <c r="M1312" s="7">
        <v>19</v>
      </c>
      <c r="N1312" s="7">
        <v>1</v>
      </c>
      <c r="O1312" s="7">
        <v>1.5</v>
      </c>
    </row>
    <row r="1313" spans="1:15" x14ac:dyDescent="0.25">
      <c r="A1313" s="6" t="s">
        <v>28</v>
      </c>
      <c r="B1313" s="6" t="s">
        <v>414</v>
      </c>
      <c r="C1313" s="7">
        <v>34126</v>
      </c>
      <c r="D1313" s="6" t="s">
        <v>24</v>
      </c>
      <c r="E1313" s="6" t="s">
        <v>436</v>
      </c>
      <c r="F1313" s="6" t="s">
        <v>444</v>
      </c>
      <c r="G1313" s="6" t="s">
        <v>32</v>
      </c>
      <c r="H1313" s="6" t="s">
        <v>19</v>
      </c>
      <c r="I1313" s="6" t="s">
        <v>767</v>
      </c>
      <c r="J1313" s="6" t="s">
        <v>767</v>
      </c>
      <c r="K1313" s="7">
        <v>6275185</v>
      </c>
      <c r="L1313" s="7">
        <v>328287</v>
      </c>
      <c r="M1313" s="7">
        <v>19</v>
      </c>
      <c r="N1313" s="7">
        <v>1</v>
      </c>
      <c r="O1313" s="7">
        <v>1.5</v>
      </c>
    </row>
    <row r="1314" spans="1:15" x14ac:dyDescent="0.25">
      <c r="A1314" s="6" t="s">
        <v>28</v>
      </c>
      <c r="B1314" s="6" t="s">
        <v>414</v>
      </c>
      <c r="C1314" s="7">
        <v>34127</v>
      </c>
      <c r="D1314" s="6" t="s">
        <v>24</v>
      </c>
      <c r="E1314" s="6" t="s">
        <v>37</v>
      </c>
      <c r="F1314" s="6" t="s">
        <v>498</v>
      </c>
      <c r="G1314" s="6" t="s">
        <v>32</v>
      </c>
      <c r="H1314" s="6" t="s">
        <v>19</v>
      </c>
      <c r="I1314" s="6" t="s">
        <v>767</v>
      </c>
      <c r="J1314" s="6" t="s">
        <v>767</v>
      </c>
      <c r="K1314" s="7">
        <v>6281217</v>
      </c>
      <c r="L1314" s="7">
        <v>331654</v>
      </c>
      <c r="M1314" s="7">
        <v>19</v>
      </c>
      <c r="N1314" s="7">
        <v>1</v>
      </c>
      <c r="O1314" s="7">
        <v>1.7</v>
      </c>
    </row>
    <row r="1315" spans="1:15" x14ac:dyDescent="0.25">
      <c r="A1315" s="6" t="s">
        <v>28</v>
      </c>
      <c r="B1315" s="6" t="s">
        <v>414</v>
      </c>
      <c r="C1315" s="7">
        <v>34131</v>
      </c>
      <c r="D1315" s="6" t="s">
        <v>24</v>
      </c>
      <c r="E1315" s="6" t="s">
        <v>56</v>
      </c>
      <c r="F1315" s="6" t="s">
        <v>56</v>
      </c>
      <c r="G1315" s="6" t="s">
        <v>32</v>
      </c>
      <c r="H1315" s="6" t="s">
        <v>19</v>
      </c>
      <c r="I1315" s="6" t="s">
        <v>767</v>
      </c>
      <c r="J1315" s="6" t="s">
        <v>767</v>
      </c>
      <c r="K1315" s="7">
        <v>6287667</v>
      </c>
      <c r="L1315" s="7">
        <v>340357</v>
      </c>
      <c r="M1315" s="7">
        <v>19</v>
      </c>
      <c r="N1315" s="7">
        <v>1</v>
      </c>
      <c r="O1315" s="7">
        <v>1</v>
      </c>
    </row>
    <row r="1316" spans="1:15" x14ac:dyDescent="0.25">
      <c r="A1316" s="6" t="s">
        <v>28</v>
      </c>
      <c r="B1316" s="6" t="s">
        <v>414</v>
      </c>
      <c r="C1316" s="7">
        <v>34151</v>
      </c>
      <c r="D1316" s="6" t="s">
        <v>24</v>
      </c>
      <c r="E1316" s="6" t="s">
        <v>96</v>
      </c>
      <c r="F1316" s="6" t="s">
        <v>417</v>
      </c>
      <c r="G1316" s="6" t="s">
        <v>32</v>
      </c>
      <c r="H1316" s="6" t="s">
        <v>153</v>
      </c>
      <c r="I1316" s="6" t="s">
        <v>767</v>
      </c>
      <c r="J1316" s="6" t="s">
        <v>764</v>
      </c>
      <c r="K1316" s="7">
        <v>6246531</v>
      </c>
      <c r="L1316" s="7">
        <v>338418</v>
      </c>
      <c r="M1316" s="7">
        <v>19</v>
      </c>
      <c r="N1316" s="7">
        <v>1</v>
      </c>
      <c r="O1316" s="7">
        <v>0.4</v>
      </c>
    </row>
    <row r="1317" spans="1:15" x14ac:dyDescent="0.25">
      <c r="A1317" s="6" t="s">
        <v>28</v>
      </c>
      <c r="B1317" s="6" t="s">
        <v>414</v>
      </c>
      <c r="C1317" s="7">
        <v>34152</v>
      </c>
      <c r="D1317" s="6" t="s">
        <v>24</v>
      </c>
      <c r="E1317" s="6" t="s">
        <v>96</v>
      </c>
      <c r="F1317" s="6" t="s">
        <v>417</v>
      </c>
      <c r="G1317" s="6" t="s">
        <v>32</v>
      </c>
      <c r="H1317" s="6" t="s">
        <v>19</v>
      </c>
      <c r="I1317" s="6" t="s">
        <v>767</v>
      </c>
      <c r="J1317" s="6" t="s">
        <v>767</v>
      </c>
      <c r="K1317" s="7">
        <v>6246531</v>
      </c>
      <c r="L1317" s="7">
        <v>338418</v>
      </c>
      <c r="M1317" s="7">
        <v>19</v>
      </c>
      <c r="N1317" s="7">
        <v>1</v>
      </c>
      <c r="O1317" s="7">
        <v>0.2</v>
      </c>
    </row>
    <row r="1318" spans="1:15" x14ac:dyDescent="0.25">
      <c r="A1318" s="6" t="s">
        <v>28</v>
      </c>
      <c r="B1318" s="6" t="s">
        <v>414</v>
      </c>
      <c r="C1318" s="7">
        <v>34154</v>
      </c>
      <c r="D1318" s="6" t="s">
        <v>24</v>
      </c>
      <c r="E1318" s="6" t="s">
        <v>96</v>
      </c>
      <c r="F1318" s="6" t="s">
        <v>96</v>
      </c>
      <c r="G1318" s="6" t="s">
        <v>32</v>
      </c>
      <c r="H1318" s="6" t="s">
        <v>19</v>
      </c>
      <c r="I1318" s="6" t="s">
        <v>767</v>
      </c>
      <c r="J1318" s="6" t="s">
        <v>767</v>
      </c>
      <c r="K1318" s="7">
        <v>6256279</v>
      </c>
      <c r="L1318" s="7">
        <v>339725</v>
      </c>
      <c r="M1318" s="7">
        <v>19</v>
      </c>
      <c r="N1318" s="7">
        <v>1</v>
      </c>
      <c r="O1318" s="7">
        <v>5.3</v>
      </c>
    </row>
    <row r="1319" spans="1:15" x14ac:dyDescent="0.25">
      <c r="A1319" s="6" t="s">
        <v>28</v>
      </c>
      <c r="B1319" s="6" t="s">
        <v>414</v>
      </c>
      <c r="C1319" s="7">
        <v>34172</v>
      </c>
      <c r="D1319" s="6" t="s">
        <v>39</v>
      </c>
      <c r="E1319" s="6" t="s">
        <v>72</v>
      </c>
      <c r="F1319" s="6" t="s">
        <v>198</v>
      </c>
      <c r="G1319" s="6" t="s">
        <v>32</v>
      </c>
      <c r="H1319" s="6" t="s">
        <v>19</v>
      </c>
      <c r="I1319" s="6" t="s">
        <v>767</v>
      </c>
      <c r="J1319" s="6" t="s">
        <v>767</v>
      </c>
      <c r="K1319" s="7">
        <v>6066814</v>
      </c>
      <c r="L1319" s="7">
        <v>287620</v>
      </c>
      <c r="M1319" s="7">
        <v>19</v>
      </c>
      <c r="N1319" s="7">
        <v>1</v>
      </c>
      <c r="O1319" s="7">
        <v>0.8</v>
      </c>
    </row>
    <row r="1320" spans="1:15" x14ac:dyDescent="0.25">
      <c r="A1320" s="6" t="s">
        <v>22</v>
      </c>
      <c r="B1320" s="6" t="s">
        <v>414</v>
      </c>
      <c r="C1320" s="7">
        <v>34176</v>
      </c>
      <c r="D1320" s="6" t="s">
        <v>42</v>
      </c>
      <c r="E1320" s="6" t="s">
        <v>51</v>
      </c>
      <c r="F1320" s="6" t="s">
        <v>499</v>
      </c>
      <c r="G1320" s="6" t="s">
        <v>32</v>
      </c>
      <c r="H1320" s="6" t="s">
        <v>765</v>
      </c>
      <c r="I1320" s="6" t="s">
        <v>767</v>
      </c>
      <c r="J1320" s="6" t="s">
        <v>767</v>
      </c>
      <c r="K1320" s="7">
        <v>6156694</v>
      </c>
      <c r="L1320" s="7">
        <v>317465</v>
      </c>
      <c r="M1320" s="7">
        <v>19</v>
      </c>
      <c r="N1320" s="7">
        <v>1</v>
      </c>
      <c r="O1320" s="7">
        <v>2.5</v>
      </c>
    </row>
    <row r="1321" spans="1:15" x14ac:dyDescent="0.25">
      <c r="A1321" s="6" t="s">
        <v>22</v>
      </c>
      <c r="B1321" s="6" t="s">
        <v>414</v>
      </c>
      <c r="C1321" s="7">
        <v>34190</v>
      </c>
      <c r="D1321" s="6" t="s">
        <v>39</v>
      </c>
      <c r="E1321" s="6" t="s">
        <v>310</v>
      </c>
      <c r="F1321" s="6" t="s">
        <v>310</v>
      </c>
      <c r="G1321" s="6" t="s">
        <v>32</v>
      </c>
      <c r="H1321" s="6" t="s">
        <v>765</v>
      </c>
      <c r="I1321" s="6" t="s">
        <v>767</v>
      </c>
      <c r="J1321" s="6" t="s">
        <v>767</v>
      </c>
      <c r="K1321" s="7">
        <v>6107985</v>
      </c>
      <c r="L1321" s="7">
        <v>291731</v>
      </c>
      <c r="M1321" s="7">
        <v>19</v>
      </c>
      <c r="N1321" s="7">
        <v>1</v>
      </c>
      <c r="O1321" s="7">
        <v>2.1</v>
      </c>
    </row>
    <row r="1322" spans="1:15" x14ac:dyDescent="0.25">
      <c r="A1322" s="6" t="s">
        <v>28</v>
      </c>
      <c r="B1322" s="6" t="s">
        <v>414</v>
      </c>
      <c r="C1322" s="7">
        <v>34203</v>
      </c>
      <c r="D1322" s="6" t="s">
        <v>39</v>
      </c>
      <c r="E1322" s="6" t="s">
        <v>72</v>
      </c>
      <c r="F1322" s="6" t="s">
        <v>72</v>
      </c>
      <c r="G1322" s="6" t="s">
        <v>32</v>
      </c>
      <c r="H1322" s="6" t="s">
        <v>19</v>
      </c>
      <c r="I1322" s="6" t="s">
        <v>767</v>
      </c>
      <c r="J1322" s="6" t="s">
        <v>767</v>
      </c>
      <c r="K1322" s="7">
        <v>6072834</v>
      </c>
      <c r="L1322" s="7">
        <v>284482</v>
      </c>
      <c r="M1322" s="7">
        <v>19</v>
      </c>
      <c r="N1322" s="7">
        <v>1</v>
      </c>
      <c r="O1322" s="7">
        <v>2.5</v>
      </c>
    </row>
    <row r="1323" spans="1:15" x14ac:dyDescent="0.25">
      <c r="A1323" s="6" t="s">
        <v>28</v>
      </c>
      <c r="B1323" s="6" t="s">
        <v>414</v>
      </c>
      <c r="C1323" s="7">
        <v>34263</v>
      </c>
      <c r="D1323" s="6" t="s">
        <v>39</v>
      </c>
      <c r="E1323" s="6" t="s">
        <v>72</v>
      </c>
      <c r="F1323" s="6" t="s">
        <v>210</v>
      </c>
      <c r="G1323" s="6" t="s">
        <v>32</v>
      </c>
      <c r="H1323" s="6" t="s">
        <v>19</v>
      </c>
      <c r="I1323" s="6" t="s">
        <v>767</v>
      </c>
      <c r="J1323" s="6" t="s">
        <v>767</v>
      </c>
      <c r="K1323" s="7">
        <v>6071461</v>
      </c>
      <c r="L1323" s="7">
        <v>285272</v>
      </c>
      <c r="M1323" s="7">
        <v>19</v>
      </c>
      <c r="N1323" s="7">
        <v>1</v>
      </c>
      <c r="O1323" s="7">
        <v>0.8</v>
      </c>
    </row>
    <row r="1324" spans="1:15" x14ac:dyDescent="0.25">
      <c r="A1324" s="6" t="s">
        <v>28</v>
      </c>
      <c r="B1324" s="6" t="s">
        <v>414</v>
      </c>
      <c r="C1324" s="7">
        <v>34267</v>
      </c>
      <c r="D1324" s="6" t="s">
        <v>39</v>
      </c>
      <c r="E1324" s="6" t="s">
        <v>72</v>
      </c>
      <c r="F1324" s="6" t="s">
        <v>210</v>
      </c>
      <c r="G1324" s="6" t="s">
        <v>32</v>
      </c>
      <c r="H1324" s="6" t="s">
        <v>19</v>
      </c>
      <c r="I1324" s="6" t="s">
        <v>767</v>
      </c>
      <c r="J1324" s="6" t="s">
        <v>767</v>
      </c>
      <c r="K1324" s="7">
        <v>6067416</v>
      </c>
      <c r="L1324" s="7">
        <v>282990</v>
      </c>
      <c r="M1324" s="7">
        <v>19</v>
      </c>
      <c r="N1324" s="7">
        <v>1</v>
      </c>
      <c r="O1324" s="7">
        <v>0.4</v>
      </c>
    </row>
    <row r="1325" spans="1:15" x14ac:dyDescent="0.25">
      <c r="A1325" s="6" t="s">
        <v>28</v>
      </c>
      <c r="B1325" s="6" t="s">
        <v>414</v>
      </c>
      <c r="C1325" s="7">
        <v>34271</v>
      </c>
      <c r="D1325" s="6" t="s">
        <v>39</v>
      </c>
      <c r="E1325" s="6" t="s">
        <v>72</v>
      </c>
      <c r="F1325" s="6" t="s">
        <v>198</v>
      </c>
      <c r="G1325" s="6" t="s">
        <v>32</v>
      </c>
      <c r="H1325" s="6" t="s">
        <v>19</v>
      </c>
      <c r="I1325" s="6" t="s">
        <v>767</v>
      </c>
      <c r="J1325" s="6" t="s">
        <v>767</v>
      </c>
      <c r="K1325" s="7">
        <v>6064833</v>
      </c>
      <c r="L1325" s="7">
        <v>285635</v>
      </c>
      <c r="M1325" s="7">
        <v>19</v>
      </c>
      <c r="N1325" s="7">
        <v>1</v>
      </c>
      <c r="O1325" s="7">
        <v>1.5</v>
      </c>
    </row>
    <row r="1326" spans="1:15" x14ac:dyDescent="0.25">
      <c r="A1326" s="6" t="s">
        <v>28</v>
      </c>
      <c r="B1326" s="6" t="s">
        <v>414</v>
      </c>
      <c r="C1326" s="7">
        <v>34278</v>
      </c>
      <c r="D1326" s="6" t="s">
        <v>39</v>
      </c>
      <c r="E1326" s="6" t="s">
        <v>72</v>
      </c>
      <c r="F1326" s="6" t="s">
        <v>500</v>
      </c>
      <c r="G1326" s="6" t="s">
        <v>32</v>
      </c>
      <c r="H1326" s="6" t="s">
        <v>19</v>
      </c>
      <c r="I1326" s="6" t="s">
        <v>767</v>
      </c>
      <c r="J1326" s="6" t="s">
        <v>767</v>
      </c>
      <c r="K1326" s="7">
        <v>6066794</v>
      </c>
      <c r="L1326" s="7">
        <v>289877</v>
      </c>
      <c r="M1326" s="7">
        <v>19</v>
      </c>
      <c r="N1326" s="7">
        <v>1</v>
      </c>
      <c r="O1326" s="7">
        <v>2</v>
      </c>
    </row>
    <row r="1327" spans="1:15" x14ac:dyDescent="0.25">
      <c r="A1327" s="6" t="s">
        <v>28</v>
      </c>
      <c r="B1327" s="6" t="s">
        <v>414</v>
      </c>
      <c r="C1327" s="7">
        <v>34282</v>
      </c>
      <c r="D1327" s="6" t="s">
        <v>39</v>
      </c>
      <c r="E1327" s="6" t="s">
        <v>72</v>
      </c>
      <c r="F1327" s="6" t="s">
        <v>157</v>
      </c>
      <c r="G1327" s="6" t="s">
        <v>32</v>
      </c>
      <c r="H1327" s="6" t="s">
        <v>19</v>
      </c>
      <c r="I1327" s="6" t="s">
        <v>767</v>
      </c>
      <c r="J1327" s="6" t="s">
        <v>767</v>
      </c>
      <c r="K1327" s="7">
        <v>6068659</v>
      </c>
      <c r="L1327" s="7">
        <v>285626</v>
      </c>
      <c r="M1327" s="7">
        <v>19</v>
      </c>
      <c r="N1327" s="7">
        <v>1</v>
      </c>
      <c r="O1327" s="7">
        <v>2.2000000000000002</v>
      </c>
    </row>
    <row r="1328" spans="1:15" x14ac:dyDescent="0.25">
      <c r="A1328" s="6" t="s">
        <v>28</v>
      </c>
      <c r="B1328" s="6" t="s">
        <v>414</v>
      </c>
      <c r="C1328" s="7">
        <v>34285</v>
      </c>
      <c r="D1328" s="6" t="s">
        <v>39</v>
      </c>
      <c r="E1328" s="6" t="s">
        <v>72</v>
      </c>
      <c r="F1328" s="6" t="s">
        <v>500</v>
      </c>
      <c r="G1328" s="6" t="s">
        <v>32</v>
      </c>
      <c r="H1328" s="6" t="s">
        <v>153</v>
      </c>
      <c r="I1328" s="6" t="s">
        <v>767</v>
      </c>
      <c r="J1328" s="6" t="s">
        <v>764</v>
      </c>
      <c r="K1328" s="7">
        <v>6066326</v>
      </c>
      <c r="L1328" s="7">
        <v>289908</v>
      </c>
      <c r="M1328" s="7">
        <v>19</v>
      </c>
      <c r="N1328" s="7">
        <v>1</v>
      </c>
      <c r="O1328" s="7">
        <v>2</v>
      </c>
    </row>
    <row r="1329" spans="1:15" x14ac:dyDescent="0.25">
      <c r="A1329" s="6" t="s">
        <v>28</v>
      </c>
      <c r="B1329" s="6" t="s">
        <v>414</v>
      </c>
      <c r="C1329" s="7">
        <v>34287</v>
      </c>
      <c r="D1329" s="6" t="s">
        <v>39</v>
      </c>
      <c r="E1329" s="6" t="s">
        <v>72</v>
      </c>
      <c r="F1329" s="6" t="s">
        <v>500</v>
      </c>
      <c r="G1329" s="6" t="s">
        <v>32</v>
      </c>
      <c r="H1329" s="6" t="s">
        <v>19</v>
      </c>
      <c r="I1329" s="6" t="s">
        <v>767</v>
      </c>
      <c r="J1329" s="6" t="s">
        <v>767</v>
      </c>
      <c r="K1329" s="7">
        <v>6066326</v>
      </c>
      <c r="L1329" s="7">
        <v>289908</v>
      </c>
      <c r="M1329" s="7">
        <v>19</v>
      </c>
      <c r="N1329" s="7">
        <v>1</v>
      </c>
      <c r="O1329" s="7">
        <v>0.5</v>
      </c>
    </row>
    <row r="1330" spans="1:15" x14ac:dyDescent="0.25">
      <c r="A1330" s="6" t="s">
        <v>28</v>
      </c>
      <c r="B1330" s="6" t="s">
        <v>414</v>
      </c>
      <c r="C1330" s="7">
        <v>34289</v>
      </c>
      <c r="D1330" s="6" t="s">
        <v>39</v>
      </c>
      <c r="E1330" s="6" t="s">
        <v>53</v>
      </c>
      <c r="F1330" s="6" t="s">
        <v>437</v>
      </c>
      <c r="G1330" s="6" t="s">
        <v>32</v>
      </c>
      <c r="H1330" s="6" t="s">
        <v>19</v>
      </c>
      <c r="I1330" s="6" t="s">
        <v>767</v>
      </c>
      <c r="J1330" s="6" t="s">
        <v>767</v>
      </c>
      <c r="K1330" s="7">
        <v>6139321</v>
      </c>
      <c r="L1330" s="7">
        <v>300488</v>
      </c>
      <c r="M1330" s="7">
        <v>19</v>
      </c>
      <c r="N1330" s="7">
        <v>1</v>
      </c>
      <c r="O1330" s="7">
        <v>0.41</v>
      </c>
    </row>
    <row r="1331" spans="1:15" x14ac:dyDescent="0.25">
      <c r="A1331" s="6" t="s">
        <v>28</v>
      </c>
      <c r="B1331" s="6" t="s">
        <v>414</v>
      </c>
      <c r="C1331" s="7">
        <v>34290</v>
      </c>
      <c r="D1331" s="6" t="s">
        <v>39</v>
      </c>
      <c r="E1331" s="6" t="s">
        <v>53</v>
      </c>
      <c r="F1331" s="6" t="s">
        <v>437</v>
      </c>
      <c r="G1331" s="6" t="s">
        <v>32</v>
      </c>
      <c r="H1331" s="6" t="s">
        <v>19</v>
      </c>
      <c r="I1331" s="6" t="s">
        <v>767</v>
      </c>
      <c r="J1331" s="6" t="s">
        <v>767</v>
      </c>
      <c r="K1331" s="7">
        <v>6137420</v>
      </c>
      <c r="L1331" s="7">
        <v>307918</v>
      </c>
      <c r="M1331" s="7">
        <v>19</v>
      </c>
      <c r="N1331" s="7">
        <v>1</v>
      </c>
      <c r="O1331" s="7">
        <v>8</v>
      </c>
    </row>
    <row r="1332" spans="1:15" x14ac:dyDescent="0.25">
      <c r="A1332" s="6" t="s">
        <v>28</v>
      </c>
      <c r="B1332" s="6" t="s">
        <v>414</v>
      </c>
      <c r="C1332" s="7">
        <v>34291</v>
      </c>
      <c r="D1332" s="6" t="s">
        <v>39</v>
      </c>
      <c r="E1332" s="6" t="s">
        <v>53</v>
      </c>
      <c r="F1332" s="6" t="s">
        <v>437</v>
      </c>
      <c r="G1332" s="6" t="s">
        <v>32</v>
      </c>
      <c r="H1332" s="6" t="s">
        <v>19</v>
      </c>
      <c r="I1332" s="6" t="s">
        <v>767</v>
      </c>
      <c r="J1332" s="6" t="s">
        <v>767</v>
      </c>
      <c r="K1332" s="7">
        <v>6140753</v>
      </c>
      <c r="L1332" s="7">
        <v>310465</v>
      </c>
      <c r="M1332" s="7">
        <v>19</v>
      </c>
      <c r="N1332" s="7">
        <v>1</v>
      </c>
      <c r="O1332" s="7">
        <v>0.61</v>
      </c>
    </row>
    <row r="1333" spans="1:15" x14ac:dyDescent="0.25">
      <c r="A1333" s="6" t="s">
        <v>28</v>
      </c>
      <c r="B1333" s="6" t="s">
        <v>414</v>
      </c>
      <c r="C1333" s="7">
        <v>34293</v>
      </c>
      <c r="D1333" s="6" t="s">
        <v>39</v>
      </c>
      <c r="E1333" s="6" t="s">
        <v>53</v>
      </c>
      <c r="F1333" s="6" t="s">
        <v>437</v>
      </c>
      <c r="G1333" s="6" t="s">
        <v>32</v>
      </c>
      <c r="H1333" s="6" t="s">
        <v>19</v>
      </c>
      <c r="I1333" s="6" t="s">
        <v>767</v>
      </c>
      <c r="J1333" s="6" t="s">
        <v>767</v>
      </c>
      <c r="K1333" s="7">
        <v>6137685</v>
      </c>
      <c r="L1333" s="7">
        <v>309282</v>
      </c>
      <c r="M1333" s="7">
        <v>19</v>
      </c>
      <c r="N1333" s="7">
        <v>1</v>
      </c>
      <c r="O1333" s="7">
        <v>0.6</v>
      </c>
    </row>
    <row r="1334" spans="1:15" x14ac:dyDescent="0.25">
      <c r="A1334" s="6" t="s">
        <v>28</v>
      </c>
      <c r="B1334" s="6" t="s">
        <v>414</v>
      </c>
      <c r="C1334" s="7">
        <v>34297</v>
      </c>
      <c r="D1334" s="6" t="s">
        <v>39</v>
      </c>
      <c r="E1334" s="6" t="s">
        <v>53</v>
      </c>
      <c r="F1334" s="6" t="s">
        <v>424</v>
      </c>
      <c r="G1334" s="6" t="s">
        <v>32</v>
      </c>
      <c r="H1334" s="6" t="s">
        <v>19</v>
      </c>
      <c r="I1334" s="6" t="s">
        <v>767</v>
      </c>
      <c r="J1334" s="6" t="s">
        <v>767</v>
      </c>
      <c r="K1334" s="7">
        <v>6131175</v>
      </c>
      <c r="L1334" s="7">
        <v>326789</v>
      </c>
      <c r="M1334" s="7">
        <v>19</v>
      </c>
      <c r="N1334" s="7">
        <v>1</v>
      </c>
      <c r="O1334" s="7">
        <v>0.35</v>
      </c>
    </row>
    <row r="1335" spans="1:15" x14ac:dyDescent="0.25">
      <c r="A1335" s="6" t="s">
        <v>28</v>
      </c>
      <c r="B1335" s="6" t="s">
        <v>414</v>
      </c>
      <c r="C1335" s="7">
        <v>34298</v>
      </c>
      <c r="D1335" s="6" t="s">
        <v>39</v>
      </c>
      <c r="E1335" s="6" t="s">
        <v>53</v>
      </c>
      <c r="F1335" s="6" t="s">
        <v>424</v>
      </c>
      <c r="G1335" s="6" t="s">
        <v>32</v>
      </c>
      <c r="H1335" s="6" t="s">
        <v>19</v>
      </c>
      <c r="I1335" s="6" t="s">
        <v>767</v>
      </c>
      <c r="J1335" s="6" t="s">
        <v>767</v>
      </c>
      <c r="K1335" s="7">
        <v>6137550</v>
      </c>
      <c r="L1335" s="7">
        <v>306016</v>
      </c>
      <c r="M1335" s="7">
        <v>19</v>
      </c>
      <c r="N1335" s="7">
        <v>1</v>
      </c>
      <c r="O1335" s="7">
        <v>0.44</v>
      </c>
    </row>
    <row r="1336" spans="1:15" x14ac:dyDescent="0.25">
      <c r="A1336" s="6" t="s">
        <v>28</v>
      </c>
      <c r="B1336" s="6" t="s">
        <v>414</v>
      </c>
      <c r="C1336" s="7">
        <v>34299</v>
      </c>
      <c r="D1336" s="6" t="s">
        <v>39</v>
      </c>
      <c r="E1336" s="6" t="s">
        <v>53</v>
      </c>
      <c r="F1336" s="6" t="s">
        <v>53</v>
      </c>
      <c r="G1336" s="6" t="s">
        <v>32</v>
      </c>
      <c r="H1336" s="6" t="s">
        <v>19</v>
      </c>
      <c r="I1336" s="6" t="s">
        <v>767</v>
      </c>
      <c r="J1336" s="6" t="s">
        <v>767</v>
      </c>
      <c r="K1336" s="7">
        <v>6135273</v>
      </c>
      <c r="L1336" s="7">
        <v>309757</v>
      </c>
      <c r="M1336" s="7">
        <v>19</v>
      </c>
      <c r="N1336" s="7">
        <v>1</v>
      </c>
      <c r="O1336" s="7">
        <v>0.5</v>
      </c>
    </row>
    <row r="1337" spans="1:15" x14ac:dyDescent="0.25">
      <c r="A1337" s="6" t="s">
        <v>14</v>
      </c>
      <c r="B1337" s="6" t="s">
        <v>414</v>
      </c>
      <c r="C1337" s="7">
        <v>34300</v>
      </c>
      <c r="D1337" s="6" t="s">
        <v>39</v>
      </c>
      <c r="E1337" s="6" t="s">
        <v>53</v>
      </c>
      <c r="F1337" s="6" t="s">
        <v>424</v>
      </c>
      <c r="G1337" s="6" t="s">
        <v>32</v>
      </c>
      <c r="H1337" s="6" t="s">
        <v>19</v>
      </c>
      <c r="I1337" s="6" t="s">
        <v>767</v>
      </c>
      <c r="J1337" s="6" t="s">
        <v>767</v>
      </c>
      <c r="K1337" s="7">
        <v>6141398</v>
      </c>
      <c r="L1337" s="7">
        <v>306135</v>
      </c>
      <c r="M1337" s="7">
        <v>19</v>
      </c>
      <c r="N1337" s="7">
        <v>1</v>
      </c>
      <c r="O1337" s="7">
        <v>0.4</v>
      </c>
    </row>
    <row r="1338" spans="1:15" x14ac:dyDescent="0.25">
      <c r="A1338" s="6" t="s">
        <v>28</v>
      </c>
      <c r="B1338" s="6" t="s">
        <v>414</v>
      </c>
      <c r="C1338" s="7">
        <v>34302</v>
      </c>
      <c r="D1338" s="6" t="s">
        <v>39</v>
      </c>
      <c r="E1338" s="6" t="s">
        <v>40</v>
      </c>
      <c r="F1338" s="6" t="s">
        <v>424</v>
      </c>
      <c r="G1338" s="6" t="s">
        <v>32</v>
      </c>
      <c r="H1338" s="6" t="s">
        <v>19</v>
      </c>
      <c r="I1338" s="6" t="s">
        <v>767</v>
      </c>
      <c r="J1338" s="6" t="s">
        <v>767</v>
      </c>
      <c r="K1338" s="7">
        <v>6141767</v>
      </c>
      <c r="L1338" s="7">
        <v>310596</v>
      </c>
      <c r="M1338" s="7">
        <v>19</v>
      </c>
      <c r="N1338" s="7">
        <v>1</v>
      </c>
      <c r="O1338" s="7">
        <v>3</v>
      </c>
    </row>
    <row r="1339" spans="1:15" x14ac:dyDescent="0.25">
      <c r="A1339" s="6" t="s">
        <v>14</v>
      </c>
      <c r="B1339" s="6" t="s">
        <v>414</v>
      </c>
      <c r="C1339" s="7">
        <v>34490</v>
      </c>
      <c r="D1339" s="6" t="s">
        <v>42</v>
      </c>
      <c r="E1339" s="6" t="s">
        <v>63</v>
      </c>
      <c r="F1339" s="6" t="s">
        <v>63</v>
      </c>
      <c r="G1339" s="6" t="s">
        <v>89</v>
      </c>
      <c r="H1339" s="6" t="s">
        <v>19</v>
      </c>
      <c r="I1339" s="6" t="s">
        <v>767</v>
      </c>
      <c r="J1339" s="6" t="s">
        <v>767</v>
      </c>
      <c r="K1339" s="7">
        <v>6162097</v>
      </c>
      <c r="L1339" s="7">
        <v>280395</v>
      </c>
      <c r="M1339" s="7">
        <v>19</v>
      </c>
      <c r="N1339" s="7">
        <v>1</v>
      </c>
      <c r="O1339" s="7">
        <v>41</v>
      </c>
    </row>
    <row r="1340" spans="1:15" x14ac:dyDescent="0.25">
      <c r="A1340" s="6" t="s">
        <v>28</v>
      </c>
      <c r="B1340" s="6" t="s">
        <v>414</v>
      </c>
      <c r="C1340" s="7">
        <v>34491</v>
      </c>
      <c r="D1340" s="6" t="s">
        <v>42</v>
      </c>
      <c r="E1340" s="6" t="s">
        <v>63</v>
      </c>
      <c r="F1340" s="6" t="s">
        <v>63</v>
      </c>
      <c r="G1340" s="6" t="s">
        <v>89</v>
      </c>
      <c r="H1340" s="6" t="s">
        <v>19</v>
      </c>
      <c r="I1340" s="6" t="s">
        <v>767</v>
      </c>
      <c r="J1340" s="6" t="s">
        <v>767</v>
      </c>
      <c r="K1340" s="7">
        <v>6161507</v>
      </c>
      <c r="L1340" s="7">
        <v>281037</v>
      </c>
      <c r="M1340" s="7">
        <v>19</v>
      </c>
      <c r="N1340" s="7">
        <v>1</v>
      </c>
      <c r="O1340" s="7">
        <v>29</v>
      </c>
    </row>
    <row r="1341" spans="1:15" x14ac:dyDescent="0.25">
      <c r="A1341" s="6" t="s">
        <v>14</v>
      </c>
      <c r="B1341" s="6" t="s">
        <v>414</v>
      </c>
      <c r="C1341" s="7">
        <v>34497</v>
      </c>
      <c r="D1341" s="6" t="s">
        <v>42</v>
      </c>
      <c r="E1341" s="6" t="s">
        <v>51</v>
      </c>
      <c r="F1341" s="6" t="s">
        <v>51</v>
      </c>
      <c r="G1341" s="6" t="s">
        <v>89</v>
      </c>
      <c r="H1341" s="6" t="s">
        <v>19</v>
      </c>
      <c r="I1341" s="6" t="s">
        <v>767</v>
      </c>
      <c r="J1341" s="6" t="s">
        <v>767</v>
      </c>
      <c r="K1341" s="7">
        <v>6147191</v>
      </c>
      <c r="L1341" s="7">
        <v>319620</v>
      </c>
      <c r="M1341" s="7">
        <v>19</v>
      </c>
      <c r="N1341" s="7">
        <v>4</v>
      </c>
      <c r="O1341" s="7">
        <v>23.5</v>
      </c>
    </row>
    <row r="1342" spans="1:15" x14ac:dyDescent="0.25">
      <c r="A1342" s="6" t="s">
        <v>28</v>
      </c>
      <c r="B1342" s="6" t="s">
        <v>414</v>
      </c>
      <c r="C1342" s="7">
        <v>34559</v>
      </c>
      <c r="D1342" s="6" t="s">
        <v>39</v>
      </c>
      <c r="E1342" s="6" t="s">
        <v>53</v>
      </c>
      <c r="F1342" s="6" t="s">
        <v>424</v>
      </c>
      <c r="G1342" s="6" t="s">
        <v>32</v>
      </c>
      <c r="H1342" s="6" t="s">
        <v>153</v>
      </c>
      <c r="I1342" s="6" t="s">
        <v>767</v>
      </c>
      <c r="J1342" s="6" t="s">
        <v>764</v>
      </c>
      <c r="K1342" s="7">
        <v>6137650</v>
      </c>
      <c r="L1342" s="7">
        <v>304439</v>
      </c>
      <c r="M1342" s="7">
        <v>19</v>
      </c>
      <c r="N1342" s="7">
        <v>1</v>
      </c>
      <c r="O1342" s="7">
        <v>0.5</v>
      </c>
    </row>
    <row r="1343" spans="1:15" x14ac:dyDescent="0.25">
      <c r="A1343" s="6" t="s">
        <v>28</v>
      </c>
      <c r="B1343" s="6" t="s">
        <v>414</v>
      </c>
      <c r="C1343" s="7">
        <v>34562</v>
      </c>
      <c r="D1343" s="6" t="s">
        <v>39</v>
      </c>
      <c r="E1343" s="6" t="s">
        <v>53</v>
      </c>
      <c r="F1343" s="6" t="s">
        <v>424</v>
      </c>
      <c r="G1343" s="6" t="s">
        <v>32</v>
      </c>
      <c r="H1343" s="6" t="s">
        <v>19</v>
      </c>
      <c r="I1343" s="6" t="s">
        <v>767</v>
      </c>
      <c r="J1343" s="6" t="s">
        <v>767</v>
      </c>
      <c r="K1343" s="7">
        <v>6137650</v>
      </c>
      <c r="L1343" s="7">
        <v>304439</v>
      </c>
      <c r="M1343" s="7">
        <v>19</v>
      </c>
      <c r="N1343" s="7">
        <v>1</v>
      </c>
      <c r="O1343" s="7">
        <v>0.1</v>
      </c>
    </row>
    <row r="1344" spans="1:15" x14ac:dyDescent="0.25">
      <c r="A1344" s="6" t="s">
        <v>22</v>
      </c>
      <c r="B1344" s="6" t="s">
        <v>414</v>
      </c>
      <c r="C1344" s="7">
        <v>34610</v>
      </c>
      <c r="D1344" s="6" t="s">
        <v>42</v>
      </c>
      <c r="E1344" s="6" t="s">
        <v>167</v>
      </c>
      <c r="F1344" s="6" t="s">
        <v>281</v>
      </c>
      <c r="G1344" s="6" t="s">
        <v>89</v>
      </c>
      <c r="H1344" s="6" t="s">
        <v>765</v>
      </c>
      <c r="I1344" s="6" t="s">
        <v>767</v>
      </c>
      <c r="J1344" s="6" t="s">
        <v>767</v>
      </c>
      <c r="K1344" s="7">
        <v>6229247</v>
      </c>
      <c r="L1344" s="7">
        <v>336986</v>
      </c>
      <c r="M1344" s="7">
        <v>19</v>
      </c>
      <c r="N1344" s="7">
        <v>4</v>
      </c>
      <c r="O1344" s="7">
        <v>8.9</v>
      </c>
    </row>
    <row r="1345" spans="1:15" x14ac:dyDescent="0.25">
      <c r="A1345" s="6" t="s">
        <v>22</v>
      </c>
      <c r="B1345" s="6" t="s">
        <v>414</v>
      </c>
      <c r="C1345" s="7">
        <v>34613</v>
      </c>
      <c r="D1345" s="6" t="s">
        <v>42</v>
      </c>
      <c r="E1345" s="6" t="s">
        <v>167</v>
      </c>
      <c r="F1345" s="6" t="s">
        <v>281</v>
      </c>
      <c r="G1345" s="6" t="s">
        <v>32</v>
      </c>
      <c r="H1345" s="6" t="s">
        <v>765</v>
      </c>
      <c r="I1345" s="6" t="s">
        <v>767</v>
      </c>
      <c r="J1345" s="6" t="s">
        <v>767</v>
      </c>
      <c r="K1345" s="7">
        <v>6229177</v>
      </c>
      <c r="L1345" s="7">
        <v>337748</v>
      </c>
      <c r="M1345" s="7">
        <v>19</v>
      </c>
      <c r="N1345" s="7">
        <v>1</v>
      </c>
      <c r="O1345" s="7">
        <v>0.5</v>
      </c>
    </row>
    <row r="1346" spans="1:15" x14ac:dyDescent="0.25">
      <c r="A1346" s="6" t="s">
        <v>22</v>
      </c>
      <c r="B1346" s="6" t="s">
        <v>414</v>
      </c>
      <c r="C1346" s="7">
        <v>34622</v>
      </c>
      <c r="D1346" s="6" t="s">
        <v>42</v>
      </c>
      <c r="E1346" s="6" t="s">
        <v>66</v>
      </c>
      <c r="F1346" s="6" t="s">
        <v>485</v>
      </c>
      <c r="G1346" s="6" t="s">
        <v>32</v>
      </c>
      <c r="H1346" s="6" t="s">
        <v>765</v>
      </c>
      <c r="I1346" s="6" t="s">
        <v>767</v>
      </c>
      <c r="J1346" s="6" t="s">
        <v>767</v>
      </c>
      <c r="K1346" s="7">
        <v>6231886</v>
      </c>
      <c r="L1346" s="7">
        <v>342992</v>
      </c>
      <c r="M1346" s="7">
        <v>19</v>
      </c>
      <c r="N1346" s="7">
        <v>1</v>
      </c>
      <c r="O1346" s="7">
        <v>5.23</v>
      </c>
    </row>
    <row r="1347" spans="1:15" x14ac:dyDescent="0.25">
      <c r="A1347" s="6" t="s">
        <v>14</v>
      </c>
      <c r="B1347" s="6" t="s">
        <v>414</v>
      </c>
      <c r="C1347" s="7">
        <v>34623</v>
      </c>
      <c r="D1347" s="6" t="s">
        <v>42</v>
      </c>
      <c r="E1347" s="6" t="s">
        <v>167</v>
      </c>
      <c r="F1347" s="6" t="s">
        <v>167</v>
      </c>
      <c r="G1347" s="6" t="s">
        <v>89</v>
      </c>
      <c r="H1347" s="6" t="s">
        <v>19</v>
      </c>
      <c r="I1347" s="6" t="s">
        <v>767</v>
      </c>
      <c r="J1347" s="6" t="s">
        <v>767</v>
      </c>
      <c r="K1347" s="7">
        <v>6229221</v>
      </c>
      <c r="L1347" s="7">
        <v>338408</v>
      </c>
      <c r="M1347" s="7">
        <v>19</v>
      </c>
      <c r="N1347" s="7">
        <v>3</v>
      </c>
      <c r="O1347" s="7">
        <v>18</v>
      </c>
    </row>
    <row r="1348" spans="1:15" x14ac:dyDescent="0.25">
      <c r="A1348" s="6" t="s">
        <v>14</v>
      </c>
      <c r="B1348" s="6" t="s">
        <v>414</v>
      </c>
      <c r="C1348" s="7">
        <v>34625</v>
      </c>
      <c r="D1348" s="6" t="s">
        <v>42</v>
      </c>
      <c r="E1348" s="6" t="s">
        <v>167</v>
      </c>
      <c r="F1348" s="6" t="s">
        <v>167</v>
      </c>
      <c r="G1348" s="6" t="s">
        <v>89</v>
      </c>
      <c r="H1348" s="6" t="s">
        <v>19</v>
      </c>
      <c r="I1348" s="6" t="s">
        <v>767</v>
      </c>
      <c r="J1348" s="6" t="s">
        <v>767</v>
      </c>
      <c r="K1348" s="7">
        <v>6230052</v>
      </c>
      <c r="L1348" s="7">
        <v>338091</v>
      </c>
      <c r="M1348" s="7">
        <v>19</v>
      </c>
      <c r="N1348" s="7">
        <v>2</v>
      </c>
      <c r="O1348" s="7">
        <v>12</v>
      </c>
    </row>
    <row r="1349" spans="1:15" x14ac:dyDescent="0.25">
      <c r="A1349" s="6" t="s">
        <v>14</v>
      </c>
      <c r="B1349" s="6" t="s">
        <v>414</v>
      </c>
      <c r="C1349" s="7">
        <v>34630</v>
      </c>
      <c r="D1349" s="6" t="s">
        <v>42</v>
      </c>
      <c r="E1349" s="6" t="s">
        <v>192</v>
      </c>
      <c r="F1349" s="6" t="s">
        <v>192</v>
      </c>
      <c r="G1349" s="6" t="s">
        <v>89</v>
      </c>
      <c r="H1349" s="6" t="s">
        <v>19</v>
      </c>
      <c r="I1349" s="6" t="s">
        <v>767</v>
      </c>
      <c r="J1349" s="6" t="s">
        <v>767</v>
      </c>
      <c r="K1349" s="7">
        <v>6234580</v>
      </c>
      <c r="L1349" s="7">
        <v>340576</v>
      </c>
      <c r="M1349" s="7">
        <v>19</v>
      </c>
      <c r="N1349" s="7">
        <v>1</v>
      </c>
      <c r="O1349" s="7">
        <v>6</v>
      </c>
    </row>
    <row r="1350" spans="1:15" x14ac:dyDescent="0.25">
      <c r="A1350" s="6" t="s">
        <v>28</v>
      </c>
      <c r="B1350" s="6" t="s">
        <v>414</v>
      </c>
      <c r="C1350" s="7">
        <v>34636</v>
      </c>
      <c r="D1350" s="6" t="s">
        <v>42</v>
      </c>
      <c r="E1350" s="6" t="s">
        <v>196</v>
      </c>
      <c r="F1350" s="6" t="s">
        <v>196</v>
      </c>
      <c r="G1350" s="6" t="s">
        <v>89</v>
      </c>
      <c r="H1350" s="6" t="s">
        <v>19</v>
      </c>
      <c r="I1350" s="6" t="s">
        <v>767</v>
      </c>
      <c r="J1350" s="6" t="s">
        <v>767</v>
      </c>
      <c r="K1350" s="7">
        <v>6214774</v>
      </c>
      <c r="L1350" s="7">
        <v>344490</v>
      </c>
      <c r="M1350" s="7">
        <v>19</v>
      </c>
      <c r="N1350" s="7">
        <v>1</v>
      </c>
      <c r="O1350" s="7">
        <v>4</v>
      </c>
    </row>
    <row r="1351" spans="1:15" x14ac:dyDescent="0.25">
      <c r="A1351" s="6" t="s">
        <v>14</v>
      </c>
      <c r="B1351" s="6" t="s">
        <v>414</v>
      </c>
      <c r="C1351" s="7">
        <v>34639</v>
      </c>
      <c r="D1351" s="6" t="s">
        <v>42</v>
      </c>
      <c r="E1351" s="6" t="s">
        <v>196</v>
      </c>
      <c r="F1351" s="6" t="s">
        <v>196</v>
      </c>
      <c r="G1351" s="6" t="s">
        <v>89</v>
      </c>
      <c r="H1351" s="6" t="s">
        <v>19</v>
      </c>
      <c r="I1351" s="6" t="s">
        <v>767</v>
      </c>
      <c r="J1351" s="6" t="s">
        <v>767</v>
      </c>
      <c r="K1351" s="7">
        <v>6215466</v>
      </c>
      <c r="L1351" s="7">
        <v>334059</v>
      </c>
      <c r="M1351" s="7">
        <v>19</v>
      </c>
      <c r="N1351" s="7">
        <v>2</v>
      </c>
      <c r="O1351" s="7">
        <v>6</v>
      </c>
    </row>
    <row r="1352" spans="1:15" x14ac:dyDescent="0.25">
      <c r="A1352" s="6" t="s">
        <v>14</v>
      </c>
      <c r="B1352" s="6" t="s">
        <v>414</v>
      </c>
      <c r="C1352" s="7">
        <v>34640</v>
      </c>
      <c r="D1352" s="6" t="s">
        <v>42</v>
      </c>
      <c r="E1352" s="6" t="s">
        <v>301</v>
      </c>
      <c r="F1352" s="6" t="s">
        <v>302</v>
      </c>
      <c r="G1352" s="6" t="s">
        <v>89</v>
      </c>
      <c r="H1352" s="6" t="s">
        <v>19</v>
      </c>
      <c r="I1352" s="6" t="s">
        <v>767</v>
      </c>
      <c r="J1352" s="6" t="s">
        <v>767</v>
      </c>
      <c r="K1352" s="7">
        <v>6215045</v>
      </c>
      <c r="L1352" s="7">
        <v>347419</v>
      </c>
      <c r="M1352" s="7">
        <v>19</v>
      </c>
      <c r="N1352" s="7">
        <v>1</v>
      </c>
      <c r="O1352" s="7">
        <v>10</v>
      </c>
    </row>
    <row r="1353" spans="1:15" x14ac:dyDescent="0.25">
      <c r="A1353" s="6" t="s">
        <v>14</v>
      </c>
      <c r="B1353" s="6" t="s">
        <v>414</v>
      </c>
      <c r="C1353" s="7">
        <v>34642</v>
      </c>
      <c r="D1353" s="6" t="s">
        <v>42</v>
      </c>
      <c r="E1353" s="6" t="s">
        <v>51</v>
      </c>
      <c r="F1353" s="6" t="s">
        <v>51</v>
      </c>
      <c r="G1353" s="6" t="s">
        <v>89</v>
      </c>
      <c r="H1353" s="6" t="s">
        <v>19</v>
      </c>
      <c r="I1353" s="6" t="s">
        <v>767</v>
      </c>
      <c r="J1353" s="6" t="s">
        <v>767</v>
      </c>
      <c r="K1353" s="7">
        <v>6146371</v>
      </c>
      <c r="L1353" s="7">
        <v>320144</v>
      </c>
      <c r="M1353" s="7">
        <v>19</v>
      </c>
      <c r="N1353" s="7">
        <v>1</v>
      </c>
      <c r="O1353" s="7">
        <v>14.5</v>
      </c>
    </row>
    <row r="1354" spans="1:15" x14ac:dyDescent="0.25">
      <c r="A1354" s="6" t="s">
        <v>14</v>
      </c>
      <c r="B1354" s="6" t="s">
        <v>414</v>
      </c>
      <c r="C1354" s="7">
        <v>34644</v>
      </c>
      <c r="D1354" s="6" t="s">
        <v>42</v>
      </c>
      <c r="E1354" s="6" t="s">
        <v>51</v>
      </c>
      <c r="F1354" s="6" t="s">
        <v>51</v>
      </c>
      <c r="G1354" s="6" t="s">
        <v>89</v>
      </c>
      <c r="H1354" s="6" t="s">
        <v>19</v>
      </c>
      <c r="I1354" s="6" t="s">
        <v>767</v>
      </c>
      <c r="J1354" s="6" t="s">
        <v>767</v>
      </c>
      <c r="K1354" s="7">
        <v>6162550</v>
      </c>
      <c r="L1354" s="7">
        <v>314506</v>
      </c>
      <c r="M1354" s="7">
        <v>19</v>
      </c>
      <c r="N1354" s="7">
        <v>2</v>
      </c>
      <c r="O1354" s="7">
        <v>14</v>
      </c>
    </row>
    <row r="1355" spans="1:15" x14ac:dyDescent="0.25">
      <c r="A1355" s="6" t="s">
        <v>14</v>
      </c>
      <c r="B1355" s="6" t="s">
        <v>414</v>
      </c>
      <c r="C1355" s="7">
        <v>34647</v>
      </c>
      <c r="D1355" s="6" t="s">
        <v>24</v>
      </c>
      <c r="E1355" s="6" t="s">
        <v>501</v>
      </c>
      <c r="F1355" s="6" t="s">
        <v>501</v>
      </c>
      <c r="G1355" s="6" t="s">
        <v>89</v>
      </c>
      <c r="H1355" s="6" t="s">
        <v>19</v>
      </c>
      <c r="I1355" s="6" t="s">
        <v>767</v>
      </c>
      <c r="J1355" s="6" t="s">
        <v>767</v>
      </c>
      <c r="K1355" s="7">
        <v>6331515</v>
      </c>
      <c r="L1355" s="7">
        <v>325567</v>
      </c>
      <c r="M1355" s="7">
        <v>19</v>
      </c>
      <c r="N1355" s="7">
        <v>1</v>
      </c>
      <c r="O1355" s="7">
        <v>29</v>
      </c>
    </row>
    <row r="1356" spans="1:15" x14ac:dyDescent="0.25">
      <c r="A1356" s="6" t="s">
        <v>14</v>
      </c>
      <c r="B1356" s="6" t="s">
        <v>414</v>
      </c>
      <c r="C1356" s="7">
        <v>34650</v>
      </c>
      <c r="D1356" s="6" t="s">
        <v>24</v>
      </c>
      <c r="E1356" s="6" t="s">
        <v>501</v>
      </c>
      <c r="F1356" s="6" t="s">
        <v>501</v>
      </c>
      <c r="G1356" s="6" t="s">
        <v>89</v>
      </c>
      <c r="H1356" s="6" t="s">
        <v>19</v>
      </c>
      <c r="I1356" s="6" t="s">
        <v>767</v>
      </c>
      <c r="J1356" s="6" t="s">
        <v>767</v>
      </c>
      <c r="K1356" s="7">
        <v>6334286</v>
      </c>
      <c r="L1356" s="7">
        <v>327116</v>
      </c>
      <c r="M1356" s="7">
        <v>19</v>
      </c>
      <c r="N1356" s="7">
        <v>1</v>
      </c>
      <c r="O1356" s="7">
        <v>26</v>
      </c>
    </row>
    <row r="1357" spans="1:15" x14ac:dyDescent="0.25">
      <c r="A1357" s="6" t="s">
        <v>14</v>
      </c>
      <c r="B1357" s="6" t="s">
        <v>414</v>
      </c>
      <c r="C1357" s="7">
        <v>34653</v>
      </c>
      <c r="D1357" s="6" t="s">
        <v>24</v>
      </c>
      <c r="E1357" s="6" t="s">
        <v>427</v>
      </c>
      <c r="F1357" s="6" t="s">
        <v>443</v>
      </c>
      <c r="G1357" s="6" t="s">
        <v>89</v>
      </c>
      <c r="H1357" s="6" t="s">
        <v>19</v>
      </c>
      <c r="I1357" s="6" t="s">
        <v>767</v>
      </c>
      <c r="J1357" s="6" t="s">
        <v>767</v>
      </c>
      <c r="K1357" s="7">
        <v>6267562</v>
      </c>
      <c r="L1357" s="7">
        <v>326794</v>
      </c>
      <c r="M1357" s="7">
        <v>19</v>
      </c>
      <c r="N1357" s="7">
        <v>1</v>
      </c>
      <c r="O1357" s="7">
        <v>22</v>
      </c>
    </row>
    <row r="1358" spans="1:15" x14ac:dyDescent="0.25">
      <c r="A1358" s="6" t="s">
        <v>28</v>
      </c>
      <c r="B1358" s="6" t="s">
        <v>414</v>
      </c>
      <c r="C1358" s="7">
        <v>34654</v>
      </c>
      <c r="D1358" s="6" t="s">
        <v>42</v>
      </c>
      <c r="E1358" s="6" t="s">
        <v>448</v>
      </c>
      <c r="F1358" s="6" t="s">
        <v>448</v>
      </c>
      <c r="G1358" s="6" t="s">
        <v>89</v>
      </c>
      <c r="H1358" s="6" t="s">
        <v>19</v>
      </c>
      <c r="I1358" s="6" t="s">
        <v>767</v>
      </c>
      <c r="J1358" s="6" t="s">
        <v>767</v>
      </c>
      <c r="K1358" s="7">
        <v>6160551</v>
      </c>
      <c r="L1358" s="7">
        <v>294254</v>
      </c>
      <c r="M1358" s="7">
        <v>19</v>
      </c>
      <c r="N1358" s="7">
        <v>1</v>
      </c>
      <c r="O1358" s="7">
        <v>6</v>
      </c>
    </row>
    <row r="1359" spans="1:15" x14ac:dyDescent="0.25">
      <c r="A1359" s="6" t="s">
        <v>28</v>
      </c>
      <c r="B1359" s="6" t="s">
        <v>414</v>
      </c>
      <c r="C1359" s="7">
        <v>34655</v>
      </c>
      <c r="D1359" s="6" t="s">
        <v>42</v>
      </c>
      <c r="E1359" s="6" t="s">
        <v>449</v>
      </c>
      <c r="F1359" s="6" t="s">
        <v>449</v>
      </c>
      <c r="G1359" s="6" t="s">
        <v>89</v>
      </c>
      <c r="H1359" s="6" t="s">
        <v>19</v>
      </c>
      <c r="I1359" s="6" t="s">
        <v>767</v>
      </c>
      <c r="J1359" s="6" t="s">
        <v>767</v>
      </c>
      <c r="K1359" s="7">
        <v>6161895</v>
      </c>
      <c r="L1359" s="7">
        <v>305169</v>
      </c>
      <c r="M1359" s="7">
        <v>19</v>
      </c>
      <c r="N1359" s="7">
        <v>1</v>
      </c>
      <c r="O1359" s="7">
        <v>15</v>
      </c>
    </row>
    <row r="1360" spans="1:15" x14ac:dyDescent="0.25">
      <c r="A1360" s="6" t="s">
        <v>28</v>
      </c>
      <c r="B1360" s="6" t="s">
        <v>414</v>
      </c>
      <c r="C1360" s="7">
        <v>34656</v>
      </c>
      <c r="D1360" s="6" t="s">
        <v>42</v>
      </c>
      <c r="E1360" s="6" t="s">
        <v>63</v>
      </c>
      <c r="F1360" s="6" t="s">
        <v>432</v>
      </c>
      <c r="G1360" s="6" t="s">
        <v>89</v>
      </c>
      <c r="H1360" s="6" t="s">
        <v>19</v>
      </c>
      <c r="I1360" s="6" t="s">
        <v>767</v>
      </c>
      <c r="J1360" s="6" t="s">
        <v>767</v>
      </c>
      <c r="K1360" s="7">
        <v>6166205</v>
      </c>
      <c r="L1360" s="7">
        <v>288791</v>
      </c>
      <c r="M1360" s="7">
        <v>19</v>
      </c>
      <c r="N1360" s="7">
        <v>3</v>
      </c>
      <c r="O1360" s="7">
        <v>25.27</v>
      </c>
    </row>
    <row r="1361" spans="1:15" x14ac:dyDescent="0.25">
      <c r="A1361" s="6" t="s">
        <v>28</v>
      </c>
      <c r="B1361" s="6" t="s">
        <v>414</v>
      </c>
      <c r="C1361" s="7">
        <v>34657</v>
      </c>
      <c r="D1361" s="6" t="s">
        <v>42</v>
      </c>
      <c r="E1361" s="6" t="s">
        <v>448</v>
      </c>
      <c r="F1361" s="6" t="s">
        <v>325</v>
      </c>
      <c r="G1361" s="6" t="s">
        <v>89</v>
      </c>
      <c r="H1361" s="6" t="s">
        <v>19</v>
      </c>
      <c r="I1361" s="6" t="s">
        <v>767</v>
      </c>
      <c r="J1361" s="6" t="s">
        <v>767</v>
      </c>
      <c r="K1361" s="7">
        <v>6162938</v>
      </c>
      <c r="L1361" s="7">
        <v>288131</v>
      </c>
      <c r="M1361" s="7">
        <v>19</v>
      </c>
      <c r="N1361" s="7">
        <v>1</v>
      </c>
      <c r="O1361" s="7">
        <v>11.4</v>
      </c>
    </row>
    <row r="1362" spans="1:15" x14ac:dyDescent="0.25">
      <c r="A1362" s="6" t="s">
        <v>14</v>
      </c>
      <c r="B1362" s="6" t="s">
        <v>414</v>
      </c>
      <c r="C1362" s="7">
        <v>34658</v>
      </c>
      <c r="D1362" s="6" t="s">
        <v>39</v>
      </c>
      <c r="E1362" s="6" t="s">
        <v>310</v>
      </c>
      <c r="F1362" s="6" t="s">
        <v>446</v>
      </c>
      <c r="G1362" s="6" t="s">
        <v>89</v>
      </c>
      <c r="H1362" s="6" t="s">
        <v>19</v>
      </c>
      <c r="I1362" s="6" t="s">
        <v>767</v>
      </c>
      <c r="J1362" s="6" t="s">
        <v>767</v>
      </c>
      <c r="K1362" s="7">
        <v>6116280</v>
      </c>
      <c r="L1362" s="7">
        <v>295733</v>
      </c>
      <c r="M1362" s="7">
        <v>19</v>
      </c>
      <c r="N1362" s="7">
        <v>1</v>
      </c>
      <c r="O1362" s="7">
        <v>12</v>
      </c>
    </row>
    <row r="1363" spans="1:15" x14ac:dyDescent="0.25">
      <c r="A1363" s="6" t="s">
        <v>28</v>
      </c>
      <c r="B1363" s="6" t="s">
        <v>414</v>
      </c>
      <c r="C1363" s="7">
        <v>34667</v>
      </c>
      <c r="D1363" s="6" t="s">
        <v>39</v>
      </c>
      <c r="E1363" s="6" t="s">
        <v>40</v>
      </c>
      <c r="F1363" s="6" t="s">
        <v>181</v>
      </c>
      <c r="G1363" s="6" t="s">
        <v>89</v>
      </c>
      <c r="H1363" s="6" t="s">
        <v>19</v>
      </c>
      <c r="I1363" s="6" t="s">
        <v>767</v>
      </c>
      <c r="J1363" s="6" t="s">
        <v>767</v>
      </c>
      <c r="K1363" s="7">
        <v>6115265</v>
      </c>
      <c r="L1363" s="7">
        <v>306765</v>
      </c>
      <c r="M1363" s="7">
        <v>19</v>
      </c>
      <c r="N1363" s="7">
        <v>1</v>
      </c>
      <c r="O1363" s="7">
        <v>5</v>
      </c>
    </row>
    <row r="1364" spans="1:15" x14ac:dyDescent="0.25">
      <c r="A1364" s="6" t="s">
        <v>28</v>
      </c>
      <c r="B1364" s="6" t="s">
        <v>414</v>
      </c>
      <c r="C1364" s="7">
        <v>34670</v>
      </c>
      <c r="D1364" s="6" t="s">
        <v>39</v>
      </c>
      <c r="E1364" s="6" t="s">
        <v>41</v>
      </c>
      <c r="F1364" s="6" t="s">
        <v>502</v>
      </c>
      <c r="G1364" s="6" t="s">
        <v>89</v>
      </c>
      <c r="H1364" s="6" t="s">
        <v>19</v>
      </c>
      <c r="I1364" s="6" t="s">
        <v>767</v>
      </c>
      <c r="J1364" s="6" t="s">
        <v>767</v>
      </c>
      <c r="K1364" s="7">
        <v>6121069</v>
      </c>
      <c r="L1364" s="7">
        <v>292027</v>
      </c>
      <c r="M1364" s="7">
        <v>19</v>
      </c>
      <c r="N1364" s="7">
        <v>1</v>
      </c>
      <c r="O1364" s="7">
        <v>3.2</v>
      </c>
    </row>
    <row r="1365" spans="1:15" x14ac:dyDescent="0.25">
      <c r="A1365" s="6" t="s">
        <v>14</v>
      </c>
      <c r="B1365" s="6" t="s">
        <v>414</v>
      </c>
      <c r="C1365" s="7">
        <v>34671</v>
      </c>
      <c r="D1365" s="6" t="s">
        <v>39</v>
      </c>
      <c r="E1365" s="6" t="s">
        <v>41</v>
      </c>
      <c r="F1365" s="6" t="s">
        <v>447</v>
      </c>
      <c r="G1365" s="6" t="s">
        <v>89</v>
      </c>
      <c r="H1365" s="6" t="s">
        <v>19</v>
      </c>
      <c r="I1365" s="6" t="s">
        <v>767</v>
      </c>
      <c r="J1365" s="6" t="s">
        <v>767</v>
      </c>
      <c r="K1365" s="7">
        <v>6121644</v>
      </c>
      <c r="L1365" s="7">
        <v>291273</v>
      </c>
      <c r="M1365" s="7">
        <v>19</v>
      </c>
      <c r="N1365" s="7">
        <v>1</v>
      </c>
      <c r="O1365" s="7">
        <v>5</v>
      </c>
    </row>
    <row r="1366" spans="1:15" x14ac:dyDescent="0.25">
      <c r="A1366" s="6" t="s">
        <v>14</v>
      </c>
      <c r="B1366" s="6" t="s">
        <v>414</v>
      </c>
      <c r="C1366" s="7">
        <v>34672</v>
      </c>
      <c r="D1366" s="6" t="s">
        <v>39</v>
      </c>
      <c r="E1366" s="6" t="s">
        <v>87</v>
      </c>
      <c r="F1366" s="6" t="s">
        <v>481</v>
      </c>
      <c r="G1366" s="6" t="s">
        <v>89</v>
      </c>
      <c r="H1366" s="6" t="s">
        <v>19</v>
      </c>
      <c r="I1366" s="6" t="s">
        <v>767</v>
      </c>
      <c r="J1366" s="6" t="s">
        <v>767</v>
      </c>
      <c r="K1366" s="7">
        <v>6103356</v>
      </c>
      <c r="L1366" s="7">
        <v>293411</v>
      </c>
      <c r="M1366" s="7">
        <v>19</v>
      </c>
      <c r="N1366" s="7">
        <v>1</v>
      </c>
      <c r="O1366" s="7">
        <v>30</v>
      </c>
    </row>
    <row r="1367" spans="1:15" x14ac:dyDescent="0.25">
      <c r="A1367" s="6" t="s">
        <v>14</v>
      </c>
      <c r="B1367" s="6" t="s">
        <v>414</v>
      </c>
      <c r="C1367" s="7">
        <v>34674</v>
      </c>
      <c r="D1367" s="6" t="s">
        <v>39</v>
      </c>
      <c r="E1367" s="6" t="s">
        <v>41</v>
      </c>
      <c r="F1367" s="6" t="s">
        <v>152</v>
      </c>
      <c r="G1367" s="6" t="s">
        <v>89</v>
      </c>
      <c r="H1367" s="6" t="s">
        <v>19</v>
      </c>
      <c r="I1367" s="6" t="s">
        <v>767</v>
      </c>
      <c r="J1367" s="6" t="s">
        <v>767</v>
      </c>
      <c r="K1367" s="7">
        <v>6123469</v>
      </c>
      <c r="L1367" s="7">
        <v>288579</v>
      </c>
      <c r="M1367" s="7">
        <v>19</v>
      </c>
      <c r="N1367" s="7">
        <v>1</v>
      </c>
      <c r="O1367" s="7">
        <v>4</v>
      </c>
    </row>
    <row r="1368" spans="1:15" x14ac:dyDescent="0.25">
      <c r="A1368" s="6" t="s">
        <v>14</v>
      </c>
      <c r="B1368" s="6" t="s">
        <v>414</v>
      </c>
      <c r="C1368" s="7">
        <v>34676</v>
      </c>
      <c r="D1368" s="6" t="s">
        <v>39</v>
      </c>
      <c r="E1368" s="6" t="s">
        <v>53</v>
      </c>
      <c r="F1368" s="6" t="s">
        <v>93</v>
      </c>
      <c r="G1368" s="6" t="s">
        <v>89</v>
      </c>
      <c r="H1368" s="6" t="s">
        <v>19</v>
      </c>
      <c r="I1368" s="6" t="s">
        <v>767</v>
      </c>
      <c r="J1368" s="6" t="s">
        <v>767</v>
      </c>
      <c r="K1368" s="7">
        <v>6144898</v>
      </c>
      <c r="L1368" s="7">
        <v>312152</v>
      </c>
      <c r="M1368" s="7">
        <v>19</v>
      </c>
      <c r="N1368" s="7">
        <v>1</v>
      </c>
      <c r="O1368" s="7">
        <v>6.2</v>
      </c>
    </row>
    <row r="1369" spans="1:15" x14ac:dyDescent="0.25">
      <c r="A1369" s="6" t="s">
        <v>14</v>
      </c>
      <c r="B1369" s="6" t="s">
        <v>414</v>
      </c>
      <c r="C1369" s="7">
        <v>34678</v>
      </c>
      <c r="D1369" s="6" t="s">
        <v>39</v>
      </c>
      <c r="E1369" s="6" t="s">
        <v>310</v>
      </c>
      <c r="F1369" s="6" t="s">
        <v>310</v>
      </c>
      <c r="G1369" s="6" t="s">
        <v>89</v>
      </c>
      <c r="H1369" s="6" t="s">
        <v>19</v>
      </c>
      <c r="I1369" s="6" t="s">
        <v>767</v>
      </c>
      <c r="J1369" s="6" t="s">
        <v>767</v>
      </c>
      <c r="K1369" s="7">
        <v>6115899</v>
      </c>
      <c r="L1369" s="7">
        <v>291187</v>
      </c>
      <c r="M1369" s="7">
        <v>19</v>
      </c>
      <c r="N1369" s="7">
        <v>1</v>
      </c>
      <c r="O1369" s="7">
        <v>4</v>
      </c>
    </row>
    <row r="1370" spans="1:15" x14ac:dyDescent="0.25">
      <c r="A1370" s="6" t="s">
        <v>14</v>
      </c>
      <c r="B1370" s="6" t="s">
        <v>414</v>
      </c>
      <c r="C1370" s="7">
        <v>34680</v>
      </c>
      <c r="D1370" s="6" t="s">
        <v>39</v>
      </c>
      <c r="E1370" s="6" t="s">
        <v>40</v>
      </c>
      <c r="F1370" s="6" t="s">
        <v>181</v>
      </c>
      <c r="G1370" s="6" t="s">
        <v>89</v>
      </c>
      <c r="H1370" s="6" t="s">
        <v>19</v>
      </c>
      <c r="I1370" s="6" t="s">
        <v>767</v>
      </c>
      <c r="J1370" s="6" t="s">
        <v>767</v>
      </c>
      <c r="K1370" s="7">
        <v>6114829</v>
      </c>
      <c r="L1370" s="7">
        <v>307330</v>
      </c>
      <c r="M1370" s="7">
        <v>19</v>
      </c>
      <c r="N1370" s="7">
        <v>1</v>
      </c>
      <c r="O1370" s="7">
        <v>20</v>
      </c>
    </row>
    <row r="1371" spans="1:15" x14ac:dyDescent="0.25">
      <c r="A1371" s="6" t="s">
        <v>14</v>
      </c>
      <c r="B1371" s="6" t="s">
        <v>414</v>
      </c>
      <c r="C1371" s="7">
        <v>34690</v>
      </c>
      <c r="D1371" s="6" t="s">
        <v>39</v>
      </c>
      <c r="E1371" s="6" t="s">
        <v>41</v>
      </c>
      <c r="F1371" s="6" t="s">
        <v>41</v>
      </c>
      <c r="G1371" s="6" t="s">
        <v>89</v>
      </c>
      <c r="H1371" s="6" t="s">
        <v>19</v>
      </c>
      <c r="I1371" s="6" t="s">
        <v>767</v>
      </c>
      <c r="J1371" s="6" t="s">
        <v>767</v>
      </c>
      <c r="K1371" s="7">
        <v>6124821</v>
      </c>
      <c r="L1371" s="7">
        <v>284844</v>
      </c>
      <c r="M1371" s="7">
        <v>19</v>
      </c>
      <c r="N1371" s="7">
        <v>1</v>
      </c>
      <c r="O1371" s="7">
        <v>8</v>
      </c>
    </row>
    <row r="1372" spans="1:15" x14ac:dyDescent="0.25">
      <c r="A1372" s="6" t="s">
        <v>14</v>
      </c>
      <c r="B1372" s="6" t="s">
        <v>414</v>
      </c>
      <c r="C1372" s="7">
        <v>34692</v>
      </c>
      <c r="D1372" s="6" t="s">
        <v>39</v>
      </c>
      <c r="E1372" s="6" t="s">
        <v>40</v>
      </c>
      <c r="F1372" s="6" t="s">
        <v>86</v>
      </c>
      <c r="G1372" s="6" t="s">
        <v>89</v>
      </c>
      <c r="H1372" s="6" t="s">
        <v>19</v>
      </c>
      <c r="I1372" s="6" t="s">
        <v>767</v>
      </c>
      <c r="J1372" s="6" t="s">
        <v>767</v>
      </c>
      <c r="K1372" s="7">
        <v>6123530</v>
      </c>
      <c r="L1372" s="7">
        <v>300796</v>
      </c>
      <c r="M1372" s="7">
        <v>19</v>
      </c>
      <c r="N1372" s="7">
        <v>1</v>
      </c>
      <c r="O1372" s="7">
        <v>4</v>
      </c>
    </row>
    <row r="1373" spans="1:15" x14ac:dyDescent="0.25">
      <c r="A1373" s="6" t="s">
        <v>14</v>
      </c>
      <c r="B1373" s="6" t="s">
        <v>414</v>
      </c>
      <c r="C1373" s="7">
        <v>34694</v>
      </c>
      <c r="D1373" s="6" t="s">
        <v>39</v>
      </c>
      <c r="E1373" s="6" t="s">
        <v>40</v>
      </c>
      <c r="F1373" s="6" t="s">
        <v>86</v>
      </c>
      <c r="G1373" s="6" t="s">
        <v>89</v>
      </c>
      <c r="H1373" s="6" t="s">
        <v>19</v>
      </c>
      <c r="I1373" s="6" t="s">
        <v>767</v>
      </c>
      <c r="J1373" s="6" t="s">
        <v>767</v>
      </c>
      <c r="K1373" s="7">
        <v>6123089</v>
      </c>
      <c r="L1373" s="7">
        <v>301244</v>
      </c>
      <c r="M1373" s="7">
        <v>19</v>
      </c>
      <c r="N1373" s="7">
        <v>1</v>
      </c>
      <c r="O1373" s="7">
        <v>6</v>
      </c>
    </row>
    <row r="1374" spans="1:15" x14ac:dyDescent="0.25">
      <c r="A1374" s="6" t="s">
        <v>28</v>
      </c>
      <c r="B1374" s="6" t="s">
        <v>414</v>
      </c>
      <c r="C1374" s="7">
        <v>34699</v>
      </c>
      <c r="D1374" s="6" t="s">
        <v>39</v>
      </c>
      <c r="E1374" s="6" t="s">
        <v>72</v>
      </c>
      <c r="F1374" s="6" t="s">
        <v>72</v>
      </c>
      <c r="G1374" s="6" t="s">
        <v>89</v>
      </c>
      <c r="H1374" s="6" t="s">
        <v>19</v>
      </c>
      <c r="I1374" s="6" t="s">
        <v>767</v>
      </c>
      <c r="J1374" s="6" t="s">
        <v>767</v>
      </c>
      <c r="K1374" s="7">
        <v>6068505</v>
      </c>
      <c r="L1374" s="7">
        <v>271690</v>
      </c>
      <c r="M1374" s="7">
        <v>19</v>
      </c>
      <c r="N1374" s="7">
        <v>1</v>
      </c>
      <c r="O1374" s="7">
        <v>16</v>
      </c>
    </row>
    <row r="1375" spans="1:15" x14ac:dyDescent="0.25">
      <c r="A1375" s="6" t="s">
        <v>28</v>
      </c>
      <c r="B1375" s="6" t="s">
        <v>414</v>
      </c>
      <c r="C1375" s="7">
        <v>34700</v>
      </c>
      <c r="D1375" s="6" t="s">
        <v>39</v>
      </c>
      <c r="E1375" s="6" t="s">
        <v>72</v>
      </c>
      <c r="F1375" s="6" t="s">
        <v>72</v>
      </c>
      <c r="G1375" s="6" t="s">
        <v>89</v>
      </c>
      <c r="H1375" s="6" t="s">
        <v>19</v>
      </c>
      <c r="I1375" s="6" t="s">
        <v>767</v>
      </c>
      <c r="J1375" s="6" t="s">
        <v>767</v>
      </c>
      <c r="K1375" s="7">
        <v>6067334</v>
      </c>
      <c r="L1375" s="7">
        <v>272002</v>
      </c>
      <c r="M1375" s="7">
        <v>19</v>
      </c>
      <c r="N1375" s="7">
        <v>1</v>
      </c>
      <c r="O1375" s="7">
        <v>2</v>
      </c>
    </row>
    <row r="1376" spans="1:15" x14ac:dyDescent="0.25">
      <c r="A1376" s="6" t="s">
        <v>28</v>
      </c>
      <c r="B1376" s="6" t="s">
        <v>414</v>
      </c>
      <c r="C1376" s="7">
        <v>34701</v>
      </c>
      <c r="D1376" s="6" t="s">
        <v>39</v>
      </c>
      <c r="E1376" s="6" t="s">
        <v>70</v>
      </c>
      <c r="F1376" s="6" t="s">
        <v>486</v>
      </c>
      <c r="G1376" s="6" t="s">
        <v>89</v>
      </c>
      <c r="H1376" s="6" t="s">
        <v>19</v>
      </c>
      <c r="I1376" s="6" t="s">
        <v>767</v>
      </c>
      <c r="J1376" s="6" t="s">
        <v>767</v>
      </c>
      <c r="K1376" s="7">
        <v>6068785</v>
      </c>
      <c r="L1376" s="7">
        <v>269517</v>
      </c>
      <c r="M1376" s="7">
        <v>19</v>
      </c>
      <c r="N1376" s="7">
        <v>1</v>
      </c>
      <c r="O1376" s="7">
        <v>5</v>
      </c>
    </row>
    <row r="1377" spans="1:15" x14ac:dyDescent="0.25">
      <c r="A1377" s="6" t="s">
        <v>28</v>
      </c>
      <c r="B1377" s="6" t="s">
        <v>414</v>
      </c>
      <c r="C1377" s="7">
        <v>34704</v>
      </c>
      <c r="D1377" s="6" t="s">
        <v>39</v>
      </c>
      <c r="E1377" s="6" t="s">
        <v>70</v>
      </c>
      <c r="F1377" s="6" t="s">
        <v>503</v>
      </c>
      <c r="G1377" s="6" t="s">
        <v>89</v>
      </c>
      <c r="H1377" s="6" t="s">
        <v>19</v>
      </c>
      <c r="I1377" s="6" t="s">
        <v>767</v>
      </c>
      <c r="J1377" s="6" t="s">
        <v>767</v>
      </c>
      <c r="K1377" s="7">
        <v>6074889</v>
      </c>
      <c r="L1377" s="7">
        <v>266256</v>
      </c>
      <c r="M1377" s="7">
        <v>19</v>
      </c>
      <c r="N1377" s="7">
        <v>1</v>
      </c>
      <c r="O1377" s="7">
        <v>2.8</v>
      </c>
    </row>
    <row r="1378" spans="1:15" x14ac:dyDescent="0.25">
      <c r="A1378" s="6" t="s">
        <v>28</v>
      </c>
      <c r="B1378" s="6" t="s">
        <v>414</v>
      </c>
      <c r="C1378" s="7">
        <v>34706</v>
      </c>
      <c r="D1378" s="6" t="s">
        <v>39</v>
      </c>
      <c r="E1378" s="6" t="s">
        <v>70</v>
      </c>
      <c r="F1378" s="6" t="s">
        <v>503</v>
      </c>
      <c r="G1378" s="6" t="s">
        <v>89</v>
      </c>
      <c r="H1378" s="6" t="s">
        <v>19</v>
      </c>
      <c r="I1378" s="6" t="s">
        <v>767</v>
      </c>
      <c r="J1378" s="6" t="s">
        <v>767</v>
      </c>
      <c r="K1378" s="7">
        <v>6074889</v>
      </c>
      <c r="L1378" s="7">
        <v>266256</v>
      </c>
      <c r="M1378" s="7">
        <v>19</v>
      </c>
      <c r="N1378" s="7">
        <v>1</v>
      </c>
      <c r="O1378" s="7">
        <v>6.1</v>
      </c>
    </row>
    <row r="1379" spans="1:15" x14ac:dyDescent="0.25">
      <c r="A1379" s="6" t="s">
        <v>28</v>
      </c>
      <c r="B1379" s="6" t="s">
        <v>414</v>
      </c>
      <c r="C1379" s="7">
        <v>34708</v>
      </c>
      <c r="D1379" s="6" t="s">
        <v>39</v>
      </c>
      <c r="E1379" s="6" t="s">
        <v>72</v>
      </c>
      <c r="F1379" s="6" t="s">
        <v>72</v>
      </c>
      <c r="G1379" s="6" t="s">
        <v>89</v>
      </c>
      <c r="H1379" s="6" t="s">
        <v>19</v>
      </c>
      <c r="I1379" s="6" t="s">
        <v>767</v>
      </c>
      <c r="J1379" s="6" t="s">
        <v>767</v>
      </c>
      <c r="K1379" s="7">
        <v>6069299</v>
      </c>
      <c r="L1379" s="7">
        <v>275687</v>
      </c>
      <c r="M1379" s="7">
        <v>19</v>
      </c>
      <c r="N1379" s="7">
        <v>2</v>
      </c>
      <c r="O1379" s="7">
        <v>13</v>
      </c>
    </row>
    <row r="1380" spans="1:15" x14ac:dyDescent="0.25">
      <c r="A1380" s="6" t="s">
        <v>28</v>
      </c>
      <c r="B1380" s="6" t="s">
        <v>414</v>
      </c>
      <c r="C1380" s="7">
        <v>34711</v>
      </c>
      <c r="D1380" s="6" t="s">
        <v>39</v>
      </c>
      <c r="E1380" s="6" t="s">
        <v>72</v>
      </c>
      <c r="F1380" s="6" t="s">
        <v>197</v>
      </c>
      <c r="G1380" s="6" t="s">
        <v>89</v>
      </c>
      <c r="H1380" s="6" t="s">
        <v>19</v>
      </c>
      <c r="I1380" s="6" t="s">
        <v>767</v>
      </c>
      <c r="J1380" s="6" t="s">
        <v>767</v>
      </c>
      <c r="K1380" s="7">
        <v>6058658</v>
      </c>
      <c r="L1380" s="7">
        <v>285881</v>
      </c>
      <c r="M1380" s="7">
        <v>19</v>
      </c>
      <c r="N1380" s="7">
        <v>1</v>
      </c>
      <c r="O1380" s="7">
        <v>15</v>
      </c>
    </row>
    <row r="1381" spans="1:15" x14ac:dyDescent="0.25">
      <c r="A1381" s="6" t="s">
        <v>28</v>
      </c>
      <c r="B1381" s="6" t="s">
        <v>414</v>
      </c>
      <c r="C1381" s="7">
        <v>34712</v>
      </c>
      <c r="D1381" s="6" t="s">
        <v>39</v>
      </c>
      <c r="E1381" s="6" t="s">
        <v>70</v>
      </c>
      <c r="F1381" s="6" t="s">
        <v>503</v>
      </c>
      <c r="G1381" s="6" t="s">
        <v>89</v>
      </c>
      <c r="H1381" s="6" t="s">
        <v>19</v>
      </c>
      <c r="I1381" s="6" t="s">
        <v>767</v>
      </c>
      <c r="J1381" s="6" t="s">
        <v>767</v>
      </c>
      <c r="K1381" s="7">
        <v>6075583</v>
      </c>
      <c r="L1381" s="7">
        <v>267115</v>
      </c>
      <c r="M1381" s="7">
        <v>19</v>
      </c>
      <c r="N1381" s="7">
        <v>1</v>
      </c>
      <c r="O1381" s="7">
        <v>11</v>
      </c>
    </row>
    <row r="1382" spans="1:15" x14ac:dyDescent="0.25">
      <c r="A1382" s="6" t="s">
        <v>28</v>
      </c>
      <c r="B1382" s="6" t="s">
        <v>414</v>
      </c>
      <c r="C1382" s="7">
        <v>34715</v>
      </c>
      <c r="D1382" s="6" t="s">
        <v>39</v>
      </c>
      <c r="E1382" s="6" t="s">
        <v>70</v>
      </c>
      <c r="F1382" s="6" t="s">
        <v>503</v>
      </c>
      <c r="G1382" s="6" t="s">
        <v>89</v>
      </c>
      <c r="H1382" s="6" t="s">
        <v>19</v>
      </c>
      <c r="I1382" s="6" t="s">
        <v>767</v>
      </c>
      <c r="J1382" s="6" t="s">
        <v>767</v>
      </c>
      <c r="K1382" s="7">
        <v>6075067</v>
      </c>
      <c r="L1382" s="7">
        <v>266888</v>
      </c>
      <c r="M1382" s="7">
        <v>19</v>
      </c>
      <c r="N1382" s="7">
        <v>1</v>
      </c>
      <c r="O1382" s="7">
        <v>10</v>
      </c>
    </row>
    <row r="1383" spans="1:15" x14ac:dyDescent="0.25">
      <c r="A1383" s="6" t="s">
        <v>28</v>
      </c>
      <c r="B1383" s="6" t="s">
        <v>414</v>
      </c>
      <c r="C1383" s="7">
        <v>34716</v>
      </c>
      <c r="D1383" s="6" t="s">
        <v>39</v>
      </c>
      <c r="E1383" s="6" t="s">
        <v>70</v>
      </c>
      <c r="F1383" s="6" t="s">
        <v>343</v>
      </c>
      <c r="G1383" s="6" t="s">
        <v>89</v>
      </c>
      <c r="H1383" s="6" t="s">
        <v>19</v>
      </c>
      <c r="I1383" s="6" t="s">
        <v>767</v>
      </c>
      <c r="J1383" s="6" t="s">
        <v>767</v>
      </c>
      <c r="K1383" s="7">
        <v>6063424</v>
      </c>
      <c r="L1383" s="7">
        <v>279709</v>
      </c>
      <c r="M1383" s="7">
        <v>19</v>
      </c>
      <c r="N1383" s="7">
        <v>1</v>
      </c>
      <c r="O1383" s="7">
        <v>6</v>
      </c>
    </row>
    <row r="1384" spans="1:15" x14ac:dyDescent="0.25">
      <c r="A1384" s="6" t="s">
        <v>28</v>
      </c>
      <c r="B1384" s="6" t="s">
        <v>414</v>
      </c>
      <c r="C1384" s="7">
        <v>34719</v>
      </c>
      <c r="D1384" s="6" t="s">
        <v>39</v>
      </c>
      <c r="E1384" s="6" t="s">
        <v>70</v>
      </c>
      <c r="F1384" s="6" t="s">
        <v>343</v>
      </c>
      <c r="G1384" s="6" t="s">
        <v>89</v>
      </c>
      <c r="H1384" s="6" t="s">
        <v>19</v>
      </c>
      <c r="I1384" s="6" t="s">
        <v>767</v>
      </c>
      <c r="J1384" s="6" t="s">
        <v>767</v>
      </c>
      <c r="K1384" s="7">
        <v>6063424</v>
      </c>
      <c r="L1384" s="7">
        <v>279709</v>
      </c>
      <c r="M1384" s="7">
        <v>19</v>
      </c>
      <c r="N1384" s="7">
        <v>1</v>
      </c>
      <c r="O1384" s="7">
        <v>6</v>
      </c>
    </row>
    <row r="1385" spans="1:15" x14ac:dyDescent="0.25">
      <c r="A1385" s="6" t="s">
        <v>14</v>
      </c>
      <c r="B1385" s="6" t="s">
        <v>414</v>
      </c>
      <c r="C1385" s="7">
        <v>34727</v>
      </c>
      <c r="D1385" s="6" t="s">
        <v>39</v>
      </c>
      <c r="E1385" s="6" t="s">
        <v>72</v>
      </c>
      <c r="F1385" s="6" t="s">
        <v>473</v>
      </c>
      <c r="G1385" s="6" t="s">
        <v>89</v>
      </c>
      <c r="H1385" s="6" t="s">
        <v>19</v>
      </c>
      <c r="I1385" s="6" t="s">
        <v>767</v>
      </c>
      <c r="J1385" s="6" t="s">
        <v>767</v>
      </c>
      <c r="K1385" s="7">
        <v>6071875</v>
      </c>
      <c r="L1385" s="7">
        <v>273007</v>
      </c>
      <c r="M1385" s="7">
        <v>19</v>
      </c>
      <c r="N1385" s="7">
        <v>1</v>
      </c>
      <c r="O1385" s="7">
        <v>20</v>
      </c>
    </row>
    <row r="1386" spans="1:15" x14ac:dyDescent="0.25">
      <c r="A1386" s="6" t="s">
        <v>14</v>
      </c>
      <c r="B1386" s="6" t="s">
        <v>414</v>
      </c>
      <c r="C1386" s="7">
        <v>34733</v>
      </c>
      <c r="D1386" s="6" t="s">
        <v>39</v>
      </c>
      <c r="E1386" s="6" t="s">
        <v>72</v>
      </c>
      <c r="F1386" s="6" t="s">
        <v>504</v>
      </c>
      <c r="G1386" s="6" t="s">
        <v>89</v>
      </c>
      <c r="H1386" s="6" t="s">
        <v>19</v>
      </c>
      <c r="I1386" s="6" t="s">
        <v>767</v>
      </c>
      <c r="J1386" s="6" t="s">
        <v>767</v>
      </c>
      <c r="K1386" s="7">
        <v>6060954</v>
      </c>
      <c r="L1386" s="7">
        <v>277033</v>
      </c>
      <c r="M1386" s="7">
        <v>19</v>
      </c>
      <c r="N1386" s="7">
        <v>1</v>
      </c>
      <c r="O1386" s="7">
        <v>10</v>
      </c>
    </row>
    <row r="1387" spans="1:15" x14ac:dyDescent="0.25">
      <c r="A1387" s="6" t="s">
        <v>14</v>
      </c>
      <c r="B1387" s="6" t="s">
        <v>414</v>
      </c>
      <c r="C1387" s="7">
        <v>34734</v>
      </c>
      <c r="D1387" s="6" t="s">
        <v>39</v>
      </c>
      <c r="E1387" s="6" t="s">
        <v>70</v>
      </c>
      <c r="F1387" s="6" t="s">
        <v>486</v>
      </c>
      <c r="G1387" s="6" t="s">
        <v>89</v>
      </c>
      <c r="H1387" s="6" t="s">
        <v>19</v>
      </c>
      <c r="I1387" s="6" t="s">
        <v>767</v>
      </c>
      <c r="J1387" s="6" t="s">
        <v>767</v>
      </c>
      <c r="K1387" s="7">
        <v>6068785</v>
      </c>
      <c r="L1387" s="7">
        <v>269517</v>
      </c>
      <c r="M1387" s="7">
        <v>19</v>
      </c>
      <c r="N1387" s="7">
        <v>1</v>
      </c>
      <c r="O1387" s="7">
        <v>16</v>
      </c>
    </row>
    <row r="1388" spans="1:15" x14ac:dyDescent="0.25">
      <c r="A1388" s="6" t="s">
        <v>14</v>
      </c>
      <c r="B1388" s="6" t="s">
        <v>414</v>
      </c>
      <c r="C1388" s="7">
        <v>34983</v>
      </c>
      <c r="D1388" s="6" t="s">
        <v>39</v>
      </c>
      <c r="E1388" s="6" t="s">
        <v>72</v>
      </c>
      <c r="F1388" s="6" t="s">
        <v>72</v>
      </c>
      <c r="G1388" s="6" t="s">
        <v>89</v>
      </c>
      <c r="H1388" s="6" t="s">
        <v>19</v>
      </c>
      <c r="I1388" s="6" t="s">
        <v>767</v>
      </c>
      <c r="J1388" s="6" t="s">
        <v>767</v>
      </c>
      <c r="K1388" s="7">
        <v>6069243</v>
      </c>
      <c r="L1388" s="7">
        <v>271479</v>
      </c>
      <c r="M1388" s="7">
        <v>19</v>
      </c>
      <c r="N1388" s="7">
        <v>1</v>
      </c>
      <c r="O1388" s="7">
        <v>10.7</v>
      </c>
    </row>
    <row r="1389" spans="1:15" x14ac:dyDescent="0.25">
      <c r="A1389" s="6" t="s">
        <v>14</v>
      </c>
      <c r="B1389" s="6" t="s">
        <v>414</v>
      </c>
      <c r="C1389" s="7">
        <v>34984</v>
      </c>
      <c r="D1389" s="6" t="s">
        <v>39</v>
      </c>
      <c r="E1389" s="6" t="s">
        <v>72</v>
      </c>
      <c r="F1389" s="6" t="s">
        <v>72</v>
      </c>
      <c r="G1389" s="6" t="s">
        <v>89</v>
      </c>
      <c r="H1389" s="6" t="s">
        <v>19</v>
      </c>
      <c r="I1389" s="6" t="s">
        <v>767</v>
      </c>
      <c r="J1389" s="6" t="s">
        <v>767</v>
      </c>
      <c r="K1389" s="7">
        <v>6070526</v>
      </c>
      <c r="L1389" s="7">
        <v>271589</v>
      </c>
      <c r="M1389" s="7">
        <v>19</v>
      </c>
      <c r="N1389" s="7">
        <v>1</v>
      </c>
      <c r="O1389" s="7">
        <v>20</v>
      </c>
    </row>
    <row r="1390" spans="1:15" x14ac:dyDescent="0.25">
      <c r="A1390" s="6" t="s">
        <v>14</v>
      </c>
      <c r="B1390" s="6" t="s">
        <v>414</v>
      </c>
      <c r="C1390" s="7">
        <v>34986</v>
      </c>
      <c r="D1390" s="6" t="s">
        <v>39</v>
      </c>
      <c r="E1390" s="6" t="s">
        <v>70</v>
      </c>
      <c r="F1390" s="6" t="s">
        <v>70</v>
      </c>
      <c r="G1390" s="6" t="s">
        <v>89</v>
      </c>
      <c r="H1390" s="6" t="s">
        <v>19</v>
      </c>
      <c r="I1390" s="6" t="s">
        <v>767</v>
      </c>
      <c r="J1390" s="6" t="s">
        <v>767</v>
      </c>
      <c r="K1390" s="7">
        <v>6074019</v>
      </c>
      <c r="L1390" s="7">
        <v>265281</v>
      </c>
      <c r="M1390" s="7">
        <v>19</v>
      </c>
      <c r="N1390" s="7">
        <v>1</v>
      </c>
      <c r="O1390" s="7">
        <v>11</v>
      </c>
    </row>
    <row r="1391" spans="1:15" x14ac:dyDescent="0.25">
      <c r="A1391" s="6" t="s">
        <v>14</v>
      </c>
      <c r="B1391" s="6" t="s">
        <v>414</v>
      </c>
      <c r="C1391" s="7">
        <v>34987</v>
      </c>
      <c r="D1391" s="6" t="s">
        <v>39</v>
      </c>
      <c r="E1391" s="6" t="s">
        <v>72</v>
      </c>
      <c r="F1391" s="6" t="s">
        <v>72</v>
      </c>
      <c r="G1391" s="6" t="s">
        <v>89</v>
      </c>
      <c r="H1391" s="6" t="s">
        <v>19</v>
      </c>
      <c r="I1391" s="6" t="s">
        <v>767</v>
      </c>
      <c r="J1391" s="6" t="s">
        <v>767</v>
      </c>
      <c r="K1391" s="7">
        <v>6070830</v>
      </c>
      <c r="L1391" s="7">
        <v>273487</v>
      </c>
      <c r="M1391" s="7">
        <v>19</v>
      </c>
      <c r="N1391" s="7">
        <v>1</v>
      </c>
      <c r="O1391" s="7">
        <v>24</v>
      </c>
    </row>
    <row r="1392" spans="1:15" x14ac:dyDescent="0.25">
      <c r="A1392" s="6" t="s">
        <v>14</v>
      </c>
      <c r="B1392" s="6" t="s">
        <v>414</v>
      </c>
      <c r="C1392" s="7">
        <v>34991</v>
      </c>
      <c r="D1392" s="6" t="s">
        <v>39</v>
      </c>
      <c r="E1392" s="6" t="s">
        <v>72</v>
      </c>
      <c r="F1392" s="6" t="s">
        <v>505</v>
      </c>
      <c r="G1392" s="6" t="s">
        <v>89</v>
      </c>
      <c r="H1392" s="6" t="s">
        <v>19</v>
      </c>
      <c r="I1392" s="6" t="s">
        <v>767</v>
      </c>
      <c r="J1392" s="6" t="s">
        <v>767</v>
      </c>
      <c r="K1392" s="7">
        <v>6074665</v>
      </c>
      <c r="L1392" s="7">
        <v>274131</v>
      </c>
      <c r="M1392" s="7">
        <v>19</v>
      </c>
      <c r="N1392" s="7">
        <v>1</v>
      </c>
      <c r="O1392" s="7">
        <v>10</v>
      </c>
    </row>
    <row r="1393" spans="1:15" x14ac:dyDescent="0.25">
      <c r="A1393" s="6" t="s">
        <v>14</v>
      </c>
      <c r="B1393" s="6" t="s">
        <v>414</v>
      </c>
      <c r="C1393" s="7">
        <v>35059</v>
      </c>
      <c r="D1393" s="6" t="s">
        <v>42</v>
      </c>
      <c r="E1393" s="6" t="s">
        <v>167</v>
      </c>
      <c r="F1393" s="6" t="s">
        <v>281</v>
      </c>
      <c r="G1393" s="6" t="s">
        <v>506</v>
      </c>
      <c r="H1393" s="6" t="s">
        <v>33</v>
      </c>
      <c r="I1393" s="6" t="s">
        <v>767</v>
      </c>
      <c r="J1393" s="6" t="s">
        <v>764</v>
      </c>
      <c r="K1393" s="7">
        <v>6229498</v>
      </c>
      <c r="L1393" s="7">
        <v>337446</v>
      </c>
      <c r="M1393" s="7">
        <v>19</v>
      </c>
      <c r="N1393" s="7">
        <v>1</v>
      </c>
      <c r="O1393" s="7">
        <v>0.8</v>
      </c>
    </row>
    <row r="1394" spans="1:15" x14ac:dyDescent="0.25">
      <c r="A1394" s="6" t="s">
        <v>22</v>
      </c>
      <c r="B1394" s="6" t="s">
        <v>414</v>
      </c>
      <c r="C1394" s="7">
        <v>35108</v>
      </c>
      <c r="D1394" s="6" t="s">
        <v>24</v>
      </c>
      <c r="E1394" s="6" t="s">
        <v>25</v>
      </c>
      <c r="F1394" s="6" t="s">
        <v>445</v>
      </c>
      <c r="G1394" s="6" t="s">
        <v>50</v>
      </c>
      <c r="H1394" s="6" t="s">
        <v>765</v>
      </c>
      <c r="I1394" s="6" t="s">
        <v>767</v>
      </c>
      <c r="J1394" s="6" t="s">
        <v>767</v>
      </c>
      <c r="K1394" s="7">
        <v>6259230</v>
      </c>
      <c r="L1394" s="7">
        <v>335950</v>
      </c>
      <c r="M1394" s="7">
        <v>19</v>
      </c>
      <c r="N1394" s="7">
        <v>1</v>
      </c>
      <c r="O1394" s="7">
        <v>0.6</v>
      </c>
    </row>
    <row r="1395" spans="1:15" x14ac:dyDescent="0.25">
      <c r="A1395" s="6" t="s">
        <v>22</v>
      </c>
      <c r="B1395" s="6" t="s">
        <v>507</v>
      </c>
      <c r="C1395" s="7">
        <v>31427</v>
      </c>
      <c r="D1395" s="6" t="s">
        <v>133</v>
      </c>
      <c r="E1395" s="6" t="s">
        <v>508</v>
      </c>
      <c r="F1395" s="6" t="s">
        <v>509</v>
      </c>
      <c r="G1395" s="6" t="s">
        <v>50</v>
      </c>
      <c r="H1395" s="6" t="s">
        <v>765</v>
      </c>
      <c r="I1395" s="6" t="s">
        <v>766</v>
      </c>
      <c r="J1395" s="6" t="s">
        <v>766</v>
      </c>
      <c r="K1395" s="7">
        <v>5659725</v>
      </c>
      <c r="L1395" s="7">
        <v>718856</v>
      </c>
      <c r="M1395" s="7">
        <v>18</v>
      </c>
      <c r="N1395" s="7">
        <v>1</v>
      </c>
      <c r="O1395" s="7">
        <v>1.5</v>
      </c>
    </row>
    <row r="1396" spans="1:15" x14ac:dyDescent="0.25">
      <c r="A1396" s="6" t="s">
        <v>22</v>
      </c>
      <c r="B1396" s="6" t="s">
        <v>507</v>
      </c>
      <c r="C1396" s="7">
        <v>31428</v>
      </c>
      <c r="D1396" s="6" t="s">
        <v>133</v>
      </c>
      <c r="E1396" s="6" t="s">
        <v>508</v>
      </c>
      <c r="F1396" s="6" t="s">
        <v>509</v>
      </c>
      <c r="G1396" s="6" t="s">
        <v>50</v>
      </c>
      <c r="H1396" s="6" t="s">
        <v>765</v>
      </c>
      <c r="I1396" s="6" t="s">
        <v>766</v>
      </c>
      <c r="J1396" s="6" t="s">
        <v>766</v>
      </c>
      <c r="K1396" s="7">
        <v>5659725</v>
      </c>
      <c r="L1396" s="7">
        <v>718856</v>
      </c>
      <c r="M1396" s="7">
        <v>18</v>
      </c>
      <c r="N1396" s="7">
        <v>1</v>
      </c>
      <c r="O1396" s="7">
        <v>1</v>
      </c>
    </row>
    <row r="1397" spans="1:15" x14ac:dyDescent="0.25">
      <c r="A1397" s="6" t="s">
        <v>22</v>
      </c>
      <c r="B1397" s="6" t="s">
        <v>507</v>
      </c>
      <c r="C1397" s="7">
        <v>31430</v>
      </c>
      <c r="D1397" s="6" t="s">
        <v>133</v>
      </c>
      <c r="E1397" s="6" t="s">
        <v>508</v>
      </c>
      <c r="F1397" s="6" t="s">
        <v>510</v>
      </c>
      <c r="G1397" s="6" t="s">
        <v>50</v>
      </c>
      <c r="H1397" s="6" t="s">
        <v>765</v>
      </c>
      <c r="I1397" s="6" t="s">
        <v>766</v>
      </c>
      <c r="J1397" s="6" t="s">
        <v>766</v>
      </c>
      <c r="K1397" s="7">
        <v>5659725</v>
      </c>
      <c r="L1397" s="7">
        <v>718856</v>
      </c>
      <c r="M1397" s="7">
        <v>18</v>
      </c>
      <c r="N1397" s="7">
        <v>1</v>
      </c>
      <c r="O1397" s="7">
        <v>0.06</v>
      </c>
    </row>
    <row r="1398" spans="1:15" x14ac:dyDescent="0.25">
      <c r="A1398" s="6" t="s">
        <v>22</v>
      </c>
      <c r="B1398" s="6" t="s">
        <v>507</v>
      </c>
      <c r="C1398" s="7">
        <v>31431</v>
      </c>
      <c r="D1398" s="6" t="s">
        <v>133</v>
      </c>
      <c r="E1398" s="6" t="s">
        <v>508</v>
      </c>
      <c r="F1398" s="6" t="s">
        <v>510</v>
      </c>
      <c r="G1398" s="6" t="s">
        <v>50</v>
      </c>
      <c r="H1398" s="6" t="s">
        <v>765</v>
      </c>
      <c r="I1398" s="6" t="s">
        <v>766</v>
      </c>
      <c r="J1398" s="6" t="s">
        <v>766</v>
      </c>
      <c r="K1398" s="7">
        <v>5659725</v>
      </c>
      <c r="L1398" s="7">
        <v>718856</v>
      </c>
      <c r="M1398" s="7">
        <v>18</v>
      </c>
      <c r="N1398" s="7">
        <v>1</v>
      </c>
      <c r="O1398" s="7">
        <v>0.02</v>
      </c>
    </row>
    <row r="1399" spans="1:15" x14ac:dyDescent="0.25">
      <c r="A1399" s="6" t="s">
        <v>22</v>
      </c>
      <c r="B1399" s="6" t="s">
        <v>507</v>
      </c>
      <c r="C1399" s="7">
        <v>34581</v>
      </c>
      <c r="D1399" s="6" t="s">
        <v>133</v>
      </c>
      <c r="E1399" s="6" t="s">
        <v>508</v>
      </c>
      <c r="F1399" s="6" t="s">
        <v>509</v>
      </c>
      <c r="G1399" s="6" t="s">
        <v>50</v>
      </c>
      <c r="H1399" s="6" t="s">
        <v>765</v>
      </c>
      <c r="I1399" s="6" t="s">
        <v>766</v>
      </c>
      <c r="J1399" s="6" t="s">
        <v>766</v>
      </c>
      <c r="K1399" s="7">
        <v>5657007</v>
      </c>
      <c r="L1399" s="7">
        <v>719053</v>
      </c>
      <c r="M1399" s="7">
        <v>18</v>
      </c>
      <c r="N1399" s="7">
        <v>1</v>
      </c>
      <c r="O1399" s="7">
        <v>1</v>
      </c>
    </row>
    <row r="1400" spans="1:15" x14ac:dyDescent="0.25">
      <c r="A1400" s="6" t="s">
        <v>22</v>
      </c>
      <c r="B1400" s="6" t="s">
        <v>507</v>
      </c>
      <c r="C1400" s="7">
        <v>34582</v>
      </c>
      <c r="D1400" s="6" t="s">
        <v>133</v>
      </c>
      <c r="E1400" s="6" t="s">
        <v>508</v>
      </c>
      <c r="F1400" s="6" t="s">
        <v>509</v>
      </c>
      <c r="G1400" s="6" t="s">
        <v>50</v>
      </c>
      <c r="H1400" s="6" t="s">
        <v>765</v>
      </c>
      <c r="I1400" s="6" t="s">
        <v>766</v>
      </c>
      <c r="J1400" s="6" t="s">
        <v>766</v>
      </c>
      <c r="K1400" s="7">
        <v>5659725</v>
      </c>
      <c r="L1400" s="7">
        <v>718856</v>
      </c>
      <c r="M1400" s="7">
        <v>18</v>
      </c>
      <c r="N1400" s="7">
        <v>1</v>
      </c>
      <c r="O1400" s="7">
        <v>0.02</v>
      </c>
    </row>
    <row r="1401" spans="1:15" x14ac:dyDescent="0.25">
      <c r="A1401" s="6" t="s">
        <v>28</v>
      </c>
      <c r="B1401" s="6" t="s">
        <v>511</v>
      </c>
      <c r="C1401" s="7">
        <v>30363</v>
      </c>
      <c r="D1401" s="6" t="s">
        <v>98</v>
      </c>
      <c r="E1401" s="6" t="s">
        <v>242</v>
      </c>
      <c r="F1401" s="6" t="s">
        <v>242</v>
      </c>
      <c r="G1401" s="6" t="s">
        <v>50</v>
      </c>
      <c r="H1401" s="6" t="s">
        <v>33</v>
      </c>
      <c r="I1401" s="6" t="s">
        <v>767</v>
      </c>
      <c r="J1401" s="6" t="s">
        <v>764</v>
      </c>
      <c r="K1401" s="7">
        <v>5829932</v>
      </c>
      <c r="L1401" s="7">
        <v>708239</v>
      </c>
      <c r="M1401" s="7">
        <v>18</v>
      </c>
      <c r="N1401" s="7">
        <v>1</v>
      </c>
      <c r="O1401" s="7">
        <v>12</v>
      </c>
    </row>
    <row r="1402" spans="1:15" x14ac:dyDescent="0.25">
      <c r="A1402" s="6" t="s">
        <v>28</v>
      </c>
      <c r="B1402" s="6" t="s">
        <v>511</v>
      </c>
      <c r="C1402" s="7">
        <v>30369</v>
      </c>
      <c r="D1402" s="6" t="s">
        <v>39</v>
      </c>
      <c r="E1402" s="6" t="s">
        <v>159</v>
      </c>
      <c r="F1402" s="6" t="s">
        <v>216</v>
      </c>
      <c r="G1402" s="6" t="s">
        <v>50</v>
      </c>
      <c r="H1402" s="6" t="s">
        <v>33</v>
      </c>
      <c r="I1402" s="6" t="s">
        <v>767</v>
      </c>
      <c r="J1402" s="6" t="s">
        <v>764</v>
      </c>
      <c r="K1402" s="7">
        <v>6006545</v>
      </c>
      <c r="L1402" s="7">
        <v>245107</v>
      </c>
      <c r="M1402" s="7">
        <v>19</v>
      </c>
      <c r="N1402" s="7">
        <v>1</v>
      </c>
      <c r="O1402" s="7">
        <v>15</v>
      </c>
    </row>
    <row r="1403" spans="1:15" x14ac:dyDescent="0.25">
      <c r="A1403" s="6" t="s">
        <v>28</v>
      </c>
      <c r="B1403" s="6" t="s">
        <v>511</v>
      </c>
      <c r="C1403" s="7">
        <v>30420</v>
      </c>
      <c r="D1403" s="6" t="s">
        <v>98</v>
      </c>
      <c r="E1403" s="6" t="s">
        <v>119</v>
      </c>
      <c r="F1403" s="6" t="s">
        <v>118</v>
      </c>
      <c r="G1403" s="6" t="s">
        <v>50</v>
      </c>
      <c r="H1403" s="6" t="s">
        <v>33</v>
      </c>
      <c r="I1403" s="6" t="s">
        <v>767</v>
      </c>
      <c r="J1403" s="6" t="s">
        <v>764</v>
      </c>
      <c r="K1403" s="7">
        <v>5951409</v>
      </c>
      <c r="L1403" s="7">
        <v>237533</v>
      </c>
      <c r="M1403" s="7">
        <v>19</v>
      </c>
      <c r="N1403" s="7">
        <v>1</v>
      </c>
      <c r="O1403" s="7">
        <v>10</v>
      </c>
    </row>
    <row r="1404" spans="1:15" x14ac:dyDescent="0.25">
      <c r="A1404" s="6" t="s">
        <v>14</v>
      </c>
      <c r="B1404" s="6" t="s">
        <v>511</v>
      </c>
      <c r="C1404" s="7">
        <v>30435</v>
      </c>
      <c r="D1404" s="6" t="s">
        <v>39</v>
      </c>
      <c r="E1404" s="6" t="s">
        <v>512</v>
      </c>
      <c r="F1404" s="6" t="s">
        <v>512</v>
      </c>
      <c r="G1404" s="6" t="s">
        <v>32</v>
      </c>
      <c r="H1404" s="6" t="s">
        <v>33</v>
      </c>
      <c r="I1404" s="6" t="s">
        <v>767</v>
      </c>
      <c r="J1404" s="6" t="s">
        <v>764</v>
      </c>
      <c r="K1404" s="7">
        <v>6114756</v>
      </c>
      <c r="L1404" s="7">
        <v>251213</v>
      </c>
      <c r="M1404" s="7">
        <v>19</v>
      </c>
      <c r="N1404" s="7">
        <v>1</v>
      </c>
      <c r="O1404" s="7">
        <v>5</v>
      </c>
    </row>
    <row r="1405" spans="1:15" x14ac:dyDescent="0.25">
      <c r="A1405" s="6" t="s">
        <v>14</v>
      </c>
      <c r="B1405" s="6" t="s">
        <v>511</v>
      </c>
      <c r="C1405" s="7">
        <v>30470</v>
      </c>
      <c r="D1405" s="6" t="s">
        <v>39</v>
      </c>
      <c r="E1405" s="6" t="s">
        <v>156</v>
      </c>
      <c r="F1405" s="6" t="s">
        <v>156</v>
      </c>
      <c r="G1405" s="6" t="s">
        <v>32</v>
      </c>
      <c r="H1405" s="6" t="s">
        <v>33</v>
      </c>
      <c r="I1405" s="6" t="s">
        <v>767</v>
      </c>
      <c r="J1405" s="6" t="s">
        <v>764</v>
      </c>
      <c r="K1405" s="7">
        <v>6031419</v>
      </c>
      <c r="L1405" s="7">
        <v>274215</v>
      </c>
      <c r="M1405" s="7">
        <v>19</v>
      </c>
      <c r="N1405" s="7">
        <v>1</v>
      </c>
      <c r="O1405" s="7">
        <v>15</v>
      </c>
    </row>
    <row r="1406" spans="1:15" x14ac:dyDescent="0.25">
      <c r="A1406" s="6" t="s">
        <v>14</v>
      </c>
      <c r="B1406" s="6" t="s">
        <v>511</v>
      </c>
      <c r="C1406" s="7">
        <v>30570</v>
      </c>
      <c r="D1406" s="6" t="s">
        <v>98</v>
      </c>
      <c r="E1406" s="6" t="s">
        <v>99</v>
      </c>
      <c r="F1406" s="6" t="s">
        <v>105</v>
      </c>
      <c r="G1406" s="6" t="s">
        <v>50</v>
      </c>
      <c r="H1406" s="6" t="s">
        <v>33</v>
      </c>
      <c r="I1406" s="6" t="s">
        <v>767</v>
      </c>
      <c r="J1406" s="6" t="s">
        <v>764</v>
      </c>
      <c r="K1406" s="7">
        <v>5856979</v>
      </c>
      <c r="L1406" s="7">
        <v>711795</v>
      </c>
      <c r="M1406" s="7">
        <v>18</v>
      </c>
      <c r="N1406" s="7">
        <v>1</v>
      </c>
      <c r="O1406" s="7">
        <v>35</v>
      </c>
    </row>
    <row r="1407" spans="1:15" x14ac:dyDescent="0.25">
      <c r="A1407" s="6" t="s">
        <v>14</v>
      </c>
      <c r="B1407" s="6" t="s">
        <v>511</v>
      </c>
      <c r="C1407" s="7">
        <v>30583</v>
      </c>
      <c r="D1407" s="6" t="s">
        <v>24</v>
      </c>
      <c r="E1407" s="6" t="s">
        <v>513</v>
      </c>
      <c r="F1407" s="6" t="s">
        <v>513</v>
      </c>
      <c r="G1407" s="6" t="s">
        <v>32</v>
      </c>
      <c r="H1407" s="6" t="s">
        <v>33</v>
      </c>
      <c r="I1407" s="6" t="s">
        <v>767</v>
      </c>
      <c r="J1407" s="6" t="s">
        <v>764</v>
      </c>
      <c r="K1407" s="8">
        <v>6281176</v>
      </c>
      <c r="L1407" s="8">
        <v>349460</v>
      </c>
      <c r="M1407" s="8">
        <v>19</v>
      </c>
      <c r="N1407" s="7">
        <v>1</v>
      </c>
      <c r="O1407" s="7">
        <v>4</v>
      </c>
    </row>
    <row r="1408" spans="1:15" x14ac:dyDescent="0.25">
      <c r="A1408" s="6" t="s">
        <v>14</v>
      </c>
      <c r="B1408" s="6" t="s">
        <v>511</v>
      </c>
      <c r="C1408" s="7">
        <v>30585</v>
      </c>
      <c r="D1408" s="6" t="s">
        <v>24</v>
      </c>
      <c r="E1408" s="6" t="s">
        <v>513</v>
      </c>
      <c r="F1408" s="6" t="s">
        <v>513</v>
      </c>
      <c r="G1408" s="6" t="s">
        <v>32</v>
      </c>
      <c r="H1408" s="6" t="s">
        <v>33</v>
      </c>
      <c r="I1408" s="6" t="s">
        <v>767</v>
      </c>
      <c r="J1408" s="6" t="s">
        <v>764</v>
      </c>
      <c r="K1408" s="7">
        <v>6281040</v>
      </c>
      <c r="L1408" s="7">
        <v>351762</v>
      </c>
      <c r="M1408" s="7">
        <v>19</v>
      </c>
      <c r="N1408" s="7">
        <v>1</v>
      </c>
      <c r="O1408" s="7">
        <v>5.3</v>
      </c>
    </row>
    <row r="1409" spans="1:15" x14ac:dyDescent="0.25">
      <c r="A1409" s="6" t="s">
        <v>14</v>
      </c>
      <c r="B1409" s="6" t="s">
        <v>511</v>
      </c>
      <c r="C1409" s="7">
        <v>30626</v>
      </c>
      <c r="D1409" s="6" t="s">
        <v>39</v>
      </c>
      <c r="E1409" s="6" t="s">
        <v>512</v>
      </c>
      <c r="F1409" s="6" t="s">
        <v>512</v>
      </c>
      <c r="G1409" s="6" t="s">
        <v>32</v>
      </c>
      <c r="H1409" s="6" t="s">
        <v>33</v>
      </c>
      <c r="I1409" s="6" t="s">
        <v>767</v>
      </c>
      <c r="J1409" s="6" t="s">
        <v>764</v>
      </c>
      <c r="K1409" s="7">
        <v>6112668</v>
      </c>
      <c r="L1409" s="7">
        <v>250389</v>
      </c>
      <c r="M1409" s="7">
        <v>19</v>
      </c>
      <c r="N1409" s="7">
        <v>1</v>
      </c>
      <c r="O1409" s="7">
        <v>13</v>
      </c>
    </row>
    <row r="1410" spans="1:15" x14ac:dyDescent="0.25">
      <c r="A1410" s="6" t="s">
        <v>14</v>
      </c>
      <c r="B1410" s="6" t="s">
        <v>511</v>
      </c>
      <c r="C1410" s="7">
        <v>30652</v>
      </c>
      <c r="D1410" s="6" t="s">
        <v>24</v>
      </c>
      <c r="E1410" s="6" t="s">
        <v>463</v>
      </c>
      <c r="F1410" s="6" t="s">
        <v>463</v>
      </c>
      <c r="G1410" s="6" t="s">
        <v>32</v>
      </c>
      <c r="H1410" s="6" t="s">
        <v>33</v>
      </c>
      <c r="I1410" s="6" t="s">
        <v>767</v>
      </c>
      <c r="J1410" s="6" t="s">
        <v>764</v>
      </c>
      <c r="K1410" s="7">
        <v>6277262</v>
      </c>
      <c r="L1410" s="7">
        <v>348214</v>
      </c>
      <c r="M1410" s="7">
        <v>19</v>
      </c>
      <c r="N1410" s="7">
        <v>1</v>
      </c>
      <c r="O1410" s="7">
        <v>6</v>
      </c>
    </row>
    <row r="1411" spans="1:15" x14ac:dyDescent="0.25">
      <c r="A1411" s="6" t="s">
        <v>14</v>
      </c>
      <c r="B1411" s="6" t="s">
        <v>511</v>
      </c>
      <c r="C1411" s="7">
        <v>30653</v>
      </c>
      <c r="D1411" s="6" t="s">
        <v>24</v>
      </c>
      <c r="E1411" s="6" t="s">
        <v>31</v>
      </c>
      <c r="F1411" s="6" t="s">
        <v>514</v>
      </c>
      <c r="G1411" s="6" t="s">
        <v>32</v>
      </c>
      <c r="H1411" s="6" t="s">
        <v>33</v>
      </c>
      <c r="I1411" s="6" t="s">
        <v>767</v>
      </c>
      <c r="J1411" s="6" t="s">
        <v>764</v>
      </c>
      <c r="K1411" s="7">
        <v>6280974</v>
      </c>
      <c r="L1411" s="7">
        <v>311143</v>
      </c>
      <c r="M1411" s="7">
        <v>19</v>
      </c>
      <c r="N1411" s="7">
        <v>1</v>
      </c>
      <c r="O1411" s="7">
        <v>1</v>
      </c>
    </row>
    <row r="1412" spans="1:15" x14ac:dyDescent="0.25">
      <c r="A1412" s="6" t="s">
        <v>14</v>
      </c>
      <c r="B1412" s="6" t="s">
        <v>511</v>
      </c>
      <c r="C1412" s="7">
        <v>30695</v>
      </c>
      <c r="D1412" s="6" t="s">
        <v>24</v>
      </c>
      <c r="E1412" s="6" t="s">
        <v>31</v>
      </c>
      <c r="F1412" s="6" t="s">
        <v>514</v>
      </c>
      <c r="G1412" s="6" t="s">
        <v>32</v>
      </c>
      <c r="H1412" s="6" t="s">
        <v>33</v>
      </c>
      <c r="I1412" s="6" t="s">
        <v>767</v>
      </c>
      <c r="J1412" s="6" t="s">
        <v>764</v>
      </c>
      <c r="K1412" s="7">
        <v>6280868</v>
      </c>
      <c r="L1412" s="7">
        <v>311222</v>
      </c>
      <c r="M1412" s="7">
        <v>19</v>
      </c>
      <c r="N1412" s="7">
        <v>1</v>
      </c>
      <c r="O1412" s="7">
        <v>2</v>
      </c>
    </row>
    <row r="1413" spans="1:15" x14ac:dyDescent="0.25">
      <c r="A1413" s="6" t="s">
        <v>14</v>
      </c>
      <c r="B1413" s="6" t="s">
        <v>511</v>
      </c>
      <c r="C1413" s="7">
        <v>30698</v>
      </c>
      <c r="D1413" s="6" t="s">
        <v>24</v>
      </c>
      <c r="E1413" s="6" t="s">
        <v>37</v>
      </c>
      <c r="F1413" s="6" t="s">
        <v>515</v>
      </c>
      <c r="G1413" s="6" t="s">
        <v>32</v>
      </c>
      <c r="H1413" s="6" t="s">
        <v>33</v>
      </c>
      <c r="I1413" s="6" t="s">
        <v>767</v>
      </c>
      <c r="J1413" s="6" t="s">
        <v>767</v>
      </c>
      <c r="K1413" s="7">
        <v>6270520</v>
      </c>
      <c r="L1413" s="7">
        <v>325502</v>
      </c>
      <c r="M1413" s="7">
        <v>19</v>
      </c>
      <c r="N1413" s="7">
        <v>1</v>
      </c>
      <c r="O1413" s="7">
        <v>1.5</v>
      </c>
    </row>
    <row r="1414" spans="1:15" x14ac:dyDescent="0.25">
      <c r="A1414" s="6" t="s">
        <v>14</v>
      </c>
      <c r="B1414" s="6" t="s">
        <v>511</v>
      </c>
      <c r="C1414" s="7">
        <v>30701</v>
      </c>
      <c r="D1414" s="6" t="s">
        <v>24</v>
      </c>
      <c r="E1414" s="6" t="s">
        <v>37</v>
      </c>
      <c r="F1414" s="6" t="s">
        <v>515</v>
      </c>
      <c r="G1414" s="6" t="s">
        <v>32</v>
      </c>
      <c r="H1414" s="6" t="s">
        <v>33</v>
      </c>
      <c r="I1414" s="6" t="s">
        <v>767</v>
      </c>
      <c r="J1414" s="6" t="s">
        <v>767</v>
      </c>
      <c r="K1414" s="7">
        <v>6270520</v>
      </c>
      <c r="L1414" s="7">
        <v>325502</v>
      </c>
      <c r="M1414" s="7">
        <v>19</v>
      </c>
      <c r="N1414" s="7">
        <v>1</v>
      </c>
      <c r="O1414" s="7">
        <v>5</v>
      </c>
    </row>
    <row r="1415" spans="1:15" x14ac:dyDescent="0.25">
      <c r="A1415" s="6" t="s">
        <v>14</v>
      </c>
      <c r="B1415" s="6" t="s">
        <v>511</v>
      </c>
      <c r="C1415" s="7">
        <v>30709</v>
      </c>
      <c r="D1415" s="6" t="s">
        <v>24</v>
      </c>
      <c r="E1415" s="6" t="s">
        <v>37</v>
      </c>
      <c r="F1415" s="6" t="s">
        <v>515</v>
      </c>
      <c r="G1415" s="6" t="s">
        <v>32</v>
      </c>
      <c r="H1415" s="6" t="s">
        <v>33</v>
      </c>
      <c r="I1415" s="6" t="s">
        <v>764</v>
      </c>
      <c r="J1415" s="6" t="s">
        <v>767</v>
      </c>
      <c r="K1415" s="7">
        <v>6270520</v>
      </c>
      <c r="L1415" s="7">
        <v>325502</v>
      </c>
      <c r="M1415" s="7">
        <v>19</v>
      </c>
      <c r="N1415" s="7">
        <v>1</v>
      </c>
      <c r="O1415" s="7">
        <v>1.5</v>
      </c>
    </row>
    <row r="1416" spans="1:15" x14ac:dyDescent="0.25">
      <c r="A1416" s="6" t="s">
        <v>14</v>
      </c>
      <c r="B1416" s="6" t="s">
        <v>511</v>
      </c>
      <c r="C1416" s="7">
        <v>30879</v>
      </c>
      <c r="D1416" s="6" t="s">
        <v>39</v>
      </c>
      <c r="E1416" s="6" t="s">
        <v>72</v>
      </c>
      <c r="F1416" s="6" t="s">
        <v>72</v>
      </c>
      <c r="G1416" s="6" t="s">
        <v>32</v>
      </c>
      <c r="H1416" s="6" t="s">
        <v>33</v>
      </c>
      <c r="I1416" s="6" t="s">
        <v>767</v>
      </c>
      <c r="J1416" s="6" t="s">
        <v>764</v>
      </c>
      <c r="K1416" s="7">
        <v>6060915</v>
      </c>
      <c r="L1416" s="7">
        <v>270449</v>
      </c>
      <c r="M1416" s="7">
        <v>19</v>
      </c>
      <c r="N1416" s="7">
        <v>1</v>
      </c>
      <c r="O1416" s="7">
        <v>15</v>
      </c>
    </row>
    <row r="1417" spans="1:15" x14ac:dyDescent="0.25">
      <c r="A1417" s="6" t="s">
        <v>14</v>
      </c>
      <c r="B1417" s="6" t="s">
        <v>511</v>
      </c>
      <c r="C1417" s="7">
        <v>30881</v>
      </c>
      <c r="D1417" s="6" t="s">
        <v>39</v>
      </c>
      <c r="E1417" s="6" t="s">
        <v>119</v>
      </c>
      <c r="F1417" s="6" t="s">
        <v>120</v>
      </c>
      <c r="G1417" s="6" t="s">
        <v>32</v>
      </c>
      <c r="H1417" s="6" t="s">
        <v>33</v>
      </c>
      <c r="I1417" s="6" t="s">
        <v>767</v>
      </c>
      <c r="J1417" s="6" t="s">
        <v>764</v>
      </c>
      <c r="K1417" s="7">
        <v>6031870</v>
      </c>
      <c r="L1417" s="7">
        <v>268935</v>
      </c>
      <c r="M1417" s="7">
        <v>19</v>
      </c>
      <c r="N1417" s="7">
        <v>1</v>
      </c>
      <c r="O1417" s="7">
        <v>11</v>
      </c>
    </row>
    <row r="1418" spans="1:15" x14ac:dyDescent="0.25">
      <c r="A1418" s="6" t="s">
        <v>14</v>
      </c>
      <c r="B1418" s="6" t="s">
        <v>511</v>
      </c>
      <c r="C1418" s="7">
        <v>30918</v>
      </c>
      <c r="D1418" s="6" t="s">
        <v>39</v>
      </c>
      <c r="E1418" s="6" t="s">
        <v>173</v>
      </c>
      <c r="F1418" s="6" t="s">
        <v>173</v>
      </c>
      <c r="G1418" s="6" t="s">
        <v>32</v>
      </c>
      <c r="H1418" s="6" t="s">
        <v>33</v>
      </c>
      <c r="I1418" s="6" t="s">
        <v>767</v>
      </c>
      <c r="J1418" s="6" t="s">
        <v>764</v>
      </c>
      <c r="K1418" s="7">
        <v>6042425</v>
      </c>
      <c r="L1418" s="7">
        <v>270368</v>
      </c>
      <c r="M1418" s="7">
        <v>19</v>
      </c>
      <c r="N1418" s="7">
        <v>2</v>
      </c>
      <c r="O1418" s="7">
        <v>21</v>
      </c>
    </row>
    <row r="1419" spans="1:15" x14ac:dyDescent="0.25">
      <c r="A1419" s="6" t="s">
        <v>14</v>
      </c>
      <c r="B1419" s="6" t="s">
        <v>511</v>
      </c>
      <c r="C1419" s="7">
        <v>30953</v>
      </c>
      <c r="D1419" s="6" t="s">
        <v>39</v>
      </c>
      <c r="E1419" s="6" t="s">
        <v>159</v>
      </c>
      <c r="F1419" s="6" t="s">
        <v>159</v>
      </c>
      <c r="G1419" s="6" t="s">
        <v>32</v>
      </c>
      <c r="H1419" s="6" t="s">
        <v>33</v>
      </c>
      <c r="I1419" s="6" t="s">
        <v>767</v>
      </c>
      <c r="J1419" s="6" t="s">
        <v>764</v>
      </c>
      <c r="K1419" s="7">
        <v>6000556</v>
      </c>
      <c r="L1419" s="7">
        <v>243204</v>
      </c>
      <c r="M1419" s="7">
        <v>19</v>
      </c>
      <c r="N1419" s="7">
        <v>2</v>
      </c>
      <c r="O1419" s="7">
        <v>50</v>
      </c>
    </row>
    <row r="1420" spans="1:15" x14ac:dyDescent="0.25">
      <c r="A1420" s="6" t="s">
        <v>14</v>
      </c>
      <c r="B1420" s="6" t="s">
        <v>511</v>
      </c>
      <c r="C1420" s="7">
        <v>30957</v>
      </c>
      <c r="D1420" s="6" t="s">
        <v>39</v>
      </c>
      <c r="E1420" s="6" t="s">
        <v>512</v>
      </c>
      <c r="F1420" s="6" t="s">
        <v>512</v>
      </c>
      <c r="G1420" s="6" t="s">
        <v>32</v>
      </c>
      <c r="H1420" s="6" t="s">
        <v>33</v>
      </c>
      <c r="I1420" s="6" t="s">
        <v>767</v>
      </c>
      <c r="J1420" s="6" t="s">
        <v>767</v>
      </c>
      <c r="K1420" s="7">
        <v>6111517</v>
      </c>
      <c r="L1420" s="7">
        <v>250733</v>
      </c>
      <c r="M1420" s="7">
        <v>19</v>
      </c>
      <c r="N1420" s="7">
        <v>3</v>
      </c>
      <c r="O1420" s="7">
        <v>100.7</v>
      </c>
    </row>
    <row r="1421" spans="1:15" x14ac:dyDescent="0.25">
      <c r="A1421" s="6" t="s">
        <v>14</v>
      </c>
      <c r="B1421" s="6" t="s">
        <v>511</v>
      </c>
      <c r="C1421" s="7">
        <v>30976</v>
      </c>
      <c r="D1421" s="6" t="s">
        <v>39</v>
      </c>
      <c r="E1421" s="6" t="s">
        <v>156</v>
      </c>
      <c r="F1421" s="6" t="s">
        <v>156</v>
      </c>
      <c r="G1421" s="6" t="s">
        <v>32</v>
      </c>
      <c r="H1421" s="6" t="s">
        <v>33</v>
      </c>
      <c r="I1421" s="6" t="s">
        <v>767</v>
      </c>
      <c r="J1421" s="6" t="s">
        <v>764</v>
      </c>
      <c r="K1421" s="7">
        <v>6031419</v>
      </c>
      <c r="L1421" s="7">
        <v>274215</v>
      </c>
      <c r="M1421" s="7">
        <v>19</v>
      </c>
      <c r="N1421" s="7">
        <v>1</v>
      </c>
      <c r="O1421" s="7">
        <v>20</v>
      </c>
    </row>
    <row r="1422" spans="1:15" x14ac:dyDescent="0.25">
      <c r="A1422" s="6" t="s">
        <v>14</v>
      </c>
      <c r="B1422" s="6" t="s">
        <v>511</v>
      </c>
      <c r="C1422" s="7">
        <v>30977</v>
      </c>
      <c r="D1422" s="6" t="s">
        <v>24</v>
      </c>
      <c r="E1422" s="6" t="s">
        <v>463</v>
      </c>
      <c r="F1422" s="6" t="s">
        <v>463</v>
      </c>
      <c r="G1422" s="6" t="s">
        <v>32</v>
      </c>
      <c r="H1422" s="6" t="s">
        <v>33</v>
      </c>
      <c r="I1422" s="6" t="s">
        <v>767</v>
      </c>
      <c r="J1422" s="6" t="s">
        <v>764</v>
      </c>
      <c r="K1422" s="7">
        <v>6281252</v>
      </c>
      <c r="L1422" s="7">
        <v>347634</v>
      </c>
      <c r="M1422" s="7">
        <v>19</v>
      </c>
      <c r="N1422" s="7">
        <v>1</v>
      </c>
      <c r="O1422" s="7">
        <v>16.5</v>
      </c>
    </row>
    <row r="1423" spans="1:15" x14ac:dyDescent="0.25">
      <c r="A1423" s="6" t="s">
        <v>28</v>
      </c>
      <c r="B1423" s="6" t="s">
        <v>511</v>
      </c>
      <c r="C1423" s="7">
        <v>31115</v>
      </c>
      <c r="D1423" s="6" t="s">
        <v>39</v>
      </c>
      <c r="E1423" s="6" t="s">
        <v>156</v>
      </c>
      <c r="F1423" s="6" t="s">
        <v>156</v>
      </c>
      <c r="G1423" s="6" t="s">
        <v>32</v>
      </c>
      <c r="H1423" s="6" t="s">
        <v>33</v>
      </c>
      <c r="I1423" s="6" t="s">
        <v>767</v>
      </c>
      <c r="J1423" s="6" t="s">
        <v>764</v>
      </c>
      <c r="K1423" s="7">
        <v>6028777</v>
      </c>
      <c r="L1423" s="7">
        <v>272907</v>
      </c>
      <c r="M1423" s="7">
        <v>19</v>
      </c>
      <c r="N1423" s="7">
        <v>1</v>
      </c>
      <c r="O1423" s="7">
        <v>8.5</v>
      </c>
    </row>
    <row r="1424" spans="1:15" x14ac:dyDescent="0.25">
      <c r="A1424" s="6" t="s">
        <v>28</v>
      </c>
      <c r="B1424" s="6" t="s">
        <v>511</v>
      </c>
      <c r="C1424" s="7">
        <v>31568</v>
      </c>
      <c r="D1424" s="6" t="s">
        <v>39</v>
      </c>
      <c r="E1424" s="6" t="s">
        <v>83</v>
      </c>
      <c r="F1424" s="6" t="s">
        <v>83</v>
      </c>
      <c r="G1424" s="6" t="s">
        <v>32</v>
      </c>
      <c r="H1424" s="6" t="s">
        <v>33</v>
      </c>
      <c r="I1424" s="6" t="s">
        <v>767</v>
      </c>
      <c r="J1424" s="6" t="s">
        <v>764</v>
      </c>
      <c r="K1424" s="7">
        <v>6093768</v>
      </c>
      <c r="L1424" s="7">
        <v>279463</v>
      </c>
      <c r="M1424" s="7">
        <v>19</v>
      </c>
      <c r="N1424" s="7">
        <v>3</v>
      </c>
      <c r="O1424" s="7">
        <v>43</v>
      </c>
    </row>
    <row r="1425" spans="1:15" x14ac:dyDescent="0.25">
      <c r="A1425" s="6" t="s">
        <v>14</v>
      </c>
      <c r="B1425" s="6" t="s">
        <v>511</v>
      </c>
      <c r="C1425" s="7">
        <v>31595</v>
      </c>
      <c r="D1425" s="6" t="s">
        <v>24</v>
      </c>
      <c r="E1425" s="6" t="s">
        <v>513</v>
      </c>
      <c r="F1425" s="6" t="s">
        <v>513</v>
      </c>
      <c r="G1425" s="6" t="s">
        <v>32</v>
      </c>
      <c r="H1425" s="6" t="s">
        <v>33</v>
      </c>
      <c r="I1425" s="6" t="s">
        <v>764</v>
      </c>
      <c r="J1425" s="6" t="s">
        <v>767</v>
      </c>
      <c r="K1425" s="7">
        <v>6281040</v>
      </c>
      <c r="L1425" s="7">
        <v>351762</v>
      </c>
      <c r="M1425" s="7">
        <v>19</v>
      </c>
      <c r="N1425" s="7">
        <v>1</v>
      </c>
      <c r="O1425" s="7">
        <v>9</v>
      </c>
    </row>
    <row r="1426" spans="1:15" x14ac:dyDescent="0.25">
      <c r="A1426" s="6" t="s">
        <v>14</v>
      </c>
      <c r="B1426" s="6" t="s">
        <v>511</v>
      </c>
      <c r="C1426" s="7">
        <v>31599</v>
      </c>
      <c r="D1426" s="6" t="s">
        <v>39</v>
      </c>
      <c r="E1426" s="6" t="s">
        <v>206</v>
      </c>
      <c r="F1426" s="6" t="s">
        <v>326</v>
      </c>
      <c r="G1426" s="6" t="s">
        <v>32</v>
      </c>
      <c r="H1426" s="6" t="s">
        <v>33</v>
      </c>
      <c r="I1426" s="6" t="s">
        <v>767</v>
      </c>
      <c r="J1426" s="6" t="s">
        <v>764</v>
      </c>
      <c r="K1426" s="7">
        <v>6014257</v>
      </c>
      <c r="L1426" s="7">
        <v>243843</v>
      </c>
      <c r="M1426" s="7">
        <v>19</v>
      </c>
      <c r="N1426" s="7">
        <v>1</v>
      </c>
      <c r="O1426" s="7">
        <v>10</v>
      </c>
    </row>
    <row r="1427" spans="1:15" x14ac:dyDescent="0.25">
      <c r="A1427" s="6" t="s">
        <v>14</v>
      </c>
      <c r="B1427" s="6" t="s">
        <v>511</v>
      </c>
      <c r="C1427" s="7">
        <v>31924</v>
      </c>
      <c r="D1427" s="6" t="s">
        <v>42</v>
      </c>
      <c r="E1427" s="6" t="s">
        <v>192</v>
      </c>
      <c r="F1427" s="6" t="s">
        <v>193</v>
      </c>
      <c r="G1427" s="6" t="s">
        <v>32</v>
      </c>
      <c r="H1427" s="6" t="s">
        <v>33</v>
      </c>
      <c r="I1427" s="6" t="s">
        <v>767</v>
      </c>
      <c r="J1427" s="6" t="s">
        <v>764</v>
      </c>
      <c r="K1427" s="7">
        <v>6234752</v>
      </c>
      <c r="L1427" s="7">
        <v>351006</v>
      </c>
      <c r="M1427" s="7">
        <v>19</v>
      </c>
      <c r="N1427" s="7">
        <v>1</v>
      </c>
      <c r="O1427" s="7">
        <v>8</v>
      </c>
    </row>
    <row r="1428" spans="1:15" x14ac:dyDescent="0.25">
      <c r="A1428" s="6" t="s">
        <v>22</v>
      </c>
      <c r="B1428" s="6" t="s">
        <v>511</v>
      </c>
      <c r="C1428" s="7">
        <v>32162</v>
      </c>
      <c r="D1428" s="6" t="s">
        <v>24</v>
      </c>
      <c r="E1428" s="6" t="s">
        <v>38</v>
      </c>
      <c r="F1428" s="6" t="s">
        <v>38</v>
      </c>
      <c r="G1428" s="6" t="s">
        <v>89</v>
      </c>
      <c r="H1428" s="6" t="s">
        <v>765</v>
      </c>
      <c r="I1428" s="6" t="s">
        <v>767</v>
      </c>
      <c r="J1428" s="6" t="s">
        <v>767</v>
      </c>
      <c r="K1428" s="7">
        <v>6273822</v>
      </c>
      <c r="L1428" s="7">
        <v>317635</v>
      </c>
      <c r="M1428" s="7">
        <v>19</v>
      </c>
      <c r="N1428" s="7">
        <v>1</v>
      </c>
      <c r="O1428" s="7">
        <v>0.4</v>
      </c>
    </row>
    <row r="1429" spans="1:15" x14ac:dyDescent="0.25">
      <c r="A1429" s="6" t="s">
        <v>14</v>
      </c>
      <c r="B1429" s="6" t="s">
        <v>511</v>
      </c>
      <c r="C1429" s="7">
        <v>32325</v>
      </c>
      <c r="D1429" s="6" t="s">
        <v>39</v>
      </c>
      <c r="E1429" s="6" t="s">
        <v>159</v>
      </c>
      <c r="F1429" s="6" t="s">
        <v>159</v>
      </c>
      <c r="G1429" s="6" t="s">
        <v>32</v>
      </c>
      <c r="H1429" s="6" t="s">
        <v>33</v>
      </c>
      <c r="I1429" s="6" t="s">
        <v>767</v>
      </c>
      <c r="J1429" s="6" t="s">
        <v>764</v>
      </c>
      <c r="K1429" s="7">
        <v>5997794</v>
      </c>
      <c r="L1429" s="7">
        <v>248074</v>
      </c>
      <c r="M1429" s="7">
        <v>19</v>
      </c>
      <c r="N1429" s="7">
        <v>1</v>
      </c>
      <c r="O1429" s="7">
        <v>7</v>
      </c>
    </row>
    <row r="1430" spans="1:15" x14ac:dyDescent="0.25">
      <c r="A1430" s="6" t="s">
        <v>28</v>
      </c>
      <c r="B1430" s="6" t="s">
        <v>511</v>
      </c>
      <c r="C1430" s="7">
        <v>32326</v>
      </c>
      <c r="D1430" s="6" t="s">
        <v>39</v>
      </c>
      <c r="E1430" s="6" t="s">
        <v>72</v>
      </c>
      <c r="F1430" s="6" t="s">
        <v>72</v>
      </c>
      <c r="G1430" s="6" t="s">
        <v>32</v>
      </c>
      <c r="H1430" s="6" t="s">
        <v>33</v>
      </c>
      <c r="I1430" s="6" t="s">
        <v>767</v>
      </c>
      <c r="J1430" s="6" t="s">
        <v>764</v>
      </c>
      <c r="K1430" s="7">
        <v>6060361</v>
      </c>
      <c r="L1430" s="7">
        <v>282770</v>
      </c>
      <c r="M1430" s="7">
        <v>19</v>
      </c>
      <c r="N1430" s="7">
        <v>1</v>
      </c>
      <c r="O1430" s="7">
        <v>8</v>
      </c>
    </row>
    <row r="1431" spans="1:15" x14ac:dyDescent="0.25">
      <c r="A1431" s="6" t="s">
        <v>22</v>
      </c>
      <c r="B1431" s="6" t="s">
        <v>511</v>
      </c>
      <c r="C1431" s="7">
        <v>32562</v>
      </c>
      <c r="D1431" s="6" t="s">
        <v>24</v>
      </c>
      <c r="E1431" s="6" t="s">
        <v>38</v>
      </c>
      <c r="F1431" s="6" t="s">
        <v>38</v>
      </c>
      <c r="G1431" s="6" t="s">
        <v>32</v>
      </c>
      <c r="H1431" s="6" t="s">
        <v>765</v>
      </c>
      <c r="I1431" s="6" t="s">
        <v>767</v>
      </c>
      <c r="J1431" s="6" t="s">
        <v>767</v>
      </c>
      <c r="K1431" s="7">
        <v>6273174</v>
      </c>
      <c r="L1431" s="7">
        <v>317684</v>
      </c>
      <c r="M1431" s="7">
        <v>19</v>
      </c>
      <c r="N1431" s="7">
        <v>1</v>
      </c>
      <c r="O1431" s="7">
        <v>0.1</v>
      </c>
    </row>
    <row r="1432" spans="1:15" x14ac:dyDescent="0.25">
      <c r="A1432" s="6" t="s">
        <v>28</v>
      </c>
      <c r="B1432" s="6" t="s">
        <v>511</v>
      </c>
      <c r="C1432" s="7">
        <v>32649</v>
      </c>
      <c r="D1432" s="6" t="s">
        <v>24</v>
      </c>
      <c r="E1432" s="6" t="s">
        <v>31</v>
      </c>
      <c r="F1432" s="6" t="s">
        <v>516</v>
      </c>
      <c r="G1432" s="6" t="s">
        <v>32</v>
      </c>
      <c r="H1432" s="6" t="s">
        <v>19</v>
      </c>
      <c r="I1432" s="6" t="s">
        <v>767</v>
      </c>
      <c r="J1432" s="6" t="s">
        <v>767</v>
      </c>
      <c r="K1432" s="7">
        <v>6287291</v>
      </c>
      <c r="L1432" s="7">
        <v>295694</v>
      </c>
      <c r="M1432" s="7">
        <v>19</v>
      </c>
      <c r="N1432" s="7">
        <v>1</v>
      </c>
      <c r="O1432" s="7">
        <v>1.5</v>
      </c>
    </row>
    <row r="1433" spans="1:15" x14ac:dyDescent="0.25">
      <c r="A1433" s="6" t="s">
        <v>14</v>
      </c>
      <c r="B1433" s="6" t="s">
        <v>511</v>
      </c>
      <c r="C1433" s="7">
        <v>32671</v>
      </c>
      <c r="D1433" s="6" t="s">
        <v>24</v>
      </c>
      <c r="E1433" s="6" t="s">
        <v>37</v>
      </c>
      <c r="F1433" s="6" t="s">
        <v>416</v>
      </c>
      <c r="G1433" s="6" t="s">
        <v>32</v>
      </c>
      <c r="H1433" s="6" t="s">
        <v>33</v>
      </c>
      <c r="I1433" s="6" t="s">
        <v>764</v>
      </c>
      <c r="J1433" s="6" t="s">
        <v>767</v>
      </c>
      <c r="K1433" s="7">
        <v>6277586</v>
      </c>
      <c r="L1433" s="7">
        <v>328161</v>
      </c>
      <c r="M1433" s="7">
        <v>19</v>
      </c>
      <c r="N1433" s="7">
        <v>1</v>
      </c>
      <c r="O1433" s="7">
        <v>2.5</v>
      </c>
    </row>
    <row r="1434" spans="1:15" x14ac:dyDescent="0.25">
      <c r="A1434" s="6" t="s">
        <v>28</v>
      </c>
      <c r="B1434" s="6" t="s">
        <v>511</v>
      </c>
      <c r="C1434" s="7">
        <v>32673</v>
      </c>
      <c r="D1434" s="6" t="s">
        <v>39</v>
      </c>
      <c r="E1434" s="6" t="s">
        <v>512</v>
      </c>
      <c r="F1434" s="6" t="s">
        <v>517</v>
      </c>
      <c r="G1434" s="6" t="s">
        <v>32</v>
      </c>
      <c r="H1434" s="6" t="s">
        <v>33</v>
      </c>
      <c r="I1434" s="6" t="s">
        <v>767</v>
      </c>
      <c r="J1434" s="6" t="s">
        <v>764</v>
      </c>
      <c r="K1434" s="7">
        <v>6112146</v>
      </c>
      <c r="L1434" s="7">
        <v>249493</v>
      </c>
      <c r="M1434" s="7">
        <v>19</v>
      </c>
      <c r="N1434" s="7">
        <v>2</v>
      </c>
      <c r="O1434" s="7">
        <v>36</v>
      </c>
    </row>
    <row r="1435" spans="1:15" x14ac:dyDescent="0.25">
      <c r="A1435" s="6" t="s">
        <v>28</v>
      </c>
      <c r="B1435" s="6" t="s">
        <v>511</v>
      </c>
      <c r="C1435" s="7">
        <v>32678</v>
      </c>
      <c r="D1435" s="6" t="s">
        <v>39</v>
      </c>
      <c r="E1435" s="6" t="s">
        <v>512</v>
      </c>
      <c r="F1435" s="6" t="s">
        <v>512</v>
      </c>
      <c r="G1435" s="6" t="s">
        <v>32</v>
      </c>
      <c r="H1435" s="6" t="s">
        <v>33</v>
      </c>
      <c r="I1435" s="6" t="s">
        <v>767</v>
      </c>
      <c r="J1435" s="6" t="s">
        <v>767</v>
      </c>
      <c r="K1435" s="7">
        <v>6113554</v>
      </c>
      <c r="L1435" s="7">
        <v>251059</v>
      </c>
      <c r="M1435" s="7">
        <v>19</v>
      </c>
      <c r="N1435" s="7">
        <v>1</v>
      </c>
      <c r="O1435" s="7">
        <v>30</v>
      </c>
    </row>
    <row r="1436" spans="1:15" x14ac:dyDescent="0.25">
      <c r="A1436" s="6" t="s">
        <v>28</v>
      </c>
      <c r="B1436" s="6" t="s">
        <v>511</v>
      </c>
      <c r="C1436" s="7">
        <v>32990</v>
      </c>
      <c r="D1436" s="6" t="s">
        <v>24</v>
      </c>
      <c r="E1436" s="6" t="s">
        <v>427</v>
      </c>
      <c r="F1436" s="6" t="s">
        <v>518</v>
      </c>
      <c r="G1436" s="6" t="s">
        <v>32</v>
      </c>
      <c r="H1436" s="6" t="s">
        <v>19</v>
      </c>
      <c r="I1436" s="6" t="s">
        <v>767</v>
      </c>
      <c r="J1436" s="6" t="s">
        <v>767</v>
      </c>
      <c r="K1436" s="7">
        <v>6265436</v>
      </c>
      <c r="L1436" s="7">
        <v>317771</v>
      </c>
      <c r="M1436" s="7">
        <v>19</v>
      </c>
      <c r="N1436" s="7">
        <v>1</v>
      </c>
      <c r="O1436" s="7">
        <v>1</v>
      </c>
    </row>
    <row r="1437" spans="1:15" x14ac:dyDescent="0.25">
      <c r="A1437" s="6" t="s">
        <v>28</v>
      </c>
      <c r="B1437" s="6" t="s">
        <v>511</v>
      </c>
      <c r="C1437" s="7">
        <v>33778</v>
      </c>
      <c r="D1437" s="6" t="s">
        <v>42</v>
      </c>
      <c r="E1437" s="6" t="s">
        <v>196</v>
      </c>
      <c r="F1437" s="6" t="s">
        <v>196</v>
      </c>
      <c r="G1437" s="6" t="s">
        <v>32</v>
      </c>
      <c r="H1437" s="6" t="s">
        <v>33</v>
      </c>
      <c r="I1437" s="6" t="s">
        <v>767</v>
      </c>
      <c r="J1437" s="6" t="s">
        <v>764</v>
      </c>
      <c r="K1437" s="7">
        <v>6219962</v>
      </c>
      <c r="L1437" s="7">
        <v>342011</v>
      </c>
      <c r="M1437" s="7">
        <v>19</v>
      </c>
      <c r="N1437" s="7">
        <v>1</v>
      </c>
      <c r="O1437" s="7">
        <v>12</v>
      </c>
    </row>
    <row r="1438" spans="1:15" x14ac:dyDescent="0.25">
      <c r="A1438" s="6" t="s">
        <v>14</v>
      </c>
      <c r="B1438" s="6" t="s">
        <v>511</v>
      </c>
      <c r="C1438" s="7">
        <v>33788</v>
      </c>
      <c r="D1438" s="6" t="s">
        <v>24</v>
      </c>
      <c r="E1438" s="6" t="s">
        <v>463</v>
      </c>
      <c r="F1438" s="6" t="s">
        <v>463</v>
      </c>
      <c r="G1438" s="6" t="s">
        <v>32</v>
      </c>
      <c r="H1438" s="6" t="s">
        <v>33</v>
      </c>
      <c r="I1438" s="6" t="s">
        <v>767</v>
      </c>
      <c r="J1438" s="6" t="s">
        <v>764</v>
      </c>
      <c r="K1438" s="7">
        <v>6281380</v>
      </c>
      <c r="L1438" s="7">
        <v>348004</v>
      </c>
      <c r="M1438" s="7">
        <v>19</v>
      </c>
      <c r="N1438" s="7">
        <v>1</v>
      </c>
      <c r="O1438" s="7">
        <v>6</v>
      </c>
    </row>
    <row r="1439" spans="1:15" x14ac:dyDescent="0.25">
      <c r="A1439" s="6" t="s">
        <v>28</v>
      </c>
      <c r="B1439" s="6" t="s">
        <v>511</v>
      </c>
      <c r="C1439" s="7">
        <v>33795</v>
      </c>
      <c r="D1439" s="6" t="s">
        <v>42</v>
      </c>
      <c r="E1439" s="6" t="s">
        <v>192</v>
      </c>
      <c r="F1439" s="6" t="s">
        <v>192</v>
      </c>
      <c r="G1439" s="6" t="s">
        <v>32</v>
      </c>
      <c r="H1439" s="6" t="s">
        <v>33</v>
      </c>
      <c r="I1439" s="6" t="s">
        <v>767</v>
      </c>
      <c r="J1439" s="6" t="s">
        <v>764</v>
      </c>
      <c r="K1439" s="7">
        <v>6234005</v>
      </c>
      <c r="L1439" s="7">
        <v>351397</v>
      </c>
      <c r="M1439" s="7">
        <v>19</v>
      </c>
      <c r="N1439" s="7">
        <v>1</v>
      </c>
      <c r="O1439" s="7">
        <v>4</v>
      </c>
    </row>
    <row r="1440" spans="1:15" x14ac:dyDescent="0.25">
      <c r="A1440" s="6" t="s">
        <v>28</v>
      </c>
      <c r="B1440" s="6" t="s">
        <v>511</v>
      </c>
      <c r="C1440" s="7">
        <v>33801</v>
      </c>
      <c r="D1440" s="6" t="s">
        <v>39</v>
      </c>
      <c r="E1440" s="6" t="s">
        <v>72</v>
      </c>
      <c r="F1440" s="6" t="s">
        <v>72</v>
      </c>
      <c r="G1440" s="6" t="s">
        <v>32</v>
      </c>
      <c r="H1440" s="6" t="s">
        <v>33</v>
      </c>
      <c r="I1440" s="6" t="s">
        <v>767</v>
      </c>
      <c r="J1440" s="6" t="s">
        <v>764</v>
      </c>
      <c r="K1440" s="7">
        <v>6060045</v>
      </c>
      <c r="L1440" s="7">
        <v>282768</v>
      </c>
      <c r="M1440" s="7">
        <v>19</v>
      </c>
      <c r="N1440" s="7">
        <v>1</v>
      </c>
      <c r="O1440" s="7">
        <v>20</v>
      </c>
    </row>
    <row r="1441" spans="1:15" x14ac:dyDescent="0.25">
      <c r="A1441" s="6" t="s">
        <v>28</v>
      </c>
      <c r="B1441" s="6" t="s">
        <v>511</v>
      </c>
      <c r="C1441" s="7">
        <v>33806</v>
      </c>
      <c r="D1441" s="6" t="s">
        <v>39</v>
      </c>
      <c r="E1441" s="6" t="s">
        <v>512</v>
      </c>
      <c r="F1441" s="6" t="s">
        <v>512</v>
      </c>
      <c r="G1441" s="6" t="s">
        <v>32</v>
      </c>
      <c r="H1441" s="6" t="s">
        <v>33</v>
      </c>
      <c r="I1441" s="6" t="s">
        <v>767</v>
      </c>
      <c r="J1441" s="6" t="s">
        <v>767</v>
      </c>
      <c r="K1441" s="7">
        <v>6112668</v>
      </c>
      <c r="L1441" s="7">
        <v>250389</v>
      </c>
      <c r="M1441" s="7">
        <v>19</v>
      </c>
      <c r="N1441" s="7">
        <v>1</v>
      </c>
      <c r="O1441" s="7">
        <v>52</v>
      </c>
    </row>
    <row r="1442" spans="1:15" x14ac:dyDescent="0.25">
      <c r="A1442" s="6" t="s">
        <v>28</v>
      </c>
      <c r="B1442" s="6" t="s">
        <v>511</v>
      </c>
      <c r="C1442" s="7">
        <v>33819</v>
      </c>
      <c r="D1442" s="6" t="s">
        <v>39</v>
      </c>
      <c r="E1442" s="6" t="s">
        <v>512</v>
      </c>
      <c r="F1442" s="6" t="s">
        <v>512</v>
      </c>
      <c r="G1442" s="6" t="s">
        <v>32</v>
      </c>
      <c r="H1442" s="6" t="s">
        <v>33</v>
      </c>
      <c r="I1442" s="6" t="s">
        <v>767</v>
      </c>
      <c r="J1442" s="6" t="s">
        <v>767</v>
      </c>
      <c r="K1442" s="7">
        <v>6113882</v>
      </c>
      <c r="L1442" s="7">
        <v>251364</v>
      </c>
      <c r="M1442" s="7">
        <v>19</v>
      </c>
      <c r="N1442" s="7">
        <v>1</v>
      </c>
      <c r="O1442" s="7">
        <v>9</v>
      </c>
    </row>
    <row r="1443" spans="1:15" x14ac:dyDescent="0.25">
      <c r="A1443" s="6" t="s">
        <v>22</v>
      </c>
      <c r="B1443" s="6" t="s">
        <v>511</v>
      </c>
      <c r="C1443" s="7">
        <v>33830</v>
      </c>
      <c r="D1443" s="6" t="s">
        <v>24</v>
      </c>
      <c r="E1443" s="6" t="s">
        <v>38</v>
      </c>
      <c r="F1443" s="6" t="s">
        <v>38</v>
      </c>
      <c r="G1443" s="6" t="s">
        <v>32</v>
      </c>
      <c r="H1443" s="6" t="s">
        <v>765</v>
      </c>
      <c r="I1443" s="6" t="s">
        <v>767</v>
      </c>
      <c r="J1443" s="6" t="s">
        <v>767</v>
      </c>
      <c r="K1443" s="7">
        <v>6273289</v>
      </c>
      <c r="L1443" s="7">
        <v>317632</v>
      </c>
      <c r="M1443" s="7">
        <v>19</v>
      </c>
      <c r="N1443" s="7">
        <v>1</v>
      </c>
      <c r="O1443" s="7">
        <v>0.12</v>
      </c>
    </row>
    <row r="1444" spans="1:15" x14ac:dyDescent="0.25">
      <c r="A1444" s="6" t="s">
        <v>22</v>
      </c>
      <c r="B1444" s="6" t="s">
        <v>511</v>
      </c>
      <c r="C1444" s="7">
        <v>33831</v>
      </c>
      <c r="D1444" s="6" t="s">
        <v>24</v>
      </c>
      <c r="E1444" s="6" t="s">
        <v>38</v>
      </c>
      <c r="F1444" s="6" t="s">
        <v>38</v>
      </c>
      <c r="G1444" s="6" t="s">
        <v>89</v>
      </c>
      <c r="H1444" s="6" t="s">
        <v>765</v>
      </c>
      <c r="I1444" s="6" t="s">
        <v>767</v>
      </c>
      <c r="J1444" s="6" t="s">
        <v>767</v>
      </c>
      <c r="K1444" s="7">
        <v>6272693</v>
      </c>
      <c r="L1444" s="7">
        <v>317134</v>
      </c>
      <c r="M1444" s="7">
        <v>19</v>
      </c>
      <c r="N1444" s="7">
        <v>1</v>
      </c>
      <c r="O1444" s="7">
        <v>1.1100000000000001</v>
      </c>
    </row>
    <row r="1445" spans="1:15" x14ac:dyDescent="0.25">
      <c r="A1445" s="6" t="s">
        <v>22</v>
      </c>
      <c r="B1445" s="6" t="s">
        <v>511</v>
      </c>
      <c r="C1445" s="7">
        <v>33834</v>
      </c>
      <c r="D1445" s="6" t="s">
        <v>24</v>
      </c>
      <c r="E1445" s="6" t="s">
        <v>38</v>
      </c>
      <c r="F1445" s="6" t="s">
        <v>38</v>
      </c>
      <c r="G1445" s="6" t="s">
        <v>50</v>
      </c>
      <c r="H1445" s="6" t="s">
        <v>765</v>
      </c>
      <c r="I1445" s="6" t="s">
        <v>767</v>
      </c>
      <c r="J1445" s="6" t="s">
        <v>767</v>
      </c>
      <c r="K1445" s="7">
        <v>6273754</v>
      </c>
      <c r="L1445" s="7">
        <v>317688</v>
      </c>
      <c r="M1445" s="7">
        <v>19</v>
      </c>
      <c r="N1445" s="7">
        <v>1</v>
      </c>
      <c r="O1445" s="7">
        <v>0.9</v>
      </c>
    </row>
    <row r="1446" spans="1:15" x14ac:dyDescent="0.25">
      <c r="A1446" s="6" t="s">
        <v>28</v>
      </c>
      <c r="B1446" s="6" t="s">
        <v>511</v>
      </c>
      <c r="C1446" s="7">
        <v>33846</v>
      </c>
      <c r="D1446" s="6" t="s">
        <v>39</v>
      </c>
      <c r="E1446" s="6" t="s">
        <v>83</v>
      </c>
      <c r="F1446" s="6" t="s">
        <v>83</v>
      </c>
      <c r="G1446" s="6" t="s">
        <v>32</v>
      </c>
      <c r="H1446" s="6" t="s">
        <v>33</v>
      </c>
      <c r="I1446" s="6" t="s">
        <v>767</v>
      </c>
      <c r="J1446" s="6" t="s">
        <v>764</v>
      </c>
      <c r="K1446" s="7">
        <v>6093768</v>
      </c>
      <c r="L1446" s="7">
        <v>279463</v>
      </c>
      <c r="M1446" s="7">
        <v>19</v>
      </c>
      <c r="N1446" s="7">
        <v>1</v>
      </c>
      <c r="O1446" s="7">
        <v>25</v>
      </c>
    </row>
    <row r="1447" spans="1:15" x14ac:dyDescent="0.25">
      <c r="A1447" s="6" t="s">
        <v>14</v>
      </c>
      <c r="B1447" s="6" t="s">
        <v>511</v>
      </c>
      <c r="C1447" s="7">
        <v>33848</v>
      </c>
      <c r="D1447" s="6" t="s">
        <v>24</v>
      </c>
      <c r="E1447" s="6" t="s">
        <v>463</v>
      </c>
      <c r="F1447" s="6" t="s">
        <v>463</v>
      </c>
      <c r="G1447" s="6" t="s">
        <v>32</v>
      </c>
      <c r="H1447" s="6" t="s">
        <v>33</v>
      </c>
      <c r="I1447" s="6" t="s">
        <v>767</v>
      </c>
      <c r="J1447" s="6" t="s">
        <v>767</v>
      </c>
      <c r="K1447" s="7">
        <v>6281254</v>
      </c>
      <c r="L1447" s="7">
        <v>351411</v>
      </c>
      <c r="M1447" s="7">
        <v>19</v>
      </c>
      <c r="N1447" s="7">
        <v>1</v>
      </c>
      <c r="O1447" s="7">
        <v>6</v>
      </c>
    </row>
    <row r="1448" spans="1:15" x14ac:dyDescent="0.25">
      <c r="A1448" s="6" t="s">
        <v>14</v>
      </c>
      <c r="B1448" s="6" t="s">
        <v>511</v>
      </c>
      <c r="C1448" s="7">
        <v>33851</v>
      </c>
      <c r="D1448" s="6" t="s">
        <v>24</v>
      </c>
      <c r="E1448" s="6" t="s">
        <v>463</v>
      </c>
      <c r="F1448" s="6" t="s">
        <v>348</v>
      </c>
      <c r="G1448" s="6" t="s">
        <v>32</v>
      </c>
      <c r="H1448" s="6" t="s">
        <v>33</v>
      </c>
      <c r="I1448" s="6" t="s">
        <v>767</v>
      </c>
      <c r="J1448" s="6" t="s">
        <v>767</v>
      </c>
      <c r="K1448" s="7">
        <v>6281343</v>
      </c>
      <c r="L1448" s="7">
        <v>349912</v>
      </c>
      <c r="M1448" s="7">
        <v>19</v>
      </c>
      <c r="N1448" s="7">
        <v>1</v>
      </c>
      <c r="O1448" s="7">
        <v>17.5</v>
      </c>
    </row>
    <row r="1449" spans="1:15" x14ac:dyDescent="0.25">
      <c r="A1449" s="6" t="s">
        <v>28</v>
      </c>
      <c r="B1449" s="6" t="s">
        <v>511</v>
      </c>
      <c r="C1449" s="7">
        <v>33852</v>
      </c>
      <c r="D1449" s="6" t="s">
        <v>42</v>
      </c>
      <c r="E1449" s="6" t="s">
        <v>167</v>
      </c>
      <c r="F1449" s="6" t="s">
        <v>167</v>
      </c>
      <c r="G1449" s="6" t="s">
        <v>32</v>
      </c>
      <c r="H1449" s="6" t="s">
        <v>33</v>
      </c>
      <c r="I1449" s="6" t="s">
        <v>767</v>
      </c>
      <c r="J1449" s="6" t="s">
        <v>767</v>
      </c>
      <c r="K1449" s="7">
        <v>6231868</v>
      </c>
      <c r="L1449" s="7">
        <v>345586</v>
      </c>
      <c r="M1449" s="7">
        <v>19</v>
      </c>
      <c r="N1449" s="7">
        <v>2</v>
      </c>
      <c r="O1449" s="7">
        <v>22</v>
      </c>
    </row>
    <row r="1450" spans="1:15" x14ac:dyDescent="0.25">
      <c r="A1450" s="6" t="s">
        <v>14</v>
      </c>
      <c r="B1450" s="6" t="s">
        <v>511</v>
      </c>
      <c r="C1450" s="7">
        <v>33872</v>
      </c>
      <c r="D1450" s="6" t="s">
        <v>39</v>
      </c>
      <c r="E1450" s="6" t="s">
        <v>72</v>
      </c>
      <c r="F1450" s="6" t="s">
        <v>72</v>
      </c>
      <c r="G1450" s="6" t="s">
        <v>32</v>
      </c>
      <c r="H1450" s="6" t="s">
        <v>33</v>
      </c>
      <c r="I1450" s="6" t="s">
        <v>767</v>
      </c>
      <c r="J1450" s="6" t="s">
        <v>764</v>
      </c>
      <c r="K1450" s="7">
        <v>6062727</v>
      </c>
      <c r="L1450" s="7">
        <v>276846</v>
      </c>
      <c r="M1450" s="7">
        <v>19</v>
      </c>
      <c r="N1450" s="7">
        <v>1</v>
      </c>
      <c r="O1450" s="7">
        <v>6</v>
      </c>
    </row>
    <row r="1451" spans="1:15" x14ac:dyDescent="0.25">
      <c r="A1451" s="6" t="s">
        <v>28</v>
      </c>
      <c r="B1451" s="6" t="s">
        <v>511</v>
      </c>
      <c r="C1451" s="7">
        <v>33942</v>
      </c>
      <c r="D1451" s="6" t="s">
        <v>39</v>
      </c>
      <c r="E1451" s="6" t="s">
        <v>40</v>
      </c>
      <c r="F1451" s="6" t="s">
        <v>181</v>
      </c>
      <c r="G1451" s="6" t="s">
        <v>32</v>
      </c>
      <c r="H1451" s="6" t="s">
        <v>33</v>
      </c>
      <c r="I1451" s="6" t="s">
        <v>767</v>
      </c>
      <c r="J1451" s="6" t="s">
        <v>764</v>
      </c>
      <c r="K1451" s="7">
        <v>6115854</v>
      </c>
      <c r="L1451" s="7">
        <v>309118</v>
      </c>
      <c r="M1451" s="7">
        <v>19</v>
      </c>
      <c r="N1451" s="7">
        <v>1</v>
      </c>
      <c r="O1451" s="7">
        <v>12</v>
      </c>
    </row>
    <row r="1452" spans="1:15" x14ac:dyDescent="0.25">
      <c r="A1452" s="6" t="s">
        <v>28</v>
      </c>
      <c r="B1452" s="6" t="s">
        <v>511</v>
      </c>
      <c r="C1452" s="7">
        <v>33944</v>
      </c>
      <c r="D1452" s="6" t="s">
        <v>39</v>
      </c>
      <c r="E1452" s="6" t="s">
        <v>40</v>
      </c>
      <c r="F1452" s="6" t="s">
        <v>181</v>
      </c>
      <c r="G1452" s="6" t="s">
        <v>32</v>
      </c>
      <c r="H1452" s="6" t="s">
        <v>33</v>
      </c>
      <c r="I1452" s="6" t="s">
        <v>767</v>
      </c>
      <c r="J1452" s="6" t="s">
        <v>764</v>
      </c>
      <c r="K1452" s="7">
        <v>6115642</v>
      </c>
      <c r="L1452" s="7">
        <v>308771</v>
      </c>
      <c r="M1452" s="7">
        <v>19</v>
      </c>
      <c r="N1452" s="7">
        <v>1</v>
      </c>
      <c r="O1452" s="7">
        <v>2.5</v>
      </c>
    </row>
    <row r="1453" spans="1:15" x14ac:dyDescent="0.25">
      <c r="A1453" s="6" t="s">
        <v>28</v>
      </c>
      <c r="B1453" s="6" t="s">
        <v>511</v>
      </c>
      <c r="C1453" s="7">
        <v>33954</v>
      </c>
      <c r="D1453" s="6" t="s">
        <v>39</v>
      </c>
      <c r="E1453" s="6" t="s">
        <v>40</v>
      </c>
      <c r="F1453" s="6" t="s">
        <v>181</v>
      </c>
      <c r="G1453" s="6" t="s">
        <v>32</v>
      </c>
      <c r="H1453" s="6" t="s">
        <v>33</v>
      </c>
      <c r="I1453" s="6" t="s">
        <v>767</v>
      </c>
      <c r="J1453" s="6" t="s">
        <v>764</v>
      </c>
      <c r="K1453" s="7">
        <v>6115773</v>
      </c>
      <c r="L1453" s="7">
        <v>308704</v>
      </c>
      <c r="M1453" s="7">
        <v>19</v>
      </c>
      <c r="N1453" s="7">
        <v>1</v>
      </c>
      <c r="O1453" s="7">
        <v>20</v>
      </c>
    </row>
    <row r="1454" spans="1:15" x14ac:dyDescent="0.25">
      <c r="A1454" s="6" t="s">
        <v>28</v>
      </c>
      <c r="B1454" s="6" t="s">
        <v>511</v>
      </c>
      <c r="C1454" s="7">
        <v>34173</v>
      </c>
      <c r="D1454" s="6" t="s">
        <v>39</v>
      </c>
      <c r="E1454" s="6" t="s">
        <v>58</v>
      </c>
      <c r="F1454" s="6" t="s">
        <v>58</v>
      </c>
      <c r="G1454" s="6" t="s">
        <v>32</v>
      </c>
      <c r="H1454" s="6" t="s">
        <v>33</v>
      </c>
      <c r="I1454" s="6" t="s">
        <v>767</v>
      </c>
      <c r="J1454" s="6" t="s">
        <v>767</v>
      </c>
      <c r="K1454" s="7">
        <v>6006581</v>
      </c>
      <c r="L1454" s="7">
        <v>263237</v>
      </c>
      <c r="M1454" s="7">
        <v>19</v>
      </c>
      <c r="N1454" s="7">
        <v>1</v>
      </c>
      <c r="O1454" s="7">
        <v>20</v>
      </c>
    </row>
    <row r="1455" spans="1:15" x14ac:dyDescent="0.25">
      <c r="A1455" s="6" t="s">
        <v>28</v>
      </c>
      <c r="B1455" s="6" t="s">
        <v>511</v>
      </c>
      <c r="C1455" s="7">
        <v>34192</v>
      </c>
      <c r="D1455" s="6" t="s">
        <v>39</v>
      </c>
      <c r="E1455" s="6" t="s">
        <v>58</v>
      </c>
      <c r="F1455" s="6" t="s">
        <v>58</v>
      </c>
      <c r="G1455" s="6" t="s">
        <v>32</v>
      </c>
      <c r="H1455" s="6" t="s">
        <v>33</v>
      </c>
      <c r="I1455" s="6" t="s">
        <v>767</v>
      </c>
      <c r="J1455" s="6" t="s">
        <v>767</v>
      </c>
      <c r="K1455" s="7">
        <v>6006581</v>
      </c>
      <c r="L1455" s="7">
        <v>263237</v>
      </c>
      <c r="M1455" s="7">
        <v>19</v>
      </c>
      <c r="N1455" s="7">
        <v>1</v>
      </c>
      <c r="O1455" s="7">
        <v>6</v>
      </c>
    </row>
    <row r="1456" spans="1:15" x14ac:dyDescent="0.25">
      <c r="A1456" s="6" t="s">
        <v>28</v>
      </c>
      <c r="B1456" s="6" t="s">
        <v>511</v>
      </c>
      <c r="C1456" s="7">
        <v>34213</v>
      </c>
      <c r="D1456" s="6" t="s">
        <v>39</v>
      </c>
      <c r="E1456" s="6" t="s">
        <v>58</v>
      </c>
      <c r="F1456" s="6" t="s">
        <v>58</v>
      </c>
      <c r="G1456" s="6" t="s">
        <v>32</v>
      </c>
      <c r="H1456" s="6" t="s">
        <v>33</v>
      </c>
      <c r="I1456" s="6" t="s">
        <v>767</v>
      </c>
      <c r="J1456" s="6" t="s">
        <v>767</v>
      </c>
      <c r="K1456" s="7">
        <v>6017462</v>
      </c>
      <c r="L1456" s="7">
        <v>254659</v>
      </c>
      <c r="M1456" s="7">
        <v>19</v>
      </c>
      <c r="N1456" s="7">
        <v>1</v>
      </c>
      <c r="O1456" s="7">
        <v>23</v>
      </c>
    </row>
    <row r="1457" spans="1:15" x14ac:dyDescent="0.25">
      <c r="A1457" s="6" t="s">
        <v>14</v>
      </c>
      <c r="B1457" s="6" t="s">
        <v>511</v>
      </c>
      <c r="C1457" s="7">
        <v>34481</v>
      </c>
      <c r="D1457" s="6" t="s">
        <v>24</v>
      </c>
      <c r="E1457" s="6" t="s">
        <v>62</v>
      </c>
      <c r="F1457" s="6" t="s">
        <v>482</v>
      </c>
      <c r="G1457" s="6" t="s">
        <v>32</v>
      </c>
      <c r="H1457" s="6" t="s">
        <v>33</v>
      </c>
      <c r="I1457" s="6" t="s">
        <v>767</v>
      </c>
      <c r="J1457" s="6" t="s">
        <v>767</v>
      </c>
      <c r="K1457" s="7">
        <v>6277586</v>
      </c>
      <c r="L1457" s="7">
        <v>328161</v>
      </c>
      <c r="M1457" s="7">
        <v>19</v>
      </c>
      <c r="N1457" s="7">
        <v>1</v>
      </c>
      <c r="O1457" s="7">
        <v>3</v>
      </c>
    </row>
    <row r="1458" spans="1:15" x14ac:dyDescent="0.25">
      <c r="A1458" s="6" t="s">
        <v>28</v>
      </c>
      <c r="B1458" s="6" t="s">
        <v>511</v>
      </c>
      <c r="C1458" s="7">
        <v>34542</v>
      </c>
      <c r="D1458" s="6" t="s">
        <v>39</v>
      </c>
      <c r="E1458" s="6" t="s">
        <v>70</v>
      </c>
      <c r="F1458" s="6" t="s">
        <v>519</v>
      </c>
      <c r="G1458" s="6" t="s">
        <v>32</v>
      </c>
      <c r="H1458" s="6" t="s">
        <v>33</v>
      </c>
      <c r="I1458" s="6" t="s">
        <v>767</v>
      </c>
      <c r="J1458" s="6" t="s">
        <v>764</v>
      </c>
      <c r="K1458" s="7">
        <v>6068648</v>
      </c>
      <c r="L1458" s="7">
        <v>265798</v>
      </c>
      <c r="M1458" s="7">
        <v>19</v>
      </c>
      <c r="N1458" s="7">
        <v>1</v>
      </c>
      <c r="O1458" s="7">
        <v>15</v>
      </c>
    </row>
    <row r="1459" spans="1:15" x14ac:dyDescent="0.25">
      <c r="A1459" s="6" t="s">
        <v>14</v>
      </c>
      <c r="B1459" s="6" t="s">
        <v>511</v>
      </c>
      <c r="C1459" s="7">
        <v>34547</v>
      </c>
      <c r="D1459" s="6" t="s">
        <v>39</v>
      </c>
      <c r="E1459" s="6" t="s">
        <v>177</v>
      </c>
      <c r="F1459" s="6" t="s">
        <v>520</v>
      </c>
      <c r="G1459" s="6" t="s">
        <v>32</v>
      </c>
      <c r="H1459" s="6" t="s">
        <v>19</v>
      </c>
      <c r="I1459" s="6" t="s">
        <v>767</v>
      </c>
      <c r="J1459" s="6" t="s">
        <v>767</v>
      </c>
      <c r="K1459" s="7">
        <v>6032462</v>
      </c>
      <c r="L1459" s="7">
        <v>280992</v>
      </c>
      <c r="M1459" s="7">
        <v>19</v>
      </c>
      <c r="N1459" s="7">
        <v>1</v>
      </c>
      <c r="O1459" s="7">
        <v>0.5</v>
      </c>
    </row>
    <row r="1460" spans="1:15" x14ac:dyDescent="0.25">
      <c r="A1460" s="6" t="s">
        <v>14</v>
      </c>
      <c r="B1460" s="6" t="s">
        <v>511</v>
      </c>
      <c r="C1460" s="7">
        <v>34548</v>
      </c>
      <c r="D1460" s="6" t="s">
        <v>39</v>
      </c>
      <c r="E1460" s="6" t="s">
        <v>177</v>
      </c>
      <c r="F1460" s="6" t="s">
        <v>521</v>
      </c>
      <c r="G1460" s="6" t="s">
        <v>32</v>
      </c>
      <c r="H1460" s="6" t="s">
        <v>19</v>
      </c>
      <c r="I1460" s="6" t="s">
        <v>767</v>
      </c>
      <c r="J1460" s="6" t="s">
        <v>767</v>
      </c>
      <c r="K1460" s="7">
        <v>6032780</v>
      </c>
      <c r="L1460" s="7">
        <v>281033</v>
      </c>
      <c r="M1460" s="7">
        <v>19</v>
      </c>
      <c r="N1460" s="7">
        <v>1</v>
      </c>
      <c r="O1460" s="7">
        <v>0.5</v>
      </c>
    </row>
    <row r="1461" spans="1:15" x14ac:dyDescent="0.25">
      <c r="A1461" s="6" t="s">
        <v>14</v>
      </c>
      <c r="B1461" s="6" t="s">
        <v>511</v>
      </c>
      <c r="C1461" s="7">
        <v>34988</v>
      </c>
      <c r="D1461" s="6" t="s">
        <v>39</v>
      </c>
      <c r="E1461" s="6" t="s">
        <v>512</v>
      </c>
      <c r="F1461" s="6" t="s">
        <v>512</v>
      </c>
      <c r="G1461" s="6" t="s">
        <v>89</v>
      </c>
      <c r="H1461" s="6" t="s">
        <v>19</v>
      </c>
      <c r="I1461" s="6" t="s">
        <v>767</v>
      </c>
      <c r="J1461" s="6" t="s">
        <v>767</v>
      </c>
      <c r="K1461" s="7">
        <v>6111469</v>
      </c>
      <c r="L1461" s="7">
        <v>249841</v>
      </c>
      <c r="M1461" s="7">
        <v>19</v>
      </c>
      <c r="N1461" s="7">
        <v>1</v>
      </c>
      <c r="O1461" s="7">
        <v>0.7</v>
      </c>
    </row>
    <row r="1462" spans="1:15" x14ac:dyDescent="0.25">
      <c r="A1462" s="6" t="s">
        <v>14</v>
      </c>
      <c r="B1462" s="6" t="s">
        <v>511</v>
      </c>
      <c r="C1462" s="7">
        <v>34989</v>
      </c>
      <c r="D1462" s="6" t="s">
        <v>39</v>
      </c>
      <c r="E1462" s="6" t="s">
        <v>512</v>
      </c>
      <c r="F1462" s="6" t="s">
        <v>512</v>
      </c>
      <c r="G1462" s="6" t="s">
        <v>89</v>
      </c>
      <c r="H1462" s="6" t="s">
        <v>19</v>
      </c>
      <c r="I1462" s="6" t="s">
        <v>767</v>
      </c>
      <c r="J1462" s="6" t="s">
        <v>767</v>
      </c>
      <c r="K1462" s="7">
        <v>6111469</v>
      </c>
      <c r="L1462" s="7">
        <v>249841</v>
      </c>
      <c r="M1462" s="7">
        <v>19</v>
      </c>
      <c r="N1462" s="7">
        <v>1</v>
      </c>
      <c r="O1462" s="7">
        <v>4.3</v>
      </c>
    </row>
    <row r="1463" spans="1:15" x14ac:dyDescent="0.25">
      <c r="A1463" s="6" t="s">
        <v>14</v>
      </c>
      <c r="B1463" s="6" t="s">
        <v>511</v>
      </c>
      <c r="C1463" s="7">
        <v>34990</v>
      </c>
      <c r="D1463" s="6" t="s">
        <v>39</v>
      </c>
      <c r="E1463" s="6" t="s">
        <v>512</v>
      </c>
      <c r="F1463" s="6" t="s">
        <v>512</v>
      </c>
      <c r="G1463" s="6" t="s">
        <v>89</v>
      </c>
      <c r="H1463" s="6" t="s">
        <v>19</v>
      </c>
      <c r="I1463" s="6" t="s">
        <v>767</v>
      </c>
      <c r="J1463" s="6" t="s">
        <v>767</v>
      </c>
      <c r="K1463" s="7">
        <v>6111469</v>
      </c>
      <c r="L1463" s="7">
        <v>249841</v>
      </c>
      <c r="M1463" s="7">
        <v>19</v>
      </c>
      <c r="N1463" s="7">
        <v>1</v>
      </c>
      <c r="O1463" s="7">
        <v>0.8</v>
      </c>
    </row>
    <row r="1464" spans="1:15" x14ac:dyDescent="0.25">
      <c r="A1464" s="6" t="s">
        <v>14</v>
      </c>
      <c r="B1464" s="6" t="s">
        <v>511</v>
      </c>
      <c r="C1464" s="7">
        <v>35016</v>
      </c>
      <c r="D1464" s="6" t="s">
        <v>39</v>
      </c>
      <c r="E1464" s="6" t="s">
        <v>512</v>
      </c>
      <c r="F1464" s="6" t="s">
        <v>512</v>
      </c>
      <c r="G1464" s="6" t="s">
        <v>89</v>
      </c>
      <c r="H1464" s="6" t="s">
        <v>19</v>
      </c>
      <c r="I1464" s="6" t="s">
        <v>767</v>
      </c>
      <c r="J1464" s="6" t="s">
        <v>767</v>
      </c>
      <c r="K1464" s="7">
        <v>6111469</v>
      </c>
      <c r="L1464" s="7">
        <v>249841</v>
      </c>
      <c r="M1464" s="7">
        <v>19</v>
      </c>
      <c r="N1464" s="7">
        <v>1</v>
      </c>
      <c r="O1464" s="7">
        <v>6</v>
      </c>
    </row>
    <row r="1465" spans="1:15" x14ac:dyDescent="0.25">
      <c r="A1465" s="6" t="s">
        <v>22</v>
      </c>
      <c r="B1465" s="6" t="s">
        <v>511</v>
      </c>
      <c r="C1465" s="7">
        <v>35282</v>
      </c>
      <c r="D1465" s="6" t="s">
        <v>24</v>
      </c>
      <c r="E1465" s="6" t="s">
        <v>38</v>
      </c>
      <c r="F1465" s="6" t="s">
        <v>38</v>
      </c>
      <c r="G1465" s="6" t="s">
        <v>50</v>
      </c>
      <c r="H1465" s="6" t="s">
        <v>765</v>
      </c>
      <c r="I1465" s="6" t="s">
        <v>767</v>
      </c>
      <c r="J1465" s="6" t="s">
        <v>767</v>
      </c>
      <c r="K1465" s="7">
        <v>6272728</v>
      </c>
      <c r="L1465" s="7">
        <v>316980</v>
      </c>
      <c r="M1465" s="7">
        <v>19</v>
      </c>
      <c r="N1465" s="7">
        <v>1</v>
      </c>
      <c r="O1465" s="7">
        <v>0.2</v>
      </c>
    </row>
    <row r="1466" spans="1:15" x14ac:dyDescent="0.25">
      <c r="A1466" s="6" t="s">
        <v>22</v>
      </c>
      <c r="B1466" s="6" t="s">
        <v>522</v>
      </c>
      <c r="C1466" s="7">
        <v>29774</v>
      </c>
      <c r="D1466" s="6" t="s">
        <v>297</v>
      </c>
      <c r="E1466" s="6" t="s">
        <v>298</v>
      </c>
      <c r="F1466" s="6" t="s">
        <v>523</v>
      </c>
      <c r="G1466" s="6" t="s">
        <v>32</v>
      </c>
      <c r="H1466" s="6" t="s">
        <v>765</v>
      </c>
      <c r="I1466" s="6" t="s">
        <v>767</v>
      </c>
      <c r="J1466" s="6" t="s">
        <v>767</v>
      </c>
      <c r="K1466" s="7">
        <v>7950226</v>
      </c>
      <c r="L1466" s="7">
        <v>378674</v>
      </c>
      <c r="M1466" s="7">
        <v>19</v>
      </c>
      <c r="N1466" s="7">
        <v>1</v>
      </c>
      <c r="O1466" s="7">
        <v>0.03</v>
      </c>
    </row>
    <row r="1467" spans="1:15" x14ac:dyDescent="0.25">
      <c r="A1467" s="6" t="s">
        <v>22</v>
      </c>
      <c r="B1467" s="6" t="s">
        <v>522</v>
      </c>
      <c r="C1467" s="7">
        <v>30067</v>
      </c>
      <c r="D1467" s="6" t="s">
        <v>24</v>
      </c>
      <c r="E1467" s="6" t="s">
        <v>96</v>
      </c>
      <c r="F1467" s="6" t="s">
        <v>96</v>
      </c>
      <c r="G1467" s="6" t="s">
        <v>32</v>
      </c>
      <c r="H1467" s="6" t="s">
        <v>765</v>
      </c>
      <c r="I1467" s="6" t="s">
        <v>767</v>
      </c>
      <c r="J1467" s="6" t="s">
        <v>767</v>
      </c>
      <c r="K1467" s="7">
        <v>6254768</v>
      </c>
      <c r="L1467" s="7">
        <v>339952</v>
      </c>
      <c r="M1467" s="7">
        <v>19</v>
      </c>
      <c r="N1467" s="7">
        <v>1</v>
      </c>
      <c r="O1467" s="7">
        <v>0.3</v>
      </c>
    </row>
    <row r="1468" spans="1:15" x14ac:dyDescent="0.25">
      <c r="A1468" s="6" t="s">
        <v>22</v>
      </c>
      <c r="B1468" s="6" t="s">
        <v>522</v>
      </c>
      <c r="C1468" s="7">
        <v>30101</v>
      </c>
      <c r="D1468" s="6" t="s">
        <v>297</v>
      </c>
      <c r="E1468" s="6" t="s">
        <v>298</v>
      </c>
      <c r="F1468" s="6" t="s">
        <v>523</v>
      </c>
      <c r="G1468" s="6" t="s">
        <v>32</v>
      </c>
      <c r="H1468" s="6" t="s">
        <v>765</v>
      </c>
      <c r="I1468" s="6" t="s">
        <v>767</v>
      </c>
      <c r="J1468" s="6" t="s">
        <v>767</v>
      </c>
      <c r="K1468" s="7">
        <v>7952707</v>
      </c>
      <c r="L1468" s="7">
        <v>371150</v>
      </c>
      <c r="M1468" s="7">
        <v>19</v>
      </c>
      <c r="N1468" s="7">
        <v>1</v>
      </c>
      <c r="O1468" s="7">
        <v>0.01</v>
      </c>
    </row>
    <row r="1469" spans="1:15" x14ac:dyDescent="0.25">
      <c r="A1469" s="6" t="s">
        <v>28</v>
      </c>
      <c r="B1469" s="6" t="s">
        <v>522</v>
      </c>
      <c r="C1469" s="7">
        <v>30109</v>
      </c>
      <c r="D1469" s="6" t="s">
        <v>98</v>
      </c>
      <c r="E1469" s="6" t="s">
        <v>99</v>
      </c>
      <c r="F1469" s="6" t="s">
        <v>524</v>
      </c>
      <c r="G1469" s="6" t="s">
        <v>50</v>
      </c>
      <c r="H1469" s="6" t="s">
        <v>33</v>
      </c>
      <c r="I1469" s="6" t="s">
        <v>767</v>
      </c>
      <c r="J1469" s="6" t="s">
        <v>764</v>
      </c>
      <c r="K1469" s="7">
        <v>5853696</v>
      </c>
      <c r="L1469" s="7">
        <v>720791</v>
      </c>
      <c r="M1469" s="7">
        <v>18</v>
      </c>
      <c r="N1469" s="7">
        <v>1</v>
      </c>
      <c r="O1469" s="7">
        <v>22</v>
      </c>
    </row>
    <row r="1470" spans="1:15" x14ac:dyDescent="0.25">
      <c r="A1470" s="6" t="s">
        <v>28</v>
      </c>
      <c r="B1470" s="6" t="s">
        <v>522</v>
      </c>
      <c r="C1470" s="7">
        <v>30119</v>
      </c>
      <c r="D1470" s="6" t="s">
        <v>98</v>
      </c>
      <c r="E1470" s="6" t="s">
        <v>99</v>
      </c>
      <c r="F1470" s="6" t="s">
        <v>524</v>
      </c>
      <c r="G1470" s="6" t="s">
        <v>50</v>
      </c>
      <c r="H1470" s="6" t="s">
        <v>33</v>
      </c>
      <c r="I1470" s="6" t="s">
        <v>767</v>
      </c>
      <c r="J1470" s="6" t="s">
        <v>764</v>
      </c>
      <c r="K1470" s="7">
        <v>5849665</v>
      </c>
      <c r="L1470" s="7">
        <v>720387</v>
      </c>
      <c r="M1470" s="7">
        <v>18</v>
      </c>
      <c r="N1470" s="7">
        <v>2</v>
      </c>
      <c r="O1470" s="7">
        <v>14</v>
      </c>
    </row>
    <row r="1471" spans="1:15" x14ac:dyDescent="0.25">
      <c r="A1471" s="6" t="s">
        <v>28</v>
      </c>
      <c r="B1471" s="6" t="s">
        <v>522</v>
      </c>
      <c r="C1471" s="7">
        <v>30120</v>
      </c>
      <c r="D1471" s="6" t="s">
        <v>98</v>
      </c>
      <c r="E1471" s="6" t="s">
        <v>99</v>
      </c>
      <c r="F1471" s="6" t="s">
        <v>135</v>
      </c>
      <c r="G1471" s="6" t="s">
        <v>50</v>
      </c>
      <c r="H1471" s="6" t="s">
        <v>33</v>
      </c>
      <c r="I1471" s="6" t="s">
        <v>767</v>
      </c>
      <c r="J1471" s="6" t="s">
        <v>764</v>
      </c>
      <c r="K1471" s="7">
        <v>5873345</v>
      </c>
      <c r="L1471" s="7">
        <v>732655</v>
      </c>
      <c r="M1471" s="7">
        <v>18</v>
      </c>
      <c r="N1471" s="7">
        <v>1</v>
      </c>
      <c r="O1471" s="7">
        <v>20</v>
      </c>
    </row>
    <row r="1472" spans="1:15" x14ac:dyDescent="0.25">
      <c r="A1472" s="6" t="s">
        <v>28</v>
      </c>
      <c r="B1472" s="6" t="s">
        <v>522</v>
      </c>
      <c r="C1472" s="7">
        <v>30122</v>
      </c>
      <c r="D1472" s="6" t="s">
        <v>98</v>
      </c>
      <c r="E1472" s="6" t="s">
        <v>99</v>
      </c>
      <c r="F1472" s="6" t="s">
        <v>99</v>
      </c>
      <c r="G1472" s="6" t="s">
        <v>50</v>
      </c>
      <c r="H1472" s="6" t="s">
        <v>33</v>
      </c>
      <c r="I1472" s="6" t="s">
        <v>767</v>
      </c>
      <c r="J1472" s="6" t="s">
        <v>764</v>
      </c>
      <c r="K1472" s="7">
        <v>5850653</v>
      </c>
      <c r="L1472" s="7">
        <v>723210</v>
      </c>
      <c r="M1472" s="7">
        <v>18</v>
      </c>
      <c r="N1472" s="7">
        <v>3</v>
      </c>
      <c r="O1472" s="7">
        <v>27.5</v>
      </c>
    </row>
    <row r="1473" spans="1:15" x14ac:dyDescent="0.25">
      <c r="A1473" s="6" t="s">
        <v>28</v>
      </c>
      <c r="B1473" s="6" t="s">
        <v>522</v>
      </c>
      <c r="C1473" s="7">
        <v>30222</v>
      </c>
      <c r="D1473" s="6" t="s">
        <v>98</v>
      </c>
      <c r="E1473" s="6" t="s">
        <v>525</v>
      </c>
      <c r="F1473" s="6" t="s">
        <v>525</v>
      </c>
      <c r="G1473" s="6" t="s">
        <v>50</v>
      </c>
      <c r="H1473" s="6" t="s">
        <v>33</v>
      </c>
      <c r="I1473" s="6" t="s">
        <v>767</v>
      </c>
      <c r="J1473" s="6" t="s">
        <v>764</v>
      </c>
      <c r="K1473" s="7">
        <v>5831246</v>
      </c>
      <c r="L1473" s="7">
        <v>751926</v>
      </c>
      <c r="M1473" s="7">
        <v>18</v>
      </c>
      <c r="N1473" s="7">
        <v>2</v>
      </c>
      <c r="O1473" s="7">
        <v>45</v>
      </c>
    </row>
    <row r="1474" spans="1:15" x14ac:dyDescent="0.25">
      <c r="A1474" s="6" t="s">
        <v>14</v>
      </c>
      <c r="B1474" s="6" t="s">
        <v>522</v>
      </c>
      <c r="C1474" s="7">
        <v>30224</v>
      </c>
      <c r="D1474" s="6" t="s">
        <v>98</v>
      </c>
      <c r="E1474" s="6" t="s">
        <v>525</v>
      </c>
      <c r="F1474" s="6" t="s">
        <v>525</v>
      </c>
      <c r="G1474" s="6" t="s">
        <v>50</v>
      </c>
      <c r="H1474" s="6" t="s">
        <v>33</v>
      </c>
      <c r="I1474" s="6" t="s">
        <v>767</v>
      </c>
      <c r="J1474" s="6" t="s">
        <v>764</v>
      </c>
      <c r="K1474" s="7">
        <v>5830908</v>
      </c>
      <c r="L1474" s="7">
        <v>749501</v>
      </c>
      <c r="M1474" s="7">
        <v>18</v>
      </c>
      <c r="N1474" s="7">
        <v>1</v>
      </c>
      <c r="O1474" s="7">
        <v>1.8</v>
      </c>
    </row>
    <row r="1475" spans="1:15" x14ac:dyDescent="0.25">
      <c r="A1475" s="6" t="s">
        <v>14</v>
      </c>
      <c r="B1475" s="6" t="s">
        <v>522</v>
      </c>
      <c r="C1475" s="7">
        <v>30225</v>
      </c>
      <c r="D1475" s="6" t="s">
        <v>98</v>
      </c>
      <c r="E1475" s="6" t="s">
        <v>525</v>
      </c>
      <c r="F1475" s="6" t="s">
        <v>525</v>
      </c>
      <c r="G1475" s="6" t="s">
        <v>50</v>
      </c>
      <c r="H1475" s="6" t="s">
        <v>33</v>
      </c>
      <c r="I1475" s="6" t="s">
        <v>767</v>
      </c>
      <c r="J1475" s="6" t="s">
        <v>764</v>
      </c>
      <c r="K1475" s="7">
        <v>5828963</v>
      </c>
      <c r="L1475" s="7">
        <v>751822</v>
      </c>
      <c r="M1475" s="7">
        <v>18</v>
      </c>
      <c r="N1475" s="7">
        <v>1</v>
      </c>
      <c r="O1475" s="7">
        <v>1.8</v>
      </c>
    </row>
    <row r="1476" spans="1:15" x14ac:dyDescent="0.25">
      <c r="A1476" s="6" t="s">
        <v>14</v>
      </c>
      <c r="B1476" s="6" t="s">
        <v>522</v>
      </c>
      <c r="C1476" s="7">
        <v>30226</v>
      </c>
      <c r="D1476" s="6" t="s">
        <v>98</v>
      </c>
      <c r="E1476" s="6" t="s">
        <v>99</v>
      </c>
      <c r="F1476" s="6" t="s">
        <v>524</v>
      </c>
      <c r="G1476" s="6" t="s">
        <v>50</v>
      </c>
      <c r="H1476" s="6" t="s">
        <v>33</v>
      </c>
      <c r="I1476" s="6" t="s">
        <v>767</v>
      </c>
      <c r="J1476" s="6" t="s">
        <v>764</v>
      </c>
      <c r="K1476" s="7">
        <v>5850945</v>
      </c>
      <c r="L1476" s="7">
        <v>719062</v>
      </c>
      <c r="M1476" s="7">
        <v>18</v>
      </c>
      <c r="N1476" s="7">
        <v>1</v>
      </c>
      <c r="O1476" s="7">
        <v>11</v>
      </c>
    </row>
    <row r="1477" spans="1:15" x14ac:dyDescent="0.25">
      <c r="A1477" s="6" t="s">
        <v>14</v>
      </c>
      <c r="B1477" s="6" t="s">
        <v>522</v>
      </c>
      <c r="C1477" s="7">
        <v>30228</v>
      </c>
      <c r="D1477" s="6" t="s">
        <v>98</v>
      </c>
      <c r="E1477" s="6" t="s">
        <v>99</v>
      </c>
      <c r="F1477" s="6" t="s">
        <v>234</v>
      </c>
      <c r="G1477" s="6" t="s">
        <v>50</v>
      </c>
      <c r="H1477" s="6" t="s">
        <v>33</v>
      </c>
      <c r="I1477" s="6" t="s">
        <v>767</v>
      </c>
      <c r="J1477" s="6" t="s">
        <v>764</v>
      </c>
      <c r="K1477" s="7">
        <v>5847690</v>
      </c>
      <c r="L1477" s="7">
        <v>747262</v>
      </c>
      <c r="M1477" s="7">
        <v>18</v>
      </c>
      <c r="N1477" s="7">
        <v>1</v>
      </c>
      <c r="O1477" s="7">
        <v>1.8</v>
      </c>
    </row>
    <row r="1478" spans="1:15" x14ac:dyDescent="0.25">
      <c r="A1478" s="6" t="s">
        <v>28</v>
      </c>
      <c r="B1478" s="6" t="s">
        <v>522</v>
      </c>
      <c r="C1478" s="7">
        <v>30233</v>
      </c>
      <c r="D1478" s="6" t="s">
        <v>133</v>
      </c>
      <c r="E1478" s="6" t="s">
        <v>249</v>
      </c>
      <c r="F1478" s="6" t="s">
        <v>526</v>
      </c>
      <c r="G1478" s="6" t="s">
        <v>50</v>
      </c>
      <c r="H1478" s="6" t="s">
        <v>33</v>
      </c>
      <c r="I1478" s="6" t="s">
        <v>767</v>
      </c>
      <c r="J1478" s="6" t="s">
        <v>764</v>
      </c>
      <c r="K1478" s="7">
        <v>5699519</v>
      </c>
      <c r="L1478" s="7">
        <v>730615</v>
      </c>
      <c r="M1478" s="7">
        <v>18</v>
      </c>
      <c r="N1478" s="7">
        <v>1</v>
      </c>
      <c r="O1478" s="7">
        <v>18</v>
      </c>
    </row>
    <row r="1479" spans="1:15" x14ac:dyDescent="0.25">
      <c r="A1479" s="6" t="s">
        <v>22</v>
      </c>
      <c r="B1479" s="6" t="s">
        <v>522</v>
      </c>
      <c r="C1479" s="7">
        <v>30234</v>
      </c>
      <c r="D1479" s="6" t="s">
        <v>24</v>
      </c>
      <c r="E1479" s="6" t="s">
        <v>96</v>
      </c>
      <c r="F1479" s="6" t="s">
        <v>96</v>
      </c>
      <c r="G1479" s="6" t="s">
        <v>32</v>
      </c>
      <c r="H1479" s="6" t="s">
        <v>765</v>
      </c>
      <c r="I1479" s="6" t="s">
        <v>767</v>
      </c>
      <c r="J1479" s="6" t="s">
        <v>767</v>
      </c>
      <c r="K1479" s="7">
        <v>6256144</v>
      </c>
      <c r="L1479" s="7">
        <v>338718</v>
      </c>
      <c r="M1479" s="7">
        <v>19</v>
      </c>
      <c r="N1479" s="7">
        <v>1</v>
      </c>
      <c r="O1479" s="7">
        <v>0.1</v>
      </c>
    </row>
    <row r="1480" spans="1:15" x14ac:dyDescent="0.25">
      <c r="A1480" s="6" t="s">
        <v>28</v>
      </c>
      <c r="B1480" s="6" t="s">
        <v>522</v>
      </c>
      <c r="C1480" s="7">
        <v>30235</v>
      </c>
      <c r="D1480" s="6" t="s">
        <v>133</v>
      </c>
      <c r="E1480" s="6" t="s">
        <v>270</v>
      </c>
      <c r="F1480" s="6" t="s">
        <v>270</v>
      </c>
      <c r="G1480" s="6" t="s">
        <v>50</v>
      </c>
      <c r="H1480" s="6" t="s">
        <v>33</v>
      </c>
      <c r="I1480" s="6" t="s">
        <v>767</v>
      </c>
      <c r="J1480" s="6" t="s">
        <v>764</v>
      </c>
      <c r="K1480" s="7">
        <v>5713162</v>
      </c>
      <c r="L1480" s="7">
        <v>676175</v>
      </c>
      <c r="M1480" s="7">
        <v>18</v>
      </c>
      <c r="N1480" s="7">
        <v>1</v>
      </c>
      <c r="O1480" s="7">
        <v>12</v>
      </c>
    </row>
    <row r="1481" spans="1:15" x14ac:dyDescent="0.25">
      <c r="A1481" s="6" t="s">
        <v>14</v>
      </c>
      <c r="B1481" s="6" t="s">
        <v>522</v>
      </c>
      <c r="C1481" s="7">
        <v>30236</v>
      </c>
      <c r="D1481" s="6" t="s">
        <v>42</v>
      </c>
      <c r="E1481" s="6" t="s">
        <v>51</v>
      </c>
      <c r="F1481" s="6" t="s">
        <v>51</v>
      </c>
      <c r="G1481" s="6" t="s">
        <v>32</v>
      </c>
      <c r="H1481" s="6" t="s">
        <v>33</v>
      </c>
      <c r="I1481" s="6" t="s">
        <v>767</v>
      </c>
      <c r="J1481" s="6" t="s">
        <v>767</v>
      </c>
      <c r="K1481" s="7">
        <v>6152758</v>
      </c>
      <c r="L1481" s="7">
        <v>313988</v>
      </c>
      <c r="M1481" s="7">
        <v>19</v>
      </c>
      <c r="N1481" s="7">
        <v>1</v>
      </c>
      <c r="O1481" s="7">
        <v>31</v>
      </c>
    </row>
    <row r="1482" spans="1:15" x14ac:dyDescent="0.25">
      <c r="A1482" s="6" t="s">
        <v>14</v>
      </c>
      <c r="B1482" s="6" t="s">
        <v>522</v>
      </c>
      <c r="C1482" s="7">
        <v>30238</v>
      </c>
      <c r="D1482" s="6" t="s">
        <v>42</v>
      </c>
      <c r="E1482" s="6" t="s">
        <v>196</v>
      </c>
      <c r="F1482" s="6" t="s">
        <v>289</v>
      </c>
      <c r="G1482" s="6" t="s">
        <v>32</v>
      </c>
      <c r="H1482" s="6" t="s">
        <v>33</v>
      </c>
      <c r="I1482" s="6" t="s">
        <v>767</v>
      </c>
      <c r="J1482" s="6" t="s">
        <v>767</v>
      </c>
      <c r="K1482" s="7">
        <v>6237446</v>
      </c>
      <c r="L1482" s="7">
        <v>349625</v>
      </c>
      <c r="M1482" s="7">
        <v>19</v>
      </c>
      <c r="N1482" s="7">
        <v>2</v>
      </c>
      <c r="O1482" s="7">
        <v>22</v>
      </c>
    </row>
    <row r="1483" spans="1:15" x14ac:dyDescent="0.25">
      <c r="A1483" s="6" t="s">
        <v>28</v>
      </c>
      <c r="B1483" s="6" t="s">
        <v>522</v>
      </c>
      <c r="C1483" s="7">
        <v>30239</v>
      </c>
      <c r="D1483" s="6" t="s">
        <v>42</v>
      </c>
      <c r="E1483" s="6" t="s">
        <v>51</v>
      </c>
      <c r="F1483" s="6" t="s">
        <v>51</v>
      </c>
      <c r="G1483" s="6" t="s">
        <v>32</v>
      </c>
      <c r="H1483" s="6" t="s">
        <v>33</v>
      </c>
      <c r="I1483" s="6" t="s">
        <v>764</v>
      </c>
      <c r="J1483" s="6" t="s">
        <v>767</v>
      </c>
      <c r="K1483" s="7">
        <v>6168927</v>
      </c>
      <c r="L1483" s="7">
        <v>282324</v>
      </c>
      <c r="M1483" s="7">
        <v>19</v>
      </c>
      <c r="N1483" s="7">
        <v>1</v>
      </c>
      <c r="O1483" s="7">
        <v>14.1</v>
      </c>
    </row>
    <row r="1484" spans="1:15" x14ac:dyDescent="0.25">
      <c r="A1484" s="6" t="s">
        <v>28</v>
      </c>
      <c r="B1484" s="6" t="s">
        <v>522</v>
      </c>
      <c r="C1484" s="7">
        <v>30242</v>
      </c>
      <c r="D1484" s="6" t="s">
        <v>133</v>
      </c>
      <c r="E1484" s="6" t="s">
        <v>270</v>
      </c>
      <c r="F1484" s="6" t="s">
        <v>270</v>
      </c>
      <c r="G1484" s="6" t="s">
        <v>50</v>
      </c>
      <c r="H1484" s="6" t="s">
        <v>33</v>
      </c>
      <c r="I1484" s="6" t="s">
        <v>767</v>
      </c>
      <c r="J1484" s="6" t="s">
        <v>764</v>
      </c>
      <c r="K1484" s="7">
        <v>5712088</v>
      </c>
      <c r="L1484" s="7">
        <v>677900</v>
      </c>
      <c r="M1484" s="7">
        <v>18</v>
      </c>
      <c r="N1484" s="7">
        <v>1</v>
      </c>
      <c r="O1484" s="7">
        <v>17</v>
      </c>
    </row>
    <row r="1485" spans="1:15" x14ac:dyDescent="0.25">
      <c r="A1485" s="6" t="s">
        <v>28</v>
      </c>
      <c r="B1485" s="6" t="s">
        <v>522</v>
      </c>
      <c r="C1485" s="7">
        <v>30243</v>
      </c>
      <c r="D1485" s="6" t="s">
        <v>133</v>
      </c>
      <c r="E1485" s="6" t="s">
        <v>270</v>
      </c>
      <c r="F1485" s="6" t="s">
        <v>270</v>
      </c>
      <c r="G1485" s="6" t="s">
        <v>50</v>
      </c>
      <c r="H1485" s="6" t="s">
        <v>33</v>
      </c>
      <c r="I1485" s="6" t="s">
        <v>767</v>
      </c>
      <c r="J1485" s="6" t="s">
        <v>764</v>
      </c>
      <c r="K1485" s="7">
        <v>5711515</v>
      </c>
      <c r="L1485" s="7">
        <v>677703</v>
      </c>
      <c r="M1485" s="7">
        <v>18</v>
      </c>
      <c r="N1485" s="7">
        <v>3</v>
      </c>
      <c r="O1485" s="7">
        <v>23</v>
      </c>
    </row>
    <row r="1486" spans="1:15" x14ac:dyDescent="0.25">
      <c r="A1486" s="6" t="s">
        <v>14</v>
      </c>
      <c r="B1486" s="6" t="s">
        <v>522</v>
      </c>
      <c r="C1486" s="7">
        <v>30244</v>
      </c>
      <c r="D1486" s="6" t="s">
        <v>42</v>
      </c>
      <c r="E1486" s="6" t="s">
        <v>167</v>
      </c>
      <c r="F1486" s="6" t="s">
        <v>167</v>
      </c>
      <c r="G1486" s="6" t="s">
        <v>32</v>
      </c>
      <c r="H1486" s="6" t="s">
        <v>33</v>
      </c>
      <c r="I1486" s="6" t="s">
        <v>767</v>
      </c>
      <c r="J1486" s="6" t="s">
        <v>767</v>
      </c>
      <c r="K1486" s="7">
        <v>6228249</v>
      </c>
      <c r="L1486" s="7">
        <v>342464</v>
      </c>
      <c r="M1486" s="7">
        <v>19</v>
      </c>
      <c r="N1486" s="7">
        <v>1</v>
      </c>
      <c r="O1486" s="7">
        <v>50</v>
      </c>
    </row>
    <row r="1487" spans="1:15" x14ac:dyDescent="0.25">
      <c r="A1487" s="6" t="s">
        <v>14</v>
      </c>
      <c r="B1487" s="6" t="s">
        <v>522</v>
      </c>
      <c r="C1487" s="7">
        <v>30246</v>
      </c>
      <c r="D1487" s="6" t="s">
        <v>42</v>
      </c>
      <c r="E1487" s="6" t="s">
        <v>196</v>
      </c>
      <c r="F1487" s="6" t="s">
        <v>527</v>
      </c>
      <c r="G1487" s="6" t="s">
        <v>32</v>
      </c>
      <c r="H1487" s="6" t="s">
        <v>33</v>
      </c>
      <c r="I1487" s="6" t="s">
        <v>767</v>
      </c>
      <c r="J1487" s="6" t="s">
        <v>764</v>
      </c>
      <c r="K1487" s="7">
        <v>6217494</v>
      </c>
      <c r="L1487" s="7">
        <v>331221</v>
      </c>
      <c r="M1487" s="7">
        <v>19</v>
      </c>
      <c r="N1487" s="7">
        <v>4</v>
      </c>
      <c r="O1487" s="7">
        <v>68.599999999999994</v>
      </c>
    </row>
    <row r="1488" spans="1:15" x14ac:dyDescent="0.25">
      <c r="A1488" s="6" t="s">
        <v>28</v>
      </c>
      <c r="B1488" s="6" t="s">
        <v>522</v>
      </c>
      <c r="C1488" s="7">
        <v>30250</v>
      </c>
      <c r="D1488" s="6" t="s">
        <v>42</v>
      </c>
      <c r="E1488" s="6" t="s">
        <v>196</v>
      </c>
      <c r="F1488" s="6" t="s">
        <v>527</v>
      </c>
      <c r="G1488" s="6" t="s">
        <v>32</v>
      </c>
      <c r="H1488" s="6" t="s">
        <v>33</v>
      </c>
      <c r="I1488" s="6" t="s">
        <v>767</v>
      </c>
      <c r="J1488" s="6" t="s">
        <v>764</v>
      </c>
      <c r="K1488" s="7">
        <v>6217309</v>
      </c>
      <c r="L1488" s="7">
        <v>331870</v>
      </c>
      <c r="M1488" s="7">
        <v>19</v>
      </c>
      <c r="N1488" s="7">
        <v>1</v>
      </c>
      <c r="O1488" s="7">
        <v>1.2</v>
      </c>
    </row>
    <row r="1489" spans="1:15" x14ac:dyDescent="0.25">
      <c r="A1489" s="6" t="s">
        <v>28</v>
      </c>
      <c r="B1489" s="6" t="s">
        <v>522</v>
      </c>
      <c r="C1489" s="7">
        <v>30254</v>
      </c>
      <c r="D1489" s="6" t="s">
        <v>39</v>
      </c>
      <c r="E1489" s="6" t="s">
        <v>41</v>
      </c>
      <c r="F1489" s="6" t="s">
        <v>41</v>
      </c>
      <c r="G1489" s="6" t="s">
        <v>32</v>
      </c>
      <c r="H1489" s="6" t="s">
        <v>33</v>
      </c>
      <c r="I1489" s="6" t="s">
        <v>764</v>
      </c>
      <c r="J1489" s="6" t="s">
        <v>767</v>
      </c>
      <c r="K1489" s="7">
        <v>6117861</v>
      </c>
      <c r="L1489" s="7">
        <v>266748</v>
      </c>
      <c r="M1489" s="7">
        <v>19</v>
      </c>
      <c r="N1489" s="7">
        <v>2</v>
      </c>
      <c r="O1489" s="7">
        <v>9.1</v>
      </c>
    </row>
    <row r="1490" spans="1:15" x14ac:dyDescent="0.25">
      <c r="A1490" s="6" t="s">
        <v>28</v>
      </c>
      <c r="B1490" s="6" t="s">
        <v>522</v>
      </c>
      <c r="C1490" s="7">
        <v>30257</v>
      </c>
      <c r="D1490" s="6" t="s">
        <v>42</v>
      </c>
      <c r="E1490" s="6" t="s">
        <v>449</v>
      </c>
      <c r="F1490" s="6" t="s">
        <v>449</v>
      </c>
      <c r="G1490" s="6" t="s">
        <v>32</v>
      </c>
      <c r="H1490" s="6" t="s">
        <v>33</v>
      </c>
      <c r="I1490" s="6" t="s">
        <v>764</v>
      </c>
      <c r="J1490" s="6" t="s">
        <v>767</v>
      </c>
      <c r="K1490" s="7">
        <v>6169072</v>
      </c>
      <c r="L1490" s="7">
        <v>313379</v>
      </c>
      <c r="M1490" s="7">
        <v>19</v>
      </c>
      <c r="N1490" s="7">
        <v>1</v>
      </c>
      <c r="O1490" s="7">
        <v>5.5</v>
      </c>
    </row>
    <row r="1491" spans="1:15" x14ac:dyDescent="0.25">
      <c r="A1491" s="6" t="s">
        <v>28</v>
      </c>
      <c r="B1491" s="6" t="s">
        <v>522</v>
      </c>
      <c r="C1491" s="7">
        <v>30260</v>
      </c>
      <c r="D1491" s="6" t="s">
        <v>42</v>
      </c>
      <c r="E1491" s="6" t="s">
        <v>51</v>
      </c>
      <c r="F1491" s="6" t="s">
        <v>51</v>
      </c>
      <c r="G1491" s="6" t="s">
        <v>32</v>
      </c>
      <c r="H1491" s="6" t="s">
        <v>33</v>
      </c>
      <c r="I1491" s="6" t="s">
        <v>764</v>
      </c>
      <c r="J1491" s="6" t="s">
        <v>767</v>
      </c>
      <c r="K1491" s="7">
        <v>6144064</v>
      </c>
      <c r="L1491" s="7">
        <v>319216</v>
      </c>
      <c r="M1491" s="7">
        <v>19</v>
      </c>
      <c r="N1491" s="7">
        <v>1</v>
      </c>
      <c r="O1491" s="7">
        <v>14</v>
      </c>
    </row>
    <row r="1492" spans="1:15" x14ac:dyDescent="0.25">
      <c r="A1492" s="6" t="s">
        <v>14</v>
      </c>
      <c r="B1492" s="6" t="s">
        <v>522</v>
      </c>
      <c r="C1492" s="7">
        <v>30261</v>
      </c>
      <c r="D1492" s="6" t="s">
        <v>42</v>
      </c>
      <c r="E1492" s="6" t="s">
        <v>63</v>
      </c>
      <c r="F1492" s="6" t="s">
        <v>325</v>
      </c>
      <c r="G1492" s="6" t="s">
        <v>32</v>
      </c>
      <c r="H1492" s="6" t="s">
        <v>33</v>
      </c>
      <c r="I1492" s="6" t="s">
        <v>767</v>
      </c>
      <c r="J1492" s="6" t="s">
        <v>764</v>
      </c>
      <c r="K1492" s="7">
        <v>6165435</v>
      </c>
      <c r="L1492" s="7">
        <v>288371</v>
      </c>
      <c r="M1492" s="7">
        <v>19</v>
      </c>
      <c r="N1492" s="7">
        <v>1</v>
      </c>
      <c r="O1492" s="7">
        <v>21</v>
      </c>
    </row>
    <row r="1493" spans="1:15" x14ac:dyDescent="0.25">
      <c r="A1493" s="6" t="s">
        <v>14</v>
      </c>
      <c r="B1493" s="6" t="s">
        <v>522</v>
      </c>
      <c r="C1493" s="7">
        <v>30263</v>
      </c>
      <c r="D1493" s="6" t="s">
        <v>24</v>
      </c>
      <c r="E1493" s="6" t="s">
        <v>25</v>
      </c>
      <c r="F1493" s="6" t="s">
        <v>445</v>
      </c>
      <c r="G1493" s="6" t="s">
        <v>32</v>
      </c>
      <c r="H1493" s="6" t="s">
        <v>33</v>
      </c>
      <c r="I1493" s="6" t="s">
        <v>767</v>
      </c>
      <c r="J1493" s="6" t="s">
        <v>767</v>
      </c>
      <c r="K1493" s="7">
        <v>6259927</v>
      </c>
      <c r="L1493" s="7">
        <v>337109</v>
      </c>
      <c r="M1493" s="7">
        <v>19</v>
      </c>
      <c r="N1493" s="7">
        <v>1</v>
      </c>
      <c r="O1493" s="7">
        <v>0.41</v>
      </c>
    </row>
    <row r="1494" spans="1:15" x14ac:dyDescent="0.25">
      <c r="A1494" s="6" t="s">
        <v>14</v>
      </c>
      <c r="B1494" s="6" t="s">
        <v>522</v>
      </c>
      <c r="C1494" s="7">
        <v>30264</v>
      </c>
      <c r="D1494" s="6" t="s">
        <v>42</v>
      </c>
      <c r="E1494" s="6" t="s">
        <v>51</v>
      </c>
      <c r="F1494" s="6" t="s">
        <v>51</v>
      </c>
      <c r="G1494" s="6" t="s">
        <v>32</v>
      </c>
      <c r="H1494" s="6" t="s">
        <v>33</v>
      </c>
      <c r="I1494" s="6" t="s">
        <v>767</v>
      </c>
      <c r="J1494" s="6" t="s">
        <v>767</v>
      </c>
      <c r="K1494" s="7">
        <v>6153399</v>
      </c>
      <c r="L1494" s="7">
        <v>317254</v>
      </c>
      <c r="M1494" s="7">
        <v>19</v>
      </c>
      <c r="N1494" s="7">
        <v>4</v>
      </c>
      <c r="O1494" s="7">
        <v>30.5</v>
      </c>
    </row>
    <row r="1495" spans="1:15" x14ac:dyDescent="0.25">
      <c r="A1495" s="6" t="s">
        <v>14</v>
      </c>
      <c r="B1495" s="6" t="s">
        <v>522</v>
      </c>
      <c r="C1495" s="7">
        <v>30266</v>
      </c>
      <c r="D1495" s="6" t="s">
        <v>24</v>
      </c>
      <c r="E1495" s="6" t="s">
        <v>436</v>
      </c>
      <c r="F1495" s="6" t="s">
        <v>436</v>
      </c>
      <c r="G1495" s="6" t="s">
        <v>32</v>
      </c>
      <c r="H1495" s="6" t="s">
        <v>33</v>
      </c>
      <c r="I1495" s="6" t="s">
        <v>767</v>
      </c>
      <c r="J1495" s="6" t="s">
        <v>767</v>
      </c>
      <c r="K1495" s="7">
        <v>6275902</v>
      </c>
      <c r="L1495" s="7">
        <v>337334</v>
      </c>
      <c r="M1495" s="7">
        <v>19</v>
      </c>
      <c r="N1495" s="7">
        <v>1</v>
      </c>
      <c r="O1495" s="7">
        <v>0.24</v>
      </c>
    </row>
    <row r="1496" spans="1:15" x14ac:dyDescent="0.25">
      <c r="A1496" s="6" t="s">
        <v>14</v>
      </c>
      <c r="B1496" s="6" t="s">
        <v>522</v>
      </c>
      <c r="C1496" s="7">
        <v>30267</v>
      </c>
      <c r="D1496" s="6" t="s">
        <v>24</v>
      </c>
      <c r="E1496" s="6" t="s">
        <v>436</v>
      </c>
      <c r="F1496" s="6" t="s">
        <v>436</v>
      </c>
      <c r="G1496" s="6" t="s">
        <v>32</v>
      </c>
      <c r="H1496" s="6" t="s">
        <v>33</v>
      </c>
      <c r="I1496" s="6" t="s">
        <v>767</v>
      </c>
      <c r="J1496" s="6" t="s">
        <v>767</v>
      </c>
      <c r="K1496" s="7">
        <v>6275902</v>
      </c>
      <c r="L1496" s="7">
        <v>337334</v>
      </c>
      <c r="M1496" s="7">
        <v>19</v>
      </c>
      <c r="N1496" s="7">
        <v>1</v>
      </c>
      <c r="O1496" s="7">
        <v>0.24</v>
      </c>
    </row>
    <row r="1497" spans="1:15" x14ac:dyDescent="0.25">
      <c r="A1497" s="6" t="s">
        <v>14</v>
      </c>
      <c r="B1497" s="6" t="s">
        <v>522</v>
      </c>
      <c r="C1497" s="7">
        <v>30269</v>
      </c>
      <c r="D1497" s="6" t="s">
        <v>24</v>
      </c>
      <c r="E1497" s="6" t="s">
        <v>436</v>
      </c>
      <c r="F1497" s="6" t="s">
        <v>436</v>
      </c>
      <c r="G1497" s="6" t="s">
        <v>32</v>
      </c>
      <c r="H1497" s="6" t="s">
        <v>33</v>
      </c>
      <c r="I1497" s="6" t="s">
        <v>767</v>
      </c>
      <c r="J1497" s="6" t="s">
        <v>767</v>
      </c>
      <c r="K1497" s="7">
        <v>6275902</v>
      </c>
      <c r="L1497" s="7">
        <v>337334</v>
      </c>
      <c r="M1497" s="7">
        <v>19</v>
      </c>
      <c r="N1497" s="7">
        <v>1</v>
      </c>
      <c r="O1497" s="7">
        <v>0.24</v>
      </c>
    </row>
    <row r="1498" spans="1:15" x14ac:dyDescent="0.25">
      <c r="A1498" s="6" t="s">
        <v>14</v>
      </c>
      <c r="B1498" s="6" t="s">
        <v>522</v>
      </c>
      <c r="C1498" s="7">
        <v>30270</v>
      </c>
      <c r="D1498" s="6" t="s">
        <v>24</v>
      </c>
      <c r="E1498" s="6" t="s">
        <v>25</v>
      </c>
      <c r="F1498" s="6" t="s">
        <v>528</v>
      </c>
      <c r="G1498" s="6" t="s">
        <v>32</v>
      </c>
      <c r="H1498" s="6" t="s">
        <v>33</v>
      </c>
      <c r="I1498" s="6" t="s">
        <v>767</v>
      </c>
      <c r="J1498" s="6" t="s">
        <v>767</v>
      </c>
      <c r="K1498" s="7">
        <v>6262774</v>
      </c>
      <c r="L1498" s="7">
        <v>336476</v>
      </c>
      <c r="M1498" s="7">
        <v>19</v>
      </c>
      <c r="N1498" s="7">
        <v>1</v>
      </c>
      <c r="O1498" s="7">
        <v>0.38</v>
      </c>
    </row>
    <row r="1499" spans="1:15" x14ac:dyDescent="0.25">
      <c r="A1499" s="6" t="s">
        <v>14</v>
      </c>
      <c r="B1499" s="6" t="s">
        <v>522</v>
      </c>
      <c r="C1499" s="7">
        <v>30272</v>
      </c>
      <c r="D1499" s="6" t="s">
        <v>24</v>
      </c>
      <c r="E1499" s="6" t="s">
        <v>25</v>
      </c>
      <c r="F1499" s="6" t="s">
        <v>528</v>
      </c>
      <c r="G1499" s="6" t="s">
        <v>32</v>
      </c>
      <c r="H1499" s="6" t="s">
        <v>33</v>
      </c>
      <c r="I1499" s="6" t="s">
        <v>767</v>
      </c>
      <c r="J1499" s="6" t="s">
        <v>767</v>
      </c>
      <c r="K1499" s="7">
        <v>6262703</v>
      </c>
      <c r="L1499" s="7">
        <v>336627</v>
      </c>
      <c r="M1499" s="7">
        <v>19</v>
      </c>
      <c r="N1499" s="7">
        <v>1</v>
      </c>
      <c r="O1499" s="7">
        <v>0.38</v>
      </c>
    </row>
    <row r="1500" spans="1:15" x14ac:dyDescent="0.25">
      <c r="A1500" s="6" t="s">
        <v>14</v>
      </c>
      <c r="B1500" s="6" t="s">
        <v>522</v>
      </c>
      <c r="C1500" s="7">
        <v>30274</v>
      </c>
      <c r="D1500" s="6" t="s">
        <v>24</v>
      </c>
      <c r="E1500" s="6" t="s">
        <v>436</v>
      </c>
      <c r="F1500" s="6" t="s">
        <v>436</v>
      </c>
      <c r="G1500" s="6" t="s">
        <v>32</v>
      </c>
      <c r="H1500" s="6" t="s">
        <v>33</v>
      </c>
      <c r="I1500" s="6" t="s">
        <v>767</v>
      </c>
      <c r="J1500" s="6" t="s">
        <v>767</v>
      </c>
      <c r="K1500" s="7">
        <v>6275902</v>
      </c>
      <c r="L1500" s="7">
        <v>337334</v>
      </c>
      <c r="M1500" s="7">
        <v>19</v>
      </c>
      <c r="N1500" s="7">
        <v>1</v>
      </c>
      <c r="O1500" s="7">
        <v>0.24</v>
      </c>
    </row>
    <row r="1501" spans="1:15" x14ac:dyDescent="0.25">
      <c r="A1501" s="6" t="s">
        <v>14</v>
      </c>
      <c r="B1501" s="6" t="s">
        <v>522</v>
      </c>
      <c r="C1501" s="7">
        <v>30277</v>
      </c>
      <c r="D1501" s="6" t="s">
        <v>24</v>
      </c>
      <c r="E1501" s="6" t="s">
        <v>56</v>
      </c>
      <c r="F1501" s="6" t="s">
        <v>529</v>
      </c>
      <c r="G1501" s="6" t="s">
        <v>32</v>
      </c>
      <c r="H1501" s="6" t="s">
        <v>33</v>
      </c>
      <c r="I1501" s="6" t="s">
        <v>767</v>
      </c>
      <c r="J1501" s="6" t="s">
        <v>767</v>
      </c>
      <c r="K1501" s="7">
        <v>6277415</v>
      </c>
      <c r="L1501" s="7">
        <v>339280</v>
      </c>
      <c r="M1501" s="7">
        <v>19</v>
      </c>
      <c r="N1501" s="7">
        <v>1</v>
      </c>
      <c r="O1501" s="7">
        <v>0.41</v>
      </c>
    </row>
    <row r="1502" spans="1:15" x14ac:dyDescent="0.25">
      <c r="A1502" s="6" t="s">
        <v>14</v>
      </c>
      <c r="B1502" s="6" t="s">
        <v>522</v>
      </c>
      <c r="C1502" s="7">
        <v>30280</v>
      </c>
      <c r="D1502" s="6" t="s">
        <v>24</v>
      </c>
      <c r="E1502" s="6" t="s">
        <v>96</v>
      </c>
      <c r="F1502" s="6" t="s">
        <v>96</v>
      </c>
      <c r="G1502" s="6" t="s">
        <v>32</v>
      </c>
      <c r="H1502" s="6" t="s">
        <v>33</v>
      </c>
      <c r="I1502" s="6" t="s">
        <v>767</v>
      </c>
      <c r="J1502" s="6" t="s">
        <v>767</v>
      </c>
      <c r="K1502" s="7">
        <v>6259202</v>
      </c>
      <c r="L1502" s="7">
        <v>342794</v>
      </c>
      <c r="M1502" s="7">
        <v>19</v>
      </c>
      <c r="N1502" s="7">
        <v>1</v>
      </c>
      <c r="O1502" s="7">
        <v>0.38</v>
      </c>
    </row>
    <row r="1503" spans="1:15" x14ac:dyDescent="0.25">
      <c r="A1503" s="6" t="s">
        <v>14</v>
      </c>
      <c r="B1503" s="6" t="s">
        <v>522</v>
      </c>
      <c r="C1503" s="7">
        <v>30282</v>
      </c>
      <c r="D1503" s="6" t="s">
        <v>42</v>
      </c>
      <c r="E1503" s="6" t="s">
        <v>66</v>
      </c>
      <c r="F1503" s="6" t="s">
        <v>66</v>
      </c>
      <c r="G1503" s="6" t="s">
        <v>32</v>
      </c>
      <c r="H1503" s="6" t="s">
        <v>33</v>
      </c>
      <c r="I1503" s="6" t="s">
        <v>767</v>
      </c>
      <c r="J1503" s="6" t="s">
        <v>767</v>
      </c>
      <c r="K1503" s="7">
        <v>6232487</v>
      </c>
      <c r="L1503" s="7">
        <v>344828</v>
      </c>
      <c r="M1503" s="7">
        <v>19</v>
      </c>
      <c r="N1503" s="7">
        <v>1</v>
      </c>
      <c r="O1503" s="7">
        <v>10</v>
      </c>
    </row>
    <row r="1504" spans="1:15" x14ac:dyDescent="0.25">
      <c r="A1504" s="6" t="s">
        <v>14</v>
      </c>
      <c r="B1504" s="6" t="s">
        <v>522</v>
      </c>
      <c r="C1504" s="7">
        <v>30285</v>
      </c>
      <c r="D1504" s="6" t="s">
        <v>42</v>
      </c>
      <c r="E1504" s="6" t="s">
        <v>310</v>
      </c>
      <c r="F1504" s="6" t="s">
        <v>310</v>
      </c>
      <c r="G1504" s="6" t="s">
        <v>32</v>
      </c>
      <c r="H1504" s="6" t="s">
        <v>33</v>
      </c>
      <c r="I1504" s="6" t="s">
        <v>767</v>
      </c>
      <c r="J1504" s="6" t="s">
        <v>767</v>
      </c>
      <c r="K1504" s="7">
        <v>6230975</v>
      </c>
      <c r="L1504" s="7">
        <v>344458</v>
      </c>
      <c r="M1504" s="7">
        <v>19</v>
      </c>
      <c r="N1504" s="7">
        <v>1</v>
      </c>
      <c r="O1504" s="7">
        <v>10</v>
      </c>
    </row>
    <row r="1505" spans="1:15" x14ac:dyDescent="0.25">
      <c r="A1505" s="6" t="s">
        <v>14</v>
      </c>
      <c r="B1505" s="6" t="s">
        <v>522</v>
      </c>
      <c r="C1505" s="7">
        <v>30286</v>
      </c>
      <c r="D1505" s="6" t="s">
        <v>24</v>
      </c>
      <c r="E1505" s="6" t="s">
        <v>25</v>
      </c>
      <c r="F1505" s="6" t="s">
        <v>445</v>
      </c>
      <c r="G1505" s="6" t="s">
        <v>32</v>
      </c>
      <c r="H1505" s="6" t="s">
        <v>33</v>
      </c>
      <c r="I1505" s="6" t="s">
        <v>767</v>
      </c>
      <c r="J1505" s="6" t="s">
        <v>767</v>
      </c>
      <c r="K1505" s="7">
        <v>6259138</v>
      </c>
      <c r="L1505" s="7">
        <v>336341</v>
      </c>
      <c r="M1505" s="7">
        <v>19</v>
      </c>
      <c r="N1505" s="7">
        <v>1</v>
      </c>
      <c r="O1505" s="7">
        <v>0.4</v>
      </c>
    </row>
    <row r="1506" spans="1:15" x14ac:dyDescent="0.25">
      <c r="A1506" s="6" t="s">
        <v>14</v>
      </c>
      <c r="B1506" s="6" t="s">
        <v>522</v>
      </c>
      <c r="C1506" s="7">
        <v>30287</v>
      </c>
      <c r="D1506" s="6" t="s">
        <v>24</v>
      </c>
      <c r="E1506" s="6" t="s">
        <v>56</v>
      </c>
      <c r="F1506" s="6" t="s">
        <v>418</v>
      </c>
      <c r="G1506" s="6" t="s">
        <v>32</v>
      </c>
      <c r="H1506" s="6" t="s">
        <v>33</v>
      </c>
      <c r="I1506" s="6" t="s">
        <v>767</v>
      </c>
      <c r="J1506" s="6" t="s">
        <v>767</v>
      </c>
      <c r="K1506" s="7">
        <v>6271439</v>
      </c>
      <c r="L1506" s="7">
        <v>336140</v>
      </c>
      <c r="M1506" s="7">
        <v>19</v>
      </c>
      <c r="N1506" s="7">
        <v>1</v>
      </c>
      <c r="O1506" s="7">
        <v>0.49</v>
      </c>
    </row>
    <row r="1507" spans="1:15" x14ac:dyDescent="0.25">
      <c r="A1507" s="6" t="s">
        <v>14</v>
      </c>
      <c r="B1507" s="6" t="s">
        <v>522</v>
      </c>
      <c r="C1507" s="7">
        <v>30291</v>
      </c>
      <c r="D1507" s="6" t="s">
        <v>24</v>
      </c>
      <c r="E1507" s="6" t="s">
        <v>31</v>
      </c>
      <c r="F1507" s="6" t="s">
        <v>530</v>
      </c>
      <c r="G1507" s="6" t="s">
        <v>32</v>
      </c>
      <c r="H1507" s="6" t="s">
        <v>33</v>
      </c>
      <c r="I1507" s="6" t="s">
        <v>767</v>
      </c>
      <c r="J1507" s="6" t="s">
        <v>767</v>
      </c>
      <c r="K1507" s="7">
        <v>6273186</v>
      </c>
      <c r="L1507" s="7">
        <v>303283</v>
      </c>
      <c r="M1507" s="7">
        <v>19</v>
      </c>
      <c r="N1507" s="7">
        <v>1</v>
      </c>
      <c r="O1507" s="7">
        <v>0.6</v>
      </c>
    </row>
    <row r="1508" spans="1:15" x14ac:dyDescent="0.25">
      <c r="A1508" s="6" t="s">
        <v>14</v>
      </c>
      <c r="B1508" s="6" t="s">
        <v>522</v>
      </c>
      <c r="C1508" s="7">
        <v>30292</v>
      </c>
      <c r="D1508" s="6" t="s">
        <v>39</v>
      </c>
      <c r="E1508" s="6" t="s">
        <v>41</v>
      </c>
      <c r="F1508" s="6" t="s">
        <v>41</v>
      </c>
      <c r="G1508" s="6" t="s">
        <v>32</v>
      </c>
      <c r="H1508" s="6" t="s">
        <v>33</v>
      </c>
      <c r="I1508" s="6" t="s">
        <v>767</v>
      </c>
      <c r="J1508" s="6" t="s">
        <v>764</v>
      </c>
      <c r="K1508" s="7">
        <v>6121589</v>
      </c>
      <c r="L1508" s="7">
        <v>293838</v>
      </c>
      <c r="M1508" s="7">
        <v>19</v>
      </c>
      <c r="N1508" s="7">
        <v>4</v>
      </c>
      <c r="O1508" s="7">
        <v>33</v>
      </c>
    </row>
    <row r="1509" spans="1:15" x14ac:dyDescent="0.25">
      <c r="A1509" s="6" t="s">
        <v>14</v>
      </c>
      <c r="B1509" s="6" t="s">
        <v>522</v>
      </c>
      <c r="C1509" s="7">
        <v>30295</v>
      </c>
      <c r="D1509" s="6" t="s">
        <v>24</v>
      </c>
      <c r="E1509" s="6" t="s">
        <v>31</v>
      </c>
      <c r="F1509" s="6" t="s">
        <v>531</v>
      </c>
      <c r="G1509" s="6" t="s">
        <v>32</v>
      </c>
      <c r="H1509" s="6" t="s">
        <v>33</v>
      </c>
      <c r="I1509" s="6" t="s">
        <v>767</v>
      </c>
      <c r="J1509" s="6" t="s">
        <v>767</v>
      </c>
      <c r="K1509" s="7">
        <v>6274385</v>
      </c>
      <c r="L1509" s="7">
        <v>284512</v>
      </c>
      <c r="M1509" s="7">
        <v>19</v>
      </c>
      <c r="N1509" s="7">
        <v>1</v>
      </c>
      <c r="O1509" s="7">
        <v>0.36</v>
      </c>
    </row>
    <row r="1510" spans="1:15" x14ac:dyDescent="0.25">
      <c r="A1510" s="6" t="s">
        <v>14</v>
      </c>
      <c r="B1510" s="6" t="s">
        <v>522</v>
      </c>
      <c r="C1510" s="7">
        <v>30297</v>
      </c>
      <c r="D1510" s="6" t="s">
        <v>24</v>
      </c>
      <c r="E1510" s="6" t="s">
        <v>436</v>
      </c>
      <c r="F1510" s="6" t="s">
        <v>532</v>
      </c>
      <c r="G1510" s="6" t="s">
        <v>32</v>
      </c>
      <c r="H1510" s="6" t="s">
        <v>33</v>
      </c>
      <c r="I1510" s="6" t="s">
        <v>767</v>
      </c>
      <c r="J1510" s="6" t="s">
        <v>767</v>
      </c>
      <c r="K1510" s="7">
        <v>6277470</v>
      </c>
      <c r="L1510" s="7">
        <v>338442</v>
      </c>
      <c r="M1510" s="7">
        <v>19</v>
      </c>
      <c r="N1510" s="7">
        <v>1</v>
      </c>
      <c r="O1510" s="7">
        <v>0.39</v>
      </c>
    </row>
    <row r="1511" spans="1:15" x14ac:dyDescent="0.25">
      <c r="A1511" s="6" t="s">
        <v>14</v>
      </c>
      <c r="B1511" s="6" t="s">
        <v>522</v>
      </c>
      <c r="C1511" s="7">
        <v>30298</v>
      </c>
      <c r="D1511" s="6" t="s">
        <v>24</v>
      </c>
      <c r="E1511" s="6" t="s">
        <v>56</v>
      </c>
      <c r="F1511" s="6" t="s">
        <v>418</v>
      </c>
      <c r="G1511" s="6" t="s">
        <v>32</v>
      </c>
      <c r="H1511" s="6" t="s">
        <v>33</v>
      </c>
      <c r="I1511" s="6" t="s">
        <v>767</v>
      </c>
      <c r="J1511" s="6" t="s">
        <v>767</v>
      </c>
      <c r="K1511" s="7">
        <v>6261848</v>
      </c>
      <c r="L1511" s="7">
        <v>341243</v>
      </c>
      <c r="M1511" s="7">
        <v>19</v>
      </c>
      <c r="N1511" s="7">
        <v>1</v>
      </c>
      <c r="O1511" s="7">
        <v>0.38</v>
      </c>
    </row>
    <row r="1512" spans="1:15" x14ac:dyDescent="0.25">
      <c r="A1512" s="6" t="s">
        <v>14</v>
      </c>
      <c r="B1512" s="6" t="s">
        <v>522</v>
      </c>
      <c r="C1512" s="7">
        <v>30299</v>
      </c>
      <c r="D1512" s="6" t="s">
        <v>24</v>
      </c>
      <c r="E1512" s="6" t="s">
        <v>25</v>
      </c>
      <c r="F1512" s="6" t="s">
        <v>445</v>
      </c>
      <c r="G1512" s="6" t="s">
        <v>32</v>
      </c>
      <c r="H1512" s="6" t="s">
        <v>33</v>
      </c>
      <c r="I1512" s="6" t="s">
        <v>767</v>
      </c>
      <c r="J1512" s="6" t="s">
        <v>767</v>
      </c>
      <c r="K1512" s="7">
        <v>6259173</v>
      </c>
      <c r="L1512" s="7">
        <v>336769</v>
      </c>
      <c r="M1512" s="7">
        <v>19</v>
      </c>
      <c r="N1512" s="7">
        <v>1</v>
      </c>
      <c r="O1512" s="7">
        <v>0.45</v>
      </c>
    </row>
    <row r="1513" spans="1:15" x14ac:dyDescent="0.25">
      <c r="A1513" s="6" t="s">
        <v>14</v>
      </c>
      <c r="B1513" s="6" t="s">
        <v>522</v>
      </c>
      <c r="C1513" s="7">
        <v>30300</v>
      </c>
      <c r="D1513" s="6" t="s">
        <v>24</v>
      </c>
      <c r="E1513" s="6" t="s">
        <v>25</v>
      </c>
      <c r="F1513" s="6" t="s">
        <v>445</v>
      </c>
      <c r="G1513" s="6" t="s">
        <v>32</v>
      </c>
      <c r="H1513" s="6" t="s">
        <v>33</v>
      </c>
      <c r="I1513" s="6" t="s">
        <v>767</v>
      </c>
      <c r="J1513" s="6" t="s">
        <v>767</v>
      </c>
      <c r="K1513" s="7">
        <v>6259155</v>
      </c>
      <c r="L1513" s="7">
        <v>336919</v>
      </c>
      <c r="M1513" s="7">
        <v>19</v>
      </c>
      <c r="N1513" s="7">
        <v>1</v>
      </c>
      <c r="O1513" s="7">
        <v>0.43</v>
      </c>
    </row>
    <row r="1514" spans="1:15" x14ac:dyDescent="0.25">
      <c r="A1514" s="6" t="s">
        <v>14</v>
      </c>
      <c r="B1514" s="6" t="s">
        <v>522</v>
      </c>
      <c r="C1514" s="7">
        <v>30301</v>
      </c>
      <c r="D1514" s="6" t="s">
        <v>24</v>
      </c>
      <c r="E1514" s="6" t="s">
        <v>96</v>
      </c>
      <c r="F1514" s="6" t="s">
        <v>96</v>
      </c>
      <c r="G1514" s="6" t="s">
        <v>32</v>
      </c>
      <c r="H1514" s="6" t="s">
        <v>33</v>
      </c>
      <c r="I1514" s="6" t="s">
        <v>767</v>
      </c>
      <c r="J1514" s="6" t="s">
        <v>767</v>
      </c>
      <c r="K1514" s="7">
        <v>6257764</v>
      </c>
      <c r="L1514" s="7">
        <v>342848</v>
      </c>
      <c r="M1514" s="7">
        <v>19</v>
      </c>
      <c r="N1514" s="7">
        <v>1</v>
      </c>
      <c r="O1514" s="7">
        <v>0.45</v>
      </c>
    </row>
    <row r="1515" spans="1:15" x14ac:dyDescent="0.25">
      <c r="A1515" s="6" t="s">
        <v>14</v>
      </c>
      <c r="B1515" s="6" t="s">
        <v>522</v>
      </c>
      <c r="C1515" s="7">
        <v>30302</v>
      </c>
      <c r="D1515" s="6" t="s">
        <v>42</v>
      </c>
      <c r="E1515" s="6" t="s">
        <v>51</v>
      </c>
      <c r="F1515" s="6" t="s">
        <v>131</v>
      </c>
      <c r="G1515" s="6" t="s">
        <v>32</v>
      </c>
      <c r="H1515" s="6" t="s">
        <v>33</v>
      </c>
      <c r="I1515" s="6" t="s">
        <v>767</v>
      </c>
      <c r="J1515" s="6" t="s">
        <v>764</v>
      </c>
      <c r="K1515" s="7">
        <v>6158622</v>
      </c>
      <c r="L1515" s="7">
        <v>316794</v>
      </c>
      <c r="M1515" s="7">
        <v>19</v>
      </c>
      <c r="N1515" s="7">
        <v>2</v>
      </c>
      <c r="O1515" s="7">
        <v>15</v>
      </c>
    </row>
    <row r="1516" spans="1:15" x14ac:dyDescent="0.25">
      <c r="A1516" s="6" t="s">
        <v>28</v>
      </c>
      <c r="B1516" s="6" t="s">
        <v>522</v>
      </c>
      <c r="C1516" s="7">
        <v>30303</v>
      </c>
      <c r="D1516" s="6" t="s">
        <v>24</v>
      </c>
      <c r="E1516" s="6" t="s">
        <v>96</v>
      </c>
      <c r="F1516" s="6" t="s">
        <v>199</v>
      </c>
      <c r="G1516" s="6" t="s">
        <v>32</v>
      </c>
      <c r="H1516" s="6" t="s">
        <v>33</v>
      </c>
      <c r="I1516" s="6" t="s">
        <v>767</v>
      </c>
      <c r="J1516" s="6" t="s">
        <v>767</v>
      </c>
      <c r="K1516" s="7">
        <v>6257007</v>
      </c>
      <c r="L1516" s="7">
        <v>341998</v>
      </c>
      <c r="M1516" s="7">
        <v>19</v>
      </c>
      <c r="N1516" s="7">
        <v>1</v>
      </c>
      <c r="O1516" s="7">
        <v>0.62</v>
      </c>
    </row>
    <row r="1517" spans="1:15" x14ac:dyDescent="0.25">
      <c r="A1517" s="6" t="s">
        <v>14</v>
      </c>
      <c r="B1517" s="6" t="s">
        <v>522</v>
      </c>
      <c r="C1517" s="7">
        <v>30307</v>
      </c>
      <c r="D1517" s="6" t="s">
        <v>42</v>
      </c>
      <c r="E1517" s="6" t="s">
        <v>51</v>
      </c>
      <c r="F1517" s="6" t="s">
        <v>51</v>
      </c>
      <c r="G1517" s="6" t="s">
        <v>32</v>
      </c>
      <c r="H1517" s="6" t="s">
        <v>33</v>
      </c>
      <c r="I1517" s="6" t="s">
        <v>767</v>
      </c>
      <c r="J1517" s="6" t="s">
        <v>767</v>
      </c>
      <c r="K1517" s="7">
        <v>6153666</v>
      </c>
      <c r="L1517" s="7">
        <v>314718</v>
      </c>
      <c r="M1517" s="7">
        <v>19</v>
      </c>
      <c r="N1517" s="7">
        <v>1</v>
      </c>
      <c r="O1517" s="7">
        <v>11.5</v>
      </c>
    </row>
    <row r="1518" spans="1:15" x14ac:dyDescent="0.25">
      <c r="A1518" s="6" t="s">
        <v>14</v>
      </c>
      <c r="B1518" s="6" t="s">
        <v>522</v>
      </c>
      <c r="C1518" s="7">
        <v>30308</v>
      </c>
      <c r="D1518" s="6" t="s">
        <v>39</v>
      </c>
      <c r="E1518" s="6" t="s">
        <v>41</v>
      </c>
      <c r="F1518" s="6" t="s">
        <v>41</v>
      </c>
      <c r="G1518" s="6" t="s">
        <v>32</v>
      </c>
      <c r="H1518" s="6" t="s">
        <v>33</v>
      </c>
      <c r="I1518" s="6" t="s">
        <v>767</v>
      </c>
      <c r="J1518" s="6" t="s">
        <v>767</v>
      </c>
      <c r="K1518" s="7">
        <v>6121359</v>
      </c>
      <c r="L1518" s="7">
        <v>292506</v>
      </c>
      <c r="M1518" s="7">
        <v>19</v>
      </c>
      <c r="N1518" s="7">
        <v>2</v>
      </c>
      <c r="O1518" s="7">
        <v>20.2</v>
      </c>
    </row>
    <row r="1519" spans="1:15" x14ac:dyDescent="0.25">
      <c r="A1519" s="6" t="s">
        <v>14</v>
      </c>
      <c r="B1519" s="6" t="s">
        <v>522</v>
      </c>
      <c r="C1519" s="7">
        <v>30311</v>
      </c>
      <c r="D1519" s="6" t="s">
        <v>42</v>
      </c>
      <c r="E1519" s="6" t="s">
        <v>436</v>
      </c>
      <c r="F1519" s="6" t="s">
        <v>436</v>
      </c>
      <c r="G1519" s="6" t="s">
        <v>32</v>
      </c>
      <c r="H1519" s="6" t="s">
        <v>33</v>
      </c>
      <c r="I1519" s="6" t="s">
        <v>767</v>
      </c>
      <c r="J1519" s="6" t="s">
        <v>767</v>
      </c>
      <c r="K1519" s="7">
        <v>6153392</v>
      </c>
      <c r="L1519" s="7">
        <v>314606</v>
      </c>
      <c r="M1519" s="7">
        <v>19</v>
      </c>
      <c r="N1519" s="7">
        <v>1</v>
      </c>
      <c r="O1519" s="7">
        <v>10</v>
      </c>
    </row>
    <row r="1520" spans="1:15" x14ac:dyDescent="0.25">
      <c r="A1520" s="6" t="s">
        <v>14</v>
      </c>
      <c r="B1520" s="6" t="s">
        <v>522</v>
      </c>
      <c r="C1520" s="7">
        <v>30312</v>
      </c>
      <c r="D1520" s="6" t="s">
        <v>39</v>
      </c>
      <c r="E1520" s="6" t="s">
        <v>41</v>
      </c>
      <c r="F1520" s="6" t="s">
        <v>41</v>
      </c>
      <c r="G1520" s="6" t="s">
        <v>32</v>
      </c>
      <c r="H1520" s="6" t="s">
        <v>33</v>
      </c>
      <c r="I1520" s="6" t="s">
        <v>767</v>
      </c>
      <c r="J1520" s="6" t="s">
        <v>767</v>
      </c>
      <c r="K1520" s="7">
        <v>6121103</v>
      </c>
      <c r="L1520" s="7">
        <v>293063</v>
      </c>
      <c r="M1520" s="7">
        <v>19</v>
      </c>
      <c r="N1520" s="7">
        <v>1</v>
      </c>
      <c r="O1520" s="7">
        <v>6</v>
      </c>
    </row>
    <row r="1521" spans="1:15" x14ac:dyDescent="0.25">
      <c r="A1521" s="6" t="s">
        <v>14</v>
      </c>
      <c r="B1521" s="6" t="s">
        <v>522</v>
      </c>
      <c r="C1521" s="7">
        <v>30313</v>
      </c>
      <c r="D1521" s="6" t="s">
        <v>42</v>
      </c>
      <c r="E1521" s="6" t="s">
        <v>63</v>
      </c>
      <c r="F1521" s="6" t="s">
        <v>432</v>
      </c>
      <c r="G1521" s="6" t="s">
        <v>32</v>
      </c>
      <c r="H1521" s="6" t="s">
        <v>33</v>
      </c>
      <c r="I1521" s="6" t="s">
        <v>767</v>
      </c>
      <c r="J1521" s="6" t="s">
        <v>767</v>
      </c>
      <c r="K1521" s="7">
        <v>6165311</v>
      </c>
      <c r="L1521" s="7">
        <v>291651</v>
      </c>
      <c r="M1521" s="7">
        <v>19</v>
      </c>
      <c r="N1521" s="7">
        <v>3</v>
      </c>
      <c r="O1521" s="7">
        <v>39</v>
      </c>
    </row>
    <row r="1522" spans="1:15" x14ac:dyDescent="0.25">
      <c r="A1522" s="6" t="s">
        <v>14</v>
      </c>
      <c r="B1522" s="6" t="s">
        <v>522</v>
      </c>
      <c r="C1522" s="7">
        <v>30314</v>
      </c>
      <c r="D1522" s="6" t="s">
        <v>42</v>
      </c>
      <c r="E1522" s="6" t="s">
        <v>51</v>
      </c>
      <c r="F1522" s="6" t="s">
        <v>51</v>
      </c>
      <c r="G1522" s="6" t="s">
        <v>32</v>
      </c>
      <c r="H1522" s="6" t="s">
        <v>33</v>
      </c>
      <c r="I1522" s="6" t="s">
        <v>767</v>
      </c>
      <c r="J1522" s="6" t="s">
        <v>767</v>
      </c>
      <c r="K1522" s="7">
        <v>6153974</v>
      </c>
      <c r="L1522" s="7">
        <v>314847</v>
      </c>
      <c r="M1522" s="7">
        <v>19</v>
      </c>
      <c r="N1522" s="7">
        <v>1</v>
      </c>
      <c r="O1522" s="7">
        <v>21</v>
      </c>
    </row>
    <row r="1523" spans="1:15" x14ac:dyDescent="0.25">
      <c r="A1523" s="6" t="s">
        <v>14</v>
      </c>
      <c r="B1523" s="6" t="s">
        <v>522</v>
      </c>
      <c r="C1523" s="7">
        <v>30315</v>
      </c>
      <c r="D1523" s="6" t="s">
        <v>42</v>
      </c>
      <c r="E1523" s="6" t="s">
        <v>51</v>
      </c>
      <c r="F1523" s="6" t="s">
        <v>51</v>
      </c>
      <c r="G1523" s="6" t="s">
        <v>32</v>
      </c>
      <c r="H1523" s="6" t="s">
        <v>33</v>
      </c>
      <c r="I1523" s="6" t="s">
        <v>767</v>
      </c>
      <c r="J1523" s="6" t="s">
        <v>767</v>
      </c>
      <c r="K1523" s="7">
        <v>6156295</v>
      </c>
      <c r="L1523" s="7">
        <v>313792</v>
      </c>
      <c r="M1523" s="7">
        <v>19</v>
      </c>
      <c r="N1523" s="7">
        <v>1</v>
      </c>
      <c r="O1523" s="7">
        <v>18.5</v>
      </c>
    </row>
    <row r="1524" spans="1:15" x14ac:dyDescent="0.25">
      <c r="A1524" s="6" t="s">
        <v>14</v>
      </c>
      <c r="B1524" s="6" t="s">
        <v>522</v>
      </c>
      <c r="C1524" s="7">
        <v>30318</v>
      </c>
      <c r="D1524" s="6" t="s">
        <v>24</v>
      </c>
      <c r="E1524" s="6" t="s">
        <v>31</v>
      </c>
      <c r="F1524" s="6" t="s">
        <v>531</v>
      </c>
      <c r="G1524" s="6" t="s">
        <v>32</v>
      </c>
      <c r="H1524" s="6" t="s">
        <v>33</v>
      </c>
      <c r="I1524" s="6" t="s">
        <v>767</v>
      </c>
      <c r="J1524" s="6" t="s">
        <v>767</v>
      </c>
      <c r="K1524" s="7">
        <v>6274385</v>
      </c>
      <c r="L1524" s="7">
        <v>284512</v>
      </c>
      <c r="M1524" s="7">
        <v>19</v>
      </c>
      <c r="N1524" s="7">
        <v>1</v>
      </c>
      <c r="O1524" s="7">
        <v>0.41</v>
      </c>
    </row>
    <row r="1525" spans="1:15" x14ac:dyDescent="0.25">
      <c r="A1525" s="6" t="s">
        <v>22</v>
      </c>
      <c r="B1525" s="6" t="s">
        <v>522</v>
      </c>
      <c r="C1525" s="7">
        <v>30319</v>
      </c>
      <c r="D1525" s="6" t="s">
        <v>133</v>
      </c>
      <c r="E1525" s="6" t="s">
        <v>249</v>
      </c>
      <c r="F1525" s="6" t="s">
        <v>533</v>
      </c>
      <c r="G1525" s="6" t="s">
        <v>50</v>
      </c>
      <c r="H1525" s="6" t="s">
        <v>765</v>
      </c>
      <c r="I1525" s="6" t="s">
        <v>767</v>
      </c>
      <c r="J1525" s="6" t="s">
        <v>767</v>
      </c>
      <c r="K1525" s="7">
        <v>5701403</v>
      </c>
      <c r="L1525" s="7">
        <v>723166</v>
      </c>
      <c r="M1525" s="7">
        <v>18</v>
      </c>
      <c r="N1525" s="7">
        <v>1</v>
      </c>
      <c r="O1525" s="7">
        <v>3.7</v>
      </c>
    </row>
    <row r="1526" spans="1:15" x14ac:dyDescent="0.25">
      <c r="A1526" s="6" t="s">
        <v>22</v>
      </c>
      <c r="B1526" s="6" t="s">
        <v>522</v>
      </c>
      <c r="C1526" s="7">
        <v>30321</v>
      </c>
      <c r="D1526" s="6" t="s">
        <v>133</v>
      </c>
      <c r="E1526" s="6" t="s">
        <v>249</v>
      </c>
      <c r="F1526" s="6" t="s">
        <v>533</v>
      </c>
      <c r="G1526" s="6" t="s">
        <v>50</v>
      </c>
      <c r="H1526" s="6" t="s">
        <v>765</v>
      </c>
      <c r="I1526" s="6" t="s">
        <v>767</v>
      </c>
      <c r="J1526" s="6" t="s">
        <v>767</v>
      </c>
      <c r="K1526" s="7">
        <v>5700652</v>
      </c>
      <c r="L1526" s="7">
        <v>723106</v>
      </c>
      <c r="M1526" s="7">
        <v>18</v>
      </c>
      <c r="N1526" s="7">
        <v>1</v>
      </c>
      <c r="O1526" s="7">
        <v>1.3</v>
      </c>
    </row>
    <row r="1527" spans="1:15" x14ac:dyDescent="0.25">
      <c r="A1527" s="6" t="s">
        <v>14</v>
      </c>
      <c r="B1527" s="6" t="s">
        <v>522</v>
      </c>
      <c r="C1527" s="7">
        <v>30322</v>
      </c>
      <c r="D1527" s="6" t="s">
        <v>24</v>
      </c>
      <c r="E1527" s="6" t="s">
        <v>56</v>
      </c>
      <c r="F1527" s="6" t="s">
        <v>534</v>
      </c>
      <c r="G1527" s="6" t="s">
        <v>32</v>
      </c>
      <c r="H1527" s="6" t="s">
        <v>33</v>
      </c>
      <c r="I1527" s="6" t="s">
        <v>767</v>
      </c>
      <c r="J1527" s="6" t="s">
        <v>767</v>
      </c>
      <c r="K1527" s="7">
        <v>6278131</v>
      </c>
      <c r="L1527" s="7">
        <v>339294</v>
      </c>
      <c r="M1527" s="7">
        <v>19</v>
      </c>
      <c r="N1527" s="7">
        <v>1</v>
      </c>
      <c r="O1527" s="7">
        <v>0.41</v>
      </c>
    </row>
    <row r="1528" spans="1:15" x14ac:dyDescent="0.25">
      <c r="A1528" s="6" t="s">
        <v>14</v>
      </c>
      <c r="B1528" s="6" t="s">
        <v>522</v>
      </c>
      <c r="C1528" s="7">
        <v>30338</v>
      </c>
      <c r="D1528" s="6" t="s">
        <v>24</v>
      </c>
      <c r="E1528" s="6" t="s">
        <v>427</v>
      </c>
      <c r="F1528" s="6" t="s">
        <v>443</v>
      </c>
      <c r="G1528" s="6" t="s">
        <v>32</v>
      </c>
      <c r="H1528" s="6" t="s">
        <v>33</v>
      </c>
      <c r="I1528" s="6" t="s">
        <v>767</v>
      </c>
      <c r="J1528" s="6" t="s">
        <v>767</v>
      </c>
      <c r="K1528" s="7">
        <v>6261661</v>
      </c>
      <c r="L1528" s="7">
        <v>326529</v>
      </c>
      <c r="M1528" s="7">
        <v>19</v>
      </c>
      <c r="N1528" s="7">
        <v>1</v>
      </c>
      <c r="O1528" s="7">
        <v>0.46</v>
      </c>
    </row>
    <row r="1529" spans="1:15" x14ac:dyDescent="0.25">
      <c r="A1529" s="6" t="s">
        <v>14</v>
      </c>
      <c r="B1529" s="6" t="s">
        <v>522</v>
      </c>
      <c r="C1529" s="7">
        <v>30359</v>
      </c>
      <c r="D1529" s="6" t="s">
        <v>24</v>
      </c>
      <c r="E1529" s="6" t="s">
        <v>25</v>
      </c>
      <c r="F1529" s="6" t="s">
        <v>25</v>
      </c>
      <c r="G1529" s="6" t="s">
        <v>32</v>
      </c>
      <c r="H1529" s="6" t="s">
        <v>33</v>
      </c>
      <c r="I1529" s="6" t="s">
        <v>767</v>
      </c>
      <c r="J1529" s="6" t="s">
        <v>767</v>
      </c>
      <c r="K1529" s="7">
        <v>6267974</v>
      </c>
      <c r="L1529" s="7">
        <v>341598</v>
      </c>
      <c r="M1529" s="7">
        <v>19</v>
      </c>
      <c r="N1529" s="7">
        <v>1</v>
      </c>
      <c r="O1529" s="7">
        <v>0.31</v>
      </c>
    </row>
    <row r="1530" spans="1:15" x14ac:dyDescent="0.25">
      <c r="A1530" s="6" t="s">
        <v>14</v>
      </c>
      <c r="B1530" s="6" t="s">
        <v>522</v>
      </c>
      <c r="C1530" s="7">
        <v>30361</v>
      </c>
      <c r="D1530" s="6" t="s">
        <v>24</v>
      </c>
      <c r="E1530" s="6" t="s">
        <v>56</v>
      </c>
      <c r="F1530" s="6" t="s">
        <v>418</v>
      </c>
      <c r="G1530" s="6" t="s">
        <v>32</v>
      </c>
      <c r="H1530" s="6" t="s">
        <v>33</v>
      </c>
      <c r="I1530" s="6" t="s">
        <v>767</v>
      </c>
      <c r="J1530" s="6" t="s">
        <v>767</v>
      </c>
      <c r="K1530" s="7">
        <v>6275669</v>
      </c>
      <c r="L1530" s="7">
        <v>339733</v>
      </c>
      <c r="M1530" s="7">
        <v>19</v>
      </c>
      <c r="N1530" s="7">
        <v>1</v>
      </c>
      <c r="O1530" s="7">
        <v>0.36</v>
      </c>
    </row>
    <row r="1531" spans="1:15" x14ac:dyDescent="0.25">
      <c r="A1531" s="6" t="s">
        <v>14</v>
      </c>
      <c r="B1531" s="6" t="s">
        <v>522</v>
      </c>
      <c r="C1531" s="7">
        <v>30364</v>
      </c>
      <c r="D1531" s="6" t="s">
        <v>24</v>
      </c>
      <c r="E1531" s="6" t="s">
        <v>25</v>
      </c>
      <c r="F1531" s="6" t="s">
        <v>535</v>
      </c>
      <c r="G1531" s="6" t="s">
        <v>32</v>
      </c>
      <c r="H1531" s="6" t="s">
        <v>33</v>
      </c>
      <c r="I1531" s="6" t="s">
        <v>767</v>
      </c>
      <c r="J1531" s="6" t="s">
        <v>767</v>
      </c>
      <c r="K1531" s="7">
        <v>6267974</v>
      </c>
      <c r="L1531" s="7">
        <v>341598</v>
      </c>
      <c r="M1531" s="7">
        <v>19</v>
      </c>
      <c r="N1531" s="7">
        <v>1</v>
      </c>
      <c r="O1531" s="7">
        <v>0.28000000000000003</v>
      </c>
    </row>
    <row r="1532" spans="1:15" x14ac:dyDescent="0.25">
      <c r="A1532" s="6" t="s">
        <v>22</v>
      </c>
      <c r="B1532" s="6" t="s">
        <v>522</v>
      </c>
      <c r="C1532" s="7">
        <v>30368</v>
      </c>
      <c r="D1532" s="6" t="s">
        <v>42</v>
      </c>
      <c r="E1532" s="6" t="s">
        <v>536</v>
      </c>
      <c r="F1532" s="6" t="s">
        <v>477</v>
      </c>
      <c r="G1532" s="6" t="s">
        <v>32</v>
      </c>
      <c r="H1532" s="6" t="s">
        <v>765</v>
      </c>
      <c r="I1532" s="6" t="s">
        <v>767</v>
      </c>
      <c r="J1532" s="6" t="s">
        <v>767</v>
      </c>
      <c r="K1532" s="7">
        <v>6183313</v>
      </c>
      <c r="L1532" s="7">
        <v>318801</v>
      </c>
      <c r="M1532" s="7">
        <v>19</v>
      </c>
      <c r="N1532" s="7">
        <v>1</v>
      </c>
      <c r="O1532" s="7">
        <v>1.1000000000000001</v>
      </c>
    </row>
    <row r="1533" spans="1:15" x14ac:dyDescent="0.25">
      <c r="A1533" s="6" t="s">
        <v>14</v>
      </c>
      <c r="B1533" s="6" t="s">
        <v>522</v>
      </c>
      <c r="C1533" s="7">
        <v>30373</v>
      </c>
      <c r="D1533" s="6" t="s">
        <v>24</v>
      </c>
      <c r="E1533" s="6" t="s">
        <v>56</v>
      </c>
      <c r="F1533" s="6" t="s">
        <v>418</v>
      </c>
      <c r="G1533" s="6" t="s">
        <v>32</v>
      </c>
      <c r="H1533" s="6" t="s">
        <v>33</v>
      </c>
      <c r="I1533" s="6" t="s">
        <v>767</v>
      </c>
      <c r="J1533" s="6" t="s">
        <v>767</v>
      </c>
      <c r="K1533" s="7">
        <v>6275625</v>
      </c>
      <c r="L1533" s="7">
        <v>339876</v>
      </c>
      <c r="M1533" s="7">
        <v>19</v>
      </c>
      <c r="N1533" s="7">
        <v>1</v>
      </c>
      <c r="O1533" s="7">
        <v>0.36</v>
      </c>
    </row>
    <row r="1534" spans="1:15" x14ac:dyDescent="0.25">
      <c r="A1534" s="6" t="s">
        <v>14</v>
      </c>
      <c r="B1534" s="6" t="s">
        <v>522</v>
      </c>
      <c r="C1534" s="7">
        <v>30374</v>
      </c>
      <c r="D1534" s="6" t="s">
        <v>42</v>
      </c>
      <c r="E1534" s="6" t="s">
        <v>196</v>
      </c>
      <c r="F1534" s="6" t="s">
        <v>537</v>
      </c>
      <c r="G1534" s="6" t="s">
        <v>32</v>
      </c>
      <c r="H1534" s="6" t="s">
        <v>33</v>
      </c>
      <c r="I1534" s="6" t="s">
        <v>767</v>
      </c>
      <c r="J1534" s="6" t="s">
        <v>767</v>
      </c>
      <c r="K1534" s="7">
        <v>6226147</v>
      </c>
      <c r="L1534" s="7">
        <v>344761</v>
      </c>
      <c r="M1534" s="7">
        <v>19</v>
      </c>
      <c r="N1534" s="7">
        <v>1</v>
      </c>
      <c r="O1534" s="7">
        <v>0.43</v>
      </c>
    </row>
    <row r="1535" spans="1:15" x14ac:dyDescent="0.25">
      <c r="A1535" s="6" t="s">
        <v>14</v>
      </c>
      <c r="B1535" s="6" t="s">
        <v>522</v>
      </c>
      <c r="C1535" s="7">
        <v>30375</v>
      </c>
      <c r="D1535" s="6" t="s">
        <v>42</v>
      </c>
      <c r="E1535" s="6" t="s">
        <v>196</v>
      </c>
      <c r="F1535" s="6" t="s">
        <v>168</v>
      </c>
      <c r="G1535" s="6" t="s">
        <v>32</v>
      </c>
      <c r="H1535" s="6" t="s">
        <v>33</v>
      </c>
      <c r="I1535" s="6" t="s">
        <v>767</v>
      </c>
      <c r="J1535" s="6" t="s">
        <v>767</v>
      </c>
      <c r="K1535" s="7">
        <v>6226223</v>
      </c>
      <c r="L1535" s="7">
        <v>345748</v>
      </c>
      <c r="M1535" s="7">
        <v>19</v>
      </c>
      <c r="N1535" s="7">
        <v>1</v>
      </c>
      <c r="O1535" s="7">
        <v>0.44</v>
      </c>
    </row>
    <row r="1536" spans="1:15" x14ac:dyDescent="0.25">
      <c r="A1536" s="6" t="s">
        <v>14</v>
      </c>
      <c r="B1536" s="6" t="s">
        <v>522</v>
      </c>
      <c r="C1536" s="7">
        <v>30377</v>
      </c>
      <c r="D1536" s="6" t="s">
        <v>42</v>
      </c>
      <c r="E1536" s="6" t="s">
        <v>196</v>
      </c>
      <c r="F1536" s="6" t="s">
        <v>537</v>
      </c>
      <c r="G1536" s="6" t="s">
        <v>32</v>
      </c>
      <c r="H1536" s="6" t="s">
        <v>33</v>
      </c>
      <c r="I1536" s="6" t="s">
        <v>767</v>
      </c>
      <c r="J1536" s="6" t="s">
        <v>767</v>
      </c>
      <c r="K1536" s="7">
        <v>6226207</v>
      </c>
      <c r="L1536" s="7">
        <v>345093</v>
      </c>
      <c r="M1536" s="7">
        <v>19</v>
      </c>
      <c r="N1536" s="7">
        <v>1</v>
      </c>
      <c r="O1536" s="7">
        <v>0.43</v>
      </c>
    </row>
    <row r="1537" spans="1:15" x14ac:dyDescent="0.25">
      <c r="A1537" s="6" t="s">
        <v>14</v>
      </c>
      <c r="B1537" s="6" t="s">
        <v>522</v>
      </c>
      <c r="C1537" s="7">
        <v>30378</v>
      </c>
      <c r="D1537" s="6" t="s">
        <v>42</v>
      </c>
      <c r="E1537" s="6" t="s">
        <v>196</v>
      </c>
      <c r="F1537" s="6" t="s">
        <v>168</v>
      </c>
      <c r="G1537" s="6" t="s">
        <v>32</v>
      </c>
      <c r="H1537" s="6" t="s">
        <v>33</v>
      </c>
      <c r="I1537" s="6" t="s">
        <v>767</v>
      </c>
      <c r="J1537" s="6" t="s">
        <v>767</v>
      </c>
      <c r="K1537" s="7">
        <v>6226191</v>
      </c>
      <c r="L1537" s="7">
        <v>345977</v>
      </c>
      <c r="M1537" s="7">
        <v>19</v>
      </c>
      <c r="N1537" s="7">
        <v>1</v>
      </c>
      <c r="O1537" s="7">
        <v>0.48</v>
      </c>
    </row>
    <row r="1538" spans="1:15" x14ac:dyDescent="0.25">
      <c r="A1538" s="6" t="s">
        <v>14</v>
      </c>
      <c r="B1538" s="6" t="s">
        <v>522</v>
      </c>
      <c r="C1538" s="7">
        <v>30380</v>
      </c>
      <c r="D1538" s="6" t="s">
        <v>42</v>
      </c>
      <c r="E1538" s="6" t="s">
        <v>196</v>
      </c>
      <c r="F1538" s="6" t="s">
        <v>537</v>
      </c>
      <c r="G1538" s="6" t="s">
        <v>32</v>
      </c>
      <c r="H1538" s="6" t="s">
        <v>33</v>
      </c>
      <c r="I1538" s="6" t="s">
        <v>767</v>
      </c>
      <c r="J1538" s="6" t="s">
        <v>767</v>
      </c>
      <c r="K1538" s="7">
        <v>6226426</v>
      </c>
      <c r="L1538" s="7">
        <v>345089</v>
      </c>
      <c r="M1538" s="7">
        <v>19</v>
      </c>
      <c r="N1538" s="7">
        <v>1</v>
      </c>
      <c r="O1538" s="7">
        <v>0.42</v>
      </c>
    </row>
    <row r="1539" spans="1:15" x14ac:dyDescent="0.25">
      <c r="A1539" s="6" t="s">
        <v>22</v>
      </c>
      <c r="B1539" s="6" t="s">
        <v>522</v>
      </c>
      <c r="C1539" s="7">
        <v>30385</v>
      </c>
      <c r="D1539" s="6" t="s">
        <v>24</v>
      </c>
      <c r="E1539" s="6" t="s">
        <v>96</v>
      </c>
      <c r="F1539" s="6" t="s">
        <v>538</v>
      </c>
      <c r="G1539" s="6" t="s">
        <v>32</v>
      </c>
      <c r="H1539" s="6" t="s">
        <v>765</v>
      </c>
      <c r="I1539" s="6" t="s">
        <v>767</v>
      </c>
      <c r="J1539" s="6" t="s">
        <v>767</v>
      </c>
      <c r="K1539" s="7">
        <v>6253749</v>
      </c>
      <c r="L1539" s="7">
        <v>334580</v>
      </c>
      <c r="M1539" s="7">
        <v>19</v>
      </c>
      <c r="N1539" s="7">
        <v>1</v>
      </c>
      <c r="O1539" s="7">
        <v>4</v>
      </c>
    </row>
    <row r="1540" spans="1:15" x14ac:dyDescent="0.25">
      <c r="A1540" s="6" t="s">
        <v>14</v>
      </c>
      <c r="B1540" s="6" t="s">
        <v>522</v>
      </c>
      <c r="C1540" s="7">
        <v>30388</v>
      </c>
      <c r="D1540" s="6" t="s">
        <v>24</v>
      </c>
      <c r="E1540" s="6" t="s">
        <v>25</v>
      </c>
      <c r="F1540" s="6" t="s">
        <v>445</v>
      </c>
      <c r="G1540" s="6" t="s">
        <v>32</v>
      </c>
      <c r="H1540" s="6" t="s">
        <v>33</v>
      </c>
      <c r="I1540" s="6" t="s">
        <v>767</v>
      </c>
      <c r="J1540" s="6" t="s">
        <v>767</v>
      </c>
      <c r="K1540" s="7">
        <v>6259084</v>
      </c>
      <c r="L1540" s="7">
        <v>336504</v>
      </c>
      <c r="M1540" s="7">
        <v>19</v>
      </c>
      <c r="N1540" s="7">
        <v>1</v>
      </c>
      <c r="O1540" s="7">
        <v>0.19</v>
      </c>
    </row>
    <row r="1541" spans="1:15" x14ac:dyDescent="0.25">
      <c r="A1541" s="6" t="s">
        <v>14</v>
      </c>
      <c r="B1541" s="6" t="s">
        <v>522</v>
      </c>
      <c r="C1541" s="7">
        <v>30389</v>
      </c>
      <c r="D1541" s="6" t="s">
        <v>42</v>
      </c>
      <c r="E1541" s="6" t="s">
        <v>196</v>
      </c>
      <c r="F1541" s="6" t="s">
        <v>168</v>
      </c>
      <c r="G1541" s="6" t="s">
        <v>32</v>
      </c>
      <c r="H1541" s="6" t="s">
        <v>33</v>
      </c>
      <c r="I1541" s="6" t="s">
        <v>767</v>
      </c>
      <c r="J1541" s="6" t="s">
        <v>767</v>
      </c>
      <c r="K1541" s="7">
        <v>6225485</v>
      </c>
      <c r="L1541" s="7">
        <v>347351</v>
      </c>
      <c r="M1541" s="7">
        <v>19</v>
      </c>
      <c r="N1541" s="7">
        <v>1</v>
      </c>
      <c r="O1541" s="7">
        <v>0.28999999999999998</v>
      </c>
    </row>
    <row r="1542" spans="1:15" x14ac:dyDescent="0.25">
      <c r="A1542" s="6" t="s">
        <v>14</v>
      </c>
      <c r="B1542" s="6" t="s">
        <v>522</v>
      </c>
      <c r="C1542" s="7">
        <v>30390</v>
      </c>
      <c r="D1542" s="6" t="s">
        <v>42</v>
      </c>
      <c r="E1542" s="6" t="s">
        <v>196</v>
      </c>
      <c r="F1542" s="6" t="s">
        <v>168</v>
      </c>
      <c r="G1542" s="6" t="s">
        <v>32</v>
      </c>
      <c r="H1542" s="6" t="s">
        <v>33</v>
      </c>
      <c r="I1542" s="6" t="s">
        <v>767</v>
      </c>
      <c r="J1542" s="6" t="s">
        <v>767</v>
      </c>
      <c r="K1542" s="7">
        <v>6225485</v>
      </c>
      <c r="L1542" s="7">
        <v>347351</v>
      </c>
      <c r="M1542" s="7">
        <v>19</v>
      </c>
      <c r="N1542" s="7">
        <v>1</v>
      </c>
      <c r="O1542" s="7">
        <v>0.3</v>
      </c>
    </row>
    <row r="1543" spans="1:15" x14ac:dyDescent="0.25">
      <c r="A1543" s="6" t="s">
        <v>14</v>
      </c>
      <c r="B1543" s="6" t="s">
        <v>522</v>
      </c>
      <c r="C1543" s="7">
        <v>30391</v>
      </c>
      <c r="D1543" s="6" t="s">
        <v>24</v>
      </c>
      <c r="E1543" s="6" t="s">
        <v>96</v>
      </c>
      <c r="F1543" s="6" t="s">
        <v>96</v>
      </c>
      <c r="G1543" s="6" t="s">
        <v>32</v>
      </c>
      <c r="H1543" s="6" t="s">
        <v>33</v>
      </c>
      <c r="I1543" s="6" t="s">
        <v>767</v>
      </c>
      <c r="J1543" s="6" t="s">
        <v>767</v>
      </c>
      <c r="K1543" s="7">
        <v>6259206</v>
      </c>
      <c r="L1543" s="7">
        <v>342629</v>
      </c>
      <c r="M1543" s="7">
        <v>19</v>
      </c>
      <c r="N1543" s="7">
        <v>1</v>
      </c>
      <c r="O1543" s="7">
        <v>0.38</v>
      </c>
    </row>
    <row r="1544" spans="1:15" x14ac:dyDescent="0.25">
      <c r="A1544" s="6" t="s">
        <v>14</v>
      </c>
      <c r="B1544" s="6" t="s">
        <v>522</v>
      </c>
      <c r="C1544" s="7">
        <v>30392</v>
      </c>
      <c r="D1544" s="6" t="s">
        <v>24</v>
      </c>
      <c r="E1544" s="6" t="s">
        <v>96</v>
      </c>
      <c r="F1544" s="6" t="s">
        <v>96</v>
      </c>
      <c r="G1544" s="6" t="s">
        <v>32</v>
      </c>
      <c r="H1544" s="6" t="s">
        <v>33</v>
      </c>
      <c r="I1544" s="6" t="s">
        <v>767</v>
      </c>
      <c r="J1544" s="6" t="s">
        <v>767</v>
      </c>
      <c r="K1544" s="7">
        <v>6259422</v>
      </c>
      <c r="L1544" s="7">
        <v>342628</v>
      </c>
      <c r="M1544" s="7">
        <v>19</v>
      </c>
      <c r="N1544" s="7">
        <v>1</v>
      </c>
      <c r="O1544" s="7">
        <v>0.27</v>
      </c>
    </row>
    <row r="1545" spans="1:15" x14ac:dyDescent="0.25">
      <c r="A1545" s="6" t="s">
        <v>14</v>
      </c>
      <c r="B1545" s="6" t="s">
        <v>522</v>
      </c>
      <c r="C1545" s="7">
        <v>30394</v>
      </c>
      <c r="D1545" s="6" t="s">
        <v>42</v>
      </c>
      <c r="E1545" s="6" t="s">
        <v>196</v>
      </c>
      <c r="F1545" s="6" t="s">
        <v>537</v>
      </c>
      <c r="G1545" s="6" t="s">
        <v>32</v>
      </c>
      <c r="H1545" s="6" t="s">
        <v>33</v>
      </c>
      <c r="I1545" s="6" t="s">
        <v>767</v>
      </c>
      <c r="J1545" s="6" t="s">
        <v>767</v>
      </c>
      <c r="K1545" s="7">
        <v>6226673</v>
      </c>
      <c r="L1545" s="7">
        <v>345143</v>
      </c>
      <c r="M1545" s="7">
        <v>19</v>
      </c>
      <c r="N1545" s="7">
        <v>1</v>
      </c>
      <c r="O1545" s="7">
        <v>0.16</v>
      </c>
    </row>
    <row r="1546" spans="1:15" x14ac:dyDescent="0.25">
      <c r="A1546" s="6" t="s">
        <v>14</v>
      </c>
      <c r="B1546" s="6" t="s">
        <v>522</v>
      </c>
      <c r="C1546" s="7">
        <v>30405</v>
      </c>
      <c r="D1546" s="6" t="s">
        <v>42</v>
      </c>
      <c r="E1546" s="6" t="s">
        <v>196</v>
      </c>
      <c r="F1546" s="6" t="s">
        <v>168</v>
      </c>
      <c r="G1546" s="6" t="s">
        <v>32</v>
      </c>
      <c r="H1546" s="6" t="s">
        <v>33</v>
      </c>
      <c r="I1546" s="6" t="s">
        <v>767</v>
      </c>
      <c r="J1546" s="6" t="s">
        <v>767</v>
      </c>
      <c r="K1546" s="7">
        <v>6226054</v>
      </c>
      <c r="L1546" s="7">
        <v>346294</v>
      </c>
      <c r="M1546" s="7">
        <v>19</v>
      </c>
      <c r="N1546" s="7">
        <v>1</v>
      </c>
      <c r="O1546" s="7">
        <v>0.45</v>
      </c>
    </row>
    <row r="1547" spans="1:15" x14ac:dyDescent="0.25">
      <c r="A1547" s="6" t="s">
        <v>14</v>
      </c>
      <c r="B1547" s="6" t="s">
        <v>522</v>
      </c>
      <c r="C1547" s="7">
        <v>30406</v>
      </c>
      <c r="D1547" s="6" t="s">
        <v>24</v>
      </c>
      <c r="E1547" s="6" t="s">
        <v>96</v>
      </c>
      <c r="F1547" s="6" t="s">
        <v>539</v>
      </c>
      <c r="G1547" s="6" t="s">
        <v>32</v>
      </c>
      <c r="H1547" s="6" t="s">
        <v>33</v>
      </c>
      <c r="I1547" s="6" t="s">
        <v>767</v>
      </c>
      <c r="J1547" s="6" t="s">
        <v>767</v>
      </c>
      <c r="K1547" s="7">
        <v>6275249</v>
      </c>
      <c r="L1547" s="7">
        <v>340133</v>
      </c>
      <c r="M1547" s="7">
        <v>19</v>
      </c>
      <c r="N1547" s="7">
        <v>1</v>
      </c>
      <c r="O1547" s="7">
        <v>0.36</v>
      </c>
    </row>
    <row r="1548" spans="1:15" x14ac:dyDescent="0.25">
      <c r="A1548" s="6" t="s">
        <v>14</v>
      </c>
      <c r="B1548" s="6" t="s">
        <v>522</v>
      </c>
      <c r="C1548" s="7">
        <v>30429</v>
      </c>
      <c r="D1548" s="6" t="s">
        <v>24</v>
      </c>
      <c r="E1548" s="6" t="s">
        <v>56</v>
      </c>
      <c r="F1548" s="6" t="s">
        <v>419</v>
      </c>
      <c r="G1548" s="6" t="s">
        <v>32</v>
      </c>
      <c r="H1548" s="6" t="s">
        <v>33</v>
      </c>
      <c r="I1548" s="6" t="s">
        <v>767</v>
      </c>
      <c r="J1548" s="6" t="s">
        <v>767</v>
      </c>
      <c r="K1548" s="7">
        <v>6275607</v>
      </c>
      <c r="L1548" s="7">
        <v>340928</v>
      </c>
      <c r="M1548" s="7">
        <v>19</v>
      </c>
      <c r="N1548" s="7">
        <v>1</v>
      </c>
      <c r="O1548" s="7">
        <v>0.35</v>
      </c>
    </row>
    <row r="1549" spans="1:15" x14ac:dyDescent="0.25">
      <c r="A1549" s="6" t="s">
        <v>14</v>
      </c>
      <c r="B1549" s="6" t="s">
        <v>522</v>
      </c>
      <c r="C1549" s="7">
        <v>30436</v>
      </c>
      <c r="D1549" s="6" t="s">
        <v>24</v>
      </c>
      <c r="E1549" s="6" t="s">
        <v>56</v>
      </c>
      <c r="F1549" s="6" t="s">
        <v>419</v>
      </c>
      <c r="G1549" s="6" t="s">
        <v>32</v>
      </c>
      <c r="H1549" s="6" t="s">
        <v>33</v>
      </c>
      <c r="I1549" s="6" t="s">
        <v>767</v>
      </c>
      <c r="J1549" s="6" t="s">
        <v>767</v>
      </c>
      <c r="K1549" s="7">
        <v>6275607</v>
      </c>
      <c r="L1549" s="7">
        <v>340928</v>
      </c>
      <c r="M1549" s="7">
        <v>19</v>
      </c>
      <c r="N1549" s="7">
        <v>1</v>
      </c>
      <c r="O1549" s="7">
        <v>0.33</v>
      </c>
    </row>
    <row r="1550" spans="1:15" x14ac:dyDescent="0.25">
      <c r="A1550" s="6" t="s">
        <v>14</v>
      </c>
      <c r="B1550" s="6" t="s">
        <v>522</v>
      </c>
      <c r="C1550" s="7">
        <v>30437</v>
      </c>
      <c r="D1550" s="6" t="s">
        <v>24</v>
      </c>
      <c r="E1550" s="6" t="s">
        <v>456</v>
      </c>
      <c r="F1550" s="6" t="s">
        <v>540</v>
      </c>
      <c r="G1550" s="6" t="s">
        <v>32</v>
      </c>
      <c r="H1550" s="6" t="s">
        <v>33</v>
      </c>
      <c r="I1550" s="6" t="s">
        <v>767</v>
      </c>
      <c r="J1550" s="6" t="s">
        <v>767</v>
      </c>
      <c r="K1550" s="7">
        <v>6284897</v>
      </c>
      <c r="L1550" s="7">
        <v>336498</v>
      </c>
      <c r="M1550" s="7">
        <v>19</v>
      </c>
      <c r="N1550" s="7">
        <v>1</v>
      </c>
      <c r="O1550" s="7">
        <v>0.32</v>
      </c>
    </row>
    <row r="1551" spans="1:15" x14ac:dyDescent="0.25">
      <c r="A1551" s="6" t="s">
        <v>14</v>
      </c>
      <c r="B1551" s="6" t="s">
        <v>522</v>
      </c>
      <c r="C1551" s="7">
        <v>30439</v>
      </c>
      <c r="D1551" s="6" t="s">
        <v>24</v>
      </c>
      <c r="E1551" s="6" t="s">
        <v>25</v>
      </c>
      <c r="F1551" s="6" t="s">
        <v>25</v>
      </c>
      <c r="G1551" s="6" t="s">
        <v>32</v>
      </c>
      <c r="H1551" s="6" t="s">
        <v>33</v>
      </c>
      <c r="I1551" s="6" t="s">
        <v>767</v>
      </c>
      <c r="J1551" s="6" t="s">
        <v>767</v>
      </c>
      <c r="K1551" s="7">
        <v>6266538</v>
      </c>
      <c r="L1551" s="7">
        <v>341087</v>
      </c>
      <c r="M1551" s="7">
        <v>19</v>
      </c>
      <c r="N1551" s="7">
        <v>1</v>
      </c>
      <c r="O1551" s="7">
        <v>0.15</v>
      </c>
    </row>
    <row r="1552" spans="1:15" x14ac:dyDescent="0.25">
      <c r="A1552" s="6" t="s">
        <v>14</v>
      </c>
      <c r="B1552" s="6" t="s">
        <v>522</v>
      </c>
      <c r="C1552" s="7">
        <v>30440</v>
      </c>
      <c r="D1552" s="6" t="s">
        <v>24</v>
      </c>
      <c r="E1552" s="6" t="s">
        <v>31</v>
      </c>
      <c r="F1552" s="6" t="s">
        <v>530</v>
      </c>
      <c r="G1552" s="6" t="s">
        <v>32</v>
      </c>
      <c r="H1552" s="6" t="s">
        <v>33</v>
      </c>
      <c r="I1552" s="6" t="s">
        <v>767</v>
      </c>
      <c r="J1552" s="6" t="s">
        <v>767</v>
      </c>
      <c r="K1552" s="7">
        <v>6270273</v>
      </c>
      <c r="L1552" s="7">
        <v>304720</v>
      </c>
      <c r="M1552" s="7">
        <v>19</v>
      </c>
      <c r="N1552" s="7">
        <v>1</v>
      </c>
      <c r="O1552" s="7">
        <v>1.61</v>
      </c>
    </row>
    <row r="1553" spans="1:15" x14ac:dyDescent="0.25">
      <c r="A1553" s="6" t="s">
        <v>14</v>
      </c>
      <c r="B1553" s="6" t="s">
        <v>522</v>
      </c>
      <c r="C1553" s="7">
        <v>30441</v>
      </c>
      <c r="D1553" s="6" t="s">
        <v>24</v>
      </c>
      <c r="E1553" s="6" t="s">
        <v>25</v>
      </c>
      <c r="F1553" s="6" t="s">
        <v>25</v>
      </c>
      <c r="G1553" s="6" t="s">
        <v>32</v>
      </c>
      <c r="H1553" s="6" t="s">
        <v>33</v>
      </c>
      <c r="I1553" s="6" t="s">
        <v>767</v>
      </c>
      <c r="J1553" s="6" t="s">
        <v>767</v>
      </c>
      <c r="K1553" s="7">
        <v>6266445</v>
      </c>
      <c r="L1553" s="7">
        <v>341257</v>
      </c>
      <c r="M1553" s="7">
        <v>19</v>
      </c>
      <c r="N1553" s="7">
        <v>1</v>
      </c>
      <c r="O1553" s="7">
        <v>0.2</v>
      </c>
    </row>
    <row r="1554" spans="1:15" x14ac:dyDescent="0.25">
      <c r="A1554" s="6" t="s">
        <v>14</v>
      </c>
      <c r="B1554" s="6" t="s">
        <v>522</v>
      </c>
      <c r="C1554" s="7">
        <v>30443</v>
      </c>
      <c r="D1554" s="6" t="s">
        <v>24</v>
      </c>
      <c r="E1554" s="6" t="s">
        <v>25</v>
      </c>
      <c r="F1554" s="6" t="s">
        <v>25</v>
      </c>
      <c r="G1554" s="6" t="s">
        <v>32</v>
      </c>
      <c r="H1554" s="6" t="s">
        <v>33</v>
      </c>
      <c r="I1554" s="6" t="s">
        <v>767</v>
      </c>
      <c r="J1554" s="6" t="s">
        <v>767</v>
      </c>
      <c r="K1554" s="7">
        <v>6266784</v>
      </c>
      <c r="L1554" s="7">
        <v>341262</v>
      </c>
      <c r="M1554" s="7">
        <v>19</v>
      </c>
      <c r="N1554" s="7">
        <v>1</v>
      </c>
      <c r="O1554" s="7">
        <v>0.2</v>
      </c>
    </row>
    <row r="1555" spans="1:15" x14ac:dyDescent="0.25">
      <c r="A1555" s="6" t="s">
        <v>22</v>
      </c>
      <c r="B1555" s="6" t="s">
        <v>522</v>
      </c>
      <c r="C1555" s="7">
        <v>30448</v>
      </c>
      <c r="D1555" s="6" t="s">
        <v>24</v>
      </c>
      <c r="E1555" s="6" t="s">
        <v>25</v>
      </c>
      <c r="F1555" s="6" t="s">
        <v>445</v>
      </c>
      <c r="G1555" s="6" t="s">
        <v>32</v>
      </c>
      <c r="H1555" s="6" t="s">
        <v>765</v>
      </c>
      <c r="I1555" s="6" t="s">
        <v>767</v>
      </c>
      <c r="J1555" s="6" t="s">
        <v>767</v>
      </c>
      <c r="K1555" s="7">
        <v>6259161</v>
      </c>
      <c r="L1555" s="7">
        <v>332638</v>
      </c>
      <c r="M1555" s="7">
        <v>19</v>
      </c>
      <c r="N1555" s="7">
        <v>1</v>
      </c>
      <c r="O1555" s="7">
        <v>0.56000000000000005</v>
      </c>
    </row>
    <row r="1556" spans="1:15" x14ac:dyDescent="0.25">
      <c r="A1556" s="6" t="s">
        <v>28</v>
      </c>
      <c r="B1556" s="6" t="s">
        <v>522</v>
      </c>
      <c r="C1556" s="7">
        <v>30474</v>
      </c>
      <c r="D1556" s="6" t="s">
        <v>24</v>
      </c>
      <c r="E1556" s="6" t="s">
        <v>62</v>
      </c>
      <c r="F1556" s="6" t="s">
        <v>62</v>
      </c>
      <c r="G1556" s="6" t="s">
        <v>32</v>
      </c>
      <c r="H1556" s="6" t="s">
        <v>19</v>
      </c>
      <c r="I1556" s="6" t="s">
        <v>767</v>
      </c>
      <c r="J1556" s="6" t="s">
        <v>767</v>
      </c>
      <c r="K1556" s="7">
        <v>6281785</v>
      </c>
      <c r="L1556" s="7">
        <v>335317</v>
      </c>
      <c r="M1556" s="7">
        <v>19</v>
      </c>
      <c r="N1556" s="7">
        <v>1</v>
      </c>
      <c r="O1556" s="7">
        <v>2.2999999999999998</v>
      </c>
    </row>
    <row r="1557" spans="1:15" x14ac:dyDescent="0.25">
      <c r="A1557" s="6" t="s">
        <v>28</v>
      </c>
      <c r="B1557" s="6" t="s">
        <v>522</v>
      </c>
      <c r="C1557" s="7">
        <v>30475</v>
      </c>
      <c r="D1557" s="6" t="s">
        <v>24</v>
      </c>
      <c r="E1557" s="6" t="s">
        <v>96</v>
      </c>
      <c r="F1557" s="6" t="s">
        <v>542</v>
      </c>
      <c r="G1557" s="6" t="s">
        <v>32</v>
      </c>
      <c r="H1557" s="6" t="s">
        <v>19</v>
      </c>
      <c r="I1557" s="6" t="s">
        <v>767</v>
      </c>
      <c r="J1557" s="6" t="s">
        <v>767</v>
      </c>
      <c r="K1557" s="7">
        <v>6255771</v>
      </c>
      <c r="L1557" s="7">
        <v>320471</v>
      </c>
      <c r="M1557" s="7">
        <v>19</v>
      </c>
      <c r="N1557" s="7">
        <v>1</v>
      </c>
      <c r="O1557" s="7">
        <v>0.36</v>
      </c>
    </row>
    <row r="1558" spans="1:15" x14ac:dyDescent="0.25">
      <c r="A1558" s="6" t="s">
        <v>14</v>
      </c>
      <c r="B1558" s="6" t="s">
        <v>522</v>
      </c>
      <c r="C1558" s="7">
        <v>30476</v>
      </c>
      <c r="D1558" s="6" t="s">
        <v>24</v>
      </c>
      <c r="E1558" s="6" t="s">
        <v>25</v>
      </c>
      <c r="F1558" s="6" t="s">
        <v>25</v>
      </c>
      <c r="G1558" s="6" t="s">
        <v>32</v>
      </c>
      <c r="H1558" s="6" t="s">
        <v>33</v>
      </c>
      <c r="I1558" s="6" t="s">
        <v>767</v>
      </c>
      <c r="J1558" s="6" t="s">
        <v>767</v>
      </c>
      <c r="K1558" s="7">
        <v>6269216</v>
      </c>
      <c r="L1558" s="7">
        <v>338945</v>
      </c>
      <c r="M1558" s="7">
        <v>19</v>
      </c>
      <c r="N1558" s="7">
        <v>1</v>
      </c>
      <c r="O1558" s="7">
        <v>0.38</v>
      </c>
    </row>
    <row r="1559" spans="1:15" x14ac:dyDescent="0.25">
      <c r="A1559" s="6" t="s">
        <v>28</v>
      </c>
      <c r="B1559" s="6" t="s">
        <v>522</v>
      </c>
      <c r="C1559" s="7">
        <v>30477</v>
      </c>
      <c r="D1559" s="6" t="s">
        <v>24</v>
      </c>
      <c r="E1559" s="6" t="s">
        <v>96</v>
      </c>
      <c r="F1559" s="6" t="s">
        <v>542</v>
      </c>
      <c r="G1559" s="6" t="s">
        <v>32</v>
      </c>
      <c r="H1559" s="6" t="s">
        <v>19</v>
      </c>
      <c r="I1559" s="6" t="s">
        <v>767</v>
      </c>
      <c r="J1559" s="6" t="s">
        <v>767</v>
      </c>
      <c r="K1559" s="7">
        <v>6255494</v>
      </c>
      <c r="L1559" s="7">
        <v>321310</v>
      </c>
      <c r="M1559" s="7">
        <v>19</v>
      </c>
      <c r="N1559" s="7">
        <v>1</v>
      </c>
      <c r="O1559" s="7">
        <v>0.4</v>
      </c>
    </row>
    <row r="1560" spans="1:15" x14ac:dyDescent="0.25">
      <c r="A1560" s="6" t="s">
        <v>14</v>
      </c>
      <c r="B1560" s="6" t="s">
        <v>522</v>
      </c>
      <c r="C1560" s="7">
        <v>30480</v>
      </c>
      <c r="D1560" s="6" t="s">
        <v>24</v>
      </c>
      <c r="E1560" s="6" t="s">
        <v>25</v>
      </c>
      <c r="F1560" s="6" t="s">
        <v>25</v>
      </c>
      <c r="G1560" s="6" t="s">
        <v>32</v>
      </c>
      <c r="H1560" s="6" t="s">
        <v>33</v>
      </c>
      <c r="I1560" s="6" t="s">
        <v>767</v>
      </c>
      <c r="J1560" s="6" t="s">
        <v>767</v>
      </c>
      <c r="K1560" s="7">
        <v>6265853</v>
      </c>
      <c r="L1560" s="7">
        <v>341190</v>
      </c>
      <c r="M1560" s="7">
        <v>19</v>
      </c>
      <c r="N1560" s="7">
        <v>1</v>
      </c>
      <c r="O1560" s="7">
        <v>0.32</v>
      </c>
    </row>
    <row r="1561" spans="1:15" x14ac:dyDescent="0.25">
      <c r="A1561" s="6" t="s">
        <v>28</v>
      </c>
      <c r="B1561" s="6" t="s">
        <v>522</v>
      </c>
      <c r="C1561" s="7">
        <v>30481</v>
      </c>
      <c r="D1561" s="6" t="s">
        <v>24</v>
      </c>
      <c r="E1561" s="6" t="s">
        <v>37</v>
      </c>
      <c r="F1561" s="6" t="s">
        <v>37</v>
      </c>
      <c r="G1561" s="6" t="s">
        <v>32</v>
      </c>
      <c r="H1561" s="6" t="s">
        <v>19</v>
      </c>
      <c r="I1561" s="6" t="s">
        <v>767</v>
      </c>
      <c r="J1561" s="6" t="s">
        <v>767</v>
      </c>
      <c r="K1561" s="7">
        <v>6269658</v>
      </c>
      <c r="L1561" s="7">
        <v>325093</v>
      </c>
      <c r="M1561" s="7">
        <v>19</v>
      </c>
      <c r="N1561" s="7">
        <v>1</v>
      </c>
      <c r="O1561" s="7">
        <v>0.67</v>
      </c>
    </row>
    <row r="1562" spans="1:15" x14ac:dyDescent="0.25">
      <c r="A1562" s="6" t="s">
        <v>22</v>
      </c>
      <c r="B1562" s="6" t="s">
        <v>522</v>
      </c>
      <c r="C1562" s="7">
        <v>30483</v>
      </c>
      <c r="D1562" s="6" t="s">
        <v>297</v>
      </c>
      <c r="E1562" s="6" t="s">
        <v>298</v>
      </c>
      <c r="F1562" s="6" t="s">
        <v>523</v>
      </c>
      <c r="G1562" s="6" t="s">
        <v>89</v>
      </c>
      <c r="H1562" s="6" t="s">
        <v>765</v>
      </c>
      <c r="I1562" s="6" t="s">
        <v>767</v>
      </c>
      <c r="J1562" s="6" t="s">
        <v>767</v>
      </c>
      <c r="K1562" s="7">
        <v>7949646</v>
      </c>
      <c r="L1562" s="7">
        <v>378317</v>
      </c>
      <c r="M1562" s="7">
        <v>19</v>
      </c>
      <c r="N1562" s="7">
        <v>3</v>
      </c>
      <c r="O1562" s="7">
        <v>0.03</v>
      </c>
    </row>
    <row r="1563" spans="1:15" x14ac:dyDescent="0.25">
      <c r="A1563" s="6" t="s">
        <v>14</v>
      </c>
      <c r="B1563" s="6" t="s">
        <v>522</v>
      </c>
      <c r="C1563" s="7">
        <v>30486</v>
      </c>
      <c r="D1563" s="6" t="s">
        <v>24</v>
      </c>
      <c r="E1563" s="6" t="s">
        <v>543</v>
      </c>
      <c r="F1563" s="6" t="s">
        <v>543</v>
      </c>
      <c r="G1563" s="6" t="s">
        <v>32</v>
      </c>
      <c r="H1563" s="6" t="s">
        <v>33</v>
      </c>
      <c r="I1563" s="6" t="s">
        <v>767</v>
      </c>
      <c r="J1563" s="6" t="s">
        <v>767</v>
      </c>
      <c r="K1563" s="7">
        <v>6314453</v>
      </c>
      <c r="L1563" s="7">
        <v>328146</v>
      </c>
      <c r="M1563" s="7">
        <v>19</v>
      </c>
      <c r="N1563" s="7">
        <v>1</v>
      </c>
      <c r="O1563" s="7">
        <v>0.4</v>
      </c>
    </row>
    <row r="1564" spans="1:15" x14ac:dyDescent="0.25">
      <c r="A1564" s="6" t="s">
        <v>14</v>
      </c>
      <c r="B1564" s="6" t="s">
        <v>522</v>
      </c>
      <c r="C1564" s="7">
        <v>30489</v>
      </c>
      <c r="D1564" s="6" t="s">
        <v>24</v>
      </c>
      <c r="E1564" s="6" t="s">
        <v>96</v>
      </c>
      <c r="F1564" s="6" t="s">
        <v>544</v>
      </c>
      <c r="G1564" s="6" t="s">
        <v>32</v>
      </c>
      <c r="H1564" s="6" t="s">
        <v>33</v>
      </c>
      <c r="I1564" s="6" t="s">
        <v>767</v>
      </c>
      <c r="J1564" s="6" t="s">
        <v>767</v>
      </c>
      <c r="K1564" s="7">
        <v>6259646</v>
      </c>
      <c r="L1564" s="7">
        <v>342114</v>
      </c>
      <c r="M1564" s="7">
        <v>19</v>
      </c>
      <c r="N1564" s="7">
        <v>1</v>
      </c>
      <c r="O1564" s="7">
        <v>0.2</v>
      </c>
    </row>
    <row r="1565" spans="1:15" x14ac:dyDescent="0.25">
      <c r="A1565" s="6" t="s">
        <v>28</v>
      </c>
      <c r="B1565" s="6" t="s">
        <v>522</v>
      </c>
      <c r="C1565" s="7">
        <v>30492</v>
      </c>
      <c r="D1565" s="6" t="s">
        <v>24</v>
      </c>
      <c r="E1565" s="6" t="s">
        <v>96</v>
      </c>
      <c r="F1565" s="6" t="s">
        <v>545</v>
      </c>
      <c r="G1565" s="6" t="s">
        <v>32</v>
      </c>
      <c r="H1565" s="6" t="s">
        <v>19</v>
      </c>
      <c r="I1565" s="6" t="s">
        <v>767</v>
      </c>
      <c r="J1565" s="6" t="s">
        <v>767</v>
      </c>
      <c r="K1565" s="7">
        <v>6258448</v>
      </c>
      <c r="L1565" s="7">
        <v>347351</v>
      </c>
      <c r="M1565" s="7">
        <v>19</v>
      </c>
      <c r="N1565" s="7">
        <v>1</v>
      </c>
      <c r="O1565" s="7">
        <v>3.65</v>
      </c>
    </row>
    <row r="1566" spans="1:15" x14ac:dyDescent="0.25">
      <c r="A1566" s="6" t="s">
        <v>28</v>
      </c>
      <c r="B1566" s="6" t="s">
        <v>522</v>
      </c>
      <c r="C1566" s="7">
        <v>30493</v>
      </c>
      <c r="D1566" s="6" t="s">
        <v>24</v>
      </c>
      <c r="E1566" s="6" t="s">
        <v>37</v>
      </c>
      <c r="F1566" s="6" t="s">
        <v>546</v>
      </c>
      <c r="G1566" s="6" t="s">
        <v>32</v>
      </c>
      <c r="H1566" s="6" t="s">
        <v>19</v>
      </c>
      <c r="I1566" s="6" t="s">
        <v>767</v>
      </c>
      <c r="J1566" s="6" t="s">
        <v>767</v>
      </c>
      <c r="K1566" s="7">
        <v>6270687</v>
      </c>
      <c r="L1566" s="7">
        <v>316804</v>
      </c>
      <c r="M1566" s="7">
        <v>19</v>
      </c>
      <c r="N1566" s="7">
        <v>1</v>
      </c>
      <c r="O1566" s="7">
        <v>1</v>
      </c>
    </row>
    <row r="1567" spans="1:15" x14ac:dyDescent="0.25">
      <c r="A1567" s="6" t="s">
        <v>14</v>
      </c>
      <c r="B1567" s="6" t="s">
        <v>522</v>
      </c>
      <c r="C1567" s="7">
        <v>30495</v>
      </c>
      <c r="D1567" s="6" t="s">
        <v>24</v>
      </c>
      <c r="E1567" s="6" t="s">
        <v>96</v>
      </c>
      <c r="F1567" s="6" t="s">
        <v>544</v>
      </c>
      <c r="G1567" s="6" t="s">
        <v>32</v>
      </c>
      <c r="H1567" s="6" t="s">
        <v>33</v>
      </c>
      <c r="I1567" s="6" t="s">
        <v>767</v>
      </c>
      <c r="J1567" s="6" t="s">
        <v>767</v>
      </c>
      <c r="K1567" s="7">
        <v>6259814</v>
      </c>
      <c r="L1567" s="7">
        <v>341992</v>
      </c>
      <c r="M1567" s="7">
        <v>19</v>
      </c>
      <c r="N1567" s="7">
        <v>1</v>
      </c>
      <c r="O1567" s="7">
        <v>0.19</v>
      </c>
    </row>
    <row r="1568" spans="1:15" x14ac:dyDescent="0.25">
      <c r="A1568" s="6" t="s">
        <v>28</v>
      </c>
      <c r="B1568" s="6" t="s">
        <v>522</v>
      </c>
      <c r="C1568" s="7">
        <v>30496</v>
      </c>
      <c r="D1568" s="6" t="s">
        <v>24</v>
      </c>
      <c r="E1568" s="6" t="s">
        <v>96</v>
      </c>
      <c r="F1568" s="6" t="s">
        <v>542</v>
      </c>
      <c r="G1568" s="6" t="s">
        <v>32</v>
      </c>
      <c r="H1568" s="6" t="s">
        <v>19</v>
      </c>
      <c r="I1568" s="6" t="s">
        <v>767</v>
      </c>
      <c r="J1568" s="6" t="s">
        <v>767</v>
      </c>
      <c r="K1568" s="7">
        <v>6255651</v>
      </c>
      <c r="L1568" s="7">
        <v>321035</v>
      </c>
      <c r="M1568" s="7">
        <v>19</v>
      </c>
      <c r="N1568" s="7">
        <v>1</v>
      </c>
      <c r="O1568" s="7">
        <v>0.08</v>
      </c>
    </row>
    <row r="1569" spans="1:15" x14ac:dyDescent="0.25">
      <c r="A1569" s="6" t="s">
        <v>14</v>
      </c>
      <c r="B1569" s="6" t="s">
        <v>522</v>
      </c>
      <c r="C1569" s="7">
        <v>30499</v>
      </c>
      <c r="D1569" s="6" t="s">
        <v>24</v>
      </c>
      <c r="E1569" s="6" t="s">
        <v>56</v>
      </c>
      <c r="F1569" s="6" t="s">
        <v>419</v>
      </c>
      <c r="G1569" s="6" t="s">
        <v>32</v>
      </c>
      <c r="H1569" s="6" t="s">
        <v>33</v>
      </c>
      <c r="I1569" s="6" t="s">
        <v>767</v>
      </c>
      <c r="J1569" s="6" t="s">
        <v>767</v>
      </c>
      <c r="K1569" s="7">
        <v>6275614</v>
      </c>
      <c r="L1569" s="7">
        <v>340362</v>
      </c>
      <c r="M1569" s="7">
        <v>19</v>
      </c>
      <c r="N1569" s="7">
        <v>1</v>
      </c>
      <c r="O1569" s="7">
        <v>0.3</v>
      </c>
    </row>
    <row r="1570" spans="1:15" x14ac:dyDescent="0.25">
      <c r="A1570" s="6" t="s">
        <v>14</v>
      </c>
      <c r="B1570" s="6" t="s">
        <v>522</v>
      </c>
      <c r="C1570" s="7">
        <v>30500</v>
      </c>
      <c r="D1570" s="6" t="s">
        <v>24</v>
      </c>
      <c r="E1570" s="6" t="s">
        <v>56</v>
      </c>
      <c r="F1570" s="6" t="s">
        <v>419</v>
      </c>
      <c r="G1570" s="6" t="s">
        <v>32</v>
      </c>
      <c r="H1570" s="6" t="s">
        <v>33</v>
      </c>
      <c r="I1570" s="6" t="s">
        <v>767</v>
      </c>
      <c r="J1570" s="6" t="s">
        <v>767</v>
      </c>
      <c r="K1570" s="7">
        <v>6275790</v>
      </c>
      <c r="L1570" s="7">
        <v>340632</v>
      </c>
      <c r="M1570" s="7">
        <v>19</v>
      </c>
      <c r="N1570" s="7">
        <v>1</v>
      </c>
      <c r="O1570" s="7">
        <v>0.31</v>
      </c>
    </row>
    <row r="1571" spans="1:15" x14ac:dyDescent="0.25">
      <c r="A1571" s="6" t="s">
        <v>14</v>
      </c>
      <c r="B1571" s="6" t="s">
        <v>522</v>
      </c>
      <c r="C1571" s="7">
        <v>30502</v>
      </c>
      <c r="D1571" s="6" t="s">
        <v>24</v>
      </c>
      <c r="E1571" s="6" t="s">
        <v>56</v>
      </c>
      <c r="F1571" s="6" t="s">
        <v>419</v>
      </c>
      <c r="G1571" s="6" t="s">
        <v>32</v>
      </c>
      <c r="H1571" s="6" t="s">
        <v>33</v>
      </c>
      <c r="I1571" s="6" t="s">
        <v>767</v>
      </c>
      <c r="J1571" s="6" t="s">
        <v>767</v>
      </c>
      <c r="K1571" s="7">
        <v>6275790</v>
      </c>
      <c r="L1571" s="7">
        <v>340632</v>
      </c>
      <c r="M1571" s="7">
        <v>19</v>
      </c>
      <c r="N1571" s="7">
        <v>1</v>
      </c>
      <c r="O1571" s="7">
        <v>0.35</v>
      </c>
    </row>
    <row r="1572" spans="1:15" x14ac:dyDescent="0.25">
      <c r="A1572" s="6" t="s">
        <v>14</v>
      </c>
      <c r="B1572" s="6" t="s">
        <v>522</v>
      </c>
      <c r="C1572" s="7">
        <v>30503</v>
      </c>
      <c r="D1572" s="6" t="s">
        <v>24</v>
      </c>
      <c r="E1572" s="6" t="s">
        <v>56</v>
      </c>
      <c r="F1572" s="6" t="s">
        <v>419</v>
      </c>
      <c r="G1572" s="6" t="s">
        <v>32</v>
      </c>
      <c r="H1572" s="6" t="s">
        <v>33</v>
      </c>
      <c r="I1572" s="6" t="s">
        <v>767</v>
      </c>
      <c r="J1572" s="6" t="s">
        <v>767</v>
      </c>
      <c r="K1572" s="7">
        <v>6275614</v>
      </c>
      <c r="L1572" s="7">
        <v>340362</v>
      </c>
      <c r="M1572" s="7">
        <v>19</v>
      </c>
      <c r="N1572" s="7">
        <v>1</v>
      </c>
      <c r="O1572" s="7">
        <v>0.3</v>
      </c>
    </row>
    <row r="1573" spans="1:15" x14ac:dyDescent="0.25">
      <c r="A1573" s="6" t="s">
        <v>14</v>
      </c>
      <c r="B1573" s="6" t="s">
        <v>522</v>
      </c>
      <c r="C1573" s="7">
        <v>30504</v>
      </c>
      <c r="D1573" s="6" t="s">
        <v>24</v>
      </c>
      <c r="E1573" s="6" t="s">
        <v>56</v>
      </c>
      <c r="F1573" s="6" t="s">
        <v>419</v>
      </c>
      <c r="G1573" s="6" t="s">
        <v>32</v>
      </c>
      <c r="H1573" s="6" t="s">
        <v>33</v>
      </c>
      <c r="I1573" s="6" t="s">
        <v>767</v>
      </c>
      <c r="J1573" s="6" t="s">
        <v>767</v>
      </c>
      <c r="K1573" s="7">
        <v>6275790</v>
      </c>
      <c r="L1573" s="7">
        <v>340632</v>
      </c>
      <c r="M1573" s="7">
        <v>19</v>
      </c>
      <c r="N1573" s="7">
        <v>1</v>
      </c>
      <c r="O1573" s="7">
        <v>0.34</v>
      </c>
    </row>
    <row r="1574" spans="1:15" x14ac:dyDescent="0.25">
      <c r="A1574" s="6" t="s">
        <v>14</v>
      </c>
      <c r="B1574" s="6" t="s">
        <v>522</v>
      </c>
      <c r="C1574" s="7">
        <v>30505</v>
      </c>
      <c r="D1574" s="6" t="s">
        <v>24</v>
      </c>
      <c r="E1574" s="6" t="s">
        <v>56</v>
      </c>
      <c r="F1574" s="6" t="s">
        <v>419</v>
      </c>
      <c r="G1574" s="6" t="s">
        <v>32</v>
      </c>
      <c r="H1574" s="6" t="s">
        <v>33</v>
      </c>
      <c r="I1574" s="6" t="s">
        <v>767</v>
      </c>
      <c r="J1574" s="6" t="s">
        <v>767</v>
      </c>
      <c r="K1574" s="7">
        <v>6275614</v>
      </c>
      <c r="L1574" s="7">
        <v>340362</v>
      </c>
      <c r="M1574" s="7">
        <v>19</v>
      </c>
      <c r="N1574" s="7">
        <v>1</v>
      </c>
      <c r="O1574" s="7">
        <v>0.3</v>
      </c>
    </row>
    <row r="1575" spans="1:15" x14ac:dyDescent="0.25">
      <c r="A1575" s="6" t="s">
        <v>14</v>
      </c>
      <c r="B1575" s="6" t="s">
        <v>522</v>
      </c>
      <c r="C1575" s="7">
        <v>30507</v>
      </c>
      <c r="D1575" s="6" t="s">
        <v>24</v>
      </c>
      <c r="E1575" s="6" t="s">
        <v>56</v>
      </c>
      <c r="F1575" s="6" t="s">
        <v>419</v>
      </c>
      <c r="G1575" s="6" t="s">
        <v>32</v>
      </c>
      <c r="H1575" s="6" t="s">
        <v>33</v>
      </c>
      <c r="I1575" s="6" t="s">
        <v>767</v>
      </c>
      <c r="J1575" s="6" t="s">
        <v>767</v>
      </c>
      <c r="K1575" s="7">
        <v>6275420</v>
      </c>
      <c r="L1575" s="7">
        <v>340295</v>
      </c>
      <c r="M1575" s="7">
        <v>19</v>
      </c>
      <c r="N1575" s="7">
        <v>1</v>
      </c>
      <c r="O1575" s="7">
        <v>0.37</v>
      </c>
    </row>
    <row r="1576" spans="1:15" x14ac:dyDescent="0.25">
      <c r="A1576" s="6" t="s">
        <v>14</v>
      </c>
      <c r="B1576" s="6" t="s">
        <v>522</v>
      </c>
      <c r="C1576" s="7">
        <v>30508</v>
      </c>
      <c r="D1576" s="6" t="s">
        <v>24</v>
      </c>
      <c r="E1576" s="6" t="s">
        <v>56</v>
      </c>
      <c r="F1576" s="6" t="s">
        <v>419</v>
      </c>
      <c r="G1576" s="6" t="s">
        <v>32</v>
      </c>
      <c r="H1576" s="6" t="s">
        <v>33</v>
      </c>
      <c r="I1576" s="6" t="s">
        <v>767</v>
      </c>
      <c r="J1576" s="6" t="s">
        <v>767</v>
      </c>
      <c r="K1576" s="7">
        <v>6275607</v>
      </c>
      <c r="L1576" s="7">
        <v>340928</v>
      </c>
      <c r="M1576" s="7">
        <v>19</v>
      </c>
      <c r="N1576" s="7">
        <v>1</v>
      </c>
      <c r="O1576" s="7">
        <v>0.35</v>
      </c>
    </row>
    <row r="1577" spans="1:15" x14ac:dyDescent="0.25">
      <c r="A1577" s="6" t="s">
        <v>14</v>
      </c>
      <c r="B1577" s="6" t="s">
        <v>522</v>
      </c>
      <c r="C1577" s="7">
        <v>30509</v>
      </c>
      <c r="D1577" s="6" t="s">
        <v>42</v>
      </c>
      <c r="E1577" s="6" t="s">
        <v>66</v>
      </c>
      <c r="F1577" s="6" t="s">
        <v>66</v>
      </c>
      <c r="G1577" s="6" t="s">
        <v>32</v>
      </c>
      <c r="H1577" s="6" t="s">
        <v>33</v>
      </c>
      <c r="I1577" s="6" t="s">
        <v>767</v>
      </c>
      <c r="J1577" s="6" t="s">
        <v>767</v>
      </c>
      <c r="K1577" s="7">
        <v>6232987</v>
      </c>
      <c r="L1577" s="7">
        <v>344828</v>
      </c>
      <c r="M1577" s="7">
        <v>19</v>
      </c>
      <c r="N1577" s="7">
        <v>1</v>
      </c>
      <c r="O1577" s="7">
        <v>10.5</v>
      </c>
    </row>
    <row r="1578" spans="1:15" x14ac:dyDescent="0.25">
      <c r="A1578" s="6" t="s">
        <v>28</v>
      </c>
      <c r="B1578" s="6" t="s">
        <v>522</v>
      </c>
      <c r="C1578" s="7">
        <v>30512</v>
      </c>
      <c r="D1578" s="6" t="s">
        <v>24</v>
      </c>
      <c r="E1578" s="6" t="s">
        <v>56</v>
      </c>
      <c r="F1578" s="6" t="s">
        <v>547</v>
      </c>
      <c r="G1578" s="6" t="s">
        <v>32</v>
      </c>
      <c r="H1578" s="6" t="s">
        <v>19</v>
      </c>
      <c r="I1578" s="6" t="s">
        <v>767</v>
      </c>
      <c r="J1578" s="6" t="s">
        <v>767</v>
      </c>
      <c r="K1578" s="7">
        <v>6306493</v>
      </c>
      <c r="L1578" s="7">
        <v>329446</v>
      </c>
      <c r="M1578" s="7">
        <v>19</v>
      </c>
      <c r="N1578" s="7">
        <v>1</v>
      </c>
      <c r="O1578" s="7">
        <v>0.1</v>
      </c>
    </row>
    <row r="1579" spans="1:15" x14ac:dyDescent="0.25">
      <c r="A1579" s="6" t="s">
        <v>28</v>
      </c>
      <c r="B1579" s="6" t="s">
        <v>522</v>
      </c>
      <c r="C1579" s="7">
        <v>30513</v>
      </c>
      <c r="D1579" s="6" t="s">
        <v>24</v>
      </c>
      <c r="E1579" s="6" t="s">
        <v>543</v>
      </c>
      <c r="F1579" s="6" t="s">
        <v>225</v>
      </c>
      <c r="G1579" s="6" t="s">
        <v>32</v>
      </c>
      <c r="H1579" s="6" t="s">
        <v>19</v>
      </c>
      <c r="I1579" s="6" t="s">
        <v>767</v>
      </c>
      <c r="J1579" s="6" t="s">
        <v>767</v>
      </c>
      <c r="K1579" s="7">
        <v>6306616</v>
      </c>
      <c r="L1579" s="7">
        <v>330209</v>
      </c>
      <c r="M1579" s="7">
        <v>19</v>
      </c>
      <c r="N1579" s="7">
        <v>1</v>
      </c>
      <c r="O1579" s="7">
        <v>7.0000000000000007E-2</v>
      </c>
    </row>
    <row r="1580" spans="1:15" x14ac:dyDescent="0.25">
      <c r="A1580" s="6" t="s">
        <v>14</v>
      </c>
      <c r="B1580" s="6" t="s">
        <v>522</v>
      </c>
      <c r="C1580" s="7">
        <v>30516</v>
      </c>
      <c r="D1580" s="6" t="s">
        <v>24</v>
      </c>
      <c r="E1580" s="6" t="s">
        <v>31</v>
      </c>
      <c r="F1580" s="6" t="s">
        <v>438</v>
      </c>
      <c r="G1580" s="6" t="s">
        <v>32</v>
      </c>
      <c r="H1580" s="6" t="s">
        <v>33</v>
      </c>
      <c r="I1580" s="6" t="s">
        <v>767</v>
      </c>
      <c r="J1580" s="6" t="s">
        <v>767</v>
      </c>
      <c r="K1580" s="7">
        <v>6273916</v>
      </c>
      <c r="L1580" s="7">
        <v>291167</v>
      </c>
      <c r="M1580" s="7">
        <v>19</v>
      </c>
      <c r="N1580" s="7">
        <v>1</v>
      </c>
      <c r="O1580" s="7">
        <v>0.46</v>
      </c>
    </row>
    <row r="1581" spans="1:15" x14ac:dyDescent="0.25">
      <c r="A1581" s="6" t="s">
        <v>28</v>
      </c>
      <c r="B1581" s="6" t="s">
        <v>522</v>
      </c>
      <c r="C1581" s="7">
        <v>30519</v>
      </c>
      <c r="D1581" s="6" t="s">
        <v>24</v>
      </c>
      <c r="E1581" s="6" t="s">
        <v>37</v>
      </c>
      <c r="F1581" s="6" t="s">
        <v>548</v>
      </c>
      <c r="G1581" s="6" t="s">
        <v>32</v>
      </c>
      <c r="H1581" s="6" t="s">
        <v>19</v>
      </c>
      <c r="I1581" s="6" t="s">
        <v>767</v>
      </c>
      <c r="J1581" s="6" t="s">
        <v>767</v>
      </c>
      <c r="K1581" s="7">
        <v>6271556</v>
      </c>
      <c r="L1581" s="7">
        <v>325788</v>
      </c>
      <c r="M1581" s="7">
        <v>19</v>
      </c>
      <c r="N1581" s="7">
        <v>1</v>
      </c>
      <c r="O1581" s="7">
        <v>1.03</v>
      </c>
    </row>
    <row r="1582" spans="1:15" x14ac:dyDescent="0.25">
      <c r="A1582" s="6" t="s">
        <v>14</v>
      </c>
      <c r="B1582" s="6" t="s">
        <v>522</v>
      </c>
      <c r="C1582" s="7">
        <v>30526</v>
      </c>
      <c r="D1582" s="6" t="s">
        <v>24</v>
      </c>
      <c r="E1582" s="6" t="s">
        <v>96</v>
      </c>
      <c r="F1582" s="6" t="s">
        <v>96</v>
      </c>
      <c r="G1582" s="6" t="s">
        <v>32</v>
      </c>
      <c r="H1582" s="6" t="s">
        <v>33</v>
      </c>
      <c r="I1582" s="6" t="s">
        <v>767</v>
      </c>
      <c r="J1582" s="6" t="s">
        <v>767</v>
      </c>
      <c r="K1582" s="7">
        <v>6257967</v>
      </c>
      <c r="L1582" s="7">
        <v>342912</v>
      </c>
      <c r="M1582" s="7">
        <v>19</v>
      </c>
      <c r="N1582" s="7">
        <v>1</v>
      </c>
      <c r="O1582" s="7">
        <v>0.4</v>
      </c>
    </row>
    <row r="1583" spans="1:15" x14ac:dyDescent="0.25">
      <c r="A1583" s="6" t="s">
        <v>28</v>
      </c>
      <c r="B1583" s="6" t="s">
        <v>522</v>
      </c>
      <c r="C1583" s="7">
        <v>30527</v>
      </c>
      <c r="D1583" s="6" t="s">
        <v>24</v>
      </c>
      <c r="E1583" s="6" t="s">
        <v>96</v>
      </c>
      <c r="F1583" s="6" t="s">
        <v>542</v>
      </c>
      <c r="G1583" s="6" t="s">
        <v>32</v>
      </c>
      <c r="H1583" s="6" t="s">
        <v>19</v>
      </c>
      <c r="I1583" s="6" t="s">
        <v>767</v>
      </c>
      <c r="J1583" s="6" t="s">
        <v>767</v>
      </c>
      <c r="K1583" s="7">
        <v>6255600</v>
      </c>
      <c r="L1583" s="7">
        <v>320724</v>
      </c>
      <c r="M1583" s="7">
        <v>19</v>
      </c>
      <c r="N1583" s="7">
        <v>1</v>
      </c>
      <c r="O1583" s="7">
        <v>0.32</v>
      </c>
    </row>
    <row r="1584" spans="1:15" x14ac:dyDescent="0.25">
      <c r="A1584" s="6" t="s">
        <v>14</v>
      </c>
      <c r="B1584" s="6" t="s">
        <v>522</v>
      </c>
      <c r="C1584" s="7">
        <v>30530</v>
      </c>
      <c r="D1584" s="6" t="s">
        <v>24</v>
      </c>
      <c r="E1584" s="6" t="s">
        <v>37</v>
      </c>
      <c r="F1584" s="6" t="s">
        <v>37</v>
      </c>
      <c r="G1584" s="6" t="s">
        <v>32</v>
      </c>
      <c r="H1584" s="6" t="s">
        <v>33</v>
      </c>
      <c r="I1584" s="6" t="s">
        <v>767</v>
      </c>
      <c r="J1584" s="6" t="s">
        <v>767</v>
      </c>
      <c r="K1584" s="7">
        <v>6270179</v>
      </c>
      <c r="L1584" s="7">
        <v>319865</v>
      </c>
      <c r="M1584" s="7">
        <v>19</v>
      </c>
      <c r="N1584" s="7">
        <v>1</v>
      </c>
      <c r="O1584" s="7">
        <v>21.8</v>
      </c>
    </row>
    <row r="1585" spans="1:15" x14ac:dyDescent="0.25">
      <c r="A1585" s="6" t="s">
        <v>14</v>
      </c>
      <c r="B1585" s="6" t="s">
        <v>522</v>
      </c>
      <c r="C1585" s="7">
        <v>30532</v>
      </c>
      <c r="D1585" s="6" t="s">
        <v>42</v>
      </c>
      <c r="E1585" s="6" t="s">
        <v>96</v>
      </c>
      <c r="F1585" s="6" t="s">
        <v>96</v>
      </c>
      <c r="G1585" s="6" t="s">
        <v>32</v>
      </c>
      <c r="H1585" s="6" t="s">
        <v>33</v>
      </c>
      <c r="I1585" s="6" t="s">
        <v>767</v>
      </c>
      <c r="J1585" s="6" t="s">
        <v>767</v>
      </c>
      <c r="K1585" s="7">
        <v>6166087</v>
      </c>
      <c r="L1585" s="7">
        <v>290433</v>
      </c>
      <c r="M1585" s="7">
        <v>19</v>
      </c>
      <c r="N1585" s="7">
        <v>1</v>
      </c>
      <c r="O1585" s="7">
        <v>8.5</v>
      </c>
    </row>
    <row r="1586" spans="1:15" x14ac:dyDescent="0.25">
      <c r="A1586" s="6" t="s">
        <v>14</v>
      </c>
      <c r="B1586" s="6" t="s">
        <v>522</v>
      </c>
      <c r="C1586" s="7">
        <v>30533</v>
      </c>
      <c r="D1586" s="6" t="s">
        <v>42</v>
      </c>
      <c r="E1586" s="6" t="s">
        <v>51</v>
      </c>
      <c r="F1586" s="6" t="s">
        <v>51</v>
      </c>
      <c r="G1586" s="6" t="s">
        <v>32</v>
      </c>
      <c r="H1586" s="6" t="s">
        <v>33</v>
      </c>
      <c r="I1586" s="6" t="s">
        <v>767</v>
      </c>
      <c r="J1586" s="6" t="s">
        <v>767</v>
      </c>
      <c r="K1586" s="7">
        <v>6156736</v>
      </c>
      <c r="L1586" s="7">
        <v>320162</v>
      </c>
      <c r="M1586" s="7">
        <v>19</v>
      </c>
      <c r="N1586" s="7">
        <v>2</v>
      </c>
      <c r="O1586" s="7">
        <v>22</v>
      </c>
    </row>
    <row r="1587" spans="1:15" x14ac:dyDescent="0.25">
      <c r="A1587" s="6" t="s">
        <v>14</v>
      </c>
      <c r="B1587" s="6" t="s">
        <v>522</v>
      </c>
      <c r="C1587" s="7">
        <v>30534</v>
      </c>
      <c r="D1587" s="6" t="s">
        <v>42</v>
      </c>
      <c r="E1587" s="6" t="s">
        <v>448</v>
      </c>
      <c r="F1587" s="6" t="s">
        <v>149</v>
      </c>
      <c r="G1587" s="6" t="s">
        <v>32</v>
      </c>
      <c r="H1587" s="6" t="s">
        <v>33</v>
      </c>
      <c r="I1587" s="6" t="s">
        <v>767</v>
      </c>
      <c r="J1587" s="6" t="s">
        <v>767</v>
      </c>
      <c r="K1587" s="7">
        <v>6165861</v>
      </c>
      <c r="L1587" s="7">
        <v>290452</v>
      </c>
      <c r="M1587" s="7">
        <v>19</v>
      </c>
      <c r="N1587" s="7">
        <v>3</v>
      </c>
      <c r="O1587" s="7">
        <v>25</v>
      </c>
    </row>
    <row r="1588" spans="1:15" x14ac:dyDescent="0.25">
      <c r="A1588" s="6" t="s">
        <v>14</v>
      </c>
      <c r="B1588" s="6" t="s">
        <v>522</v>
      </c>
      <c r="C1588" s="7">
        <v>30535</v>
      </c>
      <c r="D1588" s="6" t="s">
        <v>42</v>
      </c>
      <c r="E1588" s="6" t="s">
        <v>51</v>
      </c>
      <c r="F1588" s="6" t="s">
        <v>51</v>
      </c>
      <c r="G1588" s="6" t="s">
        <v>32</v>
      </c>
      <c r="H1588" s="6" t="s">
        <v>33</v>
      </c>
      <c r="I1588" s="6" t="s">
        <v>767</v>
      </c>
      <c r="J1588" s="6" t="s">
        <v>767</v>
      </c>
      <c r="K1588" s="7">
        <v>6154475</v>
      </c>
      <c r="L1588" s="7">
        <v>320035</v>
      </c>
      <c r="M1588" s="7">
        <v>19</v>
      </c>
      <c r="N1588" s="7">
        <v>2</v>
      </c>
      <c r="O1588" s="7">
        <v>20.9</v>
      </c>
    </row>
    <row r="1589" spans="1:15" x14ac:dyDescent="0.25">
      <c r="A1589" s="6" t="s">
        <v>14</v>
      </c>
      <c r="B1589" s="6" t="s">
        <v>522</v>
      </c>
      <c r="C1589" s="7">
        <v>30536</v>
      </c>
      <c r="D1589" s="6" t="s">
        <v>42</v>
      </c>
      <c r="E1589" s="6" t="s">
        <v>51</v>
      </c>
      <c r="F1589" s="6" t="s">
        <v>549</v>
      </c>
      <c r="G1589" s="6" t="s">
        <v>32</v>
      </c>
      <c r="H1589" s="6" t="s">
        <v>33</v>
      </c>
      <c r="I1589" s="6" t="s">
        <v>767</v>
      </c>
      <c r="J1589" s="6" t="s">
        <v>767</v>
      </c>
      <c r="K1589" s="7">
        <v>6153732</v>
      </c>
      <c r="L1589" s="7">
        <v>320812</v>
      </c>
      <c r="M1589" s="7">
        <v>19</v>
      </c>
      <c r="N1589" s="7">
        <v>5</v>
      </c>
      <c r="O1589" s="7">
        <v>96.9</v>
      </c>
    </row>
    <row r="1590" spans="1:15" x14ac:dyDescent="0.25">
      <c r="A1590" s="6" t="s">
        <v>14</v>
      </c>
      <c r="B1590" s="6" t="s">
        <v>522</v>
      </c>
      <c r="C1590" s="7">
        <v>30537</v>
      </c>
      <c r="D1590" s="6" t="s">
        <v>42</v>
      </c>
      <c r="E1590" s="6" t="s">
        <v>51</v>
      </c>
      <c r="F1590" s="6" t="s">
        <v>51</v>
      </c>
      <c r="G1590" s="6" t="s">
        <v>32</v>
      </c>
      <c r="H1590" s="6" t="s">
        <v>33</v>
      </c>
      <c r="I1590" s="6" t="s">
        <v>767</v>
      </c>
      <c r="J1590" s="6" t="s">
        <v>767</v>
      </c>
      <c r="K1590" s="7">
        <v>6154205</v>
      </c>
      <c r="L1590" s="7">
        <v>320576</v>
      </c>
      <c r="M1590" s="7">
        <v>19</v>
      </c>
      <c r="N1590" s="7">
        <v>1</v>
      </c>
      <c r="O1590" s="7">
        <v>5</v>
      </c>
    </row>
    <row r="1591" spans="1:15" x14ac:dyDescent="0.25">
      <c r="A1591" s="6" t="s">
        <v>14</v>
      </c>
      <c r="B1591" s="6" t="s">
        <v>522</v>
      </c>
      <c r="C1591" s="7">
        <v>30540</v>
      </c>
      <c r="D1591" s="6" t="s">
        <v>42</v>
      </c>
      <c r="E1591" s="6" t="s">
        <v>51</v>
      </c>
      <c r="F1591" s="6" t="s">
        <v>51</v>
      </c>
      <c r="G1591" s="6" t="s">
        <v>32</v>
      </c>
      <c r="H1591" s="6" t="s">
        <v>33</v>
      </c>
      <c r="I1591" s="6" t="s">
        <v>767</v>
      </c>
      <c r="J1591" s="6" t="s">
        <v>767</v>
      </c>
      <c r="K1591" s="7">
        <v>6161273</v>
      </c>
      <c r="L1591" s="7">
        <v>319958</v>
      </c>
      <c r="M1591" s="7">
        <v>19</v>
      </c>
      <c r="N1591" s="7">
        <v>1</v>
      </c>
      <c r="O1591" s="7">
        <v>17</v>
      </c>
    </row>
    <row r="1592" spans="1:15" x14ac:dyDescent="0.25">
      <c r="A1592" s="6" t="s">
        <v>14</v>
      </c>
      <c r="B1592" s="6" t="s">
        <v>522</v>
      </c>
      <c r="C1592" s="7">
        <v>30541</v>
      </c>
      <c r="D1592" s="6" t="s">
        <v>42</v>
      </c>
      <c r="E1592" s="6" t="s">
        <v>51</v>
      </c>
      <c r="F1592" s="6" t="s">
        <v>51</v>
      </c>
      <c r="G1592" s="6" t="s">
        <v>32</v>
      </c>
      <c r="H1592" s="6" t="s">
        <v>33</v>
      </c>
      <c r="I1592" s="6" t="s">
        <v>767</v>
      </c>
      <c r="J1592" s="6" t="s">
        <v>764</v>
      </c>
      <c r="K1592" s="7">
        <v>6158200</v>
      </c>
      <c r="L1592" s="7">
        <v>312368</v>
      </c>
      <c r="M1592" s="7">
        <v>19</v>
      </c>
      <c r="N1592" s="7">
        <v>1</v>
      </c>
      <c r="O1592" s="7">
        <v>17</v>
      </c>
    </row>
    <row r="1593" spans="1:15" x14ac:dyDescent="0.25">
      <c r="A1593" s="6" t="s">
        <v>14</v>
      </c>
      <c r="B1593" s="6" t="s">
        <v>522</v>
      </c>
      <c r="C1593" s="7">
        <v>30542</v>
      </c>
      <c r="D1593" s="6" t="s">
        <v>42</v>
      </c>
      <c r="E1593" s="6" t="s">
        <v>196</v>
      </c>
      <c r="F1593" s="6" t="s">
        <v>196</v>
      </c>
      <c r="G1593" s="6" t="s">
        <v>32</v>
      </c>
      <c r="H1593" s="6" t="s">
        <v>33</v>
      </c>
      <c r="I1593" s="6" t="s">
        <v>767</v>
      </c>
      <c r="J1593" s="6" t="s">
        <v>767</v>
      </c>
      <c r="K1593" s="7">
        <v>6218659</v>
      </c>
      <c r="L1593" s="7">
        <v>337299</v>
      </c>
      <c r="M1593" s="7">
        <v>19</v>
      </c>
      <c r="N1593" s="7">
        <v>1</v>
      </c>
      <c r="O1593" s="7">
        <v>38</v>
      </c>
    </row>
    <row r="1594" spans="1:15" x14ac:dyDescent="0.25">
      <c r="A1594" s="6" t="s">
        <v>14</v>
      </c>
      <c r="B1594" s="6" t="s">
        <v>522</v>
      </c>
      <c r="C1594" s="7">
        <v>30543</v>
      </c>
      <c r="D1594" s="6" t="s">
        <v>42</v>
      </c>
      <c r="E1594" s="6" t="s">
        <v>51</v>
      </c>
      <c r="F1594" s="6" t="s">
        <v>76</v>
      </c>
      <c r="G1594" s="6" t="s">
        <v>32</v>
      </c>
      <c r="H1594" s="6" t="s">
        <v>33</v>
      </c>
      <c r="I1594" s="6" t="s">
        <v>767</v>
      </c>
      <c r="J1594" s="6" t="s">
        <v>764</v>
      </c>
      <c r="K1594" s="7">
        <v>6145318</v>
      </c>
      <c r="L1594" s="7">
        <v>319102</v>
      </c>
      <c r="M1594" s="7">
        <v>19</v>
      </c>
      <c r="N1594" s="7">
        <v>1</v>
      </c>
      <c r="O1594" s="7">
        <v>10</v>
      </c>
    </row>
    <row r="1595" spans="1:15" x14ac:dyDescent="0.25">
      <c r="A1595" s="6" t="s">
        <v>28</v>
      </c>
      <c r="B1595" s="6" t="s">
        <v>522</v>
      </c>
      <c r="C1595" s="7">
        <v>30546</v>
      </c>
      <c r="D1595" s="6" t="s">
        <v>24</v>
      </c>
      <c r="E1595" s="6" t="s">
        <v>96</v>
      </c>
      <c r="F1595" s="6" t="s">
        <v>550</v>
      </c>
      <c r="G1595" s="6" t="s">
        <v>32</v>
      </c>
      <c r="H1595" s="6" t="s">
        <v>19</v>
      </c>
      <c r="I1595" s="6" t="s">
        <v>767</v>
      </c>
      <c r="J1595" s="6" t="s">
        <v>767</v>
      </c>
      <c r="K1595" s="7">
        <v>6251252</v>
      </c>
      <c r="L1595" s="7">
        <v>346969</v>
      </c>
      <c r="M1595" s="7">
        <v>19</v>
      </c>
      <c r="N1595" s="7">
        <v>1</v>
      </c>
      <c r="O1595" s="7">
        <v>0.21</v>
      </c>
    </row>
    <row r="1596" spans="1:15" x14ac:dyDescent="0.25">
      <c r="A1596" s="6" t="s">
        <v>14</v>
      </c>
      <c r="B1596" s="6" t="s">
        <v>522</v>
      </c>
      <c r="C1596" s="7">
        <v>30547</v>
      </c>
      <c r="D1596" s="6" t="s">
        <v>39</v>
      </c>
      <c r="E1596" s="6" t="s">
        <v>41</v>
      </c>
      <c r="F1596" s="6" t="s">
        <v>313</v>
      </c>
      <c r="G1596" s="6" t="s">
        <v>32</v>
      </c>
      <c r="H1596" s="6" t="s">
        <v>33</v>
      </c>
      <c r="I1596" s="6" t="s">
        <v>767</v>
      </c>
      <c r="J1596" s="6" t="s">
        <v>767</v>
      </c>
      <c r="K1596" s="7">
        <v>6114350</v>
      </c>
      <c r="L1596" s="7">
        <v>274735</v>
      </c>
      <c r="M1596" s="7">
        <v>19</v>
      </c>
      <c r="N1596" s="7">
        <v>3</v>
      </c>
      <c r="O1596" s="7">
        <v>60.41</v>
      </c>
    </row>
    <row r="1597" spans="1:15" x14ac:dyDescent="0.25">
      <c r="A1597" s="6" t="s">
        <v>14</v>
      </c>
      <c r="B1597" s="6" t="s">
        <v>522</v>
      </c>
      <c r="C1597" s="7">
        <v>30548</v>
      </c>
      <c r="D1597" s="6" t="s">
        <v>39</v>
      </c>
      <c r="E1597" s="6" t="s">
        <v>64</v>
      </c>
      <c r="F1597" s="6" t="s">
        <v>551</v>
      </c>
      <c r="G1597" s="6" t="s">
        <v>32</v>
      </c>
      <c r="H1597" s="6" t="s">
        <v>33</v>
      </c>
      <c r="I1597" s="6" t="s">
        <v>767</v>
      </c>
      <c r="J1597" s="6" t="s">
        <v>767</v>
      </c>
      <c r="K1597" s="7">
        <v>6119810</v>
      </c>
      <c r="L1597" s="7">
        <v>291723</v>
      </c>
      <c r="M1597" s="7">
        <v>19</v>
      </c>
      <c r="N1597" s="7">
        <v>2</v>
      </c>
      <c r="O1597" s="7">
        <v>15.2</v>
      </c>
    </row>
    <row r="1598" spans="1:15" x14ac:dyDescent="0.25">
      <c r="A1598" s="6" t="s">
        <v>28</v>
      </c>
      <c r="B1598" s="6" t="s">
        <v>522</v>
      </c>
      <c r="C1598" s="7">
        <v>30551</v>
      </c>
      <c r="D1598" s="6" t="s">
        <v>42</v>
      </c>
      <c r="E1598" s="6" t="s">
        <v>51</v>
      </c>
      <c r="F1598" s="6" t="s">
        <v>51</v>
      </c>
      <c r="G1598" s="6" t="s">
        <v>32</v>
      </c>
      <c r="H1598" s="6" t="s">
        <v>33</v>
      </c>
      <c r="I1598" s="6" t="s">
        <v>767</v>
      </c>
      <c r="J1598" s="6" t="s">
        <v>764</v>
      </c>
      <c r="K1598" s="7">
        <v>6155014</v>
      </c>
      <c r="L1598" s="7">
        <v>320393</v>
      </c>
      <c r="M1598" s="7">
        <v>19</v>
      </c>
      <c r="N1598" s="7">
        <v>1</v>
      </c>
      <c r="O1598" s="7">
        <v>10.5</v>
      </c>
    </row>
    <row r="1599" spans="1:15" x14ac:dyDescent="0.25">
      <c r="A1599" s="6" t="s">
        <v>28</v>
      </c>
      <c r="B1599" s="6" t="s">
        <v>522</v>
      </c>
      <c r="C1599" s="7">
        <v>30553</v>
      </c>
      <c r="D1599" s="6" t="s">
        <v>42</v>
      </c>
      <c r="E1599" s="6" t="s">
        <v>51</v>
      </c>
      <c r="F1599" s="6" t="s">
        <v>51</v>
      </c>
      <c r="G1599" s="6" t="s">
        <v>32</v>
      </c>
      <c r="H1599" s="6" t="s">
        <v>33</v>
      </c>
      <c r="I1599" s="6" t="s">
        <v>767</v>
      </c>
      <c r="J1599" s="6" t="s">
        <v>764</v>
      </c>
      <c r="K1599" s="7">
        <v>6154956</v>
      </c>
      <c r="L1599" s="7">
        <v>320505</v>
      </c>
      <c r="M1599" s="7">
        <v>19</v>
      </c>
      <c r="N1599" s="7">
        <v>1</v>
      </c>
      <c r="O1599" s="7">
        <v>10.5</v>
      </c>
    </row>
    <row r="1600" spans="1:15" x14ac:dyDescent="0.25">
      <c r="A1600" s="6" t="s">
        <v>28</v>
      </c>
      <c r="B1600" s="6" t="s">
        <v>522</v>
      </c>
      <c r="C1600" s="7">
        <v>30565</v>
      </c>
      <c r="D1600" s="6" t="s">
        <v>42</v>
      </c>
      <c r="E1600" s="6" t="s">
        <v>66</v>
      </c>
      <c r="F1600" s="6" t="s">
        <v>289</v>
      </c>
      <c r="G1600" s="6" t="s">
        <v>32</v>
      </c>
      <c r="H1600" s="6" t="s">
        <v>33</v>
      </c>
      <c r="I1600" s="6" t="s">
        <v>764</v>
      </c>
      <c r="J1600" s="6" t="s">
        <v>767</v>
      </c>
      <c r="K1600" s="7">
        <v>6236456</v>
      </c>
      <c r="L1600" s="7">
        <v>347295</v>
      </c>
      <c r="M1600" s="7">
        <v>19</v>
      </c>
      <c r="N1600" s="7">
        <v>1</v>
      </c>
      <c r="O1600" s="7">
        <v>10</v>
      </c>
    </row>
    <row r="1601" spans="1:15" x14ac:dyDescent="0.25">
      <c r="A1601" s="6" t="s">
        <v>28</v>
      </c>
      <c r="B1601" s="6" t="s">
        <v>522</v>
      </c>
      <c r="C1601" s="7">
        <v>30567</v>
      </c>
      <c r="D1601" s="6" t="s">
        <v>42</v>
      </c>
      <c r="E1601" s="6" t="s">
        <v>51</v>
      </c>
      <c r="F1601" s="6" t="s">
        <v>51</v>
      </c>
      <c r="G1601" s="6" t="s">
        <v>32</v>
      </c>
      <c r="H1601" s="6" t="s">
        <v>33</v>
      </c>
      <c r="I1601" s="6" t="s">
        <v>767</v>
      </c>
      <c r="J1601" s="6" t="s">
        <v>764</v>
      </c>
      <c r="K1601" s="7">
        <v>6144297</v>
      </c>
      <c r="L1601" s="7">
        <v>318661</v>
      </c>
      <c r="M1601" s="7">
        <v>19</v>
      </c>
      <c r="N1601" s="7">
        <v>2</v>
      </c>
      <c r="O1601" s="7">
        <v>16</v>
      </c>
    </row>
    <row r="1602" spans="1:15" x14ac:dyDescent="0.25">
      <c r="A1602" s="6" t="s">
        <v>14</v>
      </c>
      <c r="B1602" s="6" t="s">
        <v>522</v>
      </c>
      <c r="C1602" s="7">
        <v>30587</v>
      </c>
      <c r="D1602" s="6" t="s">
        <v>24</v>
      </c>
      <c r="E1602" s="6" t="s">
        <v>56</v>
      </c>
      <c r="F1602" s="6" t="s">
        <v>418</v>
      </c>
      <c r="G1602" s="6" t="s">
        <v>32</v>
      </c>
      <c r="H1602" s="6" t="s">
        <v>33</v>
      </c>
      <c r="I1602" s="6" t="s">
        <v>767</v>
      </c>
      <c r="J1602" s="6" t="s">
        <v>767</v>
      </c>
      <c r="K1602" s="7">
        <v>6271278</v>
      </c>
      <c r="L1602" s="7">
        <v>336207</v>
      </c>
      <c r="M1602" s="7">
        <v>19</v>
      </c>
      <c r="N1602" s="7">
        <v>1</v>
      </c>
      <c r="O1602" s="7">
        <v>0.21</v>
      </c>
    </row>
    <row r="1603" spans="1:15" x14ac:dyDescent="0.25">
      <c r="A1603" s="6" t="s">
        <v>28</v>
      </c>
      <c r="B1603" s="6" t="s">
        <v>522</v>
      </c>
      <c r="C1603" s="7">
        <v>30589</v>
      </c>
      <c r="D1603" s="6" t="s">
        <v>24</v>
      </c>
      <c r="E1603" s="6" t="s">
        <v>552</v>
      </c>
      <c r="F1603" s="6" t="s">
        <v>553</v>
      </c>
      <c r="G1603" s="6" t="s">
        <v>32</v>
      </c>
      <c r="H1603" s="6" t="s">
        <v>19</v>
      </c>
      <c r="I1603" s="6" t="s">
        <v>767</v>
      </c>
      <c r="J1603" s="6" t="s">
        <v>767</v>
      </c>
      <c r="K1603" s="7">
        <v>6287026</v>
      </c>
      <c r="L1603" s="7">
        <v>332818</v>
      </c>
      <c r="M1603" s="7">
        <v>19</v>
      </c>
      <c r="N1603" s="7">
        <v>1</v>
      </c>
      <c r="O1603" s="7">
        <v>0.2</v>
      </c>
    </row>
    <row r="1604" spans="1:15" x14ac:dyDescent="0.25">
      <c r="A1604" s="6" t="s">
        <v>28</v>
      </c>
      <c r="B1604" s="6" t="s">
        <v>522</v>
      </c>
      <c r="C1604" s="7">
        <v>30590</v>
      </c>
      <c r="D1604" s="6" t="s">
        <v>24</v>
      </c>
      <c r="E1604" s="6" t="s">
        <v>25</v>
      </c>
      <c r="F1604" s="6" t="s">
        <v>445</v>
      </c>
      <c r="G1604" s="6" t="s">
        <v>32</v>
      </c>
      <c r="H1604" s="6" t="s">
        <v>19</v>
      </c>
      <c r="I1604" s="6" t="s">
        <v>767</v>
      </c>
      <c r="J1604" s="6" t="s">
        <v>767</v>
      </c>
      <c r="K1604" s="7">
        <v>6259699</v>
      </c>
      <c r="L1604" s="7">
        <v>336507</v>
      </c>
      <c r="M1604" s="7">
        <v>19</v>
      </c>
      <c r="N1604" s="7">
        <v>1</v>
      </c>
      <c r="O1604" s="7">
        <v>0.1</v>
      </c>
    </row>
    <row r="1605" spans="1:15" x14ac:dyDescent="0.25">
      <c r="A1605" s="6" t="s">
        <v>14</v>
      </c>
      <c r="B1605" s="6" t="s">
        <v>522</v>
      </c>
      <c r="C1605" s="7">
        <v>30592</v>
      </c>
      <c r="D1605" s="6" t="s">
        <v>24</v>
      </c>
      <c r="E1605" s="6" t="s">
        <v>96</v>
      </c>
      <c r="F1605" s="6" t="s">
        <v>544</v>
      </c>
      <c r="G1605" s="6" t="s">
        <v>32</v>
      </c>
      <c r="H1605" s="6" t="s">
        <v>33</v>
      </c>
      <c r="I1605" s="6" t="s">
        <v>767</v>
      </c>
      <c r="J1605" s="6" t="s">
        <v>767</v>
      </c>
      <c r="K1605" s="7">
        <v>6259809</v>
      </c>
      <c r="L1605" s="7">
        <v>342375</v>
      </c>
      <c r="M1605" s="7">
        <v>19</v>
      </c>
      <c r="N1605" s="7">
        <v>1</v>
      </c>
      <c r="O1605" s="7">
        <v>0.36</v>
      </c>
    </row>
    <row r="1606" spans="1:15" x14ac:dyDescent="0.25">
      <c r="A1606" s="6" t="s">
        <v>14</v>
      </c>
      <c r="B1606" s="6" t="s">
        <v>522</v>
      </c>
      <c r="C1606" s="7">
        <v>30593</v>
      </c>
      <c r="D1606" s="6" t="s">
        <v>24</v>
      </c>
      <c r="E1606" s="6" t="s">
        <v>25</v>
      </c>
      <c r="F1606" s="6" t="s">
        <v>25</v>
      </c>
      <c r="G1606" s="6" t="s">
        <v>32</v>
      </c>
      <c r="H1606" s="6" t="s">
        <v>33</v>
      </c>
      <c r="I1606" s="6" t="s">
        <v>767</v>
      </c>
      <c r="J1606" s="6" t="s">
        <v>767</v>
      </c>
      <c r="K1606" s="7">
        <v>6269035</v>
      </c>
      <c r="L1606" s="7">
        <v>338719</v>
      </c>
      <c r="M1606" s="7">
        <v>19</v>
      </c>
      <c r="N1606" s="7">
        <v>1</v>
      </c>
      <c r="O1606" s="7">
        <v>0.23</v>
      </c>
    </row>
    <row r="1607" spans="1:15" x14ac:dyDescent="0.25">
      <c r="A1607" s="6" t="s">
        <v>14</v>
      </c>
      <c r="B1607" s="6" t="s">
        <v>522</v>
      </c>
      <c r="C1607" s="7">
        <v>30594</v>
      </c>
      <c r="D1607" s="6" t="s">
        <v>24</v>
      </c>
      <c r="E1607" s="6" t="s">
        <v>25</v>
      </c>
      <c r="F1607" s="6" t="s">
        <v>25</v>
      </c>
      <c r="G1607" s="6" t="s">
        <v>32</v>
      </c>
      <c r="H1607" s="6" t="s">
        <v>33</v>
      </c>
      <c r="I1607" s="6" t="s">
        <v>767</v>
      </c>
      <c r="J1607" s="6" t="s">
        <v>767</v>
      </c>
      <c r="K1607" s="7">
        <v>6269035</v>
      </c>
      <c r="L1607" s="7">
        <v>338719</v>
      </c>
      <c r="M1607" s="7">
        <v>19</v>
      </c>
      <c r="N1607" s="7">
        <v>1</v>
      </c>
      <c r="O1607" s="7">
        <v>0.23</v>
      </c>
    </row>
    <row r="1608" spans="1:15" x14ac:dyDescent="0.25">
      <c r="A1608" s="6" t="s">
        <v>14</v>
      </c>
      <c r="B1608" s="6" t="s">
        <v>522</v>
      </c>
      <c r="C1608" s="7">
        <v>30596</v>
      </c>
      <c r="D1608" s="6" t="s">
        <v>24</v>
      </c>
      <c r="E1608" s="6" t="s">
        <v>51</v>
      </c>
      <c r="F1608" s="6" t="s">
        <v>51</v>
      </c>
      <c r="G1608" s="6" t="s">
        <v>32</v>
      </c>
      <c r="H1608" s="6" t="s">
        <v>33</v>
      </c>
      <c r="I1608" s="6" t="s">
        <v>767</v>
      </c>
      <c r="J1608" s="6" t="s">
        <v>767</v>
      </c>
      <c r="K1608" s="7">
        <v>6280210</v>
      </c>
      <c r="L1608" s="7">
        <v>330213</v>
      </c>
      <c r="M1608" s="7">
        <v>19</v>
      </c>
      <c r="N1608" s="7">
        <v>1</v>
      </c>
      <c r="O1608" s="7">
        <v>0.33</v>
      </c>
    </row>
    <row r="1609" spans="1:15" x14ac:dyDescent="0.25">
      <c r="A1609" s="6" t="s">
        <v>14</v>
      </c>
      <c r="B1609" s="6" t="s">
        <v>522</v>
      </c>
      <c r="C1609" s="7">
        <v>30597</v>
      </c>
      <c r="D1609" s="6" t="s">
        <v>24</v>
      </c>
      <c r="E1609" s="6" t="s">
        <v>51</v>
      </c>
      <c r="F1609" s="6" t="s">
        <v>51</v>
      </c>
      <c r="G1609" s="6" t="s">
        <v>32</v>
      </c>
      <c r="H1609" s="6" t="s">
        <v>33</v>
      </c>
      <c r="I1609" s="6" t="s">
        <v>767</v>
      </c>
      <c r="J1609" s="6" t="s">
        <v>767</v>
      </c>
      <c r="K1609" s="7">
        <v>6280210</v>
      </c>
      <c r="L1609" s="7">
        <v>330213</v>
      </c>
      <c r="M1609" s="7">
        <v>19</v>
      </c>
      <c r="N1609" s="7">
        <v>1</v>
      </c>
      <c r="O1609" s="7">
        <v>0.3</v>
      </c>
    </row>
    <row r="1610" spans="1:15" x14ac:dyDescent="0.25">
      <c r="A1610" s="6" t="s">
        <v>14</v>
      </c>
      <c r="B1610" s="6" t="s">
        <v>522</v>
      </c>
      <c r="C1610" s="7">
        <v>30600</v>
      </c>
      <c r="D1610" s="6" t="s">
        <v>24</v>
      </c>
      <c r="E1610" s="6" t="s">
        <v>436</v>
      </c>
      <c r="F1610" s="6" t="s">
        <v>436</v>
      </c>
      <c r="G1610" s="6" t="s">
        <v>32</v>
      </c>
      <c r="H1610" s="6" t="s">
        <v>33</v>
      </c>
      <c r="I1610" s="6" t="s">
        <v>767</v>
      </c>
      <c r="J1610" s="6" t="s">
        <v>764</v>
      </c>
      <c r="K1610" s="7">
        <v>6277881</v>
      </c>
      <c r="L1610" s="7">
        <v>334202</v>
      </c>
      <c r="M1610" s="7">
        <v>19</v>
      </c>
      <c r="N1610" s="7">
        <v>1</v>
      </c>
      <c r="O1610" s="7">
        <v>0.32</v>
      </c>
    </row>
    <row r="1611" spans="1:15" x14ac:dyDescent="0.25">
      <c r="A1611" s="6" t="s">
        <v>14</v>
      </c>
      <c r="B1611" s="6" t="s">
        <v>522</v>
      </c>
      <c r="C1611" s="7">
        <v>30601</v>
      </c>
      <c r="D1611" s="6" t="s">
        <v>24</v>
      </c>
      <c r="E1611" s="6" t="s">
        <v>436</v>
      </c>
      <c r="F1611" s="6" t="s">
        <v>436</v>
      </c>
      <c r="G1611" s="6" t="s">
        <v>32</v>
      </c>
      <c r="H1611" s="6" t="s">
        <v>33</v>
      </c>
      <c r="I1611" s="6" t="s">
        <v>767</v>
      </c>
      <c r="J1611" s="6" t="s">
        <v>764</v>
      </c>
      <c r="K1611" s="7">
        <v>6277881</v>
      </c>
      <c r="L1611" s="7">
        <v>334202</v>
      </c>
      <c r="M1611" s="7">
        <v>19</v>
      </c>
      <c r="N1611" s="7">
        <v>1</v>
      </c>
      <c r="O1611" s="7">
        <v>0.32</v>
      </c>
    </row>
    <row r="1612" spans="1:15" x14ac:dyDescent="0.25">
      <c r="A1612" s="6" t="s">
        <v>14</v>
      </c>
      <c r="B1612" s="6" t="s">
        <v>522</v>
      </c>
      <c r="C1612" s="7">
        <v>30602</v>
      </c>
      <c r="D1612" s="6" t="s">
        <v>24</v>
      </c>
      <c r="E1612" s="6" t="s">
        <v>51</v>
      </c>
      <c r="F1612" s="6" t="s">
        <v>51</v>
      </c>
      <c r="G1612" s="6" t="s">
        <v>32</v>
      </c>
      <c r="H1612" s="6" t="s">
        <v>33</v>
      </c>
      <c r="I1612" s="6" t="s">
        <v>767</v>
      </c>
      <c r="J1612" s="6" t="s">
        <v>767</v>
      </c>
      <c r="K1612" s="7">
        <v>6280210</v>
      </c>
      <c r="L1612" s="7">
        <v>330213</v>
      </c>
      <c r="M1612" s="7">
        <v>19</v>
      </c>
      <c r="N1612" s="7">
        <v>1</v>
      </c>
      <c r="O1612" s="7">
        <v>0.15</v>
      </c>
    </row>
    <row r="1613" spans="1:15" x14ac:dyDescent="0.25">
      <c r="A1613" s="6" t="s">
        <v>14</v>
      </c>
      <c r="B1613" s="6" t="s">
        <v>522</v>
      </c>
      <c r="C1613" s="7">
        <v>30603</v>
      </c>
      <c r="D1613" s="6" t="s">
        <v>24</v>
      </c>
      <c r="E1613" s="6" t="s">
        <v>436</v>
      </c>
      <c r="F1613" s="6" t="s">
        <v>436</v>
      </c>
      <c r="G1613" s="6" t="s">
        <v>32</v>
      </c>
      <c r="H1613" s="6" t="s">
        <v>33</v>
      </c>
      <c r="I1613" s="6" t="s">
        <v>767</v>
      </c>
      <c r="J1613" s="6" t="s">
        <v>767</v>
      </c>
      <c r="K1613" s="7">
        <v>6282455</v>
      </c>
      <c r="L1613" s="7">
        <v>333296</v>
      </c>
      <c r="M1613" s="7">
        <v>19</v>
      </c>
      <c r="N1613" s="7">
        <v>1</v>
      </c>
      <c r="O1613" s="7">
        <v>0.31</v>
      </c>
    </row>
    <row r="1614" spans="1:15" x14ac:dyDescent="0.25">
      <c r="A1614" s="6" t="s">
        <v>14</v>
      </c>
      <c r="B1614" s="6" t="s">
        <v>522</v>
      </c>
      <c r="C1614" s="7">
        <v>30605</v>
      </c>
      <c r="D1614" s="6" t="s">
        <v>24</v>
      </c>
      <c r="E1614" s="6" t="s">
        <v>436</v>
      </c>
      <c r="F1614" s="6" t="s">
        <v>436</v>
      </c>
      <c r="G1614" s="6" t="s">
        <v>32</v>
      </c>
      <c r="H1614" s="6" t="s">
        <v>33</v>
      </c>
      <c r="I1614" s="6" t="s">
        <v>767</v>
      </c>
      <c r="J1614" s="6" t="s">
        <v>767</v>
      </c>
      <c r="K1614" s="7">
        <v>6282455</v>
      </c>
      <c r="L1614" s="7">
        <v>333296</v>
      </c>
      <c r="M1614" s="7">
        <v>19</v>
      </c>
      <c r="N1614" s="7">
        <v>1</v>
      </c>
      <c r="O1614" s="7">
        <v>0.3</v>
      </c>
    </row>
    <row r="1615" spans="1:15" x14ac:dyDescent="0.25">
      <c r="A1615" s="6" t="s">
        <v>14</v>
      </c>
      <c r="B1615" s="6" t="s">
        <v>522</v>
      </c>
      <c r="C1615" s="7">
        <v>30606</v>
      </c>
      <c r="D1615" s="6" t="s">
        <v>24</v>
      </c>
      <c r="E1615" s="6" t="s">
        <v>436</v>
      </c>
      <c r="F1615" s="6" t="s">
        <v>436</v>
      </c>
      <c r="G1615" s="6" t="s">
        <v>32</v>
      </c>
      <c r="H1615" s="6" t="s">
        <v>33</v>
      </c>
      <c r="I1615" s="6" t="s">
        <v>767</v>
      </c>
      <c r="J1615" s="6" t="s">
        <v>767</v>
      </c>
      <c r="K1615" s="7">
        <v>6282601</v>
      </c>
      <c r="L1615" s="7">
        <v>333030</v>
      </c>
      <c r="M1615" s="7">
        <v>19</v>
      </c>
      <c r="N1615" s="7">
        <v>1</v>
      </c>
      <c r="O1615" s="7">
        <v>0.27</v>
      </c>
    </row>
    <row r="1616" spans="1:15" x14ac:dyDescent="0.25">
      <c r="A1616" s="6" t="s">
        <v>14</v>
      </c>
      <c r="B1616" s="6" t="s">
        <v>522</v>
      </c>
      <c r="C1616" s="7">
        <v>30607</v>
      </c>
      <c r="D1616" s="6" t="s">
        <v>24</v>
      </c>
      <c r="E1616" s="6" t="s">
        <v>456</v>
      </c>
      <c r="F1616" s="6" t="s">
        <v>540</v>
      </c>
      <c r="G1616" s="6" t="s">
        <v>32</v>
      </c>
      <c r="H1616" s="6" t="s">
        <v>33</v>
      </c>
      <c r="I1616" s="6" t="s">
        <v>767</v>
      </c>
      <c r="J1616" s="6" t="s">
        <v>764</v>
      </c>
      <c r="K1616" s="7">
        <v>6285023</v>
      </c>
      <c r="L1616" s="7">
        <v>336257</v>
      </c>
      <c r="M1616" s="7">
        <v>19</v>
      </c>
      <c r="N1616" s="7">
        <v>1</v>
      </c>
      <c r="O1616" s="7">
        <v>0.24</v>
      </c>
    </row>
    <row r="1617" spans="1:15" x14ac:dyDescent="0.25">
      <c r="A1617" s="6" t="s">
        <v>14</v>
      </c>
      <c r="B1617" s="6" t="s">
        <v>522</v>
      </c>
      <c r="C1617" s="7">
        <v>30609</v>
      </c>
      <c r="D1617" s="6" t="s">
        <v>24</v>
      </c>
      <c r="E1617" s="6" t="s">
        <v>436</v>
      </c>
      <c r="F1617" s="6" t="s">
        <v>436</v>
      </c>
      <c r="G1617" s="6" t="s">
        <v>32</v>
      </c>
      <c r="H1617" s="6" t="s">
        <v>33</v>
      </c>
      <c r="I1617" s="6" t="s">
        <v>767</v>
      </c>
      <c r="J1617" s="6" t="s">
        <v>767</v>
      </c>
      <c r="K1617" s="7">
        <v>6282601</v>
      </c>
      <c r="L1617" s="7">
        <v>333030</v>
      </c>
      <c r="M1617" s="7">
        <v>19</v>
      </c>
      <c r="N1617" s="7">
        <v>1</v>
      </c>
      <c r="O1617" s="7">
        <v>0.28999999999999998</v>
      </c>
    </row>
    <row r="1618" spans="1:15" x14ac:dyDescent="0.25">
      <c r="A1618" s="6" t="s">
        <v>14</v>
      </c>
      <c r="B1618" s="6" t="s">
        <v>522</v>
      </c>
      <c r="C1618" s="7">
        <v>30628</v>
      </c>
      <c r="D1618" s="6" t="s">
        <v>24</v>
      </c>
      <c r="E1618" s="6" t="s">
        <v>56</v>
      </c>
      <c r="F1618" s="6" t="s">
        <v>554</v>
      </c>
      <c r="G1618" s="6" t="s">
        <v>32</v>
      </c>
      <c r="H1618" s="6" t="s">
        <v>33</v>
      </c>
      <c r="I1618" s="6" t="s">
        <v>767</v>
      </c>
      <c r="J1618" s="6" t="s">
        <v>764</v>
      </c>
      <c r="K1618" s="7">
        <v>6277980</v>
      </c>
      <c r="L1618" s="7">
        <v>339604</v>
      </c>
      <c r="M1618" s="7">
        <v>19</v>
      </c>
      <c r="N1618" s="7">
        <v>1</v>
      </c>
      <c r="O1618" s="7">
        <v>0.24</v>
      </c>
    </row>
    <row r="1619" spans="1:15" x14ac:dyDescent="0.25">
      <c r="A1619" s="6" t="s">
        <v>28</v>
      </c>
      <c r="B1619" s="6" t="s">
        <v>522</v>
      </c>
      <c r="C1619" s="7">
        <v>30631</v>
      </c>
      <c r="D1619" s="6" t="s">
        <v>24</v>
      </c>
      <c r="E1619" s="6" t="s">
        <v>429</v>
      </c>
      <c r="F1619" s="6" t="s">
        <v>491</v>
      </c>
      <c r="G1619" s="6" t="s">
        <v>32</v>
      </c>
      <c r="H1619" s="6" t="s">
        <v>19</v>
      </c>
      <c r="I1619" s="6" t="s">
        <v>767</v>
      </c>
      <c r="J1619" s="6" t="s">
        <v>767</v>
      </c>
      <c r="K1619" s="7">
        <v>6301879</v>
      </c>
      <c r="L1619" s="7">
        <v>326318</v>
      </c>
      <c r="M1619" s="7">
        <v>19</v>
      </c>
      <c r="N1619" s="7">
        <v>1</v>
      </c>
      <c r="O1619" s="7">
        <v>0.21</v>
      </c>
    </row>
    <row r="1620" spans="1:15" x14ac:dyDescent="0.25">
      <c r="A1620" s="6" t="s">
        <v>28</v>
      </c>
      <c r="B1620" s="6" t="s">
        <v>522</v>
      </c>
      <c r="C1620" s="7">
        <v>30632</v>
      </c>
      <c r="D1620" s="6" t="s">
        <v>24</v>
      </c>
      <c r="E1620" s="6" t="s">
        <v>429</v>
      </c>
      <c r="F1620" s="6" t="s">
        <v>491</v>
      </c>
      <c r="G1620" s="6" t="s">
        <v>32</v>
      </c>
      <c r="H1620" s="6" t="s">
        <v>19</v>
      </c>
      <c r="I1620" s="6" t="s">
        <v>767</v>
      </c>
      <c r="J1620" s="6" t="s">
        <v>767</v>
      </c>
      <c r="K1620" s="7">
        <v>6301982</v>
      </c>
      <c r="L1620" s="7">
        <v>325971</v>
      </c>
      <c r="M1620" s="7">
        <v>19</v>
      </c>
      <c r="N1620" s="7">
        <v>1</v>
      </c>
      <c r="O1620" s="7">
        <v>0.3</v>
      </c>
    </row>
    <row r="1621" spans="1:15" x14ac:dyDescent="0.25">
      <c r="A1621" s="6" t="s">
        <v>28</v>
      </c>
      <c r="B1621" s="6" t="s">
        <v>522</v>
      </c>
      <c r="C1621" s="7">
        <v>30633</v>
      </c>
      <c r="D1621" s="6" t="s">
        <v>24</v>
      </c>
      <c r="E1621" s="6" t="s">
        <v>427</v>
      </c>
      <c r="F1621" s="6" t="s">
        <v>443</v>
      </c>
      <c r="G1621" s="6" t="s">
        <v>32</v>
      </c>
      <c r="H1621" s="6" t="s">
        <v>19</v>
      </c>
      <c r="I1621" s="6" t="s">
        <v>767</v>
      </c>
      <c r="J1621" s="6" t="s">
        <v>767</v>
      </c>
      <c r="K1621" s="7">
        <v>6265873</v>
      </c>
      <c r="L1621" s="7">
        <v>327406</v>
      </c>
      <c r="M1621" s="7">
        <v>19</v>
      </c>
      <c r="N1621" s="7">
        <v>1</v>
      </c>
      <c r="O1621" s="7">
        <v>4.9000000000000004</v>
      </c>
    </row>
    <row r="1622" spans="1:15" x14ac:dyDescent="0.25">
      <c r="A1622" s="6" t="s">
        <v>28</v>
      </c>
      <c r="B1622" s="6" t="s">
        <v>522</v>
      </c>
      <c r="C1622" s="7">
        <v>30634</v>
      </c>
      <c r="D1622" s="6" t="s">
        <v>24</v>
      </c>
      <c r="E1622" s="6" t="s">
        <v>40</v>
      </c>
      <c r="F1622" s="6" t="s">
        <v>555</v>
      </c>
      <c r="G1622" s="6" t="s">
        <v>32</v>
      </c>
      <c r="H1622" s="6" t="s">
        <v>19</v>
      </c>
      <c r="I1622" s="6" t="s">
        <v>767</v>
      </c>
      <c r="J1622" s="6" t="s">
        <v>767</v>
      </c>
      <c r="K1622" s="7">
        <v>6279612</v>
      </c>
      <c r="L1622" s="7">
        <v>299751</v>
      </c>
      <c r="M1622" s="7">
        <v>19</v>
      </c>
      <c r="N1622" s="7">
        <v>1</v>
      </c>
      <c r="O1622" s="7">
        <v>1.05</v>
      </c>
    </row>
    <row r="1623" spans="1:15" x14ac:dyDescent="0.25">
      <c r="A1623" s="6" t="s">
        <v>28</v>
      </c>
      <c r="B1623" s="6" t="s">
        <v>522</v>
      </c>
      <c r="C1623" s="7">
        <v>30635</v>
      </c>
      <c r="D1623" s="6" t="s">
        <v>24</v>
      </c>
      <c r="E1623" s="6" t="s">
        <v>429</v>
      </c>
      <c r="F1623" s="6" t="s">
        <v>491</v>
      </c>
      <c r="G1623" s="6" t="s">
        <v>32</v>
      </c>
      <c r="H1623" s="6" t="s">
        <v>19</v>
      </c>
      <c r="I1623" s="6" t="s">
        <v>767</v>
      </c>
      <c r="J1623" s="6" t="s">
        <v>767</v>
      </c>
      <c r="K1623" s="7">
        <v>6302109</v>
      </c>
      <c r="L1623" s="7">
        <v>326440</v>
      </c>
      <c r="M1623" s="7">
        <v>19</v>
      </c>
      <c r="N1623" s="7">
        <v>1</v>
      </c>
      <c r="O1623" s="7">
        <v>0.2</v>
      </c>
    </row>
    <row r="1624" spans="1:15" x14ac:dyDescent="0.25">
      <c r="A1624" s="6" t="s">
        <v>28</v>
      </c>
      <c r="B1624" s="6" t="s">
        <v>522</v>
      </c>
      <c r="C1624" s="7">
        <v>30637</v>
      </c>
      <c r="D1624" s="6" t="s">
        <v>24</v>
      </c>
      <c r="E1624" s="6" t="s">
        <v>40</v>
      </c>
      <c r="F1624" s="6" t="s">
        <v>555</v>
      </c>
      <c r="G1624" s="6" t="s">
        <v>32</v>
      </c>
      <c r="H1624" s="6" t="s">
        <v>19</v>
      </c>
      <c r="I1624" s="6" t="s">
        <v>767</v>
      </c>
      <c r="J1624" s="6" t="s">
        <v>767</v>
      </c>
      <c r="K1624" s="7">
        <v>6279488</v>
      </c>
      <c r="L1624" s="7">
        <v>300145</v>
      </c>
      <c r="M1624" s="7">
        <v>19</v>
      </c>
      <c r="N1624" s="7">
        <v>1</v>
      </c>
      <c r="O1624" s="7">
        <v>1</v>
      </c>
    </row>
    <row r="1625" spans="1:15" x14ac:dyDescent="0.25">
      <c r="A1625" s="6" t="s">
        <v>28</v>
      </c>
      <c r="B1625" s="6" t="s">
        <v>522</v>
      </c>
      <c r="C1625" s="7">
        <v>30638</v>
      </c>
      <c r="D1625" s="6" t="s">
        <v>24</v>
      </c>
      <c r="E1625" s="6" t="s">
        <v>40</v>
      </c>
      <c r="F1625" s="6" t="s">
        <v>555</v>
      </c>
      <c r="G1625" s="6" t="s">
        <v>32</v>
      </c>
      <c r="H1625" s="6" t="s">
        <v>19</v>
      </c>
      <c r="I1625" s="6" t="s">
        <v>767</v>
      </c>
      <c r="J1625" s="6" t="s">
        <v>767</v>
      </c>
      <c r="K1625" s="7">
        <v>6279703</v>
      </c>
      <c r="L1625" s="7">
        <v>299379</v>
      </c>
      <c r="M1625" s="7">
        <v>19</v>
      </c>
      <c r="N1625" s="7">
        <v>1</v>
      </c>
      <c r="O1625" s="7">
        <v>1.08</v>
      </c>
    </row>
    <row r="1626" spans="1:15" x14ac:dyDescent="0.25">
      <c r="A1626" s="6" t="s">
        <v>22</v>
      </c>
      <c r="B1626" s="6" t="s">
        <v>522</v>
      </c>
      <c r="C1626" s="7">
        <v>30668</v>
      </c>
      <c r="D1626" s="6" t="s">
        <v>297</v>
      </c>
      <c r="E1626" s="6" t="s">
        <v>298</v>
      </c>
      <c r="F1626" s="6" t="s">
        <v>523</v>
      </c>
      <c r="G1626" s="6" t="s">
        <v>32</v>
      </c>
      <c r="H1626" s="6" t="s">
        <v>765</v>
      </c>
      <c r="I1626" s="6" t="s">
        <v>767</v>
      </c>
      <c r="J1626" s="6" t="s">
        <v>767</v>
      </c>
      <c r="K1626" s="7">
        <v>7948343</v>
      </c>
      <c r="L1626" s="7">
        <v>381427</v>
      </c>
      <c r="M1626" s="7">
        <v>19</v>
      </c>
      <c r="N1626" s="7">
        <v>1</v>
      </c>
      <c r="O1626" s="7">
        <v>1.5</v>
      </c>
    </row>
    <row r="1627" spans="1:15" x14ac:dyDescent="0.25">
      <c r="A1627" s="6" t="s">
        <v>22</v>
      </c>
      <c r="B1627" s="6" t="s">
        <v>522</v>
      </c>
      <c r="C1627" s="7">
        <v>30671</v>
      </c>
      <c r="D1627" s="6" t="s">
        <v>297</v>
      </c>
      <c r="E1627" s="6" t="s">
        <v>298</v>
      </c>
      <c r="F1627" s="6" t="s">
        <v>413</v>
      </c>
      <c r="G1627" s="6" t="s">
        <v>32</v>
      </c>
      <c r="H1627" s="6" t="s">
        <v>765</v>
      </c>
      <c r="I1627" s="6" t="s">
        <v>767</v>
      </c>
      <c r="J1627" s="6" t="s">
        <v>767</v>
      </c>
      <c r="K1627" s="7">
        <v>7918869</v>
      </c>
      <c r="L1627" s="7">
        <v>379782</v>
      </c>
      <c r="M1627" s="7">
        <v>19</v>
      </c>
      <c r="N1627" s="7">
        <v>1</v>
      </c>
      <c r="O1627" s="7">
        <v>0.97</v>
      </c>
    </row>
    <row r="1628" spans="1:15" x14ac:dyDescent="0.25">
      <c r="A1628" s="6" t="s">
        <v>28</v>
      </c>
      <c r="B1628" s="6" t="s">
        <v>522</v>
      </c>
      <c r="C1628" s="7">
        <v>30672</v>
      </c>
      <c r="D1628" s="6" t="s">
        <v>24</v>
      </c>
      <c r="E1628" s="6" t="s">
        <v>429</v>
      </c>
      <c r="F1628" s="6" t="s">
        <v>491</v>
      </c>
      <c r="G1628" s="6" t="s">
        <v>32</v>
      </c>
      <c r="H1628" s="6" t="s">
        <v>19</v>
      </c>
      <c r="I1628" s="6" t="s">
        <v>767</v>
      </c>
      <c r="J1628" s="6" t="s">
        <v>767</v>
      </c>
      <c r="K1628" s="7">
        <v>6302171</v>
      </c>
      <c r="L1628" s="7">
        <v>326215</v>
      </c>
      <c r="M1628" s="7">
        <v>19</v>
      </c>
      <c r="N1628" s="7">
        <v>1</v>
      </c>
      <c r="O1628" s="7">
        <v>0.1</v>
      </c>
    </row>
    <row r="1629" spans="1:15" x14ac:dyDescent="0.25">
      <c r="A1629" s="6" t="s">
        <v>22</v>
      </c>
      <c r="B1629" s="6" t="s">
        <v>522</v>
      </c>
      <c r="C1629" s="7">
        <v>30692</v>
      </c>
      <c r="D1629" s="6" t="s">
        <v>297</v>
      </c>
      <c r="E1629" s="6" t="s">
        <v>298</v>
      </c>
      <c r="F1629" s="6" t="s">
        <v>523</v>
      </c>
      <c r="G1629" s="6" t="s">
        <v>32</v>
      </c>
      <c r="H1629" s="6" t="s">
        <v>765</v>
      </c>
      <c r="I1629" s="6" t="s">
        <v>767</v>
      </c>
      <c r="J1629" s="6" t="s">
        <v>767</v>
      </c>
      <c r="K1629" s="7">
        <v>7952329</v>
      </c>
      <c r="L1629" s="7">
        <v>371477</v>
      </c>
      <c r="M1629" s="7">
        <v>19</v>
      </c>
      <c r="N1629" s="7">
        <v>1</v>
      </c>
      <c r="O1629" s="7">
        <v>0.03</v>
      </c>
    </row>
    <row r="1630" spans="1:15" x14ac:dyDescent="0.25">
      <c r="A1630" s="6" t="s">
        <v>14</v>
      </c>
      <c r="B1630" s="6" t="s">
        <v>522</v>
      </c>
      <c r="C1630" s="7">
        <v>30694</v>
      </c>
      <c r="D1630" s="6" t="s">
        <v>42</v>
      </c>
      <c r="E1630" s="6" t="s">
        <v>196</v>
      </c>
      <c r="F1630" s="6" t="s">
        <v>168</v>
      </c>
      <c r="G1630" s="6" t="s">
        <v>32</v>
      </c>
      <c r="H1630" s="6" t="s">
        <v>33</v>
      </c>
      <c r="I1630" s="6" t="s">
        <v>767</v>
      </c>
      <c r="J1630" s="6" t="s">
        <v>767</v>
      </c>
      <c r="K1630" s="7">
        <v>6226120</v>
      </c>
      <c r="L1630" s="7">
        <v>346131</v>
      </c>
      <c r="M1630" s="7">
        <v>19</v>
      </c>
      <c r="N1630" s="7">
        <v>1</v>
      </c>
      <c r="O1630" s="7">
        <v>0.48</v>
      </c>
    </row>
    <row r="1631" spans="1:15" x14ac:dyDescent="0.25">
      <c r="A1631" s="6" t="s">
        <v>22</v>
      </c>
      <c r="B1631" s="6" t="s">
        <v>522</v>
      </c>
      <c r="C1631" s="7">
        <v>30696</v>
      </c>
      <c r="D1631" s="6" t="s">
        <v>297</v>
      </c>
      <c r="E1631" s="6" t="s">
        <v>298</v>
      </c>
      <c r="F1631" s="6" t="s">
        <v>523</v>
      </c>
      <c r="G1631" s="6" t="s">
        <v>32</v>
      </c>
      <c r="H1631" s="6" t="s">
        <v>765</v>
      </c>
      <c r="I1631" s="6" t="s">
        <v>767</v>
      </c>
      <c r="J1631" s="6" t="s">
        <v>767</v>
      </c>
      <c r="K1631" s="7">
        <v>7953369</v>
      </c>
      <c r="L1631" s="7">
        <v>366140</v>
      </c>
      <c r="M1631" s="7">
        <v>19</v>
      </c>
      <c r="N1631" s="7">
        <v>1</v>
      </c>
      <c r="O1631" s="7">
        <v>0.11</v>
      </c>
    </row>
    <row r="1632" spans="1:15" x14ac:dyDescent="0.25">
      <c r="A1632" s="6" t="s">
        <v>28</v>
      </c>
      <c r="B1632" s="6" t="s">
        <v>522</v>
      </c>
      <c r="C1632" s="7">
        <v>30713</v>
      </c>
      <c r="D1632" s="6" t="s">
        <v>24</v>
      </c>
      <c r="E1632" s="6" t="s">
        <v>429</v>
      </c>
      <c r="F1632" s="6" t="s">
        <v>491</v>
      </c>
      <c r="G1632" s="6" t="s">
        <v>32</v>
      </c>
      <c r="H1632" s="6" t="s">
        <v>19</v>
      </c>
      <c r="I1632" s="6" t="s">
        <v>767</v>
      </c>
      <c r="J1632" s="6" t="s">
        <v>767</v>
      </c>
      <c r="K1632" s="7">
        <v>6302501</v>
      </c>
      <c r="L1632" s="7">
        <v>326343</v>
      </c>
      <c r="M1632" s="7">
        <v>19</v>
      </c>
      <c r="N1632" s="7">
        <v>1</v>
      </c>
      <c r="O1632" s="7">
        <v>0.06</v>
      </c>
    </row>
    <row r="1633" spans="1:15" x14ac:dyDescent="0.25">
      <c r="A1633" s="6" t="s">
        <v>28</v>
      </c>
      <c r="B1633" s="6" t="s">
        <v>522</v>
      </c>
      <c r="C1633" s="7">
        <v>30714</v>
      </c>
      <c r="D1633" s="6" t="s">
        <v>24</v>
      </c>
      <c r="E1633" s="6" t="s">
        <v>429</v>
      </c>
      <c r="F1633" s="6" t="s">
        <v>491</v>
      </c>
      <c r="G1633" s="6" t="s">
        <v>32</v>
      </c>
      <c r="H1633" s="6" t="s">
        <v>19</v>
      </c>
      <c r="I1633" s="6" t="s">
        <v>767</v>
      </c>
      <c r="J1633" s="6" t="s">
        <v>767</v>
      </c>
      <c r="K1633" s="7">
        <v>6303195</v>
      </c>
      <c r="L1633" s="7">
        <v>326987</v>
      </c>
      <c r="M1633" s="7">
        <v>19</v>
      </c>
      <c r="N1633" s="7">
        <v>1</v>
      </c>
      <c r="O1633" s="7">
        <v>7.0000000000000007E-2</v>
      </c>
    </row>
    <row r="1634" spans="1:15" x14ac:dyDescent="0.25">
      <c r="A1634" s="6" t="s">
        <v>28</v>
      </c>
      <c r="B1634" s="6" t="s">
        <v>522</v>
      </c>
      <c r="C1634" s="7">
        <v>30715</v>
      </c>
      <c r="D1634" s="6" t="s">
        <v>24</v>
      </c>
      <c r="E1634" s="6" t="s">
        <v>456</v>
      </c>
      <c r="F1634" s="6" t="s">
        <v>456</v>
      </c>
      <c r="G1634" s="6" t="s">
        <v>32</v>
      </c>
      <c r="H1634" s="6" t="s">
        <v>19</v>
      </c>
      <c r="I1634" s="6" t="s">
        <v>767</v>
      </c>
      <c r="J1634" s="6" t="s">
        <v>767</v>
      </c>
      <c r="K1634" s="7">
        <v>6290123</v>
      </c>
      <c r="L1634" s="7">
        <v>332670</v>
      </c>
      <c r="M1634" s="7">
        <v>19</v>
      </c>
      <c r="N1634" s="7">
        <v>1</v>
      </c>
      <c r="O1634" s="7">
        <v>0.09</v>
      </c>
    </row>
    <row r="1635" spans="1:15" x14ac:dyDescent="0.25">
      <c r="A1635" s="6" t="s">
        <v>14</v>
      </c>
      <c r="B1635" s="6" t="s">
        <v>522</v>
      </c>
      <c r="C1635" s="7">
        <v>30722</v>
      </c>
      <c r="D1635" s="6" t="s">
        <v>24</v>
      </c>
      <c r="E1635" s="6" t="s">
        <v>25</v>
      </c>
      <c r="F1635" s="6" t="s">
        <v>25</v>
      </c>
      <c r="G1635" s="6" t="s">
        <v>32</v>
      </c>
      <c r="H1635" s="6" t="s">
        <v>33</v>
      </c>
      <c r="I1635" s="6" t="s">
        <v>767</v>
      </c>
      <c r="J1635" s="6" t="s">
        <v>767</v>
      </c>
      <c r="K1635" s="7">
        <v>6267019</v>
      </c>
      <c r="L1635" s="7">
        <v>341219</v>
      </c>
      <c r="M1635" s="7">
        <v>19</v>
      </c>
      <c r="N1635" s="7">
        <v>1</v>
      </c>
      <c r="O1635" s="7">
        <v>0.21</v>
      </c>
    </row>
    <row r="1636" spans="1:15" x14ac:dyDescent="0.25">
      <c r="A1636" s="6" t="s">
        <v>14</v>
      </c>
      <c r="B1636" s="6" t="s">
        <v>522</v>
      </c>
      <c r="C1636" s="7">
        <v>30723</v>
      </c>
      <c r="D1636" s="6" t="s">
        <v>42</v>
      </c>
      <c r="E1636" s="6" t="s">
        <v>196</v>
      </c>
      <c r="F1636" s="6" t="s">
        <v>537</v>
      </c>
      <c r="G1636" s="6" t="s">
        <v>32</v>
      </c>
      <c r="H1636" s="6" t="s">
        <v>33</v>
      </c>
      <c r="I1636" s="6" t="s">
        <v>767</v>
      </c>
      <c r="J1636" s="6" t="s">
        <v>767</v>
      </c>
      <c r="K1636" s="7">
        <v>6226300</v>
      </c>
      <c r="L1636" s="7">
        <v>344943</v>
      </c>
      <c r="M1636" s="7">
        <v>19</v>
      </c>
      <c r="N1636" s="7">
        <v>1</v>
      </c>
      <c r="O1636" s="7">
        <v>0.31</v>
      </c>
    </row>
    <row r="1637" spans="1:15" x14ac:dyDescent="0.25">
      <c r="A1637" s="6" t="s">
        <v>14</v>
      </c>
      <c r="B1637" s="6" t="s">
        <v>522</v>
      </c>
      <c r="C1637" s="7">
        <v>30724</v>
      </c>
      <c r="D1637" s="6" t="s">
        <v>24</v>
      </c>
      <c r="E1637" s="6" t="s">
        <v>25</v>
      </c>
      <c r="F1637" s="6" t="s">
        <v>25</v>
      </c>
      <c r="G1637" s="6" t="s">
        <v>32</v>
      </c>
      <c r="H1637" s="6" t="s">
        <v>33</v>
      </c>
      <c r="I1637" s="6" t="s">
        <v>767</v>
      </c>
      <c r="J1637" s="6" t="s">
        <v>767</v>
      </c>
      <c r="K1637" s="7">
        <v>6265859</v>
      </c>
      <c r="L1637" s="7">
        <v>341355</v>
      </c>
      <c r="M1637" s="7">
        <v>19</v>
      </c>
      <c r="N1637" s="7">
        <v>1</v>
      </c>
      <c r="O1637" s="7">
        <v>0.27</v>
      </c>
    </row>
    <row r="1638" spans="1:15" x14ac:dyDescent="0.25">
      <c r="A1638" s="6" t="s">
        <v>14</v>
      </c>
      <c r="B1638" s="6" t="s">
        <v>522</v>
      </c>
      <c r="C1638" s="7">
        <v>30726</v>
      </c>
      <c r="D1638" s="6" t="s">
        <v>24</v>
      </c>
      <c r="E1638" s="6" t="s">
        <v>96</v>
      </c>
      <c r="F1638" s="6" t="s">
        <v>544</v>
      </c>
      <c r="G1638" s="6" t="s">
        <v>32</v>
      </c>
      <c r="H1638" s="6" t="s">
        <v>33</v>
      </c>
      <c r="I1638" s="6" t="s">
        <v>767</v>
      </c>
      <c r="J1638" s="6" t="s">
        <v>767</v>
      </c>
      <c r="K1638" s="7">
        <v>6259812</v>
      </c>
      <c r="L1638" s="7">
        <v>341829</v>
      </c>
      <c r="M1638" s="7">
        <v>19</v>
      </c>
      <c r="N1638" s="7">
        <v>1</v>
      </c>
      <c r="O1638" s="7">
        <v>0.17</v>
      </c>
    </row>
    <row r="1639" spans="1:15" x14ac:dyDescent="0.25">
      <c r="A1639" s="6" t="s">
        <v>14</v>
      </c>
      <c r="B1639" s="6" t="s">
        <v>522</v>
      </c>
      <c r="C1639" s="7">
        <v>30727</v>
      </c>
      <c r="D1639" s="6" t="s">
        <v>42</v>
      </c>
      <c r="E1639" s="6" t="s">
        <v>196</v>
      </c>
      <c r="F1639" s="6" t="s">
        <v>537</v>
      </c>
      <c r="G1639" s="6" t="s">
        <v>32</v>
      </c>
      <c r="H1639" s="6" t="s">
        <v>33</v>
      </c>
      <c r="I1639" s="6" t="s">
        <v>767</v>
      </c>
      <c r="J1639" s="6" t="s">
        <v>767</v>
      </c>
      <c r="K1639" s="7">
        <v>6226336</v>
      </c>
      <c r="L1639" s="7">
        <v>345236</v>
      </c>
      <c r="M1639" s="7">
        <v>19</v>
      </c>
      <c r="N1639" s="7">
        <v>1</v>
      </c>
      <c r="O1639" s="7">
        <v>0.41</v>
      </c>
    </row>
    <row r="1640" spans="1:15" x14ac:dyDescent="0.25">
      <c r="A1640" s="6" t="s">
        <v>14</v>
      </c>
      <c r="B1640" s="6" t="s">
        <v>522</v>
      </c>
      <c r="C1640" s="7">
        <v>30730</v>
      </c>
      <c r="D1640" s="6" t="s">
        <v>24</v>
      </c>
      <c r="E1640" s="6" t="s">
        <v>96</v>
      </c>
      <c r="F1640" s="6" t="s">
        <v>96</v>
      </c>
      <c r="G1640" s="6" t="s">
        <v>32</v>
      </c>
      <c r="H1640" s="6" t="s">
        <v>33</v>
      </c>
      <c r="I1640" s="6" t="s">
        <v>767</v>
      </c>
      <c r="J1640" s="6" t="s">
        <v>767</v>
      </c>
      <c r="K1640" s="7">
        <v>6256645</v>
      </c>
      <c r="L1640" s="7">
        <v>342591</v>
      </c>
      <c r="M1640" s="7">
        <v>19</v>
      </c>
      <c r="N1640" s="7">
        <v>1</v>
      </c>
      <c r="O1640" s="7">
        <v>0.45</v>
      </c>
    </row>
    <row r="1641" spans="1:15" x14ac:dyDescent="0.25">
      <c r="A1641" s="6" t="s">
        <v>14</v>
      </c>
      <c r="B1641" s="6" t="s">
        <v>522</v>
      </c>
      <c r="C1641" s="7">
        <v>30731</v>
      </c>
      <c r="D1641" s="6" t="s">
        <v>42</v>
      </c>
      <c r="E1641" s="6" t="s">
        <v>196</v>
      </c>
      <c r="F1641" s="6" t="s">
        <v>537</v>
      </c>
      <c r="G1641" s="6" t="s">
        <v>32</v>
      </c>
      <c r="H1641" s="6" t="s">
        <v>33</v>
      </c>
      <c r="I1641" s="6" t="s">
        <v>767</v>
      </c>
      <c r="J1641" s="6" t="s">
        <v>767</v>
      </c>
      <c r="K1641" s="7">
        <v>6226536</v>
      </c>
      <c r="L1641" s="7">
        <v>344981</v>
      </c>
      <c r="M1641" s="7">
        <v>19</v>
      </c>
      <c r="N1641" s="7">
        <v>1</v>
      </c>
      <c r="O1641" s="7">
        <v>0.2</v>
      </c>
    </row>
    <row r="1642" spans="1:15" x14ac:dyDescent="0.25">
      <c r="A1642" s="6" t="s">
        <v>14</v>
      </c>
      <c r="B1642" s="6" t="s">
        <v>522</v>
      </c>
      <c r="C1642" s="7">
        <v>30732</v>
      </c>
      <c r="D1642" s="6" t="s">
        <v>42</v>
      </c>
      <c r="E1642" s="6" t="s">
        <v>196</v>
      </c>
      <c r="F1642" s="6" t="s">
        <v>537</v>
      </c>
      <c r="G1642" s="6" t="s">
        <v>32</v>
      </c>
      <c r="H1642" s="6" t="s">
        <v>33</v>
      </c>
      <c r="I1642" s="6" t="s">
        <v>767</v>
      </c>
      <c r="J1642" s="6" t="s">
        <v>767</v>
      </c>
      <c r="K1642" s="7">
        <v>6226536</v>
      </c>
      <c r="L1642" s="7">
        <v>344981</v>
      </c>
      <c r="M1642" s="7">
        <v>19</v>
      </c>
      <c r="N1642" s="7">
        <v>1</v>
      </c>
      <c r="O1642" s="7">
        <v>0.17</v>
      </c>
    </row>
    <row r="1643" spans="1:15" x14ac:dyDescent="0.25">
      <c r="A1643" s="6" t="s">
        <v>14</v>
      </c>
      <c r="B1643" s="6" t="s">
        <v>522</v>
      </c>
      <c r="C1643" s="7">
        <v>30733</v>
      </c>
      <c r="D1643" s="6" t="s">
        <v>42</v>
      </c>
      <c r="E1643" s="6" t="s">
        <v>196</v>
      </c>
      <c r="F1643" s="6" t="s">
        <v>168</v>
      </c>
      <c r="G1643" s="6" t="s">
        <v>32</v>
      </c>
      <c r="H1643" s="6" t="s">
        <v>33</v>
      </c>
      <c r="I1643" s="6" t="s">
        <v>767</v>
      </c>
      <c r="J1643" s="6" t="s">
        <v>767</v>
      </c>
      <c r="K1643" s="7">
        <v>6226123</v>
      </c>
      <c r="L1643" s="7">
        <v>346787</v>
      </c>
      <c r="M1643" s="7">
        <v>19</v>
      </c>
      <c r="N1643" s="7">
        <v>1</v>
      </c>
      <c r="O1643" s="7">
        <v>0.26</v>
      </c>
    </row>
    <row r="1644" spans="1:15" x14ac:dyDescent="0.25">
      <c r="A1644" s="6" t="s">
        <v>14</v>
      </c>
      <c r="B1644" s="6" t="s">
        <v>522</v>
      </c>
      <c r="C1644" s="7">
        <v>30735</v>
      </c>
      <c r="D1644" s="6" t="s">
        <v>42</v>
      </c>
      <c r="E1644" s="6" t="s">
        <v>196</v>
      </c>
      <c r="F1644" s="6" t="s">
        <v>168</v>
      </c>
      <c r="G1644" s="6" t="s">
        <v>32</v>
      </c>
      <c r="H1644" s="6" t="s">
        <v>33</v>
      </c>
      <c r="I1644" s="6" t="s">
        <v>767</v>
      </c>
      <c r="J1644" s="6" t="s">
        <v>767</v>
      </c>
      <c r="K1644" s="7">
        <v>6226354</v>
      </c>
      <c r="L1644" s="7">
        <v>347049</v>
      </c>
      <c r="M1644" s="7">
        <v>19</v>
      </c>
      <c r="N1644" s="7">
        <v>1</v>
      </c>
      <c r="O1644" s="7">
        <v>0.24</v>
      </c>
    </row>
    <row r="1645" spans="1:15" x14ac:dyDescent="0.25">
      <c r="A1645" s="6" t="s">
        <v>14</v>
      </c>
      <c r="B1645" s="6" t="s">
        <v>522</v>
      </c>
      <c r="C1645" s="7">
        <v>30736</v>
      </c>
      <c r="D1645" s="6" t="s">
        <v>24</v>
      </c>
      <c r="E1645" s="6" t="s">
        <v>25</v>
      </c>
      <c r="F1645" s="6" t="s">
        <v>556</v>
      </c>
      <c r="G1645" s="6" t="s">
        <v>32</v>
      </c>
      <c r="H1645" s="6" t="s">
        <v>33</v>
      </c>
      <c r="I1645" s="6" t="s">
        <v>767</v>
      </c>
      <c r="J1645" s="6" t="s">
        <v>767</v>
      </c>
      <c r="K1645" s="7">
        <v>6261986</v>
      </c>
      <c r="L1645" s="7">
        <v>330848</v>
      </c>
      <c r="M1645" s="7">
        <v>19</v>
      </c>
      <c r="N1645" s="7">
        <v>1</v>
      </c>
      <c r="O1645" s="7">
        <v>0.31</v>
      </c>
    </row>
    <row r="1646" spans="1:15" x14ac:dyDescent="0.25">
      <c r="A1646" s="6" t="s">
        <v>14</v>
      </c>
      <c r="B1646" s="6" t="s">
        <v>522</v>
      </c>
      <c r="C1646" s="7">
        <v>30737</v>
      </c>
      <c r="D1646" s="6" t="s">
        <v>42</v>
      </c>
      <c r="E1646" s="6" t="s">
        <v>196</v>
      </c>
      <c r="F1646" s="6" t="s">
        <v>168</v>
      </c>
      <c r="G1646" s="6" t="s">
        <v>32</v>
      </c>
      <c r="H1646" s="6" t="s">
        <v>33</v>
      </c>
      <c r="I1646" s="6" t="s">
        <v>767</v>
      </c>
      <c r="J1646" s="6" t="s">
        <v>767</v>
      </c>
      <c r="K1646" s="7">
        <v>6226490</v>
      </c>
      <c r="L1646" s="7">
        <v>346910</v>
      </c>
      <c r="M1646" s="7">
        <v>19</v>
      </c>
      <c r="N1646" s="7">
        <v>1</v>
      </c>
      <c r="O1646" s="7">
        <v>0.22</v>
      </c>
    </row>
    <row r="1647" spans="1:15" x14ac:dyDescent="0.25">
      <c r="A1647" s="6" t="s">
        <v>14</v>
      </c>
      <c r="B1647" s="6" t="s">
        <v>522</v>
      </c>
      <c r="C1647" s="7">
        <v>30738</v>
      </c>
      <c r="D1647" s="6" t="s">
        <v>24</v>
      </c>
      <c r="E1647" s="6" t="s">
        <v>557</v>
      </c>
      <c r="F1647" s="6" t="s">
        <v>557</v>
      </c>
      <c r="G1647" s="6" t="s">
        <v>32</v>
      </c>
      <c r="H1647" s="6" t="s">
        <v>33</v>
      </c>
      <c r="I1647" s="6" t="s">
        <v>767</v>
      </c>
      <c r="J1647" s="6" t="s">
        <v>767</v>
      </c>
      <c r="K1647" s="7">
        <v>6283341</v>
      </c>
      <c r="L1647" s="7">
        <v>330420</v>
      </c>
      <c r="M1647" s="7">
        <v>19</v>
      </c>
      <c r="N1647" s="7">
        <v>1</v>
      </c>
      <c r="O1647" s="7">
        <v>0.41</v>
      </c>
    </row>
    <row r="1648" spans="1:15" x14ac:dyDescent="0.25">
      <c r="A1648" s="6" t="s">
        <v>28</v>
      </c>
      <c r="B1648" s="6" t="s">
        <v>522</v>
      </c>
      <c r="C1648" s="7">
        <v>30739</v>
      </c>
      <c r="D1648" s="6" t="s">
        <v>24</v>
      </c>
      <c r="E1648" s="6" t="s">
        <v>456</v>
      </c>
      <c r="F1648" s="6" t="s">
        <v>456</v>
      </c>
      <c r="G1648" s="6" t="s">
        <v>32</v>
      </c>
      <c r="H1648" s="6" t="s">
        <v>19</v>
      </c>
      <c r="I1648" s="6" t="s">
        <v>767</v>
      </c>
      <c r="J1648" s="6" t="s">
        <v>767</v>
      </c>
      <c r="K1648" s="7">
        <v>6271455</v>
      </c>
      <c r="L1648" s="7">
        <v>320254</v>
      </c>
      <c r="M1648" s="7">
        <v>19</v>
      </c>
      <c r="N1648" s="7">
        <v>1</v>
      </c>
      <c r="O1648" s="7">
        <v>2.4</v>
      </c>
    </row>
    <row r="1649" spans="1:15" x14ac:dyDescent="0.25">
      <c r="A1649" s="6" t="s">
        <v>28</v>
      </c>
      <c r="B1649" s="6" t="s">
        <v>522</v>
      </c>
      <c r="C1649" s="7">
        <v>30740</v>
      </c>
      <c r="D1649" s="6" t="s">
        <v>24</v>
      </c>
      <c r="E1649" s="6" t="s">
        <v>456</v>
      </c>
      <c r="F1649" s="6" t="s">
        <v>558</v>
      </c>
      <c r="G1649" s="6" t="s">
        <v>32</v>
      </c>
      <c r="H1649" s="6" t="s">
        <v>19</v>
      </c>
      <c r="I1649" s="6" t="s">
        <v>767</v>
      </c>
      <c r="J1649" s="6" t="s">
        <v>767</v>
      </c>
      <c r="K1649" s="7">
        <v>6291150</v>
      </c>
      <c r="L1649" s="7">
        <v>329366</v>
      </c>
      <c r="M1649" s="7">
        <v>19</v>
      </c>
      <c r="N1649" s="7">
        <v>1</v>
      </c>
      <c r="O1649" s="7">
        <v>0.3</v>
      </c>
    </row>
    <row r="1650" spans="1:15" x14ac:dyDescent="0.25">
      <c r="A1650" s="6" t="s">
        <v>22</v>
      </c>
      <c r="B1650" s="6" t="s">
        <v>522</v>
      </c>
      <c r="C1650" s="7">
        <v>30742</v>
      </c>
      <c r="D1650" s="6" t="s">
        <v>24</v>
      </c>
      <c r="E1650" s="6" t="s">
        <v>96</v>
      </c>
      <c r="F1650" s="6" t="s">
        <v>69</v>
      </c>
      <c r="G1650" s="6" t="s">
        <v>50</v>
      </c>
      <c r="H1650" s="6" t="s">
        <v>765</v>
      </c>
      <c r="I1650" s="6" t="s">
        <v>767</v>
      </c>
      <c r="J1650" s="6" t="s">
        <v>767</v>
      </c>
      <c r="K1650" s="7">
        <v>6262852</v>
      </c>
      <c r="L1650" s="7">
        <v>344282</v>
      </c>
      <c r="M1650" s="7">
        <v>19</v>
      </c>
      <c r="N1650" s="7">
        <v>1</v>
      </c>
      <c r="O1650" s="7">
        <v>16.5</v>
      </c>
    </row>
    <row r="1651" spans="1:15" x14ac:dyDescent="0.25">
      <c r="A1651" s="6" t="s">
        <v>14</v>
      </c>
      <c r="B1651" s="6" t="s">
        <v>522</v>
      </c>
      <c r="C1651" s="7">
        <v>30759</v>
      </c>
      <c r="D1651" s="6" t="s">
        <v>42</v>
      </c>
      <c r="E1651" s="6" t="s">
        <v>51</v>
      </c>
      <c r="F1651" s="6" t="s">
        <v>51</v>
      </c>
      <c r="G1651" s="6" t="s">
        <v>32</v>
      </c>
      <c r="H1651" s="6" t="s">
        <v>33</v>
      </c>
      <c r="I1651" s="6" t="s">
        <v>767</v>
      </c>
      <c r="J1651" s="6" t="s">
        <v>767</v>
      </c>
      <c r="K1651" s="7">
        <v>6159081</v>
      </c>
      <c r="L1651" s="7">
        <v>320945</v>
      </c>
      <c r="M1651" s="7">
        <v>19</v>
      </c>
      <c r="N1651" s="7">
        <v>1</v>
      </c>
      <c r="O1651" s="7">
        <v>10</v>
      </c>
    </row>
    <row r="1652" spans="1:15" x14ac:dyDescent="0.25">
      <c r="A1652" s="6" t="s">
        <v>14</v>
      </c>
      <c r="B1652" s="6" t="s">
        <v>522</v>
      </c>
      <c r="C1652" s="7">
        <v>30760</v>
      </c>
      <c r="D1652" s="6" t="s">
        <v>42</v>
      </c>
      <c r="E1652" s="6" t="s">
        <v>51</v>
      </c>
      <c r="F1652" s="6" t="s">
        <v>51</v>
      </c>
      <c r="G1652" s="6" t="s">
        <v>32</v>
      </c>
      <c r="H1652" s="6" t="s">
        <v>33</v>
      </c>
      <c r="I1652" s="6" t="s">
        <v>767</v>
      </c>
      <c r="J1652" s="6" t="s">
        <v>767</v>
      </c>
      <c r="K1652" s="7">
        <v>6159117</v>
      </c>
      <c r="L1652" s="7">
        <v>320381</v>
      </c>
      <c r="M1652" s="7">
        <v>19</v>
      </c>
      <c r="N1652" s="7">
        <v>6</v>
      </c>
      <c r="O1652" s="7">
        <v>97</v>
      </c>
    </row>
    <row r="1653" spans="1:15" x14ac:dyDescent="0.25">
      <c r="A1653" s="6" t="s">
        <v>14</v>
      </c>
      <c r="B1653" s="6" t="s">
        <v>522</v>
      </c>
      <c r="C1653" s="7">
        <v>30761</v>
      </c>
      <c r="D1653" s="6" t="s">
        <v>24</v>
      </c>
      <c r="E1653" s="6" t="s">
        <v>56</v>
      </c>
      <c r="F1653" s="6" t="s">
        <v>464</v>
      </c>
      <c r="G1653" s="6" t="s">
        <v>32</v>
      </c>
      <c r="H1653" s="6" t="s">
        <v>33</v>
      </c>
      <c r="I1653" s="6" t="s">
        <v>767</v>
      </c>
      <c r="J1653" s="6" t="s">
        <v>767</v>
      </c>
      <c r="K1653" s="7">
        <v>6278263</v>
      </c>
      <c r="L1653" s="7">
        <v>346367</v>
      </c>
      <c r="M1653" s="7">
        <v>19</v>
      </c>
      <c r="N1653" s="7">
        <v>1</v>
      </c>
      <c r="O1653" s="7">
        <v>0.2</v>
      </c>
    </row>
    <row r="1654" spans="1:15" x14ac:dyDescent="0.25">
      <c r="A1654" s="6" t="s">
        <v>14</v>
      </c>
      <c r="B1654" s="6" t="s">
        <v>522</v>
      </c>
      <c r="C1654" s="7">
        <v>30762</v>
      </c>
      <c r="D1654" s="6" t="s">
        <v>24</v>
      </c>
      <c r="E1654" s="6" t="s">
        <v>56</v>
      </c>
      <c r="F1654" s="6" t="s">
        <v>464</v>
      </c>
      <c r="G1654" s="6" t="s">
        <v>32</v>
      </c>
      <c r="H1654" s="6" t="s">
        <v>33</v>
      </c>
      <c r="I1654" s="6" t="s">
        <v>767</v>
      </c>
      <c r="J1654" s="6" t="s">
        <v>767</v>
      </c>
      <c r="K1654" s="7">
        <v>6278296</v>
      </c>
      <c r="L1654" s="7">
        <v>346082</v>
      </c>
      <c r="M1654" s="7">
        <v>19</v>
      </c>
      <c r="N1654" s="7">
        <v>1</v>
      </c>
      <c r="O1654" s="7">
        <v>0.36</v>
      </c>
    </row>
    <row r="1655" spans="1:15" x14ac:dyDescent="0.25">
      <c r="A1655" s="6" t="s">
        <v>14</v>
      </c>
      <c r="B1655" s="6" t="s">
        <v>522</v>
      </c>
      <c r="C1655" s="7">
        <v>30774</v>
      </c>
      <c r="D1655" s="6" t="s">
        <v>42</v>
      </c>
      <c r="E1655" s="6" t="s">
        <v>51</v>
      </c>
      <c r="F1655" s="6" t="s">
        <v>51</v>
      </c>
      <c r="G1655" s="6" t="s">
        <v>32</v>
      </c>
      <c r="H1655" s="6" t="s">
        <v>33</v>
      </c>
      <c r="I1655" s="6" t="s">
        <v>767</v>
      </c>
      <c r="J1655" s="6" t="s">
        <v>767</v>
      </c>
      <c r="K1655" s="7">
        <v>6158864</v>
      </c>
      <c r="L1655" s="7">
        <v>319395</v>
      </c>
      <c r="M1655" s="7">
        <v>19</v>
      </c>
      <c r="N1655" s="7">
        <v>1</v>
      </c>
      <c r="O1655" s="7">
        <v>12</v>
      </c>
    </row>
    <row r="1656" spans="1:15" x14ac:dyDescent="0.25">
      <c r="A1656" s="6" t="s">
        <v>14</v>
      </c>
      <c r="B1656" s="6" t="s">
        <v>522</v>
      </c>
      <c r="C1656" s="7">
        <v>30785</v>
      </c>
      <c r="D1656" s="6" t="s">
        <v>24</v>
      </c>
      <c r="E1656" s="6" t="s">
        <v>49</v>
      </c>
      <c r="F1656" s="6" t="s">
        <v>49</v>
      </c>
      <c r="G1656" s="6" t="s">
        <v>32</v>
      </c>
      <c r="H1656" s="6" t="s">
        <v>33</v>
      </c>
      <c r="I1656" s="6" t="s">
        <v>767</v>
      </c>
      <c r="J1656" s="6" t="s">
        <v>767</v>
      </c>
      <c r="K1656" s="7">
        <v>6278024</v>
      </c>
      <c r="L1656" s="7">
        <v>354668</v>
      </c>
      <c r="M1656" s="7">
        <v>19</v>
      </c>
      <c r="N1656" s="7">
        <v>1</v>
      </c>
      <c r="O1656" s="7">
        <v>10</v>
      </c>
    </row>
    <row r="1657" spans="1:15" x14ac:dyDescent="0.25">
      <c r="A1657" s="6" t="s">
        <v>14</v>
      </c>
      <c r="B1657" s="6" t="s">
        <v>522</v>
      </c>
      <c r="C1657" s="7">
        <v>30788</v>
      </c>
      <c r="D1657" s="6" t="s">
        <v>42</v>
      </c>
      <c r="E1657" s="6" t="s">
        <v>192</v>
      </c>
      <c r="F1657" s="6" t="s">
        <v>193</v>
      </c>
      <c r="G1657" s="6" t="s">
        <v>32</v>
      </c>
      <c r="H1657" s="6" t="s">
        <v>33</v>
      </c>
      <c r="I1657" s="6" t="s">
        <v>767</v>
      </c>
      <c r="J1657" s="6" t="s">
        <v>764</v>
      </c>
      <c r="K1657" s="7">
        <v>6237887</v>
      </c>
      <c r="L1657" s="7">
        <v>349315</v>
      </c>
      <c r="M1657" s="7">
        <v>19</v>
      </c>
      <c r="N1657" s="7">
        <v>3</v>
      </c>
      <c r="O1657" s="7">
        <v>7</v>
      </c>
    </row>
    <row r="1658" spans="1:15" x14ac:dyDescent="0.25">
      <c r="A1658" s="6" t="s">
        <v>14</v>
      </c>
      <c r="B1658" s="6" t="s">
        <v>522</v>
      </c>
      <c r="C1658" s="7">
        <v>30789</v>
      </c>
      <c r="D1658" s="6" t="s">
        <v>42</v>
      </c>
      <c r="E1658" s="6" t="s">
        <v>51</v>
      </c>
      <c r="F1658" s="6" t="s">
        <v>288</v>
      </c>
      <c r="G1658" s="6" t="s">
        <v>32</v>
      </c>
      <c r="H1658" s="6" t="s">
        <v>33</v>
      </c>
      <c r="I1658" s="6" t="s">
        <v>767</v>
      </c>
      <c r="J1658" s="6" t="s">
        <v>767</v>
      </c>
      <c r="K1658" s="7">
        <v>6159432</v>
      </c>
      <c r="L1658" s="7">
        <v>319366</v>
      </c>
      <c r="M1658" s="7">
        <v>19</v>
      </c>
      <c r="N1658" s="7">
        <v>1</v>
      </c>
      <c r="O1658" s="7">
        <v>15</v>
      </c>
    </row>
    <row r="1659" spans="1:15" x14ac:dyDescent="0.25">
      <c r="A1659" s="6" t="s">
        <v>14</v>
      </c>
      <c r="B1659" s="6" t="s">
        <v>522</v>
      </c>
      <c r="C1659" s="7">
        <v>30790</v>
      </c>
      <c r="D1659" s="6" t="s">
        <v>42</v>
      </c>
      <c r="E1659" s="6" t="s">
        <v>196</v>
      </c>
      <c r="F1659" s="6" t="s">
        <v>289</v>
      </c>
      <c r="G1659" s="6" t="s">
        <v>32</v>
      </c>
      <c r="H1659" s="6" t="s">
        <v>33</v>
      </c>
      <c r="I1659" s="6" t="s">
        <v>767</v>
      </c>
      <c r="J1659" s="6" t="s">
        <v>764</v>
      </c>
      <c r="K1659" s="7">
        <v>6233818</v>
      </c>
      <c r="L1659" s="7">
        <v>349418</v>
      </c>
      <c r="M1659" s="7">
        <v>19</v>
      </c>
      <c r="N1659" s="7">
        <v>2</v>
      </c>
      <c r="O1659" s="7">
        <v>2.4</v>
      </c>
    </row>
    <row r="1660" spans="1:15" x14ac:dyDescent="0.25">
      <c r="A1660" s="6" t="s">
        <v>14</v>
      </c>
      <c r="B1660" s="6" t="s">
        <v>522</v>
      </c>
      <c r="C1660" s="7">
        <v>30791</v>
      </c>
      <c r="D1660" s="6" t="s">
        <v>24</v>
      </c>
      <c r="E1660" s="6" t="s">
        <v>25</v>
      </c>
      <c r="F1660" s="6" t="s">
        <v>69</v>
      </c>
      <c r="G1660" s="6" t="s">
        <v>32</v>
      </c>
      <c r="H1660" s="6" t="s">
        <v>33</v>
      </c>
      <c r="I1660" s="6" t="s">
        <v>767</v>
      </c>
      <c r="J1660" s="6" t="s">
        <v>767</v>
      </c>
      <c r="K1660" s="7">
        <v>6263557</v>
      </c>
      <c r="L1660" s="7">
        <v>343851</v>
      </c>
      <c r="M1660" s="7">
        <v>19</v>
      </c>
      <c r="N1660" s="7">
        <v>1</v>
      </c>
      <c r="O1660" s="7">
        <v>13.5</v>
      </c>
    </row>
    <row r="1661" spans="1:15" x14ac:dyDescent="0.25">
      <c r="A1661" s="6" t="s">
        <v>14</v>
      </c>
      <c r="B1661" s="6" t="s">
        <v>522</v>
      </c>
      <c r="C1661" s="7">
        <v>30792</v>
      </c>
      <c r="D1661" s="6" t="s">
        <v>42</v>
      </c>
      <c r="E1661" s="6" t="s">
        <v>167</v>
      </c>
      <c r="F1661" s="6" t="s">
        <v>168</v>
      </c>
      <c r="G1661" s="6" t="s">
        <v>32</v>
      </c>
      <c r="H1661" s="6" t="s">
        <v>33</v>
      </c>
      <c r="I1661" s="6" t="s">
        <v>767</v>
      </c>
      <c r="J1661" s="6" t="s">
        <v>767</v>
      </c>
      <c r="K1661" s="7">
        <v>6223896</v>
      </c>
      <c r="L1661" s="7">
        <v>342568</v>
      </c>
      <c r="M1661" s="7">
        <v>19</v>
      </c>
      <c r="N1661" s="7">
        <v>1</v>
      </c>
      <c r="O1661" s="7">
        <v>10</v>
      </c>
    </row>
    <row r="1662" spans="1:15" x14ac:dyDescent="0.25">
      <c r="A1662" s="6" t="s">
        <v>14</v>
      </c>
      <c r="B1662" s="6" t="s">
        <v>522</v>
      </c>
      <c r="C1662" s="7">
        <v>30794</v>
      </c>
      <c r="D1662" s="6" t="s">
        <v>42</v>
      </c>
      <c r="E1662" s="6" t="s">
        <v>66</v>
      </c>
      <c r="F1662" s="6" t="s">
        <v>66</v>
      </c>
      <c r="G1662" s="6" t="s">
        <v>32</v>
      </c>
      <c r="H1662" s="6" t="s">
        <v>33</v>
      </c>
      <c r="I1662" s="6" t="s">
        <v>767</v>
      </c>
      <c r="J1662" s="6" t="s">
        <v>764</v>
      </c>
      <c r="K1662" s="7">
        <v>6232456</v>
      </c>
      <c r="L1662" s="7">
        <v>343930</v>
      </c>
      <c r="M1662" s="7">
        <v>19</v>
      </c>
      <c r="N1662" s="7">
        <v>1</v>
      </c>
      <c r="O1662" s="7">
        <v>15</v>
      </c>
    </row>
    <row r="1663" spans="1:15" x14ac:dyDescent="0.25">
      <c r="A1663" s="6" t="s">
        <v>14</v>
      </c>
      <c r="B1663" s="6" t="s">
        <v>522</v>
      </c>
      <c r="C1663" s="7">
        <v>30795</v>
      </c>
      <c r="D1663" s="6" t="s">
        <v>42</v>
      </c>
      <c r="E1663" s="6" t="s">
        <v>51</v>
      </c>
      <c r="F1663" s="6" t="s">
        <v>51</v>
      </c>
      <c r="G1663" s="6" t="s">
        <v>32</v>
      </c>
      <c r="H1663" s="6" t="s">
        <v>33</v>
      </c>
      <c r="I1663" s="6" t="s">
        <v>767</v>
      </c>
      <c r="J1663" s="6" t="s">
        <v>767</v>
      </c>
      <c r="K1663" s="7">
        <v>6152355</v>
      </c>
      <c r="L1663" s="7">
        <v>312929</v>
      </c>
      <c r="M1663" s="7">
        <v>19</v>
      </c>
      <c r="N1663" s="7">
        <v>1</v>
      </c>
      <c r="O1663" s="7">
        <v>10</v>
      </c>
    </row>
    <row r="1664" spans="1:15" x14ac:dyDescent="0.25">
      <c r="A1664" s="6" t="s">
        <v>14</v>
      </c>
      <c r="B1664" s="6" t="s">
        <v>522</v>
      </c>
      <c r="C1664" s="7">
        <v>30796</v>
      </c>
      <c r="D1664" s="6" t="s">
        <v>42</v>
      </c>
      <c r="E1664" s="6" t="s">
        <v>167</v>
      </c>
      <c r="F1664" s="6" t="s">
        <v>559</v>
      </c>
      <c r="G1664" s="6" t="s">
        <v>32</v>
      </c>
      <c r="H1664" s="6" t="s">
        <v>33</v>
      </c>
      <c r="I1664" s="6" t="s">
        <v>767</v>
      </c>
      <c r="J1664" s="6" t="s">
        <v>767</v>
      </c>
      <c r="K1664" s="7">
        <v>6224005</v>
      </c>
      <c r="L1664" s="7">
        <v>343825</v>
      </c>
      <c r="M1664" s="7">
        <v>19</v>
      </c>
      <c r="N1664" s="7">
        <v>1</v>
      </c>
      <c r="O1664" s="7">
        <v>12</v>
      </c>
    </row>
    <row r="1665" spans="1:15" x14ac:dyDescent="0.25">
      <c r="A1665" s="6" t="s">
        <v>14</v>
      </c>
      <c r="B1665" s="6" t="s">
        <v>522</v>
      </c>
      <c r="C1665" s="7">
        <v>30797</v>
      </c>
      <c r="D1665" s="6" t="s">
        <v>24</v>
      </c>
      <c r="E1665" s="6" t="s">
        <v>25</v>
      </c>
      <c r="F1665" s="6" t="s">
        <v>545</v>
      </c>
      <c r="G1665" s="6" t="s">
        <v>32</v>
      </c>
      <c r="H1665" s="6" t="s">
        <v>33</v>
      </c>
      <c r="I1665" s="6" t="s">
        <v>767</v>
      </c>
      <c r="J1665" s="6" t="s">
        <v>767</v>
      </c>
      <c r="K1665" s="7">
        <v>6255338</v>
      </c>
      <c r="L1665" s="7">
        <v>349711</v>
      </c>
      <c r="M1665" s="7">
        <v>19</v>
      </c>
      <c r="N1665" s="7">
        <v>1</v>
      </c>
      <c r="O1665" s="7">
        <v>12.5</v>
      </c>
    </row>
    <row r="1666" spans="1:15" x14ac:dyDescent="0.25">
      <c r="A1666" s="6" t="s">
        <v>14</v>
      </c>
      <c r="B1666" s="6" t="s">
        <v>522</v>
      </c>
      <c r="C1666" s="7">
        <v>30800</v>
      </c>
      <c r="D1666" s="6" t="s">
        <v>42</v>
      </c>
      <c r="E1666" s="6" t="s">
        <v>66</v>
      </c>
      <c r="F1666" s="6" t="s">
        <v>126</v>
      </c>
      <c r="G1666" s="6" t="s">
        <v>32</v>
      </c>
      <c r="H1666" s="6" t="s">
        <v>33</v>
      </c>
      <c r="I1666" s="6" t="s">
        <v>767</v>
      </c>
      <c r="J1666" s="6" t="s">
        <v>764</v>
      </c>
      <c r="K1666" s="7">
        <v>6227799</v>
      </c>
      <c r="L1666" s="7">
        <v>347530</v>
      </c>
      <c r="M1666" s="7">
        <v>19</v>
      </c>
      <c r="N1666" s="7">
        <v>1</v>
      </c>
      <c r="O1666" s="7">
        <v>14</v>
      </c>
    </row>
    <row r="1667" spans="1:15" x14ac:dyDescent="0.25">
      <c r="A1667" s="6" t="s">
        <v>14</v>
      </c>
      <c r="B1667" s="6" t="s">
        <v>522</v>
      </c>
      <c r="C1667" s="7">
        <v>30801</v>
      </c>
      <c r="D1667" s="6" t="s">
        <v>39</v>
      </c>
      <c r="E1667" s="6" t="s">
        <v>41</v>
      </c>
      <c r="F1667" s="6" t="s">
        <v>41</v>
      </c>
      <c r="G1667" s="6" t="s">
        <v>32</v>
      </c>
      <c r="H1667" s="6" t="s">
        <v>33</v>
      </c>
      <c r="I1667" s="6" t="s">
        <v>767</v>
      </c>
      <c r="J1667" s="6" t="s">
        <v>764</v>
      </c>
      <c r="K1667" s="7">
        <v>6123726</v>
      </c>
      <c r="L1667" s="7">
        <v>284087</v>
      </c>
      <c r="M1667" s="7">
        <v>19</v>
      </c>
      <c r="N1667" s="7">
        <v>1</v>
      </c>
      <c r="O1667" s="7">
        <v>11.4</v>
      </c>
    </row>
    <row r="1668" spans="1:15" x14ac:dyDescent="0.25">
      <c r="A1668" s="6" t="s">
        <v>14</v>
      </c>
      <c r="B1668" s="6" t="s">
        <v>522</v>
      </c>
      <c r="C1668" s="7">
        <v>30803</v>
      </c>
      <c r="D1668" s="6" t="s">
        <v>42</v>
      </c>
      <c r="E1668" s="6" t="s">
        <v>51</v>
      </c>
      <c r="F1668" s="6" t="s">
        <v>85</v>
      </c>
      <c r="G1668" s="6" t="s">
        <v>32</v>
      </c>
      <c r="H1668" s="6" t="s">
        <v>33</v>
      </c>
      <c r="I1668" s="6" t="s">
        <v>767</v>
      </c>
      <c r="J1668" s="6" t="s">
        <v>767</v>
      </c>
      <c r="K1668" s="7">
        <v>6153367</v>
      </c>
      <c r="L1668" s="7">
        <v>313457</v>
      </c>
      <c r="M1668" s="7">
        <v>19</v>
      </c>
      <c r="N1668" s="7">
        <v>1</v>
      </c>
      <c r="O1668" s="7">
        <v>13.9</v>
      </c>
    </row>
    <row r="1669" spans="1:15" x14ac:dyDescent="0.25">
      <c r="A1669" s="6" t="s">
        <v>14</v>
      </c>
      <c r="B1669" s="6" t="s">
        <v>522</v>
      </c>
      <c r="C1669" s="7">
        <v>30809</v>
      </c>
      <c r="D1669" s="6" t="s">
        <v>39</v>
      </c>
      <c r="E1669" s="6" t="s">
        <v>41</v>
      </c>
      <c r="F1669" s="6" t="s">
        <v>41</v>
      </c>
      <c r="G1669" s="6" t="s">
        <v>32</v>
      </c>
      <c r="H1669" s="6" t="s">
        <v>33</v>
      </c>
      <c r="I1669" s="6" t="s">
        <v>764</v>
      </c>
      <c r="J1669" s="6" t="s">
        <v>767</v>
      </c>
      <c r="K1669" s="7">
        <v>6121919</v>
      </c>
      <c r="L1669" s="7">
        <v>292258</v>
      </c>
      <c r="M1669" s="7">
        <v>19</v>
      </c>
      <c r="N1669" s="7">
        <v>1</v>
      </c>
      <c r="O1669" s="7">
        <v>8.1</v>
      </c>
    </row>
    <row r="1670" spans="1:15" x14ac:dyDescent="0.25">
      <c r="A1670" s="6" t="s">
        <v>14</v>
      </c>
      <c r="B1670" s="6" t="s">
        <v>522</v>
      </c>
      <c r="C1670" s="7">
        <v>30811</v>
      </c>
      <c r="D1670" s="6" t="s">
        <v>42</v>
      </c>
      <c r="E1670" s="6" t="s">
        <v>51</v>
      </c>
      <c r="F1670" s="6" t="s">
        <v>51</v>
      </c>
      <c r="G1670" s="6" t="s">
        <v>32</v>
      </c>
      <c r="H1670" s="6" t="s">
        <v>33</v>
      </c>
      <c r="I1670" s="6" t="s">
        <v>767</v>
      </c>
      <c r="J1670" s="6" t="s">
        <v>767</v>
      </c>
      <c r="K1670" s="7">
        <v>6155310</v>
      </c>
      <c r="L1670" s="7">
        <v>314417</v>
      </c>
      <c r="M1670" s="7">
        <v>19</v>
      </c>
      <c r="N1670" s="7">
        <v>3</v>
      </c>
      <c r="O1670" s="7">
        <v>25</v>
      </c>
    </row>
    <row r="1671" spans="1:15" x14ac:dyDescent="0.25">
      <c r="A1671" s="6" t="s">
        <v>14</v>
      </c>
      <c r="B1671" s="6" t="s">
        <v>522</v>
      </c>
      <c r="C1671" s="7">
        <v>30812</v>
      </c>
      <c r="D1671" s="6" t="s">
        <v>24</v>
      </c>
      <c r="E1671" s="6" t="s">
        <v>31</v>
      </c>
      <c r="F1671" s="6" t="s">
        <v>560</v>
      </c>
      <c r="G1671" s="6" t="s">
        <v>32</v>
      </c>
      <c r="H1671" s="6" t="s">
        <v>33</v>
      </c>
      <c r="I1671" s="6" t="s">
        <v>767</v>
      </c>
      <c r="J1671" s="6" t="s">
        <v>767</v>
      </c>
      <c r="K1671" s="7">
        <v>6276120</v>
      </c>
      <c r="L1671" s="7">
        <v>289752</v>
      </c>
      <c r="M1671" s="7">
        <v>19</v>
      </c>
      <c r="N1671" s="7">
        <v>2</v>
      </c>
      <c r="O1671" s="7">
        <v>21</v>
      </c>
    </row>
    <row r="1672" spans="1:15" x14ac:dyDescent="0.25">
      <c r="A1672" s="6" t="s">
        <v>14</v>
      </c>
      <c r="B1672" s="6" t="s">
        <v>522</v>
      </c>
      <c r="C1672" s="7">
        <v>30813</v>
      </c>
      <c r="D1672" s="6" t="s">
        <v>24</v>
      </c>
      <c r="E1672" s="6" t="s">
        <v>37</v>
      </c>
      <c r="F1672" s="6" t="s">
        <v>37</v>
      </c>
      <c r="G1672" s="6" t="s">
        <v>32</v>
      </c>
      <c r="H1672" s="6" t="s">
        <v>33</v>
      </c>
      <c r="I1672" s="6" t="s">
        <v>767</v>
      </c>
      <c r="J1672" s="6" t="s">
        <v>767</v>
      </c>
      <c r="K1672" s="7">
        <v>6276578</v>
      </c>
      <c r="L1672" s="7">
        <v>326193</v>
      </c>
      <c r="M1672" s="7">
        <v>19</v>
      </c>
      <c r="N1672" s="7">
        <v>1</v>
      </c>
      <c r="O1672" s="7">
        <v>11.7</v>
      </c>
    </row>
    <row r="1673" spans="1:15" x14ac:dyDescent="0.25">
      <c r="A1673" s="6" t="s">
        <v>14</v>
      </c>
      <c r="B1673" s="6" t="s">
        <v>522</v>
      </c>
      <c r="C1673" s="7">
        <v>30815</v>
      </c>
      <c r="D1673" s="6" t="s">
        <v>24</v>
      </c>
      <c r="E1673" s="6" t="s">
        <v>37</v>
      </c>
      <c r="F1673" s="6" t="s">
        <v>561</v>
      </c>
      <c r="G1673" s="6" t="s">
        <v>32</v>
      </c>
      <c r="H1673" s="6" t="s">
        <v>33</v>
      </c>
      <c r="I1673" s="6" t="s">
        <v>767</v>
      </c>
      <c r="J1673" s="6" t="s">
        <v>767</v>
      </c>
      <c r="K1673" s="7">
        <v>6275610</v>
      </c>
      <c r="L1673" s="7">
        <v>326799</v>
      </c>
      <c r="M1673" s="7">
        <v>19</v>
      </c>
      <c r="N1673" s="7">
        <v>1</v>
      </c>
      <c r="O1673" s="7">
        <v>4</v>
      </c>
    </row>
    <row r="1674" spans="1:15" x14ac:dyDescent="0.25">
      <c r="A1674" s="6" t="s">
        <v>14</v>
      </c>
      <c r="B1674" s="6" t="s">
        <v>522</v>
      </c>
      <c r="C1674" s="7">
        <v>30816</v>
      </c>
      <c r="D1674" s="6" t="s">
        <v>42</v>
      </c>
      <c r="E1674" s="6" t="s">
        <v>51</v>
      </c>
      <c r="F1674" s="6" t="s">
        <v>562</v>
      </c>
      <c r="G1674" s="6" t="s">
        <v>32</v>
      </c>
      <c r="H1674" s="6" t="s">
        <v>33</v>
      </c>
      <c r="I1674" s="6" t="s">
        <v>767</v>
      </c>
      <c r="J1674" s="6" t="s">
        <v>767</v>
      </c>
      <c r="K1674" s="7">
        <v>6155671</v>
      </c>
      <c r="L1674" s="7">
        <v>314533</v>
      </c>
      <c r="M1674" s="7">
        <v>19</v>
      </c>
      <c r="N1674" s="7">
        <v>1</v>
      </c>
      <c r="O1674" s="7">
        <v>12</v>
      </c>
    </row>
    <row r="1675" spans="1:15" x14ac:dyDescent="0.25">
      <c r="A1675" s="6" t="s">
        <v>14</v>
      </c>
      <c r="B1675" s="6" t="s">
        <v>522</v>
      </c>
      <c r="C1675" s="7">
        <v>30817</v>
      </c>
      <c r="D1675" s="6" t="s">
        <v>42</v>
      </c>
      <c r="E1675" s="6" t="s">
        <v>51</v>
      </c>
      <c r="F1675" s="6" t="s">
        <v>51</v>
      </c>
      <c r="G1675" s="6" t="s">
        <v>32</v>
      </c>
      <c r="H1675" s="6" t="s">
        <v>33</v>
      </c>
      <c r="I1675" s="6" t="s">
        <v>767</v>
      </c>
      <c r="J1675" s="6" t="s">
        <v>767</v>
      </c>
      <c r="K1675" s="8">
        <v>6155537</v>
      </c>
      <c r="L1675" s="8">
        <v>315430</v>
      </c>
      <c r="M1675" s="8">
        <v>19</v>
      </c>
      <c r="N1675" s="7">
        <v>1</v>
      </c>
      <c r="O1675" s="7">
        <v>8.5</v>
      </c>
    </row>
    <row r="1676" spans="1:15" x14ac:dyDescent="0.25">
      <c r="A1676" s="6" t="s">
        <v>14</v>
      </c>
      <c r="B1676" s="6" t="s">
        <v>522</v>
      </c>
      <c r="C1676" s="7">
        <v>30820</v>
      </c>
      <c r="D1676" s="6" t="s">
        <v>42</v>
      </c>
      <c r="E1676" s="6" t="s">
        <v>51</v>
      </c>
      <c r="F1676" s="6" t="s">
        <v>562</v>
      </c>
      <c r="G1676" s="6" t="s">
        <v>32</v>
      </c>
      <c r="H1676" s="6" t="s">
        <v>33</v>
      </c>
      <c r="I1676" s="6" t="s">
        <v>767</v>
      </c>
      <c r="J1676" s="6" t="s">
        <v>767</v>
      </c>
      <c r="K1676" s="7">
        <v>6154921</v>
      </c>
      <c r="L1676" s="7">
        <v>314593</v>
      </c>
      <c r="M1676" s="7">
        <v>19</v>
      </c>
      <c r="N1676" s="7">
        <v>1</v>
      </c>
      <c r="O1676" s="7">
        <v>10</v>
      </c>
    </row>
    <row r="1677" spans="1:15" x14ac:dyDescent="0.25">
      <c r="A1677" s="6" t="s">
        <v>14</v>
      </c>
      <c r="B1677" s="6" t="s">
        <v>522</v>
      </c>
      <c r="C1677" s="7">
        <v>30821</v>
      </c>
      <c r="D1677" s="6" t="s">
        <v>24</v>
      </c>
      <c r="E1677" s="6" t="s">
        <v>37</v>
      </c>
      <c r="F1677" s="6" t="s">
        <v>37</v>
      </c>
      <c r="G1677" s="6" t="s">
        <v>32</v>
      </c>
      <c r="H1677" s="6" t="s">
        <v>33</v>
      </c>
      <c r="I1677" s="6" t="s">
        <v>767</v>
      </c>
      <c r="J1677" s="6" t="s">
        <v>767</v>
      </c>
      <c r="K1677" s="7">
        <v>6276578</v>
      </c>
      <c r="L1677" s="7">
        <v>326193</v>
      </c>
      <c r="M1677" s="7">
        <v>19</v>
      </c>
      <c r="N1677" s="7">
        <v>1</v>
      </c>
      <c r="O1677" s="7">
        <v>2.6</v>
      </c>
    </row>
    <row r="1678" spans="1:15" x14ac:dyDescent="0.25">
      <c r="A1678" s="6" t="s">
        <v>14</v>
      </c>
      <c r="B1678" s="6" t="s">
        <v>522</v>
      </c>
      <c r="C1678" s="7">
        <v>30823</v>
      </c>
      <c r="D1678" s="6" t="s">
        <v>42</v>
      </c>
      <c r="E1678" s="6" t="s">
        <v>51</v>
      </c>
      <c r="F1678" s="6" t="s">
        <v>51</v>
      </c>
      <c r="G1678" s="6" t="s">
        <v>32</v>
      </c>
      <c r="H1678" s="6" t="s">
        <v>33</v>
      </c>
      <c r="I1678" s="6" t="s">
        <v>767</v>
      </c>
      <c r="J1678" s="6" t="s">
        <v>767</v>
      </c>
      <c r="K1678" s="7">
        <v>6154793</v>
      </c>
      <c r="L1678" s="7">
        <v>315126</v>
      </c>
      <c r="M1678" s="7">
        <v>19</v>
      </c>
      <c r="N1678" s="7">
        <v>1</v>
      </c>
      <c r="O1678" s="7">
        <v>5</v>
      </c>
    </row>
    <row r="1679" spans="1:15" x14ac:dyDescent="0.25">
      <c r="A1679" s="6" t="s">
        <v>14</v>
      </c>
      <c r="B1679" s="6" t="s">
        <v>522</v>
      </c>
      <c r="C1679" s="7">
        <v>30825</v>
      </c>
      <c r="D1679" s="6" t="s">
        <v>42</v>
      </c>
      <c r="E1679" s="6" t="s">
        <v>51</v>
      </c>
      <c r="F1679" s="6" t="s">
        <v>131</v>
      </c>
      <c r="G1679" s="6" t="s">
        <v>32</v>
      </c>
      <c r="H1679" s="6" t="s">
        <v>33</v>
      </c>
      <c r="I1679" s="6" t="s">
        <v>767</v>
      </c>
      <c r="J1679" s="6" t="s">
        <v>764</v>
      </c>
      <c r="K1679" s="7">
        <v>6158492</v>
      </c>
      <c r="L1679" s="7">
        <v>317131</v>
      </c>
      <c r="M1679" s="7">
        <v>19</v>
      </c>
      <c r="N1679" s="7">
        <v>1</v>
      </c>
      <c r="O1679" s="7">
        <v>8</v>
      </c>
    </row>
    <row r="1680" spans="1:15" x14ac:dyDescent="0.25">
      <c r="A1680" s="6" t="s">
        <v>14</v>
      </c>
      <c r="B1680" s="6" t="s">
        <v>522</v>
      </c>
      <c r="C1680" s="7">
        <v>30826</v>
      </c>
      <c r="D1680" s="6" t="s">
        <v>42</v>
      </c>
      <c r="E1680" s="6" t="s">
        <v>51</v>
      </c>
      <c r="F1680" s="6" t="s">
        <v>51</v>
      </c>
      <c r="G1680" s="6" t="s">
        <v>32</v>
      </c>
      <c r="H1680" s="6" t="s">
        <v>33</v>
      </c>
      <c r="I1680" s="6" t="s">
        <v>767</v>
      </c>
      <c r="J1680" s="6" t="s">
        <v>767</v>
      </c>
      <c r="K1680" s="7">
        <v>6156533</v>
      </c>
      <c r="L1680" s="7">
        <v>320802</v>
      </c>
      <c r="M1680" s="7">
        <v>19</v>
      </c>
      <c r="N1680" s="7">
        <v>1</v>
      </c>
      <c r="O1680" s="7">
        <v>14.5</v>
      </c>
    </row>
    <row r="1681" spans="1:15" x14ac:dyDescent="0.25">
      <c r="A1681" s="6" t="s">
        <v>14</v>
      </c>
      <c r="B1681" s="6" t="s">
        <v>522</v>
      </c>
      <c r="C1681" s="7">
        <v>30827</v>
      </c>
      <c r="D1681" s="6" t="s">
        <v>42</v>
      </c>
      <c r="E1681" s="6" t="s">
        <v>51</v>
      </c>
      <c r="F1681" s="6" t="s">
        <v>51</v>
      </c>
      <c r="G1681" s="6" t="s">
        <v>32</v>
      </c>
      <c r="H1681" s="6" t="s">
        <v>33</v>
      </c>
      <c r="I1681" s="6" t="s">
        <v>767</v>
      </c>
      <c r="J1681" s="6" t="s">
        <v>764</v>
      </c>
      <c r="K1681" s="7">
        <v>6159396</v>
      </c>
      <c r="L1681" s="7">
        <v>324910</v>
      </c>
      <c r="M1681" s="7">
        <v>19</v>
      </c>
      <c r="N1681" s="7">
        <v>2</v>
      </c>
      <c r="O1681" s="7">
        <v>23</v>
      </c>
    </row>
    <row r="1682" spans="1:15" x14ac:dyDescent="0.25">
      <c r="A1682" s="6" t="s">
        <v>14</v>
      </c>
      <c r="B1682" s="6" t="s">
        <v>522</v>
      </c>
      <c r="C1682" s="7">
        <v>30828</v>
      </c>
      <c r="D1682" s="6" t="s">
        <v>42</v>
      </c>
      <c r="E1682" s="6" t="s">
        <v>51</v>
      </c>
      <c r="F1682" s="6" t="s">
        <v>562</v>
      </c>
      <c r="G1682" s="6" t="s">
        <v>32</v>
      </c>
      <c r="H1682" s="6" t="s">
        <v>33</v>
      </c>
      <c r="I1682" s="6" t="s">
        <v>767</v>
      </c>
      <c r="J1682" s="6" t="s">
        <v>767</v>
      </c>
      <c r="K1682" s="7">
        <v>6155693</v>
      </c>
      <c r="L1682" s="7">
        <v>314662</v>
      </c>
      <c r="M1682" s="7">
        <v>19</v>
      </c>
      <c r="N1682" s="7">
        <v>2</v>
      </c>
      <c r="O1682" s="7">
        <v>13</v>
      </c>
    </row>
    <row r="1683" spans="1:15" x14ac:dyDescent="0.25">
      <c r="A1683" s="6" t="s">
        <v>14</v>
      </c>
      <c r="B1683" s="6" t="s">
        <v>522</v>
      </c>
      <c r="C1683" s="7">
        <v>30829</v>
      </c>
      <c r="D1683" s="6" t="s">
        <v>42</v>
      </c>
      <c r="E1683" s="6" t="s">
        <v>51</v>
      </c>
      <c r="F1683" s="6" t="s">
        <v>51</v>
      </c>
      <c r="G1683" s="6" t="s">
        <v>32</v>
      </c>
      <c r="H1683" s="6" t="s">
        <v>33</v>
      </c>
      <c r="I1683" s="6" t="s">
        <v>767</v>
      </c>
      <c r="J1683" s="6" t="s">
        <v>764</v>
      </c>
      <c r="K1683" s="7">
        <v>6157220</v>
      </c>
      <c r="L1683" s="7">
        <v>321173</v>
      </c>
      <c r="M1683" s="7">
        <v>19</v>
      </c>
      <c r="N1683" s="7">
        <v>1</v>
      </c>
      <c r="O1683" s="7">
        <v>7</v>
      </c>
    </row>
    <row r="1684" spans="1:15" x14ac:dyDescent="0.25">
      <c r="A1684" s="6" t="s">
        <v>14</v>
      </c>
      <c r="B1684" s="6" t="s">
        <v>522</v>
      </c>
      <c r="C1684" s="7">
        <v>30831</v>
      </c>
      <c r="D1684" s="6" t="s">
        <v>42</v>
      </c>
      <c r="E1684" s="6" t="s">
        <v>51</v>
      </c>
      <c r="F1684" s="6" t="s">
        <v>549</v>
      </c>
      <c r="G1684" s="6" t="s">
        <v>32</v>
      </c>
      <c r="H1684" s="6" t="s">
        <v>33</v>
      </c>
      <c r="I1684" s="6" t="s">
        <v>767</v>
      </c>
      <c r="J1684" s="6" t="s">
        <v>767</v>
      </c>
      <c r="K1684" s="7">
        <v>6154561</v>
      </c>
      <c r="L1684" s="7">
        <v>321370</v>
      </c>
      <c r="M1684" s="7">
        <v>19</v>
      </c>
      <c r="N1684" s="7">
        <v>2</v>
      </c>
      <c r="O1684" s="7">
        <v>22</v>
      </c>
    </row>
    <row r="1685" spans="1:15" x14ac:dyDescent="0.25">
      <c r="A1685" s="6" t="s">
        <v>14</v>
      </c>
      <c r="B1685" s="6" t="s">
        <v>522</v>
      </c>
      <c r="C1685" s="7">
        <v>30832</v>
      </c>
      <c r="D1685" s="6" t="s">
        <v>24</v>
      </c>
      <c r="E1685" s="6" t="s">
        <v>31</v>
      </c>
      <c r="F1685" s="6" t="s">
        <v>531</v>
      </c>
      <c r="G1685" s="6" t="s">
        <v>32</v>
      </c>
      <c r="H1685" s="6" t="s">
        <v>33</v>
      </c>
      <c r="I1685" s="6" t="s">
        <v>767</v>
      </c>
      <c r="J1685" s="6" t="s">
        <v>767</v>
      </c>
      <c r="K1685" s="7">
        <v>6274350</v>
      </c>
      <c r="L1685" s="7">
        <v>283910</v>
      </c>
      <c r="M1685" s="7">
        <v>19</v>
      </c>
      <c r="N1685" s="7">
        <v>1</v>
      </c>
      <c r="O1685" s="7">
        <v>18</v>
      </c>
    </row>
    <row r="1686" spans="1:15" x14ac:dyDescent="0.25">
      <c r="A1686" s="6" t="s">
        <v>14</v>
      </c>
      <c r="B1686" s="6" t="s">
        <v>522</v>
      </c>
      <c r="C1686" s="7">
        <v>30833</v>
      </c>
      <c r="D1686" s="6" t="s">
        <v>42</v>
      </c>
      <c r="E1686" s="6" t="s">
        <v>51</v>
      </c>
      <c r="F1686" s="6" t="s">
        <v>51</v>
      </c>
      <c r="G1686" s="6" t="s">
        <v>32</v>
      </c>
      <c r="H1686" s="6" t="s">
        <v>33</v>
      </c>
      <c r="I1686" s="6" t="s">
        <v>767</v>
      </c>
      <c r="J1686" s="6" t="s">
        <v>767</v>
      </c>
      <c r="K1686" s="7">
        <v>6157169</v>
      </c>
      <c r="L1686" s="7">
        <v>318966</v>
      </c>
      <c r="M1686" s="7">
        <v>19</v>
      </c>
      <c r="N1686" s="7">
        <v>1</v>
      </c>
      <c r="O1686" s="7">
        <v>10</v>
      </c>
    </row>
    <row r="1687" spans="1:15" x14ac:dyDescent="0.25">
      <c r="A1687" s="6" t="s">
        <v>14</v>
      </c>
      <c r="B1687" s="6" t="s">
        <v>522</v>
      </c>
      <c r="C1687" s="7">
        <v>30835</v>
      </c>
      <c r="D1687" s="6" t="s">
        <v>39</v>
      </c>
      <c r="E1687" s="6" t="s">
        <v>53</v>
      </c>
      <c r="F1687" s="6" t="s">
        <v>53</v>
      </c>
      <c r="G1687" s="6" t="s">
        <v>32</v>
      </c>
      <c r="H1687" s="6" t="s">
        <v>33</v>
      </c>
      <c r="I1687" s="6" t="s">
        <v>767</v>
      </c>
      <c r="J1687" s="6" t="s">
        <v>764</v>
      </c>
      <c r="K1687" s="7">
        <v>6144804</v>
      </c>
      <c r="L1687" s="7">
        <v>306594</v>
      </c>
      <c r="M1687" s="7">
        <v>19</v>
      </c>
      <c r="N1687" s="7">
        <v>3</v>
      </c>
      <c r="O1687" s="7">
        <v>39.5</v>
      </c>
    </row>
    <row r="1688" spans="1:15" x14ac:dyDescent="0.25">
      <c r="A1688" s="6" t="s">
        <v>22</v>
      </c>
      <c r="B1688" s="6" t="s">
        <v>522</v>
      </c>
      <c r="C1688" s="7">
        <v>30882</v>
      </c>
      <c r="D1688" s="6" t="s">
        <v>24</v>
      </c>
      <c r="E1688" s="6" t="s">
        <v>25</v>
      </c>
      <c r="F1688" s="6" t="s">
        <v>445</v>
      </c>
      <c r="G1688" s="6" t="s">
        <v>32</v>
      </c>
      <c r="H1688" s="6" t="s">
        <v>765</v>
      </c>
      <c r="I1688" s="6" t="s">
        <v>767</v>
      </c>
      <c r="J1688" s="6" t="s">
        <v>767</v>
      </c>
      <c r="K1688" s="7">
        <v>6259628</v>
      </c>
      <c r="L1688" s="7">
        <v>332446</v>
      </c>
      <c r="M1688" s="7">
        <v>19</v>
      </c>
      <c r="N1688" s="7">
        <v>1</v>
      </c>
      <c r="O1688" s="7">
        <v>0.77</v>
      </c>
    </row>
    <row r="1689" spans="1:15" x14ac:dyDescent="0.25">
      <c r="A1689" s="6" t="s">
        <v>22</v>
      </c>
      <c r="B1689" s="6" t="s">
        <v>522</v>
      </c>
      <c r="C1689" s="7">
        <v>30883</v>
      </c>
      <c r="D1689" s="6" t="s">
        <v>24</v>
      </c>
      <c r="E1689" s="6" t="s">
        <v>25</v>
      </c>
      <c r="F1689" s="6" t="s">
        <v>445</v>
      </c>
      <c r="G1689" s="6" t="s">
        <v>32</v>
      </c>
      <c r="H1689" s="6" t="s">
        <v>765</v>
      </c>
      <c r="I1689" s="6" t="s">
        <v>767</v>
      </c>
      <c r="J1689" s="6" t="s">
        <v>767</v>
      </c>
      <c r="K1689" s="7">
        <v>6259497</v>
      </c>
      <c r="L1689" s="7">
        <v>332484</v>
      </c>
      <c r="M1689" s="7">
        <v>19</v>
      </c>
      <c r="N1689" s="7">
        <v>1</v>
      </c>
      <c r="O1689" s="7">
        <v>2.1</v>
      </c>
    </row>
    <row r="1690" spans="1:15" x14ac:dyDescent="0.25">
      <c r="A1690" s="6" t="s">
        <v>22</v>
      </c>
      <c r="B1690" s="6" t="s">
        <v>522</v>
      </c>
      <c r="C1690" s="7">
        <v>30884</v>
      </c>
      <c r="D1690" s="6" t="s">
        <v>24</v>
      </c>
      <c r="E1690" s="6" t="s">
        <v>25</v>
      </c>
      <c r="F1690" s="6" t="s">
        <v>445</v>
      </c>
      <c r="G1690" s="6" t="s">
        <v>32</v>
      </c>
      <c r="H1690" s="6" t="s">
        <v>765</v>
      </c>
      <c r="I1690" s="6" t="s">
        <v>767</v>
      </c>
      <c r="J1690" s="6" t="s">
        <v>767</v>
      </c>
      <c r="K1690" s="7">
        <v>6259496</v>
      </c>
      <c r="L1690" s="7">
        <v>332266</v>
      </c>
      <c r="M1690" s="7">
        <v>19</v>
      </c>
      <c r="N1690" s="7">
        <v>1</v>
      </c>
      <c r="O1690" s="7">
        <v>0.8</v>
      </c>
    </row>
    <row r="1691" spans="1:15" x14ac:dyDescent="0.25">
      <c r="A1691" s="6" t="s">
        <v>22</v>
      </c>
      <c r="B1691" s="6" t="s">
        <v>522</v>
      </c>
      <c r="C1691" s="7">
        <v>30887</v>
      </c>
      <c r="D1691" s="6" t="s">
        <v>24</v>
      </c>
      <c r="E1691" s="6" t="s">
        <v>25</v>
      </c>
      <c r="F1691" s="6" t="s">
        <v>445</v>
      </c>
      <c r="G1691" s="6" t="s">
        <v>32</v>
      </c>
      <c r="H1691" s="6" t="s">
        <v>765</v>
      </c>
      <c r="I1691" s="6" t="s">
        <v>767</v>
      </c>
      <c r="J1691" s="6" t="s">
        <v>767</v>
      </c>
      <c r="K1691" s="7">
        <v>6259232</v>
      </c>
      <c r="L1691" s="7">
        <v>332441</v>
      </c>
      <c r="M1691" s="7">
        <v>19</v>
      </c>
      <c r="N1691" s="7">
        <v>1</v>
      </c>
      <c r="O1691" s="7">
        <v>1.24</v>
      </c>
    </row>
    <row r="1692" spans="1:15" x14ac:dyDescent="0.25">
      <c r="A1692" s="6" t="s">
        <v>22</v>
      </c>
      <c r="B1692" s="6" t="s">
        <v>522</v>
      </c>
      <c r="C1692" s="7">
        <v>30891</v>
      </c>
      <c r="D1692" s="6" t="s">
        <v>24</v>
      </c>
      <c r="E1692" s="6" t="s">
        <v>25</v>
      </c>
      <c r="F1692" s="6" t="s">
        <v>445</v>
      </c>
      <c r="G1692" s="6" t="s">
        <v>32</v>
      </c>
      <c r="H1692" s="6" t="s">
        <v>765</v>
      </c>
      <c r="I1692" s="6" t="s">
        <v>767</v>
      </c>
      <c r="J1692" s="6" t="s">
        <v>767</v>
      </c>
      <c r="K1692" s="7">
        <v>6259628</v>
      </c>
      <c r="L1692" s="7">
        <v>332446</v>
      </c>
      <c r="M1692" s="7">
        <v>19</v>
      </c>
      <c r="N1692" s="7">
        <v>1</v>
      </c>
      <c r="O1692" s="7">
        <v>0.73</v>
      </c>
    </row>
    <row r="1693" spans="1:15" x14ac:dyDescent="0.25">
      <c r="A1693" s="6" t="s">
        <v>22</v>
      </c>
      <c r="B1693" s="6" t="s">
        <v>522</v>
      </c>
      <c r="C1693" s="7">
        <v>30901</v>
      </c>
      <c r="D1693" s="6" t="s">
        <v>24</v>
      </c>
      <c r="E1693" s="6" t="s">
        <v>25</v>
      </c>
      <c r="F1693" s="6" t="s">
        <v>445</v>
      </c>
      <c r="G1693" s="6" t="s">
        <v>32</v>
      </c>
      <c r="H1693" s="6" t="s">
        <v>765</v>
      </c>
      <c r="I1693" s="6" t="s">
        <v>767</v>
      </c>
      <c r="J1693" s="6" t="s">
        <v>767</v>
      </c>
      <c r="K1693" s="7">
        <v>6259291</v>
      </c>
      <c r="L1693" s="7">
        <v>332381</v>
      </c>
      <c r="M1693" s="7">
        <v>19</v>
      </c>
      <c r="N1693" s="7">
        <v>1</v>
      </c>
      <c r="O1693" s="7">
        <v>0.61</v>
      </c>
    </row>
    <row r="1694" spans="1:15" x14ac:dyDescent="0.25">
      <c r="A1694" s="6" t="s">
        <v>22</v>
      </c>
      <c r="B1694" s="6" t="s">
        <v>522</v>
      </c>
      <c r="C1694" s="7">
        <v>30902</v>
      </c>
      <c r="D1694" s="6" t="s">
        <v>24</v>
      </c>
      <c r="E1694" s="6" t="s">
        <v>25</v>
      </c>
      <c r="F1694" s="6" t="s">
        <v>445</v>
      </c>
      <c r="G1694" s="6" t="s">
        <v>32</v>
      </c>
      <c r="H1694" s="6" t="s">
        <v>765</v>
      </c>
      <c r="I1694" s="6" t="s">
        <v>767</v>
      </c>
      <c r="J1694" s="6" t="s">
        <v>767</v>
      </c>
      <c r="K1694" s="7">
        <v>6259277</v>
      </c>
      <c r="L1694" s="7">
        <v>332397</v>
      </c>
      <c r="M1694" s="7">
        <v>19</v>
      </c>
      <c r="N1694" s="7">
        <v>1</v>
      </c>
      <c r="O1694" s="7">
        <v>0.47</v>
      </c>
    </row>
    <row r="1695" spans="1:15" x14ac:dyDescent="0.25">
      <c r="A1695" s="6" t="s">
        <v>22</v>
      </c>
      <c r="B1695" s="6" t="s">
        <v>522</v>
      </c>
      <c r="C1695" s="7">
        <v>30906</v>
      </c>
      <c r="D1695" s="6" t="s">
        <v>24</v>
      </c>
      <c r="E1695" s="6" t="s">
        <v>25</v>
      </c>
      <c r="F1695" s="6" t="s">
        <v>445</v>
      </c>
      <c r="G1695" s="6" t="s">
        <v>32</v>
      </c>
      <c r="H1695" s="6" t="s">
        <v>765</v>
      </c>
      <c r="I1695" s="6" t="s">
        <v>767</v>
      </c>
      <c r="J1695" s="6" t="s">
        <v>767</v>
      </c>
      <c r="K1695" s="7">
        <v>6259528</v>
      </c>
      <c r="L1695" s="7">
        <v>332612</v>
      </c>
      <c r="M1695" s="7">
        <v>19</v>
      </c>
      <c r="N1695" s="7">
        <v>1</v>
      </c>
      <c r="O1695" s="7">
        <v>0.78</v>
      </c>
    </row>
    <row r="1696" spans="1:15" x14ac:dyDescent="0.25">
      <c r="A1696" s="6" t="s">
        <v>22</v>
      </c>
      <c r="B1696" s="6" t="s">
        <v>522</v>
      </c>
      <c r="C1696" s="7">
        <v>30914</v>
      </c>
      <c r="D1696" s="6" t="s">
        <v>24</v>
      </c>
      <c r="E1696" s="6" t="s">
        <v>25</v>
      </c>
      <c r="F1696" s="6" t="s">
        <v>445</v>
      </c>
      <c r="G1696" s="6" t="s">
        <v>32</v>
      </c>
      <c r="H1696" s="6" t="s">
        <v>765</v>
      </c>
      <c r="I1696" s="6" t="s">
        <v>767</v>
      </c>
      <c r="J1696" s="6" t="s">
        <v>767</v>
      </c>
      <c r="K1696" s="7">
        <v>6259528</v>
      </c>
      <c r="L1696" s="7">
        <v>332612</v>
      </c>
      <c r="M1696" s="7">
        <v>19</v>
      </c>
      <c r="N1696" s="7">
        <v>1</v>
      </c>
      <c r="O1696" s="7">
        <v>0.85</v>
      </c>
    </row>
    <row r="1697" spans="1:15" x14ac:dyDescent="0.25">
      <c r="A1697" s="6" t="s">
        <v>14</v>
      </c>
      <c r="B1697" s="6" t="s">
        <v>522</v>
      </c>
      <c r="C1697" s="7">
        <v>30922</v>
      </c>
      <c r="D1697" s="6" t="s">
        <v>42</v>
      </c>
      <c r="E1697" s="6" t="s">
        <v>196</v>
      </c>
      <c r="F1697" s="6" t="s">
        <v>300</v>
      </c>
      <c r="G1697" s="6" t="s">
        <v>32</v>
      </c>
      <c r="H1697" s="6" t="s">
        <v>33</v>
      </c>
      <c r="I1697" s="6" t="s">
        <v>767</v>
      </c>
      <c r="J1697" s="6" t="s">
        <v>764</v>
      </c>
      <c r="K1697" s="7">
        <v>6220744</v>
      </c>
      <c r="L1697" s="7">
        <v>334915</v>
      </c>
      <c r="M1697" s="7">
        <v>19</v>
      </c>
      <c r="N1697" s="7">
        <v>1</v>
      </c>
      <c r="O1697" s="7">
        <v>28</v>
      </c>
    </row>
    <row r="1698" spans="1:15" x14ac:dyDescent="0.25">
      <c r="A1698" s="6" t="s">
        <v>28</v>
      </c>
      <c r="B1698" s="6" t="s">
        <v>522</v>
      </c>
      <c r="C1698" s="7">
        <v>30923</v>
      </c>
      <c r="D1698" s="6" t="s">
        <v>24</v>
      </c>
      <c r="E1698" s="6" t="s">
        <v>62</v>
      </c>
      <c r="F1698" s="6" t="s">
        <v>62</v>
      </c>
      <c r="G1698" s="6" t="s">
        <v>32</v>
      </c>
      <c r="H1698" s="6" t="s">
        <v>33</v>
      </c>
      <c r="I1698" s="6" t="s">
        <v>764</v>
      </c>
      <c r="J1698" s="6" t="s">
        <v>767</v>
      </c>
      <c r="K1698" s="7">
        <v>6276544</v>
      </c>
      <c r="L1698" s="7">
        <v>323292</v>
      </c>
      <c r="M1698" s="7">
        <v>19</v>
      </c>
      <c r="N1698" s="7">
        <v>4</v>
      </c>
      <c r="O1698" s="7">
        <v>44.6</v>
      </c>
    </row>
    <row r="1699" spans="1:15" x14ac:dyDescent="0.25">
      <c r="A1699" s="6" t="s">
        <v>14</v>
      </c>
      <c r="B1699" s="6" t="s">
        <v>522</v>
      </c>
      <c r="C1699" s="7">
        <v>30924</v>
      </c>
      <c r="D1699" s="6" t="s">
        <v>42</v>
      </c>
      <c r="E1699" s="6" t="s">
        <v>196</v>
      </c>
      <c r="F1699" s="6" t="s">
        <v>300</v>
      </c>
      <c r="G1699" s="6" t="s">
        <v>32</v>
      </c>
      <c r="H1699" s="6" t="s">
        <v>33</v>
      </c>
      <c r="I1699" s="6" t="s">
        <v>767</v>
      </c>
      <c r="J1699" s="6" t="s">
        <v>764</v>
      </c>
      <c r="K1699" s="7">
        <v>6220922</v>
      </c>
      <c r="L1699" s="7">
        <v>335634</v>
      </c>
      <c r="M1699" s="7">
        <v>19</v>
      </c>
      <c r="N1699" s="7">
        <v>2</v>
      </c>
      <c r="O1699" s="7">
        <v>32</v>
      </c>
    </row>
    <row r="1700" spans="1:15" x14ac:dyDescent="0.25">
      <c r="A1700" s="6" t="s">
        <v>22</v>
      </c>
      <c r="B1700" s="6" t="s">
        <v>522</v>
      </c>
      <c r="C1700" s="7">
        <v>30949</v>
      </c>
      <c r="D1700" s="6" t="s">
        <v>297</v>
      </c>
      <c r="E1700" s="6" t="s">
        <v>298</v>
      </c>
      <c r="F1700" s="6" t="s">
        <v>523</v>
      </c>
      <c r="G1700" s="6" t="s">
        <v>32</v>
      </c>
      <c r="H1700" s="6" t="s">
        <v>765</v>
      </c>
      <c r="I1700" s="6" t="s">
        <v>767</v>
      </c>
      <c r="J1700" s="6" t="s">
        <v>767</v>
      </c>
      <c r="K1700" s="7">
        <v>7953369</v>
      </c>
      <c r="L1700" s="7">
        <v>366140</v>
      </c>
      <c r="M1700" s="7">
        <v>19</v>
      </c>
      <c r="N1700" s="7">
        <v>1</v>
      </c>
      <c r="O1700" s="7">
        <v>0.04</v>
      </c>
    </row>
    <row r="1701" spans="1:15" x14ac:dyDescent="0.25">
      <c r="A1701" s="6" t="s">
        <v>14</v>
      </c>
      <c r="B1701" s="6" t="s">
        <v>522</v>
      </c>
      <c r="C1701" s="7">
        <v>30963</v>
      </c>
      <c r="D1701" s="6" t="s">
        <v>24</v>
      </c>
      <c r="E1701" s="6" t="s">
        <v>37</v>
      </c>
      <c r="F1701" s="6" t="s">
        <v>548</v>
      </c>
      <c r="G1701" s="6" t="s">
        <v>32</v>
      </c>
      <c r="H1701" s="6" t="s">
        <v>33</v>
      </c>
      <c r="I1701" s="6" t="s">
        <v>767</v>
      </c>
      <c r="J1701" s="6" t="s">
        <v>767</v>
      </c>
      <c r="K1701" s="7">
        <v>6269080</v>
      </c>
      <c r="L1701" s="7">
        <v>328344</v>
      </c>
      <c r="M1701" s="7">
        <v>19</v>
      </c>
      <c r="N1701" s="7">
        <v>1</v>
      </c>
      <c r="O1701" s="7">
        <v>0.39</v>
      </c>
    </row>
    <row r="1702" spans="1:15" x14ac:dyDescent="0.25">
      <c r="A1702" s="6" t="s">
        <v>14</v>
      </c>
      <c r="B1702" s="6" t="s">
        <v>522</v>
      </c>
      <c r="C1702" s="7">
        <v>30964</v>
      </c>
      <c r="D1702" s="6" t="s">
        <v>24</v>
      </c>
      <c r="E1702" s="6" t="s">
        <v>56</v>
      </c>
      <c r="F1702" s="6" t="s">
        <v>419</v>
      </c>
      <c r="G1702" s="6" t="s">
        <v>32</v>
      </c>
      <c r="H1702" s="6" t="s">
        <v>33</v>
      </c>
      <c r="I1702" s="6" t="s">
        <v>767</v>
      </c>
      <c r="J1702" s="6" t="s">
        <v>767</v>
      </c>
      <c r="K1702" s="7">
        <v>6275431</v>
      </c>
      <c r="L1702" s="7">
        <v>340842</v>
      </c>
      <c r="M1702" s="7">
        <v>19</v>
      </c>
      <c r="N1702" s="7">
        <v>1</v>
      </c>
      <c r="O1702" s="7">
        <v>0.31</v>
      </c>
    </row>
    <row r="1703" spans="1:15" x14ac:dyDescent="0.25">
      <c r="A1703" s="6" t="s">
        <v>14</v>
      </c>
      <c r="B1703" s="6" t="s">
        <v>522</v>
      </c>
      <c r="C1703" s="7">
        <v>30965</v>
      </c>
      <c r="D1703" s="6" t="s">
        <v>24</v>
      </c>
      <c r="E1703" s="6" t="s">
        <v>56</v>
      </c>
      <c r="F1703" s="6" t="s">
        <v>419</v>
      </c>
      <c r="G1703" s="6" t="s">
        <v>32</v>
      </c>
      <c r="H1703" s="6" t="s">
        <v>33</v>
      </c>
      <c r="I1703" s="6" t="s">
        <v>767</v>
      </c>
      <c r="J1703" s="6" t="s">
        <v>767</v>
      </c>
      <c r="K1703" s="7">
        <v>6275431</v>
      </c>
      <c r="L1703" s="7">
        <v>340842</v>
      </c>
      <c r="M1703" s="7">
        <v>19</v>
      </c>
      <c r="N1703" s="7">
        <v>1</v>
      </c>
      <c r="O1703" s="7">
        <v>0.3</v>
      </c>
    </row>
    <row r="1704" spans="1:15" x14ac:dyDescent="0.25">
      <c r="A1704" s="6" t="s">
        <v>14</v>
      </c>
      <c r="B1704" s="6" t="s">
        <v>522</v>
      </c>
      <c r="C1704" s="7">
        <v>30966</v>
      </c>
      <c r="D1704" s="6" t="s">
        <v>24</v>
      </c>
      <c r="E1704" s="6" t="s">
        <v>56</v>
      </c>
      <c r="F1704" s="6" t="s">
        <v>419</v>
      </c>
      <c r="G1704" s="6" t="s">
        <v>32</v>
      </c>
      <c r="H1704" s="6" t="s">
        <v>33</v>
      </c>
      <c r="I1704" s="6" t="s">
        <v>767</v>
      </c>
      <c r="J1704" s="6" t="s">
        <v>767</v>
      </c>
      <c r="K1704" s="7">
        <v>6275431</v>
      </c>
      <c r="L1704" s="7">
        <v>340842</v>
      </c>
      <c r="M1704" s="7">
        <v>19</v>
      </c>
      <c r="N1704" s="7">
        <v>1</v>
      </c>
      <c r="O1704" s="7">
        <v>0.33</v>
      </c>
    </row>
    <row r="1705" spans="1:15" x14ac:dyDescent="0.25">
      <c r="A1705" s="6" t="s">
        <v>14</v>
      </c>
      <c r="B1705" s="6" t="s">
        <v>522</v>
      </c>
      <c r="C1705" s="7">
        <v>30967</v>
      </c>
      <c r="D1705" s="6" t="s">
        <v>24</v>
      </c>
      <c r="E1705" s="6" t="s">
        <v>37</v>
      </c>
      <c r="F1705" s="6" t="s">
        <v>548</v>
      </c>
      <c r="G1705" s="6" t="s">
        <v>32</v>
      </c>
      <c r="H1705" s="6" t="s">
        <v>33</v>
      </c>
      <c r="I1705" s="6" t="s">
        <v>767</v>
      </c>
      <c r="J1705" s="6" t="s">
        <v>767</v>
      </c>
      <c r="K1705" s="7">
        <v>6269063</v>
      </c>
      <c r="L1705" s="7">
        <v>328054</v>
      </c>
      <c r="M1705" s="7">
        <v>19</v>
      </c>
      <c r="N1705" s="7">
        <v>1</v>
      </c>
      <c r="O1705" s="7">
        <v>0.36</v>
      </c>
    </row>
    <row r="1706" spans="1:15" x14ac:dyDescent="0.25">
      <c r="A1706" s="6" t="s">
        <v>14</v>
      </c>
      <c r="B1706" s="6" t="s">
        <v>522</v>
      </c>
      <c r="C1706" s="7">
        <v>30968</v>
      </c>
      <c r="D1706" s="6" t="s">
        <v>24</v>
      </c>
      <c r="E1706" s="6" t="s">
        <v>56</v>
      </c>
      <c r="F1706" s="6" t="s">
        <v>419</v>
      </c>
      <c r="G1706" s="6" t="s">
        <v>32</v>
      </c>
      <c r="H1706" s="6" t="s">
        <v>33</v>
      </c>
      <c r="I1706" s="6" t="s">
        <v>767</v>
      </c>
      <c r="J1706" s="6" t="s">
        <v>767</v>
      </c>
      <c r="K1706" s="7">
        <v>6275790</v>
      </c>
      <c r="L1706" s="7">
        <v>340386</v>
      </c>
      <c r="M1706" s="7">
        <v>19</v>
      </c>
      <c r="N1706" s="7">
        <v>1</v>
      </c>
      <c r="O1706" s="7">
        <v>0.25</v>
      </c>
    </row>
    <row r="1707" spans="1:15" x14ac:dyDescent="0.25">
      <c r="A1707" s="6" t="s">
        <v>14</v>
      </c>
      <c r="B1707" s="6" t="s">
        <v>522</v>
      </c>
      <c r="C1707" s="7">
        <v>30969</v>
      </c>
      <c r="D1707" s="6" t="s">
        <v>24</v>
      </c>
      <c r="E1707" s="6" t="s">
        <v>56</v>
      </c>
      <c r="F1707" s="6" t="s">
        <v>419</v>
      </c>
      <c r="G1707" s="6" t="s">
        <v>32</v>
      </c>
      <c r="H1707" s="6" t="s">
        <v>33</v>
      </c>
      <c r="I1707" s="6" t="s">
        <v>767</v>
      </c>
      <c r="J1707" s="6" t="s">
        <v>767</v>
      </c>
      <c r="K1707" s="7">
        <v>6275790</v>
      </c>
      <c r="L1707" s="7">
        <v>340386</v>
      </c>
      <c r="M1707" s="7">
        <v>19</v>
      </c>
      <c r="N1707" s="7">
        <v>1</v>
      </c>
      <c r="O1707" s="7">
        <v>0.25</v>
      </c>
    </row>
    <row r="1708" spans="1:15" x14ac:dyDescent="0.25">
      <c r="A1708" s="6" t="s">
        <v>14</v>
      </c>
      <c r="B1708" s="6" t="s">
        <v>522</v>
      </c>
      <c r="C1708" s="7">
        <v>30970</v>
      </c>
      <c r="D1708" s="6" t="s">
        <v>24</v>
      </c>
      <c r="E1708" s="6" t="s">
        <v>31</v>
      </c>
      <c r="F1708" s="6" t="s">
        <v>563</v>
      </c>
      <c r="G1708" s="6" t="s">
        <v>32</v>
      </c>
      <c r="H1708" s="6" t="s">
        <v>33</v>
      </c>
      <c r="I1708" s="6" t="s">
        <v>767</v>
      </c>
      <c r="J1708" s="6" t="s">
        <v>767</v>
      </c>
      <c r="K1708" s="7">
        <v>6272194</v>
      </c>
      <c r="L1708" s="7">
        <v>303127</v>
      </c>
      <c r="M1708" s="7">
        <v>19</v>
      </c>
      <c r="N1708" s="7">
        <v>1</v>
      </c>
      <c r="O1708" s="7">
        <v>0.31</v>
      </c>
    </row>
    <row r="1709" spans="1:15" x14ac:dyDescent="0.25">
      <c r="A1709" s="6" t="s">
        <v>28</v>
      </c>
      <c r="B1709" s="6" t="s">
        <v>522</v>
      </c>
      <c r="C1709" s="7">
        <v>30971</v>
      </c>
      <c r="D1709" s="6" t="s">
        <v>24</v>
      </c>
      <c r="E1709" s="6" t="s">
        <v>56</v>
      </c>
      <c r="F1709" s="6" t="s">
        <v>418</v>
      </c>
      <c r="G1709" s="6" t="s">
        <v>32</v>
      </c>
      <c r="H1709" s="6" t="s">
        <v>33</v>
      </c>
      <c r="I1709" s="6" t="s">
        <v>767</v>
      </c>
      <c r="J1709" s="6" t="s">
        <v>767</v>
      </c>
      <c r="K1709" s="7">
        <v>6269794</v>
      </c>
      <c r="L1709" s="7">
        <v>329281</v>
      </c>
      <c r="M1709" s="7">
        <v>19</v>
      </c>
      <c r="N1709" s="7">
        <v>1</v>
      </c>
      <c r="O1709" s="7">
        <v>0.54</v>
      </c>
    </row>
    <row r="1710" spans="1:15" x14ac:dyDescent="0.25">
      <c r="A1710" s="6" t="s">
        <v>22</v>
      </c>
      <c r="B1710" s="6" t="s">
        <v>522</v>
      </c>
      <c r="C1710" s="7">
        <v>30983</v>
      </c>
      <c r="D1710" s="6" t="s">
        <v>133</v>
      </c>
      <c r="E1710" s="6" t="s">
        <v>564</v>
      </c>
      <c r="F1710" s="6" t="s">
        <v>564</v>
      </c>
      <c r="G1710" s="6" t="s">
        <v>32</v>
      </c>
      <c r="H1710" s="6" t="s">
        <v>765</v>
      </c>
      <c r="I1710" s="6" t="s">
        <v>767</v>
      </c>
      <c r="J1710" s="6" t="s">
        <v>767</v>
      </c>
      <c r="K1710" s="7">
        <v>5823010</v>
      </c>
      <c r="L1710" s="7">
        <v>711485</v>
      </c>
      <c r="M1710" s="7">
        <v>18</v>
      </c>
      <c r="N1710" s="7">
        <v>1</v>
      </c>
      <c r="O1710" s="7">
        <v>1.1000000000000001</v>
      </c>
    </row>
    <row r="1711" spans="1:15" x14ac:dyDescent="0.25">
      <c r="A1711" s="6" t="s">
        <v>22</v>
      </c>
      <c r="B1711" s="6" t="s">
        <v>522</v>
      </c>
      <c r="C1711" s="7">
        <v>30987</v>
      </c>
      <c r="D1711" s="6" t="s">
        <v>24</v>
      </c>
      <c r="E1711" s="6" t="s">
        <v>25</v>
      </c>
      <c r="F1711" s="6" t="s">
        <v>426</v>
      </c>
      <c r="G1711" s="6" t="s">
        <v>32</v>
      </c>
      <c r="H1711" s="6" t="s">
        <v>765</v>
      </c>
      <c r="I1711" s="6" t="s">
        <v>767</v>
      </c>
      <c r="J1711" s="6" t="s">
        <v>767</v>
      </c>
      <c r="K1711" s="7">
        <v>6260421</v>
      </c>
      <c r="L1711" s="7">
        <v>331371</v>
      </c>
      <c r="M1711" s="7">
        <v>19</v>
      </c>
      <c r="N1711" s="7">
        <v>1</v>
      </c>
      <c r="O1711" s="7">
        <v>0.7</v>
      </c>
    </row>
    <row r="1712" spans="1:15" x14ac:dyDescent="0.25">
      <c r="A1712" s="6" t="s">
        <v>14</v>
      </c>
      <c r="B1712" s="6" t="s">
        <v>522</v>
      </c>
      <c r="C1712" s="7">
        <v>31002</v>
      </c>
      <c r="D1712" s="6" t="s">
        <v>24</v>
      </c>
      <c r="E1712" s="6" t="s">
        <v>96</v>
      </c>
      <c r="F1712" s="6" t="s">
        <v>96</v>
      </c>
      <c r="G1712" s="6" t="s">
        <v>32</v>
      </c>
      <c r="H1712" s="6" t="s">
        <v>33</v>
      </c>
      <c r="I1712" s="6" t="s">
        <v>767</v>
      </c>
      <c r="J1712" s="6" t="s">
        <v>767</v>
      </c>
      <c r="K1712" s="7">
        <v>6259549</v>
      </c>
      <c r="L1712" s="7">
        <v>341949</v>
      </c>
      <c r="M1712" s="7">
        <v>19</v>
      </c>
      <c r="N1712" s="7">
        <v>1</v>
      </c>
      <c r="O1712" s="7">
        <v>0.4</v>
      </c>
    </row>
    <row r="1713" spans="1:15" x14ac:dyDescent="0.25">
      <c r="A1713" s="6" t="s">
        <v>28</v>
      </c>
      <c r="B1713" s="6" t="s">
        <v>522</v>
      </c>
      <c r="C1713" s="7">
        <v>31003</v>
      </c>
      <c r="D1713" s="6" t="s">
        <v>24</v>
      </c>
      <c r="E1713" s="6" t="s">
        <v>37</v>
      </c>
      <c r="F1713" s="6" t="s">
        <v>37</v>
      </c>
      <c r="G1713" s="6" t="s">
        <v>32</v>
      </c>
      <c r="H1713" s="6" t="s">
        <v>33</v>
      </c>
      <c r="I1713" s="6" t="s">
        <v>767</v>
      </c>
      <c r="J1713" s="6" t="s">
        <v>764</v>
      </c>
      <c r="K1713" s="7">
        <v>6268777</v>
      </c>
      <c r="L1713" s="7">
        <v>317838</v>
      </c>
      <c r="M1713" s="7">
        <v>19</v>
      </c>
      <c r="N1713" s="7">
        <v>1</v>
      </c>
      <c r="O1713" s="7">
        <v>0.57999999999999996</v>
      </c>
    </row>
    <row r="1714" spans="1:15" x14ac:dyDescent="0.25">
      <c r="A1714" s="6" t="s">
        <v>22</v>
      </c>
      <c r="B1714" s="6" t="s">
        <v>522</v>
      </c>
      <c r="C1714" s="7">
        <v>31007</v>
      </c>
      <c r="D1714" s="6" t="s">
        <v>297</v>
      </c>
      <c r="E1714" s="6" t="s">
        <v>298</v>
      </c>
      <c r="F1714" s="6" t="s">
        <v>523</v>
      </c>
      <c r="G1714" s="6" t="s">
        <v>32</v>
      </c>
      <c r="H1714" s="6" t="s">
        <v>765</v>
      </c>
      <c r="I1714" s="6" t="s">
        <v>767</v>
      </c>
      <c r="J1714" s="6" t="s">
        <v>767</v>
      </c>
      <c r="K1714" s="7">
        <v>7952329</v>
      </c>
      <c r="L1714" s="7">
        <v>371477</v>
      </c>
      <c r="M1714" s="7">
        <v>19</v>
      </c>
      <c r="N1714" s="7">
        <v>1</v>
      </c>
      <c r="O1714" s="7">
        <v>0.15</v>
      </c>
    </row>
    <row r="1715" spans="1:15" x14ac:dyDescent="0.25">
      <c r="A1715" s="6" t="s">
        <v>28</v>
      </c>
      <c r="B1715" s="6" t="s">
        <v>522</v>
      </c>
      <c r="C1715" s="7">
        <v>31014</v>
      </c>
      <c r="D1715" s="6" t="s">
        <v>24</v>
      </c>
      <c r="E1715" s="6" t="s">
        <v>429</v>
      </c>
      <c r="F1715" s="6" t="s">
        <v>491</v>
      </c>
      <c r="G1715" s="6" t="s">
        <v>32</v>
      </c>
      <c r="H1715" s="6" t="s">
        <v>19</v>
      </c>
      <c r="I1715" s="6" t="s">
        <v>767</v>
      </c>
      <c r="J1715" s="6" t="s">
        <v>767</v>
      </c>
      <c r="K1715" s="7">
        <v>6302863</v>
      </c>
      <c r="L1715" s="7">
        <v>326752</v>
      </c>
      <c r="M1715" s="7">
        <v>19</v>
      </c>
      <c r="N1715" s="7">
        <v>1</v>
      </c>
      <c r="O1715" s="7">
        <v>0.08</v>
      </c>
    </row>
    <row r="1716" spans="1:15" x14ac:dyDescent="0.25">
      <c r="A1716" s="6" t="s">
        <v>28</v>
      </c>
      <c r="B1716" s="6" t="s">
        <v>522</v>
      </c>
      <c r="C1716" s="7">
        <v>31015</v>
      </c>
      <c r="D1716" s="6" t="s">
        <v>24</v>
      </c>
      <c r="E1716" s="6" t="s">
        <v>543</v>
      </c>
      <c r="F1716" s="6" t="s">
        <v>225</v>
      </c>
      <c r="G1716" s="6" t="s">
        <v>32</v>
      </c>
      <c r="H1716" s="6" t="s">
        <v>19</v>
      </c>
      <c r="I1716" s="6" t="s">
        <v>767</v>
      </c>
      <c r="J1716" s="6" t="s">
        <v>767</v>
      </c>
      <c r="K1716" s="7">
        <v>6306752</v>
      </c>
      <c r="L1716" s="7">
        <v>329457</v>
      </c>
      <c r="M1716" s="7">
        <v>19</v>
      </c>
      <c r="N1716" s="7">
        <v>1</v>
      </c>
      <c r="O1716" s="7">
        <v>0.2</v>
      </c>
    </row>
    <row r="1717" spans="1:15" x14ac:dyDescent="0.25">
      <c r="A1717" s="6" t="s">
        <v>28</v>
      </c>
      <c r="B1717" s="6" t="s">
        <v>522</v>
      </c>
      <c r="C1717" s="7">
        <v>31019</v>
      </c>
      <c r="D1717" s="6" t="s">
        <v>24</v>
      </c>
      <c r="E1717" s="6" t="s">
        <v>40</v>
      </c>
      <c r="F1717" s="6" t="s">
        <v>555</v>
      </c>
      <c r="G1717" s="6" t="s">
        <v>32</v>
      </c>
      <c r="H1717" s="6" t="s">
        <v>19</v>
      </c>
      <c r="I1717" s="6" t="s">
        <v>767</v>
      </c>
      <c r="J1717" s="6" t="s">
        <v>767</v>
      </c>
      <c r="K1717" s="7">
        <v>6279814</v>
      </c>
      <c r="L1717" s="7">
        <v>300040</v>
      </c>
      <c r="M1717" s="7">
        <v>19</v>
      </c>
      <c r="N1717" s="7">
        <v>1</v>
      </c>
      <c r="O1717" s="7">
        <v>1.08</v>
      </c>
    </row>
    <row r="1718" spans="1:15" x14ac:dyDescent="0.25">
      <c r="A1718" s="6" t="s">
        <v>14</v>
      </c>
      <c r="B1718" s="6" t="s">
        <v>522</v>
      </c>
      <c r="C1718" s="7">
        <v>31020</v>
      </c>
      <c r="D1718" s="6" t="s">
        <v>24</v>
      </c>
      <c r="E1718" s="6" t="s">
        <v>25</v>
      </c>
      <c r="F1718" s="6" t="s">
        <v>25</v>
      </c>
      <c r="G1718" s="6" t="s">
        <v>32</v>
      </c>
      <c r="H1718" s="6" t="s">
        <v>33</v>
      </c>
      <c r="I1718" s="6" t="s">
        <v>767</v>
      </c>
      <c r="J1718" s="6" t="s">
        <v>767</v>
      </c>
      <c r="K1718" s="7">
        <v>6265345</v>
      </c>
      <c r="L1718" s="7">
        <v>340774</v>
      </c>
      <c r="M1718" s="7">
        <v>19</v>
      </c>
      <c r="N1718" s="7">
        <v>1</v>
      </c>
      <c r="O1718" s="7">
        <v>0.3</v>
      </c>
    </row>
    <row r="1719" spans="1:15" x14ac:dyDescent="0.25">
      <c r="A1719" s="6" t="s">
        <v>28</v>
      </c>
      <c r="B1719" s="6" t="s">
        <v>522</v>
      </c>
      <c r="C1719" s="7">
        <v>31023</v>
      </c>
      <c r="D1719" s="6" t="s">
        <v>24</v>
      </c>
      <c r="E1719" s="6" t="s">
        <v>96</v>
      </c>
      <c r="F1719" s="6" t="s">
        <v>542</v>
      </c>
      <c r="G1719" s="6" t="s">
        <v>32</v>
      </c>
      <c r="H1719" s="6" t="s">
        <v>19</v>
      </c>
      <c r="I1719" s="6" t="s">
        <v>767</v>
      </c>
      <c r="J1719" s="6" t="s">
        <v>767</v>
      </c>
      <c r="K1719" s="7">
        <v>6255914</v>
      </c>
      <c r="L1719" s="7">
        <v>320810</v>
      </c>
      <c r="M1719" s="7">
        <v>19</v>
      </c>
      <c r="N1719" s="7">
        <v>1</v>
      </c>
      <c r="O1719" s="7">
        <v>0.39</v>
      </c>
    </row>
    <row r="1720" spans="1:15" x14ac:dyDescent="0.25">
      <c r="A1720" s="6" t="s">
        <v>28</v>
      </c>
      <c r="B1720" s="6" t="s">
        <v>522</v>
      </c>
      <c r="C1720" s="7">
        <v>31024</v>
      </c>
      <c r="D1720" s="6" t="s">
        <v>24</v>
      </c>
      <c r="E1720" s="6" t="s">
        <v>56</v>
      </c>
      <c r="F1720" s="6" t="s">
        <v>418</v>
      </c>
      <c r="G1720" s="6" t="s">
        <v>32</v>
      </c>
      <c r="H1720" s="6" t="s">
        <v>19</v>
      </c>
      <c r="I1720" s="6" t="s">
        <v>767</v>
      </c>
      <c r="J1720" s="6" t="s">
        <v>767</v>
      </c>
      <c r="K1720" s="7">
        <v>6270112</v>
      </c>
      <c r="L1720" s="7">
        <v>329483</v>
      </c>
      <c r="M1720" s="7">
        <v>19</v>
      </c>
      <c r="N1720" s="7">
        <v>1</v>
      </c>
      <c r="O1720" s="7">
        <v>1.5</v>
      </c>
    </row>
    <row r="1721" spans="1:15" x14ac:dyDescent="0.25">
      <c r="A1721" s="6" t="s">
        <v>28</v>
      </c>
      <c r="B1721" s="6" t="s">
        <v>522</v>
      </c>
      <c r="C1721" s="7">
        <v>31025</v>
      </c>
      <c r="D1721" s="6" t="s">
        <v>24</v>
      </c>
      <c r="E1721" s="6" t="s">
        <v>25</v>
      </c>
      <c r="F1721" s="6" t="s">
        <v>565</v>
      </c>
      <c r="G1721" s="6" t="s">
        <v>32</v>
      </c>
      <c r="H1721" s="6" t="s">
        <v>19</v>
      </c>
      <c r="I1721" s="6" t="s">
        <v>767</v>
      </c>
      <c r="J1721" s="6" t="s">
        <v>767</v>
      </c>
      <c r="K1721" s="7">
        <v>6273759</v>
      </c>
      <c r="L1721" s="7">
        <v>345261</v>
      </c>
      <c r="M1721" s="7">
        <v>19</v>
      </c>
      <c r="N1721" s="7">
        <v>1</v>
      </c>
      <c r="O1721" s="7">
        <v>0.93</v>
      </c>
    </row>
    <row r="1722" spans="1:15" x14ac:dyDescent="0.25">
      <c r="A1722" s="6" t="s">
        <v>28</v>
      </c>
      <c r="B1722" s="6" t="s">
        <v>522</v>
      </c>
      <c r="C1722" s="7">
        <v>31028</v>
      </c>
      <c r="D1722" s="6" t="s">
        <v>24</v>
      </c>
      <c r="E1722" s="6" t="s">
        <v>543</v>
      </c>
      <c r="F1722" s="6" t="s">
        <v>225</v>
      </c>
      <c r="G1722" s="6" t="s">
        <v>32</v>
      </c>
      <c r="H1722" s="6" t="s">
        <v>19</v>
      </c>
      <c r="I1722" s="6" t="s">
        <v>767</v>
      </c>
      <c r="J1722" s="6" t="s">
        <v>767</v>
      </c>
      <c r="K1722" s="7">
        <v>6306998</v>
      </c>
      <c r="L1722" s="7">
        <v>329905</v>
      </c>
      <c r="M1722" s="7">
        <v>19</v>
      </c>
      <c r="N1722" s="7">
        <v>1</v>
      </c>
      <c r="O1722" s="7">
        <v>0.3</v>
      </c>
    </row>
    <row r="1723" spans="1:15" x14ac:dyDescent="0.25">
      <c r="A1723" s="6" t="s">
        <v>28</v>
      </c>
      <c r="B1723" s="6" t="s">
        <v>522</v>
      </c>
      <c r="C1723" s="7">
        <v>31029</v>
      </c>
      <c r="D1723" s="6" t="s">
        <v>24</v>
      </c>
      <c r="E1723" s="6" t="s">
        <v>456</v>
      </c>
      <c r="F1723" s="6" t="s">
        <v>456</v>
      </c>
      <c r="G1723" s="6" t="s">
        <v>32</v>
      </c>
      <c r="H1723" s="6" t="s">
        <v>19</v>
      </c>
      <c r="I1723" s="6" t="s">
        <v>767</v>
      </c>
      <c r="J1723" s="6" t="s">
        <v>767</v>
      </c>
      <c r="K1723" s="7">
        <v>6271898</v>
      </c>
      <c r="L1723" s="7">
        <v>319972</v>
      </c>
      <c r="M1723" s="7">
        <v>19</v>
      </c>
      <c r="N1723" s="7">
        <v>1</v>
      </c>
      <c r="O1723" s="7">
        <v>0.28999999999999998</v>
      </c>
    </row>
    <row r="1724" spans="1:15" x14ac:dyDescent="0.25">
      <c r="A1724" s="6" t="s">
        <v>28</v>
      </c>
      <c r="B1724" s="6" t="s">
        <v>522</v>
      </c>
      <c r="C1724" s="7">
        <v>31031</v>
      </c>
      <c r="D1724" s="6" t="s">
        <v>24</v>
      </c>
      <c r="E1724" s="6" t="s">
        <v>436</v>
      </c>
      <c r="F1724" s="6" t="s">
        <v>436</v>
      </c>
      <c r="G1724" s="6" t="s">
        <v>32</v>
      </c>
      <c r="H1724" s="6" t="s">
        <v>19</v>
      </c>
      <c r="I1724" s="6" t="s">
        <v>767</v>
      </c>
      <c r="J1724" s="6" t="s">
        <v>767</v>
      </c>
      <c r="K1724" s="7">
        <v>6278344</v>
      </c>
      <c r="L1724" s="7">
        <v>334727</v>
      </c>
      <c r="M1724" s="7">
        <v>19</v>
      </c>
      <c r="N1724" s="7">
        <v>1</v>
      </c>
      <c r="O1724" s="7">
        <v>6.25</v>
      </c>
    </row>
    <row r="1725" spans="1:15" x14ac:dyDescent="0.25">
      <c r="A1725" s="6" t="s">
        <v>28</v>
      </c>
      <c r="B1725" s="6" t="s">
        <v>522</v>
      </c>
      <c r="C1725" s="7">
        <v>31032</v>
      </c>
      <c r="D1725" s="6" t="s">
        <v>24</v>
      </c>
      <c r="E1725" s="6" t="s">
        <v>37</v>
      </c>
      <c r="F1725" s="6" t="s">
        <v>37</v>
      </c>
      <c r="G1725" s="6" t="s">
        <v>32</v>
      </c>
      <c r="H1725" s="6" t="s">
        <v>19</v>
      </c>
      <c r="I1725" s="6" t="s">
        <v>767</v>
      </c>
      <c r="J1725" s="6" t="s">
        <v>767</v>
      </c>
      <c r="K1725" s="7">
        <v>6268478</v>
      </c>
      <c r="L1725" s="7">
        <v>318090</v>
      </c>
      <c r="M1725" s="7">
        <v>19</v>
      </c>
      <c r="N1725" s="7">
        <v>1</v>
      </c>
      <c r="O1725" s="7">
        <v>1.6</v>
      </c>
    </row>
    <row r="1726" spans="1:15" x14ac:dyDescent="0.25">
      <c r="A1726" s="6" t="s">
        <v>28</v>
      </c>
      <c r="B1726" s="6" t="s">
        <v>522</v>
      </c>
      <c r="C1726" s="7">
        <v>31033</v>
      </c>
      <c r="D1726" s="6" t="s">
        <v>24</v>
      </c>
      <c r="E1726" s="6" t="s">
        <v>56</v>
      </c>
      <c r="F1726" s="6" t="s">
        <v>554</v>
      </c>
      <c r="G1726" s="6" t="s">
        <v>32</v>
      </c>
      <c r="H1726" s="6" t="s">
        <v>19</v>
      </c>
      <c r="I1726" s="6" t="s">
        <v>767</v>
      </c>
      <c r="J1726" s="6" t="s">
        <v>767</v>
      </c>
      <c r="K1726" s="7">
        <v>6273837</v>
      </c>
      <c r="L1726" s="7">
        <v>338027</v>
      </c>
      <c r="M1726" s="7">
        <v>19</v>
      </c>
      <c r="N1726" s="7">
        <v>1</v>
      </c>
      <c r="O1726" s="7">
        <v>0.41</v>
      </c>
    </row>
    <row r="1727" spans="1:15" x14ac:dyDescent="0.25">
      <c r="A1727" s="6" t="s">
        <v>28</v>
      </c>
      <c r="B1727" s="6" t="s">
        <v>522</v>
      </c>
      <c r="C1727" s="7">
        <v>31034</v>
      </c>
      <c r="D1727" s="6" t="s">
        <v>24</v>
      </c>
      <c r="E1727" s="6" t="s">
        <v>31</v>
      </c>
      <c r="F1727" s="6" t="s">
        <v>109</v>
      </c>
      <c r="G1727" s="6" t="s">
        <v>32</v>
      </c>
      <c r="H1727" s="6" t="s">
        <v>19</v>
      </c>
      <c r="I1727" s="6" t="s">
        <v>767</v>
      </c>
      <c r="J1727" s="6" t="s">
        <v>767</v>
      </c>
      <c r="K1727" s="7">
        <v>6274671</v>
      </c>
      <c r="L1727" s="7">
        <v>285169</v>
      </c>
      <c r="M1727" s="7">
        <v>19</v>
      </c>
      <c r="N1727" s="7">
        <v>1</v>
      </c>
      <c r="O1727" s="7">
        <v>1</v>
      </c>
    </row>
    <row r="1728" spans="1:15" x14ac:dyDescent="0.25">
      <c r="A1728" s="6" t="s">
        <v>28</v>
      </c>
      <c r="B1728" s="6" t="s">
        <v>522</v>
      </c>
      <c r="C1728" s="7">
        <v>31035</v>
      </c>
      <c r="D1728" s="6" t="s">
        <v>24</v>
      </c>
      <c r="E1728" s="6" t="s">
        <v>31</v>
      </c>
      <c r="F1728" s="6" t="s">
        <v>566</v>
      </c>
      <c r="G1728" s="6" t="s">
        <v>32</v>
      </c>
      <c r="H1728" s="6" t="s">
        <v>19</v>
      </c>
      <c r="I1728" s="6" t="s">
        <v>767</v>
      </c>
      <c r="J1728" s="6" t="s">
        <v>767</v>
      </c>
      <c r="K1728" s="7">
        <v>6276726</v>
      </c>
      <c r="L1728" s="7">
        <v>288840</v>
      </c>
      <c r="M1728" s="7">
        <v>19</v>
      </c>
      <c r="N1728" s="7">
        <v>1</v>
      </c>
      <c r="O1728" s="7">
        <v>1.1000000000000001</v>
      </c>
    </row>
    <row r="1729" spans="1:15" x14ac:dyDescent="0.25">
      <c r="A1729" s="6" t="s">
        <v>28</v>
      </c>
      <c r="B1729" s="6" t="s">
        <v>522</v>
      </c>
      <c r="C1729" s="7">
        <v>31036</v>
      </c>
      <c r="D1729" s="6" t="s">
        <v>24</v>
      </c>
      <c r="E1729" s="6" t="s">
        <v>31</v>
      </c>
      <c r="F1729" s="6" t="s">
        <v>566</v>
      </c>
      <c r="G1729" s="6" t="s">
        <v>32</v>
      </c>
      <c r="H1729" s="6" t="s">
        <v>19</v>
      </c>
      <c r="I1729" s="6" t="s">
        <v>767</v>
      </c>
      <c r="J1729" s="6" t="s">
        <v>767</v>
      </c>
      <c r="K1729" s="7">
        <v>6277034</v>
      </c>
      <c r="L1729" s="7">
        <v>288891</v>
      </c>
      <c r="M1729" s="7">
        <v>19</v>
      </c>
      <c r="N1729" s="7">
        <v>1</v>
      </c>
      <c r="O1729" s="7">
        <v>1.1499999999999999</v>
      </c>
    </row>
    <row r="1730" spans="1:15" x14ac:dyDescent="0.25">
      <c r="A1730" s="6" t="s">
        <v>28</v>
      </c>
      <c r="B1730" s="6" t="s">
        <v>522</v>
      </c>
      <c r="C1730" s="7">
        <v>31037</v>
      </c>
      <c r="D1730" s="6" t="s">
        <v>24</v>
      </c>
      <c r="E1730" s="6" t="s">
        <v>436</v>
      </c>
      <c r="F1730" s="6" t="s">
        <v>436</v>
      </c>
      <c r="G1730" s="6" t="s">
        <v>32</v>
      </c>
      <c r="H1730" s="6" t="s">
        <v>19</v>
      </c>
      <c r="I1730" s="6" t="s">
        <v>767</v>
      </c>
      <c r="J1730" s="6" t="s">
        <v>767</v>
      </c>
      <c r="K1730" s="7">
        <v>6279226</v>
      </c>
      <c r="L1730" s="7">
        <v>331628</v>
      </c>
      <c r="M1730" s="7">
        <v>19</v>
      </c>
      <c r="N1730" s="7">
        <v>1</v>
      </c>
      <c r="O1730" s="7">
        <v>1</v>
      </c>
    </row>
    <row r="1731" spans="1:15" x14ac:dyDescent="0.25">
      <c r="A1731" s="6" t="s">
        <v>28</v>
      </c>
      <c r="B1731" s="6" t="s">
        <v>522</v>
      </c>
      <c r="C1731" s="7">
        <v>31039</v>
      </c>
      <c r="D1731" s="6" t="s">
        <v>24</v>
      </c>
      <c r="E1731" s="6" t="s">
        <v>37</v>
      </c>
      <c r="F1731" s="6" t="s">
        <v>567</v>
      </c>
      <c r="G1731" s="6" t="s">
        <v>32</v>
      </c>
      <c r="H1731" s="6" t="s">
        <v>19</v>
      </c>
      <c r="I1731" s="6" t="s">
        <v>767</v>
      </c>
      <c r="J1731" s="6" t="s">
        <v>767</v>
      </c>
      <c r="K1731" s="7">
        <v>6272252</v>
      </c>
      <c r="L1731" s="7">
        <v>325576</v>
      </c>
      <c r="M1731" s="7">
        <v>19</v>
      </c>
      <c r="N1731" s="7">
        <v>1</v>
      </c>
      <c r="O1731" s="7">
        <v>1</v>
      </c>
    </row>
    <row r="1732" spans="1:15" x14ac:dyDescent="0.25">
      <c r="A1732" s="6" t="s">
        <v>28</v>
      </c>
      <c r="B1732" s="6" t="s">
        <v>522</v>
      </c>
      <c r="C1732" s="7">
        <v>31040</v>
      </c>
      <c r="D1732" s="6" t="s">
        <v>24</v>
      </c>
      <c r="E1732" s="6" t="s">
        <v>456</v>
      </c>
      <c r="F1732" s="6" t="s">
        <v>568</v>
      </c>
      <c r="G1732" s="6" t="s">
        <v>32</v>
      </c>
      <c r="H1732" s="6" t="s">
        <v>19</v>
      </c>
      <c r="I1732" s="6" t="s">
        <v>767</v>
      </c>
      <c r="J1732" s="6" t="s">
        <v>767</v>
      </c>
      <c r="K1732" s="7">
        <v>6292103</v>
      </c>
      <c r="L1732" s="7">
        <v>330900</v>
      </c>
      <c r="M1732" s="7">
        <v>19</v>
      </c>
      <c r="N1732" s="7">
        <v>1</v>
      </c>
      <c r="O1732" s="7">
        <v>0.95</v>
      </c>
    </row>
    <row r="1733" spans="1:15" x14ac:dyDescent="0.25">
      <c r="A1733" s="6" t="s">
        <v>28</v>
      </c>
      <c r="B1733" s="6" t="s">
        <v>522</v>
      </c>
      <c r="C1733" s="7">
        <v>31041</v>
      </c>
      <c r="D1733" s="6" t="s">
        <v>24</v>
      </c>
      <c r="E1733" s="6" t="s">
        <v>543</v>
      </c>
      <c r="F1733" s="6" t="s">
        <v>569</v>
      </c>
      <c r="G1733" s="6" t="s">
        <v>32</v>
      </c>
      <c r="H1733" s="6" t="s">
        <v>19</v>
      </c>
      <c r="I1733" s="6" t="s">
        <v>767</v>
      </c>
      <c r="J1733" s="6" t="s">
        <v>767</v>
      </c>
      <c r="K1733" s="7">
        <v>6309112</v>
      </c>
      <c r="L1733" s="7">
        <v>329908</v>
      </c>
      <c r="M1733" s="7">
        <v>19</v>
      </c>
      <c r="N1733" s="7">
        <v>1</v>
      </c>
      <c r="O1733" s="7">
        <v>0.15</v>
      </c>
    </row>
    <row r="1734" spans="1:15" x14ac:dyDescent="0.25">
      <c r="A1734" s="6" t="s">
        <v>28</v>
      </c>
      <c r="B1734" s="6" t="s">
        <v>522</v>
      </c>
      <c r="C1734" s="7">
        <v>31042</v>
      </c>
      <c r="D1734" s="6" t="s">
        <v>24</v>
      </c>
      <c r="E1734" s="6" t="s">
        <v>570</v>
      </c>
      <c r="F1734" s="6" t="s">
        <v>570</v>
      </c>
      <c r="G1734" s="6" t="s">
        <v>32</v>
      </c>
      <c r="H1734" s="6" t="s">
        <v>19</v>
      </c>
      <c r="I1734" s="6" t="s">
        <v>767</v>
      </c>
      <c r="J1734" s="6" t="s">
        <v>767</v>
      </c>
      <c r="K1734" s="7">
        <v>6308237</v>
      </c>
      <c r="L1734" s="7">
        <v>341903</v>
      </c>
      <c r="M1734" s="7">
        <v>19</v>
      </c>
      <c r="N1734" s="7">
        <v>1</v>
      </c>
      <c r="O1734" s="7">
        <v>2.4</v>
      </c>
    </row>
    <row r="1735" spans="1:15" x14ac:dyDescent="0.25">
      <c r="A1735" s="6" t="s">
        <v>28</v>
      </c>
      <c r="B1735" s="6" t="s">
        <v>522</v>
      </c>
      <c r="C1735" s="7">
        <v>31045</v>
      </c>
      <c r="D1735" s="6" t="s">
        <v>24</v>
      </c>
      <c r="E1735" s="6" t="s">
        <v>456</v>
      </c>
      <c r="F1735" s="6" t="s">
        <v>456</v>
      </c>
      <c r="G1735" s="6" t="s">
        <v>32</v>
      </c>
      <c r="H1735" s="6" t="s">
        <v>19</v>
      </c>
      <c r="I1735" s="6" t="s">
        <v>767</v>
      </c>
      <c r="J1735" s="6" t="s">
        <v>767</v>
      </c>
      <c r="K1735" s="7">
        <v>6271982</v>
      </c>
      <c r="L1735" s="7">
        <v>320421</v>
      </c>
      <c r="M1735" s="7">
        <v>19</v>
      </c>
      <c r="N1735" s="7">
        <v>2</v>
      </c>
      <c r="O1735" s="7">
        <v>1.9</v>
      </c>
    </row>
    <row r="1736" spans="1:15" x14ac:dyDescent="0.25">
      <c r="A1736" s="6" t="s">
        <v>14</v>
      </c>
      <c r="B1736" s="6" t="s">
        <v>522</v>
      </c>
      <c r="C1736" s="7">
        <v>31046</v>
      </c>
      <c r="D1736" s="6" t="s">
        <v>24</v>
      </c>
      <c r="E1736" s="6" t="s">
        <v>456</v>
      </c>
      <c r="F1736" s="6" t="s">
        <v>571</v>
      </c>
      <c r="G1736" s="6" t="s">
        <v>32</v>
      </c>
      <c r="H1736" s="6" t="s">
        <v>33</v>
      </c>
      <c r="I1736" s="6" t="s">
        <v>767</v>
      </c>
      <c r="J1736" s="6" t="s">
        <v>764</v>
      </c>
      <c r="K1736" s="7">
        <v>6293334</v>
      </c>
      <c r="L1736" s="7">
        <v>332284</v>
      </c>
      <c r="M1736" s="7">
        <v>19</v>
      </c>
      <c r="N1736" s="7">
        <v>1</v>
      </c>
      <c r="O1736" s="7">
        <v>0.33</v>
      </c>
    </row>
    <row r="1737" spans="1:15" x14ac:dyDescent="0.25">
      <c r="A1737" s="6" t="s">
        <v>14</v>
      </c>
      <c r="B1737" s="6" t="s">
        <v>522</v>
      </c>
      <c r="C1737" s="7">
        <v>31047</v>
      </c>
      <c r="D1737" s="6" t="s">
        <v>24</v>
      </c>
      <c r="E1737" s="6" t="s">
        <v>31</v>
      </c>
      <c r="F1737" s="6" t="s">
        <v>563</v>
      </c>
      <c r="G1737" s="6" t="s">
        <v>32</v>
      </c>
      <c r="H1737" s="6" t="s">
        <v>33</v>
      </c>
      <c r="I1737" s="6" t="s">
        <v>767</v>
      </c>
      <c r="J1737" s="6" t="s">
        <v>767</v>
      </c>
      <c r="K1737" s="7">
        <v>6272194</v>
      </c>
      <c r="L1737" s="7">
        <v>303127</v>
      </c>
      <c r="M1737" s="7">
        <v>19</v>
      </c>
      <c r="N1737" s="7">
        <v>1</v>
      </c>
      <c r="O1737" s="7">
        <v>0.18</v>
      </c>
    </row>
    <row r="1738" spans="1:15" x14ac:dyDescent="0.25">
      <c r="A1738" s="6" t="s">
        <v>14</v>
      </c>
      <c r="B1738" s="6" t="s">
        <v>522</v>
      </c>
      <c r="C1738" s="7">
        <v>31048</v>
      </c>
      <c r="D1738" s="6" t="s">
        <v>24</v>
      </c>
      <c r="E1738" s="6" t="s">
        <v>31</v>
      </c>
      <c r="F1738" s="6" t="s">
        <v>563</v>
      </c>
      <c r="G1738" s="6" t="s">
        <v>32</v>
      </c>
      <c r="H1738" s="6" t="s">
        <v>33</v>
      </c>
      <c r="I1738" s="6" t="s">
        <v>767</v>
      </c>
      <c r="J1738" s="6" t="s">
        <v>767</v>
      </c>
      <c r="K1738" s="7">
        <v>6272194</v>
      </c>
      <c r="L1738" s="7">
        <v>303127</v>
      </c>
      <c r="M1738" s="7">
        <v>19</v>
      </c>
      <c r="N1738" s="7">
        <v>1</v>
      </c>
      <c r="O1738" s="7">
        <v>0.31</v>
      </c>
    </row>
    <row r="1739" spans="1:15" x14ac:dyDescent="0.25">
      <c r="A1739" s="6" t="s">
        <v>14</v>
      </c>
      <c r="B1739" s="6" t="s">
        <v>522</v>
      </c>
      <c r="C1739" s="7">
        <v>31050</v>
      </c>
      <c r="D1739" s="6" t="s">
        <v>24</v>
      </c>
      <c r="E1739" s="6" t="s">
        <v>56</v>
      </c>
      <c r="F1739" s="6" t="s">
        <v>418</v>
      </c>
      <c r="G1739" s="6" t="s">
        <v>32</v>
      </c>
      <c r="H1739" s="6" t="s">
        <v>33</v>
      </c>
      <c r="I1739" s="6" t="s">
        <v>767</v>
      </c>
      <c r="J1739" s="6" t="s">
        <v>767</v>
      </c>
      <c r="K1739" s="7">
        <v>6273468</v>
      </c>
      <c r="L1739" s="7">
        <v>335329</v>
      </c>
      <c r="M1739" s="7">
        <v>19</v>
      </c>
      <c r="N1739" s="7">
        <v>1</v>
      </c>
      <c r="O1739" s="7">
        <v>0.43</v>
      </c>
    </row>
    <row r="1740" spans="1:15" x14ac:dyDescent="0.25">
      <c r="A1740" s="6" t="s">
        <v>22</v>
      </c>
      <c r="B1740" s="6" t="s">
        <v>522</v>
      </c>
      <c r="C1740" s="7">
        <v>31056</v>
      </c>
      <c r="D1740" s="6" t="s">
        <v>24</v>
      </c>
      <c r="E1740" s="6" t="s">
        <v>25</v>
      </c>
      <c r="F1740" s="6" t="s">
        <v>426</v>
      </c>
      <c r="G1740" s="6" t="s">
        <v>32</v>
      </c>
      <c r="H1740" s="6" t="s">
        <v>765</v>
      </c>
      <c r="I1740" s="6" t="s">
        <v>767</v>
      </c>
      <c r="J1740" s="6" t="s">
        <v>767</v>
      </c>
      <c r="K1740" s="7">
        <v>6259509</v>
      </c>
      <c r="L1740" s="7">
        <v>330980</v>
      </c>
      <c r="M1740" s="7">
        <v>19</v>
      </c>
      <c r="N1740" s="7">
        <v>1</v>
      </c>
      <c r="O1740" s="7">
        <v>1.03</v>
      </c>
    </row>
    <row r="1741" spans="1:15" x14ac:dyDescent="0.25">
      <c r="A1741" s="6" t="s">
        <v>22</v>
      </c>
      <c r="B1741" s="6" t="s">
        <v>522</v>
      </c>
      <c r="C1741" s="7">
        <v>31057</v>
      </c>
      <c r="D1741" s="6" t="s">
        <v>24</v>
      </c>
      <c r="E1741" s="6" t="s">
        <v>25</v>
      </c>
      <c r="F1741" s="6" t="s">
        <v>426</v>
      </c>
      <c r="G1741" s="6" t="s">
        <v>32</v>
      </c>
      <c r="H1741" s="6" t="s">
        <v>765</v>
      </c>
      <c r="I1741" s="6" t="s">
        <v>767</v>
      </c>
      <c r="J1741" s="6" t="s">
        <v>767</v>
      </c>
      <c r="K1741" s="7">
        <v>6260233</v>
      </c>
      <c r="L1741" s="7">
        <v>331399</v>
      </c>
      <c r="M1741" s="7">
        <v>19</v>
      </c>
      <c r="N1741" s="7">
        <v>1</v>
      </c>
      <c r="O1741" s="7">
        <v>0.44</v>
      </c>
    </row>
    <row r="1742" spans="1:15" x14ac:dyDescent="0.25">
      <c r="A1742" s="6" t="s">
        <v>22</v>
      </c>
      <c r="B1742" s="6" t="s">
        <v>522</v>
      </c>
      <c r="C1742" s="7">
        <v>31111</v>
      </c>
      <c r="D1742" s="6" t="s">
        <v>24</v>
      </c>
      <c r="E1742" s="6" t="s">
        <v>25</v>
      </c>
      <c r="F1742" s="6" t="s">
        <v>445</v>
      </c>
      <c r="G1742" s="6" t="s">
        <v>32</v>
      </c>
      <c r="H1742" s="6" t="s">
        <v>765</v>
      </c>
      <c r="I1742" s="6" t="s">
        <v>767</v>
      </c>
      <c r="J1742" s="6" t="s">
        <v>767</v>
      </c>
      <c r="K1742" s="7">
        <v>6259672</v>
      </c>
      <c r="L1742" s="7">
        <v>332355</v>
      </c>
      <c r="M1742" s="7">
        <v>19</v>
      </c>
      <c r="N1742" s="7">
        <v>1</v>
      </c>
      <c r="O1742" s="7">
        <v>1.95</v>
      </c>
    </row>
    <row r="1743" spans="1:15" x14ac:dyDescent="0.25">
      <c r="A1743" s="6" t="s">
        <v>14</v>
      </c>
      <c r="B1743" s="6" t="s">
        <v>522</v>
      </c>
      <c r="C1743" s="7">
        <v>31121</v>
      </c>
      <c r="D1743" s="6" t="s">
        <v>24</v>
      </c>
      <c r="E1743" s="6" t="s">
        <v>436</v>
      </c>
      <c r="F1743" s="6" t="s">
        <v>572</v>
      </c>
      <c r="G1743" s="6" t="s">
        <v>32</v>
      </c>
      <c r="H1743" s="6" t="s">
        <v>33</v>
      </c>
      <c r="I1743" s="6" t="s">
        <v>767</v>
      </c>
      <c r="J1743" s="6" t="s">
        <v>767</v>
      </c>
      <c r="K1743" s="7">
        <v>6275977</v>
      </c>
      <c r="L1743" s="7">
        <v>337061</v>
      </c>
      <c r="M1743" s="7">
        <v>19</v>
      </c>
      <c r="N1743" s="7">
        <v>1</v>
      </c>
      <c r="O1743" s="7">
        <v>0.21</v>
      </c>
    </row>
    <row r="1744" spans="1:15" x14ac:dyDescent="0.25">
      <c r="A1744" s="6" t="s">
        <v>14</v>
      </c>
      <c r="B1744" s="6" t="s">
        <v>522</v>
      </c>
      <c r="C1744" s="7">
        <v>31122</v>
      </c>
      <c r="D1744" s="6" t="s">
        <v>24</v>
      </c>
      <c r="E1744" s="6" t="s">
        <v>436</v>
      </c>
      <c r="F1744" s="6" t="s">
        <v>572</v>
      </c>
      <c r="G1744" s="6" t="s">
        <v>32</v>
      </c>
      <c r="H1744" s="6" t="s">
        <v>33</v>
      </c>
      <c r="I1744" s="6" t="s">
        <v>767</v>
      </c>
      <c r="J1744" s="6" t="s">
        <v>767</v>
      </c>
      <c r="K1744" s="7">
        <v>6275977</v>
      </c>
      <c r="L1744" s="7">
        <v>337061</v>
      </c>
      <c r="M1744" s="7">
        <v>19</v>
      </c>
      <c r="N1744" s="7">
        <v>1</v>
      </c>
      <c r="O1744" s="7">
        <v>0.21</v>
      </c>
    </row>
    <row r="1745" spans="1:15" x14ac:dyDescent="0.25">
      <c r="A1745" s="6" t="s">
        <v>14</v>
      </c>
      <c r="B1745" s="6" t="s">
        <v>522</v>
      </c>
      <c r="C1745" s="7">
        <v>31123</v>
      </c>
      <c r="D1745" s="6" t="s">
        <v>24</v>
      </c>
      <c r="E1745" s="6" t="s">
        <v>436</v>
      </c>
      <c r="F1745" s="6" t="s">
        <v>572</v>
      </c>
      <c r="G1745" s="6" t="s">
        <v>32</v>
      </c>
      <c r="H1745" s="6" t="s">
        <v>33</v>
      </c>
      <c r="I1745" s="6" t="s">
        <v>767</v>
      </c>
      <c r="J1745" s="6" t="s">
        <v>767</v>
      </c>
      <c r="K1745" s="7">
        <v>6275977</v>
      </c>
      <c r="L1745" s="7">
        <v>337061</v>
      </c>
      <c r="M1745" s="7">
        <v>19</v>
      </c>
      <c r="N1745" s="7">
        <v>1</v>
      </c>
      <c r="O1745" s="7">
        <v>0.24</v>
      </c>
    </row>
    <row r="1746" spans="1:15" x14ac:dyDescent="0.25">
      <c r="A1746" s="6" t="s">
        <v>14</v>
      </c>
      <c r="B1746" s="6" t="s">
        <v>522</v>
      </c>
      <c r="C1746" s="7">
        <v>31124</v>
      </c>
      <c r="D1746" s="6" t="s">
        <v>24</v>
      </c>
      <c r="E1746" s="6" t="s">
        <v>436</v>
      </c>
      <c r="F1746" s="6" t="s">
        <v>572</v>
      </c>
      <c r="G1746" s="6" t="s">
        <v>32</v>
      </c>
      <c r="H1746" s="6" t="s">
        <v>33</v>
      </c>
      <c r="I1746" s="6" t="s">
        <v>767</v>
      </c>
      <c r="J1746" s="6" t="s">
        <v>767</v>
      </c>
      <c r="K1746" s="7">
        <v>6275977</v>
      </c>
      <c r="L1746" s="7">
        <v>337061</v>
      </c>
      <c r="M1746" s="7">
        <v>19</v>
      </c>
      <c r="N1746" s="7">
        <v>1</v>
      </c>
      <c r="O1746" s="7">
        <v>0.21</v>
      </c>
    </row>
    <row r="1747" spans="1:15" x14ac:dyDescent="0.25">
      <c r="A1747" s="6" t="s">
        <v>14</v>
      </c>
      <c r="B1747" s="6" t="s">
        <v>522</v>
      </c>
      <c r="C1747" s="7">
        <v>31145</v>
      </c>
      <c r="D1747" s="6" t="s">
        <v>24</v>
      </c>
      <c r="E1747" s="6" t="s">
        <v>56</v>
      </c>
      <c r="F1747" s="6" t="s">
        <v>418</v>
      </c>
      <c r="G1747" s="6" t="s">
        <v>32</v>
      </c>
      <c r="H1747" s="6" t="s">
        <v>33</v>
      </c>
      <c r="I1747" s="6" t="s">
        <v>767</v>
      </c>
      <c r="J1747" s="6" t="s">
        <v>767</v>
      </c>
      <c r="K1747" s="7">
        <v>6270987</v>
      </c>
      <c r="L1747" s="7">
        <v>335640</v>
      </c>
      <c r="M1747" s="7">
        <v>19</v>
      </c>
      <c r="N1747" s="7">
        <v>1</v>
      </c>
      <c r="O1747" s="7">
        <v>0.33</v>
      </c>
    </row>
    <row r="1748" spans="1:15" x14ac:dyDescent="0.25">
      <c r="A1748" s="6" t="s">
        <v>14</v>
      </c>
      <c r="B1748" s="6" t="s">
        <v>522</v>
      </c>
      <c r="C1748" s="7">
        <v>31150</v>
      </c>
      <c r="D1748" s="6" t="s">
        <v>24</v>
      </c>
      <c r="E1748" s="6" t="s">
        <v>56</v>
      </c>
      <c r="F1748" s="6" t="s">
        <v>418</v>
      </c>
      <c r="G1748" s="6" t="s">
        <v>32</v>
      </c>
      <c r="H1748" s="6" t="s">
        <v>33</v>
      </c>
      <c r="I1748" s="6" t="s">
        <v>767</v>
      </c>
      <c r="J1748" s="6" t="s">
        <v>767</v>
      </c>
      <c r="K1748" s="7">
        <v>6270987</v>
      </c>
      <c r="L1748" s="7">
        <v>335640</v>
      </c>
      <c r="M1748" s="7">
        <v>19</v>
      </c>
      <c r="N1748" s="7">
        <v>1</v>
      </c>
      <c r="O1748" s="7">
        <v>0.33</v>
      </c>
    </row>
    <row r="1749" spans="1:15" x14ac:dyDescent="0.25">
      <c r="A1749" s="6" t="s">
        <v>14</v>
      </c>
      <c r="B1749" s="6" t="s">
        <v>522</v>
      </c>
      <c r="C1749" s="7">
        <v>31155</v>
      </c>
      <c r="D1749" s="6" t="s">
        <v>42</v>
      </c>
      <c r="E1749" s="6" t="s">
        <v>196</v>
      </c>
      <c r="F1749" s="6" t="s">
        <v>168</v>
      </c>
      <c r="G1749" s="6" t="s">
        <v>32</v>
      </c>
      <c r="H1749" s="6" t="s">
        <v>33</v>
      </c>
      <c r="I1749" s="6" t="s">
        <v>767</v>
      </c>
      <c r="J1749" s="6" t="s">
        <v>767</v>
      </c>
      <c r="K1749" s="7">
        <v>6226323</v>
      </c>
      <c r="L1749" s="7">
        <v>346852</v>
      </c>
      <c r="M1749" s="7">
        <v>19</v>
      </c>
      <c r="N1749" s="7">
        <v>1</v>
      </c>
      <c r="O1749" s="7">
        <v>0.4</v>
      </c>
    </row>
    <row r="1750" spans="1:15" x14ac:dyDescent="0.25">
      <c r="A1750" s="6" t="s">
        <v>28</v>
      </c>
      <c r="B1750" s="6" t="s">
        <v>522</v>
      </c>
      <c r="C1750" s="7">
        <v>31156</v>
      </c>
      <c r="D1750" s="6" t="s">
        <v>24</v>
      </c>
      <c r="E1750" s="6" t="s">
        <v>543</v>
      </c>
      <c r="F1750" s="6" t="s">
        <v>543</v>
      </c>
      <c r="G1750" s="6" t="s">
        <v>32</v>
      </c>
      <c r="H1750" s="6" t="s">
        <v>19</v>
      </c>
      <c r="I1750" s="6" t="s">
        <v>767</v>
      </c>
      <c r="J1750" s="6" t="s">
        <v>767</v>
      </c>
      <c r="K1750" s="7">
        <v>6314838</v>
      </c>
      <c r="L1750" s="7">
        <v>328480</v>
      </c>
      <c r="M1750" s="7">
        <v>19</v>
      </c>
      <c r="N1750" s="7">
        <v>1</v>
      </c>
      <c r="O1750" s="7">
        <v>0.19</v>
      </c>
    </row>
    <row r="1751" spans="1:15" x14ac:dyDescent="0.25">
      <c r="A1751" s="6" t="s">
        <v>28</v>
      </c>
      <c r="B1751" s="6" t="s">
        <v>522</v>
      </c>
      <c r="C1751" s="7">
        <v>31157</v>
      </c>
      <c r="D1751" s="6" t="s">
        <v>24</v>
      </c>
      <c r="E1751" s="6" t="s">
        <v>543</v>
      </c>
      <c r="F1751" s="6" t="s">
        <v>543</v>
      </c>
      <c r="G1751" s="6" t="s">
        <v>32</v>
      </c>
      <c r="H1751" s="6" t="s">
        <v>19</v>
      </c>
      <c r="I1751" s="6" t="s">
        <v>767</v>
      </c>
      <c r="J1751" s="6" t="s">
        <v>767</v>
      </c>
      <c r="K1751" s="7">
        <v>6315089</v>
      </c>
      <c r="L1751" s="7">
        <v>329034</v>
      </c>
      <c r="M1751" s="7">
        <v>19</v>
      </c>
      <c r="N1751" s="7">
        <v>1</v>
      </c>
      <c r="O1751" s="7">
        <v>0.05</v>
      </c>
    </row>
    <row r="1752" spans="1:15" x14ac:dyDescent="0.25">
      <c r="A1752" s="6" t="s">
        <v>28</v>
      </c>
      <c r="B1752" s="6" t="s">
        <v>522</v>
      </c>
      <c r="C1752" s="7">
        <v>31158</v>
      </c>
      <c r="D1752" s="6" t="s">
        <v>24</v>
      </c>
      <c r="E1752" s="6" t="s">
        <v>552</v>
      </c>
      <c r="F1752" s="6" t="s">
        <v>553</v>
      </c>
      <c r="G1752" s="6" t="s">
        <v>32</v>
      </c>
      <c r="H1752" s="6" t="s">
        <v>19</v>
      </c>
      <c r="I1752" s="6" t="s">
        <v>767</v>
      </c>
      <c r="J1752" s="6" t="s">
        <v>767</v>
      </c>
      <c r="K1752" s="7">
        <v>6287024</v>
      </c>
      <c r="L1752" s="7">
        <v>333057</v>
      </c>
      <c r="M1752" s="7">
        <v>19</v>
      </c>
      <c r="N1752" s="7">
        <v>1</v>
      </c>
      <c r="O1752" s="7">
        <v>0.11</v>
      </c>
    </row>
    <row r="1753" spans="1:15" x14ac:dyDescent="0.25">
      <c r="A1753" s="6" t="s">
        <v>22</v>
      </c>
      <c r="B1753" s="6" t="s">
        <v>522</v>
      </c>
      <c r="C1753" s="7">
        <v>31171</v>
      </c>
      <c r="D1753" s="6" t="s">
        <v>24</v>
      </c>
      <c r="E1753" s="6" t="s">
        <v>25</v>
      </c>
      <c r="F1753" s="6" t="s">
        <v>445</v>
      </c>
      <c r="G1753" s="6" t="s">
        <v>32</v>
      </c>
      <c r="H1753" s="6" t="s">
        <v>765</v>
      </c>
      <c r="I1753" s="6" t="s">
        <v>767</v>
      </c>
      <c r="J1753" s="6" t="s">
        <v>767</v>
      </c>
      <c r="K1753" s="7">
        <v>6259628</v>
      </c>
      <c r="L1753" s="7">
        <v>332446</v>
      </c>
      <c r="M1753" s="7">
        <v>19</v>
      </c>
      <c r="N1753" s="7">
        <v>1</v>
      </c>
      <c r="O1753" s="7">
        <v>0.77</v>
      </c>
    </row>
    <row r="1754" spans="1:15" x14ac:dyDescent="0.25">
      <c r="A1754" s="6" t="s">
        <v>22</v>
      </c>
      <c r="B1754" s="6" t="s">
        <v>522</v>
      </c>
      <c r="C1754" s="7">
        <v>31191</v>
      </c>
      <c r="D1754" s="6" t="s">
        <v>24</v>
      </c>
      <c r="E1754" s="6" t="s">
        <v>25</v>
      </c>
      <c r="F1754" s="6" t="s">
        <v>426</v>
      </c>
      <c r="G1754" s="6" t="s">
        <v>32</v>
      </c>
      <c r="H1754" s="6" t="s">
        <v>765</v>
      </c>
      <c r="I1754" s="6" t="s">
        <v>767</v>
      </c>
      <c r="J1754" s="6" t="s">
        <v>767</v>
      </c>
      <c r="K1754" s="7">
        <v>6262299</v>
      </c>
      <c r="L1754" s="7">
        <v>332124</v>
      </c>
      <c r="M1754" s="7">
        <v>19</v>
      </c>
      <c r="N1754" s="7">
        <v>1</v>
      </c>
      <c r="O1754" s="7">
        <v>1.07</v>
      </c>
    </row>
    <row r="1755" spans="1:15" x14ac:dyDescent="0.25">
      <c r="A1755" s="6" t="s">
        <v>22</v>
      </c>
      <c r="B1755" s="6" t="s">
        <v>522</v>
      </c>
      <c r="C1755" s="7">
        <v>31195</v>
      </c>
      <c r="D1755" s="6" t="s">
        <v>24</v>
      </c>
      <c r="E1755" s="6" t="s">
        <v>25</v>
      </c>
      <c r="F1755" s="6" t="s">
        <v>445</v>
      </c>
      <c r="G1755" s="6" t="s">
        <v>32</v>
      </c>
      <c r="H1755" s="6" t="s">
        <v>765</v>
      </c>
      <c r="I1755" s="6" t="s">
        <v>767</v>
      </c>
      <c r="J1755" s="6" t="s">
        <v>767</v>
      </c>
      <c r="K1755" s="7">
        <v>6259211</v>
      </c>
      <c r="L1755" s="7">
        <v>332203</v>
      </c>
      <c r="M1755" s="7">
        <v>19</v>
      </c>
      <c r="N1755" s="7">
        <v>1</v>
      </c>
      <c r="O1755" s="7">
        <v>0.6</v>
      </c>
    </row>
    <row r="1756" spans="1:15" x14ac:dyDescent="0.25">
      <c r="A1756" s="6" t="s">
        <v>22</v>
      </c>
      <c r="B1756" s="6" t="s">
        <v>522</v>
      </c>
      <c r="C1756" s="7">
        <v>31197</v>
      </c>
      <c r="D1756" s="6" t="s">
        <v>24</v>
      </c>
      <c r="E1756" s="6" t="s">
        <v>96</v>
      </c>
      <c r="F1756" s="6" t="s">
        <v>573</v>
      </c>
      <c r="G1756" s="6" t="s">
        <v>32</v>
      </c>
      <c r="H1756" s="6" t="s">
        <v>765</v>
      </c>
      <c r="I1756" s="6" t="s">
        <v>767</v>
      </c>
      <c r="J1756" s="6" t="s">
        <v>767</v>
      </c>
      <c r="K1756" s="7">
        <v>6254894</v>
      </c>
      <c r="L1756" s="7">
        <v>334251</v>
      </c>
      <c r="M1756" s="7">
        <v>19</v>
      </c>
      <c r="N1756" s="7">
        <v>1</v>
      </c>
      <c r="O1756" s="7">
        <v>0.4</v>
      </c>
    </row>
    <row r="1757" spans="1:15" x14ac:dyDescent="0.25">
      <c r="A1757" s="6" t="s">
        <v>22</v>
      </c>
      <c r="B1757" s="6" t="s">
        <v>522</v>
      </c>
      <c r="C1757" s="7">
        <v>31198</v>
      </c>
      <c r="D1757" s="6" t="s">
        <v>42</v>
      </c>
      <c r="E1757" s="6" t="s">
        <v>167</v>
      </c>
      <c r="F1757" s="6" t="s">
        <v>167</v>
      </c>
      <c r="G1757" s="6" t="s">
        <v>32</v>
      </c>
      <c r="H1757" s="6" t="s">
        <v>765</v>
      </c>
      <c r="I1757" s="6" t="s">
        <v>767</v>
      </c>
      <c r="J1757" s="6" t="s">
        <v>767</v>
      </c>
      <c r="K1757" s="7">
        <v>6235911</v>
      </c>
      <c r="L1757" s="7">
        <v>342688</v>
      </c>
      <c r="M1757" s="7">
        <v>19</v>
      </c>
      <c r="N1757" s="7">
        <v>1</v>
      </c>
      <c r="O1757" s="7">
        <v>0.4</v>
      </c>
    </row>
    <row r="1758" spans="1:15" x14ac:dyDescent="0.25">
      <c r="A1758" s="6" t="s">
        <v>22</v>
      </c>
      <c r="B1758" s="6" t="s">
        <v>522</v>
      </c>
      <c r="C1758" s="7">
        <v>31224</v>
      </c>
      <c r="D1758" s="6" t="s">
        <v>24</v>
      </c>
      <c r="E1758" s="6" t="s">
        <v>25</v>
      </c>
      <c r="F1758" s="6" t="s">
        <v>445</v>
      </c>
      <c r="G1758" s="6" t="s">
        <v>32</v>
      </c>
      <c r="H1758" s="6" t="s">
        <v>765</v>
      </c>
      <c r="I1758" s="6" t="s">
        <v>767</v>
      </c>
      <c r="J1758" s="6" t="s">
        <v>767</v>
      </c>
      <c r="K1758" s="7">
        <v>6259051</v>
      </c>
      <c r="L1758" s="7">
        <v>332160</v>
      </c>
      <c r="M1758" s="7">
        <v>19</v>
      </c>
      <c r="N1758" s="7">
        <v>1</v>
      </c>
      <c r="O1758" s="7">
        <v>0.27</v>
      </c>
    </row>
    <row r="1759" spans="1:15" x14ac:dyDescent="0.25">
      <c r="A1759" s="6" t="s">
        <v>28</v>
      </c>
      <c r="B1759" s="6" t="s">
        <v>522</v>
      </c>
      <c r="C1759" s="7">
        <v>31226</v>
      </c>
      <c r="D1759" s="6" t="s">
        <v>24</v>
      </c>
      <c r="E1759" s="6" t="s">
        <v>38</v>
      </c>
      <c r="F1759" s="6" t="s">
        <v>38</v>
      </c>
      <c r="G1759" s="6" t="s">
        <v>32</v>
      </c>
      <c r="H1759" s="6" t="s">
        <v>19</v>
      </c>
      <c r="I1759" s="6" t="s">
        <v>767</v>
      </c>
      <c r="J1759" s="6" t="s">
        <v>767</v>
      </c>
      <c r="K1759" s="7">
        <v>6272421</v>
      </c>
      <c r="L1759" s="7">
        <v>307685</v>
      </c>
      <c r="M1759" s="7">
        <v>19</v>
      </c>
      <c r="N1759" s="7">
        <v>1</v>
      </c>
      <c r="O1759" s="7">
        <v>2.4</v>
      </c>
    </row>
    <row r="1760" spans="1:15" x14ac:dyDescent="0.25">
      <c r="A1760" s="6" t="s">
        <v>28</v>
      </c>
      <c r="B1760" s="6" t="s">
        <v>522</v>
      </c>
      <c r="C1760" s="7">
        <v>31227</v>
      </c>
      <c r="D1760" s="6" t="s">
        <v>24</v>
      </c>
      <c r="E1760" s="6" t="s">
        <v>543</v>
      </c>
      <c r="F1760" s="6" t="s">
        <v>543</v>
      </c>
      <c r="G1760" s="6" t="s">
        <v>32</v>
      </c>
      <c r="H1760" s="6" t="s">
        <v>19</v>
      </c>
      <c r="I1760" s="6" t="s">
        <v>767</v>
      </c>
      <c r="J1760" s="6" t="s">
        <v>767</v>
      </c>
      <c r="K1760" s="7">
        <v>6313236</v>
      </c>
      <c r="L1760" s="7">
        <v>330259</v>
      </c>
      <c r="M1760" s="7">
        <v>19</v>
      </c>
      <c r="N1760" s="7">
        <v>1</v>
      </c>
      <c r="O1760" s="7">
        <v>1.1000000000000001</v>
      </c>
    </row>
    <row r="1761" spans="1:15" x14ac:dyDescent="0.25">
      <c r="A1761" s="6" t="s">
        <v>28</v>
      </c>
      <c r="B1761" s="6" t="s">
        <v>522</v>
      </c>
      <c r="C1761" s="7">
        <v>31228</v>
      </c>
      <c r="D1761" s="6" t="s">
        <v>24</v>
      </c>
      <c r="E1761" s="6" t="s">
        <v>543</v>
      </c>
      <c r="F1761" s="6" t="s">
        <v>543</v>
      </c>
      <c r="G1761" s="6" t="s">
        <v>32</v>
      </c>
      <c r="H1761" s="6" t="s">
        <v>19</v>
      </c>
      <c r="I1761" s="6" t="s">
        <v>767</v>
      </c>
      <c r="J1761" s="6" t="s">
        <v>767</v>
      </c>
      <c r="K1761" s="7">
        <v>6312935</v>
      </c>
      <c r="L1761" s="7">
        <v>330490</v>
      </c>
      <c r="M1761" s="7">
        <v>19</v>
      </c>
      <c r="N1761" s="7">
        <v>1</v>
      </c>
      <c r="O1761" s="7">
        <v>1</v>
      </c>
    </row>
    <row r="1762" spans="1:15" x14ac:dyDescent="0.25">
      <c r="A1762" s="6" t="s">
        <v>14</v>
      </c>
      <c r="B1762" s="6" t="s">
        <v>522</v>
      </c>
      <c r="C1762" s="7">
        <v>31229</v>
      </c>
      <c r="D1762" s="6" t="s">
        <v>24</v>
      </c>
      <c r="E1762" s="6" t="s">
        <v>543</v>
      </c>
      <c r="F1762" s="6" t="s">
        <v>543</v>
      </c>
      <c r="G1762" s="6" t="s">
        <v>32</v>
      </c>
      <c r="H1762" s="6" t="s">
        <v>33</v>
      </c>
      <c r="I1762" s="6" t="s">
        <v>767</v>
      </c>
      <c r="J1762" s="6" t="s">
        <v>767</v>
      </c>
      <c r="K1762" s="7">
        <v>6314770</v>
      </c>
      <c r="L1762" s="7">
        <v>327944</v>
      </c>
      <c r="M1762" s="7">
        <v>19</v>
      </c>
      <c r="N1762" s="7">
        <v>1</v>
      </c>
      <c r="O1762" s="7">
        <v>0.4</v>
      </c>
    </row>
    <row r="1763" spans="1:15" x14ac:dyDescent="0.25">
      <c r="A1763" s="6" t="s">
        <v>28</v>
      </c>
      <c r="B1763" s="6" t="s">
        <v>522</v>
      </c>
      <c r="C1763" s="7">
        <v>31230</v>
      </c>
      <c r="D1763" s="6" t="s">
        <v>24</v>
      </c>
      <c r="E1763" s="6" t="s">
        <v>463</v>
      </c>
      <c r="F1763" s="6" t="s">
        <v>463</v>
      </c>
      <c r="G1763" s="6" t="s">
        <v>32</v>
      </c>
      <c r="H1763" s="6" t="s">
        <v>19</v>
      </c>
      <c r="I1763" s="6" t="s">
        <v>767</v>
      </c>
      <c r="J1763" s="6" t="s">
        <v>767</v>
      </c>
      <c r="K1763" s="7">
        <v>6279805</v>
      </c>
      <c r="L1763" s="7">
        <v>347258</v>
      </c>
      <c r="M1763" s="7">
        <v>19</v>
      </c>
      <c r="N1763" s="7">
        <v>1</v>
      </c>
      <c r="O1763" s="7">
        <v>2.4</v>
      </c>
    </row>
    <row r="1764" spans="1:15" x14ac:dyDescent="0.25">
      <c r="A1764" s="6" t="s">
        <v>28</v>
      </c>
      <c r="B1764" s="6" t="s">
        <v>522</v>
      </c>
      <c r="C1764" s="7">
        <v>31232</v>
      </c>
      <c r="D1764" s="6" t="s">
        <v>24</v>
      </c>
      <c r="E1764" s="6" t="s">
        <v>543</v>
      </c>
      <c r="F1764" s="6" t="s">
        <v>574</v>
      </c>
      <c r="G1764" s="6" t="s">
        <v>32</v>
      </c>
      <c r="H1764" s="6" t="s">
        <v>153</v>
      </c>
      <c r="I1764" s="6" t="s">
        <v>767</v>
      </c>
      <c r="J1764" s="6" t="s">
        <v>764</v>
      </c>
      <c r="K1764" s="7">
        <v>6311240</v>
      </c>
      <c r="L1764" s="7">
        <v>330630</v>
      </c>
      <c r="M1764" s="7">
        <v>19</v>
      </c>
      <c r="N1764" s="7">
        <v>1</v>
      </c>
      <c r="O1764" s="7">
        <v>4.95</v>
      </c>
    </row>
    <row r="1765" spans="1:15" x14ac:dyDescent="0.25">
      <c r="A1765" s="6" t="s">
        <v>14</v>
      </c>
      <c r="B1765" s="6" t="s">
        <v>522</v>
      </c>
      <c r="C1765" s="7">
        <v>31233</v>
      </c>
      <c r="D1765" s="6" t="s">
        <v>24</v>
      </c>
      <c r="E1765" s="6" t="s">
        <v>96</v>
      </c>
      <c r="F1765" s="6" t="s">
        <v>96</v>
      </c>
      <c r="G1765" s="6" t="s">
        <v>32</v>
      </c>
      <c r="H1765" s="6" t="s">
        <v>33</v>
      </c>
      <c r="I1765" s="6" t="s">
        <v>767</v>
      </c>
      <c r="J1765" s="6" t="s">
        <v>767</v>
      </c>
      <c r="K1765" s="7">
        <v>6259527</v>
      </c>
      <c r="L1765" s="7">
        <v>342368</v>
      </c>
      <c r="M1765" s="7">
        <v>19</v>
      </c>
      <c r="N1765" s="7">
        <v>1</v>
      </c>
      <c r="O1765" s="7">
        <v>0.43</v>
      </c>
    </row>
    <row r="1766" spans="1:15" x14ac:dyDescent="0.25">
      <c r="A1766" s="6" t="s">
        <v>14</v>
      </c>
      <c r="B1766" s="6" t="s">
        <v>522</v>
      </c>
      <c r="C1766" s="7">
        <v>31234</v>
      </c>
      <c r="D1766" s="6" t="s">
        <v>24</v>
      </c>
      <c r="E1766" s="6" t="s">
        <v>56</v>
      </c>
      <c r="F1766" s="6" t="s">
        <v>418</v>
      </c>
      <c r="G1766" s="6" t="s">
        <v>32</v>
      </c>
      <c r="H1766" s="6" t="s">
        <v>33</v>
      </c>
      <c r="I1766" s="6" t="s">
        <v>767</v>
      </c>
      <c r="J1766" s="6" t="s">
        <v>767</v>
      </c>
      <c r="K1766" s="7">
        <v>6271005</v>
      </c>
      <c r="L1766" s="7">
        <v>335874</v>
      </c>
      <c r="M1766" s="7">
        <v>19</v>
      </c>
      <c r="N1766" s="7">
        <v>1</v>
      </c>
      <c r="O1766" s="7">
        <v>0.4</v>
      </c>
    </row>
    <row r="1767" spans="1:15" x14ac:dyDescent="0.25">
      <c r="A1767" s="6" t="s">
        <v>14</v>
      </c>
      <c r="B1767" s="6" t="s">
        <v>522</v>
      </c>
      <c r="C1767" s="7">
        <v>31236</v>
      </c>
      <c r="D1767" s="6" t="s">
        <v>24</v>
      </c>
      <c r="E1767" s="6" t="s">
        <v>56</v>
      </c>
      <c r="F1767" s="6" t="s">
        <v>575</v>
      </c>
      <c r="G1767" s="6" t="s">
        <v>32</v>
      </c>
      <c r="H1767" s="6" t="s">
        <v>33</v>
      </c>
      <c r="I1767" s="6" t="s">
        <v>767</v>
      </c>
      <c r="J1767" s="6" t="s">
        <v>767</v>
      </c>
      <c r="K1767" s="7">
        <v>6274629</v>
      </c>
      <c r="L1767" s="7">
        <v>340623</v>
      </c>
      <c r="M1767" s="7">
        <v>19</v>
      </c>
      <c r="N1767" s="7">
        <v>1</v>
      </c>
      <c r="O1767" s="7">
        <v>0.32</v>
      </c>
    </row>
    <row r="1768" spans="1:15" x14ac:dyDescent="0.25">
      <c r="A1768" s="6" t="s">
        <v>14</v>
      </c>
      <c r="B1768" s="6" t="s">
        <v>522</v>
      </c>
      <c r="C1768" s="7">
        <v>31237</v>
      </c>
      <c r="D1768" s="6" t="s">
        <v>24</v>
      </c>
      <c r="E1768" s="6" t="s">
        <v>56</v>
      </c>
      <c r="F1768" s="6" t="s">
        <v>575</v>
      </c>
      <c r="G1768" s="6" t="s">
        <v>32</v>
      </c>
      <c r="H1768" s="6" t="s">
        <v>33</v>
      </c>
      <c r="I1768" s="6" t="s">
        <v>767</v>
      </c>
      <c r="J1768" s="6" t="s">
        <v>767</v>
      </c>
      <c r="K1768" s="7">
        <v>6274629</v>
      </c>
      <c r="L1768" s="7">
        <v>340623</v>
      </c>
      <c r="M1768" s="7">
        <v>19</v>
      </c>
      <c r="N1768" s="7">
        <v>1</v>
      </c>
      <c r="O1768" s="7">
        <v>0.31</v>
      </c>
    </row>
    <row r="1769" spans="1:15" x14ac:dyDescent="0.25">
      <c r="A1769" s="6" t="s">
        <v>14</v>
      </c>
      <c r="B1769" s="6" t="s">
        <v>522</v>
      </c>
      <c r="C1769" s="7">
        <v>31238</v>
      </c>
      <c r="D1769" s="6" t="s">
        <v>24</v>
      </c>
      <c r="E1769" s="6" t="s">
        <v>56</v>
      </c>
      <c r="F1769" s="6" t="s">
        <v>575</v>
      </c>
      <c r="G1769" s="6" t="s">
        <v>32</v>
      </c>
      <c r="H1769" s="6" t="s">
        <v>33</v>
      </c>
      <c r="I1769" s="6" t="s">
        <v>767</v>
      </c>
      <c r="J1769" s="6" t="s">
        <v>767</v>
      </c>
      <c r="K1769" s="7">
        <v>6274629</v>
      </c>
      <c r="L1769" s="7">
        <v>340623</v>
      </c>
      <c r="M1769" s="7">
        <v>19</v>
      </c>
      <c r="N1769" s="7">
        <v>1</v>
      </c>
      <c r="O1769" s="7">
        <v>0.31</v>
      </c>
    </row>
    <row r="1770" spans="1:15" x14ac:dyDescent="0.25">
      <c r="A1770" s="6" t="s">
        <v>14</v>
      </c>
      <c r="B1770" s="6" t="s">
        <v>522</v>
      </c>
      <c r="C1770" s="7">
        <v>31239</v>
      </c>
      <c r="D1770" s="6" t="s">
        <v>24</v>
      </c>
      <c r="E1770" s="6" t="s">
        <v>56</v>
      </c>
      <c r="F1770" s="6" t="s">
        <v>575</v>
      </c>
      <c r="G1770" s="6" t="s">
        <v>32</v>
      </c>
      <c r="H1770" s="6" t="s">
        <v>33</v>
      </c>
      <c r="I1770" s="6" t="s">
        <v>767</v>
      </c>
      <c r="J1770" s="6" t="s">
        <v>767</v>
      </c>
      <c r="K1770" s="7">
        <v>6274629</v>
      </c>
      <c r="L1770" s="7">
        <v>340623</v>
      </c>
      <c r="M1770" s="7">
        <v>19</v>
      </c>
      <c r="N1770" s="7">
        <v>1</v>
      </c>
      <c r="O1770" s="7">
        <v>0.3</v>
      </c>
    </row>
    <row r="1771" spans="1:15" x14ac:dyDescent="0.25">
      <c r="A1771" s="6" t="s">
        <v>14</v>
      </c>
      <c r="B1771" s="6" t="s">
        <v>522</v>
      </c>
      <c r="C1771" s="7">
        <v>31240</v>
      </c>
      <c r="D1771" s="6" t="s">
        <v>24</v>
      </c>
      <c r="E1771" s="6" t="s">
        <v>557</v>
      </c>
      <c r="F1771" s="6" t="s">
        <v>557</v>
      </c>
      <c r="G1771" s="6" t="s">
        <v>32</v>
      </c>
      <c r="H1771" s="6" t="s">
        <v>33</v>
      </c>
      <c r="I1771" s="6" t="s">
        <v>767</v>
      </c>
      <c r="J1771" s="6" t="s">
        <v>767</v>
      </c>
      <c r="K1771" s="7">
        <v>6283349</v>
      </c>
      <c r="L1771" s="7">
        <v>330065</v>
      </c>
      <c r="M1771" s="7">
        <v>19</v>
      </c>
      <c r="N1771" s="7">
        <v>1</v>
      </c>
      <c r="O1771" s="7">
        <v>0.41</v>
      </c>
    </row>
    <row r="1772" spans="1:15" x14ac:dyDescent="0.25">
      <c r="A1772" s="6" t="s">
        <v>14</v>
      </c>
      <c r="B1772" s="6" t="s">
        <v>522</v>
      </c>
      <c r="C1772" s="7">
        <v>31241</v>
      </c>
      <c r="D1772" s="6" t="s">
        <v>24</v>
      </c>
      <c r="E1772" s="6" t="s">
        <v>56</v>
      </c>
      <c r="F1772" s="6" t="s">
        <v>575</v>
      </c>
      <c r="G1772" s="6" t="s">
        <v>32</v>
      </c>
      <c r="H1772" s="6" t="s">
        <v>33</v>
      </c>
      <c r="I1772" s="6" t="s">
        <v>767</v>
      </c>
      <c r="J1772" s="6" t="s">
        <v>767</v>
      </c>
      <c r="K1772" s="7">
        <v>6274629</v>
      </c>
      <c r="L1772" s="7">
        <v>340623</v>
      </c>
      <c r="M1772" s="7">
        <v>19</v>
      </c>
      <c r="N1772" s="7">
        <v>1</v>
      </c>
      <c r="O1772" s="7">
        <v>0.3</v>
      </c>
    </row>
    <row r="1773" spans="1:15" x14ac:dyDescent="0.25">
      <c r="A1773" s="6" t="s">
        <v>14</v>
      </c>
      <c r="B1773" s="6" t="s">
        <v>522</v>
      </c>
      <c r="C1773" s="7">
        <v>31242</v>
      </c>
      <c r="D1773" s="6" t="s">
        <v>24</v>
      </c>
      <c r="E1773" s="6" t="s">
        <v>56</v>
      </c>
      <c r="F1773" s="6" t="s">
        <v>575</v>
      </c>
      <c r="G1773" s="6" t="s">
        <v>32</v>
      </c>
      <c r="H1773" s="6" t="s">
        <v>33</v>
      </c>
      <c r="I1773" s="6" t="s">
        <v>767</v>
      </c>
      <c r="J1773" s="6" t="s">
        <v>767</v>
      </c>
      <c r="K1773" s="7">
        <v>6274629</v>
      </c>
      <c r="L1773" s="7">
        <v>340623</v>
      </c>
      <c r="M1773" s="7">
        <v>19</v>
      </c>
      <c r="N1773" s="7">
        <v>1</v>
      </c>
      <c r="O1773" s="7">
        <v>0.32</v>
      </c>
    </row>
    <row r="1774" spans="1:15" x14ac:dyDescent="0.25">
      <c r="A1774" s="6" t="s">
        <v>14</v>
      </c>
      <c r="B1774" s="6" t="s">
        <v>522</v>
      </c>
      <c r="C1774" s="7">
        <v>31243</v>
      </c>
      <c r="D1774" s="6" t="s">
        <v>24</v>
      </c>
      <c r="E1774" s="6" t="s">
        <v>436</v>
      </c>
      <c r="F1774" s="6" t="s">
        <v>444</v>
      </c>
      <c r="G1774" s="6" t="s">
        <v>32</v>
      </c>
      <c r="H1774" s="6" t="s">
        <v>33</v>
      </c>
      <c r="I1774" s="6" t="s">
        <v>767</v>
      </c>
      <c r="J1774" s="6" t="s">
        <v>767</v>
      </c>
      <c r="K1774" s="7">
        <v>6275902</v>
      </c>
      <c r="L1774" s="7">
        <v>329112</v>
      </c>
      <c r="M1774" s="7">
        <v>19</v>
      </c>
      <c r="N1774" s="7">
        <v>1</v>
      </c>
      <c r="O1774" s="7">
        <v>0.24</v>
      </c>
    </row>
    <row r="1775" spans="1:15" x14ac:dyDescent="0.25">
      <c r="A1775" s="6" t="s">
        <v>14</v>
      </c>
      <c r="B1775" s="6" t="s">
        <v>522</v>
      </c>
      <c r="C1775" s="7">
        <v>31245</v>
      </c>
      <c r="D1775" s="6" t="s">
        <v>42</v>
      </c>
      <c r="E1775" s="6" t="s">
        <v>196</v>
      </c>
      <c r="F1775" s="6" t="s">
        <v>168</v>
      </c>
      <c r="G1775" s="6" t="s">
        <v>32</v>
      </c>
      <c r="H1775" s="6" t="s">
        <v>33</v>
      </c>
      <c r="I1775" s="6" t="s">
        <v>767</v>
      </c>
      <c r="J1775" s="6" t="s">
        <v>767</v>
      </c>
      <c r="K1775" s="7">
        <v>6226114</v>
      </c>
      <c r="L1775" s="7">
        <v>346979</v>
      </c>
      <c r="M1775" s="7">
        <v>19</v>
      </c>
      <c r="N1775" s="7">
        <v>1</v>
      </c>
      <c r="O1775" s="7">
        <v>0.3</v>
      </c>
    </row>
    <row r="1776" spans="1:15" x14ac:dyDescent="0.25">
      <c r="A1776" s="6" t="s">
        <v>28</v>
      </c>
      <c r="B1776" s="6" t="s">
        <v>522</v>
      </c>
      <c r="C1776" s="7">
        <v>31246</v>
      </c>
      <c r="D1776" s="6" t="s">
        <v>24</v>
      </c>
      <c r="E1776" s="6" t="s">
        <v>38</v>
      </c>
      <c r="F1776" s="6" t="s">
        <v>576</v>
      </c>
      <c r="G1776" s="6" t="s">
        <v>32</v>
      </c>
      <c r="H1776" s="6" t="s">
        <v>33</v>
      </c>
      <c r="I1776" s="6" t="s">
        <v>767</v>
      </c>
      <c r="J1776" s="6" t="s">
        <v>767</v>
      </c>
      <c r="K1776" s="7">
        <v>6269141</v>
      </c>
      <c r="L1776" s="7">
        <v>309431</v>
      </c>
      <c r="M1776" s="7">
        <v>19</v>
      </c>
      <c r="N1776" s="7">
        <v>1</v>
      </c>
      <c r="O1776" s="7">
        <v>0.69</v>
      </c>
    </row>
    <row r="1777" spans="1:15" x14ac:dyDescent="0.25">
      <c r="A1777" s="6" t="s">
        <v>28</v>
      </c>
      <c r="B1777" s="6" t="s">
        <v>522</v>
      </c>
      <c r="C1777" s="7">
        <v>31248</v>
      </c>
      <c r="D1777" s="6" t="s">
        <v>24</v>
      </c>
      <c r="E1777" s="6" t="s">
        <v>37</v>
      </c>
      <c r="F1777" s="6" t="s">
        <v>577</v>
      </c>
      <c r="G1777" s="6" t="s">
        <v>32</v>
      </c>
      <c r="H1777" s="6" t="s">
        <v>19</v>
      </c>
      <c r="I1777" s="6" t="s">
        <v>767</v>
      </c>
      <c r="J1777" s="6" t="s">
        <v>767</v>
      </c>
      <c r="K1777" s="7">
        <v>6272770</v>
      </c>
      <c r="L1777" s="7">
        <v>327465</v>
      </c>
      <c r="M1777" s="7">
        <v>19</v>
      </c>
      <c r="N1777" s="7">
        <v>1</v>
      </c>
      <c r="O1777" s="7">
        <v>1</v>
      </c>
    </row>
    <row r="1778" spans="1:15" x14ac:dyDescent="0.25">
      <c r="A1778" s="6" t="s">
        <v>28</v>
      </c>
      <c r="B1778" s="6" t="s">
        <v>522</v>
      </c>
      <c r="C1778" s="7">
        <v>31249</v>
      </c>
      <c r="D1778" s="6" t="s">
        <v>24</v>
      </c>
      <c r="E1778" s="6" t="s">
        <v>429</v>
      </c>
      <c r="F1778" s="6" t="s">
        <v>429</v>
      </c>
      <c r="G1778" s="6" t="s">
        <v>32</v>
      </c>
      <c r="H1778" s="6" t="s">
        <v>19</v>
      </c>
      <c r="I1778" s="6" t="s">
        <v>767</v>
      </c>
      <c r="J1778" s="6" t="s">
        <v>767</v>
      </c>
      <c r="K1778" s="7">
        <v>6306352</v>
      </c>
      <c r="L1778" s="7">
        <v>331614</v>
      </c>
      <c r="M1778" s="7">
        <v>19</v>
      </c>
      <c r="N1778" s="7">
        <v>1</v>
      </c>
      <c r="O1778" s="7">
        <v>1</v>
      </c>
    </row>
    <row r="1779" spans="1:15" x14ac:dyDescent="0.25">
      <c r="A1779" s="6" t="s">
        <v>28</v>
      </c>
      <c r="B1779" s="6" t="s">
        <v>522</v>
      </c>
      <c r="C1779" s="7">
        <v>31250</v>
      </c>
      <c r="D1779" s="6" t="s">
        <v>24</v>
      </c>
      <c r="E1779" s="6" t="s">
        <v>31</v>
      </c>
      <c r="F1779" s="6" t="s">
        <v>415</v>
      </c>
      <c r="G1779" s="6" t="s">
        <v>32</v>
      </c>
      <c r="H1779" s="6" t="s">
        <v>19</v>
      </c>
      <c r="I1779" s="6" t="s">
        <v>767</v>
      </c>
      <c r="J1779" s="6" t="s">
        <v>767</v>
      </c>
      <c r="K1779" s="7">
        <v>6276618</v>
      </c>
      <c r="L1779" s="7">
        <v>297462</v>
      </c>
      <c r="M1779" s="7">
        <v>19</v>
      </c>
      <c r="N1779" s="7">
        <v>1</v>
      </c>
      <c r="O1779" s="7">
        <v>1</v>
      </c>
    </row>
    <row r="1780" spans="1:15" x14ac:dyDescent="0.25">
      <c r="A1780" s="6" t="s">
        <v>28</v>
      </c>
      <c r="B1780" s="6" t="s">
        <v>522</v>
      </c>
      <c r="C1780" s="7">
        <v>31251</v>
      </c>
      <c r="D1780" s="6" t="s">
        <v>24</v>
      </c>
      <c r="E1780" s="6" t="s">
        <v>37</v>
      </c>
      <c r="F1780" s="6" t="s">
        <v>577</v>
      </c>
      <c r="G1780" s="6" t="s">
        <v>32</v>
      </c>
      <c r="H1780" s="6" t="s">
        <v>19</v>
      </c>
      <c r="I1780" s="6" t="s">
        <v>767</v>
      </c>
      <c r="J1780" s="6" t="s">
        <v>767</v>
      </c>
      <c r="K1780" s="7">
        <v>6271963</v>
      </c>
      <c r="L1780" s="7">
        <v>327653</v>
      </c>
      <c r="M1780" s="7">
        <v>19</v>
      </c>
      <c r="N1780" s="7">
        <v>1</v>
      </c>
      <c r="O1780" s="7">
        <v>1.5</v>
      </c>
    </row>
    <row r="1781" spans="1:15" x14ac:dyDescent="0.25">
      <c r="A1781" s="6" t="s">
        <v>28</v>
      </c>
      <c r="B1781" s="6" t="s">
        <v>522</v>
      </c>
      <c r="C1781" s="7">
        <v>31252</v>
      </c>
      <c r="D1781" s="6" t="s">
        <v>24</v>
      </c>
      <c r="E1781" s="6" t="s">
        <v>501</v>
      </c>
      <c r="F1781" s="6" t="s">
        <v>578</v>
      </c>
      <c r="G1781" s="6" t="s">
        <v>32</v>
      </c>
      <c r="H1781" s="6" t="s">
        <v>19</v>
      </c>
      <c r="I1781" s="6" t="s">
        <v>767</v>
      </c>
      <c r="J1781" s="6" t="s">
        <v>767</v>
      </c>
      <c r="K1781" s="7">
        <v>6328495</v>
      </c>
      <c r="L1781" s="7">
        <v>323284</v>
      </c>
      <c r="M1781" s="7">
        <v>19</v>
      </c>
      <c r="N1781" s="7">
        <v>1</v>
      </c>
      <c r="O1781" s="7">
        <v>0.87</v>
      </c>
    </row>
    <row r="1782" spans="1:15" x14ac:dyDescent="0.25">
      <c r="A1782" s="6" t="s">
        <v>28</v>
      </c>
      <c r="B1782" s="6" t="s">
        <v>522</v>
      </c>
      <c r="C1782" s="7">
        <v>31253</v>
      </c>
      <c r="D1782" s="6" t="s">
        <v>24</v>
      </c>
      <c r="E1782" s="6" t="s">
        <v>96</v>
      </c>
      <c r="F1782" s="6" t="s">
        <v>542</v>
      </c>
      <c r="G1782" s="6" t="s">
        <v>32</v>
      </c>
      <c r="H1782" s="6" t="s">
        <v>19</v>
      </c>
      <c r="I1782" s="6" t="s">
        <v>767</v>
      </c>
      <c r="J1782" s="6" t="s">
        <v>767</v>
      </c>
      <c r="K1782" s="7">
        <v>6255466</v>
      </c>
      <c r="L1782" s="7">
        <v>320496</v>
      </c>
      <c r="M1782" s="7">
        <v>19</v>
      </c>
      <c r="N1782" s="7">
        <v>1</v>
      </c>
      <c r="O1782" s="7">
        <v>1.05</v>
      </c>
    </row>
    <row r="1783" spans="1:15" x14ac:dyDescent="0.25">
      <c r="A1783" s="6" t="s">
        <v>28</v>
      </c>
      <c r="B1783" s="6" t="s">
        <v>522</v>
      </c>
      <c r="C1783" s="7">
        <v>31254</v>
      </c>
      <c r="D1783" s="6" t="s">
        <v>24</v>
      </c>
      <c r="E1783" s="6" t="s">
        <v>543</v>
      </c>
      <c r="F1783" s="6" t="s">
        <v>225</v>
      </c>
      <c r="G1783" s="6" t="s">
        <v>32</v>
      </c>
      <c r="H1783" s="6" t="s">
        <v>19</v>
      </c>
      <c r="I1783" s="6" t="s">
        <v>767</v>
      </c>
      <c r="J1783" s="6" t="s">
        <v>767</v>
      </c>
      <c r="K1783" s="7">
        <v>6306420</v>
      </c>
      <c r="L1783" s="7">
        <v>330105</v>
      </c>
      <c r="M1783" s="7">
        <v>19</v>
      </c>
      <c r="N1783" s="7">
        <v>1</v>
      </c>
      <c r="O1783" s="7">
        <v>0.35</v>
      </c>
    </row>
    <row r="1784" spans="1:15" x14ac:dyDescent="0.25">
      <c r="A1784" s="6" t="s">
        <v>22</v>
      </c>
      <c r="B1784" s="6" t="s">
        <v>522</v>
      </c>
      <c r="C1784" s="7">
        <v>31258</v>
      </c>
      <c r="D1784" s="6" t="s">
        <v>24</v>
      </c>
      <c r="E1784" s="6" t="s">
        <v>25</v>
      </c>
      <c r="F1784" s="6" t="s">
        <v>426</v>
      </c>
      <c r="G1784" s="6" t="s">
        <v>32</v>
      </c>
      <c r="H1784" s="6" t="s">
        <v>765</v>
      </c>
      <c r="I1784" s="6" t="s">
        <v>767</v>
      </c>
      <c r="J1784" s="6" t="s">
        <v>767</v>
      </c>
      <c r="K1784" s="7">
        <v>6259265</v>
      </c>
      <c r="L1784" s="7">
        <v>330985</v>
      </c>
      <c r="M1784" s="7">
        <v>19</v>
      </c>
      <c r="N1784" s="7">
        <v>1</v>
      </c>
      <c r="O1784" s="7">
        <v>0.5</v>
      </c>
    </row>
    <row r="1785" spans="1:15" x14ac:dyDescent="0.25">
      <c r="A1785" s="6" t="s">
        <v>28</v>
      </c>
      <c r="B1785" s="6" t="s">
        <v>522</v>
      </c>
      <c r="C1785" s="7">
        <v>31262</v>
      </c>
      <c r="D1785" s="6" t="s">
        <v>24</v>
      </c>
      <c r="E1785" s="6" t="s">
        <v>96</v>
      </c>
      <c r="F1785" s="6" t="s">
        <v>550</v>
      </c>
      <c r="G1785" s="6" t="s">
        <v>32</v>
      </c>
      <c r="H1785" s="6" t="s">
        <v>19</v>
      </c>
      <c r="I1785" s="6" t="s">
        <v>767</v>
      </c>
      <c r="J1785" s="6" t="s">
        <v>767</v>
      </c>
      <c r="K1785" s="7">
        <v>6250896</v>
      </c>
      <c r="L1785" s="7">
        <v>347001</v>
      </c>
      <c r="M1785" s="7">
        <v>19</v>
      </c>
      <c r="N1785" s="7">
        <v>1</v>
      </c>
      <c r="O1785" s="7">
        <v>0.33</v>
      </c>
    </row>
    <row r="1786" spans="1:15" x14ac:dyDescent="0.25">
      <c r="A1786" s="6" t="s">
        <v>14</v>
      </c>
      <c r="B1786" s="6" t="s">
        <v>522</v>
      </c>
      <c r="C1786" s="7">
        <v>31263</v>
      </c>
      <c r="D1786" s="6" t="s">
        <v>24</v>
      </c>
      <c r="E1786" s="6" t="s">
        <v>436</v>
      </c>
      <c r="F1786" s="6" t="s">
        <v>436</v>
      </c>
      <c r="G1786" s="6" t="s">
        <v>32</v>
      </c>
      <c r="H1786" s="6" t="s">
        <v>33</v>
      </c>
      <c r="I1786" s="6" t="s">
        <v>767</v>
      </c>
      <c r="J1786" s="6" t="s">
        <v>767</v>
      </c>
      <c r="K1786" s="7">
        <v>6279739</v>
      </c>
      <c r="L1786" s="7">
        <v>332868</v>
      </c>
      <c r="M1786" s="7">
        <v>19</v>
      </c>
      <c r="N1786" s="7">
        <v>1</v>
      </c>
      <c r="O1786" s="7">
        <v>0.31</v>
      </c>
    </row>
    <row r="1787" spans="1:15" x14ac:dyDescent="0.25">
      <c r="A1787" s="6" t="s">
        <v>14</v>
      </c>
      <c r="B1787" s="6" t="s">
        <v>522</v>
      </c>
      <c r="C1787" s="7">
        <v>31264</v>
      </c>
      <c r="D1787" s="6" t="s">
        <v>24</v>
      </c>
      <c r="E1787" s="6" t="s">
        <v>436</v>
      </c>
      <c r="F1787" s="6" t="s">
        <v>436</v>
      </c>
      <c r="G1787" s="6" t="s">
        <v>32</v>
      </c>
      <c r="H1787" s="6" t="s">
        <v>33</v>
      </c>
      <c r="I1787" s="6" t="s">
        <v>767</v>
      </c>
      <c r="J1787" s="6" t="s">
        <v>767</v>
      </c>
      <c r="K1787" s="7">
        <v>6279739</v>
      </c>
      <c r="L1787" s="7">
        <v>332868</v>
      </c>
      <c r="M1787" s="7">
        <v>19</v>
      </c>
      <c r="N1787" s="7">
        <v>1</v>
      </c>
      <c r="O1787" s="7">
        <v>0.31</v>
      </c>
    </row>
    <row r="1788" spans="1:15" x14ac:dyDescent="0.25">
      <c r="A1788" s="6" t="s">
        <v>14</v>
      </c>
      <c r="B1788" s="6" t="s">
        <v>522</v>
      </c>
      <c r="C1788" s="7">
        <v>31265</v>
      </c>
      <c r="D1788" s="6" t="s">
        <v>24</v>
      </c>
      <c r="E1788" s="6" t="s">
        <v>436</v>
      </c>
      <c r="F1788" s="6" t="s">
        <v>436</v>
      </c>
      <c r="G1788" s="6" t="s">
        <v>32</v>
      </c>
      <c r="H1788" s="6" t="s">
        <v>33</v>
      </c>
      <c r="I1788" s="6" t="s">
        <v>767</v>
      </c>
      <c r="J1788" s="6" t="s">
        <v>767</v>
      </c>
      <c r="K1788" s="7">
        <v>6279739</v>
      </c>
      <c r="L1788" s="7">
        <v>332868</v>
      </c>
      <c r="M1788" s="7">
        <v>19</v>
      </c>
      <c r="N1788" s="7">
        <v>1</v>
      </c>
      <c r="O1788" s="7">
        <v>0.31</v>
      </c>
    </row>
    <row r="1789" spans="1:15" x14ac:dyDescent="0.25">
      <c r="A1789" s="6" t="s">
        <v>14</v>
      </c>
      <c r="B1789" s="6" t="s">
        <v>522</v>
      </c>
      <c r="C1789" s="7">
        <v>31266</v>
      </c>
      <c r="D1789" s="6" t="s">
        <v>24</v>
      </c>
      <c r="E1789" s="6" t="s">
        <v>436</v>
      </c>
      <c r="F1789" s="6" t="s">
        <v>436</v>
      </c>
      <c r="G1789" s="6" t="s">
        <v>32</v>
      </c>
      <c r="H1789" s="6" t="s">
        <v>33</v>
      </c>
      <c r="I1789" s="6" t="s">
        <v>767</v>
      </c>
      <c r="J1789" s="6" t="s">
        <v>767</v>
      </c>
      <c r="K1789" s="7">
        <v>6279739</v>
      </c>
      <c r="L1789" s="7">
        <v>332868</v>
      </c>
      <c r="M1789" s="7">
        <v>19</v>
      </c>
      <c r="N1789" s="7">
        <v>1</v>
      </c>
      <c r="O1789" s="7">
        <v>0.31</v>
      </c>
    </row>
    <row r="1790" spans="1:15" x14ac:dyDescent="0.25">
      <c r="A1790" s="6" t="s">
        <v>14</v>
      </c>
      <c r="B1790" s="6" t="s">
        <v>522</v>
      </c>
      <c r="C1790" s="7">
        <v>31267</v>
      </c>
      <c r="D1790" s="6" t="s">
        <v>24</v>
      </c>
      <c r="E1790" s="6" t="s">
        <v>56</v>
      </c>
      <c r="F1790" s="6" t="s">
        <v>418</v>
      </c>
      <c r="G1790" s="6" t="s">
        <v>32</v>
      </c>
      <c r="H1790" s="6" t="s">
        <v>33</v>
      </c>
      <c r="I1790" s="6" t="s">
        <v>767</v>
      </c>
      <c r="J1790" s="6" t="s">
        <v>767</v>
      </c>
      <c r="K1790" s="7">
        <v>6273246</v>
      </c>
      <c r="L1790" s="7">
        <v>335291</v>
      </c>
      <c r="M1790" s="7">
        <v>19</v>
      </c>
      <c r="N1790" s="7">
        <v>1</v>
      </c>
      <c r="O1790" s="7">
        <v>0.39</v>
      </c>
    </row>
    <row r="1791" spans="1:15" x14ac:dyDescent="0.25">
      <c r="A1791" s="6" t="s">
        <v>28</v>
      </c>
      <c r="B1791" s="6" t="s">
        <v>522</v>
      </c>
      <c r="C1791" s="7">
        <v>31268</v>
      </c>
      <c r="D1791" s="6" t="s">
        <v>24</v>
      </c>
      <c r="E1791" s="6" t="s">
        <v>543</v>
      </c>
      <c r="F1791" s="6" t="s">
        <v>543</v>
      </c>
      <c r="G1791" s="6" t="s">
        <v>32</v>
      </c>
      <c r="H1791" s="6" t="s">
        <v>19</v>
      </c>
      <c r="I1791" s="6" t="s">
        <v>767</v>
      </c>
      <c r="J1791" s="6" t="s">
        <v>767</v>
      </c>
      <c r="K1791" s="7">
        <v>6314827</v>
      </c>
      <c r="L1791" s="7">
        <v>328778</v>
      </c>
      <c r="M1791" s="7">
        <v>19</v>
      </c>
      <c r="N1791" s="7">
        <v>1</v>
      </c>
      <c r="O1791" s="7">
        <v>0.27</v>
      </c>
    </row>
    <row r="1792" spans="1:15" x14ac:dyDescent="0.25">
      <c r="A1792" s="6" t="s">
        <v>28</v>
      </c>
      <c r="B1792" s="6" t="s">
        <v>522</v>
      </c>
      <c r="C1792" s="7">
        <v>31269</v>
      </c>
      <c r="D1792" s="6" t="s">
        <v>24</v>
      </c>
      <c r="E1792" s="6" t="s">
        <v>543</v>
      </c>
      <c r="F1792" s="6" t="s">
        <v>225</v>
      </c>
      <c r="G1792" s="6" t="s">
        <v>32</v>
      </c>
      <c r="H1792" s="6" t="s">
        <v>19</v>
      </c>
      <c r="I1792" s="6" t="s">
        <v>767</v>
      </c>
      <c r="J1792" s="6" t="s">
        <v>767</v>
      </c>
      <c r="K1792" s="7">
        <v>6305883</v>
      </c>
      <c r="L1792" s="7">
        <v>328779</v>
      </c>
      <c r="M1792" s="7">
        <v>19</v>
      </c>
      <c r="N1792" s="7">
        <v>1</v>
      </c>
      <c r="O1792" s="7">
        <v>0.39</v>
      </c>
    </row>
    <row r="1793" spans="1:15" x14ac:dyDescent="0.25">
      <c r="A1793" s="6" t="s">
        <v>28</v>
      </c>
      <c r="B1793" s="6" t="s">
        <v>522</v>
      </c>
      <c r="C1793" s="7">
        <v>31270</v>
      </c>
      <c r="D1793" s="6" t="s">
        <v>24</v>
      </c>
      <c r="E1793" s="6" t="s">
        <v>543</v>
      </c>
      <c r="F1793" s="6" t="s">
        <v>225</v>
      </c>
      <c r="G1793" s="6" t="s">
        <v>32</v>
      </c>
      <c r="H1793" s="6" t="s">
        <v>19</v>
      </c>
      <c r="I1793" s="6" t="s">
        <v>767</v>
      </c>
      <c r="J1793" s="6" t="s">
        <v>767</v>
      </c>
      <c r="K1793" s="7">
        <v>6305459</v>
      </c>
      <c r="L1793" s="7">
        <v>329128</v>
      </c>
      <c r="M1793" s="7">
        <v>19</v>
      </c>
      <c r="N1793" s="7">
        <v>1</v>
      </c>
      <c r="O1793" s="7">
        <v>0.4</v>
      </c>
    </row>
    <row r="1794" spans="1:15" x14ac:dyDescent="0.25">
      <c r="A1794" s="6" t="s">
        <v>28</v>
      </c>
      <c r="B1794" s="6" t="s">
        <v>522</v>
      </c>
      <c r="C1794" s="7">
        <v>31271</v>
      </c>
      <c r="D1794" s="6" t="s">
        <v>24</v>
      </c>
      <c r="E1794" s="6" t="s">
        <v>429</v>
      </c>
      <c r="F1794" s="6" t="s">
        <v>491</v>
      </c>
      <c r="G1794" s="6" t="s">
        <v>32</v>
      </c>
      <c r="H1794" s="6" t="s">
        <v>19</v>
      </c>
      <c r="I1794" s="6" t="s">
        <v>767</v>
      </c>
      <c r="J1794" s="6" t="s">
        <v>767</v>
      </c>
      <c r="K1794" s="7">
        <v>6301606</v>
      </c>
      <c r="L1794" s="7">
        <v>325975</v>
      </c>
      <c r="M1794" s="7">
        <v>19</v>
      </c>
      <c r="N1794" s="7">
        <v>1</v>
      </c>
      <c r="O1794" s="7">
        <v>0.1</v>
      </c>
    </row>
    <row r="1795" spans="1:15" x14ac:dyDescent="0.25">
      <c r="A1795" s="6" t="s">
        <v>22</v>
      </c>
      <c r="B1795" s="6" t="s">
        <v>522</v>
      </c>
      <c r="C1795" s="7">
        <v>31273</v>
      </c>
      <c r="D1795" s="6" t="s">
        <v>98</v>
      </c>
      <c r="E1795" s="6" t="s">
        <v>99</v>
      </c>
      <c r="F1795" s="6" t="s">
        <v>524</v>
      </c>
      <c r="G1795" s="6" t="s">
        <v>50</v>
      </c>
      <c r="H1795" s="6" t="s">
        <v>765</v>
      </c>
      <c r="I1795" s="6" t="s">
        <v>767</v>
      </c>
      <c r="J1795" s="6" t="s">
        <v>767</v>
      </c>
      <c r="K1795" s="7">
        <v>5849636</v>
      </c>
      <c r="L1795" s="7">
        <v>718417</v>
      </c>
      <c r="M1795" s="7">
        <v>18</v>
      </c>
      <c r="N1795" s="7">
        <v>1</v>
      </c>
      <c r="O1795" s="7">
        <v>5</v>
      </c>
    </row>
    <row r="1796" spans="1:15" x14ac:dyDescent="0.25">
      <c r="A1796" s="6" t="s">
        <v>14</v>
      </c>
      <c r="B1796" s="6" t="s">
        <v>522</v>
      </c>
      <c r="C1796" s="7">
        <v>31275</v>
      </c>
      <c r="D1796" s="6" t="s">
        <v>98</v>
      </c>
      <c r="E1796" s="6" t="s">
        <v>99</v>
      </c>
      <c r="F1796" s="6" t="s">
        <v>135</v>
      </c>
      <c r="G1796" s="6" t="s">
        <v>50</v>
      </c>
      <c r="H1796" s="6" t="s">
        <v>162</v>
      </c>
      <c r="I1796" s="6" t="s">
        <v>767</v>
      </c>
      <c r="J1796" s="6" t="s">
        <v>764</v>
      </c>
      <c r="K1796" s="7">
        <v>5867792</v>
      </c>
      <c r="L1796" s="7">
        <v>737832</v>
      </c>
      <c r="M1796" s="7">
        <v>18</v>
      </c>
      <c r="N1796" s="7">
        <v>1</v>
      </c>
      <c r="O1796" s="7">
        <v>1</v>
      </c>
    </row>
    <row r="1797" spans="1:15" x14ac:dyDescent="0.25">
      <c r="A1797" s="6" t="s">
        <v>14</v>
      </c>
      <c r="B1797" s="6" t="s">
        <v>522</v>
      </c>
      <c r="C1797" s="7">
        <v>31276</v>
      </c>
      <c r="D1797" s="6" t="s">
        <v>24</v>
      </c>
      <c r="E1797" s="6" t="s">
        <v>25</v>
      </c>
      <c r="F1797" s="6" t="s">
        <v>25</v>
      </c>
      <c r="G1797" s="6" t="s">
        <v>32</v>
      </c>
      <c r="H1797" s="6" t="s">
        <v>33</v>
      </c>
      <c r="I1797" s="6" t="s">
        <v>767</v>
      </c>
      <c r="J1797" s="6" t="s">
        <v>767</v>
      </c>
      <c r="K1797" s="7">
        <v>6265671</v>
      </c>
      <c r="L1797" s="7">
        <v>340850</v>
      </c>
      <c r="M1797" s="7">
        <v>19</v>
      </c>
      <c r="N1797" s="7">
        <v>1</v>
      </c>
      <c r="O1797" s="7">
        <v>0.32</v>
      </c>
    </row>
    <row r="1798" spans="1:15" x14ac:dyDescent="0.25">
      <c r="A1798" s="6" t="s">
        <v>14</v>
      </c>
      <c r="B1798" s="6" t="s">
        <v>522</v>
      </c>
      <c r="C1798" s="7">
        <v>31281</v>
      </c>
      <c r="D1798" s="6" t="s">
        <v>24</v>
      </c>
      <c r="E1798" s="6" t="s">
        <v>56</v>
      </c>
      <c r="F1798" s="6" t="s">
        <v>56</v>
      </c>
      <c r="G1798" s="6" t="s">
        <v>32</v>
      </c>
      <c r="H1798" s="6" t="s">
        <v>33</v>
      </c>
      <c r="I1798" s="6" t="s">
        <v>767</v>
      </c>
      <c r="J1798" s="6" t="s">
        <v>764</v>
      </c>
      <c r="K1798" s="7">
        <v>6274858</v>
      </c>
      <c r="L1798" s="7">
        <v>339077</v>
      </c>
      <c r="M1798" s="7">
        <v>19</v>
      </c>
      <c r="N1798" s="7">
        <v>3</v>
      </c>
      <c r="O1798" s="7">
        <v>13.21</v>
      </c>
    </row>
    <row r="1799" spans="1:15" x14ac:dyDescent="0.25">
      <c r="A1799" s="6" t="s">
        <v>14</v>
      </c>
      <c r="B1799" s="6" t="s">
        <v>522</v>
      </c>
      <c r="C1799" s="7">
        <v>31282</v>
      </c>
      <c r="D1799" s="6" t="s">
        <v>42</v>
      </c>
      <c r="E1799" s="6" t="s">
        <v>45</v>
      </c>
      <c r="F1799" s="6" t="s">
        <v>45</v>
      </c>
      <c r="G1799" s="6" t="s">
        <v>32</v>
      </c>
      <c r="H1799" s="6" t="s">
        <v>33</v>
      </c>
      <c r="I1799" s="6" t="s">
        <v>767</v>
      </c>
      <c r="J1799" s="6" t="s">
        <v>764</v>
      </c>
      <c r="K1799" s="7">
        <v>6165930</v>
      </c>
      <c r="L1799" s="7">
        <v>322636</v>
      </c>
      <c r="M1799" s="7">
        <v>19</v>
      </c>
      <c r="N1799" s="7">
        <v>1</v>
      </c>
      <c r="O1799" s="7">
        <v>5</v>
      </c>
    </row>
    <row r="1800" spans="1:15" x14ac:dyDescent="0.25">
      <c r="A1800" s="6" t="s">
        <v>14</v>
      </c>
      <c r="B1800" s="6" t="s">
        <v>522</v>
      </c>
      <c r="C1800" s="7">
        <v>31285</v>
      </c>
      <c r="D1800" s="6" t="s">
        <v>42</v>
      </c>
      <c r="E1800" s="6" t="s">
        <v>51</v>
      </c>
      <c r="F1800" s="6" t="s">
        <v>51</v>
      </c>
      <c r="G1800" s="6" t="s">
        <v>32</v>
      </c>
      <c r="H1800" s="6" t="s">
        <v>33</v>
      </c>
      <c r="I1800" s="6" t="s">
        <v>767</v>
      </c>
      <c r="J1800" s="6" t="s">
        <v>767</v>
      </c>
      <c r="K1800" s="7">
        <v>6154905</v>
      </c>
      <c r="L1800" s="7">
        <v>313653</v>
      </c>
      <c r="M1800" s="7">
        <v>19</v>
      </c>
      <c r="N1800" s="7">
        <v>1</v>
      </c>
      <c r="O1800" s="7">
        <v>18</v>
      </c>
    </row>
    <row r="1801" spans="1:15" x14ac:dyDescent="0.25">
      <c r="A1801" s="6" t="s">
        <v>14</v>
      </c>
      <c r="B1801" s="6" t="s">
        <v>522</v>
      </c>
      <c r="C1801" s="7">
        <v>31288</v>
      </c>
      <c r="D1801" s="6" t="s">
        <v>24</v>
      </c>
      <c r="E1801" s="6" t="s">
        <v>31</v>
      </c>
      <c r="F1801" s="6" t="s">
        <v>31</v>
      </c>
      <c r="G1801" s="6" t="s">
        <v>32</v>
      </c>
      <c r="H1801" s="6" t="s">
        <v>33</v>
      </c>
      <c r="I1801" s="6" t="s">
        <v>767</v>
      </c>
      <c r="J1801" s="6" t="s">
        <v>767</v>
      </c>
      <c r="K1801" s="7">
        <v>6267660</v>
      </c>
      <c r="L1801" s="7">
        <v>279776</v>
      </c>
      <c r="M1801" s="7">
        <v>19</v>
      </c>
      <c r="N1801" s="7">
        <v>2</v>
      </c>
      <c r="O1801" s="7">
        <v>66</v>
      </c>
    </row>
    <row r="1802" spans="1:15" x14ac:dyDescent="0.25">
      <c r="A1802" s="6" t="s">
        <v>14</v>
      </c>
      <c r="B1802" s="6" t="s">
        <v>522</v>
      </c>
      <c r="C1802" s="7">
        <v>31294</v>
      </c>
      <c r="D1802" s="6" t="s">
        <v>39</v>
      </c>
      <c r="E1802" s="6" t="s">
        <v>179</v>
      </c>
      <c r="F1802" s="6" t="s">
        <v>179</v>
      </c>
      <c r="G1802" s="6" t="s">
        <v>32</v>
      </c>
      <c r="H1802" s="6" t="s">
        <v>33</v>
      </c>
      <c r="I1802" s="6" t="s">
        <v>767</v>
      </c>
      <c r="J1802" s="6" t="s">
        <v>767</v>
      </c>
      <c r="K1802" s="7">
        <v>6121553</v>
      </c>
      <c r="L1802" s="7">
        <v>312991</v>
      </c>
      <c r="M1802" s="7">
        <v>19</v>
      </c>
      <c r="N1802" s="7">
        <v>2</v>
      </c>
      <c r="O1802" s="7">
        <v>15.4</v>
      </c>
    </row>
    <row r="1803" spans="1:15" x14ac:dyDescent="0.25">
      <c r="A1803" s="6" t="s">
        <v>28</v>
      </c>
      <c r="B1803" s="6" t="s">
        <v>522</v>
      </c>
      <c r="C1803" s="7">
        <v>31306</v>
      </c>
      <c r="D1803" s="6" t="s">
        <v>42</v>
      </c>
      <c r="E1803" s="6" t="s">
        <v>51</v>
      </c>
      <c r="F1803" s="6" t="s">
        <v>51</v>
      </c>
      <c r="G1803" s="6" t="s">
        <v>32</v>
      </c>
      <c r="H1803" s="6" t="s">
        <v>33</v>
      </c>
      <c r="I1803" s="6" t="s">
        <v>764</v>
      </c>
      <c r="J1803" s="6" t="s">
        <v>767</v>
      </c>
      <c r="K1803" s="7">
        <v>6169352</v>
      </c>
      <c r="L1803" s="7">
        <v>282638</v>
      </c>
      <c r="M1803" s="7">
        <v>19</v>
      </c>
      <c r="N1803" s="7">
        <v>1</v>
      </c>
      <c r="O1803" s="7">
        <v>9.1</v>
      </c>
    </row>
    <row r="1804" spans="1:15" x14ac:dyDescent="0.25">
      <c r="A1804" s="6" t="s">
        <v>28</v>
      </c>
      <c r="B1804" s="6" t="s">
        <v>522</v>
      </c>
      <c r="C1804" s="7">
        <v>31310</v>
      </c>
      <c r="D1804" s="6" t="s">
        <v>39</v>
      </c>
      <c r="E1804" s="6" t="s">
        <v>87</v>
      </c>
      <c r="F1804" s="6" t="s">
        <v>87</v>
      </c>
      <c r="G1804" s="6" t="s">
        <v>32</v>
      </c>
      <c r="H1804" s="6" t="s">
        <v>33</v>
      </c>
      <c r="I1804" s="6" t="s">
        <v>767</v>
      </c>
      <c r="J1804" s="6" t="s">
        <v>767</v>
      </c>
      <c r="K1804" s="7">
        <v>6102375</v>
      </c>
      <c r="L1804" s="7">
        <v>294335</v>
      </c>
      <c r="M1804" s="7">
        <v>19</v>
      </c>
      <c r="N1804" s="7">
        <v>1</v>
      </c>
      <c r="O1804" s="7">
        <v>5</v>
      </c>
    </row>
    <row r="1805" spans="1:15" x14ac:dyDescent="0.25">
      <c r="A1805" s="6" t="s">
        <v>14</v>
      </c>
      <c r="B1805" s="6" t="s">
        <v>522</v>
      </c>
      <c r="C1805" s="7">
        <v>31314</v>
      </c>
      <c r="D1805" s="6" t="s">
        <v>42</v>
      </c>
      <c r="E1805" s="6" t="s">
        <v>51</v>
      </c>
      <c r="F1805" s="6" t="s">
        <v>51</v>
      </c>
      <c r="G1805" s="6" t="s">
        <v>32</v>
      </c>
      <c r="H1805" s="6" t="s">
        <v>33</v>
      </c>
      <c r="I1805" s="6" t="s">
        <v>767</v>
      </c>
      <c r="J1805" s="6" t="s">
        <v>764</v>
      </c>
      <c r="K1805" s="7">
        <v>6159786</v>
      </c>
      <c r="L1805" s="7">
        <v>324541</v>
      </c>
      <c r="M1805" s="7">
        <v>19</v>
      </c>
      <c r="N1805" s="7">
        <v>1</v>
      </c>
      <c r="O1805" s="7">
        <v>10</v>
      </c>
    </row>
    <row r="1806" spans="1:15" x14ac:dyDescent="0.25">
      <c r="A1806" s="6" t="s">
        <v>14</v>
      </c>
      <c r="B1806" s="6" t="s">
        <v>522</v>
      </c>
      <c r="C1806" s="7">
        <v>31316</v>
      </c>
      <c r="D1806" s="6" t="s">
        <v>39</v>
      </c>
      <c r="E1806" s="6" t="s">
        <v>41</v>
      </c>
      <c r="F1806" s="6" t="s">
        <v>579</v>
      </c>
      <c r="G1806" s="6" t="s">
        <v>32</v>
      </c>
      <c r="H1806" s="6" t="s">
        <v>33</v>
      </c>
      <c r="I1806" s="6" t="s">
        <v>767</v>
      </c>
      <c r="J1806" s="6" t="s">
        <v>764</v>
      </c>
      <c r="K1806" s="7">
        <v>6119678</v>
      </c>
      <c r="L1806" s="7">
        <v>286580</v>
      </c>
      <c r="M1806" s="7">
        <v>19</v>
      </c>
      <c r="N1806" s="7">
        <v>1</v>
      </c>
      <c r="O1806" s="7">
        <v>17.25</v>
      </c>
    </row>
    <row r="1807" spans="1:15" x14ac:dyDescent="0.25">
      <c r="A1807" s="6" t="s">
        <v>14</v>
      </c>
      <c r="B1807" s="6" t="s">
        <v>522</v>
      </c>
      <c r="C1807" s="7">
        <v>31317</v>
      </c>
      <c r="D1807" s="6" t="s">
        <v>42</v>
      </c>
      <c r="E1807" s="6" t="s">
        <v>196</v>
      </c>
      <c r="F1807" s="6" t="s">
        <v>302</v>
      </c>
      <c r="G1807" s="6" t="s">
        <v>32</v>
      </c>
      <c r="H1807" s="6" t="s">
        <v>33</v>
      </c>
      <c r="I1807" s="6" t="s">
        <v>767</v>
      </c>
      <c r="J1807" s="6" t="s">
        <v>767</v>
      </c>
      <c r="K1807" s="7">
        <v>6216027</v>
      </c>
      <c r="L1807" s="7">
        <v>345193</v>
      </c>
      <c r="M1807" s="7">
        <v>19</v>
      </c>
      <c r="N1807" s="7">
        <v>2</v>
      </c>
      <c r="O1807" s="7">
        <v>18.5</v>
      </c>
    </row>
    <row r="1808" spans="1:15" x14ac:dyDescent="0.25">
      <c r="A1808" s="6" t="s">
        <v>14</v>
      </c>
      <c r="B1808" s="6" t="s">
        <v>522</v>
      </c>
      <c r="C1808" s="7">
        <v>31318</v>
      </c>
      <c r="D1808" s="6" t="s">
        <v>42</v>
      </c>
      <c r="E1808" s="6" t="s">
        <v>196</v>
      </c>
      <c r="F1808" s="6" t="s">
        <v>302</v>
      </c>
      <c r="G1808" s="6" t="s">
        <v>32</v>
      </c>
      <c r="H1808" s="6" t="s">
        <v>33</v>
      </c>
      <c r="I1808" s="6" t="s">
        <v>767</v>
      </c>
      <c r="J1808" s="6" t="s">
        <v>767</v>
      </c>
      <c r="K1808" s="7">
        <v>6216500</v>
      </c>
      <c r="L1808" s="7">
        <v>345180</v>
      </c>
      <c r="M1808" s="7">
        <v>19</v>
      </c>
      <c r="N1808" s="7">
        <v>1</v>
      </c>
      <c r="O1808" s="7">
        <v>38.700000000000003</v>
      </c>
    </row>
    <row r="1809" spans="1:15" x14ac:dyDescent="0.25">
      <c r="A1809" s="6" t="s">
        <v>14</v>
      </c>
      <c r="B1809" s="6" t="s">
        <v>522</v>
      </c>
      <c r="C1809" s="7">
        <v>31319</v>
      </c>
      <c r="D1809" s="6" t="s">
        <v>24</v>
      </c>
      <c r="E1809" s="6" t="s">
        <v>31</v>
      </c>
      <c r="F1809" s="6" t="s">
        <v>415</v>
      </c>
      <c r="G1809" s="6" t="s">
        <v>32</v>
      </c>
      <c r="H1809" s="6" t="s">
        <v>33</v>
      </c>
      <c r="I1809" s="6" t="s">
        <v>767</v>
      </c>
      <c r="J1809" s="6" t="s">
        <v>767</v>
      </c>
      <c r="K1809" s="7">
        <v>6271650</v>
      </c>
      <c r="L1809" s="7">
        <v>301755</v>
      </c>
      <c r="M1809" s="7">
        <v>19</v>
      </c>
      <c r="N1809" s="7">
        <v>1</v>
      </c>
      <c r="O1809" s="7">
        <v>37</v>
      </c>
    </row>
    <row r="1810" spans="1:15" x14ac:dyDescent="0.25">
      <c r="A1810" s="6" t="s">
        <v>14</v>
      </c>
      <c r="B1810" s="6" t="s">
        <v>522</v>
      </c>
      <c r="C1810" s="7">
        <v>31341</v>
      </c>
      <c r="D1810" s="6" t="s">
        <v>98</v>
      </c>
      <c r="E1810" s="6" t="s">
        <v>99</v>
      </c>
      <c r="F1810" s="6" t="s">
        <v>135</v>
      </c>
      <c r="G1810" s="6" t="s">
        <v>50</v>
      </c>
      <c r="H1810" s="6" t="s">
        <v>162</v>
      </c>
      <c r="I1810" s="6" t="s">
        <v>767</v>
      </c>
      <c r="J1810" s="6" t="s">
        <v>764</v>
      </c>
      <c r="K1810" s="7">
        <v>5868691</v>
      </c>
      <c r="L1810" s="7">
        <v>737039</v>
      </c>
      <c r="M1810" s="7">
        <v>18</v>
      </c>
      <c r="N1810" s="7">
        <v>1</v>
      </c>
      <c r="O1810" s="7">
        <v>1</v>
      </c>
    </row>
    <row r="1811" spans="1:15" x14ac:dyDescent="0.25">
      <c r="A1811" s="6" t="s">
        <v>28</v>
      </c>
      <c r="B1811" s="6" t="s">
        <v>522</v>
      </c>
      <c r="C1811" s="7">
        <v>31343</v>
      </c>
      <c r="D1811" s="6" t="s">
        <v>24</v>
      </c>
      <c r="E1811" s="6" t="s">
        <v>96</v>
      </c>
      <c r="F1811" s="6" t="s">
        <v>542</v>
      </c>
      <c r="G1811" s="6" t="s">
        <v>32</v>
      </c>
      <c r="H1811" s="6" t="s">
        <v>19</v>
      </c>
      <c r="I1811" s="6" t="s">
        <v>767</v>
      </c>
      <c r="J1811" s="6" t="s">
        <v>767</v>
      </c>
      <c r="K1811" s="7">
        <v>6255744</v>
      </c>
      <c r="L1811" s="7">
        <v>320100</v>
      </c>
      <c r="M1811" s="7">
        <v>19</v>
      </c>
      <c r="N1811" s="7">
        <v>1</v>
      </c>
      <c r="O1811" s="7">
        <v>0.3</v>
      </c>
    </row>
    <row r="1812" spans="1:15" x14ac:dyDescent="0.25">
      <c r="A1812" s="6" t="s">
        <v>28</v>
      </c>
      <c r="B1812" s="6" t="s">
        <v>522</v>
      </c>
      <c r="C1812" s="7">
        <v>31344</v>
      </c>
      <c r="D1812" s="6" t="s">
        <v>24</v>
      </c>
      <c r="E1812" s="6" t="s">
        <v>580</v>
      </c>
      <c r="F1812" s="6" t="s">
        <v>581</v>
      </c>
      <c r="G1812" s="6" t="s">
        <v>32</v>
      </c>
      <c r="H1812" s="6" t="s">
        <v>153</v>
      </c>
      <c r="I1812" s="6" t="s">
        <v>767</v>
      </c>
      <c r="J1812" s="6" t="s">
        <v>764</v>
      </c>
      <c r="K1812" s="7">
        <v>6316250</v>
      </c>
      <c r="L1812" s="7">
        <v>345684</v>
      </c>
      <c r="M1812" s="7">
        <v>19</v>
      </c>
      <c r="N1812" s="7">
        <v>1</v>
      </c>
      <c r="O1812" s="7">
        <v>1.4</v>
      </c>
    </row>
    <row r="1813" spans="1:15" x14ac:dyDescent="0.25">
      <c r="A1813" s="6" t="s">
        <v>28</v>
      </c>
      <c r="B1813" s="6" t="s">
        <v>522</v>
      </c>
      <c r="C1813" s="7">
        <v>31345</v>
      </c>
      <c r="D1813" s="6" t="s">
        <v>24</v>
      </c>
      <c r="E1813" s="6" t="s">
        <v>580</v>
      </c>
      <c r="F1813" s="6" t="s">
        <v>581</v>
      </c>
      <c r="G1813" s="6" t="s">
        <v>32</v>
      </c>
      <c r="H1813" s="6" t="s">
        <v>19</v>
      </c>
      <c r="I1813" s="6" t="s">
        <v>767</v>
      </c>
      <c r="J1813" s="6" t="s">
        <v>767</v>
      </c>
      <c r="K1813" s="7">
        <v>6316250</v>
      </c>
      <c r="L1813" s="7">
        <v>345684</v>
      </c>
      <c r="M1813" s="7">
        <v>19</v>
      </c>
      <c r="N1813" s="7">
        <v>1</v>
      </c>
      <c r="O1813" s="7">
        <v>0.31</v>
      </c>
    </row>
    <row r="1814" spans="1:15" x14ac:dyDescent="0.25">
      <c r="A1814" s="6" t="s">
        <v>14</v>
      </c>
      <c r="B1814" s="6" t="s">
        <v>522</v>
      </c>
      <c r="C1814" s="7">
        <v>31347</v>
      </c>
      <c r="D1814" s="6" t="s">
        <v>98</v>
      </c>
      <c r="E1814" s="6" t="s">
        <v>99</v>
      </c>
      <c r="F1814" s="6" t="s">
        <v>135</v>
      </c>
      <c r="G1814" s="6" t="s">
        <v>50</v>
      </c>
      <c r="H1814" s="6" t="s">
        <v>162</v>
      </c>
      <c r="I1814" s="6" t="s">
        <v>767</v>
      </c>
      <c r="J1814" s="6" t="s">
        <v>764</v>
      </c>
      <c r="K1814" s="7">
        <v>5869467</v>
      </c>
      <c r="L1814" s="7">
        <v>734201</v>
      </c>
      <c r="M1814" s="7">
        <v>18</v>
      </c>
      <c r="N1814" s="7">
        <v>1</v>
      </c>
      <c r="O1814" s="7">
        <v>1</v>
      </c>
    </row>
    <row r="1815" spans="1:15" x14ac:dyDescent="0.25">
      <c r="A1815" s="6" t="s">
        <v>14</v>
      </c>
      <c r="B1815" s="6" t="s">
        <v>522</v>
      </c>
      <c r="C1815" s="7">
        <v>31352</v>
      </c>
      <c r="D1815" s="6" t="s">
        <v>98</v>
      </c>
      <c r="E1815" s="6" t="s">
        <v>99</v>
      </c>
      <c r="F1815" s="6" t="s">
        <v>135</v>
      </c>
      <c r="G1815" s="6" t="s">
        <v>50</v>
      </c>
      <c r="H1815" s="6" t="s">
        <v>162</v>
      </c>
      <c r="I1815" s="6" t="s">
        <v>767</v>
      </c>
      <c r="J1815" s="6" t="s">
        <v>764</v>
      </c>
      <c r="K1815" s="7">
        <v>5870247</v>
      </c>
      <c r="L1815" s="7">
        <v>733201</v>
      </c>
      <c r="M1815" s="7">
        <v>18</v>
      </c>
      <c r="N1815" s="7">
        <v>1</v>
      </c>
      <c r="O1815" s="7">
        <v>1</v>
      </c>
    </row>
    <row r="1816" spans="1:15" x14ac:dyDescent="0.25">
      <c r="A1816" s="6" t="s">
        <v>28</v>
      </c>
      <c r="B1816" s="6" t="s">
        <v>522</v>
      </c>
      <c r="C1816" s="7">
        <v>31355</v>
      </c>
      <c r="D1816" s="6" t="s">
        <v>98</v>
      </c>
      <c r="E1816" s="6" t="s">
        <v>99</v>
      </c>
      <c r="F1816" s="6" t="s">
        <v>524</v>
      </c>
      <c r="G1816" s="6" t="s">
        <v>50</v>
      </c>
      <c r="H1816" s="6" t="s">
        <v>162</v>
      </c>
      <c r="I1816" s="6" t="s">
        <v>767</v>
      </c>
      <c r="J1816" s="6" t="s">
        <v>764</v>
      </c>
      <c r="K1816" s="7">
        <v>5851810</v>
      </c>
      <c r="L1816" s="7">
        <v>720145</v>
      </c>
      <c r="M1816" s="7">
        <v>18</v>
      </c>
      <c r="N1816" s="7">
        <v>2</v>
      </c>
      <c r="O1816" s="7">
        <v>4</v>
      </c>
    </row>
    <row r="1817" spans="1:15" x14ac:dyDescent="0.25">
      <c r="A1817" s="6" t="s">
        <v>14</v>
      </c>
      <c r="B1817" s="6" t="s">
        <v>522</v>
      </c>
      <c r="C1817" s="7">
        <v>31360</v>
      </c>
      <c r="D1817" s="6" t="s">
        <v>42</v>
      </c>
      <c r="E1817" s="6" t="s">
        <v>51</v>
      </c>
      <c r="F1817" s="6" t="s">
        <v>51</v>
      </c>
      <c r="G1817" s="6" t="s">
        <v>32</v>
      </c>
      <c r="H1817" s="6" t="s">
        <v>33</v>
      </c>
      <c r="I1817" s="6" t="s">
        <v>767</v>
      </c>
      <c r="J1817" s="6" t="s">
        <v>764</v>
      </c>
      <c r="K1817" s="7">
        <v>6157220</v>
      </c>
      <c r="L1817" s="7">
        <v>321173</v>
      </c>
      <c r="M1817" s="7">
        <v>19</v>
      </c>
      <c r="N1817" s="7">
        <v>1</v>
      </c>
      <c r="O1817" s="7">
        <v>5</v>
      </c>
    </row>
    <row r="1818" spans="1:15" x14ac:dyDescent="0.25">
      <c r="A1818" s="6" t="s">
        <v>14</v>
      </c>
      <c r="B1818" s="6" t="s">
        <v>522</v>
      </c>
      <c r="C1818" s="7">
        <v>31361</v>
      </c>
      <c r="D1818" s="6" t="s">
        <v>42</v>
      </c>
      <c r="E1818" s="6" t="s">
        <v>51</v>
      </c>
      <c r="F1818" s="6" t="s">
        <v>131</v>
      </c>
      <c r="G1818" s="6" t="s">
        <v>32</v>
      </c>
      <c r="H1818" s="6" t="s">
        <v>33</v>
      </c>
      <c r="I1818" s="6" t="s">
        <v>767</v>
      </c>
      <c r="J1818" s="6" t="s">
        <v>767</v>
      </c>
      <c r="K1818" s="7">
        <v>6156744</v>
      </c>
      <c r="L1818" s="7">
        <v>319898</v>
      </c>
      <c r="M1818" s="7">
        <v>19</v>
      </c>
      <c r="N1818" s="7">
        <v>1</v>
      </c>
      <c r="O1818" s="7">
        <v>7.5</v>
      </c>
    </row>
    <row r="1819" spans="1:15" x14ac:dyDescent="0.25">
      <c r="A1819" s="6" t="s">
        <v>28</v>
      </c>
      <c r="B1819" s="6" t="s">
        <v>522</v>
      </c>
      <c r="C1819" s="7">
        <v>31368</v>
      </c>
      <c r="D1819" s="6" t="s">
        <v>24</v>
      </c>
      <c r="E1819" s="6" t="s">
        <v>62</v>
      </c>
      <c r="F1819" s="6" t="s">
        <v>62</v>
      </c>
      <c r="G1819" s="6" t="s">
        <v>32</v>
      </c>
      <c r="H1819" s="6" t="s">
        <v>33</v>
      </c>
      <c r="I1819" s="6" t="s">
        <v>764</v>
      </c>
      <c r="J1819" s="6" t="s">
        <v>767</v>
      </c>
      <c r="K1819" s="7">
        <v>6280416</v>
      </c>
      <c r="L1819" s="7">
        <v>322195</v>
      </c>
      <c r="M1819" s="7">
        <v>19</v>
      </c>
      <c r="N1819" s="7">
        <v>2</v>
      </c>
      <c r="O1819" s="7">
        <v>30.9</v>
      </c>
    </row>
    <row r="1820" spans="1:15" x14ac:dyDescent="0.25">
      <c r="A1820" s="6" t="s">
        <v>14</v>
      </c>
      <c r="B1820" s="6" t="s">
        <v>522</v>
      </c>
      <c r="C1820" s="7">
        <v>31371</v>
      </c>
      <c r="D1820" s="6" t="s">
        <v>24</v>
      </c>
      <c r="E1820" s="6" t="s">
        <v>96</v>
      </c>
      <c r="F1820" s="6" t="s">
        <v>582</v>
      </c>
      <c r="G1820" s="6" t="s">
        <v>32</v>
      </c>
      <c r="H1820" s="6" t="s">
        <v>33</v>
      </c>
      <c r="I1820" s="6" t="s">
        <v>767</v>
      </c>
      <c r="J1820" s="6" t="s">
        <v>767</v>
      </c>
      <c r="K1820" s="7">
        <v>6259460</v>
      </c>
      <c r="L1820" s="7">
        <v>346028</v>
      </c>
      <c r="M1820" s="7">
        <v>19</v>
      </c>
      <c r="N1820" s="7">
        <v>1</v>
      </c>
      <c r="O1820" s="7">
        <v>7</v>
      </c>
    </row>
    <row r="1821" spans="1:15" x14ac:dyDescent="0.25">
      <c r="A1821" s="6" t="s">
        <v>14</v>
      </c>
      <c r="B1821" s="6" t="s">
        <v>522</v>
      </c>
      <c r="C1821" s="7">
        <v>31375</v>
      </c>
      <c r="D1821" s="6" t="s">
        <v>39</v>
      </c>
      <c r="E1821" s="6" t="s">
        <v>41</v>
      </c>
      <c r="F1821" s="6" t="s">
        <v>313</v>
      </c>
      <c r="G1821" s="6" t="s">
        <v>32</v>
      </c>
      <c r="H1821" s="6" t="s">
        <v>33</v>
      </c>
      <c r="I1821" s="6" t="s">
        <v>767</v>
      </c>
      <c r="J1821" s="6" t="s">
        <v>767</v>
      </c>
      <c r="K1821" s="7">
        <v>6115232</v>
      </c>
      <c r="L1821" s="7">
        <v>275046</v>
      </c>
      <c r="M1821" s="7">
        <v>19</v>
      </c>
      <c r="N1821" s="7">
        <v>1</v>
      </c>
      <c r="O1821" s="7">
        <v>52</v>
      </c>
    </row>
    <row r="1822" spans="1:15" x14ac:dyDescent="0.25">
      <c r="A1822" s="6" t="s">
        <v>14</v>
      </c>
      <c r="B1822" s="6" t="s">
        <v>522</v>
      </c>
      <c r="C1822" s="7">
        <v>31376</v>
      </c>
      <c r="D1822" s="6" t="s">
        <v>39</v>
      </c>
      <c r="E1822" s="6" t="s">
        <v>41</v>
      </c>
      <c r="F1822" s="6" t="s">
        <v>502</v>
      </c>
      <c r="G1822" s="6" t="s">
        <v>32</v>
      </c>
      <c r="H1822" s="6" t="s">
        <v>33</v>
      </c>
      <c r="I1822" s="6" t="s">
        <v>767</v>
      </c>
      <c r="J1822" s="6" t="s">
        <v>767</v>
      </c>
      <c r="K1822" s="7">
        <v>6121801</v>
      </c>
      <c r="L1822" s="7">
        <v>291831</v>
      </c>
      <c r="M1822" s="7">
        <v>19</v>
      </c>
      <c r="N1822" s="7">
        <v>1</v>
      </c>
      <c r="O1822" s="7">
        <v>12</v>
      </c>
    </row>
    <row r="1823" spans="1:15" x14ac:dyDescent="0.25">
      <c r="A1823" s="6" t="s">
        <v>14</v>
      </c>
      <c r="B1823" s="6" t="s">
        <v>522</v>
      </c>
      <c r="C1823" s="7">
        <v>31377</v>
      </c>
      <c r="D1823" s="6" t="s">
        <v>39</v>
      </c>
      <c r="E1823" s="6" t="s">
        <v>41</v>
      </c>
      <c r="F1823" s="6" t="s">
        <v>502</v>
      </c>
      <c r="G1823" s="6" t="s">
        <v>32</v>
      </c>
      <c r="H1823" s="6" t="s">
        <v>33</v>
      </c>
      <c r="I1823" s="6" t="s">
        <v>767</v>
      </c>
      <c r="J1823" s="6" t="s">
        <v>767</v>
      </c>
      <c r="K1823" s="7">
        <v>6121801</v>
      </c>
      <c r="L1823" s="7">
        <v>291831</v>
      </c>
      <c r="M1823" s="7">
        <v>19</v>
      </c>
      <c r="N1823" s="7">
        <v>1</v>
      </c>
      <c r="O1823" s="7">
        <v>12</v>
      </c>
    </row>
    <row r="1824" spans="1:15" x14ac:dyDescent="0.25">
      <c r="A1824" s="6" t="s">
        <v>14</v>
      </c>
      <c r="B1824" s="6" t="s">
        <v>522</v>
      </c>
      <c r="C1824" s="7">
        <v>31379</v>
      </c>
      <c r="D1824" s="6" t="s">
        <v>39</v>
      </c>
      <c r="E1824" s="6" t="s">
        <v>41</v>
      </c>
      <c r="F1824" s="6" t="s">
        <v>502</v>
      </c>
      <c r="G1824" s="6" t="s">
        <v>32</v>
      </c>
      <c r="H1824" s="6" t="s">
        <v>33</v>
      </c>
      <c r="I1824" s="6" t="s">
        <v>767</v>
      </c>
      <c r="J1824" s="6" t="s">
        <v>767</v>
      </c>
      <c r="K1824" s="7">
        <v>6121801</v>
      </c>
      <c r="L1824" s="7">
        <v>291831</v>
      </c>
      <c r="M1824" s="7">
        <v>19</v>
      </c>
      <c r="N1824" s="7">
        <v>1</v>
      </c>
      <c r="O1824" s="7">
        <v>12</v>
      </c>
    </row>
    <row r="1825" spans="1:15" x14ac:dyDescent="0.25">
      <c r="A1825" s="6" t="s">
        <v>14</v>
      </c>
      <c r="B1825" s="6" t="s">
        <v>522</v>
      </c>
      <c r="C1825" s="7">
        <v>31380</v>
      </c>
      <c r="D1825" s="6" t="s">
        <v>42</v>
      </c>
      <c r="E1825" s="6" t="s">
        <v>301</v>
      </c>
      <c r="F1825" s="6" t="s">
        <v>302</v>
      </c>
      <c r="G1825" s="6" t="s">
        <v>32</v>
      </c>
      <c r="H1825" s="6" t="s">
        <v>33</v>
      </c>
      <c r="I1825" s="6" t="s">
        <v>767</v>
      </c>
      <c r="J1825" s="6" t="s">
        <v>764</v>
      </c>
      <c r="K1825" s="7">
        <v>6218130</v>
      </c>
      <c r="L1825" s="7">
        <v>345156</v>
      </c>
      <c r="M1825" s="7">
        <v>19</v>
      </c>
      <c r="N1825" s="7">
        <v>1</v>
      </c>
      <c r="O1825" s="7">
        <v>13.17</v>
      </c>
    </row>
    <row r="1826" spans="1:15" x14ac:dyDescent="0.25">
      <c r="A1826" s="6" t="s">
        <v>14</v>
      </c>
      <c r="B1826" s="6" t="s">
        <v>522</v>
      </c>
      <c r="C1826" s="7">
        <v>31382</v>
      </c>
      <c r="D1826" s="6" t="s">
        <v>42</v>
      </c>
      <c r="E1826" s="6" t="s">
        <v>43</v>
      </c>
      <c r="F1826" s="6" t="s">
        <v>44</v>
      </c>
      <c r="G1826" s="6" t="s">
        <v>32</v>
      </c>
      <c r="H1826" s="6" t="s">
        <v>33</v>
      </c>
      <c r="I1826" s="6" t="s">
        <v>767</v>
      </c>
      <c r="J1826" s="6" t="s">
        <v>764</v>
      </c>
      <c r="K1826" s="7">
        <v>6196538</v>
      </c>
      <c r="L1826" s="7">
        <v>366143</v>
      </c>
      <c r="M1826" s="7">
        <v>19</v>
      </c>
      <c r="N1826" s="7">
        <v>1</v>
      </c>
      <c r="O1826" s="7">
        <v>48</v>
      </c>
    </row>
    <row r="1827" spans="1:15" x14ac:dyDescent="0.25">
      <c r="A1827" s="6" t="s">
        <v>14</v>
      </c>
      <c r="B1827" s="6" t="s">
        <v>522</v>
      </c>
      <c r="C1827" s="7">
        <v>31384</v>
      </c>
      <c r="D1827" s="6" t="s">
        <v>42</v>
      </c>
      <c r="E1827" s="6" t="s">
        <v>37</v>
      </c>
      <c r="F1827" s="6" t="s">
        <v>37</v>
      </c>
      <c r="G1827" s="6" t="s">
        <v>32</v>
      </c>
      <c r="H1827" s="6" t="s">
        <v>33</v>
      </c>
      <c r="I1827" s="6" t="s">
        <v>767</v>
      </c>
      <c r="J1827" s="6" t="s">
        <v>764</v>
      </c>
      <c r="K1827" s="7">
        <v>6220744</v>
      </c>
      <c r="L1827" s="7">
        <v>334915</v>
      </c>
      <c r="M1827" s="7">
        <v>19</v>
      </c>
      <c r="N1827" s="7">
        <v>1</v>
      </c>
      <c r="O1827" s="7">
        <v>7.3</v>
      </c>
    </row>
    <row r="1828" spans="1:15" x14ac:dyDescent="0.25">
      <c r="A1828" s="6" t="s">
        <v>14</v>
      </c>
      <c r="B1828" s="6" t="s">
        <v>522</v>
      </c>
      <c r="C1828" s="7">
        <v>31385</v>
      </c>
      <c r="D1828" s="6" t="s">
        <v>39</v>
      </c>
      <c r="E1828" s="6" t="s">
        <v>310</v>
      </c>
      <c r="F1828" s="6" t="s">
        <v>310</v>
      </c>
      <c r="G1828" s="6" t="s">
        <v>32</v>
      </c>
      <c r="H1828" s="6" t="s">
        <v>33</v>
      </c>
      <c r="I1828" s="6" t="s">
        <v>767</v>
      </c>
      <c r="J1828" s="6" t="s">
        <v>764</v>
      </c>
      <c r="K1828" s="7">
        <v>6104055</v>
      </c>
      <c r="L1828" s="7">
        <v>297742</v>
      </c>
      <c r="M1828" s="7">
        <v>19</v>
      </c>
      <c r="N1828" s="7">
        <v>1</v>
      </c>
      <c r="O1828" s="7">
        <v>16</v>
      </c>
    </row>
    <row r="1829" spans="1:15" x14ac:dyDescent="0.25">
      <c r="A1829" s="6" t="s">
        <v>14</v>
      </c>
      <c r="B1829" s="6" t="s">
        <v>522</v>
      </c>
      <c r="C1829" s="7">
        <v>31386</v>
      </c>
      <c r="D1829" s="6" t="s">
        <v>42</v>
      </c>
      <c r="E1829" s="6" t="s">
        <v>196</v>
      </c>
      <c r="F1829" s="6" t="s">
        <v>302</v>
      </c>
      <c r="G1829" s="6" t="s">
        <v>32</v>
      </c>
      <c r="H1829" s="6" t="s">
        <v>33</v>
      </c>
      <c r="I1829" s="6" t="s">
        <v>767</v>
      </c>
      <c r="J1829" s="6" t="s">
        <v>764</v>
      </c>
      <c r="K1829" s="7">
        <v>6219982</v>
      </c>
      <c r="L1829" s="7">
        <v>346718</v>
      </c>
      <c r="M1829" s="7">
        <v>19</v>
      </c>
      <c r="N1829" s="7">
        <v>1</v>
      </c>
      <c r="O1829" s="7">
        <v>22</v>
      </c>
    </row>
    <row r="1830" spans="1:15" x14ac:dyDescent="0.25">
      <c r="A1830" s="6" t="s">
        <v>28</v>
      </c>
      <c r="B1830" s="6" t="s">
        <v>522</v>
      </c>
      <c r="C1830" s="7">
        <v>31387</v>
      </c>
      <c r="D1830" s="6" t="s">
        <v>39</v>
      </c>
      <c r="E1830" s="6" t="s">
        <v>310</v>
      </c>
      <c r="F1830" s="6" t="s">
        <v>310</v>
      </c>
      <c r="G1830" s="6" t="s">
        <v>32</v>
      </c>
      <c r="H1830" s="6" t="s">
        <v>33</v>
      </c>
      <c r="I1830" s="6" t="s">
        <v>767</v>
      </c>
      <c r="J1830" s="6" t="s">
        <v>767</v>
      </c>
      <c r="K1830" s="7">
        <v>6116371</v>
      </c>
      <c r="L1830" s="7">
        <v>289656</v>
      </c>
      <c r="M1830" s="7">
        <v>19</v>
      </c>
      <c r="N1830" s="7">
        <v>1</v>
      </c>
      <c r="O1830" s="7">
        <v>8</v>
      </c>
    </row>
    <row r="1831" spans="1:15" x14ac:dyDescent="0.25">
      <c r="A1831" s="6" t="s">
        <v>14</v>
      </c>
      <c r="B1831" s="6" t="s">
        <v>522</v>
      </c>
      <c r="C1831" s="7">
        <v>31390</v>
      </c>
      <c r="D1831" s="6" t="s">
        <v>24</v>
      </c>
      <c r="E1831" s="6" t="s">
        <v>31</v>
      </c>
      <c r="F1831" s="6" t="s">
        <v>530</v>
      </c>
      <c r="G1831" s="6" t="s">
        <v>32</v>
      </c>
      <c r="H1831" s="6" t="s">
        <v>33</v>
      </c>
      <c r="I1831" s="6" t="s">
        <v>767</v>
      </c>
      <c r="J1831" s="6" t="s">
        <v>767</v>
      </c>
      <c r="K1831" s="7">
        <v>6272700</v>
      </c>
      <c r="L1831" s="7">
        <v>303157</v>
      </c>
      <c r="M1831" s="7">
        <v>19</v>
      </c>
      <c r="N1831" s="7">
        <v>1</v>
      </c>
      <c r="O1831" s="7">
        <v>13</v>
      </c>
    </row>
    <row r="1832" spans="1:15" x14ac:dyDescent="0.25">
      <c r="A1832" s="6" t="s">
        <v>14</v>
      </c>
      <c r="B1832" s="6" t="s">
        <v>522</v>
      </c>
      <c r="C1832" s="7">
        <v>31391</v>
      </c>
      <c r="D1832" s="6" t="s">
        <v>42</v>
      </c>
      <c r="E1832" s="6" t="s">
        <v>66</v>
      </c>
      <c r="F1832" s="6" t="s">
        <v>66</v>
      </c>
      <c r="G1832" s="6" t="s">
        <v>32</v>
      </c>
      <c r="H1832" s="6" t="s">
        <v>33</v>
      </c>
      <c r="I1832" s="6" t="s">
        <v>767</v>
      </c>
      <c r="J1832" s="6" t="s">
        <v>767</v>
      </c>
      <c r="K1832" s="7">
        <v>6233481</v>
      </c>
      <c r="L1832" s="7">
        <v>345117</v>
      </c>
      <c r="M1832" s="7">
        <v>19</v>
      </c>
      <c r="N1832" s="7">
        <v>2</v>
      </c>
      <c r="O1832" s="7">
        <v>26</v>
      </c>
    </row>
    <row r="1833" spans="1:15" x14ac:dyDescent="0.25">
      <c r="A1833" s="6" t="s">
        <v>14</v>
      </c>
      <c r="B1833" s="6" t="s">
        <v>522</v>
      </c>
      <c r="C1833" s="7">
        <v>31392</v>
      </c>
      <c r="D1833" s="6" t="s">
        <v>42</v>
      </c>
      <c r="E1833" s="6" t="s">
        <v>301</v>
      </c>
      <c r="F1833" s="6" t="s">
        <v>301</v>
      </c>
      <c r="G1833" s="6" t="s">
        <v>32</v>
      </c>
      <c r="H1833" s="6" t="s">
        <v>33</v>
      </c>
      <c r="I1833" s="6" t="s">
        <v>767</v>
      </c>
      <c r="J1833" s="6" t="s">
        <v>767</v>
      </c>
      <c r="K1833" s="7">
        <v>6218195</v>
      </c>
      <c r="L1833" s="7">
        <v>346871</v>
      </c>
      <c r="M1833" s="7">
        <v>19</v>
      </c>
      <c r="N1833" s="7">
        <v>2</v>
      </c>
      <c r="O1833" s="7">
        <v>13.68</v>
      </c>
    </row>
    <row r="1834" spans="1:15" x14ac:dyDescent="0.25">
      <c r="A1834" s="6" t="s">
        <v>14</v>
      </c>
      <c r="B1834" s="6" t="s">
        <v>522</v>
      </c>
      <c r="C1834" s="7">
        <v>31398</v>
      </c>
      <c r="D1834" s="6" t="s">
        <v>39</v>
      </c>
      <c r="E1834" s="6" t="s">
        <v>310</v>
      </c>
      <c r="F1834" s="6" t="s">
        <v>310</v>
      </c>
      <c r="G1834" s="6" t="s">
        <v>32</v>
      </c>
      <c r="H1834" s="6" t="s">
        <v>33</v>
      </c>
      <c r="I1834" s="6" t="s">
        <v>767</v>
      </c>
      <c r="J1834" s="6" t="s">
        <v>764</v>
      </c>
      <c r="K1834" s="7">
        <v>6104055</v>
      </c>
      <c r="L1834" s="7">
        <v>297742</v>
      </c>
      <c r="M1834" s="7">
        <v>19</v>
      </c>
      <c r="N1834" s="7">
        <v>1</v>
      </c>
      <c r="O1834" s="7">
        <v>4</v>
      </c>
    </row>
    <row r="1835" spans="1:15" x14ac:dyDescent="0.25">
      <c r="A1835" s="6" t="s">
        <v>14</v>
      </c>
      <c r="B1835" s="6" t="s">
        <v>522</v>
      </c>
      <c r="C1835" s="7">
        <v>31399</v>
      </c>
      <c r="D1835" s="6" t="s">
        <v>42</v>
      </c>
      <c r="E1835" s="6" t="s">
        <v>51</v>
      </c>
      <c r="F1835" s="6" t="s">
        <v>51</v>
      </c>
      <c r="G1835" s="6" t="s">
        <v>32</v>
      </c>
      <c r="H1835" s="6" t="s">
        <v>33</v>
      </c>
      <c r="I1835" s="6" t="s">
        <v>767</v>
      </c>
      <c r="J1835" s="6" t="s">
        <v>764</v>
      </c>
      <c r="K1835" s="7">
        <v>6157301</v>
      </c>
      <c r="L1835" s="7">
        <v>316354</v>
      </c>
      <c r="M1835" s="7">
        <v>19</v>
      </c>
      <c r="N1835" s="7">
        <v>1</v>
      </c>
      <c r="O1835" s="7">
        <v>41</v>
      </c>
    </row>
    <row r="1836" spans="1:15" x14ac:dyDescent="0.25">
      <c r="A1836" s="6" t="s">
        <v>14</v>
      </c>
      <c r="B1836" s="6" t="s">
        <v>522</v>
      </c>
      <c r="C1836" s="7">
        <v>31401</v>
      </c>
      <c r="D1836" s="6" t="s">
        <v>42</v>
      </c>
      <c r="E1836" s="6" t="s">
        <v>51</v>
      </c>
      <c r="F1836" s="6" t="s">
        <v>51</v>
      </c>
      <c r="G1836" s="6" t="s">
        <v>32</v>
      </c>
      <c r="H1836" s="6" t="s">
        <v>33</v>
      </c>
      <c r="I1836" s="6" t="s">
        <v>767</v>
      </c>
      <c r="J1836" s="6" t="s">
        <v>764</v>
      </c>
      <c r="K1836" s="7">
        <v>6152920</v>
      </c>
      <c r="L1836" s="7">
        <v>314902</v>
      </c>
      <c r="M1836" s="7">
        <v>19</v>
      </c>
      <c r="N1836" s="7">
        <v>1</v>
      </c>
      <c r="O1836" s="7">
        <v>12</v>
      </c>
    </row>
    <row r="1837" spans="1:15" x14ac:dyDescent="0.25">
      <c r="A1837" s="6" t="s">
        <v>14</v>
      </c>
      <c r="B1837" s="6" t="s">
        <v>522</v>
      </c>
      <c r="C1837" s="7">
        <v>31402</v>
      </c>
      <c r="D1837" s="6" t="s">
        <v>42</v>
      </c>
      <c r="E1837" s="6" t="s">
        <v>51</v>
      </c>
      <c r="F1837" s="6" t="s">
        <v>51</v>
      </c>
      <c r="G1837" s="6" t="s">
        <v>32</v>
      </c>
      <c r="H1837" s="6" t="s">
        <v>33</v>
      </c>
      <c r="I1837" s="6" t="s">
        <v>767</v>
      </c>
      <c r="J1837" s="6" t="s">
        <v>764</v>
      </c>
      <c r="K1837" s="7">
        <v>6153726</v>
      </c>
      <c r="L1837" s="7">
        <v>316502</v>
      </c>
      <c r="M1837" s="7">
        <v>19</v>
      </c>
      <c r="N1837" s="7">
        <v>1</v>
      </c>
      <c r="O1837" s="7">
        <v>4.5</v>
      </c>
    </row>
    <row r="1838" spans="1:15" x14ac:dyDescent="0.25">
      <c r="A1838" s="6" t="s">
        <v>14</v>
      </c>
      <c r="B1838" s="6" t="s">
        <v>522</v>
      </c>
      <c r="C1838" s="7">
        <v>31403</v>
      </c>
      <c r="D1838" s="6" t="s">
        <v>42</v>
      </c>
      <c r="E1838" s="6" t="s">
        <v>51</v>
      </c>
      <c r="F1838" s="6" t="s">
        <v>51</v>
      </c>
      <c r="G1838" s="6" t="s">
        <v>32</v>
      </c>
      <c r="H1838" s="6" t="s">
        <v>33</v>
      </c>
      <c r="I1838" s="6" t="s">
        <v>767</v>
      </c>
      <c r="J1838" s="6" t="s">
        <v>764</v>
      </c>
      <c r="K1838" s="7">
        <v>6153903</v>
      </c>
      <c r="L1838" s="7">
        <v>316958</v>
      </c>
      <c r="M1838" s="7">
        <v>19</v>
      </c>
      <c r="N1838" s="7">
        <v>1</v>
      </c>
      <c r="O1838" s="7">
        <v>7.5</v>
      </c>
    </row>
    <row r="1839" spans="1:15" x14ac:dyDescent="0.25">
      <c r="A1839" s="6" t="s">
        <v>14</v>
      </c>
      <c r="B1839" s="6" t="s">
        <v>522</v>
      </c>
      <c r="C1839" s="7">
        <v>31404</v>
      </c>
      <c r="D1839" s="6" t="s">
        <v>24</v>
      </c>
      <c r="E1839" s="6" t="s">
        <v>31</v>
      </c>
      <c r="F1839" s="6" t="s">
        <v>560</v>
      </c>
      <c r="G1839" s="6" t="s">
        <v>32</v>
      </c>
      <c r="H1839" s="6" t="s">
        <v>33</v>
      </c>
      <c r="I1839" s="6" t="s">
        <v>767</v>
      </c>
      <c r="J1839" s="6" t="s">
        <v>764</v>
      </c>
      <c r="K1839" s="7">
        <v>6275385</v>
      </c>
      <c r="L1839" s="7">
        <v>290086</v>
      </c>
      <c r="M1839" s="7">
        <v>19</v>
      </c>
      <c r="N1839" s="7">
        <v>2</v>
      </c>
      <c r="O1839" s="7">
        <v>13</v>
      </c>
    </row>
    <row r="1840" spans="1:15" x14ac:dyDescent="0.25">
      <c r="A1840" s="6" t="s">
        <v>28</v>
      </c>
      <c r="B1840" s="6" t="s">
        <v>522</v>
      </c>
      <c r="C1840" s="7">
        <v>31405</v>
      </c>
      <c r="D1840" s="6" t="s">
        <v>42</v>
      </c>
      <c r="E1840" s="6" t="s">
        <v>196</v>
      </c>
      <c r="F1840" s="6" t="s">
        <v>537</v>
      </c>
      <c r="G1840" s="6" t="s">
        <v>32</v>
      </c>
      <c r="H1840" s="6" t="s">
        <v>33</v>
      </c>
      <c r="I1840" s="6" t="s">
        <v>764</v>
      </c>
      <c r="J1840" s="6" t="s">
        <v>767</v>
      </c>
      <c r="K1840" s="7">
        <v>6227365</v>
      </c>
      <c r="L1840" s="7">
        <v>345079</v>
      </c>
      <c r="M1840" s="7">
        <v>19</v>
      </c>
      <c r="N1840" s="7">
        <v>2</v>
      </c>
      <c r="O1840" s="7">
        <v>24.19</v>
      </c>
    </row>
    <row r="1841" spans="1:15" x14ac:dyDescent="0.25">
      <c r="A1841" s="6" t="s">
        <v>14</v>
      </c>
      <c r="B1841" s="6" t="s">
        <v>522</v>
      </c>
      <c r="C1841" s="7">
        <v>31406</v>
      </c>
      <c r="D1841" s="6" t="s">
        <v>39</v>
      </c>
      <c r="E1841" s="6" t="s">
        <v>310</v>
      </c>
      <c r="F1841" s="6" t="s">
        <v>310</v>
      </c>
      <c r="G1841" s="6" t="s">
        <v>32</v>
      </c>
      <c r="H1841" s="6" t="s">
        <v>33</v>
      </c>
      <c r="I1841" s="6" t="s">
        <v>767</v>
      </c>
      <c r="J1841" s="6" t="s">
        <v>764</v>
      </c>
      <c r="K1841" s="7">
        <v>6101746</v>
      </c>
      <c r="L1841" s="7">
        <v>292796</v>
      </c>
      <c r="M1841" s="7">
        <v>19</v>
      </c>
      <c r="N1841" s="7">
        <v>1</v>
      </c>
      <c r="O1841" s="7">
        <v>40</v>
      </c>
    </row>
    <row r="1842" spans="1:15" x14ac:dyDescent="0.25">
      <c r="A1842" s="6" t="s">
        <v>14</v>
      </c>
      <c r="B1842" s="6" t="s">
        <v>522</v>
      </c>
      <c r="C1842" s="7">
        <v>31407</v>
      </c>
      <c r="D1842" s="6" t="s">
        <v>39</v>
      </c>
      <c r="E1842" s="6" t="s">
        <v>310</v>
      </c>
      <c r="F1842" s="6" t="s">
        <v>583</v>
      </c>
      <c r="G1842" s="6" t="s">
        <v>32</v>
      </c>
      <c r="H1842" s="6" t="s">
        <v>33</v>
      </c>
      <c r="I1842" s="6" t="s">
        <v>767</v>
      </c>
      <c r="J1842" s="6" t="s">
        <v>767</v>
      </c>
      <c r="K1842" s="7">
        <v>6115815</v>
      </c>
      <c r="L1842" s="7">
        <v>294810</v>
      </c>
      <c r="M1842" s="7">
        <v>19</v>
      </c>
      <c r="N1842" s="7">
        <v>5</v>
      </c>
      <c r="O1842" s="7">
        <v>22.7</v>
      </c>
    </row>
    <row r="1843" spans="1:15" x14ac:dyDescent="0.25">
      <c r="A1843" s="6" t="s">
        <v>14</v>
      </c>
      <c r="B1843" s="6" t="s">
        <v>522</v>
      </c>
      <c r="C1843" s="7">
        <v>31408</v>
      </c>
      <c r="D1843" s="6" t="s">
        <v>42</v>
      </c>
      <c r="E1843" s="6" t="s">
        <v>72</v>
      </c>
      <c r="F1843" s="6" t="s">
        <v>584</v>
      </c>
      <c r="G1843" s="6" t="s">
        <v>32</v>
      </c>
      <c r="H1843" s="6" t="s">
        <v>33</v>
      </c>
      <c r="I1843" s="6" t="s">
        <v>767</v>
      </c>
      <c r="J1843" s="6" t="s">
        <v>767</v>
      </c>
      <c r="K1843" s="7">
        <v>6151039</v>
      </c>
      <c r="L1843" s="7">
        <v>313592</v>
      </c>
      <c r="M1843" s="7">
        <v>19</v>
      </c>
      <c r="N1843" s="7">
        <v>1</v>
      </c>
      <c r="O1843" s="7">
        <v>10</v>
      </c>
    </row>
    <row r="1844" spans="1:15" x14ac:dyDescent="0.25">
      <c r="A1844" s="6" t="s">
        <v>28</v>
      </c>
      <c r="B1844" s="6" t="s">
        <v>522</v>
      </c>
      <c r="C1844" s="7">
        <v>31466</v>
      </c>
      <c r="D1844" s="6" t="s">
        <v>24</v>
      </c>
      <c r="E1844" s="6" t="s">
        <v>427</v>
      </c>
      <c r="F1844" s="6" t="s">
        <v>585</v>
      </c>
      <c r="G1844" s="6" t="s">
        <v>32</v>
      </c>
      <c r="H1844" s="6" t="s">
        <v>153</v>
      </c>
      <c r="I1844" s="6" t="s">
        <v>767</v>
      </c>
      <c r="J1844" s="6" t="s">
        <v>764</v>
      </c>
      <c r="K1844" s="7">
        <v>6266436</v>
      </c>
      <c r="L1844" s="7">
        <v>327547</v>
      </c>
      <c r="M1844" s="7">
        <v>19</v>
      </c>
      <c r="N1844" s="7">
        <v>1</v>
      </c>
      <c r="O1844" s="7">
        <v>8.11</v>
      </c>
    </row>
    <row r="1845" spans="1:15" x14ac:dyDescent="0.25">
      <c r="A1845" s="6" t="s">
        <v>14</v>
      </c>
      <c r="B1845" s="6" t="s">
        <v>522</v>
      </c>
      <c r="C1845" s="7">
        <v>31467</v>
      </c>
      <c r="D1845" s="6" t="s">
        <v>24</v>
      </c>
      <c r="E1845" s="6" t="s">
        <v>56</v>
      </c>
      <c r="F1845" s="6" t="s">
        <v>56</v>
      </c>
      <c r="G1845" s="6" t="s">
        <v>32</v>
      </c>
      <c r="H1845" s="6" t="s">
        <v>33</v>
      </c>
      <c r="I1845" s="6" t="s">
        <v>767</v>
      </c>
      <c r="J1845" s="6" t="s">
        <v>767</v>
      </c>
      <c r="K1845" s="7">
        <v>6275959</v>
      </c>
      <c r="L1845" s="7">
        <v>343564</v>
      </c>
      <c r="M1845" s="7">
        <v>19</v>
      </c>
      <c r="N1845" s="7">
        <v>1</v>
      </c>
      <c r="O1845" s="7">
        <v>0.4</v>
      </c>
    </row>
    <row r="1846" spans="1:15" x14ac:dyDescent="0.25">
      <c r="A1846" s="6" t="s">
        <v>28</v>
      </c>
      <c r="B1846" s="6" t="s">
        <v>522</v>
      </c>
      <c r="C1846" s="7">
        <v>31468</v>
      </c>
      <c r="D1846" s="6" t="s">
        <v>24</v>
      </c>
      <c r="E1846" s="6" t="s">
        <v>436</v>
      </c>
      <c r="F1846" s="6" t="s">
        <v>436</v>
      </c>
      <c r="G1846" s="6" t="s">
        <v>32</v>
      </c>
      <c r="H1846" s="6" t="s">
        <v>19</v>
      </c>
      <c r="I1846" s="6" t="s">
        <v>767</v>
      </c>
      <c r="J1846" s="6" t="s">
        <v>767</v>
      </c>
      <c r="K1846" s="7">
        <v>6276273</v>
      </c>
      <c r="L1846" s="7">
        <v>333646</v>
      </c>
      <c r="M1846" s="7">
        <v>19</v>
      </c>
      <c r="N1846" s="7">
        <v>1</v>
      </c>
      <c r="O1846" s="7">
        <v>3.6</v>
      </c>
    </row>
    <row r="1847" spans="1:15" x14ac:dyDescent="0.25">
      <c r="A1847" s="6" t="s">
        <v>28</v>
      </c>
      <c r="B1847" s="6" t="s">
        <v>522</v>
      </c>
      <c r="C1847" s="7">
        <v>31469</v>
      </c>
      <c r="D1847" s="6" t="s">
        <v>24</v>
      </c>
      <c r="E1847" s="6" t="s">
        <v>96</v>
      </c>
      <c r="F1847" s="6" t="s">
        <v>586</v>
      </c>
      <c r="G1847" s="6" t="s">
        <v>32</v>
      </c>
      <c r="H1847" s="6" t="s">
        <v>19</v>
      </c>
      <c r="I1847" s="6" t="s">
        <v>767</v>
      </c>
      <c r="J1847" s="6" t="s">
        <v>767</v>
      </c>
      <c r="K1847" s="7">
        <v>6258848</v>
      </c>
      <c r="L1847" s="7">
        <v>343639</v>
      </c>
      <c r="M1847" s="7">
        <v>19</v>
      </c>
      <c r="N1847" s="7">
        <v>1</v>
      </c>
      <c r="O1847" s="7">
        <v>4.91</v>
      </c>
    </row>
    <row r="1848" spans="1:15" x14ac:dyDescent="0.25">
      <c r="A1848" s="6" t="s">
        <v>28</v>
      </c>
      <c r="B1848" s="6" t="s">
        <v>522</v>
      </c>
      <c r="C1848" s="7">
        <v>31470</v>
      </c>
      <c r="D1848" s="6" t="s">
        <v>24</v>
      </c>
      <c r="E1848" s="6" t="s">
        <v>96</v>
      </c>
      <c r="F1848" s="6" t="s">
        <v>545</v>
      </c>
      <c r="G1848" s="6" t="s">
        <v>32</v>
      </c>
      <c r="H1848" s="6" t="s">
        <v>153</v>
      </c>
      <c r="I1848" s="6" t="s">
        <v>767</v>
      </c>
      <c r="J1848" s="6" t="s">
        <v>764</v>
      </c>
      <c r="K1848" s="7">
        <v>6255699</v>
      </c>
      <c r="L1848" s="7">
        <v>345281</v>
      </c>
      <c r="M1848" s="7">
        <v>19</v>
      </c>
      <c r="N1848" s="7">
        <v>1</v>
      </c>
      <c r="O1848" s="7">
        <v>8.31</v>
      </c>
    </row>
    <row r="1849" spans="1:15" x14ac:dyDescent="0.25">
      <c r="A1849" s="6" t="s">
        <v>28</v>
      </c>
      <c r="B1849" s="6" t="s">
        <v>522</v>
      </c>
      <c r="C1849" s="7">
        <v>31471</v>
      </c>
      <c r="D1849" s="6" t="s">
        <v>24</v>
      </c>
      <c r="E1849" s="6" t="s">
        <v>543</v>
      </c>
      <c r="F1849" s="6" t="s">
        <v>225</v>
      </c>
      <c r="G1849" s="6" t="s">
        <v>32</v>
      </c>
      <c r="H1849" s="6" t="s">
        <v>19</v>
      </c>
      <c r="I1849" s="6" t="s">
        <v>767</v>
      </c>
      <c r="J1849" s="6" t="s">
        <v>767</v>
      </c>
      <c r="K1849" s="7">
        <v>6306965</v>
      </c>
      <c r="L1849" s="7">
        <v>329183</v>
      </c>
      <c r="M1849" s="7">
        <v>19</v>
      </c>
      <c r="N1849" s="7">
        <v>1</v>
      </c>
      <c r="O1849" s="7">
        <v>0.33</v>
      </c>
    </row>
    <row r="1850" spans="1:15" x14ac:dyDescent="0.25">
      <c r="A1850" s="6" t="s">
        <v>28</v>
      </c>
      <c r="B1850" s="6" t="s">
        <v>522</v>
      </c>
      <c r="C1850" s="7">
        <v>31472</v>
      </c>
      <c r="D1850" s="6" t="s">
        <v>24</v>
      </c>
      <c r="E1850" s="6" t="s">
        <v>429</v>
      </c>
      <c r="F1850" s="6" t="s">
        <v>491</v>
      </c>
      <c r="G1850" s="6" t="s">
        <v>32</v>
      </c>
      <c r="H1850" s="6" t="s">
        <v>19</v>
      </c>
      <c r="I1850" s="6" t="s">
        <v>767</v>
      </c>
      <c r="J1850" s="6" t="s">
        <v>767</v>
      </c>
      <c r="K1850" s="7">
        <v>6302308</v>
      </c>
      <c r="L1850" s="7">
        <v>327285</v>
      </c>
      <c r="M1850" s="7">
        <v>19</v>
      </c>
      <c r="N1850" s="7">
        <v>1</v>
      </c>
      <c r="O1850" s="7">
        <v>0.32</v>
      </c>
    </row>
    <row r="1851" spans="1:15" x14ac:dyDescent="0.25">
      <c r="A1851" s="6" t="s">
        <v>28</v>
      </c>
      <c r="B1851" s="6" t="s">
        <v>522</v>
      </c>
      <c r="C1851" s="7">
        <v>31473</v>
      </c>
      <c r="D1851" s="6" t="s">
        <v>24</v>
      </c>
      <c r="E1851" s="6" t="s">
        <v>62</v>
      </c>
      <c r="F1851" s="6" t="s">
        <v>62</v>
      </c>
      <c r="G1851" s="6" t="s">
        <v>32</v>
      </c>
      <c r="H1851" s="6" t="s">
        <v>19</v>
      </c>
      <c r="I1851" s="6" t="s">
        <v>767</v>
      </c>
      <c r="J1851" s="6" t="s">
        <v>767</v>
      </c>
      <c r="K1851" s="7">
        <v>6281649</v>
      </c>
      <c r="L1851" s="7">
        <v>335805</v>
      </c>
      <c r="M1851" s="7">
        <v>19</v>
      </c>
      <c r="N1851" s="7">
        <v>1</v>
      </c>
      <c r="O1851" s="7">
        <v>1.05</v>
      </c>
    </row>
    <row r="1852" spans="1:15" x14ac:dyDescent="0.25">
      <c r="A1852" s="6" t="s">
        <v>28</v>
      </c>
      <c r="B1852" s="6" t="s">
        <v>522</v>
      </c>
      <c r="C1852" s="7">
        <v>31474</v>
      </c>
      <c r="D1852" s="6" t="s">
        <v>24</v>
      </c>
      <c r="E1852" s="6" t="s">
        <v>25</v>
      </c>
      <c r="F1852" s="6" t="s">
        <v>556</v>
      </c>
      <c r="G1852" s="6" t="s">
        <v>32</v>
      </c>
      <c r="H1852" s="6" t="s">
        <v>19</v>
      </c>
      <c r="I1852" s="6" t="s">
        <v>767</v>
      </c>
      <c r="J1852" s="6" t="s">
        <v>767</v>
      </c>
      <c r="K1852" s="7">
        <v>6264785</v>
      </c>
      <c r="L1852" s="7">
        <v>334187</v>
      </c>
      <c r="M1852" s="7">
        <v>19</v>
      </c>
      <c r="N1852" s="7">
        <v>1</v>
      </c>
      <c r="O1852" s="7">
        <v>1.05</v>
      </c>
    </row>
    <row r="1853" spans="1:15" x14ac:dyDescent="0.25">
      <c r="A1853" s="6" t="s">
        <v>14</v>
      </c>
      <c r="B1853" s="6" t="s">
        <v>522</v>
      </c>
      <c r="C1853" s="7">
        <v>31475</v>
      </c>
      <c r="D1853" s="6" t="s">
        <v>24</v>
      </c>
      <c r="E1853" s="6" t="s">
        <v>436</v>
      </c>
      <c r="F1853" s="6" t="s">
        <v>444</v>
      </c>
      <c r="G1853" s="6" t="s">
        <v>32</v>
      </c>
      <c r="H1853" s="6" t="s">
        <v>33</v>
      </c>
      <c r="I1853" s="6" t="s">
        <v>767</v>
      </c>
      <c r="J1853" s="6" t="s">
        <v>767</v>
      </c>
      <c r="K1853" s="7">
        <v>6275699</v>
      </c>
      <c r="L1853" s="7">
        <v>329021</v>
      </c>
      <c r="M1853" s="7">
        <v>19</v>
      </c>
      <c r="N1853" s="7">
        <v>1</v>
      </c>
      <c r="O1853" s="7">
        <v>0.15</v>
      </c>
    </row>
    <row r="1854" spans="1:15" x14ac:dyDescent="0.25">
      <c r="A1854" s="6" t="s">
        <v>14</v>
      </c>
      <c r="B1854" s="6" t="s">
        <v>522</v>
      </c>
      <c r="C1854" s="7">
        <v>31476</v>
      </c>
      <c r="D1854" s="6" t="s">
        <v>24</v>
      </c>
      <c r="E1854" s="6" t="s">
        <v>56</v>
      </c>
      <c r="F1854" s="6" t="s">
        <v>419</v>
      </c>
      <c r="G1854" s="6" t="s">
        <v>32</v>
      </c>
      <c r="H1854" s="6" t="s">
        <v>33</v>
      </c>
      <c r="I1854" s="6" t="s">
        <v>767</v>
      </c>
      <c r="J1854" s="6" t="s">
        <v>767</v>
      </c>
      <c r="K1854" s="7">
        <v>6275341</v>
      </c>
      <c r="L1854" s="7">
        <v>341099</v>
      </c>
      <c r="M1854" s="7">
        <v>19</v>
      </c>
      <c r="N1854" s="7">
        <v>1</v>
      </c>
      <c r="O1854" s="7">
        <v>0.4</v>
      </c>
    </row>
    <row r="1855" spans="1:15" x14ac:dyDescent="0.25">
      <c r="A1855" s="6" t="s">
        <v>28</v>
      </c>
      <c r="B1855" s="6" t="s">
        <v>522</v>
      </c>
      <c r="C1855" s="7">
        <v>31478</v>
      </c>
      <c r="D1855" s="6" t="s">
        <v>24</v>
      </c>
      <c r="E1855" s="6" t="s">
        <v>51</v>
      </c>
      <c r="F1855" s="6" t="s">
        <v>51</v>
      </c>
      <c r="G1855" s="6" t="s">
        <v>32</v>
      </c>
      <c r="H1855" s="6" t="s">
        <v>19</v>
      </c>
      <c r="I1855" s="6" t="s">
        <v>767</v>
      </c>
      <c r="J1855" s="6" t="s">
        <v>767</v>
      </c>
      <c r="K1855" s="7">
        <v>6305491</v>
      </c>
      <c r="L1855" s="7">
        <v>328434</v>
      </c>
      <c r="M1855" s="7">
        <v>19</v>
      </c>
      <c r="N1855" s="7">
        <v>1</v>
      </c>
      <c r="O1855" s="7">
        <v>0.2</v>
      </c>
    </row>
    <row r="1856" spans="1:15" x14ac:dyDescent="0.25">
      <c r="A1856" s="6" t="s">
        <v>14</v>
      </c>
      <c r="B1856" s="6" t="s">
        <v>522</v>
      </c>
      <c r="C1856" s="7">
        <v>31485</v>
      </c>
      <c r="D1856" s="6" t="s">
        <v>24</v>
      </c>
      <c r="E1856" s="6" t="s">
        <v>56</v>
      </c>
      <c r="F1856" s="6" t="s">
        <v>56</v>
      </c>
      <c r="G1856" s="6" t="s">
        <v>32</v>
      </c>
      <c r="H1856" s="6" t="s">
        <v>33</v>
      </c>
      <c r="I1856" s="6" t="s">
        <v>767</v>
      </c>
      <c r="J1856" s="6" t="s">
        <v>767</v>
      </c>
      <c r="K1856" s="7">
        <v>6274730</v>
      </c>
      <c r="L1856" s="7">
        <v>344537</v>
      </c>
      <c r="M1856" s="7">
        <v>19</v>
      </c>
      <c r="N1856" s="7">
        <v>1</v>
      </c>
      <c r="O1856" s="7">
        <v>0.33</v>
      </c>
    </row>
    <row r="1857" spans="1:15" x14ac:dyDescent="0.25">
      <c r="A1857" s="6" t="s">
        <v>28</v>
      </c>
      <c r="B1857" s="6" t="s">
        <v>522</v>
      </c>
      <c r="C1857" s="7">
        <v>31486</v>
      </c>
      <c r="D1857" s="6" t="s">
        <v>24</v>
      </c>
      <c r="E1857" s="6" t="s">
        <v>96</v>
      </c>
      <c r="F1857" s="6" t="s">
        <v>587</v>
      </c>
      <c r="G1857" s="6" t="s">
        <v>32</v>
      </c>
      <c r="H1857" s="6" t="s">
        <v>19</v>
      </c>
      <c r="I1857" s="6" t="s">
        <v>767</v>
      </c>
      <c r="J1857" s="6" t="s">
        <v>767</v>
      </c>
      <c r="K1857" s="7">
        <v>6279928</v>
      </c>
      <c r="L1857" s="7">
        <v>333954</v>
      </c>
      <c r="M1857" s="7">
        <v>19</v>
      </c>
      <c r="N1857" s="7">
        <v>1</v>
      </c>
      <c r="O1857" s="7">
        <v>0.93</v>
      </c>
    </row>
    <row r="1858" spans="1:15" x14ac:dyDescent="0.25">
      <c r="A1858" s="6" t="s">
        <v>14</v>
      </c>
      <c r="B1858" s="6" t="s">
        <v>522</v>
      </c>
      <c r="C1858" s="7">
        <v>31487</v>
      </c>
      <c r="D1858" s="6" t="s">
        <v>24</v>
      </c>
      <c r="E1858" s="6" t="s">
        <v>56</v>
      </c>
      <c r="F1858" s="6" t="s">
        <v>56</v>
      </c>
      <c r="G1858" s="6" t="s">
        <v>32</v>
      </c>
      <c r="H1858" s="6" t="s">
        <v>33</v>
      </c>
      <c r="I1858" s="6" t="s">
        <v>767</v>
      </c>
      <c r="J1858" s="6" t="s">
        <v>767</v>
      </c>
      <c r="K1858" s="7">
        <v>6274730</v>
      </c>
      <c r="L1858" s="7">
        <v>344537</v>
      </c>
      <c r="M1858" s="7">
        <v>19</v>
      </c>
      <c r="N1858" s="7">
        <v>1</v>
      </c>
      <c r="O1858" s="7">
        <v>0.33</v>
      </c>
    </row>
    <row r="1859" spans="1:15" x14ac:dyDescent="0.25">
      <c r="A1859" s="6" t="s">
        <v>14</v>
      </c>
      <c r="B1859" s="6" t="s">
        <v>522</v>
      </c>
      <c r="C1859" s="7">
        <v>31488</v>
      </c>
      <c r="D1859" s="6" t="s">
        <v>24</v>
      </c>
      <c r="E1859" s="6" t="s">
        <v>56</v>
      </c>
      <c r="F1859" s="6" t="s">
        <v>56</v>
      </c>
      <c r="G1859" s="6" t="s">
        <v>32</v>
      </c>
      <c r="H1859" s="6" t="s">
        <v>33</v>
      </c>
      <c r="I1859" s="6" t="s">
        <v>767</v>
      </c>
      <c r="J1859" s="6" t="s">
        <v>767</v>
      </c>
      <c r="K1859" s="7">
        <v>6274730</v>
      </c>
      <c r="L1859" s="7">
        <v>344537</v>
      </c>
      <c r="M1859" s="7">
        <v>19</v>
      </c>
      <c r="N1859" s="7">
        <v>1</v>
      </c>
      <c r="O1859" s="7">
        <v>0.33</v>
      </c>
    </row>
    <row r="1860" spans="1:15" x14ac:dyDescent="0.25">
      <c r="A1860" s="6" t="s">
        <v>14</v>
      </c>
      <c r="B1860" s="6" t="s">
        <v>522</v>
      </c>
      <c r="C1860" s="7">
        <v>31489</v>
      </c>
      <c r="D1860" s="6" t="s">
        <v>24</v>
      </c>
      <c r="E1860" s="6" t="s">
        <v>436</v>
      </c>
      <c r="F1860" s="6" t="s">
        <v>444</v>
      </c>
      <c r="G1860" s="6" t="s">
        <v>32</v>
      </c>
      <c r="H1860" s="6" t="s">
        <v>33</v>
      </c>
      <c r="I1860" s="6" t="s">
        <v>767</v>
      </c>
      <c r="J1860" s="6" t="s">
        <v>767</v>
      </c>
      <c r="K1860" s="7">
        <v>6275528</v>
      </c>
      <c r="L1860" s="7">
        <v>328050</v>
      </c>
      <c r="M1860" s="7">
        <v>19</v>
      </c>
      <c r="N1860" s="7">
        <v>1</v>
      </c>
      <c r="O1860" s="7">
        <v>0.4</v>
      </c>
    </row>
    <row r="1861" spans="1:15" x14ac:dyDescent="0.25">
      <c r="A1861" s="6" t="s">
        <v>28</v>
      </c>
      <c r="B1861" s="6" t="s">
        <v>522</v>
      </c>
      <c r="C1861" s="7">
        <v>31497</v>
      </c>
      <c r="D1861" s="6" t="s">
        <v>24</v>
      </c>
      <c r="E1861" s="6" t="s">
        <v>429</v>
      </c>
      <c r="F1861" s="6" t="s">
        <v>491</v>
      </c>
      <c r="G1861" s="6" t="s">
        <v>32</v>
      </c>
      <c r="H1861" s="6" t="s">
        <v>19</v>
      </c>
      <c r="I1861" s="6" t="s">
        <v>767</v>
      </c>
      <c r="J1861" s="6" t="s">
        <v>767</v>
      </c>
      <c r="K1861" s="7">
        <v>6305997</v>
      </c>
      <c r="L1861" s="7">
        <v>330987</v>
      </c>
      <c r="M1861" s="7">
        <v>19</v>
      </c>
      <c r="N1861" s="7">
        <v>1</v>
      </c>
      <c r="O1861" s="7">
        <v>1</v>
      </c>
    </row>
    <row r="1862" spans="1:15" x14ac:dyDescent="0.25">
      <c r="A1862" s="6" t="s">
        <v>28</v>
      </c>
      <c r="B1862" s="6" t="s">
        <v>522</v>
      </c>
      <c r="C1862" s="7">
        <v>31499</v>
      </c>
      <c r="D1862" s="6" t="s">
        <v>24</v>
      </c>
      <c r="E1862" s="6" t="s">
        <v>37</v>
      </c>
      <c r="F1862" s="6" t="s">
        <v>37</v>
      </c>
      <c r="G1862" s="6" t="s">
        <v>32</v>
      </c>
      <c r="H1862" s="6" t="s">
        <v>19</v>
      </c>
      <c r="I1862" s="6" t="s">
        <v>767</v>
      </c>
      <c r="J1862" s="6" t="s">
        <v>767</v>
      </c>
      <c r="K1862" s="7">
        <v>6272265</v>
      </c>
      <c r="L1862" s="7">
        <v>321259</v>
      </c>
      <c r="M1862" s="7">
        <v>19</v>
      </c>
      <c r="N1862" s="7">
        <v>1</v>
      </c>
      <c r="O1862" s="7">
        <v>1.05</v>
      </c>
    </row>
    <row r="1863" spans="1:15" x14ac:dyDescent="0.25">
      <c r="A1863" s="6" t="s">
        <v>28</v>
      </c>
      <c r="B1863" s="6" t="s">
        <v>522</v>
      </c>
      <c r="C1863" s="7">
        <v>31500</v>
      </c>
      <c r="D1863" s="6" t="s">
        <v>24</v>
      </c>
      <c r="E1863" s="6" t="s">
        <v>96</v>
      </c>
      <c r="F1863" s="6" t="s">
        <v>545</v>
      </c>
      <c r="G1863" s="6" t="s">
        <v>32</v>
      </c>
      <c r="H1863" s="6" t="s">
        <v>19</v>
      </c>
      <c r="I1863" s="6" t="s">
        <v>767</v>
      </c>
      <c r="J1863" s="6" t="s">
        <v>767</v>
      </c>
      <c r="K1863" s="7">
        <v>6255909</v>
      </c>
      <c r="L1863" s="7">
        <v>345917</v>
      </c>
      <c r="M1863" s="7">
        <v>19</v>
      </c>
      <c r="N1863" s="7">
        <v>1</v>
      </c>
      <c r="O1863" s="7">
        <v>1.05</v>
      </c>
    </row>
    <row r="1864" spans="1:15" x14ac:dyDescent="0.25">
      <c r="A1864" s="6" t="s">
        <v>28</v>
      </c>
      <c r="B1864" s="6" t="s">
        <v>522</v>
      </c>
      <c r="C1864" s="7">
        <v>31509</v>
      </c>
      <c r="D1864" s="6" t="s">
        <v>24</v>
      </c>
      <c r="E1864" s="6" t="s">
        <v>96</v>
      </c>
      <c r="F1864" s="6" t="s">
        <v>542</v>
      </c>
      <c r="G1864" s="6" t="s">
        <v>32</v>
      </c>
      <c r="H1864" s="6" t="s">
        <v>19</v>
      </c>
      <c r="I1864" s="6" t="s">
        <v>767</v>
      </c>
      <c r="J1864" s="6" t="s">
        <v>767</v>
      </c>
      <c r="K1864" s="7">
        <v>6256190</v>
      </c>
      <c r="L1864" s="7">
        <v>320746</v>
      </c>
      <c r="M1864" s="7">
        <v>19</v>
      </c>
      <c r="N1864" s="7">
        <v>1</v>
      </c>
      <c r="O1864" s="7">
        <v>0.19</v>
      </c>
    </row>
    <row r="1865" spans="1:15" x14ac:dyDescent="0.25">
      <c r="A1865" s="6" t="s">
        <v>28</v>
      </c>
      <c r="B1865" s="6" t="s">
        <v>522</v>
      </c>
      <c r="C1865" s="7">
        <v>31511</v>
      </c>
      <c r="D1865" s="6" t="s">
        <v>24</v>
      </c>
      <c r="E1865" s="6" t="s">
        <v>37</v>
      </c>
      <c r="F1865" s="6" t="s">
        <v>37</v>
      </c>
      <c r="G1865" s="6" t="s">
        <v>32</v>
      </c>
      <c r="H1865" s="6" t="s">
        <v>19</v>
      </c>
      <c r="I1865" s="6" t="s">
        <v>767</v>
      </c>
      <c r="J1865" s="6" t="s">
        <v>767</v>
      </c>
      <c r="K1865" s="7">
        <v>6271715</v>
      </c>
      <c r="L1865" s="7">
        <v>320607</v>
      </c>
      <c r="M1865" s="7">
        <v>19</v>
      </c>
      <c r="N1865" s="7">
        <v>1</v>
      </c>
      <c r="O1865" s="7">
        <v>1.1000000000000001</v>
      </c>
    </row>
    <row r="1866" spans="1:15" x14ac:dyDescent="0.25">
      <c r="A1866" s="6" t="s">
        <v>28</v>
      </c>
      <c r="B1866" s="6" t="s">
        <v>522</v>
      </c>
      <c r="C1866" s="7">
        <v>31513</v>
      </c>
      <c r="D1866" s="6" t="s">
        <v>24</v>
      </c>
      <c r="E1866" s="6" t="s">
        <v>37</v>
      </c>
      <c r="F1866" s="6" t="s">
        <v>37</v>
      </c>
      <c r="G1866" s="6" t="s">
        <v>32</v>
      </c>
      <c r="H1866" s="6" t="s">
        <v>19</v>
      </c>
      <c r="I1866" s="6" t="s">
        <v>767</v>
      </c>
      <c r="J1866" s="6" t="s">
        <v>767</v>
      </c>
      <c r="K1866" s="7">
        <v>6271889</v>
      </c>
      <c r="L1866" s="7">
        <v>320857</v>
      </c>
      <c r="M1866" s="7">
        <v>19</v>
      </c>
      <c r="N1866" s="7">
        <v>1</v>
      </c>
      <c r="O1866" s="7">
        <v>1.05</v>
      </c>
    </row>
    <row r="1867" spans="1:15" x14ac:dyDescent="0.25">
      <c r="A1867" s="6" t="s">
        <v>28</v>
      </c>
      <c r="B1867" s="6" t="s">
        <v>522</v>
      </c>
      <c r="C1867" s="7">
        <v>31516</v>
      </c>
      <c r="D1867" s="6" t="s">
        <v>24</v>
      </c>
      <c r="E1867" s="6" t="s">
        <v>37</v>
      </c>
      <c r="F1867" s="6" t="s">
        <v>37</v>
      </c>
      <c r="G1867" s="6" t="s">
        <v>32</v>
      </c>
      <c r="H1867" s="6" t="s">
        <v>19</v>
      </c>
      <c r="I1867" s="6" t="s">
        <v>767</v>
      </c>
      <c r="J1867" s="6" t="s">
        <v>767</v>
      </c>
      <c r="K1867" s="7">
        <v>6272171</v>
      </c>
      <c r="L1867" s="7">
        <v>320709</v>
      </c>
      <c r="M1867" s="7">
        <v>19</v>
      </c>
      <c r="N1867" s="7">
        <v>1</v>
      </c>
      <c r="O1867" s="7">
        <v>0.92</v>
      </c>
    </row>
    <row r="1868" spans="1:15" x14ac:dyDescent="0.25">
      <c r="A1868" s="6" t="s">
        <v>28</v>
      </c>
      <c r="B1868" s="6" t="s">
        <v>522</v>
      </c>
      <c r="C1868" s="7">
        <v>31519</v>
      </c>
      <c r="D1868" s="6" t="s">
        <v>24</v>
      </c>
      <c r="E1868" s="6" t="s">
        <v>501</v>
      </c>
      <c r="F1868" s="6" t="s">
        <v>578</v>
      </c>
      <c r="G1868" s="6" t="s">
        <v>32</v>
      </c>
      <c r="H1868" s="6" t="s">
        <v>19</v>
      </c>
      <c r="I1868" s="6" t="s">
        <v>767</v>
      </c>
      <c r="J1868" s="6" t="s">
        <v>767</v>
      </c>
      <c r="K1868" s="7">
        <v>6326957</v>
      </c>
      <c r="L1868" s="7">
        <v>324148</v>
      </c>
      <c r="M1868" s="7">
        <v>19</v>
      </c>
      <c r="N1868" s="7">
        <v>1</v>
      </c>
      <c r="O1868" s="7">
        <v>3</v>
      </c>
    </row>
    <row r="1869" spans="1:15" x14ac:dyDescent="0.25">
      <c r="A1869" s="6" t="s">
        <v>28</v>
      </c>
      <c r="B1869" s="6" t="s">
        <v>522</v>
      </c>
      <c r="C1869" s="7">
        <v>31521</v>
      </c>
      <c r="D1869" s="6" t="s">
        <v>24</v>
      </c>
      <c r="E1869" s="6" t="s">
        <v>96</v>
      </c>
      <c r="F1869" s="6" t="s">
        <v>545</v>
      </c>
      <c r="G1869" s="6" t="s">
        <v>32</v>
      </c>
      <c r="H1869" s="6" t="s">
        <v>19</v>
      </c>
      <c r="I1869" s="6" t="s">
        <v>767</v>
      </c>
      <c r="J1869" s="6" t="s">
        <v>767</v>
      </c>
      <c r="K1869" s="7">
        <v>6260433</v>
      </c>
      <c r="L1869" s="7">
        <v>346944</v>
      </c>
      <c r="M1869" s="7">
        <v>19</v>
      </c>
      <c r="N1869" s="7">
        <v>1</v>
      </c>
      <c r="O1869" s="7">
        <v>1</v>
      </c>
    </row>
    <row r="1870" spans="1:15" x14ac:dyDescent="0.25">
      <c r="A1870" s="6" t="s">
        <v>28</v>
      </c>
      <c r="B1870" s="6" t="s">
        <v>522</v>
      </c>
      <c r="C1870" s="7">
        <v>31522</v>
      </c>
      <c r="D1870" s="6" t="s">
        <v>24</v>
      </c>
      <c r="E1870" s="6" t="s">
        <v>429</v>
      </c>
      <c r="F1870" s="6" t="s">
        <v>429</v>
      </c>
      <c r="G1870" s="6" t="s">
        <v>32</v>
      </c>
      <c r="H1870" s="6" t="s">
        <v>19</v>
      </c>
      <c r="I1870" s="6" t="s">
        <v>767</v>
      </c>
      <c r="J1870" s="6" t="s">
        <v>767</v>
      </c>
      <c r="K1870" s="7">
        <v>6305555</v>
      </c>
      <c r="L1870" s="7">
        <v>331790</v>
      </c>
      <c r="M1870" s="7">
        <v>19</v>
      </c>
      <c r="N1870" s="7">
        <v>1</v>
      </c>
      <c r="O1870" s="7">
        <v>2.39</v>
      </c>
    </row>
    <row r="1871" spans="1:15" x14ac:dyDescent="0.25">
      <c r="A1871" s="6" t="s">
        <v>28</v>
      </c>
      <c r="B1871" s="6" t="s">
        <v>522</v>
      </c>
      <c r="C1871" s="7">
        <v>31526</v>
      </c>
      <c r="D1871" s="6" t="s">
        <v>24</v>
      </c>
      <c r="E1871" s="6" t="s">
        <v>429</v>
      </c>
      <c r="F1871" s="6" t="s">
        <v>491</v>
      </c>
      <c r="G1871" s="6" t="s">
        <v>32</v>
      </c>
      <c r="H1871" s="6" t="s">
        <v>19</v>
      </c>
      <c r="I1871" s="6" t="s">
        <v>767</v>
      </c>
      <c r="J1871" s="6" t="s">
        <v>767</v>
      </c>
      <c r="K1871" s="7">
        <v>6302421</v>
      </c>
      <c r="L1871" s="7">
        <v>327027</v>
      </c>
      <c r="M1871" s="7">
        <v>19</v>
      </c>
      <c r="N1871" s="7">
        <v>1</v>
      </c>
      <c r="O1871" s="7">
        <v>0.11</v>
      </c>
    </row>
    <row r="1872" spans="1:15" x14ac:dyDescent="0.25">
      <c r="A1872" s="6" t="s">
        <v>22</v>
      </c>
      <c r="B1872" s="6" t="s">
        <v>522</v>
      </c>
      <c r="C1872" s="7">
        <v>31527</v>
      </c>
      <c r="D1872" s="6" t="s">
        <v>24</v>
      </c>
      <c r="E1872" s="6" t="s">
        <v>96</v>
      </c>
      <c r="F1872" s="6" t="s">
        <v>96</v>
      </c>
      <c r="G1872" s="6" t="s">
        <v>32</v>
      </c>
      <c r="H1872" s="6" t="s">
        <v>765</v>
      </c>
      <c r="I1872" s="6" t="s">
        <v>767</v>
      </c>
      <c r="J1872" s="6" t="s">
        <v>767</v>
      </c>
      <c r="K1872" s="7">
        <v>6254768</v>
      </c>
      <c r="L1872" s="7">
        <v>339952</v>
      </c>
      <c r="M1872" s="7">
        <v>19</v>
      </c>
      <c r="N1872" s="7">
        <v>1</v>
      </c>
      <c r="O1872" s="7">
        <v>0.2</v>
      </c>
    </row>
    <row r="1873" spans="1:15" x14ac:dyDescent="0.25">
      <c r="A1873" s="6" t="s">
        <v>22</v>
      </c>
      <c r="B1873" s="6" t="s">
        <v>522</v>
      </c>
      <c r="C1873" s="7">
        <v>31566</v>
      </c>
      <c r="D1873" s="6" t="s">
        <v>24</v>
      </c>
      <c r="E1873" s="6" t="s">
        <v>25</v>
      </c>
      <c r="F1873" s="6" t="s">
        <v>445</v>
      </c>
      <c r="G1873" s="6" t="s">
        <v>89</v>
      </c>
      <c r="H1873" s="6" t="s">
        <v>765</v>
      </c>
      <c r="I1873" s="6" t="s">
        <v>767</v>
      </c>
      <c r="J1873" s="6" t="s">
        <v>767</v>
      </c>
      <c r="K1873" s="7">
        <v>6258858</v>
      </c>
      <c r="L1873" s="7">
        <v>332579</v>
      </c>
      <c r="M1873" s="7">
        <v>19</v>
      </c>
      <c r="N1873" s="7">
        <v>1</v>
      </c>
      <c r="O1873" s="7">
        <v>0.03</v>
      </c>
    </row>
    <row r="1874" spans="1:15" x14ac:dyDescent="0.25">
      <c r="A1874" s="6" t="s">
        <v>22</v>
      </c>
      <c r="B1874" s="6" t="s">
        <v>522</v>
      </c>
      <c r="C1874" s="7">
        <v>31650</v>
      </c>
      <c r="D1874" s="6" t="s">
        <v>297</v>
      </c>
      <c r="E1874" s="6" t="s">
        <v>298</v>
      </c>
      <c r="F1874" s="6" t="s">
        <v>523</v>
      </c>
      <c r="G1874" s="6" t="s">
        <v>32</v>
      </c>
      <c r="H1874" s="6" t="s">
        <v>765</v>
      </c>
      <c r="I1874" s="6" t="s">
        <v>767</v>
      </c>
      <c r="J1874" s="6" t="s">
        <v>767</v>
      </c>
      <c r="K1874" s="7">
        <v>7952329</v>
      </c>
      <c r="L1874" s="7">
        <v>371477</v>
      </c>
      <c r="M1874" s="7">
        <v>19</v>
      </c>
      <c r="N1874" s="7">
        <v>1</v>
      </c>
      <c r="O1874" s="7">
        <v>0.02</v>
      </c>
    </row>
    <row r="1875" spans="1:15" x14ac:dyDescent="0.25">
      <c r="A1875" s="6" t="s">
        <v>22</v>
      </c>
      <c r="B1875" s="6" t="s">
        <v>522</v>
      </c>
      <c r="C1875" s="7">
        <v>31655</v>
      </c>
      <c r="D1875" s="6" t="s">
        <v>272</v>
      </c>
      <c r="E1875" s="6" t="s">
        <v>588</v>
      </c>
      <c r="F1875" s="6" t="s">
        <v>589</v>
      </c>
      <c r="G1875" s="6" t="s">
        <v>32</v>
      </c>
      <c r="H1875" s="6" t="s">
        <v>765</v>
      </c>
      <c r="I1875" s="6" t="s">
        <v>767</v>
      </c>
      <c r="J1875" s="6" t="s">
        <v>767</v>
      </c>
      <c r="K1875" s="7">
        <v>5535380</v>
      </c>
      <c r="L1875" s="7">
        <v>691685</v>
      </c>
      <c r="M1875" s="7">
        <v>18</v>
      </c>
      <c r="N1875" s="7">
        <v>1</v>
      </c>
      <c r="O1875" s="7">
        <v>0.36</v>
      </c>
    </row>
    <row r="1876" spans="1:15" x14ac:dyDescent="0.25">
      <c r="A1876" s="6" t="s">
        <v>28</v>
      </c>
      <c r="B1876" s="6" t="s">
        <v>522</v>
      </c>
      <c r="C1876" s="7">
        <v>31666</v>
      </c>
      <c r="D1876" s="6" t="s">
        <v>24</v>
      </c>
      <c r="E1876" s="6" t="s">
        <v>427</v>
      </c>
      <c r="F1876" s="6" t="s">
        <v>443</v>
      </c>
      <c r="G1876" s="6" t="s">
        <v>32</v>
      </c>
      <c r="H1876" s="6" t="s">
        <v>19</v>
      </c>
      <c r="I1876" s="6" t="s">
        <v>767</v>
      </c>
      <c r="J1876" s="6" t="s">
        <v>767</v>
      </c>
      <c r="K1876" s="7">
        <v>6265419</v>
      </c>
      <c r="L1876" s="7">
        <v>324615</v>
      </c>
      <c r="M1876" s="7">
        <v>19</v>
      </c>
      <c r="N1876" s="7">
        <v>1</v>
      </c>
      <c r="O1876" s="7">
        <v>0.98</v>
      </c>
    </row>
    <row r="1877" spans="1:15" x14ac:dyDescent="0.25">
      <c r="A1877" s="6" t="s">
        <v>28</v>
      </c>
      <c r="B1877" s="6" t="s">
        <v>522</v>
      </c>
      <c r="C1877" s="7">
        <v>31667</v>
      </c>
      <c r="D1877" s="6" t="s">
        <v>24</v>
      </c>
      <c r="E1877" s="6" t="s">
        <v>427</v>
      </c>
      <c r="F1877" s="6" t="s">
        <v>443</v>
      </c>
      <c r="G1877" s="6" t="s">
        <v>32</v>
      </c>
      <c r="H1877" s="6" t="s">
        <v>19</v>
      </c>
      <c r="I1877" s="6" t="s">
        <v>767</v>
      </c>
      <c r="J1877" s="6" t="s">
        <v>767</v>
      </c>
      <c r="K1877" s="7">
        <v>6266946</v>
      </c>
      <c r="L1877" s="7">
        <v>323802</v>
      </c>
      <c r="M1877" s="7">
        <v>19</v>
      </c>
      <c r="N1877" s="7">
        <v>1</v>
      </c>
      <c r="O1877" s="7">
        <v>1.05</v>
      </c>
    </row>
    <row r="1878" spans="1:15" x14ac:dyDescent="0.25">
      <c r="A1878" s="6" t="s">
        <v>28</v>
      </c>
      <c r="B1878" s="6" t="s">
        <v>522</v>
      </c>
      <c r="C1878" s="7">
        <v>31670</v>
      </c>
      <c r="D1878" s="6" t="s">
        <v>24</v>
      </c>
      <c r="E1878" s="6" t="s">
        <v>427</v>
      </c>
      <c r="F1878" s="6" t="s">
        <v>443</v>
      </c>
      <c r="G1878" s="6" t="s">
        <v>32</v>
      </c>
      <c r="H1878" s="6" t="s">
        <v>19</v>
      </c>
      <c r="I1878" s="6" t="s">
        <v>767</v>
      </c>
      <c r="J1878" s="6" t="s">
        <v>767</v>
      </c>
      <c r="K1878" s="7">
        <v>6266361</v>
      </c>
      <c r="L1878" s="7">
        <v>324355</v>
      </c>
      <c r="M1878" s="7">
        <v>19</v>
      </c>
      <c r="N1878" s="7">
        <v>1</v>
      </c>
      <c r="O1878" s="7">
        <v>0.94</v>
      </c>
    </row>
    <row r="1879" spans="1:15" x14ac:dyDescent="0.25">
      <c r="A1879" s="6" t="s">
        <v>14</v>
      </c>
      <c r="B1879" s="6" t="s">
        <v>522</v>
      </c>
      <c r="C1879" s="7">
        <v>31676</v>
      </c>
      <c r="D1879" s="6" t="s">
        <v>24</v>
      </c>
      <c r="E1879" s="6" t="s">
        <v>429</v>
      </c>
      <c r="F1879" s="6" t="s">
        <v>590</v>
      </c>
      <c r="G1879" s="6" t="s">
        <v>32</v>
      </c>
      <c r="H1879" s="6" t="s">
        <v>33</v>
      </c>
      <c r="I1879" s="6" t="s">
        <v>767</v>
      </c>
      <c r="J1879" s="6" t="s">
        <v>767</v>
      </c>
      <c r="K1879" s="7">
        <v>6303350</v>
      </c>
      <c r="L1879" s="7">
        <v>324554</v>
      </c>
      <c r="M1879" s="7">
        <v>19</v>
      </c>
      <c r="N1879" s="7">
        <v>1</v>
      </c>
      <c r="O1879" s="7">
        <v>0.36</v>
      </c>
    </row>
    <row r="1880" spans="1:15" x14ac:dyDescent="0.25">
      <c r="A1880" s="6" t="s">
        <v>14</v>
      </c>
      <c r="B1880" s="6" t="s">
        <v>522</v>
      </c>
      <c r="C1880" s="7">
        <v>31677</v>
      </c>
      <c r="D1880" s="6" t="s">
        <v>24</v>
      </c>
      <c r="E1880" s="6" t="s">
        <v>429</v>
      </c>
      <c r="F1880" s="6" t="s">
        <v>590</v>
      </c>
      <c r="G1880" s="6" t="s">
        <v>32</v>
      </c>
      <c r="H1880" s="6" t="s">
        <v>33</v>
      </c>
      <c r="I1880" s="6" t="s">
        <v>767</v>
      </c>
      <c r="J1880" s="6" t="s">
        <v>767</v>
      </c>
      <c r="K1880" s="7">
        <v>6303335</v>
      </c>
      <c r="L1880" s="7">
        <v>324357</v>
      </c>
      <c r="M1880" s="7">
        <v>19</v>
      </c>
      <c r="N1880" s="7">
        <v>1</v>
      </c>
      <c r="O1880" s="7">
        <v>0.34</v>
      </c>
    </row>
    <row r="1881" spans="1:15" x14ac:dyDescent="0.25">
      <c r="A1881" s="6" t="s">
        <v>14</v>
      </c>
      <c r="B1881" s="6" t="s">
        <v>522</v>
      </c>
      <c r="C1881" s="7">
        <v>31699</v>
      </c>
      <c r="D1881" s="6" t="s">
        <v>24</v>
      </c>
      <c r="E1881" s="6" t="s">
        <v>436</v>
      </c>
      <c r="F1881" s="6" t="s">
        <v>436</v>
      </c>
      <c r="G1881" s="6" t="s">
        <v>32</v>
      </c>
      <c r="H1881" s="6" t="s">
        <v>33</v>
      </c>
      <c r="I1881" s="6" t="s">
        <v>767</v>
      </c>
      <c r="J1881" s="6" t="s">
        <v>767</v>
      </c>
      <c r="K1881" s="7">
        <v>6277835</v>
      </c>
      <c r="L1881" s="7">
        <v>333811</v>
      </c>
      <c r="M1881" s="7">
        <v>19</v>
      </c>
      <c r="N1881" s="7">
        <v>1</v>
      </c>
      <c r="O1881" s="7">
        <v>0.36</v>
      </c>
    </row>
    <row r="1882" spans="1:15" x14ac:dyDescent="0.25">
      <c r="A1882" s="6" t="s">
        <v>14</v>
      </c>
      <c r="B1882" s="6" t="s">
        <v>522</v>
      </c>
      <c r="C1882" s="7">
        <v>31700</v>
      </c>
      <c r="D1882" s="6" t="s">
        <v>24</v>
      </c>
      <c r="E1882" s="6" t="s">
        <v>436</v>
      </c>
      <c r="F1882" s="6" t="s">
        <v>436</v>
      </c>
      <c r="G1882" s="6" t="s">
        <v>32</v>
      </c>
      <c r="H1882" s="6" t="s">
        <v>33</v>
      </c>
      <c r="I1882" s="6" t="s">
        <v>767</v>
      </c>
      <c r="J1882" s="6" t="s">
        <v>767</v>
      </c>
      <c r="K1882" s="7">
        <v>6277835</v>
      </c>
      <c r="L1882" s="7">
        <v>333811</v>
      </c>
      <c r="M1882" s="7">
        <v>19</v>
      </c>
      <c r="N1882" s="7">
        <v>1</v>
      </c>
      <c r="O1882" s="7">
        <v>0.35</v>
      </c>
    </row>
    <row r="1883" spans="1:15" x14ac:dyDescent="0.25">
      <c r="A1883" s="6" t="s">
        <v>14</v>
      </c>
      <c r="B1883" s="6" t="s">
        <v>522</v>
      </c>
      <c r="C1883" s="7">
        <v>31701</v>
      </c>
      <c r="D1883" s="6" t="s">
        <v>24</v>
      </c>
      <c r="E1883" s="6" t="s">
        <v>436</v>
      </c>
      <c r="F1883" s="6" t="s">
        <v>436</v>
      </c>
      <c r="G1883" s="6" t="s">
        <v>32</v>
      </c>
      <c r="H1883" s="6" t="s">
        <v>33</v>
      </c>
      <c r="I1883" s="6" t="s">
        <v>767</v>
      </c>
      <c r="J1883" s="6" t="s">
        <v>767</v>
      </c>
      <c r="K1883" s="7">
        <v>6277835</v>
      </c>
      <c r="L1883" s="7">
        <v>333811</v>
      </c>
      <c r="M1883" s="7">
        <v>19</v>
      </c>
      <c r="N1883" s="7">
        <v>1</v>
      </c>
      <c r="O1883" s="7">
        <v>0.35</v>
      </c>
    </row>
    <row r="1884" spans="1:15" x14ac:dyDescent="0.25">
      <c r="A1884" s="6" t="s">
        <v>14</v>
      </c>
      <c r="B1884" s="6" t="s">
        <v>522</v>
      </c>
      <c r="C1884" s="7">
        <v>31702</v>
      </c>
      <c r="D1884" s="6" t="s">
        <v>24</v>
      </c>
      <c r="E1884" s="6" t="s">
        <v>31</v>
      </c>
      <c r="F1884" s="6" t="s">
        <v>563</v>
      </c>
      <c r="G1884" s="6" t="s">
        <v>32</v>
      </c>
      <c r="H1884" s="6" t="s">
        <v>33</v>
      </c>
      <c r="I1884" s="6" t="s">
        <v>767</v>
      </c>
      <c r="J1884" s="6" t="s">
        <v>767</v>
      </c>
      <c r="K1884" s="7">
        <v>6273105</v>
      </c>
      <c r="L1884" s="7">
        <v>305363</v>
      </c>
      <c r="M1884" s="7">
        <v>19</v>
      </c>
      <c r="N1884" s="7">
        <v>1</v>
      </c>
      <c r="O1884" s="7">
        <v>0.44</v>
      </c>
    </row>
    <row r="1885" spans="1:15" x14ac:dyDescent="0.25">
      <c r="A1885" s="6" t="s">
        <v>14</v>
      </c>
      <c r="B1885" s="6" t="s">
        <v>522</v>
      </c>
      <c r="C1885" s="7">
        <v>31703</v>
      </c>
      <c r="D1885" s="6" t="s">
        <v>24</v>
      </c>
      <c r="E1885" s="6" t="s">
        <v>436</v>
      </c>
      <c r="F1885" s="6" t="s">
        <v>436</v>
      </c>
      <c r="G1885" s="6" t="s">
        <v>32</v>
      </c>
      <c r="H1885" s="6" t="s">
        <v>33</v>
      </c>
      <c r="I1885" s="6" t="s">
        <v>767</v>
      </c>
      <c r="J1885" s="6" t="s">
        <v>767</v>
      </c>
      <c r="K1885" s="7">
        <v>6277807</v>
      </c>
      <c r="L1885" s="7">
        <v>333341</v>
      </c>
      <c r="M1885" s="7">
        <v>19</v>
      </c>
      <c r="N1885" s="7">
        <v>1</v>
      </c>
      <c r="O1885" s="7">
        <v>0.4</v>
      </c>
    </row>
    <row r="1886" spans="1:15" x14ac:dyDescent="0.25">
      <c r="A1886" s="6" t="s">
        <v>14</v>
      </c>
      <c r="B1886" s="6" t="s">
        <v>522</v>
      </c>
      <c r="C1886" s="7">
        <v>31704</v>
      </c>
      <c r="D1886" s="6" t="s">
        <v>24</v>
      </c>
      <c r="E1886" s="6" t="s">
        <v>436</v>
      </c>
      <c r="F1886" s="6" t="s">
        <v>436</v>
      </c>
      <c r="G1886" s="6" t="s">
        <v>32</v>
      </c>
      <c r="H1886" s="6" t="s">
        <v>33</v>
      </c>
      <c r="I1886" s="6" t="s">
        <v>767</v>
      </c>
      <c r="J1886" s="6" t="s">
        <v>767</v>
      </c>
      <c r="K1886" s="7">
        <v>6277807</v>
      </c>
      <c r="L1886" s="7">
        <v>333341</v>
      </c>
      <c r="M1886" s="7">
        <v>19</v>
      </c>
      <c r="N1886" s="7">
        <v>1</v>
      </c>
      <c r="O1886" s="7">
        <v>0.4</v>
      </c>
    </row>
    <row r="1887" spans="1:15" x14ac:dyDescent="0.25">
      <c r="A1887" s="6" t="s">
        <v>14</v>
      </c>
      <c r="B1887" s="6" t="s">
        <v>522</v>
      </c>
      <c r="C1887" s="7">
        <v>31705</v>
      </c>
      <c r="D1887" s="6" t="s">
        <v>24</v>
      </c>
      <c r="E1887" s="6" t="s">
        <v>31</v>
      </c>
      <c r="F1887" s="6" t="s">
        <v>563</v>
      </c>
      <c r="G1887" s="6" t="s">
        <v>32</v>
      </c>
      <c r="H1887" s="6" t="s">
        <v>33</v>
      </c>
      <c r="I1887" s="6" t="s">
        <v>767</v>
      </c>
      <c r="J1887" s="6" t="s">
        <v>767</v>
      </c>
      <c r="K1887" s="7">
        <v>6273056</v>
      </c>
      <c r="L1887" s="7">
        <v>305673</v>
      </c>
      <c r="M1887" s="7">
        <v>19</v>
      </c>
      <c r="N1887" s="7">
        <v>1</v>
      </c>
      <c r="O1887" s="7">
        <v>0.41</v>
      </c>
    </row>
    <row r="1888" spans="1:15" x14ac:dyDescent="0.25">
      <c r="A1888" s="6" t="s">
        <v>14</v>
      </c>
      <c r="B1888" s="6" t="s">
        <v>522</v>
      </c>
      <c r="C1888" s="7">
        <v>31706</v>
      </c>
      <c r="D1888" s="6" t="s">
        <v>24</v>
      </c>
      <c r="E1888" s="6" t="s">
        <v>436</v>
      </c>
      <c r="F1888" s="6" t="s">
        <v>436</v>
      </c>
      <c r="G1888" s="6" t="s">
        <v>32</v>
      </c>
      <c r="H1888" s="6" t="s">
        <v>33</v>
      </c>
      <c r="I1888" s="6" t="s">
        <v>767</v>
      </c>
      <c r="J1888" s="6" t="s">
        <v>767</v>
      </c>
      <c r="K1888" s="7">
        <v>6277807</v>
      </c>
      <c r="L1888" s="7">
        <v>333341</v>
      </c>
      <c r="M1888" s="7">
        <v>19</v>
      </c>
      <c r="N1888" s="7">
        <v>1</v>
      </c>
      <c r="O1888" s="7">
        <v>0.4</v>
      </c>
    </row>
    <row r="1889" spans="1:15" x14ac:dyDescent="0.25">
      <c r="A1889" s="6" t="s">
        <v>14</v>
      </c>
      <c r="B1889" s="6" t="s">
        <v>522</v>
      </c>
      <c r="C1889" s="7">
        <v>31707</v>
      </c>
      <c r="D1889" s="6" t="s">
        <v>24</v>
      </c>
      <c r="E1889" s="6" t="s">
        <v>31</v>
      </c>
      <c r="F1889" s="6" t="s">
        <v>563</v>
      </c>
      <c r="G1889" s="6" t="s">
        <v>32</v>
      </c>
      <c r="H1889" s="6" t="s">
        <v>33</v>
      </c>
      <c r="I1889" s="6" t="s">
        <v>767</v>
      </c>
      <c r="J1889" s="6" t="s">
        <v>767</v>
      </c>
      <c r="K1889" s="7">
        <v>6272822</v>
      </c>
      <c r="L1889" s="7">
        <v>305551</v>
      </c>
      <c r="M1889" s="7">
        <v>19</v>
      </c>
      <c r="N1889" s="7">
        <v>1</v>
      </c>
      <c r="O1889" s="7">
        <v>0.43</v>
      </c>
    </row>
    <row r="1890" spans="1:15" x14ac:dyDescent="0.25">
      <c r="A1890" s="6" t="s">
        <v>14</v>
      </c>
      <c r="B1890" s="6" t="s">
        <v>522</v>
      </c>
      <c r="C1890" s="7">
        <v>31708</v>
      </c>
      <c r="D1890" s="6" t="s">
        <v>24</v>
      </c>
      <c r="E1890" s="6" t="s">
        <v>436</v>
      </c>
      <c r="F1890" s="6" t="s">
        <v>436</v>
      </c>
      <c r="G1890" s="6" t="s">
        <v>32</v>
      </c>
      <c r="H1890" s="6" t="s">
        <v>33</v>
      </c>
      <c r="I1890" s="6" t="s">
        <v>767</v>
      </c>
      <c r="J1890" s="6" t="s">
        <v>767</v>
      </c>
      <c r="K1890" s="7">
        <v>6277807</v>
      </c>
      <c r="L1890" s="7">
        <v>333341</v>
      </c>
      <c r="M1890" s="7">
        <v>19</v>
      </c>
      <c r="N1890" s="7">
        <v>1</v>
      </c>
      <c r="O1890" s="7">
        <v>0.4</v>
      </c>
    </row>
    <row r="1891" spans="1:15" x14ac:dyDescent="0.25">
      <c r="A1891" s="6" t="s">
        <v>28</v>
      </c>
      <c r="B1891" s="6" t="s">
        <v>522</v>
      </c>
      <c r="C1891" s="7">
        <v>31710</v>
      </c>
      <c r="D1891" s="6" t="s">
        <v>24</v>
      </c>
      <c r="E1891" s="6" t="s">
        <v>37</v>
      </c>
      <c r="F1891" s="6" t="s">
        <v>37</v>
      </c>
      <c r="G1891" s="6" t="s">
        <v>32</v>
      </c>
      <c r="H1891" s="6" t="s">
        <v>19</v>
      </c>
      <c r="I1891" s="6" t="s">
        <v>767</v>
      </c>
      <c r="J1891" s="6" t="s">
        <v>767</v>
      </c>
      <c r="K1891" s="7">
        <v>6269121</v>
      </c>
      <c r="L1891" s="7">
        <v>318837</v>
      </c>
      <c r="M1891" s="7">
        <v>19</v>
      </c>
      <c r="N1891" s="7">
        <v>1</v>
      </c>
      <c r="O1891" s="7">
        <v>6.1</v>
      </c>
    </row>
    <row r="1892" spans="1:15" x14ac:dyDescent="0.25">
      <c r="A1892" s="6" t="s">
        <v>28</v>
      </c>
      <c r="B1892" s="6" t="s">
        <v>522</v>
      </c>
      <c r="C1892" s="7">
        <v>31711</v>
      </c>
      <c r="D1892" s="6" t="s">
        <v>24</v>
      </c>
      <c r="E1892" s="6" t="s">
        <v>96</v>
      </c>
      <c r="F1892" s="6" t="s">
        <v>550</v>
      </c>
      <c r="G1892" s="6" t="s">
        <v>32</v>
      </c>
      <c r="H1892" s="6" t="s">
        <v>19</v>
      </c>
      <c r="I1892" s="6" t="s">
        <v>767</v>
      </c>
      <c r="J1892" s="6" t="s">
        <v>767</v>
      </c>
      <c r="K1892" s="7">
        <v>6250253</v>
      </c>
      <c r="L1892" s="7">
        <v>346731</v>
      </c>
      <c r="M1892" s="7">
        <v>19</v>
      </c>
      <c r="N1892" s="7">
        <v>1</v>
      </c>
      <c r="O1892" s="7">
        <v>0.3</v>
      </c>
    </row>
    <row r="1893" spans="1:15" x14ac:dyDescent="0.25">
      <c r="A1893" s="6" t="s">
        <v>28</v>
      </c>
      <c r="B1893" s="6" t="s">
        <v>522</v>
      </c>
      <c r="C1893" s="7">
        <v>31712</v>
      </c>
      <c r="D1893" s="6" t="s">
        <v>24</v>
      </c>
      <c r="E1893" s="6" t="s">
        <v>427</v>
      </c>
      <c r="F1893" s="6" t="s">
        <v>443</v>
      </c>
      <c r="G1893" s="6" t="s">
        <v>32</v>
      </c>
      <c r="H1893" s="6" t="s">
        <v>153</v>
      </c>
      <c r="I1893" s="6" t="s">
        <v>767</v>
      </c>
      <c r="J1893" s="6" t="s">
        <v>764</v>
      </c>
      <c r="K1893" s="7">
        <v>6266548</v>
      </c>
      <c r="L1893" s="7">
        <v>323465</v>
      </c>
      <c r="M1893" s="7">
        <v>19</v>
      </c>
      <c r="N1893" s="7">
        <v>1</v>
      </c>
      <c r="O1893" s="7">
        <v>3.6</v>
      </c>
    </row>
    <row r="1894" spans="1:15" x14ac:dyDescent="0.25">
      <c r="A1894" s="6" t="s">
        <v>28</v>
      </c>
      <c r="B1894" s="6" t="s">
        <v>522</v>
      </c>
      <c r="C1894" s="7">
        <v>31713</v>
      </c>
      <c r="D1894" s="6" t="s">
        <v>24</v>
      </c>
      <c r="E1894" s="6" t="s">
        <v>38</v>
      </c>
      <c r="F1894" s="6" t="s">
        <v>38</v>
      </c>
      <c r="G1894" s="6" t="s">
        <v>32</v>
      </c>
      <c r="H1894" s="6" t="s">
        <v>19</v>
      </c>
      <c r="I1894" s="6" t="s">
        <v>767</v>
      </c>
      <c r="J1894" s="6" t="s">
        <v>767</v>
      </c>
      <c r="K1894" s="7">
        <v>6272079</v>
      </c>
      <c r="L1894" s="7">
        <v>307663</v>
      </c>
      <c r="M1894" s="7">
        <v>19</v>
      </c>
      <c r="N1894" s="7">
        <v>1</v>
      </c>
      <c r="O1894" s="7">
        <v>0.9</v>
      </c>
    </row>
    <row r="1895" spans="1:15" x14ac:dyDescent="0.25">
      <c r="A1895" s="6" t="s">
        <v>28</v>
      </c>
      <c r="B1895" s="6" t="s">
        <v>522</v>
      </c>
      <c r="C1895" s="7">
        <v>31714</v>
      </c>
      <c r="D1895" s="6" t="s">
        <v>24</v>
      </c>
      <c r="E1895" s="6" t="s">
        <v>427</v>
      </c>
      <c r="F1895" s="6" t="s">
        <v>443</v>
      </c>
      <c r="G1895" s="6" t="s">
        <v>32</v>
      </c>
      <c r="H1895" s="6" t="s">
        <v>19</v>
      </c>
      <c r="I1895" s="6" t="s">
        <v>767</v>
      </c>
      <c r="J1895" s="6" t="s">
        <v>767</v>
      </c>
      <c r="K1895" s="7">
        <v>6265750</v>
      </c>
      <c r="L1895" s="7">
        <v>324249</v>
      </c>
      <c r="M1895" s="7">
        <v>19</v>
      </c>
      <c r="N1895" s="7">
        <v>1</v>
      </c>
      <c r="O1895" s="7">
        <v>1.6</v>
      </c>
    </row>
    <row r="1896" spans="1:15" x14ac:dyDescent="0.25">
      <c r="A1896" s="6" t="s">
        <v>14</v>
      </c>
      <c r="B1896" s="6" t="s">
        <v>522</v>
      </c>
      <c r="C1896" s="7">
        <v>31715</v>
      </c>
      <c r="D1896" s="6" t="s">
        <v>24</v>
      </c>
      <c r="E1896" s="6" t="s">
        <v>56</v>
      </c>
      <c r="F1896" s="6" t="s">
        <v>418</v>
      </c>
      <c r="G1896" s="6" t="s">
        <v>32</v>
      </c>
      <c r="H1896" s="6" t="s">
        <v>33</v>
      </c>
      <c r="I1896" s="6" t="s">
        <v>767</v>
      </c>
      <c r="J1896" s="6" t="s">
        <v>767</v>
      </c>
      <c r="K1896" s="7">
        <v>6271216</v>
      </c>
      <c r="L1896" s="7">
        <v>335656</v>
      </c>
      <c r="M1896" s="7">
        <v>19</v>
      </c>
      <c r="N1896" s="7">
        <v>1</v>
      </c>
      <c r="O1896" s="7">
        <v>0.33</v>
      </c>
    </row>
    <row r="1897" spans="1:15" x14ac:dyDescent="0.25">
      <c r="A1897" s="6" t="s">
        <v>28</v>
      </c>
      <c r="B1897" s="6" t="s">
        <v>522</v>
      </c>
      <c r="C1897" s="7">
        <v>31716</v>
      </c>
      <c r="D1897" s="6" t="s">
        <v>24</v>
      </c>
      <c r="E1897" s="6" t="s">
        <v>96</v>
      </c>
      <c r="F1897" s="6" t="s">
        <v>550</v>
      </c>
      <c r="G1897" s="6" t="s">
        <v>32</v>
      </c>
      <c r="H1897" s="6" t="s">
        <v>19</v>
      </c>
      <c r="I1897" s="6" t="s">
        <v>767</v>
      </c>
      <c r="J1897" s="6" t="s">
        <v>767</v>
      </c>
      <c r="K1897" s="7">
        <v>6250452</v>
      </c>
      <c r="L1897" s="7">
        <v>347014</v>
      </c>
      <c r="M1897" s="7">
        <v>19</v>
      </c>
      <c r="N1897" s="7">
        <v>1</v>
      </c>
      <c r="O1897" s="7">
        <v>0.15</v>
      </c>
    </row>
    <row r="1898" spans="1:15" x14ac:dyDescent="0.25">
      <c r="A1898" s="6" t="s">
        <v>14</v>
      </c>
      <c r="B1898" s="6" t="s">
        <v>522</v>
      </c>
      <c r="C1898" s="7">
        <v>31717</v>
      </c>
      <c r="D1898" s="6" t="s">
        <v>24</v>
      </c>
      <c r="E1898" s="6" t="s">
        <v>96</v>
      </c>
      <c r="F1898" s="6" t="s">
        <v>96</v>
      </c>
      <c r="G1898" s="6" t="s">
        <v>32</v>
      </c>
      <c r="H1898" s="6" t="s">
        <v>33</v>
      </c>
      <c r="I1898" s="6" t="s">
        <v>767</v>
      </c>
      <c r="J1898" s="6" t="s">
        <v>767</v>
      </c>
      <c r="K1898" s="7">
        <v>6256298</v>
      </c>
      <c r="L1898" s="7">
        <v>342586</v>
      </c>
      <c r="M1898" s="7">
        <v>19</v>
      </c>
      <c r="N1898" s="7">
        <v>1</v>
      </c>
      <c r="O1898" s="7">
        <v>0.42</v>
      </c>
    </row>
    <row r="1899" spans="1:15" x14ac:dyDescent="0.25">
      <c r="A1899" s="6" t="s">
        <v>28</v>
      </c>
      <c r="B1899" s="6" t="s">
        <v>522</v>
      </c>
      <c r="C1899" s="7">
        <v>31718</v>
      </c>
      <c r="D1899" s="6" t="s">
        <v>24</v>
      </c>
      <c r="E1899" s="6" t="s">
        <v>449</v>
      </c>
      <c r="F1899" s="6" t="s">
        <v>449</v>
      </c>
      <c r="G1899" s="6" t="s">
        <v>32</v>
      </c>
      <c r="H1899" s="6" t="s">
        <v>19</v>
      </c>
      <c r="I1899" s="6" t="s">
        <v>767</v>
      </c>
      <c r="J1899" s="6" t="s">
        <v>767</v>
      </c>
      <c r="K1899" s="7">
        <v>6271705</v>
      </c>
      <c r="L1899" s="7">
        <v>321305</v>
      </c>
      <c r="M1899" s="7">
        <v>19</v>
      </c>
      <c r="N1899" s="7">
        <v>1</v>
      </c>
      <c r="O1899" s="7">
        <v>2.4</v>
      </c>
    </row>
    <row r="1900" spans="1:15" x14ac:dyDescent="0.25">
      <c r="A1900" s="6" t="s">
        <v>28</v>
      </c>
      <c r="B1900" s="6" t="s">
        <v>522</v>
      </c>
      <c r="C1900" s="7">
        <v>31720</v>
      </c>
      <c r="D1900" s="6" t="s">
        <v>24</v>
      </c>
      <c r="E1900" s="6" t="s">
        <v>31</v>
      </c>
      <c r="F1900" s="6" t="s">
        <v>576</v>
      </c>
      <c r="G1900" s="6" t="s">
        <v>32</v>
      </c>
      <c r="H1900" s="6" t="s">
        <v>19</v>
      </c>
      <c r="I1900" s="6" t="s">
        <v>767</v>
      </c>
      <c r="J1900" s="6" t="s">
        <v>767</v>
      </c>
      <c r="K1900" s="7">
        <v>6268091</v>
      </c>
      <c r="L1900" s="7">
        <v>308282</v>
      </c>
      <c r="M1900" s="7">
        <v>19</v>
      </c>
      <c r="N1900" s="7">
        <v>1</v>
      </c>
      <c r="O1900" s="7">
        <v>1.7</v>
      </c>
    </row>
    <row r="1901" spans="1:15" x14ac:dyDescent="0.25">
      <c r="A1901" s="6" t="s">
        <v>28</v>
      </c>
      <c r="B1901" s="6" t="s">
        <v>522</v>
      </c>
      <c r="C1901" s="7">
        <v>31721</v>
      </c>
      <c r="D1901" s="6" t="s">
        <v>24</v>
      </c>
      <c r="E1901" s="6" t="s">
        <v>37</v>
      </c>
      <c r="F1901" s="6" t="s">
        <v>37</v>
      </c>
      <c r="G1901" s="6" t="s">
        <v>32</v>
      </c>
      <c r="H1901" s="6" t="s">
        <v>153</v>
      </c>
      <c r="I1901" s="6" t="s">
        <v>767</v>
      </c>
      <c r="J1901" s="6" t="s">
        <v>764</v>
      </c>
      <c r="K1901" s="7">
        <v>6272027</v>
      </c>
      <c r="L1901" s="7">
        <v>306782</v>
      </c>
      <c r="M1901" s="7">
        <v>19</v>
      </c>
      <c r="N1901" s="7">
        <v>1</v>
      </c>
      <c r="O1901" s="7">
        <v>4.8</v>
      </c>
    </row>
    <row r="1902" spans="1:15" x14ac:dyDescent="0.25">
      <c r="A1902" s="6" t="s">
        <v>28</v>
      </c>
      <c r="B1902" s="6" t="s">
        <v>522</v>
      </c>
      <c r="C1902" s="7">
        <v>31722</v>
      </c>
      <c r="D1902" s="6" t="s">
        <v>24</v>
      </c>
      <c r="E1902" s="6" t="s">
        <v>96</v>
      </c>
      <c r="F1902" s="6" t="s">
        <v>545</v>
      </c>
      <c r="G1902" s="6" t="s">
        <v>32</v>
      </c>
      <c r="H1902" s="6" t="s">
        <v>19</v>
      </c>
      <c r="I1902" s="6" t="s">
        <v>767</v>
      </c>
      <c r="J1902" s="6" t="s">
        <v>767</v>
      </c>
      <c r="K1902" s="7">
        <v>6256712</v>
      </c>
      <c r="L1902" s="7">
        <v>347748</v>
      </c>
      <c r="M1902" s="7">
        <v>19</v>
      </c>
      <c r="N1902" s="7">
        <v>1</v>
      </c>
      <c r="O1902" s="7">
        <v>0.32</v>
      </c>
    </row>
    <row r="1903" spans="1:15" x14ac:dyDescent="0.25">
      <c r="A1903" s="6" t="s">
        <v>28</v>
      </c>
      <c r="B1903" s="6" t="s">
        <v>522</v>
      </c>
      <c r="C1903" s="7">
        <v>31723</v>
      </c>
      <c r="D1903" s="6" t="s">
        <v>24</v>
      </c>
      <c r="E1903" s="6" t="s">
        <v>96</v>
      </c>
      <c r="F1903" s="6" t="s">
        <v>545</v>
      </c>
      <c r="G1903" s="6" t="s">
        <v>32</v>
      </c>
      <c r="H1903" s="6" t="s">
        <v>19</v>
      </c>
      <c r="I1903" s="6" t="s">
        <v>767</v>
      </c>
      <c r="J1903" s="6" t="s">
        <v>767</v>
      </c>
      <c r="K1903" s="7">
        <v>6257043</v>
      </c>
      <c r="L1903" s="7">
        <v>347708</v>
      </c>
      <c r="M1903" s="7">
        <v>19</v>
      </c>
      <c r="N1903" s="7">
        <v>1</v>
      </c>
      <c r="O1903" s="7">
        <v>0.9</v>
      </c>
    </row>
    <row r="1904" spans="1:15" x14ac:dyDescent="0.25">
      <c r="A1904" s="6" t="s">
        <v>28</v>
      </c>
      <c r="B1904" s="6" t="s">
        <v>522</v>
      </c>
      <c r="C1904" s="7">
        <v>31724</v>
      </c>
      <c r="D1904" s="6" t="s">
        <v>24</v>
      </c>
      <c r="E1904" s="6" t="s">
        <v>427</v>
      </c>
      <c r="F1904" s="6" t="s">
        <v>443</v>
      </c>
      <c r="G1904" s="6" t="s">
        <v>32</v>
      </c>
      <c r="H1904" s="6" t="s">
        <v>19</v>
      </c>
      <c r="I1904" s="6" t="s">
        <v>767</v>
      </c>
      <c r="J1904" s="6" t="s">
        <v>767</v>
      </c>
      <c r="K1904" s="7">
        <v>6265711</v>
      </c>
      <c r="L1904" s="7">
        <v>324717</v>
      </c>
      <c r="M1904" s="7">
        <v>19</v>
      </c>
      <c r="N1904" s="7">
        <v>1</v>
      </c>
      <c r="O1904" s="7">
        <v>1.6</v>
      </c>
    </row>
    <row r="1905" spans="1:15" x14ac:dyDescent="0.25">
      <c r="A1905" s="6" t="s">
        <v>28</v>
      </c>
      <c r="B1905" s="6" t="s">
        <v>522</v>
      </c>
      <c r="C1905" s="7">
        <v>31725</v>
      </c>
      <c r="D1905" s="6" t="s">
        <v>24</v>
      </c>
      <c r="E1905" s="6" t="s">
        <v>62</v>
      </c>
      <c r="F1905" s="6" t="s">
        <v>416</v>
      </c>
      <c r="G1905" s="6" t="s">
        <v>32</v>
      </c>
      <c r="H1905" s="6" t="s">
        <v>19</v>
      </c>
      <c r="I1905" s="6" t="s">
        <v>767</v>
      </c>
      <c r="J1905" s="6" t="s">
        <v>767</v>
      </c>
      <c r="K1905" s="7">
        <v>6279170</v>
      </c>
      <c r="L1905" s="7">
        <v>327850</v>
      </c>
      <c r="M1905" s="7">
        <v>19</v>
      </c>
      <c r="N1905" s="7">
        <v>1</v>
      </c>
      <c r="O1905" s="7">
        <v>1.1000000000000001</v>
      </c>
    </row>
    <row r="1906" spans="1:15" x14ac:dyDescent="0.25">
      <c r="A1906" s="6" t="s">
        <v>22</v>
      </c>
      <c r="B1906" s="6" t="s">
        <v>522</v>
      </c>
      <c r="C1906" s="7">
        <v>31757</v>
      </c>
      <c r="D1906" s="6" t="s">
        <v>297</v>
      </c>
      <c r="E1906" s="6" t="s">
        <v>298</v>
      </c>
      <c r="F1906" s="6" t="s">
        <v>523</v>
      </c>
      <c r="G1906" s="6" t="s">
        <v>32</v>
      </c>
      <c r="H1906" s="6" t="s">
        <v>765</v>
      </c>
      <c r="I1906" s="6" t="s">
        <v>767</v>
      </c>
      <c r="J1906" s="6" t="s">
        <v>767</v>
      </c>
      <c r="K1906" s="7">
        <v>7952329</v>
      </c>
      <c r="L1906" s="7">
        <v>371477</v>
      </c>
      <c r="M1906" s="7">
        <v>19</v>
      </c>
      <c r="N1906" s="7">
        <v>1</v>
      </c>
      <c r="O1906" s="7">
        <v>0.03</v>
      </c>
    </row>
    <row r="1907" spans="1:15" x14ac:dyDescent="0.25">
      <c r="A1907" s="6" t="s">
        <v>22</v>
      </c>
      <c r="B1907" s="6" t="s">
        <v>522</v>
      </c>
      <c r="C1907" s="7">
        <v>31762</v>
      </c>
      <c r="D1907" s="6" t="s">
        <v>24</v>
      </c>
      <c r="E1907" s="6" t="s">
        <v>25</v>
      </c>
      <c r="F1907" s="6" t="s">
        <v>426</v>
      </c>
      <c r="G1907" s="6" t="s">
        <v>32</v>
      </c>
      <c r="H1907" s="6" t="s">
        <v>765</v>
      </c>
      <c r="I1907" s="6" t="s">
        <v>767</v>
      </c>
      <c r="J1907" s="6" t="s">
        <v>767</v>
      </c>
      <c r="K1907" s="7">
        <v>6259568</v>
      </c>
      <c r="L1907" s="7">
        <v>330921</v>
      </c>
      <c r="M1907" s="7">
        <v>19</v>
      </c>
      <c r="N1907" s="7">
        <v>1</v>
      </c>
      <c r="O1907" s="7">
        <v>0.92</v>
      </c>
    </row>
    <row r="1908" spans="1:15" x14ac:dyDescent="0.25">
      <c r="A1908" s="6" t="s">
        <v>14</v>
      </c>
      <c r="B1908" s="6" t="s">
        <v>522</v>
      </c>
      <c r="C1908" s="7">
        <v>31765</v>
      </c>
      <c r="D1908" s="6" t="s">
        <v>24</v>
      </c>
      <c r="E1908" s="6" t="s">
        <v>37</v>
      </c>
      <c r="F1908" s="6" t="s">
        <v>416</v>
      </c>
      <c r="G1908" s="6" t="s">
        <v>32</v>
      </c>
      <c r="H1908" s="6" t="s">
        <v>33</v>
      </c>
      <c r="I1908" s="6" t="s">
        <v>767</v>
      </c>
      <c r="J1908" s="6" t="s">
        <v>767</v>
      </c>
      <c r="K1908" s="7">
        <v>6280078</v>
      </c>
      <c r="L1908" s="7">
        <v>330363</v>
      </c>
      <c r="M1908" s="7">
        <v>19</v>
      </c>
      <c r="N1908" s="7">
        <v>1</v>
      </c>
      <c r="O1908" s="7">
        <v>0.38</v>
      </c>
    </row>
    <row r="1909" spans="1:15" x14ac:dyDescent="0.25">
      <c r="A1909" s="6" t="s">
        <v>14</v>
      </c>
      <c r="B1909" s="6" t="s">
        <v>522</v>
      </c>
      <c r="C1909" s="7">
        <v>31767</v>
      </c>
      <c r="D1909" s="6" t="s">
        <v>24</v>
      </c>
      <c r="E1909" s="6" t="s">
        <v>99</v>
      </c>
      <c r="F1909" s="6" t="s">
        <v>135</v>
      </c>
      <c r="G1909" s="6" t="s">
        <v>32</v>
      </c>
      <c r="H1909" s="6" t="s">
        <v>33</v>
      </c>
      <c r="I1909" s="6" t="s">
        <v>767</v>
      </c>
      <c r="J1909" s="6" t="s">
        <v>764</v>
      </c>
      <c r="K1909" s="7">
        <v>6275596</v>
      </c>
      <c r="L1909" s="7">
        <v>289460</v>
      </c>
      <c r="M1909" s="7">
        <v>19</v>
      </c>
      <c r="N1909" s="7">
        <v>1</v>
      </c>
      <c r="O1909" s="7">
        <v>12</v>
      </c>
    </row>
    <row r="1910" spans="1:15" x14ac:dyDescent="0.25">
      <c r="A1910" s="6" t="s">
        <v>22</v>
      </c>
      <c r="B1910" s="6" t="s">
        <v>522</v>
      </c>
      <c r="C1910" s="7">
        <v>31771</v>
      </c>
      <c r="D1910" s="6" t="s">
        <v>24</v>
      </c>
      <c r="E1910" s="6" t="s">
        <v>25</v>
      </c>
      <c r="F1910" s="6" t="s">
        <v>426</v>
      </c>
      <c r="G1910" s="6" t="s">
        <v>32</v>
      </c>
      <c r="H1910" s="6" t="s">
        <v>765</v>
      </c>
      <c r="I1910" s="6" t="s">
        <v>767</v>
      </c>
      <c r="J1910" s="6" t="s">
        <v>767</v>
      </c>
      <c r="K1910" s="7">
        <v>6259480</v>
      </c>
      <c r="L1910" s="7">
        <v>331066</v>
      </c>
      <c r="M1910" s="7">
        <v>19</v>
      </c>
      <c r="N1910" s="7">
        <v>1</v>
      </c>
      <c r="O1910" s="7">
        <v>1.1299999999999999</v>
      </c>
    </row>
    <row r="1911" spans="1:15" x14ac:dyDescent="0.25">
      <c r="A1911" s="6" t="s">
        <v>14</v>
      </c>
      <c r="B1911" s="6" t="s">
        <v>522</v>
      </c>
      <c r="C1911" s="7">
        <v>31773</v>
      </c>
      <c r="D1911" s="6" t="s">
        <v>42</v>
      </c>
      <c r="E1911" s="6" t="s">
        <v>51</v>
      </c>
      <c r="F1911" s="6" t="s">
        <v>51</v>
      </c>
      <c r="G1911" s="6" t="s">
        <v>32</v>
      </c>
      <c r="H1911" s="6" t="s">
        <v>33</v>
      </c>
      <c r="I1911" s="6" t="s">
        <v>767</v>
      </c>
      <c r="J1911" s="6" t="s">
        <v>764</v>
      </c>
      <c r="K1911" s="7">
        <v>6152436</v>
      </c>
      <c r="L1911" s="7">
        <v>315135</v>
      </c>
      <c r="M1911" s="7">
        <v>19</v>
      </c>
      <c r="N1911" s="7">
        <v>1</v>
      </c>
      <c r="O1911" s="7">
        <v>10.5</v>
      </c>
    </row>
    <row r="1912" spans="1:15" x14ac:dyDescent="0.25">
      <c r="A1912" s="6" t="s">
        <v>28</v>
      </c>
      <c r="B1912" s="6" t="s">
        <v>522</v>
      </c>
      <c r="C1912" s="7">
        <v>31777</v>
      </c>
      <c r="D1912" s="6" t="s">
        <v>39</v>
      </c>
      <c r="E1912" s="6" t="s">
        <v>41</v>
      </c>
      <c r="F1912" s="6" t="s">
        <v>41</v>
      </c>
      <c r="G1912" s="6" t="s">
        <v>32</v>
      </c>
      <c r="H1912" s="6" t="s">
        <v>33</v>
      </c>
      <c r="I1912" s="6" t="s">
        <v>767</v>
      </c>
      <c r="J1912" s="6" t="s">
        <v>764</v>
      </c>
      <c r="K1912" s="7">
        <v>6118014</v>
      </c>
      <c r="L1912" s="7">
        <v>290871</v>
      </c>
      <c r="M1912" s="7">
        <v>19</v>
      </c>
      <c r="N1912" s="7">
        <v>1</v>
      </c>
      <c r="O1912" s="7">
        <v>9</v>
      </c>
    </row>
    <row r="1913" spans="1:15" x14ac:dyDescent="0.25">
      <c r="A1913" s="6" t="s">
        <v>14</v>
      </c>
      <c r="B1913" s="6" t="s">
        <v>522</v>
      </c>
      <c r="C1913" s="7">
        <v>31781</v>
      </c>
      <c r="D1913" s="6" t="s">
        <v>42</v>
      </c>
      <c r="E1913" s="6" t="s">
        <v>66</v>
      </c>
      <c r="F1913" s="6" t="s">
        <v>179</v>
      </c>
      <c r="G1913" s="6" t="s">
        <v>32</v>
      </c>
      <c r="H1913" s="6" t="s">
        <v>33</v>
      </c>
      <c r="I1913" s="6" t="s">
        <v>767</v>
      </c>
      <c r="J1913" s="6" t="s">
        <v>767</v>
      </c>
      <c r="K1913" s="7">
        <v>6223813</v>
      </c>
      <c r="L1913" s="7">
        <v>349044</v>
      </c>
      <c r="M1913" s="7">
        <v>19</v>
      </c>
      <c r="N1913" s="7">
        <v>1</v>
      </c>
      <c r="O1913" s="7">
        <v>6.5</v>
      </c>
    </row>
    <row r="1914" spans="1:15" x14ac:dyDescent="0.25">
      <c r="A1914" s="6" t="s">
        <v>28</v>
      </c>
      <c r="B1914" s="6" t="s">
        <v>522</v>
      </c>
      <c r="C1914" s="7">
        <v>31782</v>
      </c>
      <c r="D1914" s="6" t="s">
        <v>39</v>
      </c>
      <c r="E1914" s="6" t="s">
        <v>310</v>
      </c>
      <c r="F1914" s="6" t="s">
        <v>310</v>
      </c>
      <c r="G1914" s="6" t="s">
        <v>32</v>
      </c>
      <c r="H1914" s="6" t="s">
        <v>33</v>
      </c>
      <c r="I1914" s="6" t="s">
        <v>767</v>
      </c>
      <c r="J1914" s="6" t="s">
        <v>764</v>
      </c>
      <c r="K1914" s="7">
        <v>6118198</v>
      </c>
      <c r="L1914" s="7">
        <v>291093</v>
      </c>
      <c r="M1914" s="7">
        <v>19</v>
      </c>
      <c r="N1914" s="7">
        <v>1</v>
      </c>
      <c r="O1914" s="7">
        <v>3.1</v>
      </c>
    </row>
    <row r="1915" spans="1:15" x14ac:dyDescent="0.25">
      <c r="A1915" s="6" t="s">
        <v>14</v>
      </c>
      <c r="B1915" s="6" t="s">
        <v>522</v>
      </c>
      <c r="C1915" s="7">
        <v>31786</v>
      </c>
      <c r="D1915" s="6" t="s">
        <v>42</v>
      </c>
      <c r="E1915" s="6" t="s">
        <v>62</v>
      </c>
      <c r="F1915" s="6" t="s">
        <v>62</v>
      </c>
      <c r="G1915" s="6" t="s">
        <v>32</v>
      </c>
      <c r="H1915" s="6" t="s">
        <v>33</v>
      </c>
      <c r="I1915" s="6" t="s">
        <v>767</v>
      </c>
      <c r="J1915" s="6" t="s">
        <v>764</v>
      </c>
      <c r="K1915" s="7">
        <v>6165261</v>
      </c>
      <c r="L1915" s="7">
        <v>290133</v>
      </c>
      <c r="M1915" s="7">
        <v>19</v>
      </c>
      <c r="N1915" s="7">
        <v>3</v>
      </c>
      <c r="O1915" s="7">
        <v>54.5</v>
      </c>
    </row>
    <row r="1916" spans="1:15" x14ac:dyDescent="0.25">
      <c r="A1916" s="6" t="s">
        <v>14</v>
      </c>
      <c r="B1916" s="6" t="s">
        <v>522</v>
      </c>
      <c r="C1916" s="7">
        <v>31787</v>
      </c>
      <c r="D1916" s="6" t="s">
        <v>42</v>
      </c>
      <c r="E1916" s="6" t="s">
        <v>51</v>
      </c>
      <c r="F1916" s="6" t="s">
        <v>51</v>
      </c>
      <c r="G1916" s="6" t="s">
        <v>32</v>
      </c>
      <c r="H1916" s="6" t="s">
        <v>33</v>
      </c>
      <c r="I1916" s="6" t="s">
        <v>767</v>
      </c>
      <c r="J1916" s="6" t="s">
        <v>767</v>
      </c>
      <c r="K1916" s="7">
        <v>6162653</v>
      </c>
      <c r="L1916" s="7">
        <v>328289</v>
      </c>
      <c r="M1916" s="7">
        <v>19</v>
      </c>
      <c r="N1916" s="7">
        <v>2</v>
      </c>
      <c r="O1916" s="7">
        <v>9</v>
      </c>
    </row>
    <row r="1917" spans="1:15" x14ac:dyDescent="0.25">
      <c r="A1917" s="6" t="s">
        <v>22</v>
      </c>
      <c r="B1917" s="6" t="s">
        <v>522</v>
      </c>
      <c r="C1917" s="7">
        <v>31794</v>
      </c>
      <c r="D1917" s="6" t="s">
        <v>24</v>
      </c>
      <c r="E1917" s="6" t="s">
        <v>25</v>
      </c>
      <c r="F1917" s="6" t="s">
        <v>426</v>
      </c>
      <c r="G1917" s="6" t="s">
        <v>32</v>
      </c>
      <c r="H1917" s="6" t="s">
        <v>765</v>
      </c>
      <c r="I1917" s="6" t="s">
        <v>767</v>
      </c>
      <c r="J1917" s="6" t="s">
        <v>767</v>
      </c>
      <c r="K1917" s="7">
        <v>6260233</v>
      </c>
      <c r="L1917" s="7">
        <v>331399</v>
      </c>
      <c r="M1917" s="7">
        <v>19</v>
      </c>
      <c r="N1917" s="7">
        <v>1</v>
      </c>
      <c r="O1917" s="7">
        <v>0.69</v>
      </c>
    </row>
    <row r="1918" spans="1:15" x14ac:dyDescent="0.25">
      <c r="A1918" s="6" t="s">
        <v>28</v>
      </c>
      <c r="B1918" s="6" t="s">
        <v>522</v>
      </c>
      <c r="C1918" s="7">
        <v>31797</v>
      </c>
      <c r="D1918" s="6" t="s">
        <v>39</v>
      </c>
      <c r="E1918" s="6" t="s">
        <v>72</v>
      </c>
      <c r="F1918" s="6" t="s">
        <v>72</v>
      </c>
      <c r="G1918" s="6" t="s">
        <v>32</v>
      </c>
      <c r="H1918" s="6" t="s">
        <v>33</v>
      </c>
      <c r="I1918" s="6" t="s">
        <v>767</v>
      </c>
      <c r="J1918" s="6" t="s">
        <v>764</v>
      </c>
      <c r="K1918" s="7">
        <v>6062877</v>
      </c>
      <c r="L1918" s="7">
        <v>269792</v>
      </c>
      <c r="M1918" s="7">
        <v>19</v>
      </c>
      <c r="N1918" s="7">
        <v>5</v>
      </c>
      <c r="O1918" s="7">
        <v>28</v>
      </c>
    </row>
    <row r="1919" spans="1:15" x14ac:dyDescent="0.25">
      <c r="A1919" s="6" t="s">
        <v>28</v>
      </c>
      <c r="B1919" s="6" t="s">
        <v>522</v>
      </c>
      <c r="C1919" s="7">
        <v>31802</v>
      </c>
      <c r="D1919" s="6" t="s">
        <v>42</v>
      </c>
      <c r="E1919" s="6" t="s">
        <v>45</v>
      </c>
      <c r="F1919" s="6" t="s">
        <v>45</v>
      </c>
      <c r="G1919" s="6" t="s">
        <v>32</v>
      </c>
      <c r="H1919" s="6" t="s">
        <v>33</v>
      </c>
      <c r="I1919" s="6" t="s">
        <v>764</v>
      </c>
      <c r="J1919" s="6" t="s">
        <v>767</v>
      </c>
      <c r="K1919" s="7">
        <v>6167100</v>
      </c>
      <c r="L1919" s="7">
        <v>321480</v>
      </c>
      <c r="M1919" s="7">
        <v>19</v>
      </c>
      <c r="N1919" s="7">
        <v>2</v>
      </c>
      <c r="O1919" s="7">
        <v>16.600000000000001</v>
      </c>
    </row>
    <row r="1920" spans="1:15" x14ac:dyDescent="0.25">
      <c r="A1920" s="6" t="s">
        <v>14</v>
      </c>
      <c r="B1920" s="6" t="s">
        <v>522</v>
      </c>
      <c r="C1920" s="7">
        <v>31805</v>
      </c>
      <c r="D1920" s="6" t="s">
        <v>42</v>
      </c>
      <c r="E1920" s="6" t="s">
        <v>51</v>
      </c>
      <c r="F1920" s="6" t="s">
        <v>51</v>
      </c>
      <c r="G1920" s="6" t="s">
        <v>32</v>
      </c>
      <c r="H1920" s="6" t="s">
        <v>33</v>
      </c>
      <c r="I1920" s="6" t="s">
        <v>767</v>
      </c>
      <c r="J1920" s="6" t="s">
        <v>764</v>
      </c>
      <c r="K1920" s="7">
        <v>6154567</v>
      </c>
      <c r="L1920" s="7">
        <v>315505</v>
      </c>
      <c r="M1920" s="7">
        <v>19</v>
      </c>
      <c r="N1920" s="7">
        <v>1</v>
      </c>
      <c r="O1920" s="7">
        <v>3</v>
      </c>
    </row>
    <row r="1921" spans="1:15" x14ac:dyDescent="0.25">
      <c r="A1921" s="6" t="s">
        <v>14</v>
      </c>
      <c r="B1921" s="6" t="s">
        <v>522</v>
      </c>
      <c r="C1921" s="7">
        <v>31807</v>
      </c>
      <c r="D1921" s="6" t="s">
        <v>42</v>
      </c>
      <c r="E1921" s="6" t="s">
        <v>51</v>
      </c>
      <c r="F1921" s="6" t="s">
        <v>51</v>
      </c>
      <c r="G1921" s="6" t="s">
        <v>32</v>
      </c>
      <c r="H1921" s="6" t="s">
        <v>33</v>
      </c>
      <c r="I1921" s="6" t="s">
        <v>767</v>
      </c>
      <c r="J1921" s="6" t="s">
        <v>764</v>
      </c>
      <c r="K1921" s="7">
        <v>6154567</v>
      </c>
      <c r="L1921" s="7">
        <v>315505</v>
      </c>
      <c r="M1921" s="7">
        <v>19</v>
      </c>
      <c r="N1921" s="7">
        <v>1</v>
      </c>
      <c r="O1921" s="7">
        <v>4</v>
      </c>
    </row>
    <row r="1922" spans="1:15" x14ac:dyDescent="0.25">
      <c r="A1922" s="6" t="s">
        <v>14</v>
      </c>
      <c r="B1922" s="6" t="s">
        <v>522</v>
      </c>
      <c r="C1922" s="7">
        <v>31811</v>
      </c>
      <c r="D1922" s="6" t="s">
        <v>24</v>
      </c>
      <c r="E1922" s="6" t="s">
        <v>37</v>
      </c>
      <c r="F1922" s="6" t="s">
        <v>37</v>
      </c>
      <c r="G1922" s="6" t="s">
        <v>32</v>
      </c>
      <c r="H1922" s="6" t="s">
        <v>33</v>
      </c>
      <c r="I1922" s="6" t="s">
        <v>767</v>
      </c>
      <c r="J1922" s="6" t="s">
        <v>767</v>
      </c>
      <c r="K1922" s="7">
        <v>6275843</v>
      </c>
      <c r="L1922" s="7">
        <v>326601</v>
      </c>
      <c r="M1922" s="7">
        <v>19</v>
      </c>
      <c r="N1922" s="7">
        <v>1</v>
      </c>
      <c r="O1922" s="7">
        <v>10</v>
      </c>
    </row>
    <row r="1923" spans="1:15" x14ac:dyDescent="0.25">
      <c r="A1923" s="6" t="s">
        <v>14</v>
      </c>
      <c r="B1923" s="6" t="s">
        <v>522</v>
      </c>
      <c r="C1923" s="7">
        <v>31812</v>
      </c>
      <c r="D1923" s="6" t="s">
        <v>39</v>
      </c>
      <c r="E1923" s="6" t="s">
        <v>310</v>
      </c>
      <c r="F1923" s="6" t="s">
        <v>310</v>
      </c>
      <c r="G1923" s="6" t="s">
        <v>32</v>
      </c>
      <c r="H1923" s="6" t="s">
        <v>33</v>
      </c>
      <c r="I1923" s="6" t="s">
        <v>767</v>
      </c>
      <c r="J1923" s="6" t="s">
        <v>764</v>
      </c>
      <c r="K1923" s="7">
        <v>6114493</v>
      </c>
      <c r="L1923" s="7">
        <v>289482</v>
      </c>
      <c r="M1923" s="7">
        <v>19</v>
      </c>
      <c r="N1923" s="7">
        <v>1</v>
      </c>
      <c r="O1923" s="7">
        <v>6</v>
      </c>
    </row>
    <row r="1924" spans="1:15" x14ac:dyDescent="0.25">
      <c r="A1924" s="6" t="s">
        <v>14</v>
      </c>
      <c r="B1924" s="6" t="s">
        <v>522</v>
      </c>
      <c r="C1924" s="7">
        <v>31814</v>
      </c>
      <c r="D1924" s="6" t="s">
        <v>42</v>
      </c>
      <c r="E1924" s="6" t="s">
        <v>51</v>
      </c>
      <c r="F1924" s="6" t="s">
        <v>51</v>
      </c>
      <c r="G1924" s="6" t="s">
        <v>32</v>
      </c>
      <c r="H1924" s="6" t="s">
        <v>33</v>
      </c>
      <c r="I1924" s="6" t="s">
        <v>767</v>
      </c>
      <c r="J1924" s="6" t="s">
        <v>764</v>
      </c>
      <c r="K1924" s="7">
        <v>6154567</v>
      </c>
      <c r="L1924" s="7">
        <v>315505</v>
      </c>
      <c r="M1924" s="7">
        <v>19</v>
      </c>
      <c r="N1924" s="7">
        <v>1</v>
      </c>
      <c r="O1924" s="7">
        <v>6</v>
      </c>
    </row>
    <row r="1925" spans="1:15" x14ac:dyDescent="0.25">
      <c r="A1925" s="6" t="s">
        <v>28</v>
      </c>
      <c r="B1925" s="6" t="s">
        <v>522</v>
      </c>
      <c r="C1925" s="7">
        <v>31826</v>
      </c>
      <c r="D1925" s="6" t="s">
        <v>39</v>
      </c>
      <c r="E1925" s="6" t="s">
        <v>72</v>
      </c>
      <c r="F1925" s="6" t="s">
        <v>72</v>
      </c>
      <c r="G1925" s="6" t="s">
        <v>32</v>
      </c>
      <c r="H1925" s="6" t="s">
        <v>33</v>
      </c>
      <c r="I1925" s="6" t="s">
        <v>764</v>
      </c>
      <c r="J1925" s="6" t="s">
        <v>767</v>
      </c>
      <c r="K1925" s="7">
        <v>6060177</v>
      </c>
      <c r="L1925" s="7">
        <v>285228</v>
      </c>
      <c r="M1925" s="7">
        <v>19</v>
      </c>
      <c r="N1925" s="7">
        <v>1</v>
      </c>
      <c r="O1925" s="7">
        <v>16.899999999999999</v>
      </c>
    </row>
    <row r="1926" spans="1:15" x14ac:dyDescent="0.25">
      <c r="A1926" s="6" t="s">
        <v>14</v>
      </c>
      <c r="B1926" s="6" t="s">
        <v>522</v>
      </c>
      <c r="C1926" s="7">
        <v>31830</v>
      </c>
      <c r="D1926" s="6" t="s">
        <v>24</v>
      </c>
      <c r="E1926" s="6" t="s">
        <v>31</v>
      </c>
      <c r="F1926" s="6" t="s">
        <v>560</v>
      </c>
      <c r="G1926" s="6" t="s">
        <v>32</v>
      </c>
      <c r="H1926" s="6" t="s">
        <v>33</v>
      </c>
      <c r="I1926" s="6" t="s">
        <v>767</v>
      </c>
      <c r="J1926" s="6" t="s">
        <v>764</v>
      </c>
      <c r="K1926" s="7">
        <v>6275231</v>
      </c>
      <c r="L1926" s="7">
        <v>289962</v>
      </c>
      <c r="M1926" s="7">
        <v>19</v>
      </c>
      <c r="N1926" s="7">
        <v>1</v>
      </c>
      <c r="O1926" s="7">
        <v>15.5</v>
      </c>
    </row>
    <row r="1927" spans="1:15" x14ac:dyDescent="0.25">
      <c r="A1927" s="6" t="s">
        <v>14</v>
      </c>
      <c r="B1927" s="6" t="s">
        <v>522</v>
      </c>
      <c r="C1927" s="7">
        <v>31833</v>
      </c>
      <c r="D1927" s="6" t="s">
        <v>24</v>
      </c>
      <c r="E1927" s="6" t="s">
        <v>31</v>
      </c>
      <c r="F1927" s="6" t="s">
        <v>530</v>
      </c>
      <c r="G1927" s="6" t="s">
        <v>32</v>
      </c>
      <c r="H1927" s="6" t="s">
        <v>33</v>
      </c>
      <c r="I1927" s="6" t="s">
        <v>767</v>
      </c>
      <c r="J1927" s="6" t="s">
        <v>767</v>
      </c>
      <c r="K1927" s="7">
        <v>6272700</v>
      </c>
      <c r="L1927" s="7">
        <v>303157</v>
      </c>
      <c r="M1927" s="7">
        <v>19</v>
      </c>
      <c r="N1927" s="7">
        <v>1</v>
      </c>
      <c r="O1927" s="7">
        <v>17</v>
      </c>
    </row>
    <row r="1928" spans="1:15" x14ac:dyDescent="0.25">
      <c r="A1928" s="6" t="s">
        <v>14</v>
      </c>
      <c r="B1928" s="6" t="s">
        <v>522</v>
      </c>
      <c r="C1928" s="7">
        <v>31835</v>
      </c>
      <c r="D1928" s="6" t="s">
        <v>39</v>
      </c>
      <c r="E1928" s="6" t="s">
        <v>41</v>
      </c>
      <c r="F1928" s="6" t="s">
        <v>313</v>
      </c>
      <c r="G1928" s="6" t="s">
        <v>32</v>
      </c>
      <c r="H1928" s="6" t="s">
        <v>33</v>
      </c>
      <c r="I1928" s="6" t="s">
        <v>767</v>
      </c>
      <c r="J1928" s="6" t="s">
        <v>767</v>
      </c>
      <c r="K1928" s="7">
        <v>6113326</v>
      </c>
      <c r="L1928" s="7">
        <v>275446</v>
      </c>
      <c r="M1928" s="7">
        <v>19</v>
      </c>
      <c r="N1928" s="7">
        <v>1</v>
      </c>
      <c r="O1928" s="7">
        <v>34</v>
      </c>
    </row>
    <row r="1929" spans="1:15" x14ac:dyDescent="0.25">
      <c r="A1929" s="6" t="s">
        <v>14</v>
      </c>
      <c r="B1929" s="6" t="s">
        <v>522</v>
      </c>
      <c r="C1929" s="7">
        <v>31838</v>
      </c>
      <c r="D1929" s="6" t="s">
        <v>39</v>
      </c>
      <c r="E1929" s="6" t="s">
        <v>179</v>
      </c>
      <c r="F1929" s="6" t="s">
        <v>179</v>
      </c>
      <c r="G1929" s="6" t="s">
        <v>32</v>
      </c>
      <c r="H1929" s="6" t="s">
        <v>33</v>
      </c>
      <c r="I1929" s="6" t="s">
        <v>767</v>
      </c>
      <c r="J1929" s="6" t="s">
        <v>767</v>
      </c>
      <c r="K1929" s="7">
        <v>6122014</v>
      </c>
      <c r="L1929" s="7">
        <v>312430</v>
      </c>
      <c r="M1929" s="7">
        <v>19</v>
      </c>
      <c r="N1929" s="7">
        <v>1</v>
      </c>
      <c r="O1929" s="7">
        <v>15</v>
      </c>
    </row>
    <row r="1930" spans="1:15" x14ac:dyDescent="0.25">
      <c r="A1930" s="6" t="s">
        <v>14</v>
      </c>
      <c r="B1930" s="6" t="s">
        <v>522</v>
      </c>
      <c r="C1930" s="7">
        <v>31840</v>
      </c>
      <c r="D1930" s="6" t="s">
        <v>39</v>
      </c>
      <c r="E1930" s="6" t="s">
        <v>41</v>
      </c>
      <c r="F1930" s="6" t="s">
        <v>502</v>
      </c>
      <c r="G1930" s="6" t="s">
        <v>32</v>
      </c>
      <c r="H1930" s="6" t="s">
        <v>33</v>
      </c>
      <c r="I1930" s="6" t="s">
        <v>767</v>
      </c>
      <c r="J1930" s="6" t="s">
        <v>767</v>
      </c>
      <c r="K1930" s="7">
        <v>6122341</v>
      </c>
      <c r="L1930" s="7">
        <v>292668</v>
      </c>
      <c r="M1930" s="7">
        <v>19</v>
      </c>
      <c r="N1930" s="7">
        <v>1</v>
      </c>
      <c r="O1930" s="7">
        <v>10.6</v>
      </c>
    </row>
    <row r="1931" spans="1:15" x14ac:dyDescent="0.25">
      <c r="A1931" s="6" t="s">
        <v>14</v>
      </c>
      <c r="B1931" s="6" t="s">
        <v>522</v>
      </c>
      <c r="C1931" s="7">
        <v>31841</v>
      </c>
      <c r="D1931" s="6" t="s">
        <v>42</v>
      </c>
      <c r="E1931" s="6" t="s">
        <v>66</v>
      </c>
      <c r="F1931" s="6" t="s">
        <v>66</v>
      </c>
      <c r="G1931" s="6" t="s">
        <v>32</v>
      </c>
      <c r="H1931" s="6" t="s">
        <v>33</v>
      </c>
      <c r="I1931" s="6" t="s">
        <v>767</v>
      </c>
      <c r="J1931" s="6" t="s">
        <v>764</v>
      </c>
      <c r="K1931" s="7">
        <v>6223971</v>
      </c>
      <c r="L1931" s="7">
        <v>349307</v>
      </c>
      <c r="M1931" s="7">
        <v>19</v>
      </c>
      <c r="N1931" s="7">
        <v>2</v>
      </c>
      <c r="O1931" s="7">
        <v>13.98</v>
      </c>
    </row>
    <row r="1932" spans="1:15" x14ac:dyDescent="0.25">
      <c r="A1932" s="6" t="s">
        <v>14</v>
      </c>
      <c r="B1932" s="6" t="s">
        <v>522</v>
      </c>
      <c r="C1932" s="7">
        <v>31844</v>
      </c>
      <c r="D1932" s="6" t="s">
        <v>39</v>
      </c>
      <c r="E1932" s="6" t="s">
        <v>310</v>
      </c>
      <c r="F1932" s="6" t="s">
        <v>310</v>
      </c>
      <c r="G1932" s="6" t="s">
        <v>32</v>
      </c>
      <c r="H1932" s="6" t="s">
        <v>33</v>
      </c>
      <c r="I1932" s="6" t="s">
        <v>767</v>
      </c>
      <c r="J1932" s="6" t="s">
        <v>764</v>
      </c>
      <c r="K1932" s="7">
        <v>6106173</v>
      </c>
      <c r="L1932" s="7">
        <v>296323</v>
      </c>
      <c r="M1932" s="7">
        <v>19</v>
      </c>
      <c r="N1932" s="7">
        <v>1</v>
      </c>
      <c r="O1932" s="7">
        <v>6.5</v>
      </c>
    </row>
    <row r="1933" spans="1:15" x14ac:dyDescent="0.25">
      <c r="A1933" s="6" t="s">
        <v>14</v>
      </c>
      <c r="B1933" s="6" t="s">
        <v>522</v>
      </c>
      <c r="C1933" s="7">
        <v>31845</v>
      </c>
      <c r="D1933" s="6" t="s">
        <v>24</v>
      </c>
      <c r="E1933" s="6" t="s">
        <v>56</v>
      </c>
      <c r="F1933" s="6" t="s">
        <v>56</v>
      </c>
      <c r="G1933" s="6" t="s">
        <v>32</v>
      </c>
      <c r="H1933" s="6" t="s">
        <v>33</v>
      </c>
      <c r="I1933" s="6" t="s">
        <v>767</v>
      </c>
      <c r="J1933" s="6" t="s">
        <v>767</v>
      </c>
      <c r="K1933" s="7">
        <v>6275936</v>
      </c>
      <c r="L1933" s="7">
        <v>343765</v>
      </c>
      <c r="M1933" s="7">
        <v>19</v>
      </c>
      <c r="N1933" s="7">
        <v>1</v>
      </c>
      <c r="O1933" s="7">
        <v>0.35</v>
      </c>
    </row>
    <row r="1934" spans="1:15" x14ac:dyDescent="0.25">
      <c r="A1934" s="6" t="s">
        <v>14</v>
      </c>
      <c r="B1934" s="6" t="s">
        <v>522</v>
      </c>
      <c r="C1934" s="7">
        <v>31846</v>
      </c>
      <c r="D1934" s="6" t="s">
        <v>24</v>
      </c>
      <c r="E1934" s="6" t="s">
        <v>56</v>
      </c>
      <c r="F1934" s="6" t="s">
        <v>56</v>
      </c>
      <c r="G1934" s="6" t="s">
        <v>32</v>
      </c>
      <c r="H1934" s="6" t="s">
        <v>33</v>
      </c>
      <c r="I1934" s="6" t="s">
        <v>767</v>
      </c>
      <c r="J1934" s="6" t="s">
        <v>767</v>
      </c>
      <c r="K1934" s="7">
        <v>6275936</v>
      </c>
      <c r="L1934" s="7">
        <v>343765</v>
      </c>
      <c r="M1934" s="7">
        <v>19</v>
      </c>
      <c r="N1934" s="7">
        <v>1</v>
      </c>
      <c r="O1934" s="7">
        <v>0.35</v>
      </c>
    </row>
    <row r="1935" spans="1:15" x14ac:dyDescent="0.25">
      <c r="A1935" s="6" t="s">
        <v>14</v>
      </c>
      <c r="B1935" s="6" t="s">
        <v>522</v>
      </c>
      <c r="C1935" s="7">
        <v>31848</v>
      </c>
      <c r="D1935" s="6" t="s">
        <v>42</v>
      </c>
      <c r="E1935" s="6" t="s">
        <v>45</v>
      </c>
      <c r="F1935" s="6" t="s">
        <v>46</v>
      </c>
      <c r="G1935" s="6" t="s">
        <v>32</v>
      </c>
      <c r="H1935" s="6" t="s">
        <v>33</v>
      </c>
      <c r="I1935" s="6" t="s">
        <v>767</v>
      </c>
      <c r="J1935" s="6" t="s">
        <v>767</v>
      </c>
      <c r="K1935" s="7">
        <v>6167581</v>
      </c>
      <c r="L1935" s="7">
        <v>324037</v>
      </c>
      <c r="M1935" s="7">
        <v>19</v>
      </c>
      <c r="N1935" s="7">
        <v>1</v>
      </c>
      <c r="O1935" s="7">
        <v>7</v>
      </c>
    </row>
    <row r="1936" spans="1:15" x14ac:dyDescent="0.25">
      <c r="A1936" s="6" t="s">
        <v>14</v>
      </c>
      <c r="B1936" s="6" t="s">
        <v>522</v>
      </c>
      <c r="C1936" s="7">
        <v>31849</v>
      </c>
      <c r="D1936" s="6" t="s">
        <v>24</v>
      </c>
      <c r="E1936" s="6" t="s">
        <v>31</v>
      </c>
      <c r="F1936" s="6" t="s">
        <v>560</v>
      </c>
      <c r="G1936" s="6" t="s">
        <v>32</v>
      </c>
      <c r="H1936" s="6" t="s">
        <v>33</v>
      </c>
      <c r="I1936" s="6" t="s">
        <v>767</v>
      </c>
      <c r="J1936" s="6" t="s">
        <v>764</v>
      </c>
      <c r="K1936" s="7">
        <v>6275006</v>
      </c>
      <c r="L1936" s="7">
        <v>290305</v>
      </c>
      <c r="M1936" s="7">
        <v>19</v>
      </c>
      <c r="N1936" s="7">
        <v>1</v>
      </c>
      <c r="O1936" s="7">
        <v>19</v>
      </c>
    </row>
    <row r="1937" spans="1:15" x14ac:dyDescent="0.25">
      <c r="A1937" s="6" t="s">
        <v>22</v>
      </c>
      <c r="B1937" s="6" t="s">
        <v>522</v>
      </c>
      <c r="C1937" s="7">
        <v>31853</v>
      </c>
      <c r="D1937" s="6" t="s">
        <v>24</v>
      </c>
      <c r="E1937" s="6" t="s">
        <v>25</v>
      </c>
      <c r="F1937" s="6" t="s">
        <v>445</v>
      </c>
      <c r="G1937" s="6" t="s">
        <v>89</v>
      </c>
      <c r="H1937" s="6" t="s">
        <v>765</v>
      </c>
      <c r="I1937" s="6" t="s">
        <v>767</v>
      </c>
      <c r="J1937" s="6" t="s">
        <v>767</v>
      </c>
      <c r="K1937" s="7">
        <v>6258806</v>
      </c>
      <c r="L1937" s="7">
        <v>332105</v>
      </c>
      <c r="M1937" s="7">
        <v>19</v>
      </c>
      <c r="N1937" s="7">
        <v>1</v>
      </c>
      <c r="O1937" s="7">
        <v>1.1000000000000001</v>
      </c>
    </row>
    <row r="1938" spans="1:15" x14ac:dyDescent="0.25">
      <c r="A1938" s="6" t="s">
        <v>28</v>
      </c>
      <c r="B1938" s="6" t="s">
        <v>522</v>
      </c>
      <c r="C1938" s="7">
        <v>31855</v>
      </c>
      <c r="D1938" s="6" t="s">
        <v>42</v>
      </c>
      <c r="E1938" s="6" t="s">
        <v>167</v>
      </c>
      <c r="F1938" s="6" t="s">
        <v>591</v>
      </c>
      <c r="G1938" s="6" t="s">
        <v>32</v>
      </c>
      <c r="H1938" s="6" t="s">
        <v>33</v>
      </c>
      <c r="I1938" s="6" t="s">
        <v>767</v>
      </c>
      <c r="J1938" s="6" t="s">
        <v>764</v>
      </c>
      <c r="K1938" s="7">
        <v>6221143</v>
      </c>
      <c r="L1938" s="7">
        <v>343965</v>
      </c>
      <c r="M1938" s="7">
        <v>19</v>
      </c>
      <c r="N1938" s="7">
        <v>2</v>
      </c>
      <c r="O1938" s="7">
        <v>12.2</v>
      </c>
    </row>
    <row r="1939" spans="1:15" x14ac:dyDescent="0.25">
      <c r="A1939" s="6" t="s">
        <v>28</v>
      </c>
      <c r="B1939" s="6" t="s">
        <v>522</v>
      </c>
      <c r="C1939" s="7">
        <v>31859</v>
      </c>
      <c r="D1939" s="6" t="s">
        <v>42</v>
      </c>
      <c r="E1939" s="6" t="s">
        <v>196</v>
      </c>
      <c r="F1939" s="6" t="s">
        <v>527</v>
      </c>
      <c r="G1939" s="6" t="s">
        <v>32</v>
      </c>
      <c r="H1939" s="6" t="s">
        <v>33</v>
      </c>
      <c r="I1939" s="6" t="s">
        <v>767</v>
      </c>
      <c r="J1939" s="6" t="s">
        <v>764</v>
      </c>
      <c r="K1939" s="7">
        <v>6217315</v>
      </c>
      <c r="L1939" s="7">
        <v>332135</v>
      </c>
      <c r="M1939" s="7">
        <v>19</v>
      </c>
      <c r="N1939" s="7">
        <v>1</v>
      </c>
      <c r="O1939" s="7">
        <v>14.49</v>
      </c>
    </row>
    <row r="1940" spans="1:15" x14ac:dyDescent="0.25">
      <c r="A1940" s="6" t="s">
        <v>14</v>
      </c>
      <c r="B1940" s="6" t="s">
        <v>522</v>
      </c>
      <c r="C1940" s="7">
        <v>31860</v>
      </c>
      <c r="D1940" s="6" t="s">
        <v>42</v>
      </c>
      <c r="E1940" s="6" t="s">
        <v>51</v>
      </c>
      <c r="F1940" s="6" t="s">
        <v>51</v>
      </c>
      <c r="G1940" s="6" t="s">
        <v>32</v>
      </c>
      <c r="H1940" s="6" t="s">
        <v>33</v>
      </c>
      <c r="I1940" s="6" t="s">
        <v>767</v>
      </c>
      <c r="J1940" s="6" t="s">
        <v>764</v>
      </c>
      <c r="K1940" s="7">
        <v>6150632</v>
      </c>
      <c r="L1940" s="7">
        <v>320074</v>
      </c>
      <c r="M1940" s="7">
        <v>19</v>
      </c>
      <c r="N1940" s="7">
        <v>1</v>
      </c>
      <c r="O1940" s="7">
        <v>3</v>
      </c>
    </row>
    <row r="1941" spans="1:15" x14ac:dyDescent="0.25">
      <c r="A1941" s="6" t="s">
        <v>28</v>
      </c>
      <c r="B1941" s="6" t="s">
        <v>522</v>
      </c>
      <c r="C1941" s="7">
        <v>31864</v>
      </c>
      <c r="D1941" s="6" t="s">
        <v>39</v>
      </c>
      <c r="E1941" s="6" t="s">
        <v>72</v>
      </c>
      <c r="F1941" s="6" t="s">
        <v>72</v>
      </c>
      <c r="G1941" s="6" t="s">
        <v>32</v>
      </c>
      <c r="H1941" s="6" t="s">
        <v>33</v>
      </c>
      <c r="I1941" s="6" t="s">
        <v>767</v>
      </c>
      <c r="J1941" s="6" t="s">
        <v>767</v>
      </c>
      <c r="K1941" s="7">
        <v>6059606</v>
      </c>
      <c r="L1941" s="7">
        <v>286394</v>
      </c>
      <c r="M1941" s="7">
        <v>19</v>
      </c>
      <c r="N1941" s="7">
        <v>1</v>
      </c>
      <c r="O1941" s="7">
        <v>2.9</v>
      </c>
    </row>
    <row r="1942" spans="1:15" x14ac:dyDescent="0.25">
      <c r="A1942" s="6" t="s">
        <v>14</v>
      </c>
      <c r="B1942" s="6" t="s">
        <v>522</v>
      </c>
      <c r="C1942" s="7">
        <v>31866</v>
      </c>
      <c r="D1942" s="6" t="s">
        <v>42</v>
      </c>
      <c r="E1942" s="6" t="s">
        <v>51</v>
      </c>
      <c r="F1942" s="6" t="s">
        <v>51</v>
      </c>
      <c r="G1942" s="6" t="s">
        <v>32</v>
      </c>
      <c r="H1942" s="6" t="s">
        <v>33</v>
      </c>
      <c r="I1942" s="6" t="s">
        <v>767</v>
      </c>
      <c r="J1942" s="6" t="s">
        <v>767</v>
      </c>
      <c r="K1942" s="7">
        <v>6152860</v>
      </c>
      <c r="L1942" s="7">
        <v>314382</v>
      </c>
      <c r="M1942" s="7">
        <v>19</v>
      </c>
      <c r="N1942" s="7">
        <v>1</v>
      </c>
      <c r="O1942" s="7">
        <v>12</v>
      </c>
    </row>
    <row r="1943" spans="1:15" x14ac:dyDescent="0.25">
      <c r="A1943" s="6" t="s">
        <v>14</v>
      </c>
      <c r="B1943" s="6" t="s">
        <v>522</v>
      </c>
      <c r="C1943" s="7">
        <v>31869</v>
      </c>
      <c r="D1943" s="6" t="s">
        <v>42</v>
      </c>
      <c r="E1943" s="6" t="s">
        <v>167</v>
      </c>
      <c r="F1943" s="6" t="s">
        <v>167</v>
      </c>
      <c r="G1943" s="6" t="s">
        <v>32</v>
      </c>
      <c r="H1943" s="6" t="s">
        <v>33</v>
      </c>
      <c r="I1943" s="6" t="s">
        <v>767</v>
      </c>
      <c r="J1943" s="6" t="s">
        <v>764</v>
      </c>
      <c r="K1943" s="7">
        <v>6227806</v>
      </c>
      <c r="L1943" s="7">
        <v>341137</v>
      </c>
      <c r="M1943" s="7">
        <v>19</v>
      </c>
      <c r="N1943" s="7">
        <v>1</v>
      </c>
      <c r="O1943" s="7">
        <v>8</v>
      </c>
    </row>
    <row r="1944" spans="1:15" x14ac:dyDescent="0.25">
      <c r="A1944" s="6" t="s">
        <v>14</v>
      </c>
      <c r="B1944" s="6" t="s">
        <v>522</v>
      </c>
      <c r="C1944" s="7">
        <v>31872</v>
      </c>
      <c r="D1944" s="6" t="s">
        <v>39</v>
      </c>
      <c r="E1944" s="6" t="s">
        <v>179</v>
      </c>
      <c r="F1944" s="6" t="s">
        <v>179</v>
      </c>
      <c r="G1944" s="6" t="s">
        <v>32</v>
      </c>
      <c r="H1944" s="6" t="s">
        <v>33</v>
      </c>
      <c r="I1944" s="6" t="s">
        <v>767</v>
      </c>
      <c r="J1944" s="6" t="s">
        <v>767</v>
      </c>
      <c r="K1944" s="7">
        <v>6122014</v>
      </c>
      <c r="L1944" s="7">
        <v>312430</v>
      </c>
      <c r="M1944" s="7">
        <v>19</v>
      </c>
      <c r="N1944" s="7">
        <v>1</v>
      </c>
      <c r="O1944" s="7">
        <v>3</v>
      </c>
    </row>
    <row r="1945" spans="1:15" x14ac:dyDescent="0.25">
      <c r="A1945" s="6" t="s">
        <v>14</v>
      </c>
      <c r="B1945" s="6" t="s">
        <v>522</v>
      </c>
      <c r="C1945" s="7">
        <v>31873</v>
      </c>
      <c r="D1945" s="6" t="s">
        <v>42</v>
      </c>
      <c r="E1945" s="6" t="s">
        <v>51</v>
      </c>
      <c r="F1945" s="6" t="s">
        <v>51</v>
      </c>
      <c r="G1945" s="6" t="s">
        <v>32</v>
      </c>
      <c r="H1945" s="6" t="s">
        <v>33</v>
      </c>
      <c r="I1945" s="6" t="s">
        <v>767</v>
      </c>
      <c r="J1945" s="6" t="s">
        <v>764</v>
      </c>
      <c r="K1945" s="7">
        <v>6150887</v>
      </c>
      <c r="L1945" s="7">
        <v>319691</v>
      </c>
      <c r="M1945" s="7">
        <v>19</v>
      </c>
      <c r="N1945" s="7">
        <v>1</v>
      </c>
      <c r="O1945" s="7">
        <v>3</v>
      </c>
    </row>
    <row r="1946" spans="1:15" x14ac:dyDescent="0.25">
      <c r="A1946" s="6" t="s">
        <v>14</v>
      </c>
      <c r="B1946" s="6" t="s">
        <v>522</v>
      </c>
      <c r="C1946" s="7">
        <v>31876</v>
      </c>
      <c r="D1946" s="6" t="s">
        <v>42</v>
      </c>
      <c r="E1946" s="6" t="s">
        <v>51</v>
      </c>
      <c r="F1946" s="6" t="s">
        <v>51</v>
      </c>
      <c r="G1946" s="6" t="s">
        <v>32</v>
      </c>
      <c r="H1946" s="6" t="s">
        <v>33</v>
      </c>
      <c r="I1946" s="6" t="s">
        <v>767</v>
      </c>
      <c r="J1946" s="6" t="s">
        <v>764</v>
      </c>
      <c r="K1946" s="7">
        <v>6150753</v>
      </c>
      <c r="L1946" s="7">
        <v>319817</v>
      </c>
      <c r="M1946" s="7">
        <v>19</v>
      </c>
      <c r="N1946" s="7">
        <v>1</v>
      </c>
      <c r="O1946" s="7">
        <v>3.5</v>
      </c>
    </row>
    <row r="1947" spans="1:15" x14ac:dyDescent="0.25">
      <c r="A1947" s="6" t="s">
        <v>28</v>
      </c>
      <c r="B1947" s="6" t="s">
        <v>522</v>
      </c>
      <c r="C1947" s="7">
        <v>31877</v>
      </c>
      <c r="D1947" s="6" t="s">
        <v>24</v>
      </c>
      <c r="E1947" s="6" t="s">
        <v>56</v>
      </c>
      <c r="F1947" s="6" t="s">
        <v>592</v>
      </c>
      <c r="G1947" s="6" t="s">
        <v>32</v>
      </c>
      <c r="H1947" s="6" t="s">
        <v>19</v>
      </c>
      <c r="I1947" s="6" t="s">
        <v>767</v>
      </c>
      <c r="J1947" s="6" t="s">
        <v>767</v>
      </c>
      <c r="K1947" s="7">
        <v>6279259</v>
      </c>
      <c r="L1947" s="7">
        <v>339103</v>
      </c>
      <c r="M1947" s="7">
        <v>19</v>
      </c>
      <c r="N1947" s="7">
        <v>1</v>
      </c>
      <c r="O1947" s="7">
        <v>1</v>
      </c>
    </row>
    <row r="1948" spans="1:15" x14ac:dyDescent="0.25">
      <c r="A1948" s="6" t="s">
        <v>28</v>
      </c>
      <c r="B1948" s="6" t="s">
        <v>522</v>
      </c>
      <c r="C1948" s="7">
        <v>31878</v>
      </c>
      <c r="D1948" s="6" t="s">
        <v>24</v>
      </c>
      <c r="E1948" s="6" t="s">
        <v>31</v>
      </c>
      <c r="F1948" s="6" t="s">
        <v>566</v>
      </c>
      <c r="G1948" s="6" t="s">
        <v>32</v>
      </c>
      <c r="H1948" s="6" t="s">
        <v>19</v>
      </c>
      <c r="I1948" s="6" t="s">
        <v>767</v>
      </c>
      <c r="J1948" s="6" t="s">
        <v>767</v>
      </c>
      <c r="K1948" s="7">
        <v>6276435</v>
      </c>
      <c r="L1948" s="7">
        <v>288585</v>
      </c>
      <c r="M1948" s="7">
        <v>19</v>
      </c>
      <c r="N1948" s="7">
        <v>1</v>
      </c>
      <c r="O1948" s="7">
        <v>1.6</v>
      </c>
    </row>
    <row r="1949" spans="1:15" x14ac:dyDescent="0.25">
      <c r="A1949" s="6" t="s">
        <v>28</v>
      </c>
      <c r="B1949" s="6" t="s">
        <v>522</v>
      </c>
      <c r="C1949" s="7">
        <v>31879</v>
      </c>
      <c r="D1949" s="6" t="s">
        <v>24</v>
      </c>
      <c r="E1949" s="6" t="s">
        <v>31</v>
      </c>
      <c r="F1949" s="6" t="s">
        <v>109</v>
      </c>
      <c r="G1949" s="6" t="s">
        <v>32</v>
      </c>
      <c r="H1949" s="6" t="s">
        <v>19</v>
      </c>
      <c r="I1949" s="6" t="s">
        <v>767</v>
      </c>
      <c r="J1949" s="6" t="s">
        <v>767</v>
      </c>
      <c r="K1949" s="7">
        <v>6276647</v>
      </c>
      <c r="L1949" s="7">
        <v>292014</v>
      </c>
      <c r="M1949" s="7">
        <v>19</v>
      </c>
      <c r="N1949" s="7">
        <v>1</v>
      </c>
      <c r="O1949" s="7">
        <v>1.1000000000000001</v>
      </c>
    </row>
    <row r="1950" spans="1:15" x14ac:dyDescent="0.25">
      <c r="A1950" s="6" t="s">
        <v>14</v>
      </c>
      <c r="B1950" s="6" t="s">
        <v>522</v>
      </c>
      <c r="C1950" s="7">
        <v>31881</v>
      </c>
      <c r="D1950" s="6" t="s">
        <v>24</v>
      </c>
      <c r="E1950" s="6" t="s">
        <v>56</v>
      </c>
      <c r="F1950" s="6" t="s">
        <v>418</v>
      </c>
      <c r="G1950" s="6" t="s">
        <v>32</v>
      </c>
      <c r="H1950" s="6" t="s">
        <v>33</v>
      </c>
      <c r="I1950" s="6" t="s">
        <v>767</v>
      </c>
      <c r="J1950" s="6" t="s">
        <v>767</v>
      </c>
      <c r="K1950" s="7">
        <v>6270818</v>
      </c>
      <c r="L1950" s="7">
        <v>336004</v>
      </c>
      <c r="M1950" s="7">
        <v>19</v>
      </c>
      <c r="N1950" s="7">
        <v>1</v>
      </c>
      <c r="O1950" s="7">
        <v>0.3</v>
      </c>
    </row>
    <row r="1951" spans="1:15" x14ac:dyDescent="0.25">
      <c r="A1951" s="6" t="s">
        <v>14</v>
      </c>
      <c r="B1951" s="6" t="s">
        <v>522</v>
      </c>
      <c r="C1951" s="7">
        <v>31882</v>
      </c>
      <c r="D1951" s="6" t="s">
        <v>24</v>
      </c>
      <c r="E1951" s="6" t="s">
        <v>56</v>
      </c>
      <c r="F1951" s="6" t="s">
        <v>418</v>
      </c>
      <c r="G1951" s="6" t="s">
        <v>32</v>
      </c>
      <c r="H1951" s="6" t="s">
        <v>33</v>
      </c>
      <c r="I1951" s="6" t="s">
        <v>767</v>
      </c>
      <c r="J1951" s="6" t="s">
        <v>767</v>
      </c>
      <c r="K1951" s="7">
        <v>6271239</v>
      </c>
      <c r="L1951" s="7">
        <v>335982</v>
      </c>
      <c r="M1951" s="7">
        <v>19</v>
      </c>
      <c r="N1951" s="7">
        <v>1</v>
      </c>
      <c r="O1951" s="7">
        <v>0.3</v>
      </c>
    </row>
    <row r="1952" spans="1:15" x14ac:dyDescent="0.25">
      <c r="A1952" s="6" t="s">
        <v>28</v>
      </c>
      <c r="B1952" s="6" t="s">
        <v>522</v>
      </c>
      <c r="C1952" s="7">
        <v>31883</v>
      </c>
      <c r="D1952" s="6" t="s">
        <v>24</v>
      </c>
      <c r="E1952" s="6" t="s">
        <v>56</v>
      </c>
      <c r="F1952" s="6" t="s">
        <v>418</v>
      </c>
      <c r="G1952" s="6" t="s">
        <v>32</v>
      </c>
      <c r="H1952" s="6" t="s">
        <v>19</v>
      </c>
      <c r="I1952" s="6" t="s">
        <v>767</v>
      </c>
      <c r="J1952" s="6" t="s">
        <v>767</v>
      </c>
      <c r="K1952" s="7">
        <v>6274226</v>
      </c>
      <c r="L1952" s="7">
        <v>334687</v>
      </c>
      <c r="M1952" s="7">
        <v>19</v>
      </c>
      <c r="N1952" s="7">
        <v>1</v>
      </c>
      <c r="O1952" s="7">
        <v>1.2</v>
      </c>
    </row>
    <row r="1953" spans="1:15" x14ac:dyDescent="0.25">
      <c r="A1953" s="6" t="s">
        <v>14</v>
      </c>
      <c r="B1953" s="6" t="s">
        <v>522</v>
      </c>
      <c r="C1953" s="7">
        <v>31884</v>
      </c>
      <c r="D1953" s="6" t="s">
        <v>24</v>
      </c>
      <c r="E1953" s="6" t="s">
        <v>96</v>
      </c>
      <c r="F1953" s="6" t="s">
        <v>96</v>
      </c>
      <c r="G1953" s="6" t="s">
        <v>32</v>
      </c>
      <c r="H1953" s="6" t="s">
        <v>33</v>
      </c>
      <c r="I1953" s="6" t="s">
        <v>767</v>
      </c>
      <c r="J1953" s="6" t="s">
        <v>767</v>
      </c>
      <c r="K1953" s="7">
        <v>6257332</v>
      </c>
      <c r="L1953" s="7">
        <v>341981</v>
      </c>
      <c r="M1953" s="7">
        <v>19</v>
      </c>
      <c r="N1953" s="7">
        <v>1</v>
      </c>
      <c r="O1953" s="7">
        <v>7.0000000000000007E-2</v>
      </c>
    </row>
    <row r="1954" spans="1:15" x14ac:dyDescent="0.25">
      <c r="A1954" s="6" t="s">
        <v>14</v>
      </c>
      <c r="B1954" s="6" t="s">
        <v>522</v>
      </c>
      <c r="C1954" s="7">
        <v>31885</v>
      </c>
      <c r="D1954" s="6" t="s">
        <v>24</v>
      </c>
      <c r="E1954" s="6" t="s">
        <v>56</v>
      </c>
      <c r="F1954" s="6" t="s">
        <v>547</v>
      </c>
      <c r="G1954" s="6" t="s">
        <v>32</v>
      </c>
      <c r="H1954" s="6" t="s">
        <v>33</v>
      </c>
      <c r="I1954" s="6" t="s">
        <v>767</v>
      </c>
      <c r="J1954" s="6" t="s">
        <v>767</v>
      </c>
      <c r="K1954" s="7">
        <v>6273903</v>
      </c>
      <c r="L1954" s="7">
        <v>338844</v>
      </c>
      <c r="M1954" s="7">
        <v>19</v>
      </c>
      <c r="N1954" s="7">
        <v>1</v>
      </c>
      <c r="O1954" s="7">
        <v>0.36</v>
      </c>
    </row>
    <row r="1955" spans="1:15" x14ac:dyDescent="0.25">
      <c r="A1955" s="6" t="s">
        <v>14</v>
      </c>
      <c r="B1955" s="6" t="s">
        <v>522</v>
      </c>
      <c r="C1955" s="7">
        <v>31886</v>
      </c>
      <c r="D1955" s="6" t="s">
        <v>39</v>
      </c>
      <c r="E1955" s="6" t="s">
        <v>53</v>
      </c>
      <c r="F1955" s="6" t="s">
        <v>53</v>
      </c>
      <c r="G1955" s="6" t="s">
        <v>32</v>
      </c>
      <c r="H1955" s="6" t="s">
        <v>33</v>
      </c>
      <c r="I1955" s="6" t="s">
        <v>767</v>
      </c>
      <c r="J1955" s="6" t="s">
        <v>764</v>
      </c>
      <c r="K1955" s="7">
        <v>6144958</v>
      </c>
      <c r="L1955" s="7">
        <v>306275</v>
      </c>
      <c r="M1955" s="7">
        <v>19</v>
      </c>
      <c r="N1955" s="7">
        <v>1</v>
      </c>
      <c r="O1955" s="7">
        <v>3</v>
      </c>
    </row>
    <row r="1956" spans="1:15" x14ac:dyDescent="0.25">
      <c r="A1956" s="6" t="s">
        <v>28</v>
      </c>
      <c r="B1956" s="6" t="s">
        <v>522</v>
      </c>
      <c r="C1956" s="7">
        <v>31888</v>
      </c>
      <c r="D1956" s="6" t="s">
        <v>24</v>
      </c>
      <c r="E1956" s="6" t="s">
        <v>31</v>
      </c>
      <c r="F1956" s="6" t="s">
        <v>593</v>
      </c>
      <c r="G1956" s="6" t="s">
        <v>32</v>
      </c>
      <c r="H1956" s="6" t="s">
        <v>19</v>
      </c>
      <c r="I1956" s="6" t="s">
        <v>767</v>
      </c>
      <c r="J1956" s="6" t="s">
        <v>767</v>
      </c>
      <c r="K1956" s="7">
        <v>6276153</v>
      </c>
      <c r="L1956" s="7">
        <v>295808</v>
      </c>
      <c r="M1956" s="7">
        <v>19</v>
      </c>
      <c r="N1956" s="7">
        <v>1</v>
      </c>
      <c r="O1956" s="7">
        <v>1.1000000000000001</v>
      </c>
    </row>
    <row r="1957" spans="1:15" x14ac:dyDescent="0.25">
      <c r="A1957" s="6" t="s">
        <v>14</v>
      </c>
      <c r="B1957" s="6" t="s">
        <v>522</v>
      </c>
      <c r="C1957" s="7">
        <v>31889</v>
      </c>
      <c r="D1957" s="6" t="s">
        <v>39</v>
      </c>
      <c r="E1957" s="6" t="s">
        <v>53</v>
      </c>
      <c r="F1957" s="6" t="s">
        <v>53</v>
      </c>
      <c r="G1957" s="6" t="s">
        <v>32</v>
      </c>
      <c r="H1957" s="6" t="s">
        <v>33</v>
      </c>
      <c r="I1957" s="6" t="s">
        <v>767</v>
      </c>
      <c r="J1957" s="6" t="s">
        <v>764</v>
      </c>
      <c r="K1957" s="7">
        <v>6144958</v>
      </c>
      <c r="L1957" s="7">
        <v>306275</v>
      </c>
      <c r="M1957" s="7">
        <v>19</v>
      </c>
      <c r="N1957" s="7">
        <v>2</v>
      </c>
      <c r="O1957" s="7">
        <v>28.5</v>
      </c>
    </row>
    <row r="1958" spans="1:15" x14ac:dyDescent="0.25">
      <c r="A1958" s="6" t="s">
        <v>14</v>
      </c>
      <c r="B1958" s="6" t="s">
        <v>522</v>
      </c>
      <c r="C1958" s="7">
        <v>31893</v>
      </c>
      <c r="D1958" s="6" t="s">
        <v>39</v>
      </c>
      <c r="E1958" s="6" t="s">
        <v>53</v>
      </c>
      <c r="F1958" s="6" t="s">
        <v>53</v>
      </c>
      <c r="G1958" s="6" t="s">
        <v>32</v>
      </c>
      <c r="H1958" s="6" t="s">
        <v>33</v>
      </c>
      <c r="I1958" s="6" t="s">
        <v>767</v>
      </c>
      <c r="J1958" s="6" t="s">
        <v>764</v>
      </c>
      <c r="K1958" s="7">
        <v>6144958</v>
      </c>
      <c r="L1958" s="7">
        <v>306275</v>
      </c>
      <c r="M1958" s="7">
        <v>19</v>
      </c>
      <c r="N1958" s="7">
        <v>1</v>
      </c>
      <c r="O1958" s="7">
        <v>4</v>
      </c>
    </row>
    <row r="1959" spans="1:15" x14ac:dyDescent="0.25">
      <c r="A1959" s="6" t="s">
        <v>28</v>
      </c>
      <c r="B1959" s="6" t="s">
        <v>522</v>
      </c>
      <c r="C1959" s="7">
        <v>31896</v>
      </c>
      <c r="D1959" s="6" t="s">
        <v>39</v>
      </c>
      <c r="E1959" s="6" t="s">
        <v>53</v>
      </c>
      <c r="F1959" s="6" t="s">
        <v>53</v>
      </c>
      <c r="G1959" s="6" t="s">
        <v>32</v>
      </c>
      <c r="H1959" s="6" t="s">
        <v>33</v>
      </c>
      <c r="I1959" s="6" t="s">
        <v>767</v>
      </c>
      <c r="J1959" s="6" t="s">
        <v>767</v>
      </c>
      <c r="K1959" s="7">
        <v>6144448</v>
      </c>
      <c r="L1959" s="7">
        <v>310207</v>
      </c>
      <c r="M1959" s="7">
        <v>19</v>
      </c>
      <c r="N1959" s="7">
        <v>2</v>
      </c>
      <c r="O1959" s="7">
        <v>8.5</v>
      </c>
    </row>
    <row r="1960" spans="1:15" x14ac:dyDescent="0.25">
      <c r="A1960" s="6" t="s">
        <v>28</v>
      </c>
      <c r="B1960" s="6" t="s">
        <v>522</v>
      </c>
      <c r="C1960" s="7">
        <v>31901</v>
      </c>
      <c r="D1960" s="6" t="s">
        <v>24</v>
      </c>
      <c r="E1960" s="6" t="s">
        <v>31</v>
      </c>
      <c r="F1960" s="6" t="s">
        <v>415</v>
      </c>
      <c r="G1960" s="6" t="s">
        <v>32</v>
      </c>
      <c r="H1960" s="6" t="s">
        <v>33</v>
      </c>
      <c r="I1960" s="6" t="s">
        <v>767</v>
      </c>
      <c r="J1960" s="6" t="s">
        <v>764</v>
      </c>
      <c r="K1960" s="7">
        <v>6272971</v>
      </c>
      <c r="L1960" s="7">
        <v>300201</v>
      </c>
      <c r="M1960" s="7">
        <v>19</v>
      </c>
      <c r="N1960" s="7">
        <v>1</v>
      </c>
      <c r="O1960" s="7">
        <v>1.61</v>
      </c>
    </row>
    <row r="1961" spans="1:15" x14ac:dyDescent="0.25">
      <c r="A1961" s="6" t="s">
        <v>14</v>
      </c>
      <c r="B1961" s="6" t="s">
        <v>522</v>
      </c>
      <c r="C1961" s="7">
        <v>31903</v>
      </c>
      <c r="D1961" s="6" t="s">
        <v>39</v>
      </c>
      <c r="E1961" s="6" t="s">
        <v>72</v>
      </c>
      <c r="F1961" s="6" t="s">
        <v>72</v>
      </c>
      <c r="G1961" s="6" t="s">
        <v>32</v>
      </c>
      <c r="H1961" s="6" t="s">
        <v>33</v>
      </c>
      <c r="I1961" s="6" t="s">
        <v>767</v>
      </c>
      <c r="J1961" s="6" t="s">
        <v>767</v>
      </c>
      <c r="K1961" s="7">
        <v>6072358</v>
      </c>
      <c r="L1961" s="7">
        <v>287184</v>
      </c>
      <c r="M1961" s="7">
        <v>19</v>
      </c>
      <c r="N1961" s="7">
        <v>7</v>
      </c>
      <c r="O1961" s="7">
        <v>45.6</v>
      </c>
    </row>
    <row r="1962" spans="1:15" x14ac:dyDescent="0.25">
      <c r="A1962" s="6" t="s">
        <v>28</v>
      </c>
      <c r="B1962" s="6" t="s">
        <v>522</v>
      </c>
      <c r="C1962" s="7">
        <v>31909</v>
      </c>
      <c r="D1962" s="6" t="s">
        <v>24</v>
      </c>
      <c r="E1962" s="6" t="s">
        <v>62</v>
      </c>
      <c r="F1962" s="6" t="s">
        <v>594</v>
      </c>
      <c r="G1962" s="6" t="s">
        <v>32</v>
      </c>
      <c r="H1962" s="6" t="s">
        <v>19</v>
      </c>
      <c r="I1962" s="6" t="s">
        <v>767</v>
      </c>
      <c r="J1962" s="6" t="s">
        <v>767</v>
      </c>
      <c r="K1962" s="7">
        <v>6282347</v>
      </c>
      <c r="L1962" s="7">
        <v>327354</v>
      </c>
      <c r="M1962" s="7">
        <v>19</v>
      </c>
      <c r="N1962" s="7">
        <v>1</v>
      </c>
      <c r="O1962" s="7">
        <v>1.6</v>
      </c>
    </row>
    <row r="1963" spans="1:15" x14ac:dyDescent="0.25">
      <c r="A1963" s="6" t="s">
        <v>28</v>
      </c>
      <c r="B1963" s="6" t="s">
        <v>522</v>
      </c>
      <c r="C1963" s="7">
        <v>31910</v>
      </c>
      <c r="D1963" s="6" t="s">
        <v>24</v>
      </c>
      <c r="E1963" s="6" t="s">
        <v>56</v>
      </c>
      <c r="F1963" s="6" t="s">
        <v>595</v>
      </c>
      <c r="G1963" s="6" t="s">
        <v>32</v>
      </c>
      <c r="H1963" s="6" t="s">
        <v>153</v>
      </c>
      <c r="I1963" s="6" t="s">
        <v>767</v>
      </c>
      <c r="J1963" s="6" t="s">
        <v>764</v>
      </c>
      <c r="K1963" s="7">
        <v>6274293</v>
      </c>
      <c r="L1963" s="7">
        <v>339225</v>
      </c>
      <c r="M1963" s="7">
        <v>19</v>
      </c>
      <c r="N1963" s="7">
        <v>1</v>
      </c>
      <c r="O1963" s="7">
        <v>3.6</v>
      </c>
    </row>
    <row r="1964" spans="1:15" x14ac:dyDescent="0.25">
      <c r="A1964" s="6" t="s">
        <v>28</v>
      </c>
      <c r="B1964" s="6" t="s">
        <v>522</v>
      </c>
      <c r="C1964" s="7">
        <v>31912</v>
      </c>
      <c r="D1964" s="6" t="s">
        <v>24</v>
      </c>
      <c r="E1964" s="6" t="s">
        <v>38</v>
      </c>
      <c r="F1964" s="6" t="s">
        <v>576</v>
      </c>
      <c r="G1964" s="6" t="s">
        <v>32</v>
      </c>
      <c r="H1964" s="6" t="s">
        <v>19</v>
      </c>
      <c r="I1964" s="6" t="s">
        <v>767</v>
      </c>
      <c r="J1964" s="6" t="s">
        <v>767</v>
      </c>
      <c r="K1964" s="7">
        <v>6268295</v>
      </c>
      <c r="L1964" s="7">
        <v>309835</v>
      </c>
      <c r="M1964" s="7">
        <v>19</v>
      </c>
      <c r="N1964" s="7">
        <v>1</v>
      </c>
      <c r="O1964" s="7">
        <v>1.65</v>
      </c>
    </row>
    <row r="1965" spans="1:15" x14ac:dyDescent="0.25">
      <c r="A1965" s="6" t="s">
        <v>28</v>
      </c>
      <c r="B1965" s="6" t="s">
        <v>522</v>
      </c>
      <c r="C1965" s="7">
        <v>31914</v>
      </c>
      <c r="D1965" s="6" t="s">
        <v>24</v>
      </c>
      <c r="E1965" s="6" t="s">
        <v>56</v>
      </c>
      <c r="F1965" s="6" t="s">
        <v>179</v>
      </c>
      <c r="G1965" s="6" t="s">
        <v>32</v>
      </c>
      <c r="H1965" s="6" t="s">
        <v>19</v>
      </c>
      <c r="I1965" s="6" t="s">
        <v>767</v>
      </c>
      <c r="J1965" s="6" t="s">
        <v>767</v>
      </c>
      <c r="K1965" s="7">
        <v>6266989</v>
      </c>
      <c r="L1965" s="7">
        <v>333748</v>
      </c>
      <c r="M1965" s="7">
        <v>19</v>
      </c>
      <c r="N1965" s="7">
        <v>1</v>
      </c>
      <c r="O1965" s="7">
        <v>1.03</v>
      </c>
    </row>
    <row r="1966" spans="1:15" x14ac:dyDescent="0.25">
      <c r="A1966" s="6" t="s">
        <v>14</v>
      </c>
      <c r="B1966" s="6" t="s">
        <v>522</v>
      </c>
      <c r="C1966" s="7">
        <v>31915</v>
      </c>
      <c r="D1966" s="6" t="s">
        <v>24</v>
      </c>
      <c r="E1966" s="6" t="s">
        <v>25</v>
      </c>
      <c r="F1966" s="6" t="s">
        <v>25</v>
      </c>
      <c r="G1966" s="6" t="s">
        <v>32</v>
      </c>
      <c r="H1966" s="6" t="s">
        <v>33</v>
      </c>
      <c r="I1966" s="6" t="s">
        <v>767</v>
      </c>
      <c r="J1966" s="6" t="s">
        <v>764</v>
      </c>
      <c r="K1966" s="7">
        <v>6267622</v>
      </c>
      <c r="L1966" s="7">
        <v>341492</v>
      </c>
      <c r="M1966" s="7">
        <v>19</v>
      </c>
      <c r="N1966" s="7">
        <v>1</v>
      </c>
      <c r="O1966" s="7">
        <v>0.44</v>
      </c>
    </row>
    <row r="1967" spans="1:15" x14ac:dyDescent="0.25">
      <c r="A1967" s="6" t="s">
        <v>28</v>
      </c>
      <c r="B1967" s="6" t="s">
        <v>522</v>
      </c>
      <c r="C1967" s="7">
        <v>31916</v>
      </c>
      <c r="D1967" s="6" t="s">
        <v>24</v>
      </c>
      <c r="E1967" s="6" t="s">
        <v>31</v>
      </c>
      <c r="F1967" s="6" t="s">
        <v>582</v>
      </c>
      <c r="G1967" s="6" t="s">
        <v>32</v>
      </c>
      <c r="H1967" s="6" t="s">
        <v>19</v>
      </c>
      <c r="I1967" s="6" t="s">
        <v>767</v>
      </c>
      <c r="J1967" s="6" t="s">
        <v>767</v>
      </c>
      <c r="K1967" s="7">
        <v>6276669</v>
      </c>
      <c r="L1967" s="7">
        <v>296466</v>
      </c>
      <c r="M1967" s="7">
        <v>19</v>
      </c>
      <c r="N1967" s="7">
        <v>1</v>
      </c>
      <c r="O1967" s="7">
        <v>1</v>
      </c>
    </row>
    <row r="1968" spans="1:15" x14ac:dyDescent="0.25">
      <c r="A1968" s="6" t="s">
        <v>28</v>
      </c>
      <c r="B1968" s="6" t="s">
        <v>522</v>
      </c>
      <c r="C1968" s="7">
        <v>31935</v>
      </c>
      <c r="D1968" s="6" t="s">
        <v>42</v>
      </c>
      <c r="E1968" s="6" t="s">
        <v>536</v>
      </c>
      <c r="F1968" s="6" t="s">
        <v>477</v>
      </c>
      <c r="G1968" s="6" t="s">
        <v>32</v>
      </c>
      <c r="H1968" s="6" t="s">
        <v>33</v>
      </c>
      <c r="I1968" s="6" t="s">
        <v>767</v>
      </c>
      <c r="J1968" s="6" t="s">
        <v>767</v>
      </c>
      <c r="K1968" s="7">
        <v>6148373</v>
      </c>
      <c r="L1968" s="7">
        <v>316886</v>
      </c>
      <c r="M1968" s="7">
        <v>19</v>
      </c>
      <c r="N1968" s="7">
        <v>1</v>
      </c>
      <c r="O1968" s="7">
        <v>11</v>
      </c>
    </row>
    <row r="1969" spans="1:15" x14ac:dyDescent="0.25">
      <c r="A1969" s="6" t="s">
        <v>28</v>
      </c>
      <c r="B1969" s="6" t="s">
        <v>522</v>
      </c>
      <c r="C1969" s="7">
        <v>31946</v>
      </c>
      <c r="D1969" s="6" t="s">
        <v>42</v>
      </c>
      <c r="E1969" s="6" t="s">
        <v>51</v>
      </c>
      <c r="F1969" s="6" t="s">
        <v>85</v>
      </c>
      <c r="G1969" s="6" t="s">
        <v>32</v>
      </c>
      <c r="H1969" s="6" t="s">
        <v>33</v>
      </c>
      <c r="I1969" s="6" t="s">
        <v>767</v>
      </c>
      <c r="J1969" s="6" t="s">
        <v>767</v>
      </c>
      <c r="K1969" s="7">
        <v>6148238</v>
      </c>
      <c r="L1969" s="7">
        <v>316822</v>
      </c>
      <c r="M1969" s="7">
        <v>19</v>
      </c>
      <c r="N1969" s="7">
        <v>1</v>
      </c>
      <c r="O1969" s="7">
        <v>4</v>
      </c>
    </row>
    <row r="1970" spans="1:15" x14ac:dyDescent="0.25">
      <c r="A1970" s="6" t="s">
        <v>28</v>
      </c>
      <c r="B1970" s="6" t="s">
        <v>522</v>
      </c>
      <c r="C1970" s="7">
        <v>31954</v>
      </c>
      <c r="D1970" s="6" t="s">
        <v>42</v>
      </c>
      <c r="E1970" s="6" t="s">
        <v>51</v>
      </c>
      <c r="F1970" s="6" t="s">
        <v>85</v>
      </c>
      <c r="G1970" s="6" t="s">
        <v>32</v>
      </c>
      <c r="H1970" s="6" t="s">
        <v>33</v>
      </c>
      <c r="I1970" s="6" t="s">
        <v>767</v>
      </c>
      <c r="J1970" s="6" t="s">
        <v>767</v>
      </c>
      <c r="K1970" s="7">
        <v>6147876</v>
      </c>
      <c r="L1970" s="7">
        <v>316960</v>
      </c>
      <c r="M1970" s="7">
        <v>19</v>
      </c>
      <c r="N1970" s="7">
        <v>1</v>
      </c>
      <c r="O1970" s="7">
        <v>11</v>
      </c>
    </row>
    <row r="1971" spans="1:15" x14ac:dyDescent="0.25">
      <c r="A1971" s="6" t="s">
        <v>14</v>
      </c>
      <c r="B1971" s="6" t="s">
        <v>522</v>
      </c>
      <c r="C1971" s="7">
        <v>31961</v>
      </c>
      <c r="D1971" s="6" t="s">
        <v>42</v>
      </c>
      <c r="E1971" s="6" t="s">
        <v>196</v>
      </c>
      <c r="F1971" s="6" t="s">
        <v>196</v>
      </c>
      <c r="G1971" s="6" t="s">
        <v>32</v>
      </c>
      <c r="H1971" s="6" t="s">
        <v>33</v>
      </c>
      <c r="I1971" s="6" t="s">
        <v>767</v>
      </c>
      <c r="J1971" s="6" t="s">
        <v>764</v>
      </c>
      <c r="K1971" s="7">
        <v>6215748</v>
      </c>
      <c r="L1971" s="7">
        <v>343896</v>
      </c>
      <c r="M1971" s="7">
        <v>19</v>
      </c>
      <c r="N1971" s="7">
        <v>2</v>
      </c>
      <c r="O1971" s="7">
        <v>28.97</v>
      </c>
    </row>
    <row r="1972" spans="1:15" x14ac:dyDescent="0.25">
      <c r="A1972" s="6" t="s">
        <v>14</v>
      </c>
      <c r="B1972" s="6" t="s">
        <v>522</v>
      </c>
      <c r="C1972" s="7">
        <v>31964</v>
      </c>
      <c r="D1972" s="6" t="s">
        <v>42</v>
      </c>
      <c r="E1972" s="6" t="s">
        <v>51</v>
      </c>
      <c r="F1972" s="6" t="s">
        <v>51</v>
      </c>
      <c r="G1972" s="6" t="s">
        <v>32</v>
      </c>
      <c r="H1972" s="6" t="s">
        <v>33</v>
      </c>
      <c r="I1972" s="6" t="s">
        <v>767</v>
      </c>
      <c r="J1972" s="6" t="s">
        <v>764</v>
      </c>
      <c r="K1972" s="7">
        <v>6169398</v>
      </c>
      <c r="L1972" s="7">
        <v>321996</v>
      </c>
      <c r="M1972" s="7">
        <v>19</v>
      </c>
      <c r="N1972" s="7">
        <v>1</v>
      </c>
      <c r="O1972" s="7">
        <v>12</v>
      </c>
    </row>
    <row r="1973" spans="1:15" x14ac:dyDescent="0.25">
      <c r="A1973" s="6" t="s">
        <v>22</v>
      </c>
      <c r="B1973" s="6" t="s">
        <v>522</v>
      </c>
      <c r="C1973" s="7">
        <v>32031</v>
      </c>
      <c r="D1973" s="6" t="s">
        <v>24</v>
      </c>
      <c r="E1973" s="6" t="s">
        <v>25</v>
      </c>
      <c r="F1973" s="6" t="s">
        <v>445</v>
      </c>
      <c r="G1973" s="6" t="s">
        <v>32</v>
      </c>
      <c r="H1973" s="6" t="s">
        <v>765</v>
      </c>
      <c r="I1973" s="6" t="s">
        <v>767</v>
      </c>
      <c r="J1973" s="6" t="s">
        <v>767</v>
      </c>
      <c r="K1973" s="7">
        <v>6259394</v>
      </c>
      <c r="L1973" s="7">
        <v>332816</v>
      </c>
      <c r="M1973" s="7">
        <v>19</v>
      </c>
      <c r="N1973" s="7">
        <v>1</v>
      </c>
      <c r="O1973" s="7">
        <v>0.79</v>
      </c>
    </row>
    <row r="1974" spans="1:15" x14ac:dyDescent="0.25">
      <c r="A1974" s="6" t="s">
        <v>28</v>
      </c>
      <c r="B1974" s="6" t="s">
        <v>522</v>
      </c>
      <c r="C1974" s="7">
        <v>32035</v>
      </c>
      <c r="D1974" s="6" t="s">
        <v>42</v>
      </c>
      <c r="E1974" s="6" t="s">
        <v>51</v>
      </c>
      <c r="F1974" s="6" t="s">
        <v>85</v>
      </c>
      <c r="G1974" s="6" t="s">
        <v>32</v>
      </c>
      <c r="H1974" s="6" t="s">
        <v>33</v>
      </c>
      <c r="I1974" s="6" t="s">
        <v>764</v>
      </c>
      <c r="J1974" s="6" t="s">
        <v>767</v>
      </c>
      <c r="K1974" s="7">
        <v>6148923</v>
      </c>
      <c r="L1974" s="7">
        <v>317126</v>
      </c>
      <c r="M1974" s="7">
        <v>19</v>
      </c>
      <c r="N1974" s="7">
        <v>1</v>
      </c>
      <c r="O1974" s="7">
        <v>7</v>
      </c>
    </row>
    <row r="1975" spans="1:15" x14ac:dyDescent="0.25">
      <c r="A1975" s="6" t="s">
        <v>14</v>
      </c>
      <c r="B1975" s="6" t="s">
        <v>522</v>
      </c>
      <c r="C1975" s="7">
        <v>32040</v>
      </c>
      <c r="D1975" s="6" t="s">
        <v>39</v>
      </c>
      <c r="E1975" s="6" t="s">
        <v>53</v>
      </c>
      <c r="F1975" s="6" t="s">
        <v>53</v>
      </c>
      <c r="G1975" s="6" t="s">
        <v>32</v>
      </c>
      <c r="H1975" s="6" t="s">
        <v>33</v>
      </c>
      <c r="I1975" s="6" t="s">
        <v>767</v>
      </c>
      <c r="J1975" s="6" t="s">
        <v>767</v>
      </c>
      <c r="K1975" s="7">
        <v>6144448</v>
      </c>
      <c r="L1975" s="7">
        <v>310207</v>
      </c>
      <c r="M1975" s="7">
        <v>19</v>
      </c>
      <c r="N1975" s="7">
        <v>1</v>
      </c>
      <c r="O1975" s="7">
        <v>8.5</v>
      </c>
    </row>
    <row r="1976" spans="1:15" x14ac:dyDescent="0.25">
      <c r="A1976" s="6" t="s">
        <v>28</v>
      </c>
      <c r="B1976" s="6" t="s">
        <v>522</v>
      </c>
      <c r="C1976" s="7">
        <v>32067</v>
      </c>
      <c r="D1976" s="6" t="s">
        <v>39</v>
      </c>
      <c r="E1976" s="6" t="s">
        <v>72</v>
      </c>
      <c r="F1976" s="6" t="s">
        <v>72</v>
      </c>
      <c r="G1976" s="6" t="s">
        <v>32</v>
      </c>
      <c r="H1976" s="6" t="s">
        <v>33</v>
      </c>
      <c r="I1976" s="6" t="s">
        <v>764</v>
      </c>
      <c r="J1976" s="6" t="s">
        <v>767</v>
      </c>
      <c r="K1976" s="7">
        <v>6060177</v>
      </c>
      <c r="L1976" s="7">
        <v>285228</v>
      </c>
      <c r="M1976" s="7">
        <v>19</v>
      </c>
      <c r="N1976" s="7">
        <v>1</v>
      </c>
      <c r="O1976" s="7">
        <v>4.5</v>
      </c>
    </row>
    <row r="1977" spans="1:15" x14ac:dyDescent="0.25">
      <c r="A1977" s="6" t="s">
        <v>28</v>
      </c>
      <c r="B1977" s="6" t="s">
        <v>522</v>
      </c>
      <c r="C1977" s="7">
        <v>32070</v>
      </c>
      <c r="D1977" s="6" t="s">
        <v>39</v>
      </c>
      <c r="E1977" s="6" t="s">
        <v>72</v>
      </c>
      <c r="F1977" s="6" t="s">
        <v>72</v>
      </c>
      <c r="G1977" s="6" t="s">
        <v>32</v>
      </c>
      <c r="H1977" s="6" t="s">
        <v>33</v>
      </c>
      <c r="I1977" s="6" t="s">
        <v>767</v>
      </c>
      <c r="J1977" s="6" t="s">
        <v>767</v>
      </c>
      <c r="K1977" s="7">
        <v>6059606</v>
      </c>
      <c r="L1977" s="7">
        <v>286394</v>
      </c>
      <c r="M1977" s="7">
        <v>19</v>
      </c>
      <c r="N1977" s="7">
        <v>1</v>
      </c>
      <c r="O1977" s="7">
        <v>9.75</v>
      </c>
    </row>
    <row r="1978" spans="1:15" x14ac:dyDescent="0.25">
      <c r="A1978" s="6" t="s">
        <v>22</v>
      </c>
      <c r="B1978" s="6" t="s">
        <v>522</v>
      </c>
      <c r="C1978" s="7">
        <v>32072</v>
      </c>
      <c r="D1978" s="6" t="s">
        <v>24</v>
      </c>
      <c r="E1978" s="6" t="s">
        <v>25</v>
      </c>
      <c r="F1978" s="6" t="s">
        <v>426</v>
      </c>
      <c r="G1978" s="6" t="s">
        <v>32</v>
      </c>
      <c r="H1978" s="6" t="s">
        <v>765</v>
      </c>
      <c r="I1978" s="6" t="s">
        <v>767</v>
      </c>
      <c r="J1978" s="6" t="s">
        <v>767</v>
      </c>
      <c r="K1978" s="7">
        <v>6259265</v>
      </c>
      <c r="L1978" s="7">
        <v>330985</v>
      </c>
      <c r="M1978" s="7">
        <v>19</v>
      </c>
      <c r="N1978" s="7">
        <v>1</v>
      </c>
      <c r="O1978" s="7">
        <v>0.46</v>
      </c>
    </row>
    <row r="1979" spans="1:15" x14ac:dyDescent="0.25">
      <c r="A1979" s="6" t="s">
        <v>28</v>
      </c>
      <c r="B1979" s="6" t="s">
        <v>522</v>
      </c>
      <c r="C1979" s="7">
        <v>32074</v>
      </c>
      <c r="D1979" s="6" t="s">
        <v>39</v>
      </c>
      <c r="E1979" s="6" t="s">
        <v>72</v>
      </c>
      <c r="F1979" s="6" t="s">
        <v>72</v>
      </c>
      <c r="G1979" s="6" t="s">
        <v>32</v>
      </c>
      <c r="H1979" s="6" t="s">
        <v>33</v>
      </c>
      <c r="I1979" s="6" t="s">
        <v>767</v>
      </c>
      <c r="J1979" s="6" t="s">
        <v>767</v>
      </c>
      <c r="K1979" s="7">
        <v>6068697</v>
      </c>
      <c r="L1979" s="7">
        <v>271161</v>
      </c>
      <c r="M1979" s="7">
        <v>19</v>
      </c>
      <c r="N1979" s="7">
        <v>1</v>
      </c>
      <c r="O1979" s="7">
        <v>10</v>
      </c>
    </row>
    <row r="1980" spans="1:15" x14ac:dyDescent="0.25">
      <c r="A1980" s="6" t="s">
        <v>22</v>
      </c>
      <c r="B1980" s="6" t="s">
        <v>522</v>
      </c>
      <c r="C1980" s="7">
        <v>32076</v>
      </c>
      <c r="D1980" s="6" t="s">
        <v>42</v>
      </c>
      <c r="E1980" s="6" t="s">
        <v>51</v>
      </c>
      <c r="F1980" s="6" t="s">
        <v>596</v>
      </c>
      <c r="G1980" s="6" t="s">
        <v>32</v>
      </c>
      <c r="H1980" s="6" t="s">
        <v>765</v>
      </c>
      <c r="I1980" s="6" t="s">
        <v>767</v>
      </c>
      <c r="J1980" s="6" t="s">
        <v>767</v>
      </c>
      <c r="K1980" s="7">
        <v>6154544</v>
      </c>
      <c r="L1980" s="7">
        <v>311894</v>
      </c>
      <c r="M1980" s="7">
        <v>19</v>
      </c>
      <c r="N1980" s="7">
        <v>1</v>
      </c>
      <c r="O1980" s="7">
        <v>0.5</v>
      </c>
    </row>
    <row r="1981" spans="1:15" x14ac:dyDescent="0.25">
      <c r="A1981" s="6" t="s">
        <v>22</v>
      </c>
      <c r="B1981" s="6" t="s">
        <v>522</v>
      </c>
      <c r="C1981" s="7">
        <v>32077</v>
      </c>
      <c r="D1981" s="6" t="s">
        <v>42</v>
      </c>
      <c r="E1981" s="6" t="s">
        <v>536</v>
      </c>
      <c r="F1981" s="6" t="s">
        <v>477</v>
      </c>
      <c r="G1981" s="6" t="s">
        <v>32</v>
      </c>
      <c r="H1981" s="6" t="s">
        <v>765</v>
      </c>
      <c r="I1981" s="6" t="s">
        <v>767</v>
      </c>
      <c r="J1981" s="6" t="s">
        <v>767</v>
      </c>
      <c r="K1981" s="7">
        <v>6183341</v>
      </c>
      <c r="L1981" s="7">
        <v>318720</v>
      </c>
      <c r="M1981" s="7">
        <v>19</v>
      </c>
      <c r="N1981" s="7">
        <v>2</v>
      </c>
      <c r="O1981" s="7">
        <v>0.7</v>
      </c>
    </row>
    <row r="1982" spans="1:15" x14ac:dyDescent="0.25">
      <c r="A1982" s="6" t="s">
        <v>28</v>
      </c>
      <c r="B1982" s="6" t="s">
        <v>522</v>
      </c>
      <c r="C1982" s="7">
        <v>32079</v>
      </c>
      <c r="D1982" s="6" t="s">
        <v>39</v>
      </c>
      <c r="E1982" s="6" t="s">
        <v>72</v>
      </c>
      <c r="F1982" s="6" t="s">
        <v>72</v>
      </c>
      <c r="G1982" s="6" t="s">
        <v>32</v>
      </c>
      <c r="H1982" s="6" t="s">
        <v>33</v>
      </c>
      <c r="I1982" s="6" t="s">
        <v>764</v>
      </c>
      <c r="J1982" s="6" t="s">
        <v>767</v>
      </c>
      <c r="K1982" s="7">
        <v>6060177</v>
      </c>
      <c r="L1982" s="7">
        <v>285228</v>
      </c>
      <c r="M1982" s="7">
        <v>19</v>
      </c>
      <c r="N1982" s="7">
        <v>1</v>
      </c>
      <c r="O1982" s="7">
        <v>6.4</v>
      </c>
    </row>
    <row r="1983" spans="1:15" x14ac:dyDescent="0.25">
      <c r="A1983" s="6" t="s">
        <v>28</v>
      </c>
      <c r="B1983" s="6" t="s">
        <v>522</v>
      </c>
      <c r="C1983" s="7">
        <v>32081</v>
      </c>
      <c r="D1983" s="6" t="s">
        <v>24</v>
      </c>
      <c r="E1983" s="6" t="s">
        <v>580</v>
      </c>
      <c r="F1983" s="6" t="s">
        <v>581</v>
      </c>
      <c r="G1983" s="6" t="s">
        <v>32</v>
      </c>
      <c r="H1983" s="6" t="s">
        <v>153</v>
      </c>
      <c r="I1983" s="6" t="s">
        <v>767</v>
      </c>
      <c r="J1983" s="6" t="s">
        <v>764</v>
      </c>
      <c r="K1983" s="7">
        <v>6315908</v>
      </c>
      <c r="L1983" s="7">
        <v>345625</v>
      </c>
      <c r="M1983" s="7">
        <v>19</v>
      </c>
      <c r="N1983" s="7">
        <v>1</v>
      </c>
      <c r="O1983" s="7">
        <v>0.4</v>
      </c>
    </row>
    <row r="1984" spans="1:15" x14ac:dyDescent="0.25">
      <c r="A1984" s="6" t="s">
        <v>28</v>
      </c>
      <c r="B1984" s="6" t="s">
        <v>522</v>
      </c>
      <c r="C1984" s="7">
        <v>32083</v>
      </c>
      <c r="D1984" s="6" t="s">
        <v>24</v>
      </c>
      <c r="E1984" s="6" t="s">
        <v>31</v>
      </c>
      <c r="F1984" s="6" t="s">
        <v>415</v>
      </c>
      <c r="G1984" s="6" t="s">
        <v>32</v>
      </c>
      <c r="H1984" s="6" t="s">
        <v>19</v>
      </c>
      <c r="I1984" s="6" t="s">
        <v>767</v>
      </c>
      <c r="J1984" s="6" t="s">
        <v>767</v>
      </c>
      <c r="K1984" s="7">
        <v>6272580</v>
      </c>
      <c r="L1984" s="7">
        <v>300937</v>
      </c>
      <c r="M1984" s="7">
        <v>19</v>
      </c>
      <c r="N1984" s="7">
        <v>1</v>
      </c>
      <c r="O1984" s="7">
        <v>0.9</v>
      </c>
    </row>
    <row r="1985" spans="1:15" x14ac:dyDescent="0.25">
      <c r="A1985" s="6" t="s">
        <v>22</v>
      </c>
      <c r="B1985" s="6" t="s">
        <v>522</v>
      </c>
      <c r="C1985" s="7">
        <v>32087</v>
      </c>
      <c r="D1985" s="6" t="s">
        <v>24</v>
      </c>
      <c r="E1985" s="6" t="s">
        <v>25</v>
      </c>
      <c r="F1985" s="6" t="s">
        <v>445</v>
      </c>
      <c r="G1985" s="6" t="s">
        <v>32</v>
      </c>
      <c r="H1985" s="6" t="s">
        <v>765</v>
      </c>
      <c r="I1985" s="6" t="s">
        <v>767</v>
      </c>
      <c r="J1985" s="6" t="s">
        <v>767</v>
      </c>
      <c r="K1985" s="7">
        <v>6259394</v>
      </c>
      <c r="L1985" s="7">
        <v>332816</v>
      </c>
      <c r="M1985" s="7">
        <v>19</v>
      </c>
      <c r="N1985" s="7">
        <v>1</v>
      </c>
      <c r="O1985" s="7">
        <v>0.12</v>
      </c>
    </row>
    <row r="1986" spans="1:15" x14ac:dyDescent="0.25">
      <c r="A1986" s="6" t="s">
        <v>14</v>
      </c>
      <c r="B1986" s="6" t="s">
        <v>522</v>
      </c>
      <c r="C1986" s="7">
        <v>32089</v>
      </c>
      <c r="D1986" s="6" t="s">
        <v>24</v>
      </c>
      <c r="E1986" s="6" t="s">
        <v>51</v>
      </c>
      <c r="F1986" s="6" t="s">
        <v>51</v>
      </c>
      <c r="G1986" s="6" t="s">
        <v>32</v>
      </c>
      <c r="H1986" s="6" t="s">
        <v>33</v>
      </c>
      <c r="I1986" s="6" t="s">
        <v>767</v>
      </c>
      <c r="J1986" s="6" t="s">
        <v>767</v>
      </c>
      <c r="K1986" s="7">
        <v>6280078</v>
      </c>
      <c r="L1986" s="7">
        <v>330363</v>
      </c>
      <c r="M1986" s="7">
        <v>19</v>
      </c>
      <c r="N1986" s="7">
        <v>1</v>
      </c>
      <c r="O1986" s="7">
        <v>0.15</v>
      </c>
    </row>
    <row r="1987" spans="1:15" x14ac:dyDescent="0.25">
      <c r="A1987" s="6" t="s">
        <v>14</v>
      </c>
      <c r="B1987" s="6" t="s">
        <v>522</v>
      </c>
      <c r="C1987" s="7">
        <v>32091</v>
      </c>
      <c r="D1987" s="6" t="s">
        <v>24</v>
      </c>
      <c r="E1987" s="6" t="s">
        <v>56</v>
      </c>
      <c r="F1987" s="6" t="s">
        <v>418</v>
      </c>
      <c r="G1987" s="6" t="s">
        <v>32</v>
      </c>
      <c r="H1987" s="6" t="s">
        <v>33</v>
      </c>
      <c r="I1987" s="6" t="s">
        <v>767</v>
      </c>
      <c r="J1987" s="6" t="s">
        <v>767</v>
      </c>
      <c r="K1987" s="7">
        <v>6273372</v>
      </c>
      <c r="L1987" s="7">
        <v>339952</v>
      </c>
      <c r="M1987" s="7">
        <v>19</v>
      </c>
      <c r="N1987" s="7">
        <v>1</v>
      </c>
      <c r="O1987" s="7">
        <v>0.4</v>
      </c>
    </row>
    <row r="1988" spans="1:15" x14ac:dyDescent="0.25">
      <c r="A1988" s="6" t="s">
        <v>14</v>
      </c>
      <c r="B1988" s="6" t="s">
        <v>522</v>
      </c>
      <c r="C1988" s="7">
        <v>32092</v>
      </c>
      <c r="D1988" s="6" t="s">
        <v>24</v>
      </c>
      <c r="E1988" s="6" t="s">
        <v>56</v>
      </c>
      <c r="F1988" s="6" t="s">
        <v>419</v>
      </c>
      <c r="G1988" s="6" t="s">
        <v>32</v>
      </c>
      <c r="H1988" s="6" t="s">
        <v>33</v>
      </c>
      <c r="I1988" s="6" t="s">
        <v>767</v>
      </c>
      <c r="J1988" s="6" t="s">
        <v>767</v>
      </c>
      <c r="K1988" s="7">
        <v>6275341</v>
      </c>
      <c r="L1988" s="7">
        <v>341099</v>
      </c>
      <c r="M1988" s="7">
        <v>19</v>
      </c>
      <c r="N1988" s="7">
        <v>1</v>
      </c>
      <c r="O1988" s="7">
        <v>0.38</v>
      </c>
    </row>
    <row r="1989" spans="1:15" x14ac:dyDescent="0.25">
      <c r="A1989" s="6" t="s">
        <v>14</v>
      </c>
      <c r="B1989" s="6" t="s">
        <v>522</v>
      </c>
      <c r="C1989" s="7">
        <v>32093</v>
      </c>
      <c r="D1989" s="6" t="s">
        <v>24</v>
      </c>
      <c r="E1989" s="6" t="s">
        <v>56</v>
      </c>
      <c r="F1989" s="6" t="s">
        <v>418</v>
      </c>
      <c r="G1989" s="6" t="s">
        <v>32</v>
      </c>
      <c r="H1989" s="6" t="s">
        <v>33</v>
      </c>
      <c r="I1989" s="6" t="s">
        <v>767</v>
      </c>
      <c r="J1989" s="6" t="s">
        <v>767</v>
      </c>
      <c r="K1989" s="7">
        <v>6273372</v>
      </c>
      <c r="L1989" s="7">
        <v>339952</v>
      </c>
      <c r="M1989" s="7">
        <v>19</v>
      </c>
      <c r="N1989" s="7">
        <v>1</v>
      </c>
      <c r="O1989" s="7">
        <v>0.39</v>
      </c>
    </row>
    <row r="1990" spans="1:15" x14ac:dyDescent="0.25">
      <c r="A1990" s="6" t="s">
        <v>14</v>
      </c>
      <c r="B1990" s="6" t="s">
        <v>522</v>
      </c>
      <c r="C1990" s="7">
        <v>32095</v>
      </c>
      <c r="D1990" s="6" t="s">
        <v>24</v>
      </c>
      <c r="E1990" s="6" t="s">
        <v>436</v>
      </c>
      <c r="F1990" s="6" t="s">
        <v>444</v>
      </c>
      <c r="G1990" s="6" t="s">
        <v>32</v>
      </c>
      <c r="H1990" s="6" t="s">
        <v>33</v>
      </c>
      <c r="I1990" s="6" t="s">
        <v>767</v>
      </c>
      <c r="J1990" s="6" t="s">
        <v>767</v>
      </c>
      <c r="K1990" s="7">
        <v>6275721</v>
      </c>
      <c r="L1990" s="7">
        <v>327733</v>
      </c>
      <c r="M1990" s="7">
        <v>19</v>
      </c>
      <c r="N1990" s="7">
        <v>1</v>
      </c>
      <c r="O1990" s="7">
        <v>0.52</v>
      </c>
    </row>
    <row r="1991" spans="1:15" x14ac:dyDescent="0.25">
      <c r="A1991" s="6" t="s">
        <v>14</v>
      </c>
      <c r="B1991" s="6" t="s">
        <v>522</v>
      </c>
      <c r="C1991" s="7">
        <v>32097</v>
      </c>
      <c r="D1991" s="6" t="s">
        <v>24</v>
      </c>
      <c r="E1991" s="6" t="s">
        <v>31</v>
      </c>
      <c r="F1991" s="6" t="s">
        <v>109</v>
      </c>
      <c r="G1991" s="6" t="s">
        <v>32</v>
      </c>
      <c r="H1991" s="6" t="s">
        <v>33</v>
      </c>
      <c r="I1991" s="6" t="s">
        <v>767</v>
      </c>
      <c r="J1991" s="6" t="s">
        <v>767</v>
      </c>
      <c r="K1991" s="7">
        <v>6275812</v>
      </c>
      <c r="L1991" s="7">
        <v>292341</v>
      </c>
      <c r="M1991" s="7">
        <v>19</v>
      </c>
      <c r="N1991" s="7">
        <v>1</v>
      </c>
      <c r="O1991" s="7">
        <v>0.47</v>
      </c>
    </row>
    <row r="1992" spans="1:15" x14ac:dyDescent="0.25">
      <c r="A1992" s="6" t="s">
        <v>28</v>
      </c>
      <c r="B1992" s="6" t="s">
        <v>522</v>
      </c>
      <c r="C1992" s="7">
        <v>32098</v>
      </c>
      <c r="D1992" s="6" t="s">
        <v>24</v>
      </c>
      <c r="E1992" s="6" t="s">
        <v>31</v>
      </c>
      <c r="F1992" s="6" t="s">
        <v>530</v>
      </c>
      <c r="G1992" s="6" t="s">
        <v>32</v>
      </c>
      <c r="H1992" s="6" t="s">
        <v>153</v>
      </c>
      <c r="I1992" s="6" t="s">
        <v>767</v>
      </c>
      <c r="J1992" s="6" t="s">
        <v>764</v>
      </c>
      <c r="K1992" s="7">
        <v>6272628</v>
      </c>
      <c r="L1992" s="7">
        <v>306194</v>
      </c>
      <c r="M1992" s="7">
        <v>19</v>
      </c>
      <c r="N1992" s="7">
        <v>1</v>
      </c>
      <c r="O1992" s="7">
        <v>5.1100000000000003</v>
      </c>
    </row>
    <row r="1993" spans="1:15" x14ac:dyDescent="0.25">
      <c r="A1993" s="6" t="s">
        <v>28</v>
      </c>
      <c r="B1993" s="6" t="s">
        <v>522</v>
      </c>
      <c r="C1993" s="7">
        <v>32099</v>
      </c>
      <c r="D1993" s="6" t="s">
        <v>24</v>
      </c>
      <c r="E1993" s="6" t="s">
        <v>96</v>
      </c>
      <c r="F1993" s="6" t="s">
        <v>587</v>
      </c>
      <c r="G1993" s="6" t="s">
        <v>32</v>
      </c>
      <c r="H1993" s="6" t="s">
        <v>153</v>
      </c>
      <c r="I1993" s="6" t="s">
        <v>767</v>
      </c>
      <c r="J1993" s="6" t="s">
        <v>764</v>
      </c>
      <c r="K1993" s="7">
        <v>6254339</v>
      </c>
      <c r="L1993" s="7">
        <v>344327</v>
      </c>
      <c r="M1993" s="7">
        <v>19</v>
      </c>
      <c r="N1993" s="7">
        <v>1</v>
      </c>
      <c r="O1993" s="7">
        <v>5</v>
      </c>
    </row>
    <row r="1994" spans="1:15" x14ac:dyDescent="0.25">
      <c r="A1994" s="6" t="s">
        <v>28</v>
      </c>
      <c r="B1994" s="6" t="s">
        <v>522</v>
      </c>
      <c r="C1994" s="7">
        <v>32100</v>
      </c>
      <c r="D1994" s="6" t="s">
        <v>24</v>
      </c>
      <c r="E1994" s="6" t="s">
        <v>31</v>
      </c>
      <c r="F1994" s="6" t="s">
        <v>415</v>
      </c>
      <c r="G1994" s="6" t="s">
        <v>32</v>
      </c>
      <c r="H1994" s="6" t="s">
        <v>153</v>
      </c>
      <c r="I1994" s="6" t="s">
        <v>767</v>
      </c>
      <c r="J1994" s="6" t="s">
        <v>764</v>
      </c>
      <c r="K1994" s="7">
        <v>6272648</v>
      </c>
      <c r="L1994" s="7">
        <v>301902</v>
      </c>
      <c r="M1994" s="7">
        <v>19</v>
      </c>
      <c r="N1994" s="7">
        <v>1</v>
      </c>
      <c r="O1994" s="7">
        <v>4</v>
      </c>
    </row>
    <row r="1995" spans="1:15" x14ac:dyDescent="0.25">
      <c r="A1995" s="6" t="s">
        <v>14</v>
      </c>
      <c r="B1995" s="6" t="s">
        <v>522</v>
      </c>
      <c r="C1995" s="7">
        <v>32101</v>
      </c>
      <c r="D1995" s="6" t="s">
        <v>24</v>
      </c>
      <c r="E1995" s="6" t="s">
        <v>37</v>
      </c>
      <c r="F1995" s="6" t="s">
        <v>37</v>
      </c>
      <c r="G1995" s="6" t="s">
        <v>32</v>
      </c>
      <c r="H1995" s="6" t="s">
        <v>33</v>
      </c>
      <c r="I1995" s="6" t="s">
        <v>767</v>
      </c>
      <c r="J1995" s="6" t="s">
        <v>767</v>
      </c>
      <c r="K1995" s="7">
        <v>6275165</v>
      </c>
      <c r="L1995" s="7">
        <v>324730</v>
      </c>
      <c r="M1995" s="7">
        <v>19</v>
      </c>
      <c r="N1995" s="7">
        <v>1</v>
      </c>
      <c r="O1995" s="7">
        <v>0.44</v>
      </c>
    </row>
    <row r="1996" spans="1:15" x14ac:dyDescent="0.25">
      <c r="A1996" s="6" t="s">
        <v>28</v>
      </c>
      <c r="B1996" s="6" t="s">
        <v>522</v>
      </c>
      <c r="C1996" s="7">
        <v>32102</v>
      </c>
      <c r="D1996" s="6" t="s">
        <v>24</v>
      </c>
      <c r="E1996" s="6" t="s">
        <v>31</v>
      </c>
      <c r="F1996" s="6" t="s">
        <v>597</v>
      </c>
      <c r="G1996" s="6" t="s">
        <v>32</v>
      </c>
      <c r="H1996" s="6" t="s">
        <v>153</v>
      </c>
      <c r="I1996" s="6" t="s">
        <v>767</v>
      </c>
      <c r="J1996" s="6" t="s">
        <v>764</v>
      </c>
      <c r="K1996" s="7">
        <v>6276522</v>
      </c>
      <c r="L1996" s="7">
        <v>295729</v>
      </c>
      <c r="M1996" s="7">
        <v>19</v>
      </c>
      <c r="N1996" s="7">
        <v>1</v>
      </c>
      <c r="O1996" s="7">
        <v>1.61</v>
      </c>
    </row>
    <row r="1997" spans="1:15" x14ac:dyDescent="0.25">
      <c r="A1997" s="6" t="s">
        <v>28</v>
      </c>
      <c r="B1997" s="6" t="s">
        <v>522</v>
      </c>
      <c r="C1997" s="7">
        <v>32103</v>
      </c>
      <c r="D1997" s="6" t="s">
        <v>24</v>
      </c>
      <c r="E1997" s="6" t="s">
        <v>96</v>
      </c>
      <c r="F1997" s="6" t="s">
        <v>96</v>
      </c>
      <c r="G1997" s="6" t="s">
        <v>32</v>
      </c>
      <c r="H1997" s="6" t="s">
        <v>153</v>
      </c>
      <c r="I1997" s="6" t="s">
        <v>767</v>
      </c>
      <c r="J1997" s="6" t="s">
        <v>764</v>
      </c>
      <c r="K1997" s="7">
        <v>6261434</v>
      </c>
      <c r="L1997" s="7">
        <v>346779</v>
      </c>
      <c r="M1997" s="7">
        <v>19</v>
      </c>
      <c r="N1997" s="7">
        <v>1</v>
      </c>
      <c r="O1997" s="7">
        <v>4.8499999999999996</v>
      </c>
    </row>
    <row r="1998" spans="1:15" x14ac:dyDescent="0.25">
      <c r="A1998" s="6" t="s">
        <v>28</v>
      </c>
      <c r="B1998" s="6" t="s">
        <v>522</v>
      </c>
      <c r="C1998" s="7">
        <v>32104</v>
      </c>
      <c r="D1998" s="6" t="s">
        <v>24</v>
      </c>
      <c r="E1998" s="6" t="s">
        <v>62</v>
      </c>
      <c r="F1998" s="6" t="s">
        <v>416</v>
      </c>
      <c r="G1998" s="6" t="s">
        <v>32</v>
      </c>
      <c r="H1998" s="6" t="s">
        <v>19</v>
      </c>
      <c r="I1998" s="6" t="s">
        <v>767</v>
      </c>
      <c r="J1998" s="6" t="s">
        <v>767</v>
      </c>
      <c r="K1998" s="7">
        <v>6280233</v>
      </c>
      <c r="L1998" s="7">
        <v>327288</v>
      </c>
      <c r="M1998" s="7">
        <v>19</v>
      </c>
      <c r="N1998" s="7">
        <v>1</v>
      </c>
      <c r="O1998" s="7">
        <v>2.4</v>
      </c>
    </row>
    <row r="1999" spans="1:15" x14ac:dyDescent="0.25">
      <c r="A1999" s="6" t="s">
        <v>28</v>
      </c>
      <c r="B1999" s="6" t="s">
        <v>522</v>
      </c>
      <c r="C1999" s="7">
        <v>32106</v>
      </c>
      <c r="D1999" s="6" t="s">
        <v>24</v>
      </c>
      <c r="E1999" s="6" t="s">
        <v>96</v>
      </c>
      <c r="F1999" s="6" t="s">
        <v>587</v>
      </c>
      <c r="G1999" s="6" t="s">
        <v>32</v>
      </c>
      <c r="H1999" s="6" t="s">
        <v>153</v>
      </c>
      <c r="I1999" s="6" t="s">
        <v>767</v>
      </c>
      <c r="J1999" s="6" t="s">
        <v>764</v>
      </c>
      <c r="K1999" s="7">
        <v>6255039</v>
      </c>
      <c r="L1999" s="7">
        <v>344755</v>
      </c>
      <c r="M1999" s="7">
        <v>19</v>
      </c>
      <c r="N1999" s="7">
        <v>1</v>
      </c>
      <c r="O1999" s="7">
        <v>2.11</v>
      </c>
    </row>
    <row r="2000" spans="1:15" x14ac:dyDescent="0.25">
      <c r="A2000" s="6" t="s">
        <v>28</v>
      </c>
      <c r="B2000" s="6" t="s">
        <v>522</v>
      </c>
      <c r="C2000" s="7">
        <v>32110</v>
      </c>
      <c r="D2000" s="6" t="s">
        <v>24</v>
      </c>
      <c r="E2000" s="6" t="s">
        <v>31</v>
      </c>
      <c r="F2000" s="6" t="s">
        <v>582</v>
      </c>
      <c r="G2000" s="6" t="s">
        <v>32</v>
      </c>
      <c r="H2000" s="6" t="s">
        <v>19</v>
      </c>
      <c r="I2000" s="6" t="s">
        <v>767</v>
      </c>
      <c r="J2000" s="6" t="s">
        <v>767</v>
      </c>
      <c r="K2000" s="7">
        <v>6276367</v>
      </c>
      <c r="L2000" s="7">
        <v>296576</v>
      </c>
      <c r="M2000" s="7">
        <v>19</v>
      </c>
      <c r="N2000" s="7">
        <v>1</v>
      </c>
      <c r="O2000" s="7">
        <v>1</v>
      </c>
    </row>
    <row r="2001" spans="1:15" x14ac:dyDescent="0.25">
      <c r="A2001" s="6" t="s">
        <v>28</v>
      </c>
      <c r="B2001" s="6" t="s">
        <v>522</v>
      </c>
      <c r="C2001" s="7">
        <v>32175</v>
      </c>
      <c r="D2001" s="6" t="s">
        <v>24</v>
      </c>
      <c r="E2001" s="6" t="s">
        <v>56</v>
      </c>
      <c r="F2001" s="6" t="s">
        <v>418</v>
      </c>
      <c r="G2001" s="6" t="s">
        <v>32</v>
      </c>
      <c r="H2001" s="6" t="s">
        <v>19</v>
      </c>
      <c r="I2001" s="6" t="s">
        <v>767</v>
      </c>
      <c r="J2001" s="6" t="s">
        <v>767</v>
      </c>
      <c r="K2001" s="7">
        <v>6269373</v>
      </c>
      <c r="L2001" s="7">
        <v>329226</v>
      </c>
      <c r="M2001" s="7">
        <v>19</v>
      </c>
      <c r="N2001" s="7">
        <v>1</v>
      </c>
      <c r="O2001" s="7">
        <v>1.52</v>
      </c>
    </row>
    <row r="2002" spans="1:15" x14ac:dyDescent="0.25">
      <c r="A2002" s="6" t="s">
        <v>28</v>
      </c>
      <c r="B2002" s="6" t="s">
        <v>522</v>
      </c>
      <c r="C2002" s="7">
        <v>32176</v>
      </c>
      <c r="D2002" s="6" t="s">
        <v>24</v>
      </c>
      <c r="E2002" s="6" t="s">
        <v>25</v>
      </c>
      <c r="F2002" s="6" t="s">
        <v>425</v>
      </c>
      <c r="G2002" s="6" t="s">
        <v>32</v>
      </c>
      <c r="H2002" s="6" t="s">
        <v>19</v>
      </c>
      <c r="I2002" s="6" t="s">
        <v>767</v>
      </c>
      <c r="J2002" s="6" t="s">
        <v>767</v>
      </c>
      <c r="K2002" s="7">
        <v>6270594</v>
      </c>
      <c r="L2002" s="7">
        <v>326928</v>
      </c>
      <c r="M2002" s="7">
        <v>19</v>
      </c>
      <c r="N2002" s="7">
        <v>1</v>
      </c>
      <c r="O2002" s="7">
        <v>1.1000000000000001</v>
      </c>
    </row>
    <row r="2003" spans="1:15" x14ac:dyDescent="0.25">
      <c r="A2003" s="6" t="s">
        <v>28</v>
      </c>
      <c r="B2003" s="6" t="s">
        <v>522</v>
      </c>
      <c r="C2003" s="7">
        <v>32181</v>
      </c>
      <c r="D2003" s="6" t="s">
        <v>24</v>
      </c>
      <c r="E2003" s="6" t="s">
        <v>436</v>
      </c>
      <c r="F2003" s="6" t="s">
        <v>436</v>
      </c>
      <c r="G2003" s="6" t="s">
        <v>32</v>
      </c>
      <c r="H2003" s="6" t="s">
        <v>153</v>
      </c>
      <c r="I2003" s="6" t="s">
        <v>767</v>
      </c>
      <c r="J2003" s="6" t="s">
        <v>764</v>
      </c>
      <c r="K2003" s="7">
        <v>6278511</v>
      </c>
      <c r="L2003" s="7">
        <v>335295</v>
      </c>
      <c r="M2003" s="7">
        <v>19</v>
      </c>
      <c r="N2003" s="7">
        <v>1</v>
      </c>
      <c r="O2003" s="7">
        <v>2.5099999999999998</v>
      </c>
    </row>
    <row r="2004" spans="1:15" x14ac:dyDescent="0.25">
      <c r="A2004" s="6" t="s">
        <v>14</v>
      </c>
      <c r="B2004" s="6" t="s">
        <v>522</v>
      </c>
      <c r="C2004" s="7">
        <v>32182</v>
      </c>
      <c r="D2004" s="6" t="s">
        <v>24</v>
      </c>
      <c r="E2004" s="6" t="s">
        <v>25</v>
      </c>
      <c r="F2004" s="6" t="s">
        <v>528</v>
      </c>
      <c r="G2004" s="6" t="s">
        <v>32</v>
      </c>
      <c r="H2004" s="6" t="s">
        <v>33</v>
      </c>
      <c r="I2004" s="6" t="s">
        <v>767</v>
      </c>
      <c r="J2004" s="6" t="s">
        <v>767</v>
      </c>
      <c r="K2004" s="7">
        <v>6262949</v>
      </c>
      <c r="L2004" s="7">
        <v>336611</v>
      </c>
      <c r="M2004" s="7">
        <v>19</v>
      </c>
      <c r="N2004" s="7">
        <v>1</v>
      </c>
      <c r="O2004" s="7">
        <v>0.33</v>
      </c>
    </row>
    <row r="2005" spans="1:15" x14ac:dyDescent="0.25">
      <c r="A2005" s="6" t="s">
        <v>14</v>
      </c>
      <c r="B2005" s="6" t="s">
        <v>522</v>
      </c>
      <c r="C2005" s="7">
        <v>32183</v>
      </c>
      <c r="D2005" s="6" t="s">
        <v>24</v>
      </c>
      <c r="E2005" s="6" t="s">
        <v>436</v>
      </c>
      <c r="F2005" s="6" t="s">
        <v>436</v>
      </c>
      <c r="G2005" s="6" t="s">
        <v>32</v>
      </c>
      <c r="H2005" s="6" t="s">
        <v>33</v>
      </c>
      <c r="I2005" s="6" t="s">
        <v>767</v>
      </c>
      <c r="J2005" s="6" t="s">
        <v>767</v>
      </c>
      <c r="K2005" s="7">
        <v>6282851</v>
      </c>
      <c r="L2005" s="7">
        <v>333314</v>
      </c>
      <c r="M2005" s="7">
        <v>19</v>
      </c>
      <c r="N2005" s="7">
        <v>1</v>
      </c>
      <c r="O2005" s="7">
        <v>0.34</v>
      </c>
    </row>
    <row r="2006" spans="1:15" x14ac:dyDescent="0.25">
      <c r="A2006" s="6" t="s">
        <v>14</v>
      </c>
      <c r="B2006" s="6" t="s">
        <v>522</v>
      </c>
      <c r="C2006" s="7">
        <v>32184</v>
      </c>
      <c r="D2006" s="6" t="s">
        <v>24</v>
      </c>
      <c r="E2006" s="6" t="s">
        <v>56</v>
      </c>
      <c r="F2006" s="6" t="s">
        <v>56</v>
      </c>
      <c r="G2006" s="6" t="s">
        <v>32</v>
      </c>
      <c r="H2006" s="6" t="s">
        <v>33</v>
      </c>
      <c r="I2006" s="6" t="s">
        <v>767</v>
      </c>
      <c r="J2006" s="6" t="s">
        <v>767</v>
      </c>
      <c r="K2006" s="7">
        <v>6274611</v>
      </c>
      <c r="L2006" s="7">
        <v>344174</v>
      </c>
      <c r="M2006" s="7">
        <v>19</v>
      </c>
      <c r="N2006" s="7">
        <v>1</v>
      </c>
      <c r="O2006" s="7">
        <v>0.32</v>
      </c>
    </row>
    <row r="2007" spans="1:15" x14ac:dyDescent="0.25">
      <c r="A2007" s="6" t="s">
        <v>14</v>
      </c>
      <c r="B2007" s="6" t="s">
        <v>522</v>
      </c>
      <c r="C2007" s="7">
        <v>32185</v>
      </c>
      <c r="D2007" s="6" t="s">
        <v>24</v>
      </c>
      <c r="E2007" s="6" t="s">
        <v>56</v>
      </c>
      <c r="F2007" s="6" t="s">
        <v>56</v>
      </c>
      <c r="G2007" s="6" t="s">
        <v>32</v>
      </c>
      <c r="H2007" s="6" t="s">
        <v>33</v>
      </c>
      <c r="I2007" s="6" t="s">
        <v>767</v>
      </c>
      <c r="J2007" s="6" t="s">
        <v>767</v>
      </c>
      <c r="K2007" s="7">
        <v>6274611</v>
      </c>
      <c r="L2007" s="7">
        <v>344174</v>
      </c>
      <c r="M2007" s="7">
        <v>19</v>
      </c>
      <c r="N2007" s="7">
        <v>1</v>
      </c>
      <c r="O2007" s="7">
        <v>0.3</v>
      </c>
    </row>
    <row r="2008" spans="1:15" x14ac:dyDescent="0.25">
      <c r="A2008" s="6" t="s">
        <v>28</v>
      </c>
      <c r="B2008" s="6" t="s">
        <v>522</v>
      </c>
      <c r="C2008" s="7">
        <v>32188</v>
      </c>
      <c r="D2008" s="6" t="s">
        <v>24</v>
      </c>
      <c r="E2008" s="6" t="s">
        <v>96</v>
      </c>
      <c r="F2008" s="6" t="s">
        <v>587</v>
      </c>
      <c r="G2008" s="6" t="s">
        <v>32</v>
      </c>
      <c r="H2008" s="6" t="s">
        <v>19</v>
      </c>
      <c r="I2008" s="6" t="s">
        <v>767</v>
      </c>
      <c r="J2008" s="6" t="s">
        <v>767</v>
      </c>
      <c r="K2008" s="7">
        <v>6253170</v>
      </c>
      <c r="L2008" s="7">
        <v>344858</v>
      </c>
      <c r="M2008" s="7">
        <v>19</v>
      </c>
      <c r="N2008" s="7">
        <v>1</v>
      </c>
      <c r="O2008" s="7">
        <v>1.1000000000000001</v>
      </c>
    </row>
    <row r="2009" spans="1:15" x14ac:dyDescent="0.25">
      <c r="A2009" s="6" t="s">
        <v>14</v>
      </c>
      <c r="B2009" s="6" t="s">
        <v>522</v>
      </c>
      <c r="C2009" s="7">
        <v>32189</v>
      </c>
      <c r="D2009" s="6" t="s">
        <v>24</v>
      </c>
      <c r="E2009" s="6" t="s">
        <v>25</v>
      </c>
      <c r="F2009" s="6" t="s">
        <v>445</v>
      </c>
      <c r="G2009" s="6" t="s">
        <v>32</v>
      </c>
      <c r="H2009" s="6" t="s">
        <v>33</v>
      </c>
      <c r="I2009" s="6" t="s">
        <v>767</v>
      </c>
      <c r="J2009" s="6" t="s">
        <v>767</v>
      </c>
      <c r="K2009" s="7">
        <v>6256839</v>
      </c>
      <c r="L2009" s="7">
        <v>333549</v>
      </c>
      <c r="M2009" s="7">
        <v>19</v>
      </c>
      <c r="N2009" s="7">
        <v>1</v>
      </c>
      <c r="O2009" s="7">
        <v>0.4</v>
      </c>
    </row>
    <row r="2010" spans="1:15" x14ac:dyDescent="0.25">
      <c r="A2010" s="6" t="s">
        <v>14</v>
      </c>
      <c r="B2010" s="6" t="s">
        <v>522</v>
      </c>
      <c r="C2010" s="7">
        <v>32190</v>
      </c>
      <c r="D2010" s="6" t="s">
        <v>24</v>
      </c>
      <c r="E2010" s="6" t="s">
        <v>557</v>
      </c>
      <c r="F2010" s="6" t="s">
        <v>557</v>
      </c>
      <c r="G2010" s="6" t="s">
        <v>32</v>
      </c>
      <c r="H2010" s="6" t="s">
        <v>33</v>
      </c>
      <c r="I2010" s="6" t="s">
        <v>767</v>
      </c>
      <c r="J2010" s="6" t="s">
        <v>767</v>
      </c>
      <c r="K2010" s="7">
        <v>6283356</v>
      </c>
      <c r="L2010" s="7">
        <v>329830</v>
      </c>
      <c r="M2010" s="7">
        <v>19</v>
      </c>
      <c r="N2010" s="7">
        <v>1</v>
      </c>
      <c r="O2010" s="7">
        <v>0.4</v>
      </c>
    </row>
    <row r="2011" spans="1:15" x14ac:dyDescent="0.25">
      <c r="A2011" s="6" t="s">
        <v>14</v>
      </c>
      <c r="B2011" s="6" t="s">
        <v>522</v>
      </c>
      <c r="C2011" s="7">
        <v>32191</v>
      </c>
      <c r="D2011" s="6" t="s">
        <v>24</v>
      </c>
      <c r="E2011" s="6" t="s">
        <v>436</v>
      </c>
      <c r="F2011" s="6" t="s">
        <v>436</v>
      </c>
      <c r="G2011" s="6" t="s">
        <v>32</v>
      </c>
      <c r="H2011" s="6" t="s">
        <v>33</v>
      </c>
      <c r="I2011" s="6" t="s">
        <v>767</v>
      </c>
      <c r="J2011" s="6" t="s">
        <v>764</v>
      </c>
      <c r="K2011" s="7">
        <v>6277694</v>
      </c>
      <c r="L2011" s="7">
        <v>333013</v>
      </c>
      <c r="M2011" s="7">
        <v>19</v>
      </c>
      <c r="N2011" s="7">
        <v>1</v>
      </c>
      <c r="O2011" s="7">
        <v>0.4</v>
      </c>
    </row>
    <row r="2012" spans="1:15" x14ac:dyDescent="0.25">
      <c r="A2012" s="6" t="s">
        <v>28</v>
      </c>
      <c r="B2012" s="6" t="s">
        <v>522</v>
      </c>
      <c r="C2012" s="7">
        <v>32352</v>
      </c>
      <c r="D2012" s="6" t="s">
        <v>24</v>
      </c>
      <c r="E2012" s="6" t="s">
        <v>31</v>
      </c>
      <c r="F2012" s="6" t="s">
        <v>566</v>
      </c>
      <c r="G2012" s="6" t="s">
        <v>32</v>
      </c>
      <c r="H2012" s="6" t="s">
        <v>19</v>
      </c>
      <c r="I2012" s="6" t="s">
        <v>767</v>
      </c>
      <c r="J2012" s="6" t="s">
        <v>767</v>
      </c>
      <c r="K2012" s="7">
        <v>6276421</v>
      </c>
      <c r="L2012" s="7">
        <v>289020</v>
      </c>
      <c r="M2012" s="7">
        <v>19</v>
      </c>
      <c r="N2012" s="7">
        <v>1</v>
      </c>
      <c r="O2012" s="7">
        <v>0.98</v>
      </c>
    </row>
    <row r="2013" spans="1:15" x14ac:dyDescent="0.25">
      <c r="A2013" s="6" t="s">
        <v>28</v>
      </c>
      <c r="B2013" s="6" t="s">
        <v>522</v>
      </c>
      <c r="C2013" s="7">
        <v>32353</v>
      </c>
      <c r="D2013" s="6" t="s">
        <v>24</v>
      </c>
      <c r="E2013" s="6" t="s">
        <v>427</v>
      </c>
      <c r="F2013" s="6" t="s">
        <v>443</v>
      </c>
      <c r="G2013" s="6" t="s">
        <v>32</v>
      </c>
      <c r="H2013" s="6" t="s">
        <v>19</v>
      </c>
      <c r="I2013" s="6" t="s">
        <v>767</v>
      </c>
      <c r="J2013" s="6" t="s">
        <v>767</v>
      </c>
      <c r="K2013" s="7">
        <v>6266293</v>
      </c>
      <c r="L2013" s="7">
        <v>325986</v>
      </c>
      <c r="M2013" s="7">
        <v>19</v>
      </c>
      <c r="N2013" s="7">
        <v>1</v>
      </c>
      <c r="O2013" s="7">
        <v>2.4</v>
      </c>
    </row>
    <row r="2014" spans="1:15" x14ac:dyDescent="0.25">
      <c r="A2014" s="6" t="s">
        <v>28</v>
      </c>
      <c r="B2014" s="6" t="s">
        <v>522</v>
      </c>
      <c r="C2014" s="7">
        <v>32356</v>
      </c>
      <c r="D2014" s="6" t="s">
        <v>24</v>
      </c>
      <c r="E2014" s="6" t="s">
        <v>56</v>
      </c>
      <c r="F2014" s="6" t="s">
        <v>418</v>
      </c>
      <c r="G2014" s="6" t="s">
        <v>32</v>
      </c>
      <c r="H2014" s="6" t="s">
        <v>19</v>
      </c>
      <c r="I2014" s="6" t="s">
        <v>767</v>
      </c>
      <c r="J2014" s="6" t="s">
        <v>767</v>
      </c>
      <c r="K2014" s="7">
        <v>6265692</v>
      </c>
      <c r="L2014" s="7">
        <v>334441</v>
      </c>
      <c r="M2014" s="7">
        <v>19</v>
      </c>
      <c r="N2014" s="7">
        <v>1</v>
      </c>
      <c r="O2014" s="7">
        <v>1.5</v>
      </c>
    </row>
    <row r="2015" spans="1:15" x14ac:dyDescent="0.25">
      <c r="A2015" s="6" t="s">
        <v>28</v>
      </c>
      <c r="B2015" s="6" t="s">
        <v>522</v>
      </c>
      <c r="C2015" s="7">
        <v>32357</v>
      </c>
      <c r="D2015" s="6" t="s">
        <v>24</v>
      </c>
      <c r="E2015" s="6" t="s">
        <v>501</v>
      </c>
      <c r="F2015" s="6" t="s">
        <v>578</v>
      </c>
      <c r="G2015" s="6" t="s">
        <v>32</v>
      </c>
      <c r="H2015" s="6" t="s">
        <v>19</v>
      </c>
      <c r="I2015" s="6" t="s">
        <v>767</v>
      </c>
      <c r="J2015" s="6" t="s">
        <v>767</v>
      </c>
      <c r="K2015" s="7">
        <v>6328173</v>
      </c>
      <c r="L2015" s="7">
        <v>323297</v>
      </c>
      <c r="M2015" s="7">
        <v>19</v>
      </c>
      <c r="N2015" s="7">
        <v>1</v>
      </c>
      <c r="O2015" s="7">
        <v>1</v>
      </c>
    </row>
    <row r="2016" spans="1:15" x14ac:dyDescent="0.25">
      <c r="A2016" s="6" t="s">
        <v>28</v>
      </c>
      <c r="B2016" s="6" t="s">
        <v>522</v>
      </c>
      <c r="C2016" s="7">
        <v>32359</v>
      </c>
      <c r="D2016" s="6" t="s">
        <v>24</v>
      </c>
      <c r="E2016" s="6" t="s">
        <v>501</v>
      </c>
      <c r="F2016" s="6" t="s">
        <v>578</v>
      </c>
      <c r="G2016" s="6" t="s">
        <v>32</v>
      </c>
      <c r="H2016" s="6" t="s">
        <v>19</v>
      </c>
      <c r="I2016" s="6" t="s">
        <v>767</v>
      </c>
      <c r="J2016" s="6" t="s">
        <v>767</v>
      </c>
      <c r="K2016" s="7">
        <v>6328701</v>
      </c>
      <c r="L2016" s="7">
        <v>323029</v>
      </c>
      <c r="M2016" s="7">
        <v>19</v>
      </c>
      <c r="N2016" s="7">
        <v>1</v>
      </c>
      <c r="O2016" s="7">
        <v>1</v>
      </c>
    </row>
    <row r="2017" spans="1:15" x14ac:dyDescent="0.25">
      <c r="A2017" s="6" t="s">
        <v>28</v>
      </c>
      <c r="B2017" s="6" t="s">
        <v>522</v>
      </c>
      <c r="C2017" s="7">
        <v>32360</v>
      </c>
      <c r="D2017" s="6" t="s">
        <v>24</v>
      </c>
      <c r="E2017" s="6" t="s">
        <v>501</v>
      </c>
      <c r="F2017" s="6" t="s">
        <v>578</v>
      </c>
      <c r="G2017" s="6" t="s">
        <v>32</v>
      </c>
      <c r="H2017" s="6" t="s">
        <v>19</v>
      </c>
      <c r="I2017" s="6" t="s">
        <v>767</v>
      </c>
      <c r="J2017" s="6" t="s">
        <v>767</v>
      </c>
      <c r="K2017" s="7">
        <v>6328279</v>
      </c>
      <c r="L2017" s="7">
        <v>322943</v>
      </c>
      <c r="M2017" s="7">
        <v>19</v>
      </c>
      <c r="N2017" s="7">
        <v>1</v>
      </c>
      <c r="O2017" s="7">
        <v>1</v>
      </c>
    </row>
    <row r="2018" spans="1:15" x14ac:dyDescent="0.25">
      <c r="A2018" s="6" t="s">
        <v>28</v>
      </c>
      <c r="B2018" s="6" t="s">
        <v>522</v>
      </c>
      <c r="C2018" s="7">
        <v>32362</v>
      </c>
      <c r="D2018" s="6" t="s">
        <v>24</v>
      </c>
      <c r="E2018" s="6" t="s">
        <v>456</v>
      </c>
      <c r="F2018" s="6" t="s">
        <v>456</v>
      </c>
      <c r="G2018" s="6" t="s">
        <v>32</v>
      </c>
      <c r="H2018" s="6" t="s">
        <v>19</v>
      </c>
      <c r="I2018" s="6" t="s">
        <v>767</v>
      </c>
      <c r="J2018" s="6" t="s">
        <v>767</v>
      </c>
      <c r="K2018" s="7">
        <v>6289782</v>
      </c>
      <c r="L2018" s="7">
        <v>332000</v>
      </c>
      <c r="M2018" s="7">
        <v>19</v>
      </c>
      <c r="N2018" s="7">
        <v>1</v>
      </c>
      <c r="O2018" s="7">
        <v>0.4</v>
      </c>
    </row>
    <row r="2019" spans="1:15" x14ac:dyDescent="0.25">
      <c r="A2019" s="6" t="s">
        <v>28</v>
      </c>
      <c r="B2019" s="6" t="s">
        <v>522</v>
      </c>
      <c r="C2019" s="7">
        <v>32363</v>
      </c>
      <c r="D2019" s="6" t="s">
        <v>24</v>
      </c>
      <c r="E2019" s="6" t="s">
        <v>456</v>
      </c>
      <c r="F2019" s="6" t="s">
        <v>456</v>
      </c>
      <c r="G2019" s="6" t="s">
        <v>32</v>
      </c>
      <c r="H2019" s="6" t="s">
        <v>19</v>
      </c>
      <c r="I2019" s="6" t="s">
        <v>767</v>
      </c>
      <c r="J2019" s="6" t="s">
        <v>767</v>
      </c>
      <c r="K2019" s="7">
        <v>6289606</v>
      </c>
      <c r="L2019" s="7">
        <v>332422</v>
      </c>
      <c r="M2019" s="7">
        <v>19</v>
      </c>
      <c r="N2019" s="7">
        <v>1</v>
      </c>
      <c r="O2019" s="7">
        <v>0.4</v>
      </c>
    </row>
    <row r="2020" spans="1:15" x14ac:dyDescent="0.25">
      <c r="A2020" s="6" t="s">
        <v>14</v>
      </c>
      <c r="B2020" s="6" t="s">
        <v>522</v>
      </c>
      <c r="C2020" s="7">
        <v>32364</v>
      </c>
      <c r="D2020" s="6" t="s">
        <v>24</v>
      </c>
      <c r="E2020" s="6" t="s">
        <v>25</v>
      </c>
      <c r="F2020" s="6" t="s">
        <v>528</v>
      </c>
      <c r="G2020" s="6" t="s">
        <v>32</v>
      </c>
      <c r="H2020" s="6" t="s">
        <v>33</v>
      </c>
      <c r="I2020" s="6" t="s">
        <v>767</v>
      </c>
      <c r="J2020" s="6" t="s">
        <v>767</v>
      </c>
      <c r="K2020" s="7">
        <v>6262569</v>
      </c>
      <c r="L2020" s="7">
        <v>335094</v>
      </c>
      <c r="M2020" s="7">
        <v>19</v>
      </c>
      <c r="N2020" s="7">
        <v>1</v>
      </c>
      <c r="O2020" s="7">
        <v>0.39</v>
      </c>
    </row>
    <row r="2021" spans="1:15" x14ac:dyDescent="0.25">
      <c r="A2021" s="6" t="s">
        <v>14</v>
      </c>
      <c r="B2021" s="6" t="s">
        <v>522</v>
      </c>
      <c r="C2021" s="7">
        <v>32365</v>
      </c>
      <c r="D2021" s="6" t="s">
        <v>24</v>
      </c>
      <c r="E2021" s="6" t="s">
        <v>436</v>
      </c>
      <c r="F2021" s="6" t="s">
        <v>436</v>
      </c>
      <c r="G2021" s="6" t="s">
        <v>32</v>
      </c>
      <c r="H2021" s="6" t="s">
        <v>33</v>
      </c>
      <c r="I2021" s="6" t="s">
        <v>767</v>
      </c>
      <c r="J2021" s="6" t="s">
        <v>767</v>
      </c>
      <c r="K2021" s="7">
        <v>6282851</v>
      </c>
      <c r="L2021" s="7">
        <v>333314</v>
      </c>
      <c r="M2021" s="7">
        <v>19</v>
      </c>
      <c r="N2021" s="7">
        <v>1</v>
      </c>
      <c r="O2021" s="7">
        <v>0.33</v>
      </c>
    </row>
    <row r="2022" spans="1:15" x14ac:dyDescent="0.25">
      <c r="A2022" s="6" t="s">
        <v>14</v>
      </c>
      <c r="B2022" s="6" t="s">
        <v>522</v>
      </c>
      <c r="C2022" s="7">
        <v>32366</v>
      </c>
      <c r="D2022" s="6" t="s">
        <v>24</v>
      </c>
      <c r="E2022" s="6" t="s">
        <v>436</v>
      </c>
      <c r="F2022" s="6" t="s">
        <v>436</v>
      </c>
      <c r="G2022" s="6" t="s">
        <v>32</v>
      </c>
      <c r="H2022" s="6" t="s">
        <v>33</v>
      </c>
      <c r="I2022" s="6" t="s">
        <v>767</v>
      </c>
      <c r="J2022" s="6" t="s">
        <v>767</v>
      </c>
      <c r="K2022" s="7">
        <v>6282851</v>
      </c>
      <c r="L2022" s="7">
        <v>333314</v>
      </c>
      <c r="M2022" s="7">
        <v>19</v>
      </c>
      <c r="N2022" s="7">
        <v>1</v>
      </c>
      <c r="O2022" s="7">
        <v>0.33</v>
      </c>
    </row>
    <row r="2023" spans="1:15" x14ac:dyDescent="0.25">
      <c r="A2023" s="6" t="s">
        <v>14</v>
      </c>
      <c r="B2023" s="6" t="s">
        <v>522</v>
      </c>
      <c r="C2023" s="7">
        <v>32367</v>
      </c>
      <c r="D2023" s="6" t="s">
        <v>24</v>
      </c>
      <c r="E2023" s="6" t="s">
        <v>25</v>
      </c>
      <c r="F2023" s="6" t="s">
        <v>445</v>
      </c>
      <c r="G2023" s="6" t="s">
        <v>32</v>
      </c>
      <c r="H2023" s="6" t="s">
        <v>33</v>
      </c>
      <c r="I2023" s="6" t="s">
        <v>767</v>
      </c>
      <c r="J2023" s="6" t="s">
        <v>767</v>
      </c>
      <c r="K2023" s="7">
        <v>6261195</v>
      </c>
      <c r="L2023" s="7">
        <v>336691</v>
      </c>
      <c r="M2023" s="7">
        <v>19</v>
      </c>
      <c r="N2023" s="7">
        <v>1</v>
      </c>
      <c r="O2023" s="7">
        <v>0.4</v>
      </c>
    </row>
    <row r="2024" spans="1:15" x14ac:dyDescent="0.25">
      <c r="A2024" s="6" t="s">
        <v>28</v>
      </c>
      <c r="B2024" s="6" t="s">
        <v>522</v>
      </c>
      <c r="C2024" s="7">
        <v>32368</v>
      </c>
      <c r="D2024" s="6" t="s">
        <v>24</v>
      </c>
      <c r="E2024" s="6" t="s">
        <v>456</v>
      </c>
      <c r="F2024" s="6" t="s">
        <v>558</v>
      </c>
      <c r="G2024" s="6" t="s">
        <v>32</v>
      </c>
      <c r="H2024" s="6" t="s">
        <v>19</v>
      </c>
      <c r="I2024" s="6" t="s">
        <v>767</v>
      </c>
      <c r="J2024" s="6" t="s">
        <v>767</v>
      </c>
      <c r="K2024" s="7">
        <v>6290889</v>
      </c>
      <c r="L2024" s="7">
        <v>329562</v>
      </c>
      <c r="M2024" s="7">
        <v>19</v>
      </c>
      <c r="N2024" s="7">
        <v>1</v>
      </c>
      <c r="O2024" s="7">
        <v>0.16</v>
      </c>
    </row>
    <row r="2025" spans="1:15" x14ac:dyDescent="0.25">
      <c r="A2025" s="6" t="s">
        <v>28</v>
      </c>
      <c r="B2025" s="6" t="s">
        <v>522</v>
      </c>
      <c r="C2025" s="7">
        <v>32369</v>
      </c>
      <c r="D2025" s="6" t="s">
        <v>24</v>
      </c>
      <c r="E2025" s="6" t="s">
        <v>51</v>
      </c>
      <c r="F2025" s="6" t="s">
        <v>51</v>
      </c>
      <c r="G2025" s="6" t="s">
        <v>32</v>
      </c>
      <c r="H2025" s="6" t="s">
        <v>19</v>
      </c>
      <c r="I2025" s="6" t="s">
        <v>767</v>
      </c>
      <c r="J2025" s="6" t="s">
        <v>767</v>
      </c>
      <c r="K2025" s="7">
        <v>6305525</v>
      </c>
      <c r="L2025" s="7">
        <v>328696</v>
      </c>
      <c r="M2025" s="7">
        <v>19</v>
      </c>
      <c r="N2025" s="7">
        <v>1</v>
      </c>
      <c r="O2025" s="7">
        <v>0.21</v>
      </c>
    </row>
    <row r="2026" spans="1:15" x14ac:dyDescent="0.25">
      <c r="A2026" s="6" t="s">
        <v>28</v>
      </c>
      <c r="B2026" s="6" t="s">
        <v>522</v>
      </c>
      <c r="C2026" s="7">
        <v>32370</v>
      </c>
      <c r="D2026" s="6" t="s">
        <v>24</v>
      </c>
      <c r="E2026" s="6" t="s">
        <v>31</v>
      </c>
      <c r="F2026" s="6" t="s">
        <v>563</v>
      </c>
      <c r="G2026" s="6" t="s">
        <v>32</v>
      </c>
      <c r="H2026" s="6" t="s">
        <v>19</v>
      </c>
      <c r="I2026" s="6" t="s">
        <v>767</v>
      </c>
      <c r="J2026" s="6" t="s">
        <v>767</v>
      </c>
      <c r="K2026" s="7">
        <v>6271597</v>
      </c>
      <c r="L2026" s="7">
        <v>302711</v>
      </c>
      <c r="M2026" s="7">
        <v>19</v>
      </c>
      <c r="N2026" s="7">
        <v>1</v>
      </c>
      <c r="O2026" s="7">
        <v>1.65</v>
      </c>
    </row>
    <row r="2027" spans="1:15" x14ac:dyDescent="0.25">
      <c r="A2027" s="6" t="s">
        <v>28</v>
      </c>
      <c r="B2027" s="6" t="s">
        <v>522</v>
      </c>
      <c r="C2027" s="7">
        <v>32372</v>
      </c>
      <c r="D2027" s="6" t="s">
        <v>24</v>
      </c>
      <c r="E2027" s="6" t="s">
        <v>37</v>
      </c>
      <c r="F2027" s="6" t="s">
        <v>37</v>
      </c>
      <c r="G2027" s="6" t="s">
        <v>32</v>
      </c>
      <c r="H2027" s="6" t="s">
        <v>19</v>
      </c>
      <c r="I2027" s="6" t="s">
        <v>767</v>
      </c>
      <c r="J2027" s="6" t="s">
        <v>767</v>
      </c>
      <c r="K2027" s="7">
        <v>6271014</v>
      </c>
      <c r="L2027" s="7">
        <v>326321</v>
      </c>
      <c r="M2027" s="7">
        <v>19</v>
      </c>
      <c r="N2027" s="7">
        <v>1</v>
      </c>
      <c r="O2027" s="7">
        <v>0.81</v>
      </c>
    </row>
    <row r="2028" spans="1:15" x14ac:dyDescent="0.25">
      <c r="A2028" s="6" t="s">
        <v>28</v>
      </c>
      <c r="B2028" s="6" t="s">
        <v>522</v>
      </c>
      <c r="C2028" s="7">
        <v>32375</v>
      </c>
      <c r="D2028" s="6" t="s">
        <v>24</v>
      </c>
      <c r="E2028" s="6" t="s">
        <v>87</v>
      </c>
      <c r="F2028" s="6" t="s">
        <v>598</v>
      </c>
      <c r="G2028" s="6" t="s">
        <v>32</v>
      </c>
      <c r="H2028" s="6" t="s">
        <v>19</v>
      </c>
      <c r="I2028" s="6" t="s">
        <v>767</v>
      </c>
      <c r="J2028" s="6" t="s">
        <v>767</v>
      </c>
      <c r="K2028" s="7">
        <v>6307016</v>
      </c>
      <c r="L2028" s="7">
        <v>331289</v>
      </c>
      <c r="M2028" s="7">
        <v>19</v>
      </c>
      <c r="N2028" s="7">
        <v>1</v>
      </c>
      <c r="O2028" s="7">
        <v>1.65</v>
      </c>
    </row>
    <row r="2029" spans="1:15" x14ac:dyDescent="0.25">
      <c r="A2029" s="6" t="s">
        <v>14</v>
      </c>
      <c r="B2029" s="6" t="s">
        <v>522</v>
      </c>
      <c r="C2029" s="7">
        <v>32376</v>
      </c>
      <c r="D2029" s="6" t="s">
        <v>24</v>
      </c>
      <c r="E2029" s="6" t="s">
        <v>427</v>
      </c>
      <c r="F2029" s="6" t="s">
        <v>443</v>
      </c>
      <c r="G2029" s="6" t="s">
        <v>32</v>
      </c>
      <c r="H2029" s="6" t="s">
        <v>33</v>
      </c>
      <c r="I2029" s="6" t="s">
        <v>767</v>
      </c>
      <c r="J2029" s="6" t="s">
        <v>767</v>
      </c>
      <c r="K2029" s="7">
        <v>6261369</v>
      </c>
      <c r="L2029" s="7">
        <v>326854</v>
      </c>
      <c r="M2029" s="7">
        <v>19</v>
      </c>
      <c r="N2029" s="7">
        <v>1</v>
      </c>
      <c r="O2029" s="7">
        <v>0.4</v>
      </c>
    </row>
    <row r="2030" spans="1:15" x14ac:dyDescent="0.25">
      <c r="A2030" s="6" t="s">
        <v>28</v>
      </c>
      <c r="B2030" s="6" t="s">
        <v>522</v>
      </c>
      <c r="C2030" s="7">
        <v>32377</v>
      </c>
      <c r="D2030" s="6" t="s">
        <v>24</v>
      </c>
      <c r="E2030" s="6" t="s">
        <v>31</v>
      </c>
      <c r="F2030" s="6" t="s">
        <v>599</v>
      </c>
      <c r="G2030" s="6" t="s">
        <v>32</v>
      </c>
      <c r="H2030" s="6" t="s">
        <v>153</v>
      </c>
      <c r="I2030" s="6" t="s">
        <v>767</v>
      </c>
      <c r="J2030" s="6" t="s">
        <v>764</v>
      </c>
      <c r="K2030" s="7">
        <v>6272021</v>
      </c>
      <c r="L2030" s="7">
        <v>306154</v>
      </c>
      <c r="M2030" s="7">
        <v>19</v>
      </c>
      <c r="N2030" s="7">
        <v>1</v>
      </c>
      <c r="O2030" s="7">
        <v>6.29</v>
      </c>
    </row>
    <row r="2031" spans="1:15" x14ac:dyDescent="0.25">
      <c r="A2031" s="6" t="s">
        <v>28</v>
      </c>
      <c r="B2031" s="6" t="s">
        <v>522</v>
      </c>
      <c r="C2031" s="7">
        <v>32378</v>
      </c>
      <c r="D2031" s="6" t="s">
        <v>24</v>
      </c>
      <c r="E2031" s="6" t="s">
        <v>429</v>
      </c>
      <c r="F2031" s="6" t="s">
        <v>491</v>
      </c>
      <c r="G2031" s="6" t="s">
        <v>32</v>
      </c>
      <c r="H2031" s="6" t="s">
        <v>19</v>
      </c>
      <c r="I2031" s="6" t="s">
        <v>767</v>
      </c>
      <c r="J2031" s="6" t="s">
        <v>767</v>
      </c>
      <c r="K2031" s="7">
        <v>6301794</v>
      </c>
      <c r="L2031" s="7">
        <v>327087</v>
      </c>
      <c r="M2031" s="7">
        <v>19</v>
      </c>
      <c r="N2031" s="7">
        <v>1</v>
      </c>
      <c r="O2031" s="7">
        <v>0.4</v>
      </c>
    </row>
    <row r="2032" spans="1:15" x14ac:dyDescent="0.25">
      <c r="A2032" s="6" t="s">
        <v>28</v>
      </c>
      <c r="B2032" s="6" t="s">
        <v>522</v>
      </c>
      <c r="C2032" s="7">
        <v>32382</v>
      </c>
      <c r="D2032" s="6" t="s">
        <v>24</v>
      </c>
      <c r="E2032" s="6" t="s">
        <v>580</v>
      </c>
      <c r="F2032" s="6" t="s">
        <v>580</v>
      </c>
      <c r="G2032" s="6" t="s">
        <v>32</v>
      </c>
      <c r="H2032" s="6" t="s">
        <v>19</v>
      </c>
      <c r="I2032" s="6" t="s">
        <v>767</v>
      </c>
      <c r="J2032" s="6" t="s">
        <v>767</v>
      </c>
      <c r="K2032" s="7">
        <v>6322781</v>
      </c>
      <c r="L2032" s="7">
        <v>339036</v>
      </c>
      <c r="M2032" s="7">
        <v>19</v>
      </c>
      <c r="N2032" s="7">
        <v>1</v>
      </c>
      <c r="O2032" s="7">
        <v>1.6</v>
      </c>
    </row>
    <row r="2033" spans="1:15" x14ac:dyDescent="0.25">
      <c r="A2033" s="6" t="s">
        <v>28</v>
      </c>
      <c r="B2033" s="6" t="s">
        <v>522</v>
      </c>
      <c r="C2033" s="7">
        <v>32383</v>
      </c>
      <c r="D2033" s="6" t="s">
        <v>24</v>
      </c>
      <c r="E2033" s="6" t="s">
        <v>56</v>
      </c>
      <c r="F2033" s="6" t="s">
        <v>464</v>
      </c>
      <c r="G2033" s="6" t="s">
        <v>32</v>
      </c>
      <c r="H2033" s="6" t="s">
        <v>153</v>
      </c>
      <c r="I2033" s="6" t="s">
        <v>767</v>
      </c>
      <c r="J2033" s="6" t="s">
        <v>764</v>
      </c>
      <c r="K2033" s="7">
        <v>6277979</v>
      </c>
      <c r="L2033" s="7">
        <v>345153</v>
      </c>
      <c r="M2033" s="7">
        <v>19</v>
      </c>
      <c r="N2033" s="7">
        <v>1</v>
      </c>
      <c r="O2033" s="7">
        <v>2.1</v>
      </c>
    </row>
    <row r="2034" spans="1:15" x14ac:dyDescent="0.25">
      <c r="A2034" s="6" t="s">
        <v>14</v>
      </c>
      <c r="B2034" s="6" t="s">
        <v>522</v>
      </c>
      <c r="C2034" s="7">
        <v>32384</v>
      </c>
      <c r="D2034" s="6" t="s">
        <v>24</v>
      </c>
      <c r="E2034" s="6" t="s">
        <v>56</v>
      </c>
      <c r="F2034" s="6" t="s">
        <v>418</v>
      </c>
      <c r="G2034" s="6" t="s">
        <v>32</v>
      </c>
      <c r="H2034" s="6" t="s">
        <v>33</v>
      </c>
      <c r="I2034" s="6" t="s">
        <v>767</v>
      </c>
      <c r="J2034" s="6" t="s">
        <v>767</v>
      </c>
      <c r="K2034" s="7">
        <v>6273372</v>
      </c>
      <c r="L2034" s="7">
        <v>339952</v>
      </c>
      <c r="M2034" s="7">
        <v>19</v>
      </c>
      <c r="N2034" s="7">
        <v>1</v>
      </c>
      <c r="O2034" s="7">
        <v>0.33</v>
      </c>
    </row>
    <row r="2035" spans="1:15" x14ac:dyDescent="0.25">
      <c r="A2035" s="6" t="s">
        <v>22</v>
      </c>
      <c r="B2035" s="6" t="s">
        <v>522</v>
      </c>
      <c r="C2035" s="7">
        <v>32385</v>
      </c>
      <c r="D2035" s="6" t="s">
        <v>133</v>
      </c>
      <c r="E2035" s="6" t="s">
        <v>218</v>
      </c>
      <c r="F2035" s="6" t="s">
        <v>526</v>
      </c>
      <c r="G2035" s="6" t="s">
        <v>50</v>
      </c>
      <c r="H2035" s="6" t="s">
        <v>765</v>
      </c>
      <c r="I2035" s="6" t="s">
        <v>767</v>
      </c>
      <c r="J2035" s="6" t="s">
        <v>767</v>
      </c>
      <c r="K2035" s="7">
        <v>5701403</v>
      </c>
      <c r="L2035" s="7">
        <v>723166</v>
      </c>
      <c r="M2035" s="7">
        <v>18</v>
      </c>
      <c r="N2035" s="7">
        <v>1</v>
      </c>
      <c r="O2035" s="7">
        <v>1.5</v>
      </c>
    </row>
    <row r="2036" spans="1:15" x14ac:dyDescent="0.25">
      <c r="A2036" s="6" t="s">
        <v>22</v>
      </c>
      <c r="B2036" s="6" t="s">
        <v>522</v>
      </c>
      <c r="C2036" s="7">
        <v>32391</v>
      </c>
      <c r="D2036" s="6" t="s">
        <v>24</v>
      </c>
      <c r="E2036" s="6" t="s">
        <v>25</v>
      </c>
      <c r="F2036" s="6" t="s">
        <v>445</v>
      </c>
      <c r="G2036" s="6" t="s">
        <v>32</v>
      </c>
      <c r="H2036" s="6" t="s">
        <v>765</v>
      </c>
      <c r="I2036" s="6" t="s">
        <v>767</v>
      </c>
      <c r="J2036" s="6" t="s">
        <v>767</v>
      </c>
      <c r="K2036" s="7">
        <v>6259338</v>
      </c>
      <c r="L2036" s="7">
        <v>332647</v>
      </c>
      <c r="M2036" s="7">
        <v>19</v>
      </c>
      <c r="N2036" s="7">
        <v>1</v>
      </c>
      <c r="O2036" s="7">
        <v>1.95</v>
      </c>
    </row>
    <row r="2037" spans="1:15" x14ac:dyDescent="0.25">
      <c r="A2037" s="6" t="s">
        <v>28</v>
      </c>
      <c r="B2037" s="6" t="s">
        <v>522</v>
      </c>
      <c r="C2037" s="7">
        <v>32392</v>
      </c>
      <c r="D2037" s="6" t="s">
        <v>24</v>
      </c>
      <c r="E2037" s="6" t="s">
        <v>31</v>
      </c>
      <c r="F2037" s="6" t="s">
        <v>438</v>
      </c>
      <c r="G2037" s="6" t="s">
        <v>32</v>
      </c>
      <c r="H2037" s="6" t="s">
        <v>19</v>
      </c>
      <c r="I2037" s="6" t="s">
        <v>767</v>
      </c>
      <c r="J2037" s="6" t="s">
        <v>767</v>
      </c>
      <c r="K2037" s="7">
        <v>6275816</v>
      </c>
      <c r="L2037" s="7">
        <v>290775</v>
      </c>
      <c r="M2037" s="7">
        <v>19</v>
      </c>
      <c r="N2037" s="7">
        <v>1</v>
      </c>
      <c r="O2037" s="7">
        <v>1</v>
      </c>
    </row>
    <row r="2038" spans="1:15" x14ac:dyDescent="0.25">
      <c r="A2038" s="6" t="s">
        <v>22</v>
      </c>
      <c r="B2038" s="6" t="s">
        <v>522</v>
      </c>
      <c r="C2038" s="7">
        <v>32394</v>
      </c>
      <c r="D2038" s="6" t="s">
        <v>133</v>
      </c>
      <c r="E2038" s="6" t="s">
        <v>249</v>
      </c>
      <c r="F2038" s="6" t="s">
        <v>533</v>
      </c>
      <c r="G2038" s="6" t="s">
        <v>50</v>
      </c>
      <c r="H2038" s="6" t="s">
        <v>765</v>
      </c>
      <c r="I2038" s="6" t="s">
        <v>767</v>
      </c>
      <c r="J2038" s="6" t="s">
        <v>767</v>
      </c>
      <c r="K2038" s="7">
        <v>5701403</v>
      </c>
      <c r="L2038" s="7">
        <v>723166</v>
      </c>
      <c r="M2038" s="7">
        <v>18</v>
      </c>
      <c r="N2038" s="7">
        <v>1</v>
      </c>
      <c r="O2038" s="7">
        <v>3.8</v>
      </c>
    </row>
    <row r="2039" spans="1:15" x14ac:dyDescent="0.25">
      <c r="A2039" s="6" t="s">
        <v>22</v>
      </c>
      <c r="B2039" s="6" t="s">
        <v>522</v>
      </c>
      <c r="C2039" s="7">
        <v>32396</v>
      </c>
      <c r="D2039" s="6" t="s">
        <v>133</v>
      </c>
      <c r="E2039" s="6" t="s">
        <v>249</v>
      </c>
      <c r="F2039" s="6" t="s">
        <v>533</v>
      </c>
      <c r="G2039" s="6" t="s">
        <v>50</v>
      </c>
      <c r="H2039" s="6" t="s">
        <v>765</v>
      </c>
      <c r="I2039" s="6" t="s">
        <v>767</v>
      </c>
      <c r="J2039" s="6" t="s">
        <v>767</v>
      </c>
      <c r="K2039" s="7">
        <v>5700652</v>
      </c>
      <c r="L2039" s="7">
        <v>723106</v>
      </c>
      <c r="M2039" s="7">
        <v>18</v>
      </c>
      <c r="N2039" s="7">
        <v>1</v>
      </c>
      <c r="O2039" s="7">
        <v>0.7</v>
      </c>
    </row>
    <row r="2040" spans="1:15" x14ac:dyDescent="0.25">
      <c r="A2040" s="6" t="s">
        <v>14</v>
      </c>
      <c r="B2040" s="6" t="s">
        <v>522</v>
      </c>
      <c r="C2040" s="7">
        <v>32398</v>
      </c>
      <c r="D2040" s="6" t="s">
        <v>42</v>
      </c>
      <c r="E2040" s="6" t="s">
        <v>43</v>
      </c>
      <c r="F2040" s="6" t="s">
        <v>44</v>
      </c>
      <c r="G2040" s="6" t="s">
        <v>32</v>
      </c>
      <c r="H2040" s="6" t="s">
        <v>33</v>
      </c>
      <c r="I2040" s="6" t="s">
        <v>767</v>
      </c>
      <c r="J2040" s="6" t="s">
        <v>764</v>
      </c>
      <c r="K2040" s="7">
        <v>6196489</v>
      </c>
      <c r="L2040" s="7">
        <v>326309</v>
      </c>
      <c r="M2040" s="7">
        <v>19</v>
      </c>
      <c r="N2040" s="7">
        <v>1</v>
      </c>
      <c r="O2040" s="7">
        <v>60</v>
      </c>
    </row>
    <row r="2041" spans="1:15" x14ac:dyDescent="0.25">
      <c r="A2041" s="6" t="s">
        <v>28</v>
      </c>
      <c r="B2041" s="6" t="s">
        <v>522</v>
      </c>
      <c r="C2041" s="7">
        <v>32401</v>
      </c>
      <c r="D2041" s="6" t="s">
        <v>42</v>
      </c>
      <c r="E2041" s="6" t="s">
        <v>449</v>
      </c>
      <c r="F2041" s="6" t="s">
        <v>449</v>
      </c>
      <c r="G2041" s="6" t="s">
        <v>32</v>
      </c>
      <c r="H2041" s="6" t="s">
        <v>33</v>
      </c>
      <c r="I2041" s="6" t="s">
        <v>767</v>
      </c>
      <c r="J2041" s="6" t="s">
        <v>767</v>
      </c>
      <c r="K2041" s="7">
        <v>6166874</v>
      </c>
      <c r="L2041" s="7">
        <v>306969</v>
      </c>
      <c r="M2041" s="7">
        <v>19</v>
      </c>
      <c r="N2041" s="7">
        <v>4</v>
      </c>
      <c r="O2041" s="7">
        <v>32.4</v>
      </c>
    </row>
    <row r="2042" spans="1:15" x14ac:dyDescent="0.25">
      <c r="A2042" s="6" t="s">
        <v>22</v>
      </c>
      <c r="B2042" s="6" t="s">
        <v>522</v>
      </c>
      <c r="C2042" s="7">
        <v>32417</v>
      </c>
      <c r="D2042" s="6" t="s">
        <v>24</v>
      </c>
      <c r="E2042" s="6" t="s">
        <v>25</v>
      </c>
      <c r="F2042" s="6" t="s">
        <v>445</v>
      </c>
      <c r="G2042" s="6" t="s">
        <v>32</v>
      </c>
      <c r="H2042" s="6" t="s">
        <v>765</v>
      </c>
      <c r="I2042" s="6" t="s">
        <v>767</v>
      </c>
      <c r="J2042" s="6" t="s">
        <v>767</v>
      </c>
      <c r="K2042" s="7">
        <v>6259342</v>
      </c>
      <c r="L2042" s="7">
        <v>332229</v>
      </c>
      <c r="M2042" s="7">
        <v>19</v>
      </c>
      <c r="N2042" s="7">
        <v>1</v>
      </c>
      <c r="O2042" s="7">
        <v>0.81</v>
      </c>
    </row>
    <row r="2043" spans="1:15" x14ac:dyDescent="0.25">
      <c r="A2043" s="6" t="s">
        <v>22</v>
      </c>
      <c r="B2043" s="6" t="s">
        <v>522</v>
      </c>
      <c r="C2043" s="7">
        <v>32431</v>
      </c>
      <c r="D2043" s="6" t="s">
        <v>297</v>
      </c>
      <c r="E2043" s="6" t="s">
        <v>298</v>
      </c>
      <c r="F2043" s="6" t="s">
        <v>523</v>
      </c>
      <c r="G2043" s="6" t="s">
        <v>32</v>
      </c>
      <c r="H2043" s="6" t="s">
        <v>765</v>
      </c>
      <c r="I2043" s="6" t="s">
        <v>767</v>
      </c>
      <c r="J2043" s="6" t="s">
        <v>767</v>
      </c>
      <c r="K2043" s="7">
        <v>7952329</v>
      </c>
      <c r="L2043" s="7">
        <v>371477</v>
      </c>
      <c r="M2043" s="7">
        <v>19</v>
      </c>
      <c r="N2043" s="7">
        <v>1</v>
      </c>
      <c r="O2043" s="7">
        <v>0.12</v>
      </c>
    </row>
    <row r="2044" spans="1:15" x14ac:dyDescent="0.25">
      <c r="A2044" s="6" t="s">
        <v>22</v>
      </c>
      <c r="B2044" s="6" t="s">
        <v>522</v>
      </c>
      <c r="C2044" s="7">
        <v>32434</v>
      </c>
      <c r="D2044" s="6" t="s">
        <v>297</v>
      </c>
      <c r="E2044" s="6" t="s">
        <v>298</v>
      </c>
      <c r="F2044" s="6" t="s">
        <v>523</v>
      </c>
      <c r="G2044" s="6" t="s">
        <v>32</v>
      </c>
      <c r="H2044" s="6" t="s">
        <v>765</v>
      </c>
      <c r="I2044" s="6" t="s">
        <v>767</v>
      </c>
      <c r="J2044" s="6" t="s">
        <v>767</v>
      </c>
      <c r="K2044" s="7">
        <v>7953369</v>
      </c>
      <c r="L2044" s="7">
        <v>366140</v>
      </c>
      <c r="M2044" s="7">
        <v>19</v>
      </c>
      <c r="N2044" s="7">
        <v>1</v>
      </c>
      <c r="O2044" s="7">
        <v>0.05</v>
      </c>
    </row>
    <row r="2045" spans="1:15" x14ac:dyDescent="0.25">
      <c r="A2045" s="6" t="s">
        <v>22</v>
      </c>
      <c r="B2045" s="6" t="s">
        <v>522</v>
      </c>
      <c r="C2045" s="7">
        <v>32471</v>
      </c>
      <c r="D2045" s="6" t="s">
        <v>98</v>
      </c>
      <c r="E2045" s="6" t="s">
        <v>99</v>
      </c>
      <c r="F2045" s="6" t="s">
        <v>600</v>
      </c>
      <c r="G2045" s="6" t="s">
        <v>32</v>
      </c>
      <c r="H2045" s="6" t="s">
        <v>765</v>
      </c>
      <c r="I2045" s="6" t="s">
        <v>767</v>
      </c>
      <c r="J2045" s="6" t="s">
        <v>767</v>
      </c>
      <c r="K2045" s="7">
        <v>5846951</v>
      </c>
      <c r="L2045" s="7">
        <v>719721</v>
      </c>
      <c r="M2045" s="7">
        <v>18</v>
      </c>
      <c r="N2045" s="7">
        <v>1</v>
      </c>
      <c r="O2045" s="7">
        <v>0.02</v>
      </c>
    </row>
    <row r="2046" spans="1:15" x14ac:dyDescent="0.25">
      <c r="A2046" s="6" t="s">
        <v>14</v>
      </c>
      <c r="B2046" s="6" t="s">
        <v>522</v>
      </c>
      <c r="C2046" s="7">
        <v>32474</v>
      </c>
      <c r="D2046" s="6" t="s">
        <v>42</v>
      </c>
      <c r="E2046" s="6" t="s">
        <v>51</v>
      </c>
      <c r="F2046" s="6" t="s">
        <v>51</v>
      </c>
      <c r="G2046" s="6" t="s">
        <v>32</v>
      </c>
      <c r="H2046" s="6" t="s">
        <v>33</v>
      </c>
      <c r="I2046" s="6" t="s">
        <v>767</v>
      </c>
      <c r="J2046" s="6" t="s">
        <v>767</v>
      </c>
      <c r="K2046" s="7">
        <v>6152143</v>
      </c>
      <c r="L2046" s="7">
        <v>314199</v>
      </c>
      <c r="M2046" s="7">
        <v>19</v>
      </c>
      <c r="N2046" s="7">
        <v>1</v>
      </c>
      <c r="O2046" s="7">
        <v>7.5</v>
      </c>
    </row>
    <row r="2047" spans="1:15" x14ac:dyDescent="0.25">
      <c r="A2047" s="6" t="s">
        <v>14</v>
      </c>
      <c r="B2047" s="6" t="s">
        <v>522</v>
      </c>
      <c r="C2047" s="7">
        <v>32477</v>
      </c>
      <c r="D2047" s="6" t="s">
        <v>42</v>
      </c>
      <c r="E2047" s="6" t="s">
        <v>51</v>
      </c>
      <c r="F2047" s="6" t="s">
        <v>51</v>
      </c>
      <c r="G2047" s="6" t="s">
        <v>32</v>
      </c>
      <c r="H2047" s="6" t="s">
        <v>33</v>
      </c>
      <c r="I2047" s="6" t="s">
        <v>767</v>
      </c>
      <c r="J2047" s="6" t="s">
        <v>767</v>
      </c>
      <c r="K2047" s="7">
        <v>6152275</v>
      </c>
      <c r="L2047" s="7">
        <v>314011</v>
      </c>
      <c r="M2047" s="7">
        <v>19</v>
      </c>
      <c r="N2047" s="7">
        <v>1</v>
      </c>
      <c r="O2047" s="7">
        <v>17</v>
      </c>
    </row>
    <row r="2048" spans="1:15" x14ac:dyDescent="0.25">
      <c r="A2048" s="6" t="s">
        <v>28</v>
      </c>
      <c r="B2048" s="6" t="s">
        <v>522</v>
      </c>
      <c r="C2048" s="7">
        <v>32480</v>
      </c>
      <c r="D2048" s="6" t="s">
        <v>24</v>
      </c>
      <c r="E2048" s="6" t="s">
        <v>31</v>
      </c>
      <c r="F2048" s="6" t="s">
        <v>530</v>
      </c>
      <c r="G2048" s="6" t="s">
        <v>32</v>
      </c>
      <c r="H2048" s="6" t="s">
        <v>19</v>
      </c>
      <c r="I2048" s="6" t="s">
        <v>767</v>
      </c>
      <c r="J2048" s="6" t="s">
        <v>767</v>
      </c>
      <c r="K2048" s="7">
        <v>6271374</v>
      </c>
      <c r="L2048" s="7">
        <v>323112</v>
      </c>
      <c r="M2048" s="7">
        <v>19</v>
      </c>
      <c r="N2048" s="7">
        <v>2</v>
      </c>
      <c r="O2048" s="7">
        <v>3.4</v>
      </c>
    </row>
    <row r="2049" spans="1:15" x14ac:dyDescent="0.25">
      <c r="A2049" s="6" t="s">
        <v>14</v>
      </c>
      <c r="B2049" s="6" t="s">
        <v>522</v>
      </c>
      <c r="C2049" s="7">
        <v>32481</v>
      </c>
      <c r="D2049" s="6" t="s">
        <v>24</v>
      </c>
      <c r="E2049" s="6" t="s">
        <v>25</v>
      </c>
      <c r="F2049" s="6" t="s">
        <v>556</v>
      </c>
      <c r="G2049" s="6" t="s">
        <v>32</v>
      </c>
      <c r="H2049" s="6" t="s">
        <v>33</v>
      </c>
      <c r="I2049" s="6" t="s">
        <v>767</v>
      </c>
      <c r="J2049" s="6" t="s">
        <v>767</v>
      </c>
      <c r="K2049" s="7">
        <v>6261666</v>
      </c>
      <c r="L2049" s="7">
        <v>330569</v>
      </c>
      <c r="M2049" s="7">
        <v>19</v>
      </c>
      <c r="N2049" s="7">
        <v>1</v>
      </c>
      <c r="O2049" s="7">
        <v>0.37</v>
      </c>
    </row>
    <row r="2050" spans="1:15" x14ac:dyDescent="0.25">
      <c r="A2050" s="6" t="s">
        <v>28</v>
      </c>
      <c r="B2050" s="6" t="s">
        <v>522</v>
      </c>
      <c r="C2050" s="7">
        <v>32482</v>
      </c>
      <c r="D2050" s="6" t="s">
        <v>24</v>
      </c>
      <c r="E2050" s="6" t="s">
        <v>96</v>
      </c>
      <c r="F2050" s="6" t="s">
        <v>601</v>
      </c>
      <c r="G2050" s="6" t="s">
        <v>32</v>
      </c>
      <c r="H2050" s="6" t="s">
        <v>153</v>
      </c>
      <c r="I2050" s="6" t="s">
        <v>767</v>
      </c>
      <c r="J2050" s="6" t="s">
        <v>764</v>
      </c>
      <c r="K2050" s="7">
        <v>6260943</v>
      </c>
      <c r="L2050" s="7">
        <v>347528</v>
      </c>
      <c r="M2050" s="7">
        <v>19</v>
      </c>
      <c r="N2050" s="7">
        <v>2</v>
      </c>
      <c r="O2050" s="7">
        <v>4.4800000000000004</v>
      </c>
    </row>
    <row r="2051" spans="1:15" x14ac:dyDescent="0.25">
      <c r="A2051" s="6" t="s">
        <v>14</v>
      </c>
      <c r="B2051" s="6" t="s">
        <v>522</v>
      </c>
      <c r="C2051" s="7">
        <v>32483</v>
      </c>
      <c r="D2051" s="6" t="s">
        <v>42</v>
      </c>
      <c r="E2051" s="6" t="s">
        <v>51</v>
      </c>
      <c r="F2051" s="6" t="s">
        <v>51</v>
      </c>
      <c r="G2051" s="6" t="s">
        <v>32</v>
      </c>
      <c r="H2051" s="6" t="s">
        <v>33</v>
      </c>
      <c r="I2051" s="6" t="s">
        <v>767</v>
      </c>
      <c r="J2051" s="6" t="s">
        <v>764</v>
      </c>
      <c r="K2051" s="7">
        <v>6157795</v>
      </c>
      <c r="L2051" s="7">
        <v>319218</v>
      </c>
      <c r="M2051" s="7">
        <v>19</v>
      </c>
      <c r="N2051" s="7">
        <v>1</v>
      </c>
      <c r="O2051" s="7">
        <v>10</v>
      </c>
    </row>
    <row r="2052" spans="1:15" x14ac:dyDescent="0.25">
      <c r="A2052" s="6" t="s">
        <v>14</v>
      </c>
      <c r="B2052" s="6" t="s">
        <v>522</v>
      </c>
      <c r="C2052" s="7">
        <v>32487</v>
      </c>
      <c r="D2052" s="6" t="s">
        <v>39</v>
      </c>
      <c r="E2052" s="6" t="s">
        <v>41</v>
      </c>
      <c r="F2052" s="6" t="s">
        <v>41</v>
      </c>
      <c r="G2052" s="6" t="s">
        <v>32</v>
      </c>
      <c r="H2052" s="6" t="s">
        <v>33</v>
      </c>
      <c r="I2052" s="6" t="s">
        <v>767</v>
      </c>
      <c r="J2052" s="6" t="s">
        <v>767</v>
      </c>
      <c r="K2052" s="7">
        <v>6117828</v>
      </c>
      <c r="L2052" s="7">
        <v>288912</v>
      </c>
      <c r="M2052" s="7">
        <v>19</v>
      </c>
      <c r="N2052" s="7">
        <v>2</v>
      </c>
      <c r="O2052" s="7">
        <v>23.1</v>
      </c>
    </row>
    <row r="2053" spans="1:15" x14ac:dyDescent="0.25">
      <c r="A2053" s="6" t="s">
        <v>28</v>
      </c>
      <c r="B2053" s="6" t="s">
        <v>522</v>
      </c>
      <c r="C2053" s="7">
        <v>32491</v>
      </c>
      <c r="D2053" s="6" t="s">
        <v>42</v>
      </c>
      <c r="E2053" s="6" t="s">
        <v>51</v>
      </c>
      <c r="F2053" s="6" t="s">
        <v>85</v>
      </c>
      <c r="G2053" s="6" t="s">
        <v>32</v>
      </c>
      <c r="H2053" s="6" t="s">
        <v>33</v>
      </c>
      <c r="I2053" s="6" t="s">
        <v>764</v>
      </c>
      <c r="J2053" s="6" t="s">
        <v>767</v>
      </c>
      <c r="K2053" s="7">
        <v>6149047</v>
      </c>
      <c r="L2053" s="7">
        <v>316944</v>
      </c>
      <c r="M2053" s="7">
        <v>19</v>
      </c>
      <c r="N2053" s="7">
        <v>1</v>
      </c>
      <c r="O2053" s="7">
        <v>7</v>
      </c>
    </row>
    <row r="2054" spans="1:15" x14ac:dyDescent="0.25">
      <c r="A2054" s="6" t="s">
        <v>28</v>
      </c>
      <c r="B2054" s="6" t="s">
        <v>522</v>
      </c>
      <c r="C2054" s="7">
        <v>32496</v>
      </c>
      <c r="D2054" s="6" t="s">
        <v>24</v>
      </c>
      <c r="E2054" s="6" t="s">
        <v>31</v>
      </c>
      <c r="F2054" s="6" t="s">
        <v>566</v>
      </c>
      <c r="G2054" s="6" t="s">
        <v>32</v>
      </c>
      <c r="H2054" s="6" t="s">
        <v>33</v>
      </c>
      <c r="I2054" s="6" t="s">
        <v>767</v>
      </c>
      <c r="J2054" s="6" t="s">
        <v>764</v>
      </c>
      <c r="K2054" s="7">
        <v>6276137</v>
      </c>
      <c r="L2054" s="7">
        <v>288921</v>
      </c>
      <c r="M2054" s="7">
        <v>19</v>
      </c>
      <c r="N2054" s="7">
        <v>1</v>
      </c>
      <c r="O2054" s="7">
        <v>1.7</v>
      </c>
    </row>
    <row r="2055" spans="1:15" x14ac:dyDescent="0.25">
      <c r="A2055" s="6" t="s">
        <v>28</v>
      </c>
      <c r="B2055" s="6" t="s">
        <v>522</v>
      </c>
      <c r="C2055" s="7">
        <v>32499</v>
      </c>
      <c r="D2055" s="6" t="s">
        <v>24</v>
      </c>
      <c r="E2055" s="6" t="s">
        <v>429</v>
      </c>
      <c r="F2055" s="6" t="s">
        <v>602</v>
      </c>
      <c r="G2055" s="6" t="s">
        <v>32</v>
      </c>
      <c r="H2055" s="6" t="s">
        <v>19</v>
      </c>
      <c r="I2055" s="6" t="s">
        <v>767</v>
      </c>
      <c r="J2055" s="6" t="s">
        <v>767</v>
      </c>
      <c r="K2055" s="7">
        <v>6306210</v>
      </c>
      <c r="L2055" s="7">
        <v>333532</v>
      </c>
      <c r="M2055" s="7">
        <v>19</v>
      </c>
      <c r="N2055" s="7">
        <v>1</v>
      </c>
      <c r="O2055" s="7">
        <v>2.4</v>
      </c>
    </row>
    <row r="2056" spans="1:15" x14ac:dyDescent="0.25">
      <c r="A2056" s="6" t="s">
        <v>14</v>
      </c>
      <c r="B2056" s="6" t="s">
        <v>522</v>
      </c>
      <c r="C2056" s="7">
        <v>32500</v>
      </c>
      <c r="D2056" s="6" t="s">
        <v>24</v>
      </c>
      <c r="E2056" s="6" t="s">
        <v>51</v>
      </c>
      <c r="F2056" s="6" t="s">
        <v>51</v>
      </c>
      <c r="G2056" s="6" t="s">
        <v>32</v>
      </c>
      <c r="H2056" s="6" t="s">
        <v>33</v>
      </c>
      <c r="I2056" s="6" t="s">
        <v>767</v>
      </c>
      <c r="J2056" s="6" t="s">
        <v>767</v>
      </c>
      <c r="K2056" s="7">
        <v>6280078</v>
      </c>
      <c r="L2056" s="7">
        <v>330363</v>
      </c>
      <c r="M2056" s="7">
        <v>19</v>
      </c>
      <c r="N2056" s="7">
        <v>1</v>
      </c>
      <c r="O2056" s="7">
        <v>0.3</v>
      </c>
    </row>
    <row r="2057" spans="1:15" x14ac:dyDescent="0.25">
      <c r="A2057" s="6" t="s">
        <v>14</v>
      </c>
      <c r="B2057" s="6" t="s">
        <v>522</v>
      </c>
      <c r="C2057" s="7">
        <v>32501</v>
      </c>
      <c r="D2057" s="6" t="s">
        <v>42</v>
      </c>
      <c r="E2057" s="6" t="s">
        <v>167</v>
      </c>
      <c r="F2057" s="6" t="s">
        <v>168</v>
      </c>
      <c r="G2057" s="6" t="s">
        <v>32</v>
      </c>
      <c r="H2057" s="6" t="s">
        <v>33</v>
      </c>
      <c r="I2057" s="6" t="s">
        <v>767</v>
      </c>
      <c r="J2057" s="6" t="s">
        <v>767</v>
      </c>
      <c r="K2057" s="7">
        <v>6222725</v>
      </c>
      <c r="L2057" s="7">
        <v>344149</v>
      </c>
      <c r="M2057" s="7">
        <v>19</v>
      </c>
      <c r="N2057" s="7">
        <v>1</v>
      </c>
      <c r="O2057" s="7">
        <v>0.42</v>
      </c>
    </row>
    <row r="2058" spans="1:15" x14ac:dyDescent="0.25">
      <c r="A2058" s="6" t="s">
        <v>28</v>
      </c>
      <c r="B2058" s="6" t="s">
        <v>522</v>
      </c>
      <c r="C2058" s="7">
        <v>32503</v>
      </c>
      <c r="D2058" s="6" t="s">
        <v>42</v>
      </c>
      <c r="E2058" s="6" t="s">
        <v>167</v>
      </c>
      <c r="F2058" s="6" t="s">
        <v>591</v>
      </c>
      <c r="G2058" s="6" t="s">
        <v>32</v>
      </c>
      <c r="H2058" s="6" t="s">
        <v>33</v>
      </c>
      <c r="I2058" s="6" t="s">
        <v>767</v>
      </c>
      <c r="J2058" s="6" t="s">
        <v>767</v>
      </c>
      <c r="K2058" s="7">
        <v>6220946</v>
      </c>
      <c r="L2058" s="7">
        <v>343542</v>
      </c>
      <c r="M2058" s="7">
        <v>19</v>
      </c>
      <c r="N2058" s="7">
        <v>1</v>
      </c>
      <c r="O2058" s="7">
        <v>6</v>
      </c>
    </row>
    <row r="2059" spans="1:15" x14ac:dyDescent="0.25">
      <c r="A2059" s="6" t="s">
        <v>14</v>
      </c>
      <c r="B2059" s="6" t="s">
        <v>522</v>
      </c>
      <c r="C2059" s="7">
        <v>32504</v>
      </c>
      <c r="D2059" s="6" t="s">
        <v>42</v>
      </c>
      <c r="E2059" s="6" t="s">
        <v>45</v>
      </c>
      <c r="F2059" s="6" t="s">
        <v>45</v>
      </c>
      <c r="G2059" s="6" t="s">
        <v>32</v>
      </c>
      <c r="H2059" s="6" t="s">
        <v>33</v>
      </c>
      <c r="I2059" s="6" t="s">
        <v>767</v>
      </c>
      <c r="J2059" s="6" t="s">
        <v>764</v>
      </c>
      <c r="K2059" s="7">
        <v>6164108</v>
      </c>
      <c r="L2059" s="7">
        <v>326395</v>
      </c>
      <c r="M2059" s="7">
        <v>19</v>
      </c>
      <c r="N2059" s="7">
        <v>1</v>
      </c>
      <c r="O2059" s="7">
        <v>6</v>
      </c>
    </row>
    <row r="2060" spans="1:15" x14ac:dyDescent="0.25">
      <c r="A2060" s="6" t="s">
        <v>14</v>
      </c>
      <c r="B2060" s="6" t="s">
        <v>522</v>
      </c>
      <c r="C2060" s="7">
        <v>32505</v>
      </c>
      <c r="D2060" s="6" t="s">
        <v>39</v>
      </c>
      <c r="E2060" s="6" t="s">
        <v>53</v>
      </c>
      <c r="F2060" s="6" t="s">
        <v>53</v>
      </c>
      <c r="G2060" s="6" t="s">
        <v>32</v>
      </c>
      <c r="H2060" s="6" t="s">
        <v>33</v>
      </c>
      <c r="I2060" s="6" t="s">
        <v>767</v>
      </c>
      <c r="J2060" s="6" t="s">
        <v>764</v>
      </c>
      <c r="K2060" s="7">
        <v>6143904</v>
      </c>
      <c r="L2060" s="7">
        <v>312125</v>
      </c>
      <c r="M2060" s="7">
        <v>19</v>
      </c>
      <c r="N2060" s="7">
        <v>1</v>
      </c>
      <c r="O2060" s="7">
        <v>4</v>
      </c>
    </row>
    <row r="2061" spans="1:15" x14ac:dyDescent="0.25">
      <c r="A2061" s="6" t="s">
        <v>28</v>
      </c>
      <c r="B2061" s="6" t="s">
        <v>522</v>
      </c>
      <c r="C2061" s="7">
        <v>32506</v>
      </c>
      <c r="D2061" s="6" t="s">
        <v>42</v>
      </c>
      <c r="E2061" s="6" t="s">
        <v>51</v>
      </c>
      <c r="F2061" s="6" t="s">
        <v>85</v>
      </c>
      <c r="G2061" s="6" t="s">
        <v>32</v>
      </c>
      <c r="H2061" s="6" t="s">
        <v>33</v>
      </c>
      <c r="I2061" s="6" t="s">
        <v>764</v>
      </c>
      <c r="J2061" s="6" t="s">
        <v>767</v>
      </c>
      <c r="K2061" s="7">
        <v>6148809</v>
      </c>
      <c r="L2061" s="7">
        <v>317237</v>
      </c>
      <c r="M2061" s="7">
        <v>19</v>
      </c>
      <c r="N2061" s="7">
        <v>1</v>
      </c>
      <c r="O2061" s="7">
        <v>5</v>
      </c>
    </row>
    <row r="2062" spans="1:15" x14ac:dyDescent="0.25">
      <c r="A2062" s="6" t="s">
        <v>28</v>
      </c>
      <c r="B2062" s="6" t="s">
        <v>522</v>
      </c>
      <c r="C2062" s="7">
        <v>32509</v>
      </c>
      <c r="D2062" s="6" t="s">
        <v>42</v>
      </c>
      <c r="E2062" s="6" t="s">
        <v>51</v>
      </c>
      <c r="F2062" s="6" t="s">
        <v>51</v>
      </c>
      <c r="G2062" s="6" t="s">
        <v>32</v>
      </c>
      <c r="H2062" s="6" t="s">
        <v>33</v>
      </c>
      <c r="I2062" s="6" t="s">
        <v>764</v>
      </c>
      <c r="J2062" s="6" t="s">
        <v>767</v>
      </c>
      <c r="K2062" s="7">
        <v>6148509</v>
      </c>
      <c r="L2062" s="7">
        <v>316660</v>
      </c>
      <c r="M2062" s="7">
        <v>19</v>
      </c>
      <c r="N2062" s="7">
        <v>1</v>
      </c>
      <c r="O2062" s="7">
        <v>11</v>
      </c>
    </row>
    <row r="2063" spans="1:15" x14ac:dyDescent="0.25">
      <c r="A2063" s="6" t="s">
        <v>14</v>
      </c>
      <c r="B2063" s="6" t="s">
        <v>522</v>
      </c>
      <c r="C2063" s="7">
        <v>32511</v>
      </c>
      <c r="D2063" s="6" t="s">
        <v>39</v>
      </c>
      <c r="E2063" s="6" t="s">
        <v>41</v>
      </c>
      <c r="F2063" s="6" t="s">
        <v>41</v>
      </c>
      <c r="G2063" s="6" t="s">
        <v>32</v>
      </c>
      <c r="H2063" s="6" t="s">
        <v>33</v>
      </c>
      <c r="I2063" s="6" t="s">
        <v>767</v>
      </c>
      <c r="J2063" s="6" t="s">
        <v>767</v>
      </c>
      <c r="K2063" s="7">
        <v>6117131</v>
      </c>
      <c r="L2063" s="7">
        <v>289414</v>
      </c>
      <c r="M2063" s="7">
        <v>19</v>
      </c>
      <c r="N2063" s="7">
        <v>1</v>
      </c>
      <c r="O2063" s="7">
        <v>10</v>
      </c>
    </row>
    <row r="2064" spans="1:15" x14ac:dyDescent="0.25">
      <c r="A2064" s="6" t="s">
        <v>14</v>
      </c>
      <c r="B2064" s="6" t="s">
        <v>522</v>
      </c>
      <c r="C2064" s="7">
        <v>32514</v>
      </c>
      <c r="D2064" s="6" t="s">
        <v>42</v>
      </c>
      <c r="E2064" s="6" t="s">
        <v>167</v>
      </c>
      <c r="F2064" s="6" t="s">
        <v>167</v>
      </c>
      <c r="G2064" s="6" t="s">
        <v>32</v>
      </c>
      <c r="H2064" s="6" t="s">
        <v>33</v>
      </c>
      <c r="I2064" s="6" t="s">
        <v>767</v>
      </c>
      <c r="J2064" s="6" t="s">
        <v>767</v>
      </c>
      <c r="K2064" s="7">
        <v>6227913</v>
      </c>
      <c r="L2064" s="7">
        <v>341590</v>
      </c>
      <c r="M2064" s="7">
        <v>19</v>
      </c>
      <c r="N2064" s="7">
        <v>1</v>
      </c>
      <c r="O2064" s="7">
        <v>11.8</v>
      </c>
    </row>
    <row r="2065" spans="1:15" x14ac:dyDescent="0.25">
      <c r="A2065" s="6" t="s">
        <v>28</v>
      </c>
      <c r="B2065" s="6" t="s">
        <v>522</v>
      </c>
      <c r="C2065" s="7">
        <v>32516</v>
      </c>
      <c r="D2065" s="6" t="s">
        <v>42</v>
      </c>
      <c r="E2065" s="6" t="s">
        <v>51</v>
      </c>
      <c r="F2065" s="6" t="s">
        <v>51</v>
      </c>
      <c r="G2065" s="6" t="s">
        <v>32</v>
      </c>
      <c r="H2065" s="6" t="s">
        <v>33</v>
      </c>
      <c r="I2065" s="6" t="s">
        <v>764</v>
      </c>
      <c r="J2065" s="6" t="s">
        <v>767</v>
      </c>
      <c r="K2065" s="7">
        <v>6148593</v>
      </c>
      <c r="L2065" s="7">
        <v>315923</v>
      </c>
      <c r="M2065" s="7">
        <v>19</v>
      </c>
      <c r="N2065" s="7">
        <v>1</v>
      </c>
      <c r="O2065" s="7">
        <v>11</v>
      </c>
    </row>
    <row r="2066" spans="1:15" x14ac:dyDescent="0.25">
      <c r="A2066" s="6" t="s">
        <v>28</v>
      </c>
      <c r="B2066" s="6" t="s">
        <v>522</v>
      </c>
      <c r="C2066" s="7">
        <v>32517</v>
      </c>
      <c r="D2066" s="6" t="s">
        <v>24</v>
      </c>
      <c r="E2066" s="6" t="s">
        <v>62</v>
      </c>
      <c r="F2066" s="6" t="s">
        <v>62</v>
      </c>
      <c r="G2066" s="6" t="s">
        <v>32</v>
      </c>
      <c r="H2066" s="6" t="s">
        <v>33</v>
      </c>
      <c r="I2066" s="6" t="s">
        <v>767</v>
      </c>
      <c r="J2066" s="6" t="s">
        <v>764</v>
      </c>
      <c r="K2066" s="7">
        <v>6281144</v>
      </c>
      <c r="L2066" s="7">
        <v>323062</v>
      </c>
      <c r="M2066" s="7">
        <v>19</v>
      </c>
      <c r="N2066" s="7">
        <v>1</v>
      </c>
      <c r="O2066" s="7">
        <v>5.6</v>
      </c>
    </row>
    <row r="2067" spans="1:15" x14ac:dyDescent="0.25">
      <c r="A2067" s="6" t="s">
        <v>28</v>
      </c>
      <c r="B2067" s="6" t="s">
        <v>522</v>
      </c>
      <c r="C2067" s="7">
        <v>32518</v>
      </c>
      <c r="D2067" s="6" t="s">
        <v>42</v>
      </c>
      <c r="E2067" s="6" t="s">
        <v>51</v>
      </c>
      <c r="F2067" s="6" t="s">
        <v>85</v>
      </c>
      <c r="G2067" s="6" t="s">
        <v>32</v>
      </c>
      <c r="H2067" s="6" t="s">
        <v>33</v>
      </c>
      <c r="I2067" s="6" t="s">
        <v>767</v>
      </c>
      <c r="J2067" s="6" t="s">
        <v>767</v>
      </c>
      <c r="K2067" s="7">
        <v>6148775</v>
      </c>
      <c r="L2067" s="7">
        <v>316054</v>
      </c>
      <c r="M2067" s="7">
        <v>19</v>
      </c>
      <c r="N2067" s="7">
        <v>1</v>
      </c>
      <c r="O2067" s="7">
        <v>8</v>
      </c>
    </row>
    <row r="2068" spans="1:15" x14ac:dyDescent="0.25">
      <c r="A2068" s="6" t="s">
        <v>22</v>
      </c>
      <c r="B2068" s="6" t="s">
        <v>522</v>
      </c>
      <c r="C2068" s="7">
        <v>32519</v>
      </c>
      <c r="D2068" s="6" t="s">
        <v>24</v>
      </c>
      <c r="E2068" s="6" t="s">
        <v>25</v>
      </c>
      <c r="F2068" s="6" t="s">
        <v>445</v>
      </c>
      <c r="G2068" s="6" t="s">
        <v>32</v>
      </c>
      <c r="H2068" s="6" t="s">
        <v>765</v>
      </c>
      <c r="I2068" s="6" t="s">
        <v>767</v>
      </c>
      <c r="J2068" s="6" t="s">
        <v>767</v>
      </c>
      <c r="K2068" s="7">
        <v>6259155</v>
      </c>
      <c r="L2068" s="7">
        <v>332894</v>
      </c>
      <c r="M2068" s="7">
        <v>19</v>
      </c>
      <c r="N2068" s="7">
        <v>1</v>
      </c>
      <c r="O2068" s="7">
        <v>1.92</v>
      </c>
    </row>
    <row r="2069" spans="1:15" x14ac:dyDescent="0.25">
      <c r="A2069" s="6" t="s">
        <v>28</v>
      </c>
      <c r="B2069" s="6" t="s">
        <v>522</v>
      </c>
      <c r="C2069" s="7">
        <v>32525</v>
      </c>
      <c r="D2069" s="6" t="s">
        <v>24</v>
      </c>
      <c r="E2069" s="6" t="s">
        <v>51</v>
      </c>
      <c r="F2069" s="6" t="s">
        <v>51</v>
      </c>
      <c r="G2069" s="6" t="s">
        <v>32</v>
      </c>
      <c r="H2069" s="6" t="s">
        <v>19</v>
      </c>
      <c r="I2069" s="6" t="s">
        <v>767</v>
      </c>
      <c r="J2069" s="6" t="s">
        <v>767</v>
      </c>
      <c r="K2069" s="7">
        <v>6280404</v>
      </c>
      <c r="L2069" s="7">
        <v>330392</v>
      </c>
      <c r="M2069" s="7">
        <v>19</v>
      </c>
      <c r="N2069" s="7">
        <v>1</v>
      </c>
      <c r="O2069" s="7">
        <v>0.99</v>
      </c>
    </row>
    <row r="2070" spans="1:15" x14ac:dyDescent="0.25">
      <c r="A2070" s="6" t="s">
        <v>14</v>
      </c>
      <c r="B2070" s="6" t="s">
        <v>522</v>
      </c>
      <c r="C2070" s="7">
        <v>32527</v>
      </c>
      <c r="D2070" s="6" t="s">
        <v>42</v>
      </c>
      <c r="E2070" s="6" t="s">
        <v>196</v>
      </c>
      <c r="F2070" s="6" t="s">
        <v>527</v>
      </c>
      <c r="G2070" s="6" t="s">
        <v>32</v>
      </c>
      <c r="H2070" s="6" t="s">
        <v>33</v>
      </c>
      <c r="I2070" s="6" t="s">
        <v>767</v>
      </c>
      <c r="J2070" s="6" t="s">
        <v>764</v>
      </c>
      <c r="K2070" s="7">
        <v>6217318</v>
      </c>
      <c r="L2070" s="7">
        <v>332786</v>
      </c>
      <c r="M2070" s="7">
        <v>19</v>
      </c>
      <c r="N2070" s="7">
        <v>4</v>
      </c>
      <c r="O2070" s="7">
        <v>31.86</v>
      </c>
    </row>
    <row r="2071" spans="1:15" x14ac:dyDescent="0.25">
      <c r="A2071" s="6" t="s">
        <v>28</v>
      </c>
      <c r="B2071" s="6" t="s">
        <v>522</v>
      </c>
      <c r="C2071" s="7">
        <v>32529</v>
      </c>
      <c r="D2071" s="6" t="s">
        <v>24</v>
      </c>
      <c r="E2071" s="6" t="s">
        <v>25</v>
      </c>
      <c r="F2071" s="6" t="s">
        <v>556</v>
      </c>
      <c r="G2071" s="6" t="s">
        <v>32</v>
      </c>
      <c r="H2071" s="6" t="s">
        <v>19</v>
      </c>
      <c r="I2071" s="6" t="s">
        <v>767</v>
      </c>
      <c r="J2071" s="6" t="s">
        <v>767</v>
      </c>
      <c r="K2071" s="7">
        <v>6262541</v>
      </c>
      <c r="L2071" s="7">
        <v>331188</v>
      </c>
      <c r="M2071" s="7">
        <v>19</v>
      </c>
      <c r="N2071" s="7">
        <v>1</v>
      </c>
      <c r="O2071" s="7">
        <v>2.2000000000000002</v>
      </c>
    </row>
    <row r="2072" spans="1:15" x14ac:dyDescent="0.25">
      <c r="A2072" s="6" t="s">
        <v>28</v>
      </c>
      <c r="B2072" s="6" t="s">
        <v>522</v>
      </c>
      <c r="C2072" s="7">
        <v>32530</v>
      </c>
      <c r="D2072" s="6" t="s">
        <v>24</v>
      </c>
      <c r="E2072" s="6" t="s">
        <v>31</v>
      </c>
      <c r="F2072" s="6" t="s">
        <v>415</v>
      </c>
      <c r="G2072" s="6" t="s">
        <v>32</v>
      </c>
      <c r="H2072" s="6" t="s">
        <v>19</v>
      </c>
      <c r="I2072" s="6" t="s">
        <v>767</v>
      </c>
      <c r="J2072" s="6" t="s">
        <v>767</v>
      </c>
      <c r="K2072" s="7">
        <v>6272557</v>
      </c>
      <c r="L2072" s="7">
        <v>300465</v>
      </c>
      <c r="M2072" s="7">
        <v>19</v>
      </c>
      <c r="N2072" s="7">
        <v>1</v>
      </c>
      <c r="O2072" s="7">
        <v>0.9</v>
      </c>
    </row>
    <row r="2073" spans="1:15" x14ac:dyDescent="0.25">
      <c r="A2073" s="6" t="s">
        <v>14</v>
      </c>
      <c r="B2073" s="6" t="s">
        <v>522</v>
      </c>
      <c r="C2073" s="7">
        <v>32531</v>
      </c>
      <c r="D2073" s="6" t="s">
        <v>24</v>
      </c>
      <c r="E2073" s="6" t="s">
        <v>427</v>
      </c>
      <c r="F2073" s="6" t="s">
        <v>443</v>
      </c>
      <c r="G2073" s="6" t="s">
        <v>32</v>
      </c>
      <c r="H2073" s="6" t="s">
        <v>33</v>
      </c>
      <c r="I2073" s="6" t="s">
        <v>767</v>
      </c>
      <c r="J2073" s="6" t="s">
        <v>767</v>
      </c>
      <c r="K2073" s="7">
        <v>6266885</v>
      </c>
      <c r="L2073" s="7">
        <v>322827</v>
      </c>
      <c r="M2073" s="7">
        <v>19</v>
      </c>
      <c r="N2073" s="7">
        <v>1</v>
      </c>
      <c r="O2073" s="7">
        <v>0.39</v>
      </c>
    </row>
    <row r="2074" spans="1:15" x14ac:dyDescent="0.25">
      <c r="A2074" s="6" t="s">
        <v>28</v>
      </c>
      <c r="B2074" s="6" t="s">
        <v>522</v>
      </c>
      <c r="C2074" s="7">
        <v>32532</v>
      </c>
      <c r="D2074" s="6" t="s">
        <v>24</v>
      </c>
      <c r="E2074" s="6" t="s">
        <v>436</v>
      </c>
      <c r="F2074" s="6" t="s">
        <v>436</v>
      </c>
      <c r="G2074" s="6" t="s">
        <v>32</v>
      </c>
      <c r="H2074" s="6" t="s">
        <v>19</v>
      </c>
      <c r="I2074" s="6" t="s">
        <v>767</v>
      </c>
      <c r="J2074" s="6" t="s">
        <v>767</v>
      </c>
      <c r="K2074" s="7">
        <v>6278887</v>
      </c>
      <c r="L2074" s="7">
        <v>339642</v>
      </c>
      <c r="M2074" s="7">
        <v>19</v>
      </c>
      <c r="N2074" s="7">
        <v>1</v>
      </c>
      <c r="O2074" s="7">
        <v>0.04</v>
      </c>
    </row>
    <row r="2075" spans="1:15" x14ac:dyDescent="0.25">
      <c r="A2075" s="6" t="s">
        <v>14</v>
      </c>
      <c r="B2075" s="6" t="s">
        <v>522</v>
      </c>
      <c r="C2075" s="7">
        <v>32533</v>
      </c>
      <c r="D2075" s="6" t="s">
        <v>39</v>
      </c>
      <c r="E2075" s="6" t="s">
        <v>53</v>
      </c>
      <c r="F2075" s="6" t="s">
        <v>53</v>
      </c>
      <c r="G2075" s="6" t="s">
        <v>32</v>
      </c>
      <c r="H2075" s="6" t="s">
        <v>33</v>
      </c>
      <c r="I2075" s="6" t="s">
        <v>767</v>
      </c>
      <c r="J2075" s="6" t="s">
        <v>767</v>
      </c>
      <c r="K2075" s="7">
        <v>6139628</v>
      </c>
      <c r="L2075" s="7">
        <v>308857</v>
      </c>
      <c r="M2075" s="7">
        <v>19</v>
      </c>
      <c r="N2075" s="7">
        <v>2</v>
      </c>
      <c r="O2075" s="7">
        <v>14.8</v>
      </c>
    </row>
    <row r="2076" spans="1:15" x14ac:dyDescent="0.25">
      <c r="A2076" s="6" t="s">
        <v>14</v>
      </c>
      <c r="B2076" s="6" t="s">
        <v>522</v>
      </c>
      <c r="C2076" s="7">
        <v>32534</v>
      </c>
      <c r="D2076" s="6" t="s">
        <v>42</v>
      </c>
      <c r="E2076" s="6" t="s">
        <v>51</v>
      </c>
      <c r="F2076" s="6" t="s">
        <v>51</v>
      </c>
      <c r="G2076" s="6" t="s">
        <v>32</v>
      </c>
      <c r="H2076" s="6" t="s">
        <v>33</v>
      </c>
      <c r="I2076" s="6" t="s">
        <v>767</v>
      </c>
      <c r="J2076" s="6" t="s">
        <v>764</v>
      </c>
      <c r="K2076" s="7">
        <v>6150632</v>
      </c>
      <c r="L2076" s="7">
        <v>320074</v>
      </c>
      <c r="M2076" s="7">
        <v>19</v>
      </c>
      <c r="N2076" s="7">
        <v>1</v>
      </c>
      <c r="O2076" s="7">
        <v>6</v>
      </c>
    </row>
    <row r="2077" spans="1:15" x14ac:dyDescent="0.25">
      <c r="A2077" s="6" t="s">
        <v>28</v>
      </c>
      <c r="B2077" s="6" t="s">
        <v>522</v>
      </c>
      <c r="C2077" s="7">
        <v>32537</v>
      </c>
      <c r="D2077" s="6" t="s">
        <v>42</v>
      </c>
      <c r="E2077" s="6" t="s">
        <v>66</v>
      </c>
      <c r="F2077" s="6" t="s">
        <v>289</v>
      </c>
      <c r="G2077" s="6" t="s">
        <v>32</v>
      </c>
      <c r="H2077" s="6" t="s">
        <v>33</v>
      </c>
      <c r="I2077" s="6" t="s">
        <v>764</v>
      </c>
      <c r="J2077" s="6" t="s">
        <v>767</v>
      </c>
      <c r="K2077" s="7">
        <v>6148353</v>
      </c>
      <c r="L2077" s="7">
        <v>315868</v>
      </c>
      <c r="M2077" s="7">
        <v>19</v>
      </c>
      <c r="N2077" s="7">
        <v>1</v>
      </c>
      <c r="O2077" s="7">
        <v>11</v>
      </c>
    </row>
    <row r="2078" spans="1:15" x14ac:dyDescent="0.25">
      <c r="A2078" s="6" t="s">
        <v>28</v>
      </c>
      <c r="B2078" s="6" t="s">
        <v>522</v>
      </c>
      <c r="C2078" s="7">
        <v>32541</v>
      </c>
      <c r="D2078" s="6" t="s">
        <v>42</v>
      </c>
      <c r="E2078" s="6" t="s">
        <v>66</v>
      </c>
      <c r="F2078" s="6" t="s">
        <v>289</v>
      </c>
      <c r="G2078" s="6" t="s">
        <v>32</v>
      </c>
      <c r="H2078" s="6" t="s">
        <v>33</v>
      </c>
      <c r="I2078" s="6" t="s">
        <v>767</v>
      </c>
      <c r="J2078" s="6" t="s">
        <v>767</v>
      </c>
      <c r="K2078" s="7">
        <v>6237668</v>
      </c>
      <c r="L2078" s="7">
        <v>350502</v>
      </c>
      <c r="M2078" s="7">
        <v>19</v>
      </c>
      <c r="N2078" s="7">
        <v>1</v>
      </c>
      <c r="O2078" s="7">
        <v>3</v>
      </c>
    </row>
    <row r="2079" spans="1:15" x14ac:dyDescent="0.25">
      <c r="A2079" s="6" t="s">
        <v>28</v>
      </c>
      <c r="B2079" s="6" t="s">
        <v>522</v>
      </c>
      <c r="C2079" s="7">
        <v>32544</v>
      </c>
      <c r="D2079" s="6" t="s">
        <v>42</v>
      </c>
      <c r="E2079" s="6" t="s">
        <v>51</v>
      </c>
      <c r="F2079" s="6" t="s">
        <v>85</v>
      </c>
      <c r="G2079" s="6" t="s">
        <v>32</v>
      </c>
      <c r="H2079" s="6" t="s">
        <v>33</v>
      </c>
      <c r="I2079" s="6" t="s">
        <v>764</v>
      </c>
      <c r="J2079" s="6" t="s">
        <v>767</v>
      </c>
      <c r="K2079" s="7">
        <v>6149019</v>
      </c>
      <c r="L2079" s="7">
        <v>317202</v>
      </c>
      <c r="M2079" s="7">
        <v>19</v>
      </c>
      <c r="N2079" s="7">
        <v>1</v>
      </c>
      <c r="O2079" s="7">
        <v>4</v>
      </c>
    </row>
    <row r="2080" spans="1:15" x14ac:dyDescent="0.25">
      <c r="A2080" s="6" t="s">
        <v>28</v>
      </c>
      <c r="B2080" s="6" t="s">
        <v>522</v>
      </c>
      <c r="C2080" s="7">
        <v>32551</v>
      </c>
      <c r="D2080" s="6" t="s">
        <v>24</v>
      </c>
      <c r="E2080" s="6" t="s">
        <v>31</v>
      </c>
      <c r="F2080" s="6" t="s">
        <v>530</v>
      </c>
      <c r="G2080" s="6" t="s">
        <v>32</v>
      </c>
      <c r="H2080" s="6" t="s">
        <v>153</v>
      </c>
      <c r="I2080" s="6" t="s">
        <v>767</v>
      </c>
      <c r="J2080" s="6" t="s">
        <v>764</v>
      </c>
      <c r="K2080" s="7">
        <v>6271452</v>
      </c>
      <c r="L2080" s="7">
        <v>307059</v>
      </c>
      <c r="M2080" s="7">
        <v>19</v>
      </c>
      <c r="N2080" s="7">
        <v>1</v>
      </c>
      <c r="O2080" s="7">
        <v>4.78</v>
      </c>
    </row>
    <row r="2081" spans="1:15" x14ac:dyDescent="0.25">
      <c r="A2081" s="6" t="s">
        <v>28</v>
      </c>
      <c r="B2081" s="6" t="s">
        <v>522</v>
      </c>
      <c r="C2081" s="7">
        <v>32559</v>
      </c>
      <c r="D2081" s="6" t="s">
        <v>39</v>
      </c>
      <c r="E2081" s="6" t="s">
        <v>310</v>
      </c>
      <c r="F2081" s="6" t="s">
        <v>310</v>
      </c>
      <c r="G2081" s="6" t="s">
        <v>32</v>
      </c>
      <c r="H2081" s="6" t="s">
        <v>33</v>
      </c>
      <c r="I2081" s="6" t="s">
        <v>767</v>
      </c>
      <c r="J2081" s="6" t="s">
        <v>767</v>
      </c>
      <c r="K2081" s="7">
        <v>6104981</v>
      </c>
      <c r="L2081" s="7">
        <v>293930</v>
      </c>
      <c r="M2081" s="7">
        <v>19</v>
      </c>
      <c r="N2081" s="7">
        <v>1</v>
      </c>
      <c r="O2081" s="7">
        <v>12.2</v>
      </c>
    </row>
    <row r="2082" spans="1:15" x14ac:dyDescent="0.25">
      <c r="A2082" s="6" t="s">
        <v>28</v>
      </c>
      <c r="B2082" s="6" t="s">
        <v>522</v>
      </c>
      <c r="C2082" s="7">
        <v>32563</v>
      </c>
      <c r="D2082" s="6" t="s">
        <v>42</v>
      </c>
      <c r="E2082" s="6" t="s">
        <v>51</v>
      </c>
      <c r="F2082" s="6" t="s">
        <v>85</v>
      </c>
      <c r="G2082" s="6" t="s">
        <v>32</v>
      </c>
      <c r="H2082" s="6" t="s">
        <v>33</v>
      </c>
      <c r="I2082" s="6" t="s">
        <v>767</v>
      </c>
      <c r="J2082" s="6" t="s">
        <v>767</v>
      </c>
      <c r="K2082" s="7">
        <v>6149112</v>
      </c>
      <c r="L2082" s="7">
        <v>315917</v>
      </c>
      <c r="M2082" s="7">
        <v>19</v>
      </c>
      <c r="N2082" s="7">
        <v>1</v>
      </c>
      <c r="O2082" s="7">
        <v>9</v>
      </c>
    </row>
    <row r="2083" spans="1:15" x14ac:dyDescent="0.25">
      <c r="A2083" s="6" t="s">
        <v>28</v>
      </c>
      <c r="B2083" s="6" t="s">
        <v>522</v>
      </c>
      <c r="C2083" s="7">
        <v>32567</v>
      </c>
      <c r="D2083" s="6" t="s">
        <v>42</v>
      </c>
      <c r="E2083" s="6" t="s">
        <v>51</v>
      </c>
      <c r="F2083" s="6" t="s">
        <v>85</v>
      </c>
      <c r="G2083" s="6" t="s">
        <v>32</v>
      </c>
      <c r="H2083" s="6" t="s">
        <v>33</v>
      </c>
      <c r="I2083" s="6" t="s">
        <v>764</v>
      </c>
      <c r="J2083" s="6" t="s">
        <v>767</v>
      </c>
      <c r="K2083" s="7">
        <v>6149112</v>
      </c>
      <c r="L2083" s="7">
        <v>315917</v>
      </c>
      <c r="M2083" s="7">
        <v>19</v>
      </c>
      <c r="N2083" s="7">
        <v>1</v>
      </c>
      <c r="O2083" s="7">
        <v>5</v>
      </c>
    </row>
    <row r="2084" spans="1:15" x14ac:dyDescent="0.25">
      <c r="A2084" s="6" t="s">
        <v>28</v>
      </c>
      <c r="B2084" s="6" t="s">
        <v>522</v>
      </c>
      <c r="C2084" s="7">
        <v>32570</v>
      </c>
      <c r="D2084" s="6" t="s">
        <v>42</v>
      </c>
      <c r="E2084" s="6" t="s">
        <v>449</v>
      </c>
      <c r="F2084" s="6" t="s">
        <v>449</v>
      </c>
      <c r="G2084" s="6" t="s">
        <v>32</v>
      </c>
      <c r="H2084" s="6" t="s">
        <v>33</v>
      </c>
      <c r="I2084" s="6" t="s">
        <v>767</v>
      </c>
      <c r="J2084" s="6" t="s">
        <v>767</v>
      </c>
      <c r="K2084" s="7">
        <v>6166187</v>
      </c>
      <c r="L2084" s="7">
        <v>307683</v>
      </c>
      <c r="M2084" s="7">
        <v>19</v>
      </c>
      <c r="N2084" s="7">
        <v>1</v>
      </c>
      <c r="O2084" s="7">
        <v>10.5</v>
      </c>
    </row>
    <row r="2085" spans="1:15" x14ac:dyDescent="0.25">
      <c r="A2085" s="6" t="s">
        <v>28</v>
      </c>
      <c r="B2085" s="6" t="s">
        <v>522</v>
      </c>
      <c r="C2085" s="7">
        <v>32572</v>
      </c>
      <c r="D2085" s="6" t="s">
        <v>39</v>
      </c>
      <c r="E2085" s="6" t="s">
        <v>41</v>
      </c>
      <c r="F2085" s="6" t="s">
        <v>310</v>
      </c>
      <c r="G2085" s="6" t="s">
        <v>32</v>
      </c>
      <c r="H2085" s="6" t="s">
        <v>33</v>
      </c>
      <c r="I2085" s="6" t="s">
        <v>767</v>
      </c>
      <c r="J2085" s="6" t="s">
        <v>767</v>
      </c>
      <c r="K2085" s="7">
        <v>6120347</v>
      </c>
      <c r="L2085" s="7">
        <v>291058</v>
      </c>
      <c r="M2085" s="7">
        <v>19</v>
      </c>
      <c r="N2085" s="7">
        <v>1</v>
      </c>
      <c r="O2085" s="7">
        <v>4.5</v>
      </c>
    </row>
    <row r="2086" spans="1:15" x14ac:dyDescent="0.25">
      <c r="A2086" s="6" t="s">
        <v>28</v>
      </c>
      <c r="B2086" s="6" t="s">
        <v>522</v>
      </c>
      <c r="C2086" s="7">
        <v>32573</v>
      </c>
      <c r="D2086" s="6" t="s">
        <v>42</v>
      </c>
      <c r="E2086" s="6" t="s">
        <v>45</v>
      </c>
      <c r="F2086" s="6" t="s">
        <v>45</v>
      </c>
      <c r="G2086" s="6" t="s">
        <v>32</v>
      </c>
      <c r="H2086" s="6" t="s">
        <v>33</v>
      </c>
      <c r="I2086" s="6" t="s">
        <v>767</v>
      </c>
      <c r="J2086" s="6" t="s">
        <v>764</v>
      </c>
      <c r="K2086" s="7">
        <v>6166343</v>
      </c>
      <c r="L2086" s="7">
        <v>321422</v>
      </c>
      <c r="M2086" s="7">
        <v>19</v>
      </c>
      <c r="N2086" s="7">
        <v>1</v>
      </c>
      <c r="O2086" s="7">
        <v>5.0999999999999996</v>
      </c>
    </row>
    <row r="2087" spans="1:15" x14ac:dyDescent="0.25">
      <c r="A2087" s="6" t="s">
        <v>28</v>
      </c>
      <c r="B2087" s="6" t="s">
        <v>522</v>
      </c>
      <c r="C2087" s="7">
        <v>32578</v>
      </c>
      <c r="D2087" s="6" t="s">
        <v>42</v>
      </c>
      <c r="E2087" s="6" t="s">
        <v>51</v>
      </c>
      <c r="F2087" s="6" t="s">
        <v>603</v>
      </c>
      <c r="G2087" s="6" t="s">
        <v>32</v>
      </c>
      <c r="H2087" s="6" t="s">
        <v>33</v>
      </c>
      <c r="I2087" s="6" t="s">
        <v>767</v>
      </c>
      <c r="J2087" s="6" t="s">
        <v>767</v>
      </c>
      <c r="K2087" s="7">
        <v>6149705</v>
      </c>
      <c r="L2087" s="7">
        <v>318013</v>
      </c>
      <c r="M2087" s="7">
        <v>19</v>
      </c>
      <c r="N2087" s="7">
        <v>2</v>
      </c>
      <c r="O2087" s="7">
        <v>10</v>
      </c>
    </row>
    <row r="2088" spans="1:15" x14ac:dyDescent="0.25">
      <c r="A2088" s="6" t="s">
        <v>22</v>
      </c>
      <c r="B2088" s="6" t="s">
        <v>522</v>
      </c>
      <c r="C2088" s="7">
        <v>32581</v>
      </c>
      <c r="D2088" s="6" t="s">
        <v>24</v>
      </c>
      <c r="E2088" s="6" t="s">
        <v>96</v>
      </c>
      <c r="F2088" s="6" t="s">
        <v>292</v>
      </c>
      <c r="G2088" s="6" t="s">
        <v>32</v>
      </c>
      <c r="H2088" s="6" t="s">
        <v>765</v>
      </c>
      <c r="I2088" s="6" t="s">
        <v>767</v>
      </c>
      <c r="J2088" s="6" t="s">
        <v>767</v>
      </c>
      <c r="K2088" s="7">
        <v>6252629</v>
      </c>
      <c r="L2088" s="7">
        <v>342588</v>
      </c>
      <c r="M2088" s="7">
        <v>19</v>
      </c>
      <c r="N2088" s="7">
        <v>3</v>
      </c>
      <c r="O2088" s="7">
        <v>0.6</v>
      </c>
    </row>
    <row r="2089" spans="1:15" x14ac:dyDescent="0.25">
      <c r="A2089" s="6" t="s">
        <v>14</v>
      </c>
      <c r="B2089" s="6" t="s">
        <v>522</v>
      </c>
      <c r="C2089" s="7">
        <v>32586</v>
      </c>
      <c r="D2089" s="6" t="s">
        <v>39</v>
      </c>
      <c r="E2089" s="6" t="s">
        <v>310</v>
      </c>
      <c r="F2089" s="6" t="s">
        <v>310</v>
      </c>
      <c r="G2089" s="6" t="s">
        <v>32</v>
      </c>
      <c r="H2089" s="6" t="s">
        <v>33</v>
      </c>
      <c r="I2089" s="6" t="s">
        <v>767</v>
      </c>
      <c r="J2089" s="6" t="s">
        <v>764</v>
      </c>
      <c r="K2089" s="7">
        <v>6106173</v>
      </c>
      <c r="L2089" s="7">
        <v>296323</v>
      </c>
      <c r="M2089" s="7">
        <v>19</v>
      </c>
      <c r="N2089" s="7">
        <v>1</v>
      </c>
      <c r="O2089" s="7">
        <v>3.5</v>
      </c>
    </row>
    <row r="2090" spans="1:15" x14ac:dyDescent="0.25">
      <c r="A2090" s="6" t="s">
        <v>14</v>
      </c>
      <c r="B2090" s="6" t="s">
        <v>522</v>
      </c>
      <c r="C2090" s="7">
        <v>32587</v>
      </c>
      <c r="D2090" s="6" t="s">
        <v>39</v>
      </c>
      <c r="E2090" s="6" t="s">
        <v>41</v>
      </c>
      <c r="F2090" s="6" t="s">
        <v>310</v>
      </c>
      <c r="G2090" s="6" t="s">
        <v>32</v>
      </c>
      <c r="H2090" s="6" t="s">
        <v>33</v>
      </c>
      <c r="I2090" s="6" t="s">
        <v>767</v>
      </c>
      <c r="J2090" s="6" t="s">
        <v>767</v>
      </c>
      <c r="K2090" s="7">
        <v>6119759</v>
      </c>
      <c r="L2090" s="7">
        <v>292266</v>
      </c>
      <c r="M2090" s="7">
        <v>19</v>
      </c>
      <c r="N2090" s="7">
        <v>1</v>
      </c>
      <c r="O2090" s="7">
        <v>11</v>
      </c>
    </row>
    <row r="2091" spans="1:15" x14ac:dyDescent="0.25">
      <c r="A2091" s="6" t="s">
        <v>28</v>
      </c>
      <c r="B2091" s="6" t="s">
        <v>522</v>
      </c>
      <c r="C2091" s="7">
        <v>32596</v>
      </c>
      <c r="D2091" s="6" t="s">
        <v>39</v>
      </c>
      <c r="E2091" s="6" t="s">
        <v>310</v>
      </c>
      <c r="F2091" s="6" t="s">
        <v>310</v>
      </c>
      <c r="G2091" s="6" t="s">
        <v>32</v>
      </c>
      <c r="H2091" s="6" t="s">
        <v>33</v>
      </c>
      <c r="I2091" s="6" t="s">
        <v>767</v>
      </c>
      <c r="J2091" s="6" t="s">
        <v>767</v>
      </c>
      <c r="K2091" s="7">
        <v>6117298</v>
      </c>
      <c r="L2091" s="7">
        <v>288844</v>
      </c>
      <c r="M2091" s="7">
        <v>19</v>
      </c>
      <c r="N2091" s="7">
        <v>1</v>
      </c>
      <c r="O2091" s="7">
        <v>9.5</v>
      </c>
    </row>
    <row r="2092" spans="1:15" x14ac:dyDescent="0.25">
      <c r="A2092" s="6" t="s">
        <v>28</v>
      </c>
      <c r="B2092" s="6" t="s">
        <v>522</v>
      </c>
      <c r="C2092" s="7">
        <v>32598</v>
      </c>
      <c r="D2092" s="6" t="s">
        <v>39</v>
      </c>
      <c r="E2092" s="6" t="s">
        <v>41</v>
      </c>
      <c r="F2092" s="6" t="s">
        <v>41</v>
      </c>
      <c r="G2092" s="6" t="s">
        <v>32</v>
      </c>
      <c r="H2092" s="6" t="s">
        <v>33</v>
      </c>
      <c r="I2092" s="6" t="s">
        <v>767</v>
      </c>
      <c r="J2092" s="6" t="s">
        <v>767</v>
      </c>
      <c r="K2092" s="7">
        <v>6120914</v>
      </c>
      <c r="L2092" s="7">
        <v>292314</v>
      </c>
      <c r="M2092" s="7">
        <v>19</v>
      </c>
      <c r="N2092" s="7">
        <v>1</v>
      </c>
      <c r="O2092" s="7">
        <v>3.7</v>
      </c>
    </row>
    <row r="2093" spans="1:15" x14ac:dyDescent="0.25">
      <c r="A2093" s="6" t="s">
        <v>28</v>
      </c>
      <c r="B2093" s="6" t="s">
        <v>522</v>
      </c>
      <c r="C2093" s="7">
        <v>32599</v>
      </c>
      <c r="D2093" s="6" t="s">
        <v>39</v>
      </c>
      <c r="E2093" s="6" t="s">
        <v>53</v>
      </c>
      <c r="F2093" s="6" t="s">
        <v>53</v>
      </c>
      <c r="G2093" s="6" t="s">
        <v>32</v>
      </c>
      <c r="H2093" s="6" t="s">
        <v>33</v>
      </c>
      <c r="I2093" s="6" t="s">
        <v>767</v>
      </c>
      <c r="J2093" s="6" t="s">
        <v>767</v>
      </c>
      <c r="K2093" s="7">
        <v>6146333</v>
      </c>
      <c r="L2093" s="7">
        <v>312626</v>
      </c>
      <c r="M2093" s="7">
        <v>19</v>
      </c>
      <c r="N2093" s="7">
        <v>1</v>
      </c>
      <c r="O2093" s="7">
        <v>9</v>
      </c>
    </row>
    <row r="2094" spans="1:15" x14ac:dyDescent="0.25">
      <c r="A2094" s="6" t="s">
        <v>14</v>
      </c>
      <c r="B2094" s="6" t="s">
        <v>522</v>
      </c>
      <c r="C2094" s="7">
        <v>32600</v>
      </c>
      <c r="D2094" s="6" t="s">
        <v>39</v>
      </c>
      <c r="E2094" s="6" t="s">
        <v>310</v>
      </c>
      <c r="F2094" s="6" t="s">
        <v>310</v>
      </c>
      <c r="G2094" s="6" t="s">
        <v>32</v>
      </c>
      <c r="H2094" s="6" t="s">
        <v>33</v>
      </c>
      <c r="I2094" s="6" t="s">
        <v>767</v>
      </c>
      <c r="J2094" s="6" t="s">
        <v>767</v>
      </c>
      <c r="K2094" s="7">
        <v>6116838</v>
      </c>
      <c r="L2094" s="7">
        <v>289252</v>
      </c>
      <c r="M2094" s="7">
        <v>19</v>
      </c>
      <c r="N2094" s="7">
        <v>1</v>
      </c>
      <c r="O2094" s="7">
        <v>2</v>
      </c>
    </row>
    <row r="2095" spans="1:15" x14ac:dyDescent="0.25">
      <c r="A2095" s="6" t="s">
        <v>28</v>
      </c>
      <c r="B2095" s="6" t="s">
        <v>522</v>
      </c>
      <c r="C2095" s="7">
        <v>32601</v>
      </c>
      <c r="D2095" s="6" t="s">
        <v>42</v>
      </c>
      <c r="E2095" s="6" t="s">
        <v>449</v>
      </c>
      <c r="F2095" s="6" t="s">
        <v>449</v>
      </c>
      <c r="G2095" s="6" t="s">
        <v>32</v>
      </c>
      <c r="H2095" s="6" t="s">
        <v>33</v>
      </c>
      <c r="I2095" s="6" t="s">
        <v>764</v>
      </c>
      <c r="J2095" s="6" t="s">
        <v>767</v>
      </c>
      <c r="K2095" s="7">
        <v>6163933</v>
      </c>
      <c r="L2095" s="7">
        <v>306007</v>
      </c>
      <c r="M2095" s="7">
        <v>19</v>
      </c>
      <c r="N2095" s="7">
        <v>1</v>
      </c>
      <c r="O2095" s="7">
        <v>11.2</v>
      </c>
    </row>
    <row r="2096" spans="1:15" x14ac:dyDescent="0.25">
      <c r="A2096" s="6" t="s">
        <v>28</v>
      </c>
      <c r="B2096" s="6" t="s">
        <v>522</v>
      </c>
      <c r="C2096" s="7">
        <v>32602</v>
      </c>
      <c r="D2096" s="6" t="s">
        <v>39</v>
      </c>
      <c r="E2096" s="6" t="s">
        <v>310</v>
      </c>
      <c r="F2096" s="6" t="s">
        <v>310</v>
      </c>
      <c r="G2096" s="6" t="s">
        <v>32</v>
      </c>
      <c r="H2096" s="6" t="s">
        <v>33</v>
      </c>
      <c r="I2096" s="6" t="s">
        <v>764</v>
      </c>
      <c r="J2096" s="6" t="s">
        <v>767</v>
      </c>
      <c r="K2096" s="7">
        <v>6111207</v>
      </c>
      <c r="L2096" s="7">
        <v>288959</v>
      </c>
      <c r="M2096" s="7">
        <v>19</v>
      </c>
      <c r="N2096" s="7">
        <v>3</v>
      </c>
      <c r="O2096" s="7">
        <v>35.5</v>
      </c>
    </row>
    <row r="2097" spans="1:15" x14ac:dyDescent="0.25">
      <c r="A2097" s="6" t="s">
        <v>28</v>
      </c>
      <c r="B2097" s="6" t="s">
        <v>522</v>
      </c>
      <c r="C2097" s="7">
        <v>32604</v>
      </c>
      <c r="D2097" s="6" t="s">
        <v>39</v>
      </c>
      <c r="E2097" s="6" t="s">
        <v>72</v>
      </c>
      <c r="F2097" s="6" t="s">
        <v>72</v>
      </c>
      <c r="G2097" s="6" t="s">
        <v>32</v>
      </c>
      <c r="H2097" s="6" t="s">
        <v>33</v>
      </c>
      <c r="I2097" s="6" t="s">
        <v>764</v>
      </c>
      <c r="J2097" s="6" t="s">
        <v>767</v>
      </c>
      <c r="K2097" s="7">
        <v>6060114</v>
      </c>
      <c r="L2097" s="7">
        <v>286408</v>
      </c>
      <c r="M2097" s="7">
        <v>19</v>
      </c>
      <c r="N2097" s="7">
        <v>2</v>
      </c>
      <c r="O2097" s="7">
        <v>27.5</v>
      </c>
    </row>
    <row r="2098" spans="1:15" x14ac:dyDescent="0.25">
      <c r="A2098" s="6" t="s">
        <v>28</v>
      </c>
      <c r="B2098" s="6" t="s">
        <v>522</v>
      </c>
      <c r="C2098" s="7">
        <v>32605</v>
      </c>
      <c r="D2098" s="6" t="s">
        <v>42</v>
      </c>
      <c r="E2098" s="6" t="s">
        <v>449</v>
      </c>
      <c r="F2098" s="6" t="s">
        <v>449</v>
      </c>
      <c r="G2098" s="6" t="s">
        <v>32</v>
      </c>
      <c r="H2098" s="6" t="s">
        <v>33</v>
      </c>
      <c r="I2098" s="6" t="s">
        <v>767</v>
      </c>
      <c r="J2098" s="6" t="s">
        <v>767</v>
      </c>
      <c r="K2098" s="7">
        <v>6165875</v>
      </c>
      <c r="L2098" s="7">
        <v>307612</v>
      </c>
      <c r="M2098" s="7">
        <v>19</v>
      </c>
      <c r="N2098" s="7">
        <v>1</v>
      </c>
      <c r="O2098" s="7">
        <v>7.5</v>
      </c>
    </row>
    <row r="2099" spans="1:15" x14ac:dyDescent="0.25">
      <c r="A2099" s="6" t="s">
        <v>28</v>
      </c>
      <c r="B2099" s="6" t="s">
        <v>522</v>
      </c>
      <c r="C2099" s="7">
        <v>32606</v>
      </c>
      <c r="D2099" s="6" t="s">
        <v>39</v>
      </c>
      <c r="E2099" s="6" t="s">
        <v>310</v>
      </c>
      <c r="F2099" s="6" t="s">
        <v>310</v>
      </c>
      <c r="G2099" s="6" t="s">
        <v>32</v>
      </c>
      <c r="H2099" s="6" t="s">
        <v>33</v>
      </c>
      <c r="I2099" s="6" t="s">
        <v>764</v>
      </c>
      <c r="J2099" s="6" t="s">
        <v>767</v>
      </c>
      <c r="K2099" s="7">
        <v>6103763</v>
      </c>
      <c r="L2099" s="7">
        <v>298902</v>
      </c>
      <c r="M2099" s="7">
        <v>19</v>
      </c>
      <c r="N2099" s="7">
        <v>3</v>
      </c>
      <c r="O2099" s="7">
        <v>17</v>
      </c>
    </row>
    <row r="2100" spans="1:15" x14ac:dyDescent="0.25">
      <c r="A2100" s="6" t="s">
        <v>14</v>
      </c>
      <c r="B2100" s="6" t="s">
        <v>522</v>
      </c>
      <c r="C2100" s="7">
        <v>32609</v>
      </c>
      <c r="D2100" s="6" t="s">
        <v>42</v>
      </c>
      <c r="E2100" s="6" t="s">
        <v>45</v>
      </c>
      <c r="F2100" s="6" t="s">
        <v>46</v>
      </c>
      <c r="G2100" s="6" t="s">
        <v>32</v>
      </c>
      <c r="H2100" s="6" t="s">
        <v>33</v>
      </c>
      <c r="I2100" s="6" t="s">
        <v>767</v>
      </c>
      <c r="J2100" s="6" t="s">
        <v>767</v>
      </c>
      <c r="K2100" s="7">
        <v>6170407</v>
      </c>
      <c r="L2100" s="7">
        <v>325469</v>
      </c>
      <c r="M2100" s="7">
        <v>19</v>
      </c>
      <c r="N2100" s="7">
        <v>1</v>
      </c>
      <c r="O2100" s="7">
        <v>9</v>
      </c>
    </row>
    <row r="2101" spans="1:15" x14ac:dyDescent="0.25">
      <c r="A2101" s="6" t="s">
        <v>14</v>
      </c>
      <c r="B2101" s="6" t="s">
        <v>522</v>
      </c>
      <c r="C2101" s="7">
        <v>32610</v>
      </c>
      <c r="D2101" s="6" t="s">
        <v>42</v>
      </c>
      <c r="E2101" s="6" t="s">
        <v>196</v>
      </c>
      <c r="F2101" s="6" t="s">
        <v>196</v>
      </c>
      <c r="G2101" s="6" t="s">
        <v>32</v>
      </c>
      <c r="H2101" s="6" t="s">
        <v>33</v>
      </c>
      <c r="I2101" s="6" t="s">
        <v>767</v>
      </c>
      <c r="J2101" s="6" t="s">
        <v>764</v>
      </c>
      <c r="K2101" s="7">
        <v>6215912</v>
      </c>
      <c r="L2101" s="7">
        <v>343682</v>
      </c>
      <c r="M2101" s="7">
        <v>19</v>
      </c>
      <c r="N2101" s="7">
        <v>1</v>
      </c>
      <c r="O2101" s="7">
        <v>7</v>
      </c>
    </row>
    <row r="2102" spans="1:15" x14ac:dyDescent="0.25">
      <c r="A2102" s="6" t="s">
        <v>28</v>
      </c>
      <c r="B2102" s="6" t="s">
        <v>522</v>
      </c>
      <c r="C2102" s="7">
        <v>32643</v>
      </c>
      <c r="D2102" s="6" t="s">
        <v>24</v>
      </c>
      <c r="E2102" s="6" t="s">
        <v>436</v>
      </c>
      <c r="F2102" s="6" t="s">
        <v>604</v>
      </c>
      <c r="G2102" s="6" t="s">
        <v>32</v>
      </c>
      <c r="H2102" s="6" t="s">
        <v>19</v>
      </c>
      <c r="I2102" s="6" t="s">
        <v>767</v>
      </c>
      <c r="J2102" s="6" t="s">
        <v>767</v>
      </c>
      <c r="K2102" s="7">
        <v>6275750</v>
      </c>
      <c r="L2102" s="7">
        <v>335806</v>
      </c>
      <c r="M2102" s="7">
        <v>19</v>
      </c>
      <c r="N2102" s="7">
        <v>1</v>
      </c>
      <c r="O2102" s="7">
        <v>5</v>
      </c>
    </row>
    <row r="2103" spans="1:15" x14ac:dyDescent="0.25">
      <c r="A2103" s="6" t="s">
        <v>22</v>
      </c>
      <c r="B2103" s="6" t="s">
        <v>522</v>
      </c>
      <c r="C2103" s="7">
        <v>32670</v>
      </c>
      <c r="D2103" s="6" t="s">
        <v>24</v>
      </c>
      <c r="E2103" s="6" t="s">
        <v>25</v>
      </c>
      <c r="F2103" s="6" t="s">
        <v>445</v>
      </c>
      <c r="G2103" s="6" t="s">
        <v>32</v>
      </c>
      <c r="H2103" s="6" t="s">
        <v>765</v>
      </c>
      <c r="I2103" s="6" t="s">
        <v>767</v>
      </c>
      <c r="J2103" s="6" t="s">
        <v>767</v>
      </c>
      <c r="K2103" s="7">
        <v>6259814</v>
      </c>
      <c r="L2103" s="7">
        <v>332522</v>
      </c>
      <c r="M2103" s="7">
        <v>19</v>
      </c>
      <c r="N2103" s="7">
        <v>1</v>
      </c>
      <c r="O2103" s="7">
        <v>1.66</v>
      </c>
    </row>
    <row r="2104" spans="1:15" x14ac:dyDescent="0.25">
      <c r="A2104" s="6" t="s">
        <v>22</v>
      </c>
      <c r="B2104" s="6" t="s">
        <v>522</v>
      </c>
      <c r="C2104" s="7">
        <v>32672</v>
      </c>
      <c r="D2104" s="6" t="s">
        <v>24</v>
      </c>
      <c r="E2104" s="6" t="s">
        <v>25</v>
      </c>
      <c r="F2104" s="6" t="s">
        <v>445</v>
      </c>
      <c r="G2104" s="6" t="s">
        <v>32</v>
      </c>
      <c r="H2104" s="6" t="s">
        <v>765</v>
      </c>
      <c r="I2104" s="6" t="s">
        <v>767</v>
      </c>
      <c r="J2104" s="6" t="s">
        <v>767</v>
      </c>
      <c r="K2104" s="7">
        <v>6259874</v>
      </c>
      <c r="L2104" s="7">
        <v>332447</v>
      </c>
      <c r="M2104" s="7">
        <v>19</v>
      </c>
      <c r="N2104" s="7">
        <v>1</v>
      </c>
      <c r="O2104" s="7">
        <v>2.21</v>
      </c>
    </row>
    <row r="2105" spans="1:15" x14ac:dyDescent="0.25">
      <c r="A2105" s="6" t="s">
        <v>28</v>
      </c>
      <c r="B2105" s="6" t="s">
        <v>522</v>
      </c>
      <c r="C2105" s="7">
        <v>32680</v>
      </c>
      <c r="D2105" s="6" t="s">
        <v>42</v>
      </c>
      <c r="E2105" s="6" t="s">
        <v>51</v>
      </c>
      <c r="F2105" s="6" t="s">
        <v>288</v>
      </c>
      <c r="G2105" s="6" t="s">
        <v>32</v>
      </c>
      <c r="H2105" s="6" t="s">
        <v>33</v>
      </c>
      <c r="I2105" s="6" t="s">
        <v>764</v>
      </c>
      <c r="J2105" s="6" t="s">
        <v>767</v>
      </c>
      <c r="K2105" s="7">
        <v>6158402</v>
      </c>
      <c r="L2105" s="7">
        <v>324899</v>
      </c>
      <c r="M2105" s="7">
        <v>19</v>
      </c>
      <c r="N2105" s="7">
        <v>1</v>
      </c>
      <c r="O2105" s="7">
        <v>5</v>
      </c>
    </row>
    <row r="2106" spans="1:15" x14ac:dyDescent="0.25">
      <c r="A2106" s="6" t="s">
        <v>22</v>
      </c>
      <c r="B2106" s="6" t="s">
        <v>522</v>
      </c>
      <c r="C2106" s="7">
        <v>32690</v>
      </c>
      <c r="D2106" s="6" t="s">
        <v>24</v>
      </c>
      <c r="E2106" s="6" t="s">
        <v>96</v>
      </c>
      <c r="F2106" s="6" t="s">
        <v>587</v>
      </c>
      <c r="G2106" s="6" t="s">
        <v>32</v>
      </c>
      <c r="H2106" s="6" t="s">
        <v>765</v>
      </c>
      <c r="I2106" s="6" t="s">
        <v>767</v>
      </c>
      <c r="J2106" s="6" t="s">
        <v>767</v>
      </c>
      <c r="K2106" s="7">
        <v>6256274</v>
      </c>
      <c r="L2106" s="7">
        <v>345277</v>
      </c>
      <c r="M2106" s="7">
        <v>19</v>
      </c>
      <c r="N2106" s="7">
        <v>3</v>
      </c>
      <c r="O2106" s="7">
        <v>0.6</v>
      </c>
    </row>
    <row r="2107" spans="1:15" x14ac:dyDescent="0.25">
      <c r="A2107" s="6" t="s">
        <v>22</v>
      </c>
      <c r="B2107" s="6" t="s">
        <v>522</v>
      </c>
      <c r="C2107" s="7">
        <v>32693</v>
      </c>
      <c r="D2107" s="6" t="s">
        <v>24</v>
      </c>
      <c r="E2107" s="6" t="s">
        <v>96</v>
      </c>
      <c r="F2107" s="6" t="s">
        <v>292</v>
      </c>
      <c r="G2107" s="6" t="s">
        <v>32</v>
      </c>
      <c r="H2107" s="6" t="s">
        <v>765</v>
      </c>
      <c r="I2107" s="6" t="s">
        <v>767</v>
      </c>
      <c r="J2107" s="6" t="s">
        <v>767</v>
      </c>
      <c r="K2107" s="7">
        <v>6253174</v>
      </c>
      <c r="L2107" s="7">
        <v>342286</v>
      </c>
      <c r="M2107" s="7">
        <v>19</v>
      </c>
      <c r="N2107" s="7">
        <v>1</v>
      </c>
      <c r="O2107" s="7">
        <v>0.2</v>
      </c>
    </row>
    <row r="2108" spans="1:15" x14ac:dyDescent="0.25">
      <c r="A2108" s="6" t="s">
        <v>14</v>
      </c>
      <c r="B2108" s="6" t="s">
        <v>522</v>
      </c>
      <c r="C2108" s="7">
        <v>32705</v>
      </c>
      <c r="D2108" s="6" t="s">
        <v>42</v>
      </c>
      <c r="E2108" s="6" t="s">
        <v>66</v>
      </c>
      <c r="F2108" s="6" t="s">
        <v>66</v>
      </c>
      <c r="G2108" s="6" t="s">
        <v>32</v>
      </c>
      <c r="H2108" s="6" t="s">
        <v>33</v>
      </c>
      <c r="I2108" s="6" t="s">
        <v>767</v>
      </c>
      <c r="J2108" s="6" t="s">
        <v>764</v>
      </c>
      <c r="K2108" s="7">
        <v>6233663</v>
      </c>
      <c r="L2108" s="7">
        <v>345441</v>
      </c>
      <c r="M2108" s="7">
        <v>19</v>
      </c>
      <c r="N2108" s="7">
        <v>5</v>
      </c>
      <c r="O2108" s="7">
        <v>33.6</v>
      </c>
    </row>
    <row r="2109" spans="1:15" x14ac:dyDescent="0.25">
      <c r="A2109" s="6" t="s">
        <v>14</v>
      </c>
      <c r="B2109" s="6" t="s">
        <v>522</v>
      </c>
      <c r="C2109" s="7">
        <v>32706</v>
      </c>
      <c r="D2109" s="6" t="s">
        <v>42</v>
      </c>
      <c r="E2109" s="6" t="s">
        <v>196</v>
      </c>
      <c r="F2109" s="6" t="s">
        <v>196</v>
      </c>
      <c r="G2109" s="6" t="s">
        <v>32</v>
      </c>
      <c r="H2109" s="6" t="s">
        <v>33</v>
      </c>
      <c r="I2109" s="6" t="s">
        <v>767</v>
      </c>
      <c r="J2109" s="6" t="s">
        <v>764</v>
      </c>
      <c r="K2109" s="7">
        <v>6215481</v>
      </c>
      <c r="L2109" s="7">
        <v>338238</v>
      </c>
      <c r="M2109" s="7">
        <v>19</v>
      </c>
      <c r="N2109" s="7">
        <v>1</v>
      </c>
      <c r="O2109" s="7">
        <v>12</v>
      </c>
    </row>
    <row r="2110" spans="1:15" x14ac:dyDescent="0.25">
      <c r="A2110" s="6" t="s">
        <v>22</v>
      </c>
      <c r="B2110" s="6" t="s">
        <v>522</v>
      </c>
      <c r="C2110" s="7">
        <v>32707</v>
      </c>
      <c r="D2110" s="6" t="s">
        <v>16</v>
      </c>
      <c r="E2110" s="6" t="s">
        <v>295</v>
      </c>
      <c r="F2110" s="6" t="s">
        <v>536</v>
      </c>
      <c r="G2110" s="6" t="s">
        <v>32</v>
      </c>
      <c r="H2110" s="6" t="s">
        <v>765</v>
      </c>
      <c r="I2110" s="6" t="s">
        <v>767</v>
      </c>
      <c r="J2110" s="6" t="s">
        <v>767</v>
      </c>
      <c r="K2110" s="7">
        <v>6363034</v>
      </c>
      <c r="L2110" s="7">
        <v>351171</v>
      </c>
      <c r="M2110" s="7">
        <v>19</v>
      </c>
      <c r="N2110" s="7">
        <v>1</v>
      </c>
      <c r="O2110" s="7">
        <v>1.84</v>
      </c>
    </row>
    <row r="2111" spans="1:15" x14ac:dyDescent="0.25">
      <c r="A2111" s="6" t="s">
        <v>22</v>
      </c>
      <c r="B2111" s="6" t="s">
        <v>522</v>
      </c>
      <c r="C2111" s="7">
        <v>32708</v>
      </c>
      <c r="D2111" s="6" t="s">
        <v>16</v>
      </c>
      <c r="E2111" s="6" t="s">
        <v>295</v>
      </c>
      <c r="F2111" s="6" t="s">
        <v>536</v>
      </c>
      <c r="G2111" s="6" t="s">
        <v>32</v>
      </c>
      <c r="H2111" s="6" t="s">
        <v>765</v>
      </c>
      <c r="I2111" s="6" t="s">
        <v>767</v>
      </c>
      <c r="J2111" s="6" t="s">
        <v>767</v>
      </c>
      <c r="K2111" s="7">
        <v>6362966</v>
      </c>
      <c r="L2111" s="7">
        <v>351079</v>
      </c>
      <c r="M2111" s="7">
        <v>19</v>
      </c>
      <c r="N2111" s="7">
        <v>1</v>
      </c>
      <c r="O2111" s="7">
        <v>0.65</v>
      </c>
    </row>
    <row r="2112" spans="1:15" x14ac:dyDescent="0.25">
      <c r="A2112" s="6" t="s">
        <v>28</v>
      </c>
      <c r="B2112" s="6" t="s">
        <v>522</v>
      </c>
      <c r="C2112" s="7">
        <v>32723</v>
      </c>
      <c r="D2112" s="6" t="s">
        <v>24</v>
      </c>
      <c r="E2112" s="6" t="s">
        <v>31</v>
      </c>
      <c r="F2112" s="6" t="s">
        <v>415</v>
      </c>
      <c r="G2112" s="6" t="s">
        <v>32</v>
      </c>
      <c r="H2112" s="6" t="s">
        <v>153</v>
      </c>
      <c r="I2112" s="6" t="s">
        <v>767</v>
      </c>
      <c r="J2112" s="6" t="s">
        <v>764</v>
      </c>
      <c r="K2112" s="7">
        <v>6272138</v>
      </c>
      <c r="L2112" s="7">
        <v>299374</v>
      </c>
      <c r="M2112" s="7">
        <v>19</v>
      </c>
      <c r="N2112" s="7">
        <v>1</v>
      </c>
      <c r="O2112" s="7">
        <v>4.9000000000000004</v>
      </c>
    </row>
    <row r="2113" spans="1:15" x14ac:dyDescent="0.25">
      <c r="A2113" s="6" t="s">
        <v>28</v>
      </c>
      <c r="B2113" s="6" t="s">
        <v>522</v>
      </c>
      <c r="C2113" s="7">
        <v>32724</v>
      </c>
      <c r="D2113" s="6" t="s">
        <v>24</v>
      </c>
      <c r="E2113" s="6" t="s">
        <v>96</v>
      </c>
      <c r="F2113" s="6" t="s">
        <v>545</v>
      </c>
      <c r="G2113" s="6" t="s">
        <v>32</v>
      </c>
      <c r="H2113" s="6" t="s">
        <v>19</v>
      </c>
      <c r="I2113" s="6" t="s">
        <v>767</v>
      </c>
      <c r="J2113" s="6" t="s">
        <v>767</v>
      </c>
      <c r="K2113" s="7">
        <v>6256791</v>
      </c>
      <c r="L2113" s="7">
        <v>348391</v>
      </c>
      <c r="M2113" s="7">
        <v>19</v>
      </c>
      <c r="N2113" s="7">
        <v>1</v>
      </c>
      <c r="O2113" s="7">
        <v>0.31</v>
      </c>
    </row>
    <row r="2114" spans="1:15" x14ac:dyDescent="0.25">
      <c r="A2114" s="6" t="s">
        <v>28</v>
      </c>
      <c r="B2114" s="6" t="s">
        <v>522</v>
      </c>
      <c r="C2114" s="7">
        <v>32725</v>
      </c>
      <c r="D2114" s="6" t="s">
        <v>24</v>
      </c>
      <c r="E2114" s="6" t="s">
        <v>25</v>
      </c>
      <c r="F2114" s="6" t="s">
        <v>445</v>
      </c>
      <c r="G2114" s="6" t="s">
        <v>32</v>
      </c>
      <c r="H2114" s="6" t="s">
        <v>19</v>
      </c>
      <c r="I2114" s="6" t="s">
        <v>767</v>
      </c>
      <c r="J2114" s="6" t="s">
        <v>767</v>
      </c>
      <c r="K2114" s="7">
        <v>6259952</v>
      </c>
      <c r="L2114" s="7">
        <v>336533</v>
      </c>
      <c r="M2114" s="7">
        <v>19</v>
      </c>
      <c r="N2114" s="7">
        <v>1</v>
      </c>
      <c r="O2114" s="7">
        <v>0.26</v>
      </c>
    </row>
    <row r="2115" spans="1:15" x14ac:dyDescent="0.25">
      <c r="A2115" s="6" t="s">
        <v>28</v>
      </c>
      <c r="B2115" s="6" t="s">
        <v>522</v>
      </c>
      <c r="C2115" s="7">
        <v>32726</v>
      </c>
      <c r="D2115" s="6" t="s">
        <v>24</v>
      </c>
      <c r="E2115" s="6" t="s">
        <v>543</v>
      </c>
      <c r="F2115" s="6" t="s">
        <v>543</v>
      </c>
      <c r="G2115" s="6" t="s">
        <v>32</v>
      </c>
      <c r="H2115" s="6" t="s">
        <v>19</v>
      </c>
      <c r="I2115" s="6" t="s">
        <v>767</v>
      </c>
      <c r="J2115" s="6" t="s">
        <v>767</v>
      </c>
      <c r="K2115" s="7">
        <v>6312918</v>
      </c>
      <c r="L2115" s="7">
        <v>329853</v>
      </c>
      <c r="M2115" s="7">
        <v>19</v>
      </c>
      <c r="N2115" s="7">
        <v>1</v>
      </c>
      <c r="O2115" s="7">
        <v>1.56</v>
      </c>
    </row>
    <row r="2116" spans="1:15" x14ac:dyDescent="0.25">
      <c r="A2116" s="6" t="s">
        <v>28</v>
      </c>
      <c r="B2116" s="6" t="s">
        <v>522</v>
      </c>
      <c r="C2116" s="7">
        <v>32727</v>
      </c>
      <c r="D2116" s="6" t="s">
        <v>24</v>
      </c>
      <c r="E2116" s="6" t="s">
        <v>56</v>
      </c>
      <c r="F2116" s="6" t="s">
        <v>554</v>
      </c>
      <c r="G2116" s="6" t="s">
        <v>32</v>
      </c>
      <c r="H2116" s="6" t="s">
        <v>19</v>
      </c>
      <c r="I2116" s="6" t="s">
        <v>767</v>
      </c>
      <c r="J2116" s="6" t="s">
        <v>767</v>
      </c>
      <c r="K2116" s="7">
        <v>6273916</v>
      </c>
      <c r="L2116" s="7">
        <v>337604</v>
      </c>
      <c r="M2116" s="7">
        <v>19</v>
      </c>
      <c r="N2116" s="7">
        <v>1</v>
      </c>
      <c r="O2116" s="7">
        <v>0.08</v>
      </c>
    </row>
    <row r="2117" spans="1:15" x14ac:dyDescent="0.25">
      <c r="A2117" s="6" t="s">
        <v>28</v>
      </c>
      <c r="B2117" s="6" t="s">
        <v>522</v>
      </c>
      <c r="C2117" s="7">
        <v>32729</v>
      </c>
      <c r="D2117" s="6" t="s">
        <v>24</v>
      </c>
      <c r="E2117" s="6" t="s">
        <v>557</v>
      </c>
      <c r="F2117" s="6" t="s">
        <v>557</v>
      </c>
      <c r="G2117" s="6" t="s">
        <v>32</v>
      </c>
      <c r="H2117" s="6" t="s">
        <v>153</v>
      </c>
      <c r="I2117" s="6" t="s">
        <v>767</v>
      </c>
      <c r="J2117" s="6" t="s">
        <v>764</v>
      </c>
      <c r="K2117" s="7">
        <v>6284225</v>
      </c>
      <c r="L2117" s="7">
        <v>334558</v>
      </c>
      <c r="M2117" s="7">
        <v>19</v>
      </c>
      <c r="N2117" s="7">
        <v>1</v>
      </c>
      <c r="O2117" s="7">
        <v>6.12</v>
      </c>
    </row>
    <row r="2118" spans="1:15" x14ac:dyDescent="0.25">
      <c r="A2118" s="6" t="s">
        <v>28</v>
      </c>
      <c r="B2118" s="6" t="s">
        <v>522</v>
      </c>
      <c r="C2118" s="7">
        <v>32730</v>
      </c>
      <c r="D2118" s="6" t="s">
        <v>24</v>
      </c>
      <c r="E2118" s="6" t="s">
        <v>31</v>
      </c>
      <c r="F2118" s="6" t="s">
        <v>415</v>
      </c>
      <c r="G2118" s="6" t="s">
        <v>32</v>
      </c>
      <c r="H2118" s="6" t="s">
        <v>153</v>
      </c>
      <c r="I2118" s="6" t="s">
        <v>767</v>
      </c>
      <c r="J2118" s="6" t="s">
        <v>764</v>
      </c>
      <c r="K2118" s="7">
        <v>6272869</v>
      </c>
      <c r="L2118" s="7">
        <v>301058</v>
      </c>
      <c r="M2118" s="7">
        <v>19</v>
      </c>
      <c r="N2118" s="7">
        <v>1</v>
      </c>
      <c r="O2118" s="7">
        <v>1.6</v>
      </c>
    </row>
    <row r="2119" spans="1:15" x14ac:dyDescent="0.25">
      <c r="A2119" s="6" t="s">
        <v>28</v>
      </c>
      <c r="B2119" s="6" t="s">
        <v>522</v>
      </c>
      <c r="C2119" s="7">
        <v>32734</v>
      </c>
      <c r="D2119" s="6" t="s">
        <v>24</v>
      </c>
      <c r="E2119" s="6" t="s">
        <v>25</v>
      </c>
      <c r="F2119" s="6" t="s">
        <v>445</v>
      </c>
      <c r="G2119" s="6" t="s">
        <v>32</v>
      </c>
      <c r="H2119" s="6" t="s">
        <v>19</v>
      </c>
      <c r="I2119" s="6" t="s">
        <v>767</v>
      </c>
      <c r="J2119" s="6" t="s">
        <v>767</v>
      </c>
      <c r="K2119" s="7">
        <v>6260707</v>
      </c>
      <c r="L2119" s="7">
        <v>336653</v>
      </c>
      <c r="M2119" s="7">
        <v>19</v>
      </c>
      <c r="N2119" s="7">
        <v>1</v>
      </c>
      <c r="O2119" s="7">
        <v>0.4</v>
      </c>
    </row>
    <row r="2120" spans="1:15" x14ac:dyDescent="0.25">
      <c r="A2120" s="6" t="s">
        <v>14</v>
      </c>
      <c r="B2120" s="6" t="s">
        <v>522</v>
      </c>
      <c r="C2120" s="7">
        <v>32735</v>
      </c>
      <c r="D2120" s="6" t="s">
        <v>39</v>
      </c>
      <c r="E2120" s="6" t="s">
        <v>72</v>
      </c>
      <c r="F2120" s="6" t="s">
        <v>72</v>
      </c>
      <c r="G2120" s="6" t="s">
        <v>32</v>
      </c>
      <c r="H2120" s="6" t="s">
        <v>33</v>
      </c>
      <c r="I2120" s="6" t="s">
        <v>767</v>
      </c>
      <c r="J2120" s="6" t="s">
        <v>767</v>
      </c>
      <c r="K2120" s="7">
        <v>6062861</v>
      </c>
      <c r="L2120" s="7">
        <v>280103</v>
      </c>
      <c r="M2120" s="7">
        <v>19</v>
      </c>
      <c r="N2120" s="7">
        <v>1</v>
      </c>
      <c r="O2120" s="7">
        <v>9</v>
      </c>
    </row>
    <row r="2121" spans="1:15" x14ac:dyDescent="0.25">
      <c r="A2121" s="6" t="s">
        <v>28</v>
      </c>
      <c r="B2121" s="6" t="s">
        <v>522</v>
      </c>
      <c r="C2121" s="7">
        <v>32738</v>
      </c>
      <c r="D2121" s="6" t="s">
        <v>24</v>
      </c>
      <c r="E2121" s="6" t="s">
        <v>543</v>
      </c>
      <c r="F2121" s="6" t="s">
        <v>574</v>
      </c>
      <c r="G2121" s="6" t="s">
        <v>32</v>
      </c>
      <c r="H2121" s="6" t="s">
        <v>19</v>
      </c>
      <c r="I2121" s="6" t="s">
        <v>767</v>
      </c>
      <c r="J2121" s="6" t="s">
        <v>767</v>
      </c>
      <c r="K2121" s="7">
        <v>6311977</v>
      </c>
      <c r="L2121" s="7">
        <v>329437</v>
      </c>
      <c r="M2121" s="7">
        <v>19</v>
      </c>
      <c r="N2121" s="7">
        <v>1</v>
      </c>
      <c r="O2121" s="7">
        <v>0.95</v>
      </c>
    </row>
    <row r="2122" spans="1:15" x14ac:dyDescent="0.25">
      <c r="A2122" s="6" t="s">
        <v>28</v>
      </c>
      <c r="B2122" s="6" t="s">
        <v>522</v>
      </c>
      <c r="C2122" s="7">
        <v>32739</v>
      </c>
      <c r="D2122" s="6" t="s">
        <v>24</v>
      </c>
      <c r="E2122" s="6" t="s">
        <v>429</v>
      </c>
      <c r="F2122" s="6" t="s">
        <v>571</v>
      </c>
      <c r="G2122" s="6" t="s">
        <v>32</v>
      </c>
      <c r="H2122" s="6" t="s">
        <v>19</v>
      </c>
      <c r="I2122" s="6" t="s">
        <v>767</v>
      </c>
      <c r="J2122" s="6" t="s">
        <v>767</v>
      </c>
      <c r="K2122" s="7">
        <v>6295806</v>
      </c>
      <c r="L2122" s="7">
        <v>333706</v>
      </c>
      <c r="M2122" s="7">
        <v>19</v>
      </c>
      <c r="N2122" s="7">
        <v>1</v>
      </c>
      <c r="O2122" s="7">
        <v>0.35</v>
      </c>
    </row>
    <row r="2123" spans="1:15" x14ac:dyDescent="0.25">
      <c r="A2123" s="6" t="s">
        <v>28</v>
      </c>
      <c r="B2123" s="6" t="s">
        <v>522</v>
      </c>
      <c r="C2123" s="7">
        <v>32741</v>
      </c>
      <c r="D2123" s="6" t="s">
        <v>24</v>
      </c>
      <c r="E2123" s="6" t="s">
        <v>543</v>
      </c>
      <c r="F2123" s="6" t="s">
        <v>574</v>
      </c>
      <c r="G2123" s="6" t="s">
        <v>32</v>
      </c>
      <c r="H2123" s="6" t="s">
        <v>19</v>
      </c>
      <c r="I2123" s="6" t="s">
        <v>767</v>
      </c>
      <c r="J2123" s="6" t="s">
        <v>767</v>
      </c>
      <c r="K2123" s="7">
        <v>6312015</v>
      </c>
      <c r="L2123" s="7">
        <v>329789</v>
      </c>
      <c r="M2123" s="7">
        <v>19</v>
      </c>
      <c r="N2123" s="7">
        <v>1</v>
      </c>
      <c r="O2123" s="7">
        <v>1</v>
      </c>
    </row>
    <row r="2124" spans="1:15" x14ac:dyDescent="0.25">
      <c r="A2124" s="6" t="s">
        <v>28</v>
      </c>
      <c r="B2124" s="6" t="s">
        <v>522</v>
      </c>
      <c r="C2124" s="7">
        <v>32742</v>
      </c>
      <c r="D2124" s="6" t="s">
        <v>24</v>
      </c>
      <c r="E2124" s="6" t="s">
        <v>543</v>
      </c>
      <c r="F2124" s="6" t="s">
        <v>574</v>
      </c>
      <c r="G2124" s="6" t="s">
        <v>32</v>
      </c>
      <c r="H2124" s="6" t="s">
        <v>19</v>
      </c>
      <c r="I2124" s="6" t="s">
        <v>767</v>
      </c>
      <c r="J2124" s="6" t="s">
        <v>767</v>
      </c>
      <c r="K2124" s="7">
        <v>6311699</v>
      </c>
      <c r="L2124" s="7">
        <v>329687</v>
      </c>
      <c r="M2124" s="7">
        <v>19</v>
      </c>
      <c r="N2124" s="7">
        <v>1</v>
      </c>
      <c r="O2124" s="7">
        <v>1.1000000000000001</v>
      </c>
    </row>
    <row r="2125" spans="1:15" x14ac:dyDescent="0.25">
      <c r="A2125" s="6" t="s">
        <v>28</v>
      </c>
      <c r="B2125" s="6" t="s">
        <v>522</v>
      </c>
      <c r="C2125" s="7">
        <v>32743</v>
      </c>
      <c r="D2125" s="6" t="s">
        <v>24</v>
      </c>
      <c r="E2125" s="6" t="s">
        <v>31</v>
      </c>
      <c r="F2125" s="6" t="s">
        <v>97</v>
      </c>
      <c r="G2125" s="6" t="s">
        <v>32</v>
      </c>
      <c r="H2125" s="6" t="s">
        <v>19</v>
      </c>
      <c r="I2125" s="6" t="s">
        <v>767</v>
      </c>
      <c r="J2125" s="6" t="s">
        <v>767</v>
      </c>
      <c r="K2125" s="7">
        <v>6277120</v>
      </c>
      <c r="L2125" s="7">
        <v>297915</v>
      </c>
      <c r="M2125" s="7">
        <v>19</v>
      </c>
      <c r="N2125" s="7">
        <v>1</v>
      </c>
      <c r="O2125" s="7">
        <v>2.33</v>
      </c>
    </row>
    <row r="2126" spans="1:15" x14ac:dyDescent="0.25">
      <c r="A2126" s="6" t="s">
        <v>28</v>
      </c>
      <c r="B2126" s="6" t="s">
        <v>522</v>
      </c>
      <c r="C2126" s="7">
        <v>32746</v>
      </c>
      <c r="D2126" s="6" t="s">
        <v>24</v>
      </c>
      <c r="E2126" s="6" t="s">
        <v>56</v>
      </c>
      <c r="F2126" s="6" t="s">
        <v>179</v>
      </c>
      <c r="G2126" s="6" t="s">
        <v>32</v>
      </c>
      <c r="H2126" s="6" t="s">
        <v>19</v>
      </c>
      <c r="I2126" s="6" t="s">
        <v>767</v>
      </c>
      <c r="J2126" s="6" t="s">
        <v>767</v>
      </c>
      <c r="K2126" s="7">
        <v>6267272</v>
      </c>
      <c r="L2126" s="7">
        <v>334080</v>
      </c>
      <c r="M2126" s="7">
        <v>19</v>
      </c>
      <c r="N2126" s="7">
        <v>1</v>
      </c>
      <c r="O2126" s="7">
        <v>0.6</v>
      </c>
    </row>
    <row r="2127" spans="1:15" x14ac:dyDescent="0.25">
      <c r="A2127" s="6" t="s">
        <v>28</v>
      </c>
      <c r="B2127" s="6" t="s">
        <v>522</v>
      </c>
      <c r="C2127" s="7">
        <v>32747</v>
      </c>
      <c r="D2127" s="6" t="s">
        <v>24</v>
      </c>
      <c r="E2127" s="6" t="s">
        <v>31</v>
      </c>
      <c r="F2127" s="6" t="s">
        <v>415</v>
      </c>
      <c r="G2127" s="6" t="s">
        <v>32</v>
      </c>
      <c r="H2127" s="6" t="s">
        <v>19</v>
      </c>
      <c r="I2127" s="6" t="s">
        <v>767</v>
      </c>
      <c r="J2127" s="6" t="s">
        <v>767</v>
      </c>
      <c r="K2127" s="7">
        <v>6273233</v>
      </c>
      <c r="L2127" s="7">
        <v>300525</v>
      </c>
      <c r="M2127" s="7">
        <v>19</v>
      </c>
      <c r="N2127" s="7">
        <v>1</v>
      </c>
      <c r="O2127" s="7">
        <v>1</v>
      </c>
    </row>
    <row r="2128" spans="1:15" x14ac:dyDescent="0.25">
      <c r="A2128" s="6" t="s">
        <v>28</v>
      </c>
      <c r="B2128" s="6" t="s">
        <v>522</v>
      </c>
      <c r="C2128" s="7">
        <v>32749</v>
      </c>
      <c r="D2128" s="6" t="s">
        <v>24</v>
      </c>
      <c r="E2128" s="6" t="s">
        <v>31</v>
      </c>
      <c r="F2128" s="6" t="s">
        <v>597</v>
      </c>
      <c r="G2128" s="6" t="s">
        <v>32</v>
      </c>
      <c r="H2128" s="6" t="s">
        <v>19</v>
      </c>
      <c r="I2128" s="6" t="s">
        <v>767</v>
      </c>
      <c r="J2128" s="6" t="s">
        <v>767</v>
      </c>
      <c r="K2128" s="7">
        <v>6276875</v>
      </c>
      <c r="L2128" s="7">
        <v>296111</v>
      </c>
      <c r="M2128" s="7">
        <v>19</v>
      </c>
      <c r="N2128" s="7">
        <v>2</v>
      </c>
      <c r="O2128" s="7">
        <v>2.08</v>
      </c>
    </row>
    <row r="2129" spans="1:15" x14ac:dyDescent="0.25">
      <c r="A2129" s="6" t="s">
        <v>28</v>
      </c>
      <c r="B2129" s="6" t="s">
        <v>522</v>
      </c>
      <c r="C2129" s="7">
        <v>32750</v>
      </c>
      <c r="D2129" s="6" t="s">
        <v>24</v>
      </c>
      <c r="E2129" s="6" t="s">
        <v>62</v>
      </c>
      <c r="F2129" s="6" t="s">
        <v>416</v>
      </c>
      <c r="G2129" s="6" t="s">
        <v>32</v>
      </c>
      <c r="H2129" s="6" t="s">
        <v>19</v>
      </c>
      <c r="I2129" s="6" t="s">
        <v>767</v>
      </c>
      <c r="J2129" s="6" t="s">
        <v>767</v>
      </c>
      <c r="K2129" s="7">
        <v>6281660</v>
      </c>
      <c r="L2129" s="7">
        <v>327959</v>
      </c>
      <c r="M2129" s="7">
        <v>19</v>
      </c>
      <c r="N2129" s="7">
        <v>1</v>
      </c>
      <c r="O2129" s="7">
        <v>1</v>
      </c>
    </row>
    <row r="2130" spans="1:15" x14ac:dyDescent="0.25">
      <c r="A2130" s="6" t="s">
        <v>28</v>
      </c>
      <c r="B2130" s="6" t="s">
        <v>522</v>
      </c>
      <c r="C2130" s="7">
        <v>32753</v>
      </c>
      <c r="D2130" s="6" t="s">
        <v>24</v>
      </c>
      <c r="E2130" s="6" t="s">
        <v>436</v>
      </c>
      <c r="F2130" s="6" t="s">
        <v>605</v>
      </c>
      <c r="G2130" s="6" t="s">
        <v>32</v>
      </c>
      <c r="H2130" s="6" t="s">
        <v>153</v>
      </c>
      <c r="I2130" s="6" t="s">
        <v>767</v>
      </c>
      <c r="J2130" s="6" t="s">
        <v>764</v>
      </c>
      <c r="K2130" s="7">
        <v>6279582</v>
      </c>
      <c r="L2130" s="7">
        <v>334324</v>
      </c>
      <c r="M2130" s="7">
        <v>19</v>
      </c>
      <c r="N2130" s="7">
        <v>1</v>
      </c>
      <c r="O2130" s="7">
        <v>4.92</v>
      </c>
    </row>
    <row r="2131" spans="1:15" x14ac:dyDescent="0.25">
      <c r="A2131" s="6" t="s">
        <v>28</v>
      </c>
      <c r="B2131" s="6" t="s">
        <v>522</v>
      </c>
      <c r="C2131" s="7">
        <v>32758</v>
      </c>
      <c r="D2131" s="6" t="s">
        <v>24</v>
      </c>
      <c r="E2131" s="6" t="s">
        <v>25</v>
      </c>
      <c r="F2131" s="6" t="s">
        <v>528</v>
      </c>
      <c r="G2131" s="6" t="s">
        <v>32</v>
      </c>
      <c r="H2131" s="6" t="s">
        <v>19</v>
      </c>
      <c r="I2131" s="6" t="s">
        <v>767</v>
      </c>
      <c r="J2131" s="6" t="s">
        <v>767</v>
      </c>
      <c r="K2131" s="7">
        <v>6262148</v>
      </c>
      <c r="L2131" s="7">
        <v>335430</v>
      </c>
      <c r="M2131" s="7">
        <v>19</v>
      </c>
      <c r="N2131" s="7">
        <v>1</v>
      </c>
      <c r="O2131" s="7">
        <v>1</v>
      </c>
    </row>
    <row r="2132" spans="1:15" x14ac:dyDescent="0.25">
      <c r="A2132" s="6" t="s">
        <v>28</v>
      </c>
      <c r="B2132" s="6" t="s">
        <v>522</v>
      </c>
      <c r="C2132" s="7">
        <v>32761</v>
      </c>
      <c r="D2132" s="6" t="s">
        <v>24</v>
      </c>
      <c r="E2132" s="6" t="s">
        <v>56</v>
      </c>
      <c r="F2132" s="6" t="s">
        <v>419</v>
      </c>
      <c r="G2132" s="6" t="s">
        <v>32</v>
      </c>
      <c r="H2132" s="6" t="s">
        <v>19</v>
      </c>
      <c r="I2132" s="6" t="s">
        <v>767</v>
      </c>
      <c r="J2132" s="6" t="s">
        <v>767</v>
      </c>
      <c r="K2132" s="7">
        <v>6275968</v>
      </c>
      <c r="L2132" s="7">
        <v>345877</v>
      </c>
      <c r="M2132" s="7">
        <v>19</v>
      </c>
      <c r="N2132" s="7">
        <v>1</v>
      </c>
      <c r="O2132" s="7">
        <v>2.2999999999999998</v>
      </c>
    </row>
    <row r="2133" spans="1:15" x14ac:dyDescent="0.25">
      <c r="A2133" s="6" t="s">
        <v>28</v>
      </c>
      <c r="B2133" s="6" t="s">
        <v>522</v>
      </c>
      <c r="C2133" s="7">
        <v>32763</v>
      </c>
      <c r="D2133" s="6" t="s">
        <v>24</v>
      </c>
      <c r="E2133" s="6" t="s">
        <v>37</v>
      </c>
      <c r="F2133" s="6" t="s">
        <v>37</v>
      </c>
      <c r="G2133" s="6" t="s">
        <v>32</v>
      </c>
      <c r="H2133" s="6" t="s">
        <v>19</v>
      </c>
      <c r="I2133" s="6" t="s">
        <v>767</v>
      </c>
      <c r="J2133" s="6" t="s">
        <v>767</v>
      </c>
      <c r="K2133" s="7">
        <v>6270878</v>
      </c>
      <c r="L2133" s="7">
        <v>317595</v>
      </c>
      <c r="M2133" s="7">
        <v>19</v>
      </c>
      <c r="N2133" s="7">
        <v>1</v>
      </c>
      <c r="O2133" s="7">
        <v>2.46</v>
      </c>
    </row>
    <row r="2134" spans="1:15" x14ac:dyDescent="0.25">
      <c r="A2134" s="6" t="s">
        <v>28</v>
      </c>
      <c r="B2134" s="6" t="s">
        <v>522</v>
      </c>
      <c r="C2134" s="7">
        <v>32765</v>
      </c>
      <c r="D2134" s="6" t="s">
        <v>24</v>
      </c>
      <c r="E2134" s="6" t="s">
        <v>56</v>
      </c>
      <c r="F2134" s="6" t="s">
        <v>179</v>
      </c>
      <c r="G2134" s="6" t="s">
        <v>32</v>
      </c>
      <c r="H2134" s="6" t="s">
        <v>19</v>
      </c>
      <c r="I2134" s="6" t="s">
        <v>767</v>
      </c>
      <c r="J2134" s="6" t="s">
        <v>767</v>
      </c>
      <c r="K2134" s="7">
        <v>6267358</v>
      </c>
      <c r="L2134" s="7">
        <v>333573</v>
      </c>
      <c r="M2134" s="7">
        <v>19</v>
      </c>
      <c r="N2134" s="7">
        <v>1</v>
      </c>
      <c r="O2134" s="7">
        <v>1.05</v>
      </c>
    </row>
    <row r="2135" spans="1:15" x14ac:dyDescent="0.25">
      <c r="A2135" s="6" t="s">
        <v>28</v>
      </c>
      <c r="B2135" s="6" t="s">
        <v>522</v>
      </c>
      <c r="C2135" s="7">
        <v>32767</v>
      </c>
      <c r="D2135" s="6" t="s">
        <v>24</v>
      </c>
      <c r="E2135" s="6" t="s">
        <v>456</v>
      </c>
      <c r="F2135" s="6" t="s">
        <v>456</v>
      </c>
      <c r="G2135" s="6" t="s">
        <v>32</v>
      </c>
      <c r="H2135" s="6" t="s">
        <v>19</v>
      </c>
      <c r="I2135" s="6" t="s">
        <v>767</v>
      </c>
      <c r="J2135" s="6" t="s">
        <v>767</v>
      </c>
      <c r="K2135" s="7">
        <v>6289497</v>
      </c>
      <c r="L2135" s="7">
        <v>331998</v>
      </c>
      <c r="M2135" s="7">
        <v>19</v>
      </c>
      <c r="N2135" s="7">
        <v>1</v>
      </c>
      <c r="O2135" s="7">
        <v>0.33</v>
      </c>
    </row>
    <row r="2136" spans="1:15" x14ac:dyDescent="0.25">
      <c r="A2136" s="6" t="s">
        <v>28</v>
      </c>
      <c r="B2136" s="6" t="s">
        <v>522</v>
      </c>
      <c r="C2136" s="7">
        <v>32768</v>
      </c>
      <c r="D2136" s="6" t="s">
        <v>24</v>
      </c>
      <c r="E2136" s="6" t="s">
        <v>501</v>
      </c>
      <c r="F2136" s="6" t="s">
        <v>578</v>
      </c>
      <c r="G2136" s="6" t="s">
        <v>32</v>
      </c>
      <c r="H2136" s="6" t="s">
        <v>19</v>
      </c>
      <c r="I2136" s="6" t="s">
        <v>767</v>
      </c>
      <c r="J2136" s="6" t="s">
        <v>767</v>
      </c>
      <c r="K2136" s="7">
        <v>6329568</v>
      </c>
      <c r="L2136" s="7">
        <v>323223</v>
      </c>
      <c r="M2136" s="7">
        <v>19</v>
      </c>
      <c r="N2136" s="7">
        <v>1</v>
      </c>
      <c r="O2136" s="7">
        <v>1.05</v>
      </c>
    </row>
    <row r="2137" spans="1:15" x14ac:dyDescent="0.25">
      <c r="A2137" s="6" t="s">
        <v>28</v>
      </c>
      <c r="B2137" s="6" t="s">
        <v>522</v>
      </c>
      <c r="C2137" s="7">
        <v>32769</v>
      </c>
      <c r="D2137" s="6" t="s">
        <v>24</v>
      </c>
      <c r="E2137" s="6" t="s">
        <v>501</v>
      </c>
      <c r="F2137" s="6" t="s">
        <v>578</v>
      </c>
      <c r="G2137" s="6" t="s">
        <v>32</v>
      </c>
      <c r="H2137" s="6" t="s">
        <v>19</v>
      </c>
      <c r="I2137" s="6" t="s">
        <v>767</v>
      </c>
      <c r="J2137" s="6" t="s">
        <v>767</v>
      </c>
      <c r="K2137" s="7">
        <v>6327537</v>
      </c>
      <c r="L2137" s="7">
        <v>325275</v>
      </c>
      <c r="M2137" s="7">
        <v>19</v>
      </c>
      <c r="N2137" s="7">
        <v>1</v>
      </c>
      <c r="O2137" s="7">
        <v>2.21</v>
      </c>
    </row>
    <row r="2138" spans="1:15" x14ac:dyDescent="0.25">
      <c r="A2138" s="6" t="s">
        <v>22</v>
      </c>
      <c r="B2138" s="6" t="s">
        <v>522</v>
      </c>
      <c r="C2138" s="7">
        <v>32773</v>
      </c>
      <c r="D2138" s="6" t="s">
        <v>24</v>
      </c>
      <c r="E2138" s="6" t="s">
        <v>25</v>
      </c>
      <c r="F2138" s="6" t="s">
        <v>445</v>
      </c>
      <c r="G2138" s="6" t="s">
        <v>32</v>
      </c>
      <c r="H2138" s="6" t="s">
        <v>765</v>
      </c>
      <c r="I2138" s="6" t="s">
        <v>767</v>
      </c>
      <c r="J2138" s="6" t="s">
        <v>767</v>
      </c>
      <c r="K2138" s="7">
        <v>6259767</v>
      </c>
      <c r="L2138" s="7">
        <v>332396</v>
      </c>
      <c r="M2138" s="7">
        <v>19</v>
      </c>
      <c r="N2138" s="7">
        <v>1</v>
      </c>
      <c r="O2138" s="7">
        <v>0.84</v>
      </c>
    </row>
    <row r="2139" spans="1:15" x14ac:dyDescent="0.25">
      <c r="A2139" s="6" t="s">
        <v>28</v>
      </c>
      <c r="B2139" s="6" t="s">
        <v>522</v>
      </c>
      <c r="C2139" s="7">
        <v>32774</v>
      </c>
      <c r="D2139" s="6" t="s">
        <v>24</v>
      </c>
      <c r="E2139" s="6" t="s">
        <v>456</v>
      </c>
      <c r="F2139" s="6" t="s">
        <v>456</v>
      </c>
      <c r="G2139" s="6" t="s">
        <v>32</v>
      </c>
      <c r="H2139" s="6" t="s">
        <v>19</v>
      </c>
      <c r="I2139" s="6" t="s">
        <v>767</v>
      </c>
      <c r="J2139" s="6" t="s">
        <v>767</v>
      </c>
      <c r="K2139" s="7">
        <v>6289670</v>
      </c>
      <c r="L2139" s="7">
        <v>332782</v>
      </c>
      <c r="M2139" s="7">
        <v>19</v>
      </c>
      <c r="N2139" s="7">
        <v>1</v>
      </c>
      <c r="O2139" s="7">
        <v>0.37</v>
      </c>
    </row>
    <row r="2140" spans="1:15" x14ac:dyDescent="0.25">
      <c r="A2140" s="6" t="s">
        <v>28</v>
      </c>
      <c r="B2140" s="6" t="s">
        <v>522</v>
      </c>
      <c r="C2140" s="7">
        <v>32776</v>
      </c>
      <c r="D2140" s="6" t="s">
        <v>24</v>
      </c>
      <c r="E2140" s="6" t="s">
        <v>37</v>
      </c>
      <c r="F2140" s="6" t="s">
        <v>37</v>
      </c>
      <c r="G2140" s="6" t="s">
        <v>32</v>
      </c>
      <c r="H2140" s="6" t="s">
        <v>19</v>
      </c>
      <c r="I2140" s="6" t="s">
        <v>767</v>
      </c>
      <c r="J2140" s="6" t="s">
        <v>767</v>
      </c>
      <c r="K2140" s="7">
        <v>6271411</v>
      </c>
      <c r="L2140" s="7">
        <v>318212</v>
      </c>
      <c r="M2140" s="7">
        <v>19</v>
      </c>
      <c r="N2140" s="7">
        <v>1</v>
      </c>
      <c r="O2140" s="7">
        <v>1.69</v>
      </c>
    </row>
    <row r="2141" spans="1:15" x14ac:dyDescent="0.25">
      <c r="A2141" s="6" t="s">
        <v>28</v>
      </c>
      <c r="B2141" s="6" t="s">
        <v>522</v>
      </c>
      <c r="C2141" s="7">
        <v>32780</v>
      </c>
      <c r="D2141" s="6" t="s">
        <v>24</v>
      </c>
      <c r="E2141" s="6" t="s">
        <v>580</v>
      </c>
      <c r="F2141" s="6" t="s">
        <v>581</v>
      </c>
      <c r="G2141" s="6" t="s">
        <v>32</v>
      </c>
      <c r="H2141" s="6" t="s">
        <v>19</v>
      </c>
      <c r="I2141" s="6" t="s">
        <v>767</v>
      </c>
      <c r="J2141" s="6" t="s">
        <v>767</v>
      </c>
      <c r="K2141" s="7">
        <v>6315908</v>
      </c>
      <c r="L2141" s="7">
        <v>345625</v>
      </c>
      <c r="M2141" s="7">
        <v>19</v>
      </c>
      <c r="N2141" s="7">
        <v>1</v>
      </c>
      <c r="O2141" s="7">
        <v>1.22</v>
      </c>
    </row>
    <row r="2142" spans="1:15" x14ac:dyDescent="0.25">
      <c r="A2142" s="6" t="s">
        <v>22</v>
      </c>
      <c r="B2142" s="6" t="s">
        <v>522</v>
      </c>
      <c r="C2142" s="7">
        <v>32786</v>
      </c>
      <c r="D2142" s="6" t="s">
        <v>24</v>
      </c>
      <c r="E2142" s="6" t="s">
        <v>25</v>
      </c>
      <c r="F2142" s="6" t="s">
        <v>426</v>
      </c>
      <c r="G2142" s="6" t="s">
        <v>32</v>
      </c>
      <c r="H2142" s="6" t="s">
        <v>765</v>
      </c>
      <c r="I2142" s="6" t="s">
        <v>767</v>
      </c>
      <c r="J2142" s="6" t="s">
        <v>767</v>
      </c>
      <c r="K2142" s="7">
        <v>6259603</v>
      </c>
      <c r="L2142" s="7">
        <v>331154</v>
      </c>
      <c r="M2142" s="7">
        <v>19</v>
      </c>
      <c r="N2142" s="7">
        <v>1</v>
      </c>
      <c r="O2142" s="7">
        <v>0.75</v>
      </c>
    </row>
    <row r="2143" spans="1:15" x14ac:dyDescent="0.25">
      <c r="A2143" s="6" t="s">
        <v>22</v>
      </c>
      <c r="B2143" s="6" t="s">
        <v>522</v>
      </c>
      <c r="C2143" s="7">
        <v>32787</v>
      </c>
      <c r="D2143" s="6" t="s">
        <v>24</v>
      </c>
      <c r="E2143" s="6" t="s">
        <v>25</v>
      </c>
      <c r="F2143" s="6" t="s">
        <v>426</v>
      </c>
      <c r="G2143" s="6" t="s">
        <v>32</v>
      </c>
      <c r="H2143" s="6" t="s">
        <v>765</v>
      </c>
      <c r="I2143" s="6" t="s">
        <v>767</v>
      </c>
      <c r="J2143" s="6" t="s">
        <v>767</v>
      </c>
      <c r="K2143" s="7">
        <v>6260154</v>
      </c>
      <c r="L2143" s="7">
        <v>331360</v>
      </c>
      <c r="M2143" s="7">
        <v>19</v>
      </c>
      <c r="N2143" s="7">
        <v>1</v>
      </c>
      <c r="O2143" s="7">
        <v>0.84</v>
      </c>
    </row>
    <row r="2144" spans="1:15" x14ac:dyDescent="0.25">
      <c r="A2144" s="6" t="s">
        <v>22</v>
      </c>
      <c r="B2144" s="6" t="s">
        <v>522</v>
      </c>
      <c r="C2144" s="7">
        <v>32788</v>
      </c>
      <c r="D2144" s="6" t="s">
        <v>24</v>
      </c>
      <c r="E2144" s="6" t="s">
        <v>25</v>
      </c>
      <c r="F2144" s="6" t="s">
        <v>426</v>
      </c>
      <c r="G2144" s="6" t="s">
        <v>32</v>
      </c>
      <c r="H2144" s="6" t="s">
        <v>765</v>
      </c>
      <c r="I2144" s="6" t="s">
        <v>767</v>
      </c>
      <c r="J2144" s="6" t="s">
        <v>767</v>
      </c>
      <c r="K2144" s="7">
        <v>6260199</v>
      </c>
      <c r="L2144" s="7">
        <v>331268</v>
      </c>
      <c r="M2144" s="7">
        <v>19</v>
      </c>
      <c r="N2144" s="7">
        <v>1</v>
      </c>
      <c r="O2144" s="7">
        <v>0.84</v>
      </c>
    </row>
    <row r="2145" spans="1:15" x14ac:dyDescent="0.25">
      <c r="A2145" s="6" t="s">
        <v>28</v>
      </c>
      <c r="B2145" s="6" t="s">
        <v>522</v>
      </c>
      <c r="C2145" s="7">
        <v>32789</v>
      </c>
      <c r="D2145" s="6" t="s">
        <v>24</v>
      </c>
      <c r="E2145" s="6" t="s">
        <v>56</v>
      </c>
      <c r="F2145" s="6" t="s">
        <v>606</v>
      </c>
      <c r="G2145" s="6" t="s">
        <v>32</v>
      </c>
      <c r="H2145" s="6" t="s">
        <v>153</v>
      </c>
      <c r="I2145" s="6" t="s">
        <v>767</v>
      </c>
      <c r="J2145" s="6" t="s">
        <v>764</v>
      </c>
      <c r="K2145" s="7">
        <v>6277964</v>
      </c>
      <c r="L2145" s="7">
        <v>345640</v>
      </c>
      <c r="M2145" s="7">
        <v>19</v>
      </c>
      <c r="N2145" s="7">
        <v>1</v>
      </c>
      <c r="O2145" s="7">
        <v>1.97</v>
      </c>
    </row>
    <row r="2146" spans="1:15" x14ac:dyDescent="0.25">
      <c r="A2146" s="6" t="s">
        <v>28</v>
      </c>
      <c r="B2146" s="6" t="s">
        <v>522</v>
      </c>
      <c r="C2146" s="7">
        <v>32790</v>
      </c>
      <c r="D2146" s="6" t="s">
        <v>24</v>
      </c>
      <c r="E2146" s="6" t="s">
        <v>38</v>
      </c>
      <c r="F2146" s="6" t="s">
        <v>563</v>
      </c>
      <c r="G2146" s="6" t="s">
        <v>32</v>
      </c>
      <c r="H2146" s="6" t="s">
        <v>19</v>
      </c>
      <c r="I2146" s="6" t="s">
        <v>767</v>
      </c>
      <c r="J2146" s="6" t="s">
        <v>767</v>
      </c>
      <c r="K2146" s="7">
        <v>6272030</v>
      </c>
      <c r="L2146" s="7">
        <v>307261</v>
      </c>
      <c r="M2146" s="7">
        <v>19</v>
      </c>
      <c r="N2146" s="7">
        <v>1</v>
      </c>
      <c r="O2146" s="7">
        <v>1.05</v>
      </c>
    </row>
    <row r="2147" spans="1:15" x14ac:dyDescent="0.25">
      <c r="A2147" s="6" t="s">
        <v>28</v>
      </c>
      <c r="B2147" s="6" t="s">
        <v>522</v>
      </c>
      <c r="C2147" s="7">
        <v>32791</v>
      </c>
      <c r="D2147" s="6" t="s">
        <v>24</v>
      </c>
      <c r="E2147" s="6" t="s">
        <v>543</v>
      </c>
      <c r="F2147" s="6" t="s">
        <v>225</v>
      </c>
      <c r="G2147" s="6" t="s">
        <v>32</v>
      </c>
      <c r="H2147" s="6" t="s">
        <v>19</v>
      </c>
      <c r="I2147" s="6" t="s">
        <v>767</v>
      </c>
      <c r="J2147" s="6" t="s">
        <v>767</v>
      </c>
      <c r="K2147" s="7">
        <v>6306996</v>
      </c>
      <c r="L2147" s="7">
        <v>329460</v>
      </c>
      <c r="M2147" s="7">
        <v>19</v>
      </c>
      <c r="N2147" s="7">
        <v>1</v>
      </c>
      <c r="O2147" s="7">
        <v>0.4</v>
      </c>
    </row>
    <row r="2148" spans="1:15" x14ac:dyDescent="0.25">
      <c r="A2148" s="6" t="s">
        <v>28</v>
      </c>
      <c r="B2148" s="6" t="s">
        <v>522</v>
      </c>
      <c r="C2148" s="7">
        <v>32792</v>
      </c>
      <c r="D2148" s="6" t="s">
        <v>24</v>
      </c>
      <c r="E2148" s="6" t="s">
        <v>25</v>
      </c>
      <c r="F2148" s="6" t="s">
        <v>445</v>
      </c>
      <c r="G2148" s="6" t="s">
        <v>32</v>
      </c>
      <c r="H2148" s="6" t="s">
        <v>19</v>
      </c>
      <c r="I2148" s="6" t="s">
        <v>767</v>
      </c>
      <c r="J2148" s="6" t="s">
        <v>767</v>
      </c>
      <c r="K2148" s="7">
        <v>6260196</v>
      </c>
      <c r="L2148" s="7">
        <v>336602</v>
      </c>
      <c r="M2148" s="7">
        <v>19</v>
      </c>
      <c r="N2148" s="7">
        <v>1</v>
      </c>
      <c r="O2148" s="7">
        <v>0.41</v>
      </c>
    </row>
    <row r="2149" spans="1:15" x14ac:dyDescent="0.25">
      <c r="A2149" s="6" t="s">
        <v>14</v>
      </c>
      <c r="B2149" s="6" t="s">
        <v>522</v>
      </c>
      <c r="C2149" s="7">
        <v>32793</v>
      </c>
      <c r="D2149" s="6" t="s">
        <v>24</v>
      </c>
      <c r="E2149" s="6" t="s">
        <v>25</v>
      </c>
      <c r="F2149" s="6" t="s">
        <v>25</v>
      </c>
      <c r="G2149" s="6" t="s">
        <v>32</v>
      </c>
      <c r="H2149" s="6" t="s">
        <v>33</v>
      </c>
      <c r="I2149" s="6" t="s">
        <v>767</v>
      </c>
      <c r="J2149" s="6" t="s">
        <v>767</v>
      </c>
      <c r="K2149" s="7">
        <v>6266147</v>
      </c>
      <c r="L2149" s="7">
        <v>341139</v>
      </c>
      <c r="M2149" s="7">
        <v>19</v>
      </c>
      <c r="N2149" s="7">
        <v>1</v>
      </c>
      <c r="O2149" s="7">
        <v>0.4</v>
      </c>
    </row>
    <row r="2150" spans="1:15" x14ac:dyDescent="0.25">
      <c r="A2150" s="6" t="s">
        <v>14</v>
      </c>
      <c r="B2150" s="6" t="s">
        <v>522</v>
      </c>
      <c r="C2150" s="7">
        <v>32794</v>
      </c>
      <c r="D2150" s="6" t="s">
        <v>24</v>
      </c>
      <c r="E2150" s="6" t="s">
        <v>543</v>
      </c>
      <c r="F2150" s="6" t="s">
        <v>543</v>
      </c>
      <c r="G2150" s="6" t="s">
        <v>32</v>
      </c>
      <c r="H2150" s="6" t="s">
        <v>33</v>
      </c>
      <c r="I2150" s="6" t="s">
        <v>767</v>
      </c>
      <c r="J2150" s="6" t="s">
        <v>767</v>
      </c>
      <c r="K2150" s="7">
        <v>6314433</v>
      </c>
      <c r="L2150" s="7">
        <v>329025</v>
      </c>
      <c r="M2150" s="7">
        <v>19</v>
      </c>
      <c r="N2150" s="7">
        <v>1</v>
      </c>
      <c r="O2150" s="7">
        <v>0.41</v>
      </c>
    </row>
    <row r="2151" spans="1:15" x14ac:dyDescent="0.25">
      <c r="A2151" s="6" t="s">
        <v>14</v>
      </c>
      <c r="B2151" s="6" t="s">
        <v>522</v>
      </c>
      <c r="C2151" s="7">
        <v>32795</v>
      </c>
      <c r="D2151" s="6" t="s">
        <v>24</v>
      </c>
      <c r="E2151" s="6" t="s">
        <v>543</v>
      </c>
      <c r="F2151" s="6" t="s">
        <v>543</v>
      </c>
      <c r="G2151" s="6" t="s">
        <v>32</v>
      </c>
      <c r="H2151" s="6" t="s">
        <v>33</v>
      </c>
      <c r="I2151" s="6" t="s">
        <v>767</v>
      </c>
      <c r="J2151" s="6" t="s">
        <v>767</v>
      </c>
      <c r="K2151" s="7">
        <v>6314443</v>
      </c>
      <c r="L2151" s="7">
        <v>329220</v>
      </c>
      <c r="M2151" s="7">
        <v>19</v>
      </c>
      <c r="N2151" s="7">
        <v>1</v>
      </c>
      <c r="O2151" s="7">
        <v>0.41</v>
      </c>
    </row>
    <row r="2152" spans="1:15" x14ac:dyDescent="0.25">
      <c r="A2152" s="6" t="s">
        <v>14</v>
      </c>
      <c r="B2152" s="6" t="s">
        <v>522</v>
      </c>
      <c r="C2152" s="7">
        <v>32796</v>
      </c>
      <c r="D2152" s="6" t="s">
        <v>24</v>
      </c>
      <c r="E2152" s="6" t="s">
        <v>96</v>
      </c>
      <c r="F2152" s="6" t="s">
        <v>96</v>
      </c>
      <c r="G2152" s="6" t="s">
        <v>32</v>
      </c>
      <c r="H2152" s="6" t="s">
        <v>33</v>
      </c>
      <c r="I2152" s="6" t="s">
        <v>767</v>
      </c>
      <c r="J2152" s="6" t="s">
        <v>767</v>
      </c>
      <c r="K2152" s="7">
        <v>6259517</v>
      </c>
      <c r="L2152" s="7">
        <v>342818</v>
      </c>
      <c r="M2152" s="7">
        <v>19</v>
      </c>
      <c r="N2152" s="7">
        <v>1</v>
      </c>
      <c r="O2152" s="7">
        <v>0.32</v>
      </c>
    </row>
    <row r="2153" spans="1:15" x14ac:dyDescent="0.25">
      <c r="A2153" s="6" t="s">
        <v>28</v>
      </c>
      <c r="B2153" s="6" t="s">
        <v>522</v>
      </c>
      <c r="C2153" s="7">
        <v>32797</v>
      </c>
      <c r="D2153" s="6" t="s">
        <v>24</v>
      </c>
      <c r="E2153" s="6" t="s">
        <v>56</v>
      </c>
      <c r="F2153" s="6" t="s">
        <v>606</v>
      </c>
      <c r="G2153" s="6" t="s">
        <v>32</v>
      </c>
      <c r="H2153" s="6" t="s">
        <v>19</v>
      </c>
      <c r="I2153" s="6" t="s">
        <v>767</v>
      </c>
      <c r="J2153" s="6" t="s">
        <v>767</v>
      </c>
      <c r="K2153" s="7">
        <v>6277964</v>
      </c>
      <c r="L2153" s="7">
        <v>345640</v>
      </c>
      <c r="M2153" s="7">
        <v>19</v>
      </c>
      <c r="N2153" s="7">
        <v>1</v>
      </c>
      <c r="O2153" s="7">
        <v>1.6</v>
      </c>
    </row>
    <row r="2154" spans="1:15" x14ac:dyDescent="0.25">
      <c r="A2154" s="6" t="s">
        <v>28</v>
      </c>
      <c r="B2154" s="6" t="s">
        <v>522</v>
      </c>
      <c r="C2154" s="7">
        <v>32798</v>
      </c>
      <c r="D2154" s="6" t="s">
        <v>24</v>
      </c>
      <c r="E2154" s="6" t="s">
        <v>543</v>
      </c>
      <c r="F2154" s="6" t="s">
        <v>225</v>
      </c>
      <c r="G2154" s="6" t="s">
        <v>32</v>
      </c>
      <c r="H2154" s="6" t="s">
        <v>19</v>
      </c>
      <c r="I2154" s="6" t="s">
        <v>767</v>
      </c>
      <c r="J2154" s="6" t="s">
        <v>767</v>
      </c>
      <c r="K2154" s="7">
        <v>6305845</v>
      </c>
      <c r="L2154" s="7">
        <v>329589</v>
      </c>
      <c r="M2154" s="7">
        <v>19</v>
      </c>
      <c r="N2154" s="7">
        <v>1</v>
      </c>
      <c r="O2154" s="7">
        <v>0.35</v>
      </c>
    </row>
    <row r="2155" spans="1:15" x14ac:dyDescent="0.25">
      <c r="A2155" s="6" t="s">
        <v>28</v>
      </c>
      <c r="B2155" s="6" t="s">
        <v>522</v>
      </c>
      <c r="C2155" s="7">
        <v>32799</v>
      </c>
      <c r="D2155" s="6" t="s">
        <v>24</v>
      </c>
      <c r="E2155" s="6" t="s">
        <v>25</v>
      </c>
      <c r="F2155" s="6" t="s">
        <v>605</v>
      </c>
      <c r="G2155" s="6" t="s">
        <v>32</v>
      </c>
      <c r="H2155" s="6" t="s">
        <v>19</v>
      </c>
      <c r="I2155" s="6" t="s">
        <v>767</v>
      </c>
      <c r="J2155" s="6" t="s">
        <v>767</v>
      </c>
      <c r="K2155" s="7">
        <v>6256105</v>
      </c>
      <c r="L2155" s="7">
        <v>333330</v>
      </c>
      <c r="M2155" s="7">
        <v>19</v>
      </c>
      <c r="N2155" s="7">
        <v>1</v>
      </c>
      <c r="O2155" s="7">
        <v>0.25</v>
      </c>
    </row>
    <row r="2156" spans="1:15" x14ac:dyDescent="0.25">
      <c r="A2156" s="6" t="s">
        <v>14</v>
      </c>
      <c r="B2156" s="6" t="s">
        <v>522</v>
      </c>
      <c r="C2156" s="7">
        <v>32800</v>
      </c>
      <c r="D2156" s="6" t="s">
        <v>24</v>
      </c>
      <c r="E2156" s="6" t="s">
        <v>31</v>
      </c>
      <c r="F2156" s="6" t="s">
        <v>530</v>
      </c>
      <c r="G2156" s="6" t="s">
        <v>32</v>
      </c>
      <c r="H2156" s="6" t="s">
        <v>33</v>
      </c>
      <c r="I2156" s="6" t="s">
        <v>767</v>
      </c>
      <c r="J2156" s="6" t="s">
        <v>767</v>
      </c>
      <c r="K2156" s="7">
        <v>6273431</v>
      </c>
      <c r="L2156" s="7">
        <v>302628</v>
      </c>
      <c r="M2156" s="7">
        <v>19</v>
      </c>
      <c r="N2156" s="7">
        <v>1</v>
      </c>
      <c r="O2156" s="7">
        <v>0.42</v>
      </c>
    </row>
    <row r="2157" spans="1:15" x14ac:dyDescent="0.25">
      <c r="A2157" s="6" t="s">
        <v>22</v>
      </c>
      <c r="B2157" s="6" t="s">
        <v>522</v>
      </c>
      <c r="C2157" s="7">
        <v>32801</v>
      </c>
      <c r="D2157" s="6" t="s">
        <v>24</v>
      </c>
      <c r="E2157" s="6" t="s">
        <v>25</v>
      </c>
      <c r="F2157" s="6" t="s">
        <v>426</v>
      </c>
      <c r="G2157" s="6" t="s">
        <v>32</v>
      </c>
      <c r="H2157" s="6" t="s">
        <v>765</v>
      </c>
      <c r="I2157" s="6" t="s">
        <v>767</v>
      </c>
      <c r="J2157" s="6" t="s">
        <v>767</v>
      </c>
      <c r="K2157" s="7">
        <v>6259647</v>
      </c>
      <c r="L2157" s="7">
        <v>331085</v>
      </c>
      <c r="M2157" s="7">
        <v>19</v>
      </c>
      <c r="N2157" s="7">
        <v>1</v>
      </c>
      <c r="O2157" s="7">
        <v>0.61</v>
      </c>
    </row>
    <row r="2158" spans="1:15" x14ac:dyDescent="0.25">
      <c r="A2158" s="6" t="s">
        <v>14</v>
      </c>
      <c r="B2158" s="6" t="s">
        <v>522</v>
      </c>
      <c r="C2158" s="7">
        <v>32802</v>
      </c>
      <c r="D2158" s="6" t="s">
        <v>24</v>
      </c>
      <c r="E2158" s="6" t="s">
        <v>543</v>
      </c>
      <c r="F2158" s="6" t="s">
        <v>543</v>
      </c>
      <c r="G2158" s="6" t="s">
        <v>32</v>
      </c>
      <c r="H2158" s="6" t="s">
        <v>33</v>
      </c>
      <c r="I2158" s="6" t="s">
        <v>767</v>
      </c>
      <c r="J2158" s="6" t="s">
        <v>767</v>
      </c>
      <c r="K2158" s="7">
        <v>6314624</v>
      </c>
      <c r="L2158" s="7">
        <v>329202</v>
      </c>
      <c r="M2158" s="7">
        <v>19</v>
      </c>
      <c r="N2158" s="7">
        <v>1</v>
      </c>
      <c r="O2158" s="7">
        <v>0.57999999999999996</v>
      </c>
    </row>
    <row r="2159" spans="1:15" x14ac:dyDescent="0.25">
      <c r="A2159" s="6" t="s">
        <v>14</v>
      </c>
      <c r="B2159" s="6" t="s">
        <v>522</v>
      </c>
      <c r="C2159" s="7">
        <v>32803</v>
      </c>
      <c r="D2159" s="6" t="s">
        <v>24</v>
      </c>
      <c r="E2159" s="6" t="s">
        <v>56</v>
      </c>
      <c r="F2159" s="6" t="s">
        <v>56</v>
      </c>
      <c r="G2159" s="6" t="s">
        <v>32</v>
      </c>
      <c r="H2159" s="6" t="s">
        <v>33</v>
      </c>
      <c r="I2159" s="6" t="s">
        <v>767</v>
      </c>
      <c r="J2159" s="6" t="s">
        <v>767</v>
      </c>
      <c r="K2159" s="7">
        <v>6274611</v>
      </c>
      <c r="L2159" s="7">
        <v>344174</v>
      </c>
      <c r="M2159" s="7">
        <v>19</v>
      </c>
      <c r="N2159" s="7">
        <v>1</v>
      </c>
      <c r="O2159" s="7">
        <v>0.3</v>
      </c>
    </row>
    <row r="2160" spans="1:15" x14ac:dyDescent="0.25">
      <c r="A2160" s="6" t="s">
        <v>22</v>
      </c>
      <c r="B2160" s="6" t="s">
        <v>522</v>
      </c>
      <c r="C2160" s="7">
        <v>32808</v>
      </c>
      <c r="D2160" s="6" t="s">
        <v>24</v>
      </c>
      <c r="E2160" s="6" t="s">
        <v>96</v>
      </c>
      <c r="F2160" s="6" t="s">
        <v>538</v>
      </c>
      <c r="G2160" s="6" t="s">
        <v>32</v>
      </c>
      <c r="H2160" s="6" t="s">
        <v>765</v>
      </c>
      <c r="I2160" s="6" t="s">
        <v>767</v>
      </c>
      <c r="J2160" s="6" t="s">
        <v>767</v>
      </c>
      <c r="K2160" s="7">
        <v>6253749</v>
      </c>
      <c r="L2160" s="7">
        <v>334580</v>
      </c>
      <c r="M2160" s="7">
        <v>19</v>
      </c>
      <c r="N2160" s="7">
        <v>1</v>
      </c>
      <c r="O2160" s="7">
        <v>4.5</v>
      </c>
    </row>
    <row r="2161" spans="1:15" x14ac:dyDescent="0.25">
      <c r="A2161" s="6" t="s">
        <v>22</v>
      </c>
      <c r="B2161" s="6" t="s">
        <v>522</v>
      </c>
      <c r="C2161" s="7">
        <v>32852</v>
      </c>
      <c r="D2161" s="6" t="s">
        <v>297</v>
      </c>
      <c r="E2161" s="6" t="s">
        <v>298</v>
      </c>
      <c r="F2161" s="6" t="s">
        <v>523</v>
      </c>
      <c r="G2161" s="6" t="s">
        <v>32</v>
      </c>
      <c r="H2161" s="6" t="s">
        <v>765</v>
      </c>
      <c r="I2161" s="6" t="s">
        <v>767</v>
      </c>
      <c r="J2161" s="6" t="s">
        <v>767</v>
      </c>
      <c r="K2161" s="7">
        <v>7950001</v>
      </c>
      <c r="L2161" s="7">
        <v>378417</v>
      </c>
      <c r="M2161" s="7">
        <v>19</v>
      </c>
      <c r="N2161" s="7">
        <v>1</v>
      </c>
      <c r="O2161" s="7">
        <v>0.9</v>
      </c>
    </row>
    <row r="2162" spans="1:15" x14ac:dyDescent="0.25">
      <c r="A2162" s="6" t="s">
        <v>22</v>
      </c>
      <c r="B2162" s="6" t="s">
        <v>522</v>
      </c>
      <c r="C2162" s="7">
        <v>32853</v>
      </c>
      <c r="D2162" s="6" t="s">
        <v>297</v>
      </c>
      <c r="E2162" s="6" t="s">
        <v>298</v>
      </c>
      <c r="F2162" s="6" t="s">
        <v>523</v>
      </c>
      <c r="G2162" s="6" t="s">
        <v>32</v>
      </c>
      <c r="H2162" s="6" t="s">
        <v>765</v>
      </c>
      <c r="I2162" s="6" t="s">
        <v>767</v>
      </c>
      <c r="J2162" s="6" t="s">
        <v>767</v>
      </c>
      <c r="K2162" s="7">
        <v>7949646</v>
      </c>
      <c r="L2162" s="7">
        <v>378317</v>
      </c>
      <c r="M2162" s="7">
        <v>19</v>
      </c>
      <c r="N2162" s="7">
        <v>1</v>
      </c>
      <c r="O2162" s="7">
        <v>1.42</v>
      </c>
    </row>
    <row r="2163" spans="1:15" x14ac:dyDescent="0.25">
      <c r="A2163" s="6" t="s">
        <v>22</v>
      </c>
      <c r="B2163" s="6" t="s">
        <v>522</v>
      </c>
      <c r="C2163" s="7">
        <v>32855</v>
      </c>
      <c r="D2163" s="6" t="s">
        <v>297</v>
      </c>
      <c r="E2163" s="6" t="s">
        <v>298</v>
      </c>
      <c r="F2163" s="6" t="s">
        <v>523</v>
      </c>
      <c r="G2163" s="6" t="s">
        <v>32</v>
      </c>
      <c r="H2163" s="6" t="s">
        <v>765</v>
      </c>
      <c r="I2163" s="6" t="s">
        <v>767</v>
      </c>
      <c r="J2163" s="6" t="s">
        <v>767</v>
      </c>
      <c r="K2163" s="7">
        <v>7952724</v>
      </c>
      <c r="L2163" s="7">
        <v>371409</v>
      </c>
      <c r="M2163" s="7">
        <v>19</v>
      </c>
      <c r="N2163" s="7">
        <v>1</v>
      </c>
      <c r="O2163" s="7">
        <v>1.1000000000000001</v>
      </c>
    </row>
    <row r="2164" spans="1:15" x14ac:dyDescent="0.25">
      <c r="A2164" s="6" t="s">
        <v>22</v>
      </c>
      <c r="B2164" s="6" t="s">
        <v>522</v>
      </c>
      <c r="C2164" s="7">
        <v>32856</v>
      </c>
      <c r="D2164" s="6" t="s">
        <v>297</v>
      </c>
      <c r="E2164" s="6" t="s">
        <v>298</v>
      </c>
      <c r="F2164" s="6" t="s">
        <v>523</v>
      </c>
      <c r="G2164" s="6" t="s">
        <v>32</v>
      </c>
      <c r="H2164" s="6" t="s">
        <v>765</v>
      </c>
      <c r="I2164" s="6" t="s">
        <v>767</v>
      </c>
      <c r="J2164" s="6" t="s">
        <v>767</v>
      </c>
      <c r="K2164" s="7">
        <v>7952813</v>
      </c>
      <c r="L2164" s="7">
        <v>371217</v>
      </c>
      <c r="M2164" s="7">
        <v>19</v>
      </c>
      <c r="N2164" s="7">
        <v>1</v>
      </c>
      <c r="O2164" s="7">
        <v>0.7</v>
      </c>
    </row>
    <row r="2165" spans="1:15" x14ac:dyDescent="0.25">
      <c r="A2165" s="6" t="s">
        <v>22</v>
      </c>
      <c r="B2165" s="6" t="s">
        <v>522</v>
      </c>
      <c r="C2165" s="7">
        <v>32858</v>
      </c>
      <c r="D2165" s="6" t="s">
        <v>297</v>
      </c>
      <c r="E2165" s="6" t="s">
        <v>298</v>
      </c>
      <c r="F2165" s="6" t="s">
        <v>523</v>
      </c>
      <c r="G2165" s="6" t="s">
        <v>32</v>
      </c>
      <c r="H2165" s="6" t="s">
        <v>765</v>
      </c>
      <c r="I2165" s="6" t="s">
        <v>767</v>
      </c>
      <c r="J2165" s="6" t="s">
        <v>767</v>
      </c>
      <c r="K2165" s="7">
        <v>7949895</v>
      </c>
      <c r="L2165" s="7">
        <v>378364</v>
      </c>
      <c r="M2165" s="7">
        <v>19</v>
      </c>
      <c r="N2165" s="7">
        <v>1</v>
      </c>
      <c r="O2165" s="7">
        <v>1.47</v>
      </c>
    </row>
    <row r="2166" spans="1:15" x14ac:dyDescent="0.25">
      <c r="A2166" s="6" t="s">
        <v>22</v>
      </c>
      <c r="B2166" s="6" t="s">
        <v>522</v>
      </c>
      <c r="C2166" s="7">
        <v>32859</v>
      </c>
      <c r="D2166" s="6" t="s">
        <v>297</v>
      </c>
      <c r="E2166" s="6" t="s">
        <v>298</v>
      </c>
      <c r="F2166" s="6" t="s">
        <v>523</v>
      </c>
      <c r="G2166" s="6" t="s">
        <v>32</v>
      </c>
      <c r="H2166" s="6" t="s">
        <v>765</v>
      </c>
      <c r="I2166" s="6" t="s">
        <v>767</v>
      </c>
      <c r="J2166" s="6" t="s">
        <v>767</v>
      </c>
      <c r="K2166" s="7">
        <v>7950096</v>
      </c>
      <c r="L2166" s="7">
        <v>378458</v>
      </c>
      <c r="M2166" s="7">
        <v>19</v>
      </c>
      <c r="N2166" s="7">
        <v>1</v>
      </c>
      <c r="O2166" s="7">
        <v>2.4900000000000002</v>
      </c>
    </row>
    <row r="2167" spans="1:15" x14ac:dyDescent="0.25">
      <c r="A2167" s="6" t="s">
        <v>22</v>
      </c>
      <c r="B2167" s="6" t="s">
        <v>522</v>
      </c>
      <c r="C2167" s="7">
        <v>32860</v>
      </c>
      <c r="D2167" s="6" t="s">
        <v>297</v>
      </c>
      <c r="E2167" s="6" t="s">
        <v>298</v>
      </c>
      <c r="F2167" s="6" t="s">
        <v>523</v>
      </c>
      <c r="G2167" s="6" t="s">
        <v>32</v>
      </c>
      <c r="H2167" s="6" t="s">
        <v>765</v>
      </c>
      <c r="I2167" s="6" t="s">
        <v>767</v>
      </c>
      <c r="J2167" s="6" t="s">
        <v>767</v>
      </c>
      <c r="K2167" s="7">
        <v>7949772</v>
      </c>
      <c r="L2167" s="7">
        <v>378262</v>
      </c>
      <c r="M2167" s="7">
        <v>19</v>
      </c>
      <c r="N2167" s="7">
        <v>1</v>
      </c>
      <c r="O2167" s="7">
        <v>2</v>
      </c>
    </row>
    <row r="2168" spans="1:15" x14ac:dyDescent="0.25">
      <c r="A2168" s="6" t="s">
        <v>22</v>
      </c>
      <c r="B2168" s="6" t="s">
        <v>522</v>
      </c>
      <c r="C2168" s="7">
        <v>32861</v>
      </c>
      <c r="D2168" s="6" t="s">
        <v>297</v>
      </c>
      <c r="E2168" s="6" t="s">
        <v>298</v>
      </c>
      <c r="F2168" s="6" t="s">
        <v>523</v>
      </c>
      <c r="G2168" s="6" t="s">
        <v>32</v>
      </c>
      <c r="H2168" s="6" t="s">
        <v>765</v>
      </c>
      <c r="I2168" s="6" t="s">
        <v>767</v>
      </c>
      <c r="J2168" s="6" t="s">
        <v>767</v>
      </c>
      <c r="K2168" s="7">
        <v>7952817</v>
      </c>
      <c r="L2168" s="7">
        <v>371056</v>
      </c>
      <c r="M2168" s="7">
        <v>19</v>
      </c>
      <c r="N2168" s="7">
        <v>1</v>
      </c>
      <c r="O2168" s="7">
        <v>1.82</v>
      </c>
    </row>
    <row r="2169" spans="1:15" x14ac:dyDescent="0.25">
      <c r="A2169" s="6" t="s">
        <v>22</v>
      </c>
      <c r="B2169" s="6" t="s">
        <v>522</v>
      </c>
      <c r="C2169" s="7">
        <v>32862</v>
      </c>
      <c r="D2169" s="6" t="s">
        <v>297</v>
      </c>
      <c r="E2169" s="6" t="s">
        <v>298</v>
      </c>
      <c r="F2169" s="6" t="s">
        <v>523</v>
      </c>
      <c r="G2169" s="6" t="s">
        <v>32</v>
      </c>
      <c r="H2169" s="6" t="s">
        <v>765</v>
      </c>
      <c r="I2169" s="6" t="s">
        <v>767</v>
      </c>
      <c r="J2169" s="6" t="s">
        <v>767</v>
      </c>
      <c r="K2169" s="7">
        <v>7952748</v>
      </c>
      <c r="L2169" s="7">
        <v>371163</v>
      </c>
      <c r="M2169" s="7">
        <v>19</v>
      </c>
      <c r="N2169" s="7">
        <v>1</v>
      </c>
      <c r="O2169" s="7">
        <v>0.67</v>
      </c>
    </row>
    <row r="2170" spans="1:15" x14ac:dyDescent="0.25">
      <c r="A2170" s="6" t="s">
        <v>22</v>
      </c>
      <c r="B2170" s="6" t="s">
        <v>522</v>
      </c>
      <c r="C2170" s="7">
        <v>32863</v>
      </c>
      <c r="D2170" s="6" t="s">
        <v>297</v>
      </c>
      <c r="E2170" s="6" t="s">
        <v>298</v>
      </c>
      <c r="F2170" s="6" t="s">
        <v>523</v>
      </c>
      <c r="G2170" s="6" t="s">
        <v>32</v>
      </c>
      <c r="H2170" s="6" t="s">
        <v>765</v>
      </c>
      <c r="I2170" s="6" t="s">
        <v>767</v>
      </c>
      <c r="J2170" s="6" t="s">
        <v>767</v>
      </c>
      <c r="K2170" s="7">
        <v>7949895</v>
      </c>
      <c r="L2170" s="7">
        <v>378364</v>
      </c>
      <c r="M2170" s="7">
        <v>19</v>
      </c>
      <c r="N2170" s="7">
        <v>1</v>
      </c>
      <c r="O2170" s="7">
        <v>0.51</v>
      </c>
    </row>
    <row r="2171" spans="1:15" x14ac:dyDescent="0.25">
      <c r="A2171" s="6" t="s">
        <v>28</v>
      </c>
      <c r="B2171" s="6" t="s">
        <v>522</v>
      </c>
      <c r="C2171" s="7">
        <v>32880</v>
      </c>
      <c r="D2171" s="6" t="s">
        <v>24</v>
      </c>
      <c r="E2171" s="6" t="s">
        <v>62</v>
      </c>
      <c r="F2171" s="6" t="s">
        <v>361</v>
      </c>
      <c r="G2171" s="6" t="s">
        <v>32</v>
      </c>
      <c r="H2171" s="6" t="s">
        <v>33</v>
      </c>
      <c r="I2171" s="6" t="s">
        <v>767</v>
      </c>
      <c r="J2171" s="6" t="s">
        <v>764</v>
      </c>
      <c r="K2171" s="7">
        <v>6278009</v>
      </c>
      <c r="L2171" s="7">
        <v>320899</v>
      </c>
      <c r="M2171" s="7">
        <v>19</v>
      </c>
      <c r="N2171" s="7">
        <v>1</v>
      </c>
      <c r="O2171" s="7">
        <v>1.1000000000000001</v>
      </c>
    </row>
    <row r="2172" spans="1:15" x14ac:dyDescent="0.25">
      <c r="A2172" s="6" t="s">
        <v>22</v>
      </c>
      <c r="B2172" s="6" t="s">
        <v>522</v>
      </c>
      <c r="C2172" s="7">
        <v>32888</v>
      </c>
      <c r="D2172" s="6" t="s">
        <v>24</v>
      </c>
      <c r="E2172" s="6" t="s">
        <v>25</v>
      </c>
      <c r="F2172" s="6" t="s">
        <v>445</v>
      </c>
      <c r="G2172" s="6" t="s">
        <v>89</v>
      </c>
      <c r="H2172" s="6" t="s">
        <v>765</v>
      </c>
      <c r="I2172" s="6" t="s">
        <v>767</v>
      </c>
      <c r="J2172" s="6" t="s">
        <v>767</v>
      </c>
      <c r="K2172" s="7">
        <v>6258832</v>
      </c>
      <c r="L2172" s="7">
        <v>332063</v>
      </c>
      <c r="M2172" s="7">
        <v>19</v>
      </c>
      <c r="N2172" s="7">
        <v>1</v>
      </c>
      <c r="O2172" s="7">
        <v>0.22</v>
      </c>
    </row>
    <row r="2173" spans="1:15" x14ac:dyDescent="0.25">
      <c r="A2173" s="6" t="s">
        <v>22</v>
      </c>
      <c r="B2173" s="6" t="s">
        <v>522</v>
      </c>
      <c r="C2173" s="7">
        <v>32890</v>
      </c>
      <c r="D2173" s="6" t="s">
        <v>24</v>
      </c>
      <c r="E2173" s="6" t="s">
        <v>96</v>
      </c>
      <c r="F2173" s="6" t="s">
        <v>96</v>
      </c>
      <c r="G2173" s="6" t="s">
        <v>32</v>
      </c>
      <c r="H2173" s="6" t="s">
        <v>765</v>
      </c>
      <c r="I2173" s="6" t="s">
        <v>767</v>
      </c>
      <c r="J2173" s="6" t="s">
        <v>767</v>
      </c>
      <c r="K2173" s="7">
        <v>6256144</v>
      </c>
      <c r="L2173" s="7">
        <v>338718</v>
      </c>
      <c r="M2173" s="7">
        <v>19</v>
      </c>
      <c r="N2173" s="7">
        <v>1</v>
      </c>
      <c r="O2173" s="7">
        <v>0.1</v>
      </c>
    </row>
    <row r="2174" spans="1:15" x14ac:dyDescent="0.25">
      <c r="A2174" s="6" t="s">
        <v>22</v>
      </c>
      <c r="B2174" s="6" t="s">
        <v>522</v>
      </c>
      <c r="C2174" s="7">
        <v>32892</v>
      </c>
      <c r="D2174" s="6" t="s">
        <v>297</v>
      </c>
      <c r="E2174" s="6" t="s">
        <v>298</v>
      </c>
      <c r="F2174" s="6" t="s">
        <v>413</v>
      </c>
      <c r="G2174" s="6" t="s">
        <v>32</v>
      </c>
      <c r="H2174" s="6" t="s">
        <v>765</v>
      </c>
      <c r="I2174" s="6" t="s">
        <v>767</v>
      </c>
      <c r="J2174" s="6" t="s">
        <v>767</v>
      </c>
      <c r="K2174" s="7">
        <v>7919701</v>
      </c>
      <c r="L2174" s="7">
        <v>378153</v>
      </c>
      <c r="M2174" s="7">
        <v>19</v>
      </c>
      <c r="N2174" s="7">
        <v>1</v>
      </c>
      <c r="O2174" s="7">
        <v>0.2</v>
      </c>
    </row>
    <row r="2175" spans="1:15" x14ac:dyDescent="0.25">
      <c r="A2175" s="6" t="s">
        <v>22</v>
      </c>
      <c r="B2175" s="6" t="s">
        <v>522</v>
      </c>
      <c r="C2175" s="7">
        <v>32911</v>
      </c>
      <c r="D2175" s="6" t="s">
        <v>16</v>
      </c>
      <c r="E2175" s="6" t="s">
        <v>295</v>
      </c>
      <c r="F2175" s="6" t="s">
        <v>536</v>
      </c>
      <c r="G2175" s="6" t="s">
        <v>32</v>
      </c>
      <c r="H2175" s="6" t="s">
        <v>765</v>
      </c>
      <c r="I2175" s="6" t="s">
        <v>767</v>
      </c>
      <c r="J2175" s="6" t="s">
        <v>767</v>
      </c>
      <c r="K2175" s="7">
        <v>6362581</v>
      </c>
      <c r="L2175" s="7">
        <v>350685</v>
      </c>
      <c r="M2175" s="7">
        <v>19</v>
      </c>
      <c r="N2175" s="7">
        <v>1</v>
      </c>
      <c r="O2175" s="7">
        <v>1.95</v>
      </c>
    </row>
    <row r="2176" spans="1:15" x14ac:dyDescent="0.25">
      <c r="A2176" s="6" t="s">
        <v>22</v>
      </c>
      <c r="B2176" s="6" t="s">
        <v>522</v>
      </c>
      <c r="C2176" s="7">
        <v>32913</v>
      </c>
      <c r="D2176" s="6" t="s">
        <v>16</v>
      </c>
      <c r="E2176" s="6" t="s">
        <v>295</v>
      </c>
      <c r="F2176" s="6" t="s">
        <v>536</v>
      </c>
      <c r="G2176" s="6" t="s">
        <v>32</v>
      </c>
      <c r="H2176" s="6" t="s">
        <v>765</v>
      </c>
      <c r="I2176" s="6" t="s">
        <v>767</v>
      </c>
      <c r="J2176" s="6" t="s">
        <v>767</v>
      </c>
      <c r="K2176" s="7">
        <v>6362749</v>
      </c>
      <c r="L2176" s="7">
        <v>351085</v>
      </c>
      <c r="M2176" s="7">
        <v>19</v>
      </c>
      <c r="N2176" s="7">
        <v>1</v>
      </c>
      <c r="O2176" s="7">
        <v>1.5</v>
      </c>
    </row>
    <row r="2177" spans="1:15" x14ac:dyDescent="0.25">
      <c r="A2177" s="6" t="s">
        <v>22</v>
      </c>
      <c r="B2177" s="6" t="s">
        <v>522</v>
      </c>
      <c r="C2177" s="7">
        <v>32915</v>
      </c>
      <c r="D2177" s="6" t="s">
        <v>16</v>
      </c>
      <c r="E2177" s="6" t="s">
        <v>295</v>
      </c>
      <c r="F2177" s="6" t="s">
        <v>536</v>
      </c>
      <c r="G2177" s="6" t="s">
        <v>32</v>
      </c>
      <c r="H2177" s="6" t="s">
        <v>765</v>
      </c>
      <c r="I2177" s="6" t="s">
        <v>767</v>
      </c>
      <c r="J2177" s="6" t="s">
        <v>767</v>
      </c>
      <c r="K2177" s="7">
        <v>6362903</v>
      </c>
      <c r="L2177" s="7">
        <v>350989</v>
      </c>
      <c r="M2177" s="7">
        <v>19</v>
      </c>
      <c r="N2177" s="7">
        <v>1</v>
      </c>
      <c r="O2177" s="7">
        <v>1.2</v>
      </c>
    </row>
    <row r="2178" spans="1:15" x14ac:dyDescent="0.25">
      <c r="A2178" s="6" t="s">
        <v>28</v>
      </c>
      <c r="B2178" s="6" t="s">
        <v>522</v>
      </c>
      <c r="C2178" s="7">
        <v>32926</v>
      </c>
      <c r="D2178" s="6" t="s">
        <v>24</v>
      </c>
      <c r="E2178" s="6" t="s">
        <v>463</v>
      </c>
      <c r="F2178" s="6" t="s">
        <v>606</v>
      </c>
      <c r="G2178" s="6" t="s">
        <v>32</v>
      </c>
      <c r="H2178" s="6" t="s">
        <v>153</v>
      </c>
      <c r="I2178" s="6" t="s">
        <v>767</v>
      </c>
      <c r="J2178" s="6" t="s">
        <v>764</v>
      </c>
      <c r="K2178" s="7">
        <v>6280838</v>
      </c>
      <c r="L2178" s="7">
        <v>346353</v>
      </c>
      <c r="M2178" s="7">
        <v>19</v>
      </c>
      <c r="N2178" s="7">
        <v>1</v>
      </c>
      <c r="O2178" s="7">
        <v>4.79</v>
      </c>
    </row>
    <row r="2179" spans="1:15" x14ac:dyDescent="0.25">
      <c r="A2179" s="6" t="s">
        <v>28</v>
      </c>
      <c r="B2179" s="6" t="s">
        <v>522</v>
      </c>
      <c r="C2179" s="7">
        <v>32927</v>
      </c>
      <c r="D2179" s="6" t="s">
        <v>24</v>
      </c>
      <c r="E2179" s="6" t="s">
        <v>25</v>
      </c>
      <c r="F2179" s="6" t="s">
        <v>425</v>
      </c>
      <c r="G2179" s="6" t="s">
        <v>32</v>
      </c>
      <c r="H2179" s="6" t="s">
        <v>19</v>
      </c>
      <c r="I2179" s="6" t="s">
        <v>767</v>
      </c>
      <c r="J2179" s="6" t="s">
        <v>767</v>
      </c>
      <c r="K2179" s="7">
        <v>6277495</v>
      </c>
      <c r="L2179" s="7">
        <v>346776</v>
      </c>
      <c r="M2179" s="7">
        <v>19</v>
      </c>
      <c r="N2179" s="7">
        <v>1</v>
      </c>
      <c r="O2179" s="7">
        <v>0.99</v>
      </c>
    </row>
    <row r="2180" spans="1:15" x14ac:dyDescent="0.25">
      <c r="A2180" s="6" t="s">
        <v>22</v>
      </c>
      <c r="B2180" s="6" t="s">
        <v>522</v>
      </c>
      <c r="C2180" s="7">
        <v>32928</v>
      </c>
      <c r="D2180" s="6" t="s">
        <v>16</v>
      </c>
      <c r="E2180" s="6" t="s">
        <v>295</v>
      </c>
      <c r="F2180" s="6" t="s">
        <v>536</v>
      </c>
      <c r="G2180" s="6" t="s">
        <v>32</v>
      </c>
      <c r="H2180" s="6" t="s">
        <v>765</v>
      </c>
      <c r="I2180" s="6" t="s">
        <v>767</v>
      </c>
      <c r="J2180" s="6" t="s">
        <v>767</v>
      </c>
      <c r="K2180" s="7">
        <v>6362852</v>
      </c>
      <c r="L2180" s="7">
        <v>350928</v>
      </c>
      <c r="M2180" s="7">
        <v>19</v>
      </c>
      <c r="N2180" s="7">
        <v>1</v>
      </c>
      <c r="O2180" s="7">
        <v>0.71</v>
      </c>
    </row>
    <row r="2181" spans="1:15" x14ac:dyDescent="0.25">
      <c r="A2181" s="6" t="s">
        <v>22</v>
      </c>
      <c r="B2181" s="6" t="s">
        <v>522</v>
      </c>
      <c r="C2181" s="7">
        <v>32931</v>
      </c>
      <c r="D2181" s="6" t="s">
        <v>16</v>
      </c>
      <c r="E2181" s="6" t="s">
        <v>295</v>
      </c>
      <c r="F2181" s="6" t="s">
        <v>536</v>
      </c>
      <c r="G2181" s="6" t="s">
        <v>32</v>
      </c>
      <c r="H2181" s="6" t="s">
        <v>765</v>
      </c>
      <c r="I2181" s="6" t="s">
        <v>767</v>
      </c>
      <c r="J2181" s="6" t="s">
        <v>767</v>
      </c>
      <c r="K2181" s="7">
        <v>6362855</v>
      </c>
      <c r="L2181" s="7">
        <v>350590</v>
      </c>
      <c r="M2181" s="7">
        <v>19</v>
      </c>
      <c r="N2181" s="7">
        <v>1</v>
      </c>
      <c r="O2181" s="7">
        <v>2.31</v>
      </c>
    </row>
    <row r="2182" spans="1:15" x14ac:dyDescent="0.25">
      <c r="A2182" s="6" t="s">
        <v>22</v>
      </c>
      <c r="B2182" s="6" t="s">
        <v>522</v>
      </c>
      <c r="C2182" s="7">
        <v>32932</v>
      </c>
      <c r="D2182" s="6" t="s">
        <v>16</v>
      </c>
      <c r="E2182" s="6" t="s">
        <v>295</v>
      </c>
      <c r="F2182" s="6" t="s">
        <v>607</v>
      </c>
      <c r="G2182" s="6" t="s">
        <v>32</v>
      </c>
      <c r="H2182" s="6" t="s">
        <v>765</v>
      </c>
      <c r="I2182" s="6" t="s">
        <v>767</v>
      </c>
      <c r="J2182" s="6" t="s">
        <v>767</v>
      </c>
      <c r="K2182" s="7">
        <v>6366470</v>
      </c>
      <c r="L2182" s="7">
        <v>353965</v>
      </c>
      <c r="M2182" s="7">
        <v>19</v>
      </c>
      <c r="N2182" s="7">
        <v>1</v>
      </c>
      <c r="O2182" s="7">
        <v>0.63</v>
      </c>
    </row>
    <row r="2183" spans="1:15" x14ac:dyDescent="0.25">
      <c r="A2183" s="6" t="s">
        <v>22</v>
      </c>
      <c r="B2183" s="6" t="s">
        <v>522</v>
      </c>
      <c r="C2183" s="7">
        <v>32938</v>
      </c>
      <c r="D2183" s="6" t="s">
        <v>16</v>
      </c>
      <c r="E2183" s="6" t="s">
        <v>295</v>
      </c>
      <c r="F2183" s="6" t="s">
        <v>607</v>
      </c>
      <c r="G2183" s="6" t="s">
        <v>32</v>
      </c>
      <c r="H2183" s="6" t="s">
        <v>765</v>
      </c>
      <c r="I2183" s="6" t="s">
        <v>767</v>
      </c>
      <c r="J2183" s="6" t="s">
        <v>767</v>
      </c>
      <c r="K2183" s="7">
        <v>6366447</v>
      </c>
      <c r="L2183" s="7">
        <v>353588</v>
      </c>
      <c r="M2183" s="7">
        <v>19</v>
      </c>
      <c r="N2183" s="7">
        <v>1</v>
      </c>
      <c r="O2183" s="7">
        <v>0.75</v>
      </c>
    </row>
    <row r="2184" spans="1:15" x14ac:dyDescent="0.25">
      <c r="A2184" s="6" t="s">
        <v>22</v>
      </c>
      <c r="B2184" s="6" t="s">
        <v>522</v>
      </c>
      <c r="C2184" s="7">
        <v>32941</v>
      </c>
      <c r="D2184" s="6" t="s">
        <v>16</v>
      </c>
      <c r="E2184" s="6" t="s">
        <v>295</v>
      </c>
      <c r="F2184" s="6" t="s">
        <v>536</v>
      </c>
      <c r="G2184" s="6" t="s">
        <v>32</v>
      </c>
      <c r="H2184" s="6" t="s">
        <v>765</v>
      </c>
      <c r="I2184" s="6" t="s">
        <v>767</v>
      </c>
      <c r="J2184" s="6" t="s">
        <v>767</v>
      </c>
      <c r="K2184" s="7">
        <v>6362623</v>
      </c>
      <c r="L2184" s="7">
        <v>350942</v>
      </c>
      <c r="M2184" s="7">
        <v>19</v>
      </c>
      <c r="N2184" s="7">
        <v>1</v>
      </c>
      <c r="O2184" s="7">
        <v>1.19</v>
      </c>
    </row>
    <row r="2185" spans="1:15" x14ac:dyDescent="0.25">
      <c r="A2185" s="6" t="s">
        <v>28</v>
      </c>
      <c r="B2185" s="6" t="s">
        <v>522</v>
      </c>
      <c r="C2185" s="7">
        <v>32942</v>
      </c>
      <c r="D2185" s="6" t="s">
        <v>24</v>
      </c>
      <c r="E2185" s="6" t="s">
        <v>427</v>
      </c>
      <c r="F2185" s="6" t="s">
        <v>443</v>
      </c>
      <c r="G2185" s="6" t="s">
        <v>32</v>
      </c>
      <c r="H2185" s="6" t="s">
        <v>19</v>
      </c>
      <c r="I2185" s="6" t="s">
        <v>767</v>
      </c>
      <c r="J2185" s="6" t="s">
        <v>767</v>
      </c>
      <c r="K2185" s="7">
        <v>6266619</v>
      </c>
      <c r="L2185" s="7">
        <v>324067</v>
      </c>
      <c r="M2185" s="7">
        <v>19</v>
      </c>
      <c r="N2185" s="7">
        <v>1</v>
      </c>
      <c r="O2185" s="7">
        <v>6.1</v>
      </c>
    </row>
    <row r="2186" spans="1:15" x14ac:dyDescent="0.25">
      <c r="A2186" s="6" t="s">
        <v>28</v>
      </c>
      <c r="B2186" s="6" t="s">
        <v>522</v>
      </c>
      <c r="C2186" s="7">
        <v>32943</v>
      </c>
      <c r="D2186" s="6" t="s">
        <v>24</v>
      </c>
      <c r="E2186" s="6" t="s">
        <v>37</v>
      </c>
      <c r="F2186" s="6" t="s">
        <v>152</v>
      </c>
      <c r="G2186" s="6" t="s">
        <v>32</v>
      </c>
      <c r="H2186" s="6" t="s">
        <v>153</v>
      </c>
      <c r="I2186" s="6" t="s">
        <v>767</v>
      </c>
      <c r="J2186" s="6" t="s">
        <v>764</v>
      </c>
      <c r="K2186" s="7">
        <v>6268336</v>
      </c>
      <c r="L2186" s="7">
        <v>317653</v>
      </c>
      <c r="M2186" s="7">
        <v>19</v>
      </c>
      <c r="N2186" s="7">
        <v>1</v>
      </c>
      <c r="O2186" s="7">
        <v>6.1</v>
      </c>
    </row>
    <row r="2187" spans="1:15" x14ac:dyDescent="0.25">
      <c r="A2187" s="6" t="s">
        <v>28</v>
      </c>
      <c r="B2187" s="6" t="s">
        <v>522</v>
      </c>
      <c r="C2187" s="7">
        <v>32944</v>
      </c>
      <c r="D2187" s="6" t="s">
        <v>24</v>
      </c>
      <c r="E2187" s="6" t="s">
        <v>436</v>
      </c>
      <c r="F2187" s="6" t="s">
        <v>608</v>
      </c>
      <c r="G2187" s="6" t="s">
        <v>32</v>
      </c>
      <c r="H2187" s="6" t="s">
        <v>153</v>
      </c>
      <c r="I2187" s="6" t="s">
        <v>767</v>
      </c>
      <c r="J2187" s="6" t="s">
        <v>764</v>
      </c>
      <c r="K2187" s="7">
        <v>6279046</v>
      </c>
      <c r="L2187" s="7">
        <v>334906</v>
      </c>
      <c r="M2187" s="7">
        <v>19</v>
      </c>
      <c r="N2187" s="7">
        <v>1</v>
      </c>
      <c r="O2187" s="7">
        <v>3.6</v>
      </c>
    </row>
    <row r="2188" spans="1:15" x14ac:dyDescent="0.25">
      <c r="A2188" s="6" t="s">
        <v>28</v>
      </c>
      <c r="B2188" s="6" t="s">
        <v>522</v>
      </c>
      <c r="C2188" s="7">
        <v>32945</v>
      </c>
      <c r="D2188" s="6" t="s">
        <v>24</v>
      </c>
      <c r="E2188" s="6" t="s">
        <v>427</v>
      </c>
      <c r="F2188" s="6" t="s">
        <v>443</v>
      </c>
      <c r="G2188" s="6" t="s">
        <v>32</v>
      </c>
      <c r="H2188" s="6" t="s">
        <v>19</v>
      </c>
      <c r="I2188" s="6" t="s">
        <v>767</v>
      </c>
      <c r="J2188" s="6" t="s">
        <v>767</v>
      </c>
      <c r="K2188" s="7">
        <v>6267087</v>
      </c>
      <c r="L2188" s="7">
        <v>325058</v>
      </c>
      <c r="M2188" s="7">
        <v>19</v>
      </c>
      <c r="N2188" s="7">
        <v>1</v>
      </c>
      <c r="O2188" s="7">
        <v>1</v>
      </c>
    </row>
    <row r="2189" spans="1:15" x14ac:dyDescent="0.25">
      <c r="A2189" s="6" t="s">
        <v>28</v>
      </c>
      <c r="B2189" s="6" t="s">
        <v>522</v>
      </c>
      <c r="C2189" s="7">
        <v>32946</v>
      </c>
      <c r="D2189" s="6" t="s">
        <v>24</v>
      </c>
      <c r="E2189" s="6" t="s">
        <v>25</v>
      </c>
      <c r="F2189" s="6" t="s">
        <v>556</v>
      </c>
      <c r="G2189" s="6" t="s">
        <v>32</v>
      </c>
      <c r="H2189" s="6" t="s">
        <v>19</v>
      </c>
      <c r="I2189" s="6" t="s">
        <v>767</v>
      </c>
      <c r="J2189" s="6" t="s">
        <v>767</v>
      </c>
      <c r="K2189" s="7">
        <v>6260745</v>
      </c>
      <c r="L2189" s="7">
        <v>330051</v>
      </c>
      <c r="M2189" s="7">
        <v>19</v>
      </c>
      <c r="N2189" s="7">
        <v>1</v>
      </c>
      <c r="O2189" s="7">
        <v>0.42</v>
      </c>
    </row>
    <row r="2190" spans="1:15" x14ac:dyDescent="0.25">
      <c r="A2190" s="6" t="s">
        <v>14</v>
      </c>
      <c r="B2190" s="6" t="s">
        <v>522</v>
      </c>
      <c r="C2190" s="7">
        <v>32947</v>
      </c>
      <c r="D2190" s="6" t="s">
        <v>24</v>
      </c>
      <c r="E2190" s="6" t="s">
        <v>56</v>
      </c>
      <c r="F2190" s="6" t="s">
        <v>547</v>
      </c>
      <c r="G2190" s="6" t="s">
        <v>32</v>
      </c>
      <c r="H2190" s="6" t="s">
        <v>33</v>
      </c>
      <c r="I2190" s="6" t="s">
        <v>767</v>
      </c>
      <c r="J2190" s="6" t="s">
        <v>767</v>
      </c>
      <c r="K2190" s="7">
        <v>6275268</v>
      </c>
      <c r="L2190" s="7">
        <v>339843</v>
      </c>
      <c r="M2190" s="7">
        <v>19</v>
      </c>
      <c r="N2190" s="7">
        <v>1</v>
      </c>
      <c r="O2190" s="7">
        <v>0.33</v>
      </c>
    </row>
    <row r="2191" spans="1:15" x14ac:dyDescent="0.25">
      <c r="A2191" s="6" t="s">
        <v>14</v>
      </c>
      <c r="B2191" s="6" t="s">
        <v>522</v>
      </c>
      <c r="C2191" s="7">
        <v>32948</v>
      </c>
      <c r="D2191" s="6" t="s">
        <v>24</v>
      </c>
      <c r="E2191" s="6" t="s">
        <v>56</v>
      </c>
      <c r="F2191" s="6" t="s">
        <v>547</v>
      </c>
      <c r="G2191" s="6" t="s">
        <v>32</v>
      </c>
      <c r="H2191" s="6" t="s">
        <v>33</v>
      </c>
      <c r="I2191" s="6" t="s">
        <v>767</v>
      </c>
      <c r="J2191" s="6" t="s">
        <v>767</v>
      </c>
      <c r="K2191" s="7">
        <v>6275268</v>
      </c>
      <c r="L2191" s="7">
        <v>339843</v>
      </c>
      <c r="M2191" s="7">
        <v>19</v>
      </c>
      <c r="N2191" s="7">
        <v>1</v>
      </c>
      <c r="O2191" s="7">
        <v>0.36</v>
      </c>
    </row>
    <row r="2192" spans="1:15" x14ac:dyDescent="0.25">
      <c r="A2192" s="6" t="s">
        <v>14</v>
      </c>
      <c r="B2192" s="6" t="s">
        <v>522</v>
      </c>
      <c r="C2192" s="7">
        <v>32950</v>
      </c>
      <c r="D2192" s="6" t="s">
        <v>24</v>
      </c>
      <c r="E2192" s="6" t="s">
        <v>56</v>
      </c>
      <c r="F2192" s="6" t="s">
        <v>547</v>
      </c>
      <c r="G2192" s="6" t="s">
        <v>32</v>
      </c>
      <c r="H2192" s="6" t="s">
        <v>33</v>
      </c>
      <c r="I2192" s="6" t="s">
        <v>767</v>
      </c>
      <c r="J2192" s="6" t="s">
        <v>767</v>
      </c>
      <c r="K2192" s="7">
        <v>6275268</v>
      </c>
      <c r="L2192" s="7">
        <v>339843</v>
      </c>
      <c r="M2192" s="7">
        <v>19</v>
      </c>
      <c r="N2192" s="7">
        <v>1</v>
      </c>
      <c r="O2192" s="7">
        <v>0.33</v>
      </c>
    </row>
    <row r="2193" spans="1:15" x14ac:dyDescent="0.25">
      <c r="A2193" s="6" t="s">
        <v>14</v>
      </c>
      <c r="B2193" s="6" t="s">
        <v>522</v>
      </c>
      <c r="C2193" s="7">
        <v>32951</v>
      </c>
      <c r="D2193" s="6" t="s">
        <v>24</v>
      </c>
      <c r="E2193" s="6" t="s">
        <v>25</v>
      </c>
      <c r="F2193" s="6" t="s">
        <v>556</v>
      </c>
      <c r="G2193" s="6" t="s">
        <v>32</v>
      </c>
      <c r="H2193" s="6" t="s">
        <v>33</v>
      </c>
      <c r="I2193" s="6" t="s">
        <v>767</v>
      </c>
      <c r="J2193" s="6" t="s">
        <v>767</v>
      </c>
      <c r="K2193" s="7">
        <v>6262216</v>
      </c>
      <c r="L2193" s="7">
        <v>330981</v>
      </c>
      <c r="M2193" s="7">
        <v>19</v>
      </c>
      <c r="N2193" s="7">
        <v>1</v>
      </c>
      <c r="O2193" s="7">
        <v>0.39</v>
      </c>
    </row>
    <row r="2194" spans="1:15" x14ac:dyDescent="0.25">
      <c r="A2194" s="6" t="s">
        <v>22</v>
      </c>
      <c r="B2194" s="6" t="s">
        <v>522</v>
      </c>
      <c r="C2194" s="7">
        <v>32952</v>
      </c>
      <c r="D2194" s="6" t="s">
        <v>16</v>
      </c>
      <c r="E2194" s="6" t="s">
        <v>295</v>
      </c>
      <c r="F2194" s="6" t="s">
        <v>607</v>
      </c>
      <c r="G2194" s="6" t="s">
        <v>32</v>
      </c>
      <c r="H2194" s="6" t="s">
        <v>765</v>
      </c>
      <c r="I2194" s="6" t="s">
        <v>767</v>
      </c>
      <c r="J2194" s="6" t="s">
        <v>767</v>
      </c>
      <c r="K2194" s="7">
        <v>6366607</v>
      </c>
      <c r="L2194" s="7">
        <v>353952</v>
      </c>
      <c r="M2194" s="7">
        <v>19</v>
      </c>
      <c r="N2194" s="7">
        <v>1</v>
      </c>
      <c r="O2194" s="7">
        <v>1.92</v>
      </c>
    </row>
    <row r="2195" spans="1:15" x14ac:dyDescent="0.25">
      <c r="A2195" s="6" t="s">
        <v>22</v>
      </c>
      <c r="B2195" s="6" t="s">
        <v>522</v>
      </c>
      <c r="C2195" s="7">
        <v>32953</v>
      </c>
      <c r="D2195" s="6" t="s">
        <v>24</v>
      </c>
      <c r="E2195" s="6" t="s">
        <v>25</v>
      </c>
      <c r="F2195" s="6" t="s">
        <v>445</v>
      </c>
      <c r="G2195" s="6" t="s">
        <v>32</v>
      </c>
      <c r="H2195" s="6" t="s">
        <v>765</v>
      </c>
      <c r="I2195" s="6" t="s">
        <v>767</v>
      </c>
      <c r="J2195" s="6" t="s">
        <v>767</v>
      </c>
      <c r="K2195" s="7">
        <v>6259350</v>
      </c>
      <c r="L2195" s="7">
        <v>332492</v>
      </c>
      <c r="M2195" s="7">
        <v>19</v>
      </c>
      <c r="N2195" s="7">
        <v>1</v>
      </c>
      <c r="O2195" s="7">
        <v>0.52</v>
      </c>
    </row>
    <row r="2196" spans="1:15" x14ac:dyDescent="0.25">
      <c r="A2196" s="6" t="s">
        <v>28</v>
      </c>
      <c r="B2196" s="6" t="s">
        <v>522</v>
      </c>
      <c r="C2196" s="7">
        <v>32954</v>
      </c>
      <c r="D2196" s="6" t="s">
        <v>24</v>
      </c>
      <c r="E2196" s="6" t="s">
        <v>429</v>
      </c>
      <c r="F2196" s="6" t="s">
        <v>543</v>
      </c>
      <c r="G2196" s="6" t="s">
        <v>32</v>
      </c>
      <c r="H2196" s="6" t="s">
        <v>19</v>
      </c>
      <c r="I2196" s="6" t="s">
        <v>767</v>
      </c>
      <c r="J2196" s="6" t="s">
        <v>767</v>
      </c>
      <c r="K2196" s="7">
        <v>6312562</v>
      </c>
      <c r="L2196" s="7">
        <v>329169</v>
      </c>
      <c r="M2196" s="7">
        <v>19</v>
      </c>
      <c r="N2196" s="7">
        <v>2</v>
      </c>
      <c r="O2196" s="7">
        <v>2</v>
      </c>
    </row>
    <row r="2197" spans="1:15" x14ac:dyDescent="0.25">
      <c r="A2197" s="6" t="s">
        <v>22</v>
      </c>
      <c r="B2197" s="6" t="s">
        <v>522</v>
      </c>
      <c r="C2197" s="7">
        <v>32955</v>
      </c>
      <c r="D2197" s="6" t="s">
        <v>16</v>
      </c>
      <c r="E2197" s="6" t="s">
        <v>295</v>
      </c>
      <c r="F2197" s="6" t="s">
        <v>536</v>
      </c>
      <c r="G2197" s="6" t="s">
        <v>32</v>
      </c>
      <c r="H2197" s="6" t="s">
        <v>765</v>
      </c>
      <c r="I2197" s="6" t="s">
        <v>767</v>
      </c>
      <c r="J2197" s="6" t="s">
        <v>767</v>
      </c>
      <c r="K2197" s="7">
        <v>6362733</v>
      </c>
      <c r="L2197" s="7">
        <v>350779</v>
      </c>
      <c r="M2197" s="7">
        <v>19</v>
      </c>
      <c r="N2197" s="7">
        <v>1</v>
      </c>
      <c r="O2197" s="7">
        <v>1.27</v>
      </c>
    </row>
    <row r="2198" spans="1:15" x14ac:dyDescent="0.25">
      <c r="A2198" s="6" t="s">
        <v>22</v>
      </c>
      <c r="B2198" s="6" t="s">
        <v>522</v>
      </c>
      <c r="C2198" s="7">
        <v>32956</v>
      </c>
      <c r="D2198" s="6" t="s">
        <v>16</v>
      </c>
      <c r="E2198" s="6" t="s">
        <v>295</v>
      </c>
      <c r="F2198" s="6" t="s">
        <v>607</v>
      </c>
      <c r="G2198" s="6" t="s">
        <v>32</v>
      </c>
      <c r="H2198" s="6" t="s">
        <v>765</v>
      </c>
      <c r="I2198" s="6" t="s">
        <v>767</v>
      </c>
      <c r="J2198" s="6" t="s">
        <v>767</v>
      </c>
      <c r="K2198" s="7">
        <v>6366488</v>
      </c>
      <c r="L2198" s="7">
        <v>353744</v>
      </c>
      <c r="M2198" s="7">
        <v>19</v>
      </c>
      <c r="N2198" s="7">
        <v>1</v>
      </c>
      <c r="O2198" s="7">
        <v>2.54</v>
      </c>
    </row>
    <row r="2199" spans="1:15" x14ac:dyDescent="0.25">
      <c r="A2199" s="6" t="s">
        <v>22</v>
      </c>
      <c r="B2199" s="6" t="s">
        <v>522</v>
      </c>
      <c r="C2199" s="7">
        <v>32961</v>
      </c>
      <c r="D2199" s="6" t="s">
        <v>24</v>
      </c>
      <c r="E2199" s="6" t="s">
        <v>25</v>
      </c>
      <c r="F2199" s="6" t="s">
        <v>445</v>
      </c>
      <c r="G2199" s="6" t="s">
        <v>32</v>
      </c>
      <c r="H2199" s="6" t="s">
        <v>765</v>
      </c>
      <c r="I2199" s="6" t="s">
        <v>767</v>
      </c>
      <c r="J2199" s="6" t="s">
        <v>767</v>
      </c>
      <c r="K2199" s="7">
        <v>6259278</v>
      </c>
      <c r="L2199" s="7">
        <v>332769</v>
      </c>
      <c r="M2199" s="7">
        <v>19</v>
      </c>
      <c r="N2199" s="7">
        <v>1</v>
      </c>
      <c r="O2199" s="7">
        <v>1.82</v>
      </c>
    </row>
    <row r="2200" spans="1:15" x14ac:dyDescent="0.25">
      <c r="A2200" s="6" t="s">
        <v>22</v>
      </c>
      <c r="B2200" s="6" t="s">
        <v>522</v>
      </c>
      <c r="C2200" s="7">
        <v>32963</v>
      </c>
      <c r="D2200" s="6" t="s">
        <v>24</v>
      </c>
      <c r="E2200" s="6" t="s">
        <v>25</v>
      </c>
      <c r="F2200" s="6" t="s">
        <v>445</v>
      </c>
      <c r="G2200" s="6" t="s">
        <v>32</v>
      </c>
      <c r="H2200" s="6" t="s">
        <v>765</v>
      </c>
      <c r="I2200" s="6" t="s">
        <v>767</v>
      </c>
      <c r="J2200" s="6" t="s">
        <v>767</v>
      </c>
      <c r="K2200" s="7">
        <v>6259486</v>
      </c>
      <c r="L2200" s="7">
        <v>332884</v>
      </c>
      <c r="M2200" s="7">
        <v>19</v>
      </c>
      <c r="N2200" s="7">
        <v>2</v>
      </c>
      <c r="O2200" s="7">
        <v>1.97</v>
      </c>
    </row>
    <row r="2201" spans="1:15" x14ac:dyDescent="0.25">
      <c r="A2201" s="6" t="s">
        <v>22</v>
      </c>
      <c r="B2201" s="6" t="s">
        <v>522</v>
      </c>
      <c r="C2201" s="7">
        <v>32975</v>
      </c>
      <c r="D2201" s="6" t="s">
        <v>297</v>
      </c>
      <c r="E2201" s="6" t="s">
        <v>298</v>
      </c>
      <c r="F2201" s="6" t="s">
        <v>523</v>
      </c>
      <c r="G2201" s="6" t="s">
        <v>32</v>
      </c>
      <c r="H2201" s="6" t="s">
        <v>765</v>
      </c>
      <c r="I2201" s="6" t="s">
        <v>767</v>
      </c>
      <c r="J2201" s="6" t="s">
        <v>767</v>
      </c>
      <c r="K2201" s="7">
        <v>7952483</v>
      </c>
      <c r="L2201" s="7">
        <v>371284</v>
      </c>
      <c r="M2201" s="7">
        <v>19</v>
      </c>
      <c r="N2201" s="7">
        <v>1</v>
      </c>
      <c r="O2201" s="7">
        <v>4.0199999999999996</v>
      </c>
    </row>
    <row r="2202" spans="1:15" x14ac:dyDescent="0.25">
      <c r="A2202" s="6" t="s">
        <v>22</v>
      </c>
      <c r="B2202" s="6" t="s">
        <v>522</v>
      </c>
      <c r="C2202" s="7">
        <v>32976</v>
      </c>
      <c r="D2202" s="6" t="s">
        <v>297</v>
      </c>
      <c r="E2202" s="6" t="s">
        <v>298</v>
      </c>
      <c r="F2202" s="6" t="s">
        <v>523</v>
      </c>
      <c r="G2202" s="6" t="s">
        <v>32</v>
      </c>
      <c r="H2202" s="6" t="s">
        <v>765</v>
      </c>
      <c r="I2202" s="6" t="s">
        <v>767</v>
      </c>
      <c r="J2202" s="6" t="s">
        <v>767</v>
      </c>
      <c r="K2202" s="7">
        <v>7952487</v>
      </c>
      <c r="L2202" s="7">
        <v>371587</v>
      </c>
      <c r="M2202" s="7">
        <v>19</v>
      </c>
      <c r="N2202" s="7">
        <v>1</v>
      </c>
      <c r="O2202" s="7">
        <v>1.38</v>
      </c>
    </row>
    <row r="2203" spans="1:15" x14ac:dyDescent="0.25">
      <c r="A2203" s="6" t="s">
        <v>22</v>
      </c>
      <c r="B2203" s="6" t="s">
        <v>522</v>
      </c>
      <c r="C2203" s="7">
        <v>32982</v>
      </c>
      <c r="D2203" s="6" t="s">
        <v>24</v>
      </c>
      <c r="E2203" s="6" t="s">
        <v>25</v>
      </c>
      <c r="F2203" s="6" t="s">
        <v>426</v>
      </c>
      <c r="G2203" s="6" t="s">
        <v>32</v>
      </c>
      <c r="H2203" s="6" t="s">
        <v>765</v>
      </c>
      <c r="I2203" s="6" t="s">
        <v>767</v>
      </c>
      <c r="J2203" s="6" t="s">
        <v>767</v>
      </c>
      <c r="K2203" s="7">
        <v>6260748</v>
      </c>
      <c r="L2203" s="7">
        <v>331557</v>
      </c>
      <c r="M2203" s="7">
        <v>19</v>
      </c>
      <c r="N2203" s="7">
        <v>1</v>
      </c>
      <c r="O2203" s="7">
        <v>1.22</v>
      </c>
    </row>
    <row r="2204" spans="1:15" x14ac:dyDescent="0.25">
      <c r="A2204" s="6" t="s">
        <v>28</v>
      </c>
      <c r="B2204" s="6" t="s">
        <v>522</v>
      </c>
      <c r="C2204" s="7">
        <v>32994</v>
      </c>
      <c r="D2204" s="6" t="s">
        <v>24</v>
      </c>
      <c r="E2204" s="6" t="s">
        <v>427</v>
      </c>
      <c r="F2204" s="6" t="s">
        <v>443</v>
      </c>
      <c r="G2204" s="6" t="s">
        <v>32</v>
      </c>
      <c r="H2204" s="6" t="s">
        <v>19</v>
      </c>
      <c r="I2204" s="6" t="s">
        <v>767</v>
      </c>
      <c r="J2204" s="6" t="s">
        <v>767</v>
      </c>
      <c r="K2204" s="7">
        <v>6266326</v>
      </c>
      <c r="L2204" s="7">
        <v>325291</v>
      </c>
      <c r="M2204" s="7">
        <v>19</v>
      </c>
      <c r="N2204" s="7">
        <v>1</v>
      </c>
      <c r="O2204" s="7">
        <v>1.6</v>
      </c>
    </row>
    <row r="2205" spans="1:15" x14ac:dyDescent="0.25">
      <c r="A2205" s="6" t="s">
        <v>22</v>
      </c>
      <c r="B2205" s="6" t="s">
        <v>522</v>
      </c>
      <c r="C2205" s="7">
        <v>32995</v>
      </c>
      <c r="D2205" s="6" t="s">
        <v>24</v>
      </c>
      <c r="E2205" s="6" t="s">
        <v>25</v>
      </c>
      <c r="F2205" s="6" t="s">
        <v>426</v>
      </c>
      <c r="G2205" s="6" t="s">
        <v>32</v>
      </c>
      <c r="H2205" s="6" t="s">
        <v>765</v>
      </c>
      <c r="I2205" s="6" t="s">
        <v>767</v>
      </c>
      <c r="J2205" s="6" t="s">
        <v>767</v>
      </c>
      <c r="K2205" s="7">
        <v>6260483</v>
      </c>
      <c r="L2205" s="7">
        <v>331512</v>
      </c>
      <c r="M2205" s="7">
        <v>19</v>
      </c>
      <c r="N2205" s="7">
        <v>1</v>
      </c>
      <c r="O2205" s="7">
        <v>1.93</v>
      </c>
    </row>
    <row r="2206" spans="1:15" x14ac:dyDescent="0.25">
      <c r="A2206" s="6" t="s">
        <v>28</v>
      </c>
      <c r="B2206" s="6" t="s">
        <v>522</v>
      </c>
      <c r="C2206" s="7">
        <v>32999</v>
      </c>
      <c r="D2206" s="6" t="s">
        <v>24</v>
      </c>
      <c r="E2206" s="6" t="s">
        <v>429</v>
      </c>
      <c r="F2206" s="6" t="s">
        <v>429</v>
      </c>
      <c r="G2206" s="6" t="s">
        <v>32</v>
      </c>
      <c r="H2206" s="6" t="s">
        <v>19</v>
      </c>
      <c r="I2206" s="6" t="s">
        <v>767</v>
      </c>
      <c r="J2206" s="6" t="s">
        <v>767</v>
      </c>
      <c r="K2206" s="7">
        <v>6295950</v>
      </c>
      <c r="L2206" s="7">
        <v>333512</v>
      </c>
      <c r="M2206" s="7">
        <v>19</v>
      </c>
      <c r="N2206" s="7">
        <v>1</v>
      </c>
      <c r="O2206" s="7">
        <v>0.1</v>
      </c>
    </row>
    <row r="2207" spans="1:15" x14ac:dyDescent="0.25">
      <c r="A2207" s="6" t="s">
        <v>22</v>
      </c>
      <c r="B2207" s="6" t="s">
        <v>522</v>
      </c>
      <c r="C2207" s="7">
        <v>33018</v>
      </c>
      <c r="D2207" s="6" t="s">
        <v>24</v>
      </c>
      <c r="E2207" s="6" t="s">
        <v>25</v>
      </c>
      <c r="F2207" s="6" t="s">
        <v>445</v>
      </c>
      <c r="G2207" s="6" t="s">
        <v>32</v>
      </c>
      <c r="H2207" s="6" t="s">
        <v>765</v>
      </c>
      <c r="I2207" s="6" t="s">
        <v>767</v>
      </c>
      <c r="J2207" s="6" t="s">
        <v>767</v>
      </c>
      <c r="K2207" s="7">
        <v>6259472</v>
      </c>
      <c r="L2207" s="7">
        <v>332363</v>
      </c>
      <c r="M2207" s="7">
        <v>19</v>
      </c>
      <c r="N2207" s="7">
        <v>1</v>
      </c>
      <c r="O2207" s="7">
        <v>2.0299999999999998</v>
      </c>
    </row>
    <row r="2208" spans="1:15" x14ac:dyDescent="0.25">
      <c r="A2208" s="6" t="s">
        <v>22</v>
      </c>
      <c r="B2208" s="6" t="s">
        <v>522</v>
      </c>
      <c r="C2208" s="7">
        <v>33024</v>
      </c>
      <c r="D2208" s="6" t="s">
        <v>24</v>
      </c>
      <c r="E2208" s="6" t="s">
        <v>25</v>
      </c>
      <c r="F2208" s="6" t="s">
        <v>445</v>
      </c>
      <c r="G2208" s="6" t="s">
        <v>32</v>
      </c>
      <c r="H2208" s="6" t="s">
        <v>765</v>
      </c>
      <c r="I2208" s="6" t="s">
        <v>767</v>
      </c>
      <c r="J2208" s="6" t="s">
        <v>767</v>
      </c>
      <c r="K2208" s="7">
        <v>6259822</v>
      </c>
      <c r="L2208" s="7">
        <v>332603</v>
      </c>
      <c r="M2208" s="7">
        <v>19</v>
      </c>
      <c r="N2208" s="7">
        <v>1</v>
      </c>
      <c r="O2208" s="7">
        <v>0.75</v>
      </c>
    </row>
    <row r="2209" spans="1:15" x14ac:dyDescent="0.25">
      <c r="A2209" s="6" t="s">
        <v>28</v>
      </c>
      <c r="B2209" s="6" t="s">
        <v>522</v>
      </c>
      <c r="C2209" s="7">
        <v>33026</v>
      </c>
      <c r="D2209" s="6" t="s">
        <v>24</v>
      </c>
      <c r="E2209" s="6" t="s">
        <v>429</v>
      </c>
      <c r="F2209" s="6" t="s">
        <v>429</v>
      </c>
      <c r="G2209" s="6" t="s">
        <v>32</v>
      </c>
      <c r="H2209" s="6" t="s">
        <v>19</v>
      </c>
      <c r="I2209" s="6" t="s">
        <v>767</v>
      </c>
      <c r="J2209" s="6" t="s">
        <v>767</v>
      </c>
      <c r="K2209" s="7">
        <v>6295839</v>
      </c>
      <c r="L2209" s="7">
        <v>333163</v>
      </c>
      <c r="M2209" s="7">
        <v>19</v>
      </c>
      <c r="N2209" s="7">
        <v>1</v>
      </c>
      <c r="O2209" s="7">
        <v>0.4</v>
      </c>
    </row>
    <row r="2210" spans="1:15" x14ac:dyDescent="0.25">
      <c r="A2210" s="6" t="s">
        <v>28</v>
      </c>
      <c r="B2210" s="6" t="s">
        <v>522</v>
      </c>
      <c r="C2210" s="7">
        <v>33028</v>
      </c>
      <c r="D2210" s="6" t="s">
        <v>24</v>
      </c>
      <c r="E2210" s="6" t="s">
        <v>429</v>
      </c>
      <c r="F2210" s="6" t="s">
        <v>429</v>
      </c>
      <c r="G2210" s="6" t="s">
        <v>32</v>
      </c>
      <c r="H2210" s="6" t="s">
        <v>19</v>
      </c>
      <c r="I2210" s="6" t="s">
        <v>767</v>
      </c>
      <c r="J2210" s="6" t="s">
        <v>767</v>
      </c>
      <c r="K2210" s="7">
        <v>6295677</v>
      </c>
      <c r="L2210" s="7">
        <v>333395</v>
      </c>
      <c r="M2210" s="7">
        <v>19</v>
      </c>
      <c r="N2210" s="7">
        <v>1</v>
      </c>
      <c r="O2210" s="7">
        <v>0.4</v>
      </c>
    </row>
    <row r="2211" spans="1:15" x14ac:dyDescent="0.25">
      <c r="A2211" s="6" t="s">
        <v>28</v>
      </c>
      <c r="B2211" s="6" t="s">
        <v>522</v>
      </c>
      <c r="C2211" s="7">
        <v>33029</v>
      </c>
      <c r="D2211" s="6" t="s">
        <v>24</v>
      </c>
      <c r="E2211" s="6" t="s">
        <v>580</v>
      </c>
      <c r="F2211" s="6" t="s">
        <v>580</v>
      </c>
      <c r="G2211" s="6" t="s">
        <v>32</v>
      </c>
      <c r="H2211" s="6" t="s">
        <v>19</v>
      </c>
      <c r="I2211" s="6" t="s">
        <v>767</v>
      </c>
      <c r="J2211" s="6" t="s">
        <v>767</v>
      </c>
      <c r="K2211" s="7">
        <v>6322913</v>
      </c>
      <c r="L2211" s="7">
        <v>339519</v>
      </c>
      <c r="M2211" s="7">
        <v>19</v>
      </c>
      <c r="N2211" s="7">
        <v>1</v>
      </c>
      <c r="O2211" s="7">
        <v>0.98</v>
      </c>
    </row>
    <row r="2212" spans="1:15" x14ac:dyDescent="0.25">
      <c r="A2212" s="6" t="s">
        <v>28</v>
      </c>
      <c r="B2212" s="6" t="s">
        <v>522</v>
      </c>
      <c r="C2212" s="7">
        <v>33031</v>
      </c>
      <c r="D2212" s="6" t="s">
        <v>24</v>
      </c>
      <c r="E2212" s="6" t="s">
        <v>96</v>
      </c>
      <c r="F2212" s="6" t="s">
        <v>96</v>
      </c>
      <c r="G2212" s="6" t="s">
        <v>32</v>
      </c>
      <c r="H2212" s="6" t="s">
        <v>19</v>
      </c>
      <c r="I2212" s="6" t="s">
        <v>767</v>
      </c>
      <c r="J2212" s="6" t="s">
        <v>767</v>
      </c>
      <c r="K2212" s="7">
        <v>6254237</v>
      </c>
      <c r="L2212" s="7">
        <v>343594</v>
      </c>
      <c r="M2212" s="7">
        <v>19</v>
      </c>
      <c r="N2212" s="7">
        <v>1</v>
      </c>
      <c r="O2212" s="7">
        <v>4.8499999999999996</v>
      </c>
    </row>
    <row r="2213" spans="1:15" x14ac:dyDescent="0.25">
      <c r="A2213" s="6" t="s">
        <v>22</v>
      </c>
      <c r="B2213" s="6" t="s">
        <v>522</v>
      </c>
      <c r="C2213" s="7">
        <v>33032</v>
      </c>
      <c r="D2213" s="6" t="s">
        <v>24</v>
      </c>
      <c r="E2213" s="6" t="s">
        <v>25</v>
      </c>
      <c r="F2213" s="6" t="s">
        <v>445</v>
      </c>
      <c r="G2213" s="6" t="s">
        <v>32</v>
      </c>
      <c r="H2213" s="6" t="s">
        <v>765</v>
      </c>
      <c r="I2213" s="6" t="s">
        <v>767</v>
      </c>
      <c r="J2213" s="6" t="s">
        <v>767</v>
      </c>
      <c r="K2213" s="7">
        <v>6259216</v>
      </c>
      <c r="L2213" s="7">
        <v>332816</v>
      </c>
      <c r="M2213" s="7">
        <v>19</v>
      </c>
      <c r="N2213" s="7">
        <v>1</v>
      </c>
      <c r="O2213" s="7">
        <v>1.84</v>
      </c>
    </row>
    <row r="2214" spans="1:15" x14ac:dyDescent="0.25">
      <c r="A2214" s="6" t="s">
        <v>28</v>
      </c>
      <c r="B2214" s="6" t="s">
        <v>522</v>
      </c>
      <c r="C2214" s="7">
        <v>33033</v>
      </c>
      <c r="D2214" s="6" t="s">
        <v>24</v>
      </c>
      <c r="E2214" s="6" t="s">
        <v>501</v>
      </c>
      <c r="F2214" s="6" t="s">
        <v>609</v>
      </c>
      <c r="G2214" s="6" t="s">
        <v>32</v>
      </c>
      <c r="H2214" s="6" t="s">
        <v>19</v>
      </c>
      <c r="I2214" s="6" t="s">
        <v>767</v>
      </c>
      <c r="J2214" s="6" t="s">
        <v>767</v>
      </c>
      <c r="K2214" s="7">
        <v>6327903</v>
      </c>
      <c r="L2214" s="7">
        <v>325545</v>
      </c>
      <c r="M2214" s="7">
        <v>19</v>
      </c>
      <c r="N2214" s="7">
        <v>1</v>
      </c>
      <c r="O2214" s="7">
        <v>5.5</v>
      </c>
    </row>
    <row r="2215" spans="1:15" x14ac:dyDescent="0.25">
      <c r="A2215" s="6" t="s">
        <v>28</v>
      </c>
      <c r="B2215" s="6" t="s">
        <v>522</v>
      </c>
      <c r="C2215" s="7">
        <v>33034</v>
      </c>
      <c r="D2215" s="6" t="s">
        <v>24</v>
      </c>
      <c r="E2215" s="6" t="s">
        <v>56</v>
      </c>
      <c r="F2215" s="6" t="s">
        <v>418</v>
      </c>
      <c r="G2215" s="6" t="s">
        <v>32</v>
      </c>
      <c r="H2215" s="6" t="s">
        <v>19</v>
      </c>
      <c r="I2215" s="6" t="s">
        <v>767</v>
      </c>
      <c r="J2215" s="6" t="s">
        <v>767</v>
      </c>
      <c r="K2215" s="7">
        <v>6273907</v>
      </c>
      <c r="L2215" s="7">
        <v>338328</v>
      </c>
      <c r="M2215" s="7">
        <v>19</v>
      </c>
      <c r="N2215" s="7">
        <v>1</v>
      </c>
      <c r="O2215" s="7">
        <v>0.2</v>
      </c>
    </row>
    <row r="2216" spans="1:15" x14ac:dyDescent="0.25">
      <c r="A2216" s="6" t="s">
        <v>28</v>
      </c>
      <c r="B2216" s="6" t="s">
        <v>522</v>
      </c>
      <c r="C2216" s="7">
        <v>33036</v>
      </c>
      <c r="D2216" s="6" t="s">
        <v>24</v>
      </c>
      <c r="E2216" s="6" t="s">
        <v>580</v>
      </c>
      <c r="F2216" s="6" t="s">
        <v>580</v>
      </c>
      <c r="G2216" s="6" t="s">
        <v>32</v>
      </c>
      <c r="H2216" s="6" t="s">
        <v>19</v>
      </c>
      <c r="I2216" s="6" t="s">
        <v>767</v>
      </c>
      <c r="J2216" s="6" t="s">
        <v>767</v>
      </c>
      <c r="K2216" s="7">
        <v>6322594</v>
      </c>
      <c r="L2216" s="7">
        <v>339335</v>
      </c>
      <c r="M2216" s="7">
        <v>19</v>
      </c>
      <c r="N2216" s="7">
        <v>1</v>
      </c>
      <c r="O2216" s="7">
        <v>0.54</v>
      </c>
    </row>
    <row r="2217" spans="1:15" x14ac:dyDescent="0.25">
      <c r="A2217" s="6" t="s">
        <v>28</v>
      </c>
      <c r="B2217" s="6" t="s">
        <v>522</v>
      </c>
      <c r="C2217" s="7">
        <v>33049</v>
      </c>
      <c r="D2217" s="6" t="s">
        <v>24</v>
      </c>
      <c r="E2217" s="6" t="s">
        <v>436</v>
      </c>
      <c r="F2217" s="6" t="s">
        <v>436</v>
      </c>
      <c r="G2217" s="6" t="s">
        <v>32</v>
      </c>
      <c r="H2217" s="6" t="s">
        <v>19</v>
      </c>
      <c r="I2217" s="6" t="s">
        <v>767</v>
      </c>
      <c r="J2217" s="6" t="s">
        <v>767</v>
      </c>
      <c r="K2217" s="7">
        <v>6277107</v>
      </c>
      <c r="L2217" s="7">
        <v>335577</v>
      </c>
      <c r="M2217" s="7">
        <v>19</v>
      </c>
      <c r="N2217" s="7">
        <v>1</v>
      </c>
      <c r="O2217" s="7">
        <v>3.54</v>
      </c>
    </row>
    <row r="2218" spans="1:15" x14ac:dyDescent="0.25">
      <c r="A2218" s="6" t="s">
        <v>28</v>
      </c>
      <c r="B2218" s="6" t="s">
        <v>522</v>
      </c>
      <c r="C2218" s="7">
        <v>33051</v>
      </c>
      <c r="D2218" s="6" t="s">
        <v>24</v>
      </c>
      <c r="E2218" s="6" t="s">
        <v>96</v>
      </c>
      <c r="F2218" s="6" t="s">
        <v>545</v>
      </c>
      <c r="G2218" s="6" t="s">
        <v>32</v>
      </c>
      <c r="H2218" s="6" t="s">
        <v>19</v>
      </c>
      <c r="I2218" s="6" t="s">
        <v>767</v>
      </c>
      <c r="J2218" s="6" t="s">
        <v>767</v>
      </c>
      <c r="K2218" s="7">
        <v>6255875</v>
      </c>
      <c r="L2218" s="7">
        <v>347153</v>
      </c>
      <c r="M2218" s="7">
        <v>19</v>
      </c>
      <c r="N2218" s="7">
        <v>1</v>
      </c>
      <c r="O2218" s="7">
        <v>1.04</v>
      </c>
    </row>
    <row r="2219" spans="1:15" x14ac:dyDescent="0.25">
      <c r="A2219" s="6" t="s">
        <v>28</v>
      </c>
      <c r="B2219" s="6" t="s">
        <v>522</v>
      </c>
      <c r="C2219" s="7">
        <v>33052</v>
      </c>
      <c r="D2219" s="6" t="s">
        <v>24</v>
      </c>
      <c r="E2219" s="6" t="s">
        <v>427</v>
      </c>
      <c r="F2219" s="6" t="s">
        <v>443</v>
      </c>
      <c r="G2219" s="6" t="s">
        <v>32</v>
      </c>
      <c r="H2219" s="6" t="s">
        <v>153</v>
      </c>
      <c r="I2219" s="6" t="s">
        <v>767</v>
      </c>
      <c r="J2219" s="6" t="s">
        <v>764</v>
      </c>
      <c r="K2219" s="7">
        <v>6265996</v>
      </c>
      <c r="L2219" s="7">
        <v>326151</v>
      </c>
      <c r="M2219" s="7">
        <v>19</v>
      </c>
      <c r="N2219" s="7">
        <v>2</v>
      </c>
      <c r="O2219" s="7">
        <v>2.02</v>
      </c>
    </row>
    <row r="2220" spans="1:15" x14ac:dyDescent="0.25">
      <c r="A2220" s="6" t="s">
        <v>28</v>
      </c>
      <c r="B2220" s="6" t="s">
        <v>522</v>
      </c>
      <c r="C2220" s="7">
        <v>33053</v>
      </c>
      <c r="D2220" s="6" t="s">
        <v>24</v>
      </c>
      <c r="E2220" s="6" t="s">
        <v>25</v>
      </c>
      <c r="F2220" s="6" t="s">
        <v>425</v>
      </c>
      <c r="G2220" s="6" t="s">
        <v>32</v>
      </c>
      <c r="H2220" s="6" t="s">
        <v>19</v>
      </c>
      <c r="I2220" s="6" t="s">
        <v>767</v>
      </c>
      <c r="J2220" s="6" t="s">
        <v>767</v>
      </c>
      <c r="K2220" s="7">
        <v>6270724</v>
      </c>
      <c r="L2220" s="7">
        <v>326630</v>
      </c>
      <c r="M2220" s="7">
        <v>19</v>
      </c>
      <c r="N2220" s="7">
        <v>1</v>
      </c>
      <c r="O2220" s="7">
        <v>0.4</v>
      </c>
    </row>
    <row r="2221" spans="1:15" x14ac:dyDescent="0.25">
      <c r="A2221" s="6" t="s">
        <v>28</v>
      </c>
      <c r="B2221" s="6" t="s">
        <v>522</v>
      </c>
      <c r="C2221" s="7">
        <v>33055</v>
      </c>
      <c r="D2221" s="6" t="s">
        <v>24</v>
      </c>
      <c r="E2221" s="6" t="s">
        <v>62</v>
      </c>
      <c r="F2221" s="6" t="s">
        <v>594</v>
      </c>
      <c r="G2221" s="6" t="s">
        <v>32</v>
      </c>
      <c r="H2221" s="6" t="s">
        <v>19</v>
      </c>
      <c r="I2221" s="6" t="s">
        <v>767</v>
      </c>
      <c r="J2221" s="6" t="s">
        <v>767</v>
      </c>
      <c r="K2221" s="7">
        <v>6282026</v>
      </c>
      <c r="L2221" s="7">
        <v>327434</v>
      </c>
      <c r="M2221" s="7">
        <v>19</v>
      </c>
      <c r="N2221" s="7">
        <v>1</v>
      </c>
      <c r="O2221" s="7">
        <v>2.4</v>
      </c>
    </row>
    <row r="2222" spans="1:15" x14ac:dyDescent="0.25">
      <c r="A2222" s="6" t="s">
        <v>28</v>
      </c>
      <c r="B2222" s="6" t="s">
        <v>522</v>
      </c>
      <c r="C2222" s="7">
        <v>33056</v>
      </c>
      <c r="D2222" s="6" t="s">
        <v>24</v>
      </c>
      <c r="E2222" s="6" t="s">
        <v>56</v>
      </c>
      <c r="F2222" s="6" t="s">
        <v>610</v>
      </c>
      <c r="G2222" s="6" t="s">
        <v>32</v>
      </c>
      <c r="H2222" s="6" t="s">
        <v>153</v>
      </c>
      <c r="I2222" s="6" t="s">
        <v>767</v>
      </c>
      <c r="J2222" s="6" t="s">
        <v>764</v>
      </c>
      <c r="K2222" s="7">
        <v>6285081</v>
      </c>
      <c r="L2222" s="7">
        <v>337003</v>
      </c>
      <c r="M2222" s="7">
        <v>19</v>
      </c>
      <c r="N2222" s="7">
        <v>1</v>
      </c>
      <c r="O2222" s="7">
        <v>7.89</v>
      </c>
    </row>
    <row r="2223" spans="1:15" x14ac:dyDescent="0.25">
      <c r="A2223" s="6" t="s">
        <v>28</v>
      </c>
      <c r="B2223" s="6" t="s">
        <v>522</v>
      </c>
      <c r="C2223" s="7">
        <v>33058</v>
      </c>
      <c r="D2223" s="6" t="s">
        <v>24</v>
      </c>
      <c r="E2223" s="6" t="s">
        <v>37</v>
      </c>
      <c r="F2223" s="6" t="s">
        <v>37</v>
      </c>
      <c r="G2223" s="6" t="s">
        <v>32</v>
      </c>
      <c r="H2223" s="6" t="s">
        <v>19</v>
      </c>
      <c r="I2223" s="6" t="s">
        <v>767</v>
      </c>
      <c r="J2223" s="6" t="s">
        <v>767</v>
      </c>
      <c r="K2223" s="7">
        <v>6272020</v>
      </c>
      <c r="L2223" s="7">
        <v>321958</v>
      </c>
      <c r="M2223" s="7">
        <v>19</v>
      </c>
      <c r="N2223" s="7">
        <v>1</v>
      </c>
      <c r="O2223" s="7">
        <v>2.5</v>
      </c>
    </row>
    <row r="2224" spans="1:15" x14ac:dyDescent="0.25">
      <c r="A2224" s="6" t="s">
        <v>28</v>
      </c>
      <c r="B2224" s="6" t="s">
        <v>522</v>
      </c>
      <c r="C2224" s="7">
        <v>33059</v>
      </c>
      <c r="D2224" s="6" t="s">
        <v>24</v>
      </c>
      <c r="E2224" s="6" t="s">
        <v>429</v>
      </c>
      <c r="F2224" s="6" t="s">
        <v>602</v>
      </c>
      <c r="G2224" s="6" t="s">
        <v>32</v>
      </c>
      <c r="H2224" s="6" t="s">
        <v>19</v>
      </c>
      <c r="I2224" s="6" t="s">
        <v>767</v>
      </c>
      <c r="J2224" s="6" t="s">
        <v>767</v>
      </c>
      <c r="K2224" s="7">
        <v>6305431</v>
      </c>
      <c r="L2224" s="7">
        <v>330955</v>
      </c>
      <c r="M2224" s="7">
        <v>19</v>
      </c>
      <c r="N2224" s="7">
        <v>1</v>
      </c>
      <c r="O2224" s="7">
        <v>1.46</v>
      </c>
    </row>
    <row r="2225" spans="1:15" x14ac:dyDescent="0.25">
      <c r="A2225" s="6" t="s">
        <v>28</v>
      </c>
      <c r="B2225" s="6" t="s">
        <v>522</v>
      </c>
      <c r="C2225" s="7">
        <v>33060</v>
      </c>
      <c r="D2225" s="6" t="s">
        <v>24</v>
      </c>
      <c r="E2225" s="6" t="s">
        <v>37</v>
      </c>
      <c r="F2225" s="6" t="s">
        <v>37</v>
      </c>
      <c r="G2225" s="6" t="s">
        <v>32</v>
      </c>
      <c r="H2225" s="6" t="s">
        <v>19</v>
      </c>
      <c r="I2225" s="6" t="s">
        <v>767</v>
      </c>
      <c r="J2225" s="6" t="s">
        <v>767</v>
      </c>
      <c r="K2225" s="7">
        <v>6270783</v>
      </c>
      <c r="L2225" s="7">
        <v>318009</v>
      </c>
      <c r="M2225" s="7">
        <v>19</v>
      </c>
      <c r="N2225" s="7">
        <v>1</v>
      </c>
      <c r="O2225" s="7">
        <v>1.6</v>
      </c>
    </row>
    <row r="2226" spans="1:15" x14ac:dyDescent="0.25">
      <c r="A2226" s="6" t="s">
        <v>28</v>
      </c>
      <c r="B2226" s="6" t="s">
        <v>522</v>
      </c>
      <c r="C2226" s="7">
        <v>33061</v>
      </c>
      <c r="D2226" s="6" t="s">
        <v>24</v>
      </c>
      <c r="E2226" s="6" t="s">
        <v>192</v>
      </c>
      <c r="F2226" s="6" t="s">
        <v>192</v>
      </c>
      <c r="G2226" s="6" t="s">
        <v>32</v>
      </c>
      <c r="H2226" s="6" t="s">
        <v>19</v>
      </c>
      <c r="I2226" s="6" t="s">
        <v>767</v>
      </c>
      <c r="J2226" s="6" t="s">
        <v>767</v>
      </c>
      <c r="K2226" s="7">
        <v>6271258</v>
      </c>
      <c r="L2226" s="7">
        <v>319800</v>
      </c>
      <c r="M2226" s="7">
        <v>19</v>
      </c>
      <c r="N2226" s="7">
        <v>1</v>
      </c>
      <c r="O2226" s="7">
        <v>2.5</v>
      </c>
    </row>
    <row r="2227" spans="1:15" x14ac:dyDescent="0.25">
      <c r="A2227" s="6" t="s">
        <v>28</v>
      </c>
      <c r="B2227" s="6" t="s">
        <v>522</v>
      </c>
      <c r="C2227" s="7">
        <v>33062</v>
      </c>
      <c r="D2227" s="6" t="s">
        <v>24</v>
      </c>
      <c r="E2227" s="6" t="s">
        <v>31</v>
      </c>
      <c r="F2227" s="6" t="s">
        <v>531</v>
      </c>
      <c r="G2227" s="6" t="s">
        <v>32</v>
      </c>
      <c r="H2227" s="6" t="s">
        <v>19</v>
      </c>
      <c r="I2227" s="6" t="s">
        <v>767</v>
      </c>
      <c r="J2227" s="6" t="s">
        <v>767</v>
      </c>
      <c r="K2227" s="7">
        <v>6274524</v>
      </c>
      <c r="L2227" s="7">
        <v>284842</v>
      </c>
      <c r="M2227" s="7">
        <v>19</v>
      </c>
      <c r="N2227" s="7">
        <v>1</v>
      </c>
      <c r="O2227" s="7">
        <v>1.06</v>
      </c>
    </row>
    <row r="2228" spans="1:15" x14ac:dyDescent="0.25">
      <c r="A2228" s="6" t="s">
        <v>28</v>
      </c>
      <c r="B2228" s="6" t="s">
        <v>522</v>
      </c>
      <c r="C2228" s="7">
        <v>33065</v>
      </c>
      <c r="D2228" s="6" t="s">
        <v>24</v>
      </c>
      <c r="E2228" s="6" t="s">
        <v>25</v>
      </c>
      <c r="F2228" s="6" t="s">
        <v>556</v>
      </c>
      <c r="G2228" s="6" t="s">
        <v>32</v>
      </c>
      <c r="H2228" s="6" t="s">
        <v>19</v>
      </c>
      <c r="I2228" s="6" t="s">
        <v>767</v>
      </c>
      <c r="J2228" s="6" t="s">
        <v>767</v>
      </c>
      <c r="K2228" s="7">
        <v>6261008</v>
      </c>
      <c r="L2228" s="7">
        <v>329986</v>
      </c>
      <c r="M2228" s="7">
        <v>19</v>
      </c>
      <c r="N2228" s="7">
        <v>1</v>
      </c>
      <c r="O2228" s="7">
        <v>0.21</v>
      </c>
    </row>
    <row r="2229" spans="1:15" x14ac:dyDescent="0.25">
      <c r="A2229" s="6" t="s">
        <v>28</v>
      </c>
      <c r="B2229" s="6" t="s">
        <v>522</v>
      </c>
      <c r="C2229" s="7">
        <v>33066</v>
      </c>
      <c r="D2229" s="6" t="s">
        <v>24</v>
      </c>
      <c r="E2229" s="6" t="s">
        <v>37</v>
      </c>
      <c r="F2229" s="6" t="s">
        <v>152</v>
      </c>
      <c r="G2229" s="6" t="s">
        <v>32</v>
      </c>
      <c r="H2229" s="6" t="s">
        <v>19</v>
      </c>
      <c r="I2229" s="6" t="s">
        <v>767</v>
      </c>
      <c r="J2229" s="6" t="s">
        <v>767</v>
      </c>
      <c r="K2229" s="7">
        <v>6270444</v>
      </c>
      <c r="L2229" s="7">
        <v>318457</v>
      </c>
      <c r="M2229" s="7">
        <v>19</v>
      </c>
      <c r="N2229" s="7">
        <v>1</v>
      </c>
      <c r="O2229" s="7">
        <v>1</v>
      </c>
    </row>
    <row r="2230" spans="1:15" x14ac:dyDescent="0.25">
      <c r="A2230" s="6" t="s">
        <v>28</v>
      </c>
      <c r="B2230" s="6" t="s">
        <v>522</v>
      </c>
      <c r="C2230" s="7">
        <v>33070</v>
      </c>
      <c r="D2230" s="6" t="s">
        <v>24</v>
      </c>
      <c r="E2230" s="6" t="s">
        <v>429</v>
      </c>
      <c r="F2230" s="6" t="s">
        <v>429</v>
      </c>
      <c r="G2230" s="6" t="s">
        <v>32</v>
      </c>
      <c r="H2230" s="6" t="s">
        <v>19</v>
      </c>
      <c r="I2230" s="6" t="s">
        <v>767</v>
      </c>
      <c r="J2230" s="6" t="s">
        <v>767</v>
      </c>
      <c r="K2230" s="7">
        <v>6306015</v>
      </c>
      <c r="L2230" s="7">
        <v>331827</v>
      </c>
      <c r="M2230" s="7">
        <v>19</v>
      </c>
      <c r="N2230" s="7">
        <v>1</v>
      </c>
      <c r="O2230" s="7">
        <v>1</v>
      </c>
    </row>
    <row r="2231" spans="1:15" x14ac:dyDescent="0.25">
      <c r="A2231" s="6" t="s">
        <v>28</v>
      </c>
      <c r="B2231" s="6" t="s">
        <v>522</v>
      </c>
      <c r="C2231" s="7">
        <v>33080</v>
      </c>
      <c r="D2231" s="6" t="s">
        <v>24</v>
      </c>
      <c r="E2231" s="6" t="s">
        <v>62</v>
      </c>
      <c r="F2231" s="6" t="s">
        <v>594</v>
      </c>
      <c r="G2231" s="6" t="s">
        <v>32</v>
      </c>
      <c r="H2231" s="6" t="s">
        <v>19</v>
      </c>
      <c r="I2231" s="6" t="s">
        <v>767</v>
      </c>
      <c r="J2231" s="6" t="s">
        <v>767</v>
      </c>
      <c r="K2231" s="7">
        <v>6281377</v>
      </c>
      <c r="L2231" s="7">
        <v>327875</v>
      </c>
      <c r="M2231" s="7">
        <v>19</v>
      </c>
      <c r="N2231" s="7">
        <v>1</v>
      </c>
      <c r="O2231" s="7">
        <v>1.1000000000000001</v>
      </c>
    </row>
    <row r="2232" spans="1:15" x14ac:dyDescent="0.25">
      <c r="A2232" s="6" t="s">
        <v>28</v>
      </c>
      <c r="B2232" s="6" t="s">
        <v>522</v>
      </c>
      <c r="C2232" s="7">
        <v>33081</v>
      </c>
      <c r="D2232" s="6" t="s">
        <v>24</v>
      </c>
      <c r="E2232" s="6" t="s">
        <v>31</v>
      </c>
      <c r="F2232" s="6" t="s">
        <v>415</v>
      </c>
      <c r="G2232" s="6" t="s">
        <v>32</v>
      </c>
      <c r="H2232" s="6" t="s">
        <v>19</v>
      </c>
      <c r="I2232" s="6" t="s">
        <v>767</v>
      </c>
      <c r="J2232" s="6" t="s">
        <v>767</v>
      </c>
      <c r="K2232" s="7">
        <v>6272583</v>
      </c>
      <c r="L2232" s="7">
        <v>301326</v>
      </c>
      <c r="M2232" s="7">
        <v>19</v>
      </c>
      <c r="N2232" s="7">
        <v>1</v>
      </c>
      <c r="O2232" s="7">
        <v>1.0900000000000001</v>
      </c>
    </row>
    <row r="2233" spans="1:15" x14ac:dyDescent="0.25">
      <c r="A2233" s="6" t="s">
        <v>28</v>
      </c>
      <c r="B2233" s="6" t="s">
        <v>522</v>
      </c>
      <c r="C2233" s="7">
        <v>33082</v>
      </c>
      <c r="D2233" s="6" t="s">
        <v>24</v>
      </c>
      <c r="E2233" s="6" t="s">
        <v>37</v>
      </c>
      <c r="F2233" s="6" t="s">
        <v>38</v>
      </c>
      <c r="G2233" s="6" t="s">
        <v>32</v>
      </c>
      <c r="H2233" s="6" t="s">
        <v>19</v>
      </c>
      <c r="I2233" s="6" t="s">
        <v>767</v>
      </c>
      <c r="J2233" s="6" t="s">
        <v>767</v>
      </c>
      <c r="K2233" s="7">
        <v>6270021</v>
      </c>
      <c r="L2233" s="7">
        <v>318053</v>
      </c>
      <c r="M2233" s="7">
        <v>19</v>
      </c>
      <c r="N2233" s="7">
        <v>1</v>
      </c>
      <c r="O2233" s="7">
        <v>1.4</v>
      </c>
    </row>
    <row r="2234" spans="1:15" x14ac:dyDescent="0.25">
      <c r="A2234" s="6" t="s">
        <v>28</v>
      </c>
      <c r="B2234" s="6" t="s">
        <v>522</v>
      </c>
      <c r="C2234" s="7">
        <v>33084</v>
      </c>
      <c r="D2234" s="6" t="s">
        <v>24</v>
      </c>
      <c r="E2234" s="6" t="s">
        <v>31</v>
      </c>
      <c r="F2234" s="6" t="s">
        <v>563</v>
      </c>
      <c r="G2234" s="6" t="s">
        <v>32</v>
      </c>
      <c r="H2234" s="6" t="s">
        <v>19</v>
      </c>
      <c r="I2234" s="6" t="s">
        <v>767</v>
      </c>
      <c r="J2234" s="6" t="s">
        <v>767</v>
      </c>
      <c r="K2234" s="7">
        <v>6272188</v>
      </c>
      <c r="L2234" s="7">
        <v>302490</v>
      </c>
      <c r="M2234" s="7">
        <v>19</v>
      </c>
      <c r="N2234" s="7">
        <v>1</v>
      </c>
      <c r="O2234" s="7">
        <v>0.97</v>
      </c>
    </row>
    <row r="2235" spans="1:15" x14ac:dyDescent="0.25">
      <c r="A2235" s="6" t="s">
        <v>28</v>
      </c>
      <c r="B2235" s="6" t="s">
        <v>522</v>
      </c>
      <c r="C2235" s="7">
        <v>33085</v>
      </c>
      <c r="D2235" s="6" t="s">
        <v>24</v>
      </c>
      <c r="E2235" s="6" t="s">
        <v>427</v>
      </c>
      <c r="F2235" s="6" t="s">
        <v>443</v>
      </c>
      <c r="G2235" s="6" t="s">
        <v>32</v>
      </c>
      <c r="H2235" s="6" t="s">
        <v>19</v>
      </c>
      <c r="I2235" s="6" t="s">
        <v>767</v>
      </c>
      <c r="J2235" s="6" t="s">
        <v>767</v>
      </c>
      <c r="K2235" s="7">
        <v>6266134</v>
      </c>
      <c r="L2235" s="7">
        <v>323856</v>
      </c>
      <c r="M2235" s="7">
        <v>19</v>
      </c>
      <c r="N2235" s="7">
        <v>1</v>
      </c>
      <c r="O2235" s="7">
        <v>1</v>
      </c>
    </row>
    <row r="2236" spans="1:15" x14ac:dyDescent="0.25">
      <c r="A2236" s="6" t="s">
        <v>22</v>
      </c>
      <c r="B2236" s="6" t="s">
        <v>522</v>
      </c>
      <c r="C2236" s="7">
        <v>33087</v>
      </c>
      <c r="D2236" s="6" t="s">
        <v>24</v>
      </c>
      <c r="E2236" s="6" t="s">
        <v>25</v>
      </c>
      <c r="F2236" s="6" t="s">
        <v>426</v>
      </c>
      <c r="G2236" s="6" t="s">
        <v>32</v>
      </c>
      <c r="H2236" s="6" t="s">
        <v>765</v>
      </c>
      <c r="I2236" s="6" t="s">
        <v>767</v>
      </c>
      <c r="J2236" s="6" t="s">
        <v>767</v>
      </c>
      <c r="K2236" s="7">
        <v>6260472</v>
      </c>
      <c r="L2236" s="7">
        <v>331295</v>
      </c>
      <c r="M2236" s="7">
        <v>19</v>
      </c>
      <c r="N2236" s="7">
        <v>1</v>
      </c>
      <c r="O2236" s="7">
        <v>1.99</v>
      </c>
    </row>
    <row r="2237" spans="1:15" x14ac:dyDescent="0.25">
      <c r="A2237" s="6" t="s">
        <v>22</v>
      </c>
      <c r="B2237" s="6" t="s">
        <v>522</v>
      </c>
      <c r="C2237" s="7">
        <v>33097</v>
      </c>
      <c r="D2237" s="6" t="s">
        <v>24</v>
      </c>
      <c r="E2237" s="6" t="s">
        <v>25</v>
      </c>
      <c r="F2237" s="6" t="s">
        <v>445</v>
      </c>
      <c r="G2237" s="6" t="s">
        <v>32</v>
      </c>
      <c r="H2237" s="6" t="s">
        <v>765</v>
      </c>
      <c r="I2237" s="6" t="s">
        <v>767</v>
      </c>
      <c r="J2237" s="6" t="s">
        <v>767</v>
      </c>
      <c r="K2237" s="7">
        <v>6260679</v>
      </c>
      <c r="L2237" s="7">
        <v>331429</v>
      </c>
      <c r="M2237" s="7">
        <v>19</v>
      </c>
      <c r="N2237" s="7">
        <v>1</v>
      </c>
      <c r="O2237" s="7">
        <v>0.34</v>
      </c>
    </row>
    <row r="2238" spans="1:15" x14ac:dyDescent="0.25">
      <c r="A2238" s="6" t="s">
        <v>28</v>
      </c>
      <c r="B2238" s="6" t="s">
        <v>522</v>
      </c>
      <c r="C2238" s="7">
        <v>33105</v>
      </c>
      <c r="D2238" s="6" t="s">
        <v>39</v>
      </c>
      <c r="E2238" s="6" t="s">
        <v>310</v>
      </c>
      <c r="F2238" s="6" t="s">
        <v>310</v>
      </c>
      <c r="G2238" s="6" t="s">
        <v>32</v>
      </c>
      <c r="H2238" s="6" t="s">
        <v>33</v>
      </c>
      <c r="I2238" s="6" t="s">
        <v>764</v>
      </c>
      <c r="J2238" s="6" t="s">
        <v>767</v>
      </c>
      <c r="K2238" s="7">
        <v>6111398</v>
      </c>
      <c r="L2238" s="7">
        <v>289334</v>
      </c>
      <c r="M2238" s="7">
        <v>19</v>
      </c>
      <c r="N2238" s="7">
        <v>1</v>
      </c>
      <c r="O2238" s="7">
        <v>22</v>
      </c>
    </row>
    <row r="2239" spans="1:15" x14ac:dyDescent="0.25">
      <c r="A2239" s="6" t="s">
        <v>28</v>
      </c>
      <c r="B2239" s="6" t="s">
        <v>522</v>
      </c>
      <c r="C2239" s="7">
        <v>33106</v>
      </c>
      <c r="D2239" s="6" t="s">
        <v>39</v>
      </c>
      <c r="E2239" s="6" t="s">
        <v>40</v>
      </c>
      <c r="F2239" s="6" t="s">
        <v>555</v>
      </c>
      <c r="G2239" s="6" t="s">
        <v>32</v>
      </c>
      <c r="H2239" s="6" t="s">
        <v>33</v>
      </c>
      <c r="I2239" s="6" t="s">
        <v>767</v>
      </c>
      <c r="J2239" s="6" t="s">
        <v>767</v>
      </c>
      <c r="K2239" s="7">
        <v>6132962</v>
      </c>
      <c r="L2239" s="7">
        <v>300844</v>
      </c>
      <c r="M2239" s="7">
        <v>19</v>
      </c>
      <c r="N2239" s="7">
        <v>1</v>
      </c>
      <c r="O2239" s="7">
        <v>4.3</v>
      </c>
    </row>
    <row r="2240" spans="1:15" x14ac:dyDescent="0.25">
      <c r="A2240" s="6" t="s">
        <v>28</v>
      </c>
      <c r="B2240" s="6" t="s">
        <v>522</v>
      </c>
      <c r="C2240" s="7">
        <v>33108</v>
      </c>
      <c r="D2240" s="6" t="s">
        <v>42</v>
      </c>
      <c r="E2240" s="6" t="s">
        <v>51</v>
      </c>
      <c r="F2240" s="6" t="s">
        <v>611</v>
      </c>
      <c r="G2240" s="6" t="s">
        <v>32</v>
      </c>
      <c r="H2240" s="6" t="s">
        <v>33</v>
      </c>
      <c r="I2240" s="6" t="s">
        <v>767</v>
      </c>
      <c r="J2240" s="6" t="s">
        <v>767</v>
      </c>
      <c r="K2240" s="7">
        <v>6148593</v>
      </c>
      <c r="L2240" s="7">
        <v>315923</v>
      </c>
      <c r="M2240" s="7">
        <v>19</v>
      </c>
      <c r="N2240" s="7">
        <v>1</v>
      </c>
      <c r="O2240" s="7">
        <v>25</v>
      </c>
    </row>
    <row r="2241" spans="1:15" x14ac:dyDescent="0.25">
      <c r="A2241" s="6" t="s">
        <v>28</v>
      </c>
      <c r="B2241" s="6" t="s">
        <v>522</v>
      </c>
      <c r="C2241" s="7">
        <v>33109</v>
      </c>
      <c r="D2241" s="6" t="s">
        <v>42</v>
      </c>
      <c r="E2241" s="6" t="s">
        <v>51</v>
      </c>
      <c r="F2241" s="6" t="s">
        <v>611</v>
      </c>
      <c r="G2241" s="6" t="s">
        <v>32</v>
      </c>
      <c r="H2241" s="6" t="s">
        <v>33</v>
      </c>
      <c r="I2241" s="6" t="s">
        <v>767</v>
      </c>
      <c r="J2241" s="6" t="s">
        <v>767</v>
      </c>
      <c r="K2241" s="7">
        <v>6146854</v>
      </c>
      <c r="L2241" s="7">
        <v>316663</v>
      </c>
      <c r="M2241" s="7">
        <v>19</v>
      </c>
      <c r="N2241" s="7">
        <v>1</v>
      </c>
      <c r="O2241" s="7">
        <v>3.5</v>
      </c>
    </row>
    <row r="2242" spans="1:15" x14ac:dyDescent="0.25">
      <c r="A2242" s="6" t="s">
        <v>28</v>
      </c>
      <c r="B2242" s="6" t="s">
        <v>522</v>
      </c>
      <c r="C2242" s="7">
        <v>33110</v>
      </c>
      <c r="D2242" s="6" t="s">
        <v>42</v>
      </c>
      <c r="E2242" s="6" t="s">
        <v>31</v>
      </c>
      <c r="F2242" s="6" t="s">
        <v>530</v>
      </c>
      <c r="G2242" s="6" t="s">
        <v>32</v>
      </c>
      <c r="H2242" s="6" t="s">
        <v>33</v>
      </c>
      <c r="I2242" s="6" t="s">
        <v>767</v>
      </c>
      <c r="J2242" s="6" t="s">
        <v>767</v>
      </c>
      <c r="K2242" s="7">
        <v>6147116</v>
      </c>
      <c r="L2242" s="7">
        <v>316773</v>
      </c>
      <c r="M2242" s="7">
        <v>19</v>
      </c>
      <c r="N2242" s="7">
        <v>1</v>
      </c>
      <c r="O2242" s="7">
        <v>7</v>
      </c>
    </row>
    <row r="2243" spans="1:15" x14ac:dyDescent="0.25">
      <c r="A2243" s="6" t="s">
        <v>14</v>
      </c>
      <c r="B2243" s="6" t="s">
        <v>522</v>
      </c>
      <c r="C2243" s="7">
        <v>33111</v>
      </c>
      <c r="D2243" s="6" t="s">
        <v>39</v>
      </c>
      <c r="E2243" s="6" t="s">
        <v>310</v>
      </c>
      <c r="F2243" s="6" t="s">
        <v>310</v>
      </c>
      <c r="G2243" s="6" t="s">
        <v>32</v>
      </c>
      <c r="H2243" s="6" t="s">
        <v>33</v>
      </c>
      <c r="I2243" s="6" t="s">
        <v>767</v>
      </c>
      <c r="J2243" s="6" t="s">
        <v>767</v>
      </c>
      <c r="K2243" s="7">
        <v>6132674</v>
      </c>
      <c r="L2243" s="7">
        <v>300861</v>
      </c>
      <c r="M2243" s="7">
        <v>19</v>
      </c>
      <c r="N2243" s="7">
        <v>1</v>
      </c>
      <c r="O2243" s="7">
        <v>6</v>
      </c>
    </row>
    <row r="2244" spans="1:15" x14ac:dyDescent="0.25">
      <c r="A2244" s="6" t="s">
        <v>22</v>
      </c>
      <c r="B2244" s="6" t="s">
        <v>522</v>
      </c>
      <c r="C2244" s="7">
        <v>33119</v>
      </c>
      <c r="D2244" s="6" t="s">
        <v>24</v>
      </c>
      <c r="E2244" s="6" t="s">
        <v>25</v>
      </c>
      <c r="F2244" s="6" t="s">
        <v>445</v>
      </c>
      <c r="G2244" s="6" t="s">
        <v>32</v>
      </c>
      <c r="H2244" s="6" t="s">
        <v>765</v>
      </c>
      <c r="I2244" s="6" t="s">
        <v>767</v>
      </c>
      <c r="J2244" s="6" t="s">
        <v>767</v>
      </c>
      <c r="K2244" s="7">
        <v>6260535</v>
      </c>
      <c r="L2244" s="7">
        <v>332817</v>
      </c>
      <c r="M2244" s="7">
        <v>19</v>
      </c>
      <c r="N2244" s="7">
        <v>2</v>
      </c>
      <c r="O2244" s="7">
        <v>1.02</v>
      </c>
    </row>
    <row r="2245" spans="1:15" x14ac:dyDescent="0.25">
      <c r="A2245" s="6" t="s">
        <v>22</v>
      </c>
      <c r="B2245" s="6" t="s">
        <v>522</v>
      </c>
      <c r="C2245" s="7">
        <v>33123</v>
      </c>
      <c r="D2245" s="6" t="s">
        <v>24</v>
      </c>
      <c r="E2245" s="6" t="s">
        <v>25</v>
      </c>
      <c r="F2245" s="6" t="s">
        <v>445</v>
      </c>
      <c r="G2245" s="6" t="s">
        <v>32</v>
      </c>
      <c r="H2245" s="6" t="s">
        <v>765</v>
      </c>
      <c r="I2245" s="6" t="s">
        <v>767</v>
      </c>
      <c r="J2245" s="6" t="s">
        <v>767</v>
      </c>
      <c r="K2245" s="7">
        <v>6259183</v>
      </c>
      <c r="L2245" s="7">
        <v>332287</v>
      </c>
      <c r="M2245" s="7">
        <v>19</v>
      </c>
      <c r="N2245" s="7">
        <v>1</v>
      </c>
      <c r="O2245" s="7">
        <v>1.26</v>
      </c>
    </row>
    <row r="2246" spans="1:15" x14ac:dyDescent="0.25">
      <c r="A2246" s="6" t="s">
        <v>22</v>
      </c>
      <c r="B2246" s="6" t="s">
        <v>522</v>
      </c>
      <c r="C2246" s="7">
        <v>33124</v>
      </c>
      <c r="D2246" s="6" t="s">
        <v>24</v>
      </c>
      <c r="E2246" s="6" t="s">
        <v>25</v>
      </c>
      <c r="F2246" s="6" t="s">
        <v>426</v>
      </c>
      <c r="G2246" s="6" t="s">
        <v>32</v>
      </c>
      <c r="H2246" s="6" t="s">
        <v>765</v>
      </c>
      <c r="I2246" s="6" t="s">
        <v>767</v>
      </c>
      <c r="J2246" s="6" t="s">
        <v>767</v>
      </c>
      <c r="K2246" s="7">
        <v>6260832</v>
      </c>
      <c r="L2246" s="7">
        <v>331703</v>
      </c>
      <c r="M2246" s="7">
        <v>19</v>
      </c>
      <c r="N2246" s="7">
        <v>1</v>
      </c>
      <c r="O2246" s="7">
        <v>0.97</v>
      </c>
    </row>
    <row r="2247" spans="1:15" x14ac:dyDescent="0.25">
      <c r="A2247" s="6" t="s">
        <v>22</v>
      </c>
      <c r="B2247" s="6" t="s">
        <v>522</v>
      </c>
      <c r="C2247" s="7">
        <v>33125</v>
      </c>
      <c r="D2247" s="6" t="s">
        <v>24</v>
      </c>
      <c r="E2247" s="6" t="s">
        <v>25</v>
      </c>
      <c r="F2247" s="6" t="s">
        <v>445</v>
      </c>
      <c r="G2247" s="6" t="s">
        <v>32</v>
      </c>
      <c r="H2247" s="6" t="s">
        <v>765</v>
      </c>
      <c r="I2247" s="6" t="s">
        <v>767</v>
      </c>
      <c r="J2247" s="6" t="s">
        <v>767</v>
      </c>
      <c r="K2247" s="7">
        <v>6259424</v>
      </c>
      <c r="L2247" s="7">
        <v>332960</v>
      </c>
      <c r="M2247" s="7">
        <v>19</v>
      </c>
      <c r="N2247" s="7">
        <v>1</v>
      </c>
      <c r="O2247" s="7">
        <v>0.79</v>
      </c>
    </row>
    <row r="2248" spans="1:15" x14ac:dyDescent="0.25">
      <c r="A2248" s="6" t="s">
        <v>28</v>
      </c>
      <c r="B2248" s="6" t="s">
        <v>522</v>
      </c>
      <c r="C2248" s="7">
        <v>33168</v>
      </c>
      <c r="D2248" s="6" t="s">
        <v>24</v>
      </c>
      <c r="E2248" s="6" t="s">
        <v>543</v>
      </c>
      <c r="F2248" s="6" t="s">
        <v>543</v>
      </c>
      <c r="G2248" s="6" t="s">
        <v>32</v>
      </c>
      <c r="H2248" s="6" t="s">
        <v>19</v>
      </c>
      <c r="I2248" s="6" t="s">
        <v>767</v>
      </c>
      <c r="J2248" s="6" t="s">
        <v>767</v>
      </c>
      <c r="K2248" s="7">
        <v>6313492</v>
      </c>
      <c r="L2248" s="7">
        <v>329886</v>
      </c>
      <c r="M2248" s="7">
        <v>19</v>
      </c>
      <c r="N2248" s="7">
        <v>2</v>
      </c>
      <c r="O2248" s="7">
        <v>6</v>
      </c>
    </row>
    <row r="2249" spans="1:15" x14ac:dyDescent="0.25">
      <c r="A2249" s="6" t="s">
        <v>22</v>
      </c>
      <c r="B2249" s="6" t="s">
        <v>522</v>
      </c>
      <c r="C2249" s="7">
        <v>33182</v>
      </c>
      <c r="D2249" s="6" t="s">
        <v>24</v>
      </c>
      <c r="E2249" s="6" t="s">
        <v>25</v>
      </c>
      <c r="F2249" s="6" t="s">
        <v>445</v>
      </c>
      <c r="G2249" s="6" t="s">
        <v>32</v>
      </c>
      <c r="H2249" s="6" t="s">
        <v>765</v>
      </c>
      <c r="I2249" s="6" t="s">
        <v>767</v>
      </c>
      <c r="J2249" s="6" t="s">
        <v>767</v>
      </c>
      <c r="K2249" s="7">
        <v>6260604</v>
      </c>
      <c r="L2249" s="7">
        <v>332862</v>
      </c>
      <c r="M2249" s="7">
        <v>19</v>
      </c>
      <c r="N2249" s="7">
        <v>2</v>
      </c>
      <c r="O2249" s="7">
        <v>1</v>
      </c>
    </row>
    <row r="2250" spans="1:15" x14ac:dyDescent="0.25">
      <c r="A2250" s="6" t="s">
        <v>28</v>
      </c>
      <c r="B2250" s="6" t="s">
        <v>522</v>
      </c>
      <c r="C2250" s="7">
        <v>33201</v>
      </c>
      <c r="D2250" s="6" t="s">
        <v>42</v>
      </c>
      <c r="E2250" s="6" t="s">
        <v>66</v>
      </c>
      <c r="F2250" s="6" t="s">
        <v>289</v>
      </c>
      <c r="G2250" s="6" t="s">
        <v>32</v>
      </c>
      <c r="H2250" s="6" t="s">
        <v>33</v>
      </c>
      <c r="I2250" s="6" t="s">
        <v>767</v>
      </c>
      <c r="J2250" s="6" t="s">
        <v>767</v>
      </c>
      <c r="K2250" s="7">
        <v>6237084</v>
      </c>
      <c r="L2250" s="7">
        <v>350357</v>
      </c>
      <c r="M2250" s="7">
        <v>19</v>
      </c>
      <c r="N2250" s="7">
        <v>1</v>
      </c>
      <c r="O2250" s="7">
        <v>4</v>
      </c>
    </row>
    <row r="2251" spans="1:15" x14ac:dyDescent="0.25">
      <c r="A2251" s="6" t="s">
        <v>28</v>
      </c>
      <c r="B2251" s="6" t="s">
        <v>522</v>
      </c>
      <c r="C2251" s="7">
        <v>33206</v>
      </c>
      <c r="D2251" s="6" t="s">
        <v>24</v>
      </c>
      <c r="E2251" s="6" t="s">
        <v>580</v>
      </c>
      <c r="F2251" s="6" t="s">
        <v>580</v>
      </c>
      <c r="G2251" s="6" t="s">
        <v>32</v>
      </c>
      <c r="H2251" s="6" t="s">
        <v>153</v>
      </c>
      <c r="I2251" s="6" t="s">
        <v>767</v>
      </c>
      <c r="J2251" s="6" t="s">
        <v>764</v>
      </c>
      <c r="K2251" s="7">
        <v>6323786</v>
      </c>
      <c r="L2251" s="7">
        <v>340618</v>
      </c>
      <c r="M2251" s="7">
        <v>19</v>
      </c>
      <c r="N2251" s="7">
        <v>4</v>
      </c>
      <c r="O2251" s="7">
        <v>6.12</v>
      </c>
    </row>
    <row r="2252" spans="1:15" x14ac:dyDescent="0.25">
      <c r="A2252" s="6" t="s">
        <v>28</v>
      </c>
      <c r="B2252" s="6" t="s">
        <v>522</v>
      </c>
      <c r="C2252" s="7">
        <v>33207</v>
      </c>
      <c r="D2252" s="6" t="s">
        <v>39</v>
      </c>
      <c r="E2252" s="6" t="s">
        <v>41</v>
      </c>
      <c r="F2252" s="6" t="s">
        <v>41</v>
      </c>
      <c r="G2252" s="6" t="s">
        <v>32</v>
      </c>
      <c r="H2252" s="6" t="s">
        <v>33</v>
      </c>
      <c r="I2252" s="6" t="s">
        <v>764</v>
      </c>
      <c r="J2252" s="6" t="s">
        <v>767</v>
      </c>
      <c r="K2252" s="7">
        <v>6121985</v>
      </c>
      <c r="L2252" s="7">
        <v>292301</v>
      </c>
      <c r="M2252" s="7">
        <v>19</v>
      </c>
      <c r="N2252" s="7">
        <v>1</v>
      </c>
      <c r="O2252" s="7">
        <v>8.1</v>
      </c>
    </row>
    <row r="2253" spans="1:15" x14ac:dyDescent="0.25">
      <c r="A2253" s="6" t="s">
        <v>28</v>
      </c>
      <c r="B2253" s="6" t="s">
        <v>522</v>
      </c>
      <c r="C2253" s="7">
        <v>33209</v>
      </c>
      <c r="D2253" s="6" t="s">
        <v>24</v>
      </c>
      <c r="E2253" s="6" t="s">
        <v>543</v>
      </c>
      <c r="F2253" s="6" t="s">
        <v>612</v>
      </c>
      <c r="G2253" s="6" t="s">
        <v>32</v>
      </c>
      <c r="H2253" s="6" t="s">
        <v>153</v>
      </c>
      <c r="I2253" s="6" t="s">
        <v>767</v>
      </c>
      <c r="J2253" s="6" t="s">
        <v>764</v>
      </c>
      <c r="K2253" s="7">
        <v>6319438</v>
      </c>
      <c r="L2253" s="7">
        <v>334685</v>
      </c>
      <c r="M2253" s="7">
        <v>19</v>
      </c>
      <c r="N2253" s="7">
        <v>1</v>
      </c>
      <c r="O2253" s="7">
        <v>6.19</v>
      </c>
    </row>
    <row r="2254" spans="1:15" x14ac:dyDescent="0.25">
      <c r="A2254" s="6" t="s">
        <v>28</v>
      </c>
      <c r="B2254" s="6" t="s">
        <v>522</v>
      </c>
      <c r="C2254" s="7">
        <v>33210</v>
      </c>
      <c r="D2254" s="6" t="s">
        <v>24</v>
      </c>
      <c r="E2254" s="6" t="s">
        <v>543</v>
      </c>
      <c r="F2254" s="6" t="s">
        <v>574</v>
      </c>
      <c r="G2254" s="6" t="s">
        <v>32</v>
      </c>
      <c r="H2254" s="6" t="s">
        <v>153</v>
      </c>
      <c r="I2254" s="6" t="s">
        <v>767</v>
      </c>
      <c r="J2254" s="6" t="s">
        <v>764</v>
      </c>
      <c r="K2254" s="7">
        <v>6311730</v>
      </c>
      <c r="L2254" s="7">
        <v>330661</v>
      </c>
      <c r="M2254" s="7">
        <v>19</v>
      </c>
      <c r="N2254" s="7">
        <v>1</v>
      </c>
      <c r="O2254" s="7">
        <v>4.8</v>
      </c>
    </row>
    <row r="2255" spans="1:15" x14ac:dyDescent="0.25">
      <c r="A2255" s="6" t="s">
        <v>28</v>
      </c>
      <c r="B2255" s="6" t="s">
        <v>522</v>
      </c>
      <c r="C2255" s="7">
        <v>33211</v>
      </c>
      <c r="D2255" s="6" t="s">
        <v>24</v>
      </c>
      <c r="E2255" s="6" t="s">
        <v>96</v>
      </c>
      <c r="F2255" s="6" t="s">
        <v>539</v>
      </c>
      <c r="G2255" s="6" t="s">
        <v>32</v>
      </c>
      <c r="H2255" s="6" t="s">
        <v>153</v>
      </c>
      <c r="I2255" s="6" t="s">
        <v>767</v>
      </c>
      <c r="J2255" s="6" t="s">
        <v>764</v>
      </c>
      <c r="K2255" s="7">
        <v>6261360</v>
      </c>
      <c r="L2255" s="7">
        <v>345031</v>
      </c>
      <c r="M2255" s="7">
        <v>19</v>
      </c>
      <c r="N2255" s="7">
        <v>1</v>
      </c>
      <c r="O2255" s="7">
        <v>8.1</v>
      </c>
    </row>
    <row r="2256" spans="1:15" x14ac:dyDescent="0.25">
      <c r="A2256" s="6" t="s">
        <v>28</v>
      </c>
      <c r="B2256" s="6" t="s">
        <v>522</v>
      </c>
      <c r="C2256" s="7">
        <v>33212</v>
      </c>
      <c r="D2256" s="6" t="s">
        <v>24</v>
      </c>
      <c r="E2256" s="6" t="s">
        <v>543</v>
      </c>
      <c r="F2256" s="6" t="s">
        <v>225</v>
      </c>
      <c r="G2256" s="6" t="s">
        <v>32</v>
      </c>
      <c r="H2256" s="6" t="s">
        <v>19</v>
      </c>
      <c r="I2256" s="6" t="s">
        <v>767</v>
      </c>
      <c r="J2256" s="6" t="s">
        <v>767</v>
      </c>
      <c r="K2256" s="7">
        <v>6305322</v>
      </c>
      <c r="L2256" s="7">
        <v>329381</v>
      </c>
      <c r="M2256" s="7">
        <v>19</v>
      </c>
      <c r="N2256" s="7">
        <v>1</v>
      </c>
      <c r="O2256" s="7">
        <v>0.4</v>
      </c>
    </row>
    <row r="2257" spans="1:15" x14ac:dyDescent="0.25">
      <c r="A2257" s="6" t="s">
        <v>28</v>
      </c>
      <c r="B2257" s="6" t="s">
        <v>522</v>
      </c>
      <c r="C2257" s="7">
        <v>33213</v>
      </c>
      <c r="D2257" s="6" t="s">
        <v>24</v>
      </c>
      <c r="E2257" s="6" t="s">
        <v>543</v>
      </c>
      <c r="F2257" s="6" t="s">
        <v>225</v>
      </c>
      <c r="G2257" s="6" t="s">
        <v>32</v>
      </c>
      <c r="H2257" s="6" t="s">
        <v>19</v>
      </c>
      <c r="I2257" s="6" t="s">
        <v>767</v>
      </c>
      <c r="J2257" s="6" t="s">
        <v>767</v>
      </c>
      <c r="K2257" s="7">
        <v>6306611</v>
      </c>
      <c r="L2257" s="7">
        <v>329847</v>
      </c>
      <c r="M2257" s="7">
        <v>19</v>
      </c>
      <c r="N2257" s="7">
        <v>1</v>
      </c>
      <c r="O2257" s="7">
        <v>0.38</v>
      </c>
    </row>
    <row r="2258" spans="1:15" x14ac:dyDescent="0.25">
      <c r="A2258" s="6" t="s">
        <v>28</v>
      </c>
      <c r="B2258" s="6" t="s">
        <v>522</v>
      </c>
      <c r="C2258" s="7">
        <v>33214</v>
      </c>
      <c r="D2258" s="6" t="s">
        <v>24</v>
      </c>
      <c r="E2258" s="6" t="s">
        <v>543</v>
      </c>
      <c r="F2258" s="6" t="s">
        <v>225</v>
      </c>
      <c r="G2258" s="6" t="s">
        <v>32</v>
      </c>
      <c r="H2258" s="6" t="s">
        <v>19</v>
      </c>
      <c r="I2258" s="6" t="s">
        <v>767</v>
      </c>
      <c r="J2258" s="6" t="s">
        <v>767</v>
      </c>
      <c r="K2258" s="7">
        <v>6306388</v>
      </c>
      <c r="L2258" s="7">
        <v>329712</v>
      </c>
      <c r="M2258" s="7">
        <v>19</v>
      </c>
      <c r="N2258" s="7">
        <v>1</v>
      </c>
      <c r="O2258" s="7">
        <v>0.39</v>
      </c>
    </row>
    <row r="2259" spans="1:15" x14ac:dyDescent="0.25">
      <c r="A2259" s="6" t="s">
        <v>28</v>
      </c>
      <c r="B2259" s="6" t="s">
        <v>522</v>
      </c>
      <c r="C2259" s="7">
        <v>33217</v>
      </c>
      <c r="D2259" s="6" t="s">
        <v>42</v>
      </c>
      <c r="E2259" s="6" t="s">
        <v>167</v>
      </c>
      <c r="F2259" s="6" t="s">
        <v>167</v>
      </c>
      <c r="G2259" s="6" t="s">
        <v>32</v>
      </c>
      <c r="H2259" s="6" t="s">
        <v>33</v>
      </c>
      <c r="I2259" s="6" t="s">
        <v>767</v>
      </c>
      <c r="J2259" s="6" t="s">
        <v>767</v>
      </c>
      <c r="K2259" s="7">
        <v>6227934</v>
      </c>
      <c r="L2259" s="7">
        <v>340657</v>
      </c>
      <c r="M2259" s="7">
        <v>19</v>
      </c>
      <c r="N2259" s="7">
        <v>1</v>
      </c>
      <c r="O2259" s="7">
        <v>12</v>
      </c>
    </row>
    <row r="2260" spans="1:15" x14ac:dyDescent="0.25">
      <c r="A2260" s="6" t="s">
        <v>28</v>
      </c>
      <c r="B2260" s="6" t="s">
        <v>522</v>
      </c>
      <c r="C2260" s="7">
        <v>33219</v>
      </c>
      <c r="D2260" s="6" t="s">
        <v>42</v>
      </c>
      <c r="E2260" s="6" t="s">
        <v>196</v>
      </c>
      <c r="F2260" s="6" t="s">
        <v>66</v>
      </c>
      <c r="G2260" s="6" t="s">
        <v>32</v>
      </c>
      <c r="H2260" s="6" t="s">
        <v>33</v>
      </c>
      <c r="I2260" s="6" t="s">
        <v>767</v>
      </c>
      <c r="J2260" s="6" t="s">
        <v>767</v>
      </c>
      <c r="K2260" s="7">
        <v>6231405</v>
      </c>
      <c r="L2260" s="7">
        <v>344206</v>
      </c>
      <c r="M2260" s="7">
        <v>19</v>
      </c>
      <c r="N2260" s="7">
        <v>1</v>
      </c>
      <c r="O2260" s="7">
        <v>2</v>
      </c>
    </row>
    <row r="2261" spans="1:15" x14ac:dyDescent="0.25">
      <c r="A2261" s="6" t="s">
        <v>28</v>
      </c>
      <c r="B2261" s="6" t="s">
        <v>522</v>
      </c>
      <c r="C2261" s="7">
        <v>33220</v>
      </c>
      <c r="D2261" s="6" t="s">
        <v>39</v>
      </c>
      <c r="E2261" s="6" t="s">
        <v>72</v>
      </c>
      <c r="F2261" s="6" t="s">
        <v>72</v>
      </c>
      <c r="G2261" s="6" t="s">
        <v>32</v>
      </c>
      <c r="H2261" s="6" t="s">
        <v>33</v>
      </c>
      <c r="I2261" s="6" t="s">
        <v>767</v>
      </c>
      <c r="J2261" s="6" t="s">
        <v>767</v>
      </c>
      <c r="K2261" s="7">
        <v>6065793</v>
      </c>
      <c r="L2261" s="7">
        <v>275534</v>
      </c>
      <c r="M2261" s="7">
        <v>19</v>
      </c>
      <c r="N2261" s="7">
        <v>2</v>
      </c>
      <c r="O2261" s="7">
        <v>21</v>
      </c>
    </row>
    <row r="2262" spans="1:15" x14ac:dyDescent="0.25">
      <c r="A2262" s="6" t="s">
        <v>14</v>
      </c>
      <c r="B2262" s="6" t="s">
        <v>522</v>
      </c>
      <c r="C2262" s="7">
        <v>33222</v>
      </c>
      <c r="D2262" s="6" t="s">
        <v>39</v>
      </c>
      <c r="E2262" s="6" t="s">
        <v>41</v>
      </c>
      <c r="F2262" s="6" t="s">
        <v>41</v>
      </c>
      <c r="G2262" s="6" t="s">
        <v>32</v>
      </c>
      <c r="H2262" s="6" t="s">
        <v>33</v>
      </c>
      <c r="I2262" s="6" t="s">
        <v>767</v>
      </c>
      <c r="J2262" s="6" t="s">
        <v>767</v>
      </c>
      <c r="K2262" s="7">
        <v>6120854</v>
      </c>
      <c r="L2262" s="7">
        <v>292912</v>
      </c>
      <c r="M2262" s="7">
        <v>19</v>
      </c>
      <c r="N2262" s="7">
        <v>3</v>
      </c>
      <c r="O2262" s="7">
        <v>9.1</v>
      </c>
    </row>
    <row r="2263" spans="1:15" x14ac:dyDescent="0.25">
      <c r="A2263" s="6" t="s">
        <v>14</v>
      </c>
      <c r="B2263" s="6" t="s">
        <v>522</v>
      </c>
      <c r="C2263" s="7">
        <v>33224</v>
      </c>
      <c r="D2263" s="6" t="s">
        <v>42</v>
      </c>
      <c r="E2263" s="6" t="s">
        <v>45</v>
      </c>
      <c r="F2263" s="6" t="s">
        <v>45</v>
      </c>
      <c r="G2263" s="6" t="s">
        <v>32</v>
      </c>
      <c r="H2263" s="6" t="s">
        <v>33</v>
      </c>
      <c r="I2263" s="6" t="s">
        <v>767</v>
      </c>
      <c r="J2263" s="6" t="s">
        <v>767</v>
      </c>
      <c r="K2263" s="7">
        <v>6168694</v>
      </c>
      <c r="L2263" s="7">
        <v>321276</v>
      </c>
      <c r="M2263" s="7">
        <v>19</v>
      </c>
      <c r="N2263" s="7">
        <v>1</v>
      </c>
      <c r="O2263" s="7">
        <v>2.5</v>
      </c>
    </row>
    <row r="2264" spans="1:15" x14ac:dyDescent="0.25">
      <c r="A2264" s="6" t="s">
        <v>28</v>
      </c>
      <c r="B2264" s="6" t="s">
        <v>522</v>
      </c>
      <c r="C2264" s="7">
        <v>33225</v>
      </c>
      <c r="D2264" s="6" t="s">
        <v>42</v>
      </c>
      <c r="E2264" s="6" t="s">
        <v>173</v>
      </c>
      <c r="F2264" s="6" t="s">
        <v>173</v>
      </c>
      <c r="G2264" s="6" t="s">
        <v>32</v>
      </c>
      <c r="H2264" s="6" t="s">
        <v>33</v>
      </c>
      <c r="I2264" s="6" t="s">
        <v>767</v>
      </c>
      <c r="J2264" s="6" t="s">
        <v>767</v>
      </c>
      <c r="K2264" s="7">
        <v>6146723</v>
      </c>
      <c r="L2264" s="7">
        <v>316339</v>
      </c>
      <c r="M2264" s="7">
        <v>19</v>
      </c>
      <c r="N2264" s="7">
        <v>1</v>
      </c>
      <c r="O2264" s="7">
        <v>3</v>
      </c>
    </row>
    <row r="2265" spans="1:15" x14ac:dyDescent="0.25">
      <c r="A2265" s="6" t="s">
        <v>28</v>
      </c>
      <c r="B2265" s="6" t="s">
        <v>522</v>
      </c>
      <c r="C2265" s="7">
        <v>33226</v>
      </c>
      <c r="D2265" s="6" t="s">
        <v>42</v>
      </c>
      <c r="E2265" s="6" t="s">
        <v>51</v>
      </c>
      <c r="F2265" s="6" t="s">
        <v>613</v>
      </c>
      <c r="G2265" s="6" t="s">
        <v>32</v>
      </c>
      <c r="H2265" s="6" t="s">
        <v>33</v>
      </c>
      <c r="I2265" s="6" t="s">
        <v>767</v>
      </c>
      <c r="J2265" s="6" t="s">
        <v>764</v>
      </c>
      <c r="K2265" s="7">
        <v>6153629</v>
      </c>
      <c r="L2265" s="7">
        <v>313953</v>
      </c>
      <c r="M2265" s="7">
        <v>19</v>
      </c>
      <c r="N2265" s="7">
        <v>1</v>
      </c>
      <c r="O2265" s="7">
        <v>7</v>
      </c>
    </row>
    <row r="2266" spans="1:15" x14ac:dyDescent="0.25">
      <c r="A2266" s="6" t="s">
        <v>28</v>
      </c>
      <c r="B2266" s="6" t="s">
        <v>522</v>
      </c>
      <c r="C2266" s="7">
        <v>33227</v>
      </c>
      <c r="D2266" s="6" t="s">
        <v>42</v>
      </c>
      <c r="E2266" s="6" t="s">
        <v>66</v>
      </c>
      <c r="F2266" s="6" t="s">
        <v>289</v>
      </c>
      <c r="G2266" s="6" t="s">
        <v>32</v>
      </c>
      <c r="H2266" s="6" t="s">
        <v>33</v>
      </c>
      <c r="I2266" s="6" t="s">
        <v>767</v>
      </c>
      <c r="J2266" s="6" t="s">
        <v>767</v>
      </c>
      <c r="K2266" s="7">
        <v>6237107</v>
      </c>
      <c r="L2266" s="7">
        <v>350853</v>
      </c>
      <c r="M2266" s="7">
        <v>19</v>
      </c>
      <c r="N2266" s="7">
        <v>1</v>
      </c>
      <c r="O2266" s="7">
        <v>2.9</v>
      </c>
    </row>
    <row r="2267" spans="1:15" x14ac:dyDescent="0.25">
      <c r="A2267" s="6" t="s">
        <v>28</v>
      </c>
      <c r="B2267" s="6" t="s">
        <v>522</v>
      </c>
      <c r="C2267" s="7">
        <v>33229</v>
      </c>
      <c r="D2267" s="6" t="s">
        <v>42</v>
      </c>
      <c r="E2267" s="6" t="s">
        <v>51</v>
      </c>
      <c r="F2267" s="6" t="s">
        <v>51</v>
      </c>
      <c r="G2267" s="6" t="s">
        <v>32</v>
      </c>
      <c r="H2267" s="6" t="s">
        <v>33</v>
      </c>
      <c r="I2267" s="6" t="s">
        <v>767</v>
      </c>
      <c r="J2267" s="6" t="s">
        <v>767</v>
      </c>
      <c r="K2267" s="7">
        <v>6147846</v>
      </c>
      <c r="L2267" s="7">
        <v>311764</v>
      </c>
      <c r="M2267" s="7">
        <v>19</v>
      </c>
      <c r="N2267" s="7">
        <v>2</v>
      </c>
      <c r="O2267" s="7">
        <v>13</v>
      </c>
    </row>
    <row r="2268" spans="1:15" x14ac:dyDescent="0.25">
      <c r="A2268" s="6" t="s">
        <v>28</v>
      </c>
      <c r="B2268" s="6" t="s">
        <v>522</v>
      </c>
      <c r="C2268" s="7">
        <v>33231</v>
      </c>
      <c r="D2268" s="6" t="s">
        <v>39</v>
      </c>
      <c r="E2268" s="6" t="s">
        <v>40</v>
      </c>
      <c r="F2268" s="6" t="s">
        <v>555</v>
      </c>
      <c r="G2268" s="6" t="s">
        <v>32</v>
      </c>
      <c r="H2268" s="6" t="s">
        <v>33</v>
      </c>
      <c r="I2268" s="6" t="s">
        <v>767</v>
      </c>
      <c r="J2268" s="6" t="s">
        <v>767</v>
      </c>
      <c r="K2268" s="7">
        <v>6132674</v>
      </c>
      <c r="L2268" s="7">
        <v>300861</v>
      </c>
      <c r="M2268" s="7">
        <v>19</v>
      </c>
      <c r="N2268" s="7">
        <v>1</v>
      </c>
      <c r="O2268" s="7">
        <v>12</v>
      </c>
    </row>
    <row r="2269" spans="1:15" x14ac:dyDescent="0.25">
      <c r="A2269" s="6" t="s">
        <v>28</v>
      </c>
      <c r="B2269" s="6" t="s">
        <v>522</v>
      </c>
      <c r="C2269" s="7">
        <v>33234</v>
      </c>
      <c r="D2269" s="6" t="s">
        <v>42</v>
      </c>
      <c r="E2269" s="6" t="s">
        <v>66</v>
      </c>
      <c r="F2269" s="6" t="s">
        <v>289</v>
      </c>
      <c r="G2269" s="6" t="s">
        <v>32</v>
      </c>
      <c r="H2269" s="6" t="s">
        <v>33</v>
      </c>
      <c r="I2269" s="6" t="s">
        <v>767</v>
      </c>
      <c r="J2269" s="6" t="s">
        <v>764</v>
      </c>
      <c r="K2269" s="7">
        <v>6237207</v>
      </c>
      <c r="L2269" s="7">
        <v>350013</v>
      </c>
      <c r="M2269" s="7">
        <v>19</v>
      </c>
      <c r="N2269" s="7">
        <v>1</v>
      </c>
      <c r="O2269" s="7">
        <v>3.5</v>
      </c>
    </row>
    <row r="2270" spans="1:15" x14ac:dyDescent="0.25">
      <c r="A2270" s="6" t="s">
        <v>28</v>
      </c>
      <c r="B2270" s="6" t="s">
        <v>522</v>
      </c>
      <c r="C2270" s="7">
        <v>33236</v>
      </c>
      <c r="D2270" s="6" t="s">
        <v>39</v>
      </c>
      <c r="E2270" s="6" t="s">
        <v>436</v>
      </c>
      <c r="F2270" s="6" t="s">
        <v>53</v>
      </c>
      <c r="G2270" s="6" t="s">
        <v>32</v>
      </c>
      <c r="H2270" s="6" t="s">
        <v>33</v>
      </c>
      <c r="I2270" s="6" t="s">
        <v>764</v>
      </c>
      <c r="J2270" s="6" t="s">
        <v>767</v>
      </c>
      <c r="K2270" s="7">
        <v>6142243</v>
      </c>
      <c r="L2270" s="7">
        <v>306694</v>
      </c>
      <c r="M2270" s="7">
        <v>19</v>
      </c>
      <c r="N2270" s="7">
        <v>4</v>
      </c>
      <c r="O2270" s="7">
        <v>24.5</v>
      </c>
    </row>
    <row r="2271" spans="1:15" x14ac:dyDescent="0.25">
      <c r="A2271" s="6" t="s">
        <v>28</v>
      </c>
      <c r="B2271" s="6" t="s">
        <v>522</v>
      </c>
      <c r="C2271" s="7">
        <v>33241</v>
      </c>
      <c r="D2271" s="6" t="s">
        <v>24</v>
      </c>
      <c r="E2271" s="6" t="s">
        <v>31</v>
      </c>
      <c r="F2271" s="6" t="s">
        <v>415</v>
      </c>
      <c r="G2271" s="6" t="s">
        <v>32</v>
      </c>
      <c r="H2271" s="6" t="s">
        <v>153</v>
      </c>
      <c r="I2271" s="6" t="s">
        <v>767</v>
      </c>
      <c r="J2271" s="6" t="s">
        <v>764</v>
      </c>
      <c r="K2271" s="7">
        <v>6275950</v>
      </c>
      <c r="L2271" s="7">
        <v>296262</v>
      </c>
      <c r="M2271" s="7">
        <v>19</v>
      </c>
      <c r="N2271" s="7">
        <v>1</v>
      </c>
      <c r="O2271" s="7">
        <v>5</v>
      </c>
    </row>
    <row r="2272" spans="1:15" x14ac:dyDescent="0.25">
      <c r="A2272" s="6" t="s">
        <v>28</v>
      </c>
      <c r="B2272" s="6" t="s">
        <v>522</v>
      </c>
      <c r="C2272" s="7">
        <v>33242</v>
      </c>
      <c r="D2272" s="6" t="s">
        <v>24</v>
      </c>
      <c r="E2272" s="6" t="s">
        <v>96</v>
      </c>
      <c r="F2272" s="6" t="s">
        <v>587</v>
      </c>
      <c r="G2272" s="6" t="s">
        <v>32</v>
      </c>
      <c r="H2272" s="6" t="s">
        <v>153</v>
      </c>
      <c r="I2272" s="6" t="s">
        <v>767</v>
      </c>
      <c r="J2272" s="6" t="s">
        <v>764</v>
      </c>
      <c r="K2272" s="7">
        <v>6261314</v>
      </c>
      <c r="L2272" s="7">
        <v>347199</v>
      </c>
      <c r="M2272" s="7">
        <v>19</v>
      </c>
      <c r="N2272" s="7">
        <v>1</v>
      </c>
      <c r="O2272" s="7">
        <v>4.8899999999999997</v>
      </c>
    </row>
    <row r="2273" spans="1:15" x14ac:dyDescent="0.25">
      <c r="A2273" s="6" t="s">
        <v>28</v>
      </c>
      <c r="B2273" s="6" t="s">
        <v>522</v>
      </c>
      <c r="C2273" s="7">
        <v>33243</v>
      </c>
      <c r="D2273" s="6" t="s">
        <v>24</v>
      </c>
      <c r="E2273" s="6" t="s">
        <v>96</v>
      </c>
      <c r="F2273" s="6" t="s">
        <v>614</v>
      </c>
      <c r="G2273" s="6" t="s">
        <v>32</v>
      </c>
      <c r="H2273" s="6" t="s">
        <v>153</v>
      </c>
      <c r="I2273" s="6" t="s">
        <v>767</v>
      </c>
      <c r="J2273" s="6" t="s">
        <v>764</v>
      </c>
      <c r="K2273" s="7">
        <v>6259823</v>
      </c>
      <c r="L2273" s="7">
        <v>344934</v>
      </c>
      <c r="M2273" s="7">
        <v>19</v>
      </c>
      <c r="N2273" s="7">
        <v>1</v>
      </c>
      <c r="O2273" s="7">
        <v>4</v>
      </c>
    </row>
    <row r="2274" spans="1:15" x14ac:dyDescent="0.25">
      <c r="A2274" s="6" t="s">
        <v>28</v>
      </c>
      <c r="B2274" s="6" t="s">
        <v>522</v>
      </c>
      <c r="C2274" s="7">
        <v>33244</v>
      </c>
      <c r="D2274" s="6" t="s">
        <v>24</v>
      </c>
      <c r="E2274" s="6" t="s">
        <v>31</v>
      </c>
      <c r="F2274" s="6" t="s">
        <v>415</v>
      </c>
      <c r="G2274" s="6" t="s">
        <v>32</v>
      </c>
      <c r="H2274" s="6" t="s">
        <v>153</v>
      </c>
      <c r="I2274" s="6" t="s">
        <v>767</v>
      </c>
      <c r="J2274" s="6" t="s">
        <v>764</v>
      </c>
      <c r="K2274" s="7">
        <v>6277553</v>
      </c>
      <c r="L2274" s="7">
        <v>298584</v>
      </c>
      <c r="M2274" s="7">
        <v>19</v>
      </c>
      <c r="N2274" s="7">
        <v>1</v>
      </c>
      <c r="O2274" s="7">
        <v>2.4</v>
      </c>
    </row>
    <row r="2275" spans="1:15" x14ac:dyDescent="0.25">
      <c r="A2275" s="6" t="s">
        <v>28</v>
      </c>
      <c r="B2275" s="6" t="s">
        <v>522</v>
      </c>
      <c r="C2275" s="7">
        <v>33245</v>
      </c>
      <c r="D2275" s="6" t="s">
        <v>24</v>
      </c>
      <c r="E2275" s="6" t="s">
        <v>31</v>
      </c>
      <c r="F2275" s="6" t="s">
        <v>415</v>
      </c>
      <c r="G2275" s="6" t="s">
        <v>32</v>
      </c>
      <c r="H2275" s="6" t="s">
        <v>19</v>
      </c>
      <c r="I2275" s="6" t="s">
        <v>767</v>
      </c>
      <c r="J2275" s="6" t="s">
        <v>767</v>
      </c>
      <c r="K2275" s="7">
        <v>6277261</v>
      </c>
      <c r="L2275" s="7">
        <v>298275</v>
      </c>
      <c r="M2275" s="7">
        <v>19</v>
      </c>
      <c r="N2275" s="7">
        <v>1</v>
      </c>
      <c r="O2275" s="7">
        <v>1</v>
      </c>
    </row>
    <row r="2276" spans="1:15" x14ac:dyDescent="0.25">
      <c r="A2276" s="6" t="s">
        <v>28</v>
      </c>
      <c r="B2276" s="6" t="s">
        <v>522</v>
      </c>
      <c r="C2276" s="7">
        <v>33246</v>
      </c>
      <c r="D2276" s="6" t="s">
        <v>24</v>
      </c>
      <c r="E2276" s="6" t="s">
        <v>56</v>
      </c>
      <c r="F2276" s="6" t="s">
        <v>418</v>
      </c>
      <c r="G2276" s="6" t="s">
        <v>32</v>
      </c>
      <c r="H2276" s="6" t="s">
        <v>19</v>
      </c>
      <c r="I2276" s="6" t="s">
        <v>767</v>
      </c>
      <c r="J2276" s="6" t="s">
        <v>767</v>
      </c>
      <c r="K2276" s="7">
        <v>6273522</v>
      </c>
      <c r="L2276" s="7">
        <v>335027</v>
      </c>
      <c r="M2276" s="7">
        <v>19</v>
      </c>
      <c r="N2276" s="7">
        <v>1</v>
      </c>
      <c r="O2276" s="7">
        <v>1</v>
      </c>
    </row>
    <row r="2277" spans="1:15" x14ac:dyDescent="0.25">
      <c r="A2277" s="6" t="s">
        <v>28</v>
      </c>
      <c r="B2277" s="6" t="s">
        <v>522</v>
      </c>
      <c r="C2277" s="7">
        <v>33247</v>
      </c>
      <c r="D2277" s="6" t="s">
        <v>42</v>
      </c>
      <c r="E2277" s="6" t="s">
        <v>167</v>
      </c>
      <c r="F2277" s="6" t="s">
        <v>537</v>
      </c>
      <c r="G2277" s="6" t="s">
        <v>32</v>
      </c>
      <c r="H2277" s="6" t="s">
        <v>33</v>
      </c>
      <c r="I2277" s="6" t="s">
        <v>767</v>
      </c>
      <c r="J2277" s="6" t="s">
        <v>764</v>
      </c>
      <c r="K2277" s="7">
        <v>6224454</v>
      </c>
      <c r="L2277" s="7">
        <v>343551</v>
      </c>
      <c r="M2277" s="7">
        <v>19</v>
      </c>
      <c r="N2277" s="7">
        <v>1</v>
      </c>
      <c r="O2277" s="7">
        <v>2.8</v>
      </c>
    </row>
    <row r="2278" spans="1:15" x14ac:dyDescent="0.25">
      <c r="A2278" s="6" t="s">
        <v>28</v>
      </c>
      <c r="B2278" s="6" t="s">
        <v>522</v>
      </c>
      <c r="C2278" s="7">
        <v>33248</v>
      </c>
      <c r="D2278" s="6" t="s">
        <v>24</v>
      </c>
      <c r="E2278" s="6" t="s">
        <v>31</v>
      </c>
      <c r="F2278" s="6" t="s">
        <v>415</v>
      </c>
      <c r="G2278" s="6" t="s">
        <v>32</v>
      </c>
      <c r="H2278" s="6" t="s">
        <v>19</v>
      </c>
      <c r="I2278" s="6" t="s">
        <v>767</v>
      </c>
      <c r="J2278" s="6" t="s">
        <v>767</v>
      </c>
      <c r="K2278" s="7">
        <v>6277553</v>
      </c>
      <c r="L2278" s="7">
        <v>298584</v>
      </c>
      <c r="M2278" s="7">
        <v>19</v>
      </c>
      <c r="N2278" s="7">
        <v>1</v>
      </c>
      <c r="O2278" s="7">
        <v>1.2</v>
      </c>
    </row>
    <row r="2279" spans="1:15" x14ac:dyDescent="0.25">
      <c r="A2279" s="6" t="s">
        <v>28</v>
      </c>
      <c r="B2279" s="6" t="s">
        <v>522</v>
      </c>
      <c r="C2279" s="7">
        <v>33274</v>
      </c>
      <c r="D2279" s="6" t="s">
        <v>24</v>
      </c>
      <c r="E2279" s="6" t="s">
        <v>96</v>
      </c>
      <c r="F2279" s="6" t="s">
        <v>539</v>
      </c>
      <c r="G2279" s="6" t="s">
        <v>32</v>
      </c>
      <c r="H2279" s="6" t="s">
        <v>153</v>
      </c>
      <c r="I2279" s="6" t="s">
        <v>767</v>
      </c>
      <c r="J2279" s="6" t="s">
        <v>764</v>
      </c>
      <c r="K2279" s="7">
        <v>6260169</v>
      </c>
      <c r="L2279" s="7">
        <v>345941</v>
      </c>
      <c r="M2279" s="7">
        <v>19</v>
      </c>
      <c r="N2279" s="7">
        <v>1</v>
      </c>
      <c r="O2279" s="7">
        <v>3.65</v>
      </c>
    </row>
    <row r="2280" spans="1:15" x14ac:dyDescent="0.25">
      <c r="A2280" s="6" t="s">
        <v>28</v>
      </c>
      <c r="B2280" s="6" t="s">
        <v>522</v>
      </c>
      <c r="C2280" s="7">
        <v>33275</v>
      </c>
      <c r="D2280" s="6" t="s">
        <v>24</v>
      </c>
      <c r="E2280" s="6" t="s">
        <v>580</v>
      </c>
      <c r="F2280" s="6" t="s">
        <v>580</v>
      </c>
      <c r="G2280" s="6" t="s">
        <v>32</v>
      </c>
      <c r="H2280" s="6" t="s">
        <v>19</v>
      </c>
      <c r="I2280" s="6" t="s">
        <v>767</v>
      </c>
      <c r="J2280" s="6" t="s">
        <v>767</v>
      </c>
      <c r="K2280" s="7">
        <v>6323301</v>
      </c>
      <c r="L2280" s="7">
        <v>341017</v>
      </c>
      <c r="M2280" s="7">
        <v>19</v>
      </c>
      <c r="N2280" s="7">
        <v>1</v>
      </c>
      <c r="O2280" s="7">
        <v>3.7</v>
      </c>
    </row>
    <row r="2281" spans="1:15" x14ac:dyDescent="0.25">
      <c r="A2281" s="6" t="s">
        <v>28</v>
      </c>
      <c r="B2281" s="6" t="s">
        <v>522</v>
      </c>
      <c r="C2281" s="7">
        <v>33276</v>
      </c>
      <c r="D2281" s="6" t="s">
        <v>24</v>
      </c>
      <c r="E2281" s="6" t="s">
        <v>543</v>
      </c>
      <c r="F2281" s="6" t="s">
        <v>612</v>
      </c>
      <c r="G2281" s="6" t="s">
        <v>32</v>
      </c>
      <c r="H2281" s="6" t="s">
        <v>19</v>
      </c>
      <c r="I2281" s="6" t="s">
        <v>767</v>
      </c>
      <c r="J2281" s="6" t="s">
        <v>767</v>
      </c>
      <c r="K2281" s="7">
        <v>6319265</v>
      </c>
      <c r="L2281" s="7">
        <v>334064</v>
      </c>
      <c r="M2281" s="7">
        <v>19</v>
      </c>
      <c r="N2281" s="7">
        <v>1</v>
      </c>
      <c r="O2281" s="7">
        <v>1.05</v>
      </c>
    </row>
    <row r="2282" spans="1:15" x14ac:dyDescent="0.25">
      <c r="A2282" s="6" t="s">
        <v>28</v>
      </c>
      <c r="B2282" s="6" t="s">
        <v>522</v>
      </c>
      <c r="C2282" s="7">
        <v>33277</v>
      </c>
      <c r="D2282" s="6" t="s">
        <v>24</v>
      </c>
      <c r="E2282" s="6" t="s">
        <v>56</v>
      </c>
      <c r="F2282" s="6" t="s">
        <v>548</v>
      </c>
      <c r="G2282" s="6" t="s">
        <v>32</v>
      </c>
      <c r="H2282" s="6" t="s">
        <v>19</v>
      </c>
      <c r="I2282" s="6" t="s">
        <v>767</v>
      </c>
      <c r="J2282" s="6" t="s">
        <v>767</v>
      </c>
      <c r="K2282" s="7">
        <v>6287571</v>
      </c>
      <c r="L2282" s="7">
        <v>339598</v>
      </c>
      <c r="M2282" s="7">
        <v>19</v>
      </c>
      <c r="N2282" s="7">
        <v>1</v>
      </c>
      <c r="O2282" s="7">
        <v>0.95</v>
      </c>
    </row>
    <row r="2283" spans="1:15" x14ac:dyDescent="0.25">
      <c r="A2283" s="6" t="s">
        <v>28</v>
      </c>
      <c r="B2283" s="6" t="s">
        <v>522</v>
      </c>
      <c r="C2283" s="7">
        <v>33278</v>
      </c>
      <c r="D2283" s="6" t="s">
        <v>24</v>
      </c>
      <c r="E2283" s="6" t="s">
        <v>25</v>
      </c>
      <c r="F2283" s="6" t="s">
        <v>445</v>
      </c>
      <c r="G2283" s="6" t="s">
        <v>32</v>
      </c>
      <c r="H2283" s="6" t="s">
        <v>153</v>
      </c>
      <c r="I2283" s="6" t="s">
        <v>767</v>
      </c>
      <c r="J2283" s="6" t="s">
        <v>764</v>
      </c>
      <c r="K2283" s="7">
        <v>6259920</v>
      </c>
      <c r="L2283" s="7">
        <v>337447</v>
      </c>
      <c r="M2283" s="7">
        <v>19</v>
      </c>
      <c r="N2283" s="7">
        <v>1</v>
      </c>
      <c r="O2283" s="7">
        <v>3.6</v>
      </c>
    </row>
    <row r="2284" spans="1:15" x14ac:dyDescent="0.25">
      <c r="A2284" s="6" t="s">
        <v>28</v>
      </c>
      <c r="B2284" s="6" t="s">
        <v>522</v>
      </c>
      <c r="C2284" s="7">
        <v>33279</v>
      </c>
      <c r="D2284" s="6" t="s">
        <v>24</v>
      </c>
      <c r="E2284" s="6" t="s">
        <v>25</v>
      </c>
      <c r="F2284" s="6" t="s">
        <v>445</v>
      </c>
      <c r="G2284" s="6" t="s">
        <v>32</v>
      </c>
      <c r="H2284" s="6" t="s">
        <v>19</v>
      </c>
      <c r="I2284" s="6" t="s">
        <v>767</v>
      </c>
      <c r="J2284" s="6" t="s">
        <v>767</v>
      </c>
      <c r="K2284" s="7">
        <v>6259630</v>
      </c>
      <c r="L2284" s="7">
        <v>337080</v>
      </c>
      <c r="M2284" s="7">
        <v>19</v>
      </c>
      <c r="N2284" s="7">
        <v>1</v>
      </c>
      <c r="O2284" s="7">
        <v>0.28000000000000003</v>
      </c>
    </row>
    <row r="2285" spans="1:15" x14ac:dyDescent="0.25">
      <c r="A2285" s="6" t="s">
        <v>28</v>
      </c>
      <c r="B2285" s="6" t="s">
        <v>522</v>
      </c>
      <c r="C2285" s="7">
        <v>33280</v>
      </c>
      <c r="D2285" s="6" t="s">
        <v>24</v>
      </c>
      <c r="E2285" s="6" t="s">
        <v>56</v>
      </c>
      <c r="F2285" s="6" t="s">
        <v>418</v>
      </c>
      <c r="G2285" s="6" t="s">
        <v>32</v>
      </c>
      <c r="H2285" s="6" t="s">
        <v>19</v>
      </c>
      <c r="I2285" s="6" t="s">
        <v>767</v>
      </c>
      <c r="J2285" s="6" t="s">
        <v>767</v>
      </c>
      <c r="K2285" s="7">
        <v>6305154</v>
      </c>
      <c r="L2285" s="7">
        <v>331519</v>
      </c>
      <c r="M2285" s="7">
        <v>19</v>
      </c>
      <c r="N2285" s="7">
        <v>1</v>
      </c>
      <c r="O2285" s="7">
        <v>1.59</v>
      </c>
    </row>
    <row r="2286" spans="1:15" x14ac:dyDescent="0.25">
      <c r="A2286" s="6" t="s">
        <v>28</v>
      </c>
      <c r="B2286" s="6" t="s">
        <v>522</v>
      </c>
      <c r="C2286" s="7">
        <v>33281</v>
      </c>
      <c r="D2286" s="6" t="s">
        <v>24</v>
      </c>
      <c r="E2286" s="6" t="s">
        <v>436</v>
      </c>
      <c r="F2286" s="6" t="s">
        <v>532</v>
      </c>
      <c r="G2286" s="6" t="s">
        <v>32</v>
      </c>
      <c r="H2286" s="6" t="s">
        <v>19</v>
      </c>
      <c r="I2286" s="6" t="s">
        <v>767</v>
      </c>
      <c r="J2286" s="6" t="s">
        <v>767</v>
      </c>
      <c r="K2286" s="7">
        <v>6278380</v>
      </c>
      <c r="L2286" s="7">
        <v>338606</v>
      </c>
      <c r="M2286" s="7">
        <v>19</v>
      </c>
      <c r="N2286" s="7">
        <v>1</v>
      </c>
      <c r="O2286" s="7">
        <v>0.3</v>
      </c>
    </row>
    <row r="2287" spans="1:15" x14ac:dyDescent="0.25">
      <c r="A2287" s="6" t="s">
        <v>28</v>
      </c>
      <c r="B2287" s="6" t="s">
        <v>522</v>
      </c>
      <c r="C2287" s="7">
        <v>33282</v>
      </c>
      <c r="D2287" s="6" t="s">
        <v>24</v>
      </c>
      <c r="E2287" s="6" t="s">
        <v>38</v>
      </c>
      <c r="F2287" s="6" t="s">
        <v>615</v>
      </c>
      <c r="G2287" s="6" t="s">
        <v>32</v>
      </c>
      <c r="H2287" s="6" t="s">
        <v>19</v>
      </c>
      <c r="I2287" s="6" t="s">
        <v>767</v>
      </c>
      <c r="J2287" s="6" t="s">
        <v>767</v>
      </c>
      <c r="K2287" s="7">
        <v>6271047</v>
      </c>
      <c r="L2287" s="7">
        <v>310119</v>
      </c>
      <c r="M2287" s="7">
        <v>19</v>
      </c>
      <c r="N2287" s="7">
        <v>1</v>
      </c>
      <c r="O2287" s="7">
        <v>1.04</v>
      </c>
    </row>
    <row r="2288" spans="1:15" x14ac:dyDescent="0.25">
      <c r="A2288" s="6" t="s">
        <v>28</v>
      </c>
      <c r="B2288" s="6" t="s">
        <v>522</v>
      </c>
      <c r="C2288" s="7">
        <v>33283</v>
      </c>
      <c r="D2288" s="6" t="s">
        <v>24</v>
      </c>
      <c r="E2288" s="6" t="s">
        <v>429</v>
      </c>
      <c r="F2288" s="6" t="s">
        <v>491</v>
      </c>
      <c r="G2288" s="6" t="s">
        <v>32</v>
      </c>
      <c r="H2288" s="6" t="s">
        <v>19</v>
      </c>
      <c r="I2288" s="6" t="s">
        <v>767</v>
      </c>
      <c r="J2288" s="6" t="s">
        <v>767</v>
      </c>
      <c r="K2288" s="7">
        <v>6304952</v>
      </c>
      <c r="L2288" s="7">
        <v>328044</v>
      </c>
      <c r="M2288" s="7">
        <v>19</v>
      </c>
      <c r="N2288" s="7">
        <v>1</v>
      </c>
      <c r="O2288" s="7">
        <v>0.28000000000000003</v>
      </c>
    </row>
    <row r="2289" spans="1:15" x14ac:dyDescent="0.25">
      <c r="A2289" s="6" t="s">
        <v>28</v>
      </c>
      <c r="B2289" s="6" t="s">
        <v>522</v>
      </c>
      <c r="C2289" s="7">
        <v>33284</v>
      </c>
      <c r="D2289" s="6" t="s">
        <v>24</v>
      </c>
      <c r="E2289" s="6" t="s">
        <v>436</v>
      </c>
      <c r="F2289" s="6" t="s">
        <v>532</v>
      </c>
      <c r="G2289" s="6" t="s">
        <v>32</v>
      </c>
      <c r="H2289" s="6" t="s">
        <v>19</v>
      </c>
      <c r="I2289" s="6" t="s">
        <v>767</v>
      </c>
      <c r="J2289" s="6" t="s">
        <v>767</v>
      </c>
      <c r="K2289" s="7">
        <v>6278294</v>
      </c>
      <c r="L2289" s="7">
        <v>338856</v>
      </c>
      <c r="M2289" s="7">
        <v>19</v>
      </c>
      <c r="N2289" s="7">
        <v>1</v>
      </c>
      <c r="O2289" s="7">
        <v>0.27</v>
      </c>
    </row>
    <row r="2290" spans="1:15" x14ac:dyDescent="0.25">
      <c r="A2290" s="6" t="s">
        <v>28</v>
      </c>
      <c r="B2290" s="6" t="s">
        <v>522</v>
      </c>
      <c r="C2290" s="7">
        <v>33285</v>
      </c>
      <c r="D2290" s="6" t="s">
        <v>24</v>
      </c>
      <c r="E2290" s="6" t="s">
        <v>25</v>
      </c>
      <c r="F2290" s="6" t="s">
        <v>445</v>
      </c>
      <c r="G2290" s="6" t="s">
        <v>32</v>
      </c>
      <c r="H2290" s="6" t="s">
        <v>19</v>
      </c>
      <c r="I2290" s="6" t="s">
        <v>767</v>
      </c>
      <c r="J2290" s="6" t="s">
        <v>767</v>
      </c>
      <c r="K2290" s="7">
        <v>6261474</v>
      </c>
      <c r="L2290" s="7">
        <v>337266</v>
      </c>
      <c r="M2290" s="7">
        <v>19</v>
      </c>
      <c r="N2290" s="7">
        <v>1</v>
      </c>
      <c r="O2290" s="7">
        <v>0.31</v>
      </c>
    </row>
    <row r="2291" spans="1:15" x14ac:dyDescent="0.25">
      <c r="A2291" s="6" t="s">
        <v>28</v>
      </c>
      <c r="B2291" s="6" t="s">
        <v>522</v>
      </c>
      <c r="C2291" s="7">
        <v>33286</v>
      </c>
      <c r="D2291" s="6" t="s">
        <v>24</v>
      </c>
      <c r="E2291" s="6" t="s">
        <v>37</v>
      </c>
      <c r="F2291" s="6" t="s">
        <v>616</v>
      </c>
      <c r="G2291" s="6" t="s">
        <v>32</v>
      </c>
      <c r="H2291" s="6" t="s">
        <v>19</v>
      </c>
      <c r="I2291" s="6" t="s">
        <v>767</v>
      </c>
      <c r="J2291" s="6" t="s">
        <v>767</v>
      </c>
      <c r="K2291" s="7">
        <v>6275800</v>
      </c>
      <c r="L2291" s="7">
        <v>322019</v>
      </c>
      <c r="M2291" s="7">
        <v>19</v>
      </c>
      <c r="N2291" s="7">
        <v>1</v>
      </c>
      <c r="O2291" s="7">
        <v>1.1000000000000001</v>
      </c>
    </row>
    <row r="2292" spans="1:15" x14ac:dyDescent="0.25">
      <c r="A2292" s="6" t="s">
        <v>28</v>
      </c>
      <c r="B2292" s="6" t="s">
        <v>522</v>
      </c>
      <c r="C2292" s="7">
        <v>33287</v>
      </c>
      <c r="D2292" s="6" t="s">
        <v>24</v>
      </c>
      <c r="E2292" s="6" t="s">
        <v>96</v>
      </c>
      <c r="F2292" s="6" t="s">
        <v>617</v>
      </c>
      <c r="G2292" s="6" t="s">
        <v>32</v>
      </c>
      <c r="H2292" s="6" t="s">
        <v>153</v>
      </c>
      <c r="I2292" s="6" t="s">
        <v>767</v>
      </c>
      <c r="J2292" s="6" t="s">
        <v>764</v>
      </c>
      <c r="K2292" s="7">
        <v>6261147</v>
      </c>
      <c r="L2292" s="7">
        <v>344633</v>
      </c>
      <c r="M2292" s="7">
        <v>19</v>
      </c>
      <c r="N2292" s="7">
        <v>1</v>
      </c>
      <c r="O2292" s="7">
        <v>5.1100000000000003</v>
      </c>
    </row>
    <row r="2293" spans="1:15" x14ac:dyDescent="0.25">
      <c r="A2293" s="6" t="s">
        <v>28</v>
      </c>
      <c r="B2293" s="6" t="s">
        <v>522</v>
      </c>
      <c r="C2293" s="7">
        <v>33288</v>
      </c>
      <c r="D2293" s="6" t="s">
        <v>24</v>
      </c>
      <c r="E2293" s="6" t="s">
        <v>96</v>
      </c>
      <c r="F2293" s="6" t="s">
        <v>587</v>
      </c>
      <c r="G2293" s="6" t="s">
        <v>32</v>
      </c>
      <c r="H2293" s="6" t="s">
        <v>153</v>
      </c>
      <c r="I2293" s="6" t="s">
        <v>767</v>
      </c>
      <c r="J2293" s="6" t="s">
        <v>764</v>
      </c>
      <c r="K2293" s="7">
        <v>6252719</v>
      </c>
      <c r="L2293" s="7">
        <v>345341</v>
      </c>
      <c r="M2293" s="7">
        <v>19</v>
      </c>
      <c r="N2293" s="7">
        <v>1</v>
      </c>
      <c r="O2293" s="7">
        <v>2.42</v>
      </c>
    </row>
    <row r="2294" spans="1:15" x14ac:dyDescent="0.25">
      <c r="A2294" s="6" t="s">
        <v>28</v>
      </c>
      <c r="B2294" s="6" t="s">
        <v>522</v>
      </c>
      <c r="C2294" s="7">
        <v>33289</v>
      </c>
      <c r="D2294" s="6" t="s">
        <v>24</v>
      </c>
      <c r="E2294" s="6" t="s">
        <v>31</v>
      </c>
      <c r="F2294" s="6" t="s">
        <v>530</v>
      </c>
      <c r="G2294" s="6" t="s">
        <v>32</v>
      </c>
      <c r="H2294" s="6" t="s">
        <v>19</v>
      </c>
      <c r="I2294" s="6" t="s">
        <v>767</v>
      </c>
      <c r="J2294" s="6" t="s">
        <v>767</v>
      </c>
      <c r="K2294" s="7">
        <v>6271015</v>
      </c>
      <c r="L2294" s="7">
        <v>322924</v>
      </c>
      <c r="M2294" s="7">
        <v>19</v>
      </c>
      <c r="N2294" s="7">
        <v>1</v>
      </c>
      <c r="O2294" s="7">
        <v>1.1000000000000001</v>
      </c>
    </row>
    <row r="2295" spans="1:15" x14ac:dyDescent="0.25">
      <c r="A2295" s="6" t="s">
        <v>28</v>
      </c>
      <c r="B2295" s="6" t="s">
        <v>522</v>
      </c>
      <c r="C2295" s="7">
        <v>33291</v>
      </c>
      <c r="D2295" s="6" t="s">
        <v>24</v>
      </c>
      <c r="E2295" s="6" t="s">
        <v>196</v>
      </c>
      <c r="F2295" s="6" t="s">
        <v>196</v>
      </c>
      <c r="G2295" s="6" t="s">
        <v>32</v>
      </c>
      <c r="H2295" s="6" t="s">
        <v>19</v>
      </c>
      <c r="I2295" s="6" t="s">
        <v>767</v>
      </c>
      <c r="J2295" s="6" t="s">
        <v>767</v>
      </c>
      <c r="K2295" s="7">
        <v>6274793</v>
      </c>
      <c r="L2295" s="7">
        <v>284731</v>
      </c>
      <c r="M2295" s="7">
        <v>19</v>
      </c>
      <c r="N2295" s="7">
        <v>1</v>
      </c>
      <c r="O2295" s="7">
        <v>0.92</v>
      </c>
    </row>
    <row r="2296" spans="1:15" x14ac:dyDescent="0.25">
      <c r="A2296" s="6" t="s">
        <v>28</v>
      </c>
      <c r="B2296" s="6" t="s">
        <v>522</v>
      </c>
      <c r="C2296" s="7">
        <v>33292</v>
      </c>
      <c r="D2296" s="6" t="s">
        <v>24</v>
      </c>
      <c r="E2296" s="6" t="s">
        <v>31</v>
      </c>
      <c r="F2296" s="6" t="s">
        <v>566</v>
      </c>
      <c r="G2296" s="6" t="s">
        <v>32</v>
      </c>
      <c r="H2296" s="6" t="s">
        <v>19</v>
      </c>
      <c r="I2296" s="6" t="s">
        <v>767</v>
      </c>
      <c r="J2296" s="6" t="s">
        <v>767</v>
      </c>
      <c r="K2296" s="7">
        <v>6276825</v>
      </c>
      <c r="L2296" s="7">
        <v>289196</v>
      </c>
      <c r="M2296" s="7">
        <v>19</v>
      </c>
      <c r="N2296" s="7">
        <v>1</v>
      </c>
      <c r="O2296" s="7">
        <v>2.41</v>
      </c>
    </row>
    <row r="2297" spans="1:15" x14ac:dyDescent="0.25">
      <c r="A2297" s="6" t="s">
        <v>28</v>
      </c>
      <c r="B2297" s="6" t="s">
        <v>522</v>
      </c>
      <c r="C2297" s="7">
        <v>33295</v>
      </c>
      <c r="D2297" s="6" t="s">
        <v>24</v>
      </c>
      <c r="E2297" s="6" t="s">
        <v>501</v>
      </c>
      <c r="F2297" s="6" t="s">
        <v>578</v>
      </c>
      <c r="G2297" s="6" t="s">
        <v>32</v>
      </c>
      <c r="H2297" s="6" t="s">
        <v>19</v>
      </c>
      <c r="I2297" s="6" t="s">
        <v>767</v>
      </c>
      <c r="J2297" s="6" t="s">
        <v>767</v>
      </c>
      <c r="K2297" s="7">
        <v>6326380</v>
      </c>
      <c r="L2297" s="7">
        <v>324313</v>
      </c>
      <c r="M2297" s="7">
        <v>19</v>
      </c>
      <c r="N2297" s="7">
        <v>1</v>
      </c>
      <c r="O2297" s="7">
        <v>2.41</v>
      </c>
    </row>
    <row r="2298" spans="1:15" x14ac:dyDescent="0.25">
      <c r="A2298" s="6" t="s">
        <v>28</v>
      </c>
      <c r="B2298" s="6" t="s">
        <v>522</v>
      </c>
      <c r="C2298" s="7">
        <v>33296</v>
      </c>
      <c r="D2298" s="6" t="s">
        <v>24</v>
      </c>
      <c r="E2298" s="6" t="s">
        <v>37</v>
      </c>
      <c r="F2298" s="6" t="s">
        <v>152</v>
      </c>
      <c r="G2298" s="6" t="s">
        <v>32</v>
      </c>
      <c r="H2298" s="6" t="s">
        <v>19</v>
      </c>
      <c r="I2298" s="6" t="s">
        <v>767</v>
      </c>
      <c r="J2298" s="6" t="s">
        <v>767</v>
      </c>
      <c r="K2298" s="7">
        <v>6269006</v>
      </c>
      <c r="L2298" s="7">
        <v>318297</v>
      </c>
      <c r="M2298" s="7">
        <v>19</v>
      </c>
      <c r="N2298" s="7">
        <v>1</v>
      </c>
      <c r="O2298" s="7">
        <v>1.1599999999999999</v>
      </c>
    </row>
    <row r="2299" spans="1:15" x14ac:dyDescent="0.25">
      <c r="A2299" s="6" t="s">
        <v>28</v>
      </c>
      <c r="B2299" s="6" t="s">
        <v>522</v>
      </c>
      <c r="C2299" s="7">
        <v>33298</v>
      </c>
      <c r="D2299" s="6" t="s">
        <v>24</v>
      </c>
      <c r="E2299" s="6" t="s">
        <v>429</v>
      </c>
      <c r="F2299" s="6" t="s">
        <v>491</v>
      </c>
      <c r="G2299" s="6" t="s">
        <v>32</v>
      </c>
      <c r="H2299" s="6" t="s">
        <v>19</v>
      </c>
      <c r="I2299" s="6" t="s">
        <v>767</v>
      </c>
      <c r="J2299" s="6" t="s">
        <v>767</v>
      </c>
      <c r="K2299" s="7">
        <v>6303082</v>
      </c>
      <c r="L2299" s="7">
        <v>327798</v>
      </c>
      <c r="M2299" s="7">
        <v>19</v>
      </c>
      <c r="N2299" s="7">
        <v>1</v>
      </c>
      <c r="O2299" s="7">
        <v>0.3</v>
      </c>
    </row>
    <row r="2300" spans="1:15" x14ac:dyDescent="0.25">
      <c r="A2300" s="6" t="s">
        <v>28</v>
      </c>
      <c r="B2300" s="6" t="s">
        <v>522</v>
      </c>
      <c r="C2300" s="7">
        <v>33299</v>
      </c>
      <c r="D2300" s="6" t="s">
        <v>24</v>
      </c>
      <c r="E2300" s="6" t="s">
        <v>429</v>
      </c>
      <c r="F2300" s="6" t="s">
        <v>491</v>
      </c>
      <c r="G2300" s="6" t="s">
        <v>32</v>
      </c>
      <c r="H2300" s="6" t="s">
        <v>19</v>
      </c>
      <c r="I2300" s="6" t="s">
        <v>767</v>
      </c>
      <c r="J2300" s="6" t="s">
        <v>767</v>
      </c>
      <c r="K2300" s="7">
        <v>6303518</v>
      </c>
      <c r="L2300" s="7">
        <v>327576</v>
      </c>
      <c r="M2300" s="7">
        <v>19</v>
      </c>
      <c r="N2300" s="7">
        <v>1</v>
      </c>
      <c r="O2300" s="7">
        <v>0.34</v>
      </c>
    </row>
    <row r="2301" spans="1:15" x14ac:dyDescent="0.25">
      <c r="A2301" s="6" t="s">
        <v>28</v>
      </c>
      <c r="B2301" s="6" t="s">
        <v>522</v>
      </c>
      <c r="C2301" s="7">
        <v>33300</v>
      </c>
      <c r="D2301" s="6" t="s">
        <v>24</v>
      </c>
      <c r="E2301" s="6" t="s">
        <v>429</v>
      </c>
      <c r="F2301" s="6" t="s">
        <v>491</v>
      </c>
      <c r="G2301" s="6" t="s">
        <v>32</v>
      </c>
      <c r="H2301" s="6" t="s">
        <v>19</v>
      </c>
      <c r="I2301" s="6" t="s">
        <v>767</v>
      </c>
      <c r="J2301" s="6" t="s">
        <v>767</v>
      </c>
      <c r="K2301" s="7">
        <v>6303517</v>
      </c>
      <c r="L2301" s="7">
        <v>327287</v>
      </c>
      <c r="M2301" s="7">
        <v>19</v>
      </c>
      <c r="N2301" s="7">
        <v>1</v>
      </c>
      <c r="O2301" s="7">
        <v>0.28000000000000003</v>
      </c>
    </row>
    <row r="2302" spans="1:15" x14ac:dyDescent="0.25">
      <c r="A2302" s="6" t="s">
        <v>28</v>
      </c>
      <c r="B2302" s="6" t="s">
        <v>522</v>
      </c>
      <c r="C2302" s="7">
        <v>33301</v>
      </c>
      <c r="D2302" s="6" t="s">
        <v>24</v>
      </c>
      <c r="E2302" s="6" t="s">
        <v>429</v>
      </c>
      <c r="F2302" s="6" t="s">
        <v>491</v>
      </c>
      <c r="G2302" s="6" t="s">
        <v>32</v>
      </c>
      <c r="H2302" s="6" t="s">
        <v>19</v>
      </c>
      <c r="I2302" s="6" t="s">
        <v>767</v>
      </c>
      <c r="J2302" s="6" t="s">
        <v>767</v>
      </c>
      <c r="K2302" s="7">
        <v>6303292</v>
      </c>
      <c r="L2302" s="7">
        <v>327438</v>
      </c>
      <c r="M2302" s="7">
        <v>19</v>
      </c>
      <c r="N2302" s="7">
        <v>1</v>
      </c>
      <c r="O2302" s="7">
        <v>0.3</v>
      </c>
    </row>
    <row r="2303" spans="1:15" x14ac:dyDescent="0.25">
      <c r="A2303" s="6" t="s">
        <v>28</v>
      </c>
      <c r="B2303" s="6" t="s">
        <v>522</v>
      </c>
      <c r="C2303" s="7">
        <v>33303</v>
      </c>
      <c r="D2303" s="6" t="s">
        <v>24</v>
      </c>
      <c r="E2303" s="6" t="s">
        <v>56</v>
      </c>
      <c r="F2303" s="6" t="s">
        <v>418</v>
      </c>
      <c r="G2303" s="6" t="s">
        <v>32</v>
      </c>
      <c r="H2303" s="6" t="s">
        <v>19</v>
      </c>
      <c r="I2303" s="6" t="s">
        <v>767</v>
      </c>
      <c r="J2303" s="6" t="s">
        <v>767</v>
      </c>
      <c r="K2303" s="7">
        <v>6273251</v>
      </c>
      <c r="L2303" s="7">
        <v>334991</v>
      </c>
      <c r="M2303" s="7">
        <v>19</v>
      </c>
      <c r="N2303" s="7">
        <v>1</v>
      </c>
      <c r="O2303" s="7">
        <v>0.7</v>
      </c>
    </row>
    <row r="2304" spans="1:15" x14ac:dyDescent="0.25">
      <c r="A2304" s="6" t="s">
        <v>28</v>
      </c>
      <c r="B2304" s="6" t="s">
        <v>522</v>
      </c>
      <c r="C2304" s="7">
        <v>33304</v>
      </c>
      <c r="D2304" s="6" t="s">
        <v>24</v>
      </c>
      <c r="E2304" s="6" t="s">
        <v>56</v>
      </c>
      <c r="F2304" s="6" t="s">
        <v>418</v>
      </c>
      <c r="G2304" s="6" t="s">
        <v>32</v>
      </c>
      <c r="H2304" s="6" t="s">
        <v>19</v>
      </c>
      <c r="I2304" s="6" t="s">
        <v>767</v>
      </c>
      <c r="J2304" s="6" t="s">
        <v>767</v>
      </c>
      <c r="K2304" s="7">
        <v>6273571</v>
      </c>
      <c r="L2304" s="7">
        <v>334690</v>
      </c>
      <c r="M2304" s="7">
        <v>19</v>
      </c>
      <c r="N2304" s="7">
        <v>1</v>
      </c>
      <c r="O2304" s="7">
        <v>0.9</v>
      </c>
    </row>
    <row r="2305" spans="1:15" x14ac:dyDescent="0.25">
      <c r="A2305" s="6" t="s">
        <v>28</v>
      </c>
      <c r="B2305" s="6" t="s">
        <v>522</v>
      </c>
      <c r="C2305" s="7">
        <v>33306</v>
      </c>
      <c r="D2305" s="6" t="s">
        <v>24</v>
      </c>
      <c r="E2305" s="6" t="s">
        <v>580</v>
      </c>
      <c r="F2305" s="6" t="s">
        <v>580</v>
      </c>
      <c r="G2305" s="6" t="s">
        <v>32</v>
      </c>
      <c r="H2305" s="6" t="s">
        <v>19</v>
      </c>
      <c r="I2305" s="6" t="s">
        <v>767</v>
      </c>
      <c r="J2305" s="6" t="s">
        <v>767</v>
      </c>
      <c r="K2305" s="7">
        <v>6322347</v>
      </c>
      <c r="L2305" s="7">
        <v>338769</v>
      </c>
      <c r="M2305" s="7">
        <v>19</v>
      </c>
      <c r="N2305" s="7">
        <v>1</v>
      </c>
      <c r="O2305" s="7">
        <v>1</v>
      </c>
    </row>
    <row r="2306" spans="1:15" x14ac:dyDescent="0.25">
      <c r="A2306" s="6" t="s">
        <v>28</v>
      </c>
      <c r="B2306" s="6" t="s">
        <v>522</v>
      </c>
      <c r="C2306" s="7">
        <v>33319</v>
      </c>
      <c r="D2306" s="6" t="s">
        <v>24</v>
      </c>
      <c r="E2306" s="6" t="s">
        <v>37</v>
      </c>
      <c r="F2306" s="6" t="s">
        <v>616</v>
      </c>
      <c r="G2306" s="6" t="s">
        <v>32</v>
      </c>
      <c r="H2306" s="6" t="s">
        <v>19</v>
      </c>
      <c r="I2306" s="6" t="s">
        <v>767</v>
      </c>
      <c r="J2306" s="6" t="s">
        <v>767</v>
      </c>
      <c r="K2306" s="7">
        <v>6275111</v>
      </c>
      <c r="L2306" s="7">
        <v>322360</v>
      </c>
      <c r="M2306" s="7">
        <v>19</v>
      </c>
      <c r="N2306" s="7">
        <v>1</v>
      </c>
      <c r="O2306" s="7">
        <v>1.08</v>
      </c>
    </row>
    <row r="2307" spans="1:15" x14ac:dyDescent="0.25">
      <c r="A2307" s="6" t="s">
        <v>22</v>
      </c>
      <c r="B2307" s="6" t="s">
        <v>522</v>
      </c>
      <c r="C2307" s="7">
        <v>33324</v>
      </c>
      <c r="D2307" s="6" t="s">
        <v>24</v>
      </c>
      <c r="E2307" s="6" t="s">
        <v>25</v>
      </c>
      <c r="F2307" s="6" t="s">
        <v>426</v>
      </c>
      <c r="G2307" s="6" t="s">
        <v>89</v>
      </c>
      <c r="H2307" s="6" t="s">
        <v>765</v>
      </c>
      <c r="I2307" s="6" t="s">
        <v>767</v>
      </c>
      <c r="J2307" s="6" t="s">
        <v>767</v>
      </c>
      <c r="K2307" s="7">
        <v>6260609</v>
      </c>
      <c r="L2307" s="7">
        <v>331600</v>
      </c>
      <c r="M2307" s="7">
        <v>19</v>
      </c>
      <c r="N2307" s="7">
        <v>4</v>
      </c>
      <c r="O2307" s="7">
        <v>3.5</v>
      </c>
    </row>
    <row r="2308" spans="1:15" x14ac:dyDescent="0.25">
      <c r="A2308" s="6" t="s">
        <v>22</v>
      </c>
      <c r="B2308" s="6" t="s">
        <v>522</v>
      </c>
      <c r="C2308" s="7">
        <v>33330</v>
      </c>
      <c r="D2308" s="6" t="s">
        <v>24</v>
      </c>
      <c r="E2308" s="6" t="s">
        <v>25</v>
      </c>
      <c r="F2308" s="6" t="s">
        <v>426</v>
      </c>
      <c r="G2308" s="6" t="s">
        <v>89</v>
      </c>
      <c r="H2308" s="6" t="s">
        <v>765</v>
      </c>
      <c r="I2308" s="6" t="s">
        <v>767</v>
      </c>
      <c r="J2308" s="6" t="s">
        <v>767</v>
      </c>
      <c r="K2308" s="7">
        <v>6259779</v>
      </c>
      <c r="L2308" s="7">
        <v>331237</v>
      </c>
      <c r="M2308" s="7">
        <v>19</v>
      </c>
      <c r="N2308" s="7">
        <v>2</v>
      </c>
      <c r="O2308" s="7">
        <v>2.36</v>
      </c>
    </row>
    <row r="2309" spans="1:15" x14ac:dyDescent="0.25">
      <c r="A2309" s="6" t="s">
        <v>28</v>
      </c>
      <c r="B2309" s="6" t="s">
        <v>522</v>
      </c>
      <c r="C2309" s="7">
        <v>33338</v>
      </c>
      <c r="D2309" s="6" t="s">
        <v>24</v>
      </c>
      <c r="E2309" s="6" t="s">
        <v>96</v>
      </c>
      <c r="F2309" s="6" t="s">
        <v>96</v>
      </c>
      <c r="G2309" s="6" t="s">
        <v>32</v>
      </c>
      <c r="H2309" s="6" t="s">
        <v>19</v>
      </c>
      <c r="I2309" s="6" t="s">
        <v>767</v>
      </c>
      <c r="J2309" s="6" t="s">
        <v>767</v>
      </c>
      <c r="K2309" s="7">
        <v>6259261</v>
      </c>
      <c r="L2309" s="7">
        <v>348501</v>
      </c>
      <c r="M2309" s="7">
        <v>19</v>
      </c>
      <c r="N2309" s="7">
        <v>1</v>
      </c>
      <c r="O2309" s="7">
        <v>0.3</v>
      </c>
    </row>
    <row r="2310" spans="1:15" x14ac:dyDescent="0.25">
      <c r="A2310" s="6" t="s">
        <v>28</v>
      </c>
      <c r="B2310" s="6" t="s">
        <v>522</v>
      </c>
      <c r="C2310" s="7">
        <v>33342</v>
      </c>
      <c r="D2310" s="6" t="s">
        <v>24</v>
      </c>
      <c r="E2310" s="6" t="s">
        <v>429</v>
      </c>
      <c r="F2310" s="6" t="s">
        <v>619</v>
      </c>
      <c r="G2310" s="6" t="s">
        <v>32</v>
      </c>
      <c r="H2310" s="6" t="s">
        <v>19</v>
      </c>
      <c r="I2310" s="6" t="s">
        <v>767</v>
      </c>
      <c r="J2310" s="6" t="s">
        <v>767</v>
      </c>
      <c r="K2310" s="7">
        <v>6294229</v>
      </c>
      <c r="L2310" s="7">
        <v>331425</v>
      </c>
      <c r="M2310" s="7">
        <v>19</v>
      </c>
      <c r="N2310" s="7">
        <v>1</v>
      </c>
      <c r="O2310" s="7">
        <v>0.27</v>
      </c>
    </row>
    <row r="2311" spans="1:15" x14ac:dyDescent="0.25">
      <c r="A2311" s="6" t="s">
        <v>22</v>
      </c>
      <c r="B2311" s="6" t="s">
        <v>522</v>
      </c>
      <c r="C2311" s="7">
        <v>33343</v>
      </c>
      <c r="D2311" s="6" t="s">
        <v>24</v>
      </c>
      <c r="E2311" s="6" t="s">
        <v>25</v>
      </c>
      <c r="F2311" s="6" t="s">
        <v>426</v>
      </c>
      <c r="G2311" s="6" t="s">
        <v>89</v>
      </c>
      <c r="H2311" s="6" t="s">
        <v>765</v>
      </c>
      <c r="I2311" s="6" t="s">
        <v>767</v>
      </c>
      <c r="J2311" s="6" t="s">
        <v>767</v>
      </c>
      <c r="K2311" s="7">
        <v>6259427</v>
      </c>
      <c r="L2311" s="7">
        <v>331163</v>
      </c>
      <c r="M2311" s="7">
        <v>19</v>
      </c>
      <c r="N2311" s="7">
        <v>5</v>
      </c>
      <c r="O2311" s="7">
        <v>4.0599999999999996</v>
      </c>
    </row>
    <row r="2312" spans="1:15" x14ac:dyDescent="0.25">
      <c r="A2312" s="6" t="s">
        <v>14</v>
      </c>
      <c r="B2312" s="6" t="s">
        <v>522</v>
      </c>
      <c r="C2312" s="7">
        <v>33344</v>
      </c>
      <c r="D2312" s="6" t="s">
        <v>42</v>
      </c>
      <c r="E2312" s="6" t="s">
        <v>196</v>
      </c>
      <c r="F2312" s="6" t="s">
        <v>196</v>
      </c>
      <c r="G2312" s="6" t="s">
        <v>32</v>
      </c>
      <c r="H2312" s="6" t="s">
        <v>33</v>
      </c>
      <c r="I2312" s="6" t="s">
        <v>767</v>
      </c>
      <c r="J2312" s="6" t="s">
        <v>767</v>
      </c>
      <c r="K2312" s="7">
        <v>6216301</v>
      </c>
      <c r="L2312" s="7">
        <v>346755</v>
      </c>
      <c r="M2312" s="7">
        <v>19</v>
      </c>
      <c r="N2312" s="7">
        <v>1</v>
      </c>
      <c r="O2312" s="7">
        <v>7</v>
      </c>
    </row>
    <row r="2313" spans="1:15" x14ac:dyDescent="0.25">
      <c r="A2313" s="6" t="s">
        <v>28</v>
      </c>
      <c r="B2313" s="6" t="s">
        <v>522</v>
      </c>
      <c r="C2313" s="7">
        <v>33346</v>
      </c>
      <c r="D2313" s="6" t="s">
        <v>24</v>
      </c>
      <c r="E2313" s="6" t="s">
        <v>56</v>
      </c>
      <c r="F2313" s="6" t="s">
        <v>547</v>
      </c>
      <c r="G2313" s="6" t="s">
        <v>32</v>
      </c>
      <c r="H2313" s="6" t="s">
        <v>19</v>
      </c>
      <c r="I2313" s="6" t="s">
        <v>767</v>
      </c>
      <c r="J2313" s="6" t="s">
        <v>767</v>
      </c>
      <c r="K2313" s="7">
        <v>6274267</v>
      </c>
      <c r="L2313" s="7">
        <v>339871</v>
      </c>
      <c r="M2313" s="7">
        <v>19</v>
      </c>
      <c r="N2313" s="7">
        <v>1</v>
      </c>
      <c r="O2313" s="7">
        <v>0.88</v>
      </c>
    </row>
    <row r="2314" spans="1:15" x14ac:dyDescent="0.25">
      <c r="A2314" s="6" t="s">
        <v>28</v>
      </c>
      <c r="B2314" s="6" t="s">
        <v>522</v>
      </c>
      <c r="C2314" s="7">
        <v>33348</v>
      </c>
      <c r="D2314" s="6" t="s">
        <v>24</v>
      </c>
      <c r="E2314" s="6" t="s">
        <v>37</v>
      </c>
      <c r="F2314" s="6" t="s">
        <v>567</v>
      </c>
      <c r="G2314" s="6" t="s">
        <v>32</v>
      </c>
      <c r="H2314" s="6" t="s">
        <v>19</v>
      </c>
      <c r="I2314" s="6" t="s">
        <v>767</v>
      </c>
      <c r="J2314" s="6" t="s">
        <v>767</v>
      </c>
      <c r="K2314" s="7">
        <v>6272997</v>
      </c>
      <c r="L2314" s="7">
        <v>326132</v>
      </c>
      <c r="M2314" s="7">
        <v>19</v>
      </c>
      <c r="N2314" s="7">
        <v>2</v>
      </c>
      <c r="O2314" s="7">
        <v>2.0499999999999998</v>
      </c>
    </row>
    <row r="2315" spans="1:15" x14ac:dyDescent="0.25">
      <c r="A2315" s="6" t="s">
        <v>22</v>
      </c>
      <c r="B2315" s="6" t="s">
        <v>522</v>
      </c>
      <c r="C2315" s="7">
        <v>33350</v>
      </c>
      <c r="D2315" s="6" t="s">
        <v>24</v>
      </c>
      <c r="E2315" s="6" t="s">
        <v>25</v>
      </c>
      <c r="F2315" s="6" t="s">
        <v>445</v>
      </c>
      <c r="G2315" s="6" t="s">
        <v>89</v>
      </c>
      <c r="H2315" s="6" t="s">
        <v>765</v>
      </c>
      <c r="I2315" s="6" t="s">
        <v>767</v>
      </c>
      <c r="J2315" s="6" t="s">
        <v>767</v>
      </c>
      <c r="K2315" s="7">
        <v>6260668</v>
      </c>
      <c r="L2315" s="7">
        <v>333173</v>
      </c>
      <c r="M2315" s="7">
        <v>19</v>
      </c>
      <c r="N2315" s="7">
        <v>4</v>
      </c>
      <c r="O2315" s="7">
        <v>1.54</v>
      </c>
    </row>
    <row r="2316" spans="1:15" x14ac:dyDescent="0.25">
      <c r="A2316" s="6" t="s">
        <v>28</v>
      </c>
      <c r="B2316" s="6" t="s">
        <v>522</v>
      </c>
      <c r="C2316" s="7">
        <v>33353</v>
      </c>
      <c r="D2316" s="6" t="s">
        <v>42</v>
      </c>
      <c r="E2316" s="6" t="s">
        <v>66</v>
      </c>
      <c r="F2316" s="6" t="s">
        <v>168</v>
      </c>
      <c r="G2316" s="6" t="s">
        <v>32</v>
      </c>
      <c r="H2316" s="6" t="s">
        <v>33</v>
      </c>
      <c r="I2316" s="6" t="s">
        <v>767</v>
      </c>
      <c r="J2316" s="6" t="s">
        <v>764</v>
      </c>
      <c r="K2316" s="7">
        <v>6224829</v>
      </c>
      <c r="L2316" s="7">
        <v>345078</v>
      </c>
      <c r="M2316" s="7">
        <v>19</v>
      </c>
      <c r="N2316" s="7">
        <v>1</v>
      </c>
      <c r="O2316" s="7">
        <v>7</v>
      </c>
    </row>
    <row r="2317" spans="1:15" x14ac:dyDescent="0.25">
      <c r="A2317" s="6" t="s">
        <v>28</v>
      </c>
      <c r="B2317" s="6" t="s">
        <v>522</v>
      </c>
      <c r="C2317" s="7">
        <v>33389</v>
      </c>
      <c r="D2317" s="6" t="s">
        <v>24</v>
      </c>
      <c r="E2317" s="6" t="s">
        <v>37</v>
      </c>
      <c r="F2317" s="6" t="s">
        <v>37</v>
      </c>
      <c r="G2317" s="6" t="s">
        <v>32</v>
      </c>
      <c r="H2317" s="6" t="s">
        <v>153</v>
      </c>
      <c r="I2317" s="6" t="s">
        <v>767</v>
      </c>
      <c r="J2317" s="6" t="s">
        <v>764</v>
      </c>
      <c r="K2317" s="7">
        <v>6271766</v>
      </c>
      <c r="L2317" s="7">
        <v>307371</v>
      </c>
      <c r="M2317" s="7">
        <v>19</v>
      </c>
      <c r="N2317" s="7">
        <v>1</v>
      </c>
      <c r="O2317" s="7">
        <v>4</v>
      </c>
    </row>
    <row r="2318" spans="1:15" x14ac:dyDescent="0.25">
      <c r="A2318" s="6" t="s">
        <v>28</v>
      </c>
      <c r="B2318" s="6" t="s">
        <v>522</v>
      </c>
      <c r="C2318" s="7">
        <v>33390</v>
      </c>
      <c r="D2318" s="6" t="s">
        <v>24</v>
      </c>
      <c r="E2318" s="6" t="s">
        <v>25</v>
      </c>
      <c r="F2318" s="6" t="s">
        <v>445</v>
      </c>
      <c r="G2318" s="6" t="s">
        <v>32</v>
      </c>
      <c r="H2318" s="6" t="s">
        <v>19</v>
      </c>
      <c r="I2318" s="6" t="s">
        <v>767</v>
      </c>
      <c r="J2318" s="6" t="s">
        <v>767</v>
      </c>
      <c r="K2318" s="7">
        <v>6260447</v>
      </c>
      <c r="L2318" s="7">
        <v>336626</v>
      </c>
      <c r="M2318" s="7">
        <v>19</v>
      </c>
      <c r="N2318" s="7">
        <v>1</v>
      </c>
      <c r="O2318" s="7">
        <v>0.28000000000000003</v>
      </c>
    </row>
    <row r="2319" spans="1:15" x14ac:dyDescent="0.25">
      <c r="A2319" s="6" t="s">
        <v>28</v>
      </c>
      <c r="B2319" s="6" t="s">
        <v>522</v>
      </c>
      <c r="C2319" s="7">
        <v>33391</v>
      </c>
      <c r="D2319" s="6" t="s">
        <v>24</v>
      </c>
      <c r="E2319" s="6" t="s">
        <v>429</v>
      </c>
      <c r="F2319" s="6" t="s">
        <v>491</v>
      </c>
      <c r="G2319" s="6" t="s">
        <v>32</v>
      </c>
      <c r="H2319" s="6" t="s">
        <v>19</v>
      </c>
      <c r="I2319" s="6" t="s">
        <v>767</v>
      </c>
      <c r="J2319" s="6" t="s">
        <v>767</v>
      </c>
      <c r="K2319" s="7">
        <v>6301434</v>
      </c>
      <c r="L2319" s="7">
        <v>326707</v>
      </c>
      <c r="M2319" s="7">
        <v>19</v>
      </c>
      <c r="N2319" s="7">
        <v>1</v>
      </c>
      <c r="O2319" s="7">
        <v>0.17</v>
      </c>
    </row>
    <row r="2320" spans="1:15" x14ac:dyDescent="0.25">
      <c r="A2320" s="6" t="s">
        <v>28</v>
      </c>
      <c r="B2320" s="6" t="s">
        <v>522</v>
      </c>
      <c r="C2320" s="7">
        <v>33392</v>
      </c>
      <c r="D2320" s="6" t="s">
        <v>24</v>
      </c>
      <c r="E2320" s="6" t="s">
        <v>543</v>
      </c>
      <c r="F2320" s="6" t="s">
        <v>543</v>
      </c>
      <c r="G2320" s="6" t="s">
        <v>32</v>
      </c>
      <c r="H2320" s="6" t="s">
        <v>19</v>
      </c>
      <c r="I2320" s="6" t="s">
        <v>767</v>
      </c>
      <c r="J2320" s="6" t="s">
        <v>767</v>
      </c>
      <c r="K2320" s="7">
        <v>6315169</v>
      </c>
      <c r="L2320" s="7">
        <v>328408</v>
      </c>
      <c r="M2320" s="7">
        <v>19</v>
      </c>
      <c r="N2320" s="7">
        <v>1</v>
      </c>
      <c r="O2320" s="7">
        <v>0.08</v>
      </c>
    </row>
    <row r="2321" spans="1:15" x14ac:dyDescent="0.25">
      <c r="A2321" s="6" t="s">
        <v>28</v>
      </c>
      <c r="B2321" s="6" t="s">
        <v>522</v>
      </c>
      <c r="C2321" s="7">
        <v>33393</v>
      </c>
      <c r="D2321" s="6" t="s">
        <v>24</v>
      </c>
      <c r="E2321" s="6" t="s">
        <v>543</v>
      </c>
      <c r="F2321" s="6" t="s">
        <v>543</v>
      </c>
      <c r="G2321" s="6" t="s">
        <v>32</v>
      </c>
      <c r="H2321" s="6" t="s">
        <v>19</v>
      </c>
      <c r="I2321" s="6" t="s">
        <v>767</v>
      </c>
      <c r="J2321" s="6" t="s">
        <v>767</v>
      </c>
      <c r="K2321" s="7">
        <v>6315328</v>
      </c>
      <c r="L2321" s="7">
        <v>329102</v>
      </c>
      <c r="M2321" s="7">
        <v>19</v>
      </c>
      <c r="N2321" s="7">
        <v>1</v>
      </c>
      <c r="O2321" s="7">
        <v>0.12</v>
      </c>
    </row>
    <row r="2322" spans="1:15" x14ac:dyDescent="0.25">
      <c r="A2322" s="6" t="s">
        <v>28</v>
      </c>
      <c r="B2322" s="6" t="s">
        <v>522</v>
      </c>
      <c r="C2322" s="7">
        <v>33394</v>
      </c>
      <c r="D2322" s="6" t="s">
        <v>24</v>
      </c>
      <c r="E2322" s="6" t="s">
        <v>543</v>
      </c>
      <c r="F2322" s="6" t="s">
        <v>543</v>
      </c>
      <c r="G2322" s="6" t="s">
        <v>32</v>
      </c>
      <c r="H2322" s="6" t="s">
        <v>19</v>
      </c>
      <c r="I2322" s="6" t="s">
        <v>767</v>
      </c>
      <c r="J2322" s="6" t="s">
        <v>767</v>
      </c>
      <c r="K2322" s="7">
        <v>6315554</v>
      </c>
      <c r="L2322" s="7">
        <v>329171</v>
      </c>
      <c r="M2322" s="7">
        <v>19</v>
      </c>
      <c r="N2322" s="7">
        <v>1</v>
      </c>
      <c r="O2322" s="7">
        <v>0.11</v>
      </c>
    </row>
    <row r="2323" spans="1:15" x14ac:dyDescent="0.25">
      <c r="A2323" s="6" t="s">
        <v>22</v>
      </c>
      <c r="B2323" s="6" t="s">
        <v>522</v>
      </c>
      <c r="C2323" s="7">
        <v>33414</v>
      </c>
      <c r="D2323" s="6" t="s">
        <v>297</v>
      </c>
      <c r="E2323" s="6" t="s">
        <v>298</v>
      </c>
      <c r="F2323" s="6" t="s">
        <v>523</v>
      </c>
      <c r="G2323" s="6" t="s">
        <v>32</v>
      </c>
      <c r="H2323" s="6" t="s">
        <v>765</v>
      </c>
      <c r="I2323" s="6" t="s">
        <v>767</v>
      </c>
      <c r="J2323" s="6" t="s">
        <v>767</v>
      </c>
      <c r="K2323" s="7">
        <v>7952329</v>
      </c>
      <c r="L2323" s="7">
        <v>371477</v>
      </c>
      <c r="M2323" s="7">
        <v>19</v>
      </c>
      <c r="N2323" s="7">
        <v>1</v>
      </c>
      <c r="O2323" s="7">
        <v>0.04</v>
      </c>
    </row>
    <row r="2324" spans="1:15" x14ac:dyDescent="0.25">
      <c r="A2324" s="6" t="s">
        <v>28</v>
      </c>
      <c r="B2324" s="6" t="s">
        <v>522</v>
      </c>
      <c r="C2324" s="7">
        <v>33477</v>
      </c>
      <c r="D2324" s="6" t="s">
        <v>24</v>
      </c>
      <c r="E2324" s="6" t="s">
        <v>31</v>
      </c>
      <c r="F2324" s="6" t="s">
        <v>438</v>
      </c>
      <c r="G2324" s="6" t="s">
        <v>32</v>
      </c>
      <c r="H2324" s="6" t="s">
        <v>153</v>
      </c>
      <c r="I2324" s="6" t="s">
        <v>767</v>
      </c>
      <c r="J2324" s="6" t="s">
        <v>764</v>
      </c>
      <c r="K2324" s="7">
        <v>6273681</v>
      </c>
      <c r="L2324" s="7">
        <v>290930</v>
      </c>
      <c r="M2324" s="7">
        <v>19</v>
      </c>
      <c r="N2324" s="7">
        <v>1</v>
      </c>
      <c r="O2324" s="7">
        <v>5.24</v>
      </c>
    </row>
    <row r="2325" spans="1:15" x14ac:dyDescent="0.25">
      <c r="A2325" s="6" t="s">
        <v>28</v>
      </c>
      <c r="B2325" s="6" t="s">
        <v>522</v>
      </c>
      <c r="C2325" s="7">
        <v>33528</v>
      </c>
      <c r="D2325" s="6" t="s">
        <v>24</v>
      </c>
      <c r="E2325" s="6" t="s">
        <v>429</v>
      </c>
      <c r="F2325" s="6" t="s">
        <v>491</v>
      </c>
      <c r="G2325" s="6" t="s">
        <v>32</v>
      </c>
      <c r="H2325" s="6" t="s">
        <v>19</v>
      </c>
      <c r="I2325" s="6" t="s">
        <v>767</v>
      </c>
      <c r="J2325" s="6" t="s">
        <v>767</v>
      </c>
      <c r="K2325" s="7">
        <v>6307640</v>
      </c>
      <c r="L2325" s="7">
        <v>330072</v>
      </c>
      <c r="M2325" s="7">
        <v>19</v>
      </c>
      <c r="N2325" s="7">
        <v>1</v>
      </c>
      <c r="O2325" s="7">
        <v>0.4</v>
      </c>
    </row>
    <row r="2326" spans="1:15" x14ac:dyDescent="0.25">
      <c r="A2326" s="6" t="s">
        <v>28</v>
      </c>
      <c r="B2326" s="6" t="s">
        <v>522</v>
      </c>
      <c r="C2326" s="7">
        <v>33531</v>
      </c>
      <c r="D2326" s="6" t="s">
        <v>24</v>
      </c>
      <c r="E2326" s="6" t="s">
        <v>429</v>
      </c>
      <c r="F2326" s="6" t="s">
        <v>491</v>
      </c>
      <c r="G2326" s="6" t="s">
        <v>32</v>
      </c>
      <c r="H2326" s="6" t="s">
        <v>19</v>
      </c>
      <c r="I2326" s="6" t="s">
        <v>767</v>
      </c>
      <c r="J2326" s="6" t="s">
        <v>767</v>
      </c>
      <c r="K2326" s="7">
        <v>6308256</v>
      </c>
      <c r="L2326" s="7">
        <v>330283</v>
      </c>
      <c r="M2326" s="7">
        <v>19</v>
      </c>
      <c r="N2326" s="7">
        <v>1</v>
      </c>
      <c r="O2326" s="7">
        <v>0.28000000000000003</v>
      </c>
    </row>
    <row r="2327" spans="1:15" x14ac:dyDescent="0.25">
      <c r="A2327" s="6" t="s">
        <v>28</v>
      </c>
      <c r="B2327" s="6" t="s">
        <v>522</v>
      </c>
      <c r="C2327" s="7">
        <v>33533</v>
      </c>
      <c r="D2327" s="6" t="s">
        <v>24</v>
      </c>
      <c r="E2327" s="6" t="s">
        <v>25</v>
      </c>
      <c r="F2327" s="6" t="s">
        <v>425</v>
      </c>
      <c r="G2327" s="6" t="s">
        <v>32</v>
      </c>
      <c r="H2327" s="6" t="s">
        <v>153</v>
      </c>
      <c r="I2327" s="6" t="s">
        <v>767</v>
      </c>
      <c r="J2327" s="6" t="s">
        <v>764</v>
      </c>
      <c r="K2327" s="7">
        <v>6261475</v>
      </c>
      <c r="L2327" s="7">
        <v>341018</v>
      </c>
      <c r="M2327" s="7">
        <v>19</v>
      </c>
      <c r="N2327" s="7">
        <v>1</v>
      </c>
      <c r="O2327" s="7">
        <v>4.92</v>
      </c>
    </row>
    <row r="2328" spans="1:15" x14ac:dyDescent="0.25">
      <c r="A2328" s="6" t="s">
        <v>28</v>
      </c>
      <c r="B2328" s="6" t="s">
        <v>522</v>
      </c>
      <c r="C2328" s="7">
        <v>33534</v>
      </c>
      <c r="D2328" s="6" t="s">
        <v>24</v>
      </c>
      <c r="E2328" s="6" t="s">
        <v>436</v>
      </c>
      <c r="F2328" s="6" t="s">
        <v>605</v>
      </c>
      <c r="G2328" s="6" t="s">
        <v>32</v>
      </c>
      <c r="H2328" s="6" t="s">
        <v>153</v>
      </c>
      <c r="I2328" s="6" t="s">
        <v>767</v>
      </c>
      <c r="J2328" s="6" t="s">
        <v>764</v>
      </c>
      <c r="K2328" s="7">
        <v>6279412</v>
      </c>
      <c r="L2328" s="7">
        <v>334642</v>
      </c>
      <c r="M2328" s="7">
        <v>19</v>
      </c>
      <c r="N2328" s="7">
        <v>1</v>
      </c>
      <c r="O2328" s="7">
        <v>4.91</v>
      </c>
    </row>
    <row r="2329" spans="1:15" x14ac:dyDescent="0.25">
      <c r="A2329" s="6" t="s">
        <v>28</v>
      </c>
      <c r="B2329" s="6" t="s">
        <v>522</v>
      </c>
      <c r="C2329" s="7">
        <v>33535</v>
      </c>
      <c r="D2329" s="6" t="s">
        <v>24</v>
      </c>
      <c r="E2329" s="6" t="s">
        <v>31</v>
      </c>
      <c r="F2329" s="6" t="s">
        <v>415</v>
      </c>
      <c r="G2329" s="6" t="s">
        <v>32</v>
      </c>
      <c r="H2329" s="6" t="s">
        <v>153</v>
      </c>
      <c r="I2329" s="6" t="s">
        <v>767</v>
      </c>
      <c r="J2329" s="6" t="s">
        <v>764</v>
      </c>
      <c r="K2329" s="7">
        <v>6275814</v>
      </c>
      <c r="L2329" s="7">
        <v>299348</v>
      </c>
      <c r="M2329" s="7">
        <v>19</v>
      </c>
      <c r="N2329" s="7">
        <v>1</v>
      </c>
      <c r="O2329" s="7">
        <v>6.53</v>
      </c>
    </row>
    <row r="2330" spans="1:15" x14ac:dyDescent="0.25">
      <c r="A2330" s="6" t="s">
        <v>28</v>
      </c>
      <c r="B2330" s="6" t="s">
        <v>522</v>
      </c>
      <c r="C2330" s="7">
        <v>33536</v>
      </c>
      <c r="D2330" s="6" t="s">
        <v>24</v>
      </c>
      <c r="E2330" s="6" t="s">
        <v>429</v>
      </c>
      <c r="F2330" s="6" t="s">
        <v>491</v>
      </c>
      <c r="G2330" s="6" t="s">
        <v>32</v>
      </c>
      <c r="H2330" s="6" t="s">
        <v>19</v>
      </c>
      <c r="I2330" s="6" t="s">
        <v>767</v>
      </c>
      <c r="J2330" s="6" t="s">
        <v>767</v>
      </c>
      <c r="K2330" s="7">
        <v>6305326</v>
      </c>
      <c r="L2330" s="7">
        <v>326743</v>
      </c>
      <c r="M2330" s="7">
        <v>19</v>
      </c>
      <c r="N2330" s="7">
        <v>1</v>
      </c>
      <c r="O2330" s="7">
        <v>0.1</v>
      </c>
    </row>
    <row r="2331" spans="1:15" x14ac:dyDescent="0.25">
      <c r="A2331" s="6" t="s">
        <v>28</v>
      </c>
      <c r="B2331" s="6" t="s">
        <v>522</v>
      </c>
      <c r="C2331" s="7">
        <v>33538</v>
      </c>
      <c r="D2331" s="6" t="s">
        <v>24</v>
      </c>
      <c r="E2331" s="6" t="s">
        <v>31</v>
      </c>
      <c r="F2331" s="6" t="s">
        <v>31</v>
      </c>
      <c r="G2331" s="6" t="s">
        <v>32</v>
      </c>
      <c r="H2331" s="6" t="s">
        <v>153</v>
      </c>
      <c r="I2331" s="6" t="s">
        <v>767</v>
      </c>
      <c r="J2331" s="6" t="s">
        <v>764</v>
      </c>
      <c r="K2331" s="7">
        <v>6271112</v>
      </c>
      <c r="L2331" s="7">
        <v>298822</v>
      </c>
      <c r="M2331" s="7">
        <v>19</v>
      </c>
      <c r="N2331" s="7">
        <v>1</v>
      </c>
      <c r="O2331" s="7">
        <v>6.4</v>
      </c>
    </row>
    <row r="2332" spans="1:15" x14ac:dyDescent="0.25">
      <c r="A2332" s="6" t="s">
        <v>28</v>
      </c>
      <c r="B2332" s="6" t="s">
        <v>522</v>
      </c>
      <c r="C2332" s="7">
        <v>33540</v>
      </c>
      <c r="D2332" s="6" t="s">
        <v>24</v>
      </c>
      <c r="E2332" s="6" t="s">
        <v>31</v>
      </c>
      <c r="F2332" s="6" t="s">
        <v>415</v>
      </c>
      <c r="G2332" s="6" t="s">
        <v>32</v>
      </c>
      <c r="H2332" s="6" t="s">
        <v>153</v>
      </c>
      <c r="I2332" s="6" t="s">
        <v>767</v>
      </c>
      <c r="J2332" s="6" t="s">
        <v>764</v>
      </c>
      <c r="K2332" s="7">
        <v>6276232</v>
      </c>
      <c r="L2332" s="7">
        <v>299586</v>
      </c>
      <c r="M2332" s="7">
        <v>19</v>
      </c>
      <c r="N2332" s="7">
        <v>1</v>
      </c>
      <c r="O2332" s="7">
        <v>3.73</v>
      </c>
    </row>
    <row r="2333" spans="1:15" x14ac:dyDescent="0.25">
      <c r="A2333" s="6" t="s">
        <v>28</v>
      </c>
      <c r="B2333" s="6" t="s">
        <v>522</v>
      </c>
      <c r="C2333" s="7">
        <v>33541</v>
      </c>
      <c r="D2333" s="6" t="s">
        <v>24</v>
      </c>
      <c r="E2333" s="6" t="s">
        <v>429</v>
      </c>
      <c r="F2333" s="6" t="s">
        <v>491</v>
      </c>
      <c r="G2333" s="6" t="s">
        <v>32</v>
      </c>
      <c r="H2333" s="6" t="s">
        <v>19</v>
      </c>
      <c r="I2333" s="6" t="s">
        <v>767</v>
      </c>
      <c r="J2333" s="6" t="s">
        <v>767</v>
      </c>
      <c r="K2333" s="7">
        <v>6307504</v>
      </c>
      <c r="L2333" s="7">
        <v>330452</v>
      </c>
      <c r="M2333" s="7">
        <v>19</v>
      </c>
      <c r="N2333" s="7">
        <v>1</v>
      </c>
      <c r="O2333" s="7">
        <v>0.28000000000000003</v>
      </c>
    </row>
    <row r="2334" spans="1:15" x14ac:dyDescent="0.25">
      <c r="A2334" s="6" t="s">
        <v>28</v>
      </c>
      <c r="B2334" s="6" t="s">
        <v>522</v>
      </c>
      <c r="C2334" s="7">
        <v>33543</v>
      </c>
      <c r="D2334" s="6" t="s">
        <v>24</v>
      </c>
      <c r="E2334" s="6" t="s">
        <v>429</v>
      </c>
      <c r="F2334" s="6" t="s">
        <v>491</v>
      </c>
      <c r="G2334" s="6" t="s">
        <v>32</v>
      </c>
      <c r="H2334" s="6" t="s">
        <v>19</v>
      </c>
      <c r="I2334" s="6" t="s">
        <v>767</v>
      </c>
      <c r="J2334" s="6" t="s">
        <v>767</v>
      </c>
      <c r="K2334" s="7">
        <v>6307962</v>
      </c>
      <c r="L2334" s="7">
        <v>330194</v>
      </c>
      <c r="M2334" s="7">
        <v>19</v>
      </c>
      <c r="N2334" s="7">
        <v>1</v>
      </c>
      <c r="O2334" s="7">
        <v>0.3</v>
      </c>
    </row>
    <row r="2335" spans="1:15" x14ac:dyDescent="0.25">
      <c r="A2335" s="6" t="s">
        <v>28</v>
      </c>
      <c r="B2335" s="6" t="s">
        <v>522</v>
      </c>
      <c r="C2335" s="7">
        <v>33551</v>
      </c>
      <c r="D2335" s="6" t="s">
        <v>24</v>
      </c>
      <c r="E2335" s="6" t="s">
        <v>31</v>
      </c>
      <c r="F2335" s="6" t="s">
        <v>109</v>
      </c>
      <c r="G2335" s="6" t="s">
        <v>32</v>
      </c>
      <c r="H2335" s="6" t="s">
        <v>19</v>
      </c>
      <c r="I2335" s="6" t="s">
        <v>767</v>
      </c>
      <c r="J2335" s="6" t="s">
        <v>767</v>
      </c>
      <c r="K2335" s="7">
        <v>6277558</v>
      </c>
      <c r="L2335" s="7">
        <v>288946</v>
      </c>
      <c r="M2335" s="7">
        <v>19</v>
      </c>
      <c r="N2335" s="7">
        <v>1</v>
      </c>
      <c r="O2335" s="7">
        <v>0.15</v>
      </c>
    </row>
    <row r="2336" spans="1:15" x14ac:dyDescent="0.25">
      <c r="A2336" s="6" t="s">
        <v>28</v>
      </c>
      <c r="B2336" s="6" t="s">
        <v>522</v>
      </c>
      <c r="C2336" s="7">
        <v>33552</v>
      </c>
      <c r="D2336" s="6" t="s">
        <v>24</v>
      </c>
      <c r="E2336" s="6" t="s">
        <v>31</v>
      </c>
      <c r="F2336" s="6" t="s">
        <v>348</v>
      </c>
      <c r="G2336" s="6" t="s">
        <v>32</v>
      </c>
      <c r="H2336" s="6" t="s">
        <v>19</v>
      </c>
      <c r="I2336" s="6" t="s">
        <v>767</v>
      </c>
      <c r="J2336" s="6" t="s">
        <v>767</v>
      </c>
      <c r="K2336" s="7">
        <v>6277101</v>
      </c>
      <c r="L2336" s="7">
        <v>288557</v>
      </c>
      <c r="M2336" s="7">
        <v>19</v>
      </c>
      <c r="N2336" s="7">
        <v>1</v>
      </c>
      <c r="O2336" s="7">
        <v>1</v>
      </c>
    </row>
    <row r="2337" spans="1:15" x14ac:dyDescent="0.25">
      <c r="A2337" s="6" t="s">
        <v>28</v>
      </c>
      <c r="B2337" s="6" t="s">
        <v>522</v>
      </c>
      <c r="C2337" s="7">
        <v>33553</v>
      </c>
      <c r="D2337" s="6" t="s">
        <v>24</v>
      </c>
      <c r="E2337" s="6" t="s">
        <v>37</v>
      </c>
      <c r="F2337" s="6" t="s">
        <v>37</v>
      </c>
      <c r="G2337" s="6" t="s">
        <v>32</v>
      </c>
      <c r="H2337" s="6" t="s">
        <v>19</v>
      </c>
      <c r="I2337" s="6" t="s">
        <v>767</v>
      </c>
      <c r="J2337" s="6" t="s">
        <v>767</v>
      </c>
      <c r="K2337" s="7">
        <v>6269704</v>
      </c>
      <c r="L2337" s="7">
        <v>317739</v>
      </c>
      <c r="M2337" s="7">
        <v>19</v>
      </c>
      <c r="N2337" s="7">
        <v>1</v>
      </c>
      <c r="O2337" s="7">
        <v>1</v>
      </c>
    </row>
    <row r="2338" spans="1:15" x14ac:dyDescent="0.25">
      <c r="A2338" s="6" t="s">
        <v>28</v>
      </c>
      <c r="B2338" s="6" t="s">
        <v>522</v>
      </c>
      <c r="C2338" s="7">
        <v>33555</v>
      </c>
      <c r="D2338" s="6" t="s">
        <v>24</v>
      </c>
      <c r="E2338" s="6" t="s">
        <v>96</v>
      </c>
      <c r="F2338" s="6" t="s">
        <v>617</v>
      </c>
      <c r="G2338" s="6" t="s">
        <v>32</v>
      </c>
      <c r="H2338" s="6" t="s">
        <v>153</v>
      </c>
      <c r="I2338" s="6" t="s">
        <v>767</v>
      </c>
      <c r="J2338" s="6" t="s">
        <v>764</v>
      </c>
      <c r="K2338" s="7">
        <v>6261877</v>
      </c>
      <c r="L2338" s="7">
        <v>344900</v>
      </c>
      <c r="M2338" s="7">
        <v>19</v>
      </c>
      <c r="N2338" s="7">
        <v>1</v>
      </c>
      <c r="O2338" s="7">
        <v>3.55</v>
      </c>
    </row>
    <row r="2339" spans="1:15" x14ac:dyDescent="0.25">
      <c r="A2339" s="6" t="s">
        <v>28</v>
      </c>
      <c r="B2339" s="6" t="s">
        <v>522</v>
      </c>
      <c r="C2339" s="7">
        <v>33556</v>
      </c>
      <c r="D2339" s="6" t="s">
        <v>24</v>
      </c>
      <c r="E2339" s="6" t="s">
        <v>96</v>
      </c>
      <c r="F2339" s="6" t="s">
        <v>620</v>
      </c>
      <c r="G2339" s="6" t="s">
        <v>32</v>
      </c>
      <c r="H2339" s="6" t="s">
        <v>153</v>
      </c>
      <c r="I2339" s="6" t="s">
        <v>767</v>
      </c>
      <c r="J2339" s="6" t="s">
        <v>764</v>
      </c>
      <c r="K2339" s="7">
        <v>6260075</v>
      </c>
      <c r="L2339" s="7">
        <v>347057</v>
      </c>
      <c r="M2339" s="7">
        <v>19</v>
      </c>
      <c r="N2339" s="7">
        <v>1</v>
      </c>
      <c r="O2339" s="7">
        <v>2.4</v>
      </c>
    </row>
    <row r="2340" spans="1:15" x14ac:dyDescent="0.25">
      <c r="A2340" s="6" t="s">
        <v>28</v>
      </c>
      <c r="B2340" s="6" t="s">
        <v>522</v>
      </c>
      <c r="C2340" s="7">
        <v>33557</v>
      </c>
      <c r="D2340" s="6" t="s">
        <v>24</v>
      </c>
      <c r="E2340" s="6" t="s">
        <v>31</v>
      </c>
      <c r="F2340" s="6" t="s">
        <v>31</v>
      </c>
      <c r="G2340" s="6" t="s">
        <v>32</v>
      </c>
      <c r="H2340" s="6" t="s">
        <v>19</v>
      </c>
      <c r="I2340" s="6" t="s">
        <v>767</v>
      </c>
      <c r="J2340" s="6" t="s">
        <v>767</v>
      </c>
      <c r="K2340" s="7">
        <v>6275266</v>
      </c>
      <c r="L2340" s="7">
        <v>288519</v>
      </c>
      <c r="M2340" s="7">
        <v>19</v>
      </c>
      <c r="N2340" s="7">
        <v>1</v>
      </c>
      <c r="O2340" s="7">
        <v>1</v>
      </c>
    </row>
    <row r="2341" spans="1:15" x14ac:dyDescent="0.25">
      <c r="A2341" s="6" t="s">
        <v>28</v>
      </c>
      <c r="B2341" s="6" t="s">
        <v>522</v>
      </c>
      <c r="C2341" s="7">
        <v>33562</v>
      </c>
      <c r="D2341" s="6" t="s">
        <v>24</v>
      </c>
      <c r="E2341" s="6" t="s">
        <v>25</v>
      </c>
      <c r="F2341" s="6" t="s">
        <v>445</v>
      </c>
      <c r="G2341" s="6" t="s">
        <v>32</v>
      </c>
      <c r="H2341" s="6" t="s">
        <v>19</v>
      </c>
      <c r="I2341" s="6" t="s">
        <v>767</v>
      </c>
      <c r="J2341" s="6" t="s">
        <v>767</v>
      </c>
      <c r="K2341" s="7">
        <v>6257925</v>
      </c>
      <c r="L2341" s="7">
        <v>333600</v>
      </c>
      <c r="M2341" s="7">
        <v>19</v>
      </c>
      <c r="N2341" s="7">
        <v>1</v>
      </c>
      <c r="O2341" s="7">
        <v>0.4</v>
      </c>
    </row>
    <row r="2342" spans="1:15" x14ac:dyDescent="0.25">
      <c r="A2342" s="6" t="s">
        <v>28</v>
      </c>
      <c r="B2342" s="6" t="s">
        <v>522</v>
      </c>
      <c r="C2342" s="7">
        <v>33563</v>
      </c>
      <c r="D2342" s="6" t="s">
        <v>24</v>
      </c>
      <c r="E2342" s="6" t="s">
        <v>37</v>
      </c>
      <c r="F2342" s="6" t="s">
        <v>37</v>
      </c>
      <c r="G2342" s="6" t="s">
        <v>32</v>
      </c>
      <c r="H2342" s="6" t="s">
        <v>33</v>
      </c>
      <c r="I2342" s="6" t="s">
        <v>767</v>
      </c>
      <c r="J2342" s="6" t="s">
        <v>764</v>
      </c>
      <c r="K2342" s="7">
        <v>6270159</v>
      </c>
      <c r="L2342" s="7">
        <v>318704</v>
      </c>
      <c r="M2342" s="7">
        <v>19</v>
      </c>
      <c r="N2342" s="7">
        <v>1</v>
      </c>
      <c r="O2342" s="7">
        <v>2.5</v>
      </c>
    </row>
    <row r="2343" spans="1:15" x14ac:dyDescent="0.25">
      <c r="A2343" s="6" t="s">
        <v>28</v>
      </c>
      <c r="B2343" s="6" t="s">
        <v>522</v>
      </c>
      <c r="C2343" s="7">
        <v>33564</v>
      </c>
      <c r="D2343" s="6" t="s">
        <v>24</v>
      </c>
      <c r="E2343" s="6" t="s">
        <v>56</v>
      </c>
      <c r="F2343" s="6" t="s">
        <v>621</v>
      </c>
      <c r="G2343" s="6" t="s">
        <v>32</v>
      </c>
      <c r="H2343" s="6" t="s">
        <v>19</v>
      </c>
      <c r="I2343" s="6" t="s">
        <v>767</v>
      </c>
      <c r="J2343" s="6" t="s">
        <v>767</v>
      </c>
      <c r="K2343" s="7">
        <v>6277127</v>
      </c>
      <c r="L2343" s="7">
        <v>346586</v>
      </c>
      <c r="M2343" s="7">
        <v>19</v>
      </c>
      <c r="N2343" s="7">
        <v>1</v>
      </c>
      <c r="O2343" s="7">
        <v>1.4</v>
      </c>
    </row>
    <row r="2344" spans="1:15" x14ac:dyDescent="0.25">
      <c r="A2344" s="6" t="s">
        <v>28</v>
      </c>
      <c r="B2344" s="6" t="s">
        <v>522</v>
      </c>
      <c r="C2344" s="7">
        <v>33565</v>
      </c>
      <c r="D2344" s="6" t="s">
        <v>24</v>
      </c>
      <c r="E2344" s="6" t="s">
        <v>96</v>
      </c>
      <c r="F2344" s="6" t="s">
        <v>550</v>
      </c>
      <c r="G2344" s="6" t="s">
        <v>32</v>
      </c>
      <c r="H2344" s="6" t="s">
        <v>19</v>
      </c>
      <c r="I2344" s="6" t="s">
        <v>767</v>
      </c>
      <c r="J2344" s="6" t="s">
        <v>767</v>
      </c>
      <c r="K2344" s="7">
        <v>6250141</v>
      </c>
      <c r="L2344" s="7">
        <v>346347</v>
      </c>
      <c r="M2344" s="7">
        <v>19</v>
      </c>
      <c r="N2344" s="7">
        <v>1</v>
      </c>
      <c r="O2344" s="7">
        <v>0.3</v>
      </c>
    </row>
    <row r="2345" spans="1:15" x14ac:dyDescent="0.25">
      <c r="A2345" s="6" t="s">
        <v>28</v>
      </c>
      <c r="B2345" s="6" t="s">
        <v>522</v>
      </c>
      <c r="C2345" s="7">
        <v>33566</v>
      </c>
      <c r="D2345" s="6" t="s">
        <v>24</v>
      </c>
      <c r="E2345" s="6" t="s">
        <v>580</v>
      </c>
      <c r="F2345" s="6" t="s">
        <v>580</v>
      </c>
      <c r="G2345" s="6" t="s">
        <v>32</v>
      </c>
      <c r="H2345" s="6" t="s">
        <v>153</v>
      </c>
      <c r="I2345" s="6" t="s">
        <v>767</v>
      </c>
      <c r="J2345" s="6" t="s">
        <v>764</v>
      </c>
      <c r="K2345" s="7">
        <v>6324106</v>
      </c>
      <c r="L2345" s="7">
        <v>340419</v>
      </c>
      <c r="M2345" s="7">
        <v>19</v>
      </c>
      <c r="N2345" s="7">
        <v>1</v>
      </c>
      <c r="O2345" s="7">
        <v>2.48</v>
      </c>
    </row>
    <row r="2346" spans="1:15" x14ac:dyDescent="0.25">
      <c r="A2346" s="6" t="s">
        <v>28</v>
      </c>
      <c r="B2346" s="6" t="s">
        <v>522</v>
      </c>
      <c r="C2346" s="7">
        <v>33569</v>
      </c>
      <c r="D2346" s="6" t="s">
        <v>24</v>
      </c>
      <c r="E2346" s="6" t="s">
        <v>31</v>
      </c>
      <c r="F2346" s="6" t="s">
        <v>109</v>
      </c>
      <c r="G2346" s="6" t="s">
        <v>32</v>
      </c>
      <c r="H2346" s="6" t="s">
        <v>19</v>
      </c>
      <c r="I2346" s="6" t="s">
        <v>767</v>
      </c>
      <c r="J2346" s="6" t="s">
        <v>767</v>
      </c>
      <c r="K2346" s="7">
        <v>6276280</v>
      </c>
      <c r="L2346" s="7">
        <v>291858</v>
      </c>
      <c r="M2346" s="7">
        <v>19</v>
      </c>
      <c r="N2346" s="7">
        <v>1</v>
      </c>
      <c r="O2346" s="7">
        <v>0.25</v>
      </c>
    </row>
    <row r="2347" spans="1:15" x14ac:dyDescent="0.25">
      <c r="A2347" s="6" t="s">
        <v>28</v>
      </c>
      <c r="B2347" s="6" t="s">
        <v>522</v>
      </c>
      <c r="C2347" s="7">
        <v>33570</v>
      </c>
      <c r="D2347" s="6" t="s">
        <v>24</v>
      </c>
      <c r="E2347" s="6" t="s">
        <v>31</v>
      </c>
      <c r="F2347" s="6" t="s">
        <v>31</v>
      </c>
      <c r="G2347" s="6" t="s">
        <v>32</v>
      </c>
      <c r="H2347" s="6" t="s">
        <v>19</v>
      </c>
      <c r="I2347" s="6" t="s">
        <v>767</v>
      </c>
      <c r="J2347" s="6" t="s">
        <v>767</v>
      </c>
      <c r="K2347" s="7">
        <v>6271523</v>
      </c>
      <c r="L2347" s="7">
        <v>298799</v>
      </c>
      <c r="M2347" s="7">
        <v>19</v>
      </c>
      <c r="N2347" s="7">
        <v>1</v>
      </c>
      <c r="O2347" s="7">
        <v>6.4</v>
      </c>
    </row>
    <row r="2348" spans="1:15" x14ac:dyDescent="0.25">
      <c r="A2348" s="6" t="s">
        <v>28</v>
      </c>
      <c r="B2348" s="6" t="s">
        <v>522</v>
      </c>
      <c r="C2348" s="7">
        <v>33571</v>
      </c>
      <c r="D2348" s="6" t="s">
        <v>24</v>
      </c>
      <c r="E2348" s="6" t="s">
        <v>38</v>
      </c>
      <c r="F2348" s="6" t="s">
        <v>576</v>
      </c>
      <c r="G2348" s="6" t="s">
        <v>32</v>
      </c>
      <c r="H2348" s="6" t="s">
        <v>19</v>
      </c>
      <c r="I2348" s="6" t="s">
        <v>767</v>
      </c>
      <c r="J2348" s="6" t="s">
        <v>767</v>
      </c>
      <c r="K2348" s="7">
        <v>6267852</v>
      </c>
      <c r="L2348" s="7">
        <v>309942</v>
      </c>
      <c r="M2348" s="7">
        <v>19</v>
      </c>
      <c r="N2348" s="7">
        <v>1</v>
      </c>
      <c r="O2348" s="7">
        <v>0.5</v>
      </c>
    </row>
    <row r="2349" spans="1:15" x14ac:dyDescent="0.25">
      <c r="A2349" s="6" t="s">
        <v>28</v>
      </c>
      <c r="B2349" s="6" t="s">
        <v>522</v>
      </c>
      <c r="C2349" s="7">
        <v>33572</v>
      </c>
      <c r="D2349" s="6" t="s">
        <v>24</v>
      </c>
      <c r="E2349" s="6" t="s">
        <v>96</v>
      </c>
      <c r="F2349" s="6" t="s">
        <v>622</v>
      </c>
      <c r="G2349" s="6" t="s">
        <v>32</v>
      </c>
      <c r="H2349" s="6" t="s">
        <v>19</v>
      </c>
      <c r="I2349" s="6" t="s">
        <v>767</v>
      </c>
      <c r="J2349" s="6" t="s">
        <v>767</v>
      </c>
      <c r="K2349" s="7">
        <v>6258975</v>
      </c>
      <c r="L2349" s="7">
        <v>337541</v>
      </c>
      <c r="M2349" s="7">
        <v>19</v>
      </c>
      <c r="N2349" s="7">
        <v>1</v>
      </c>
      <c r="O2349" s="7">
        <v>0.2</v>
      </c>
    </row>
    <row r="2350" spans="1:15" x14ac:dyDescent="0.25">
      <c r="A2350" s="6" t="s">
        <v>28</v>
      </c>
      <c r="B2350" s="6" t="s">
        <v>522</v>
      </c>
      <c r="C2350" s="7">
        <v>33573</v>
      </c>
      <c r="D2350" s="6" t="s">
        <v>24</v>
      </c>
      <c r="E2350" s="6" t="s">
        <v>25</v>
      </c>
      <c r="F2350" s="6" t="s">
        <v>445</v>
      </c>
      <c r="G2350" s="6" t="s">
        <v>32</v>
      </c>
      <c r="H2350" s="6" t="s">
        <v>19</v>
      </c>
      <c r="I2350" s="6" t="s">
        <v>767</v>
      </c>
      <c r="J2350" s="6" t="s">
        <v>767</v>
      </c>
      <c r="K2350" s="7">
        <v>6259442</v>
      </c>
      <c r="L2350" s="7">
        <v>337297</v>
      </c>
      <c r="M2350" s="7">
        <v>19</v>
      </c>
      <c r="N2350" s="7">
        <v>1</v>
      </c>
      <c r="O2350" s="7">
        <v>0.28000000000000003</v>
      </c>
    </row>
    <row r="2351" spans="1:15" x14ac:dyDescent="0.25">
      <c r="A2351" s="6" t="s">
        <v>28</v>
      </c>
      <c r="B2351" s="6" t="s">
        <v>522</v>
      </c>
      <c r="C2351" s="7">
        <v>33574</v>
      </c>
      <c r="D2351" s="6" t="s">
        <v>24</v>
      </c>
      <c r="E2351" s="6" t="s">
        <v>38</v>
      </c>
      <c r="F2351" s="6" t="s">
        <v>623</v>
      </c>
      <c r="G2351" s="6" t="s">
        <v>32</v>
      </c>
      <c r="H2351" s="6" t="s">
        <v>19</v>
      </c>
      <c r="I2351" s="6" t="s">
        <v>767</v>
      </c>
      <c r="J2351" s="6" t="s">
        <v>767</v>
      </c>
      <c r="K2351" s="7">
        <v>6269318</v>
      </c>
      <c r="L2351" s="7">
        <v>317597</v>
      </c>
      <c r="M2351" s="7">
        <v>19</v>
      </c>
      <c r="N2351" s="7">
        <v>1</v>
      </c>
      <c r="O2351" s="7">
        <v>0.74</v>
      </c>
    </row>
    <row r="2352" spans="1:15" x14ac:dyDescent="0.25">
      <c r="A2352" s="6" t="s">
        <v>28</v>
      </c>
      <c r="B2352" s="6" t="s">
        <v>522</v>
      </c>
      <c r="C2352" s="7">
        <v>33576</v>
      </c>
      <c r="D2352" s="6" t="s">
        <v>24</v>
      </c>
      <c r="E2352" s="6" t="s">
        <v>31</v>
      </c>
      <c r="F2352" s="6" t="s">
        <v>415</v>
      </c>
      <c r="G2352" s="6" t="s">
        <v>32</v>
      </c>
      <c r="H2352" s="6" t="s">
        <v>19</v>
      </c>
      <c r="I2352" s="6" t="s">
        <v>767</v>
      </c>
      <c r="J2352" s="6" t="s">
        <v>767</v>
      </c>
      <c r="K2352" s="7">
        <v>6272110</v>
      </c>
      <c r="L2352" s="7">
        <v>300878</v>
      </c>
      <c r="M2352" s="7">
        <v>19</v>
      </c>
      <c r="N2352" s="7">
        <v>1</v>
      </c>
      <c r="O2352" s="7">
        <v>1.5</v>
      </c>
    </row>
    <row r="2353" spans="1:15" x14ac:dyDescent="0.25">
      <c r="A2353" s="6" t="s">
        <v>28</v>
      </c>
      <c r="B2353" s="6" t="s">
        <v>522</v>
      </c>
      <c r="C2353" s="7">
        <v>33577</v>
      </c>
      <c r="D2353" s="6" t="s">
        <v>24</v>
      </c>
      <c r="E2353" s="6" t="s">
        <v>96</v>
      </c>
      <c r="F2353" s="6" t="s">
        <v>96</v>
      </c>
      <c r="G2353" s="6" t="s">
        <v>32</v>
      </c>
      <c r="H2353" s="6" t="s">
        <v>19</v>
      </c>
      <c r="I2353" s="6" t="s">
        <v>767</v>
      </c>
      <c r="J2353" s="6" t="s">
        <v>767</v>
      </c>
      <c r="K2353" s="7">
        <v>6259446</v>
      </c>
      <c r="L2353" s="7">
        <v>348753</v>
      </c>
      <c r="M2353" s="7">
        <v>19</v>
      </c>
      <c r="N2353" s="7">
        <v>1</v>
      </c>
      <c r="O2353" s="7">
        <v>0.38</v>
      </c>
    </row>
    <row r="2354" spans="1:15" x14ac:dyDescent="0.25">
      <c r="A2354" s="6" t="s">
        <v>28</v>
      </c>
      <c r="B2354" s="6" t="s">
        <v>522</v>
      </c>
      <c r="C2354" s="7">
        <v>33578</v>
      </c>
      <c r="D2354" s="6" t="s">
        <v>42</v>
      </c>
      <c r="E2354" s="6" t="s">
        <v>167</v>
      </c>
      <c r="F2354" s="6" t="s">
        <v>168</v>
      </c>
      <c r="G2354" s="6" t="s">
        <v>32</v>
      </c>
      <c r="H2354" s="6" t="s">
        <v>19</v>
      </c>
      <c r="I2354" s="6" t="s">
        <v>767</v>
      </c>
      <c r="J2354" s="6" t="s">
        <v>767</v>
      </c>
      <c r="K2354" s="7">
        <v>6222456</v>
      </c>
      <c r="L2354" s="7">
        <v>344001</v>
      </c>
      <c r="M2354" s="7">
        <v>19</v>
      </c>
      <c r="N2354" s="7">
        <v>1</v>
      </c>
      <c r="O2354" s="7">
        <v>0.98</v>
      </c>
    </row>
    <row r="2355" spans="1:15" x14ac:dyDescent="0.25">
      <c r="A2355" s="6" t="s">
        <v>28</v>
      </c>
      <c r="B2355" s="6" t="s">
        <v>522</v>
      </c>
      <c r="C2355" s="7">
        <v>33579</v>
      </c>
      <c r="D2355" s="6" t="s">
        <v>24</v>
      </c>
      <c r="E2355" s="6" t="s">
        <v>37</v>
      </c>
      <c r="F2355" s="6" t="s">
        <v>37</v>
      </c>
      <c r="G2355" s="6" t="s">
        <v>32</v>
      </c>
      <c r="H2355" s="6" t="s">
        <v>19</v>
      </c>
      <c r="I2355" s="6" t="s">
        <v>767</v>
      </c>
      <c r="J2355" s="6" t="s">
        <v>767</v>
      </c>
      <c r="K2355" s="7">
        <v>6272011</v>
      </c>
      <c r="L2355" s="7">
        <v>321974</v>
      </c>
      <c r="M2355" s="7">
        <v>19</v>
      </c>
      <c r="N2355" s="7">
        <v>1</v>
      </c>
      <c r="O2355" s="7">
        <v>1</v>
      </c>
    </row>
    <row r="2356" spans="1:15" x14ac:dyDescent="0.25">
      <c r="A2356" s="6" t="s">
        <v>22</v>
      </c>
      <c r="B2356" s="6" t="s">
        <v>522</v>
      </c>
      <c r="C2356" s="7">
        <v>33580</v>
      </c>
      <c r="D2356" s="6" t="s">
        <v>24</v>
      </c>
      <c r="E2356" s="6" t="s">
        <v>25</v>
      </c>
      <c r="F2356" s="6" t="s">
        <v>426</v>
      </c>
      <c r="G2356" s="6" t="s">
        <v>32</v>
      </c>
      <c r="H2356" s="6" t="s">
        <v>765</v>
      </c>
      <c r="I2356" s="6" t="s">
        <v>767</v>
      </c>
      <c r="J2356" s="6" t="s">
        <v>767</v>
      </c>
      <c r="K2356" s="7">
        <v>6260324</v>
      </c>
      <c r="L2356" s="7">
        <v>331289</v>
      </c>
      <c r="M2356" s="7">
        <v>19</v>
      </c>
      <c r="N2356" s="7">
        <v>1</v>
      </c>
      <c r="O2356" s="7">
        <v>0.06</v>
      </c>
    </row>
    <row r="2357" spans="1:15" x14ac:dyDescent="0.25">
      <c r="A2357" s="6" t="s">
        <v>22</v>
      </c>
      <c r="B2357" s="6" t="s">
        <v>522</v>
      </c>
      <c r="C2357" s="7">
        <v>33582</v>
      </c>
      <c r="D2357" s="6" t="s">
        <v>24</v>
      </c>
      <c r="E2357" s="6" t="s">
        <v>25</v>
      </c>
      <c r="F2357" s="6" t="s">
        <v>426</v>
      </c>
      <c r="G2357" s="6" t="s">
        <v>32</v>
      </c>
      <c r="H2357" s="6" t="s">
        <v>765</v>
      </c>
      <c r="I2357" s="6" t="s">
        <v>767</v>
      </c>
      <c r="J2357" s="6" t="s">
        <v>767</v>
      </c>
      <c r="K2357" s="7">
        <v>6259690</v>
      </c>
      <c r="L2357" s="7">
        <v>330970</v>
      </c>
      <c r="M2357" s="7">
        <v>19</v>
      </c>
      <c r="N2357" s="7">
        <v>1</v>
      </c>
      <c r="O2357" s="7">
        <v>1.06</v>
      </c>
    </row>
    <row r="2358" spans="1:15" x14ac:dyDescent="0.25">
      <c r="A2358" s="6" t="s">
        <v>22</v>
      </c>
      <c r="B2358" s="6" t="s">
        <v>522</v>
      </c>
      <c r="C2358" s="7">
        <v>33584</v>
      </c>
      <c r="D2358" s="6" t="s">
        <v>24</v>
      </c>
      <c r="E2358" s="6" t="s">
        <v>25</v>
      </c>
      <c r="F2358" s="6" t="s">
        <v>426</v>
      </c>
      <c r="G2358" s="6" t="s">
        <v>32</v>
      </c>
      <c r="H2358" s="6" t="s">
        <v>765</v>
      </c>
      <c r="I2358" s="6" t="s">
        <v>767</v>
      </c>
      <c r="J2358" s="6" t="s">
        <v>767</v>
      </c>
      <c r="K2358" s="7">
        <v>6260332</v>
      </c>
      <c r="L2358" s="7">
        <v>331224</v>
      </c>
      <c r="M2358" s="7">
        <v>19</v>
      </c>
      <c r="N2358" s="7">
        <v>1</v>
      </c>
      <c r="O2358" s="7">
        <v>0.46</v>
      </c>
    </row>
    <row r="2359" spans="1:15" x14ac:dyDescent="0.25">
      <c r="A2359" s="6" t="s">
        <v>22</v>
      </c>
      <c r="B2359" s="6" t="s">
        <v>522</v>
      </c>
      <c r="C2359" s="7">
        <v>33596</v>
      </c>
      <c r="D2359" s="6" t="s">
        <v>24</v>
      </c>
      <c r="E2359" s="6" t="s">
        <v>25</v>
      </c>
      <c r="F2359" s="6" t="s">
        <v>426</v>
      </c>
      <c r="G2359" s="6" t="s">
        <v>89</v>
      </c>
      <c r="H2359" s="6" t="s">
        <v>765</v>
      </c>
      <c r="I2359" s="6" t="s">
        <v>767</v>
      </c>
      <c r="J2359" s="6" t="s">
        <v>767</v>
      </c>
      <c r="K2359" s="7">
        <v>6262006</v>
      </c>
      <c r="L2359" s="7">
        <v>332751</v>
      </c>
      <c r="M2359" s="7">
        <v>19</v>
      </c>
      <c r="N2359" s="7">
        <v>1</v>
      </c>
      <c r="O2359" s="7">
        <v>0.19</v>
      </c>
    </row>
    <row r="2360" spans="1:15" x14ac:dyDescent="0.25">
      <c r="A2360" s="6" t="s">
        <v>22</v>
      </c>
      <c r="B2360" s="6" t="s">
        <v>522</v>
      </c>
      <c r="C2360" s="7">
        <v>33599</v>
      </c>
      <c r="D2360" s="6" t="s">
        <v>16</v>
      </c>
      <c r="E2360" s="6" t="s">
        <v>295</v>
      </c>
      <c r="F2360" s="6" t="s">
        <v>536</v>
      </c>
      <c r="G2360" s="6" t="s">
        <v>32</v>
      </c>
      <c r="H2360" s="6" t="s">
        <v>765</v>
      </c>
      <c r="I2360" s="6" t="s">
        <v>767</v>
      </c>
      <c r="J2360" s="6" t="s">
        <v>767</v>
      </c>
      <c r="K2360" s="7">
        <v>6362502</v>
      </c>
      <c r="L2360" s="7">
        <v>350776</v>
      </c>
      <c r="M2360" s="7">
        <v>19</v>
      </c>
      <c r="N2360" s="7">
        <v>1</v>
      </c>
      <c r="O2360" s="7">
        <v>1.37</v>
      </c>
    </row>
    <row r="2361" spans="1:15" x14ac:dyDescent="0.25">
      <c r="A2361" s="6" t="s">
        <v>22</v>
      </c>
      <c r="B2361" s="6" t="s">
        <v>522</v>
      </c>
      <c r="C2361" s="7">
        <v>33602</v>
      </c>
      <c r="D2361" s="6" t="s">
        <v>24</v>
      </c>
      <c r="E2361" s="6" t="s">
        <v>25</v>
      </c>
      <c r="F2361" s="6" t="s">
        <v>445</v>
      </c>
      <c r="G2361" s="6" t="s">
        <v>32</v>
      </c>
      <c r="H2361" s="6" t="s">
        <v>765</v>
      </c>
      <c r="I2361" s="6" t="s">
        <v>767</v>
      </c>
      <c r="J2361" s="6" t="s">
        <v>767</v>
      </c>
      <c r="K2361" s="7">
        <v>6259106</v>
      </c>
      <c r="L2361" s="7">
        <v>332132</v>
      </c>
      <c r="M2361" s="7">
        <v>19</v>
      </c>
      <c r="N2361" s="7">
        <v>1</v>
      </c>
      <c r="O2361" s="7">
        <v>0.33</v>
      </c>
    </row>
    <row r="2362" spans="1:15" x14ac:dyDescent="0.25">
      <c r="A2362" s="6" t="s">
        <v>22</v>
      </c>
      <c r="B2362" s="6" t="s">
        <v>522</v>
      </c>
      <c r="C2362" s="7">
        <v>33604</v>
      </c>
      <c r="D2362" s="6" t="s">
        <v>24</v>
      </c>
      <c r="E2362" s="6" t="s">
        <v>25</v>
      </c>
      <c r="F2362" s="6" t="s">
        <v>426</v>
      </c>
      <c r="G2362" s="6" t="s">
        <v>32</v>
      </c>
      <c r="H2362" s="6" t="s">
        <v>765</v>
      </c>
      <c r="I2362" s="6" t="s">
        <v>767</v>
      </c>
      <c r="J2362" s="6" t="s">
        <v>767</v>
      </c>
      <c r="K2362" s="7">
        <v>6259344</v>
      </c>
      <c r="L2362" s="7">
        <v>331017</v>
      </c>
      <c r="M2362" s="7">
        <v>19</v>
      </c>
      <c r="N2362" s="7">
        <v>1</v>
      </c>
      <c r="O2362" s="7">
        <v>0.73</v>
      </c>
    </row>
    <row r="2363" spans="1:15" x14ac:dyDescent="0.25">
      <c r="A2363" s="6" t="s">
        <v>22</v>
      </c>
      <c r="B2363" s="6" t="s">
        <v>522</v>
      </c>
      <c r="C2363" s="7">
        <v>33609</v>
      </c>
      <c r="D2363" s="6" t="s">
        <v>24</v>
      </c>
      <c r="E2363" s="6" t="s">
        <v>25</v>
      </c>
      <c r="F2363" s="6" t="s">
        <v>445</v>
      </c>
      <c r="G2363" s="6" t="s">
        <v>32</v>
      </c>
      <c r="H2363" s="6" t="s">
        <v>765</v>
      </c>
      <c r="I2363" s="6" t="s">
        <v>767</v>
      </c>
      <c r="J2363" s="6" t="s">
        <v>767</v>
      </c>
      <c r="K2363" s="7">
        <v>6260478</v>
      </c>
      <c r="L2363" s="7">
        <v>332941</v>
      </c>
      <c r="M2363" s="7">
        <v>19</v>
      </c>
      <c r="N2363" s="7">
        <v>1</v>
      </c>
      <c r="O2363" s="7">
        <v>0.45</v>
      </c>
    </row>
    <row r="2364" spans="1:15" x14ac:dyDescent="0.25">
      <c r="A2364" s="6" t="s">
        <v>22</v>
      </c>
      <c r="B2364" s="6" t="s">
        <v>522</v>
      </c>
      <c r="C2364" s="7">
        <v>33610</v>
      </c>
      <c r="D2364" s="6" t="s">
        <v>297</v>
      </c>
      <c r="E2364" s="6" t="s">
        <v>298</v>
      </c>
      <c r="F2364" s="6" t="s">
        <v>523</v>
      </c>
      <c r="G2364" s="6" t="s">
        <v>32</v>
      </c>
      <c r="H2364" s="6" t="s">
        <v>765</v>
      </c>
      <c r="I2364" s="6" t="s">
        <v>767</v>
      </c>
      <c r="J2364" s="6" t="s">
        <v>767</v>
      </c>
      <c r="K2364" s="7">
        <v>7949856</v>
      </c>
      <c r="L2364" s="7">
        <v>378180</v>
      </c>
      <c r="M2364" s="7">
        <v>19</v>
      </c>
      <c r="N2364" s="7">
        <v>1</v>
      </c>
      <c r="O2364" s="7">
        <v>0.75</v>
      </c>
    </row>
    <row r="2365" spans="1:15" x14ac:dyDescent="0.25">
      <c r="A2365" s="6" t="s">
        <v>22</v>
      </c>
      <c r="B2365" s="6" t="s">
        <v>522</v>
      </c>
      <c r="C2365" s="7">
        <v>33611</v>
      </c>
      <c r="D2365" s="6" t="s">
        <v>297</v>
      </c>
      <c r="E2365" s="6" t="s">
        <v>298</v>
      </c>
      <c r="F2365" s="6" t="s">
        <v>523</v>
      </c>
      <c r="G2365" s="6" t="s">
        <v>32</v>
      </c>
      <c r="H2365" s="6" t="s">
        <v>765</v>
      </c>
      <c r="I2365" s="6" t="s">
        <v>767</v>
      </c>
      <c r="J2365" s="6" t="s">
        <v>767</v>
      </c>
      <c r="K2365" s="7">
        <v>7952329</v>
      </c>
      <c r="L2365" s="7">
        <v>371477</v>
      </c>
      <c r="M2365" s="7">
        <v>19</v>
      </c>
      <c r="N2365" s="7">
        <v>1</v>
      </c>
      <c r="O2365" s="7">
        <v>0.92</v>
      </c>
    </row>
    <row r="2366" spans="1:15" x14ac:dyDescent="0.25">
      <c r="A2366" s="6" t="s">
        <v>22</v>
      </c>
      <c r="B2366" s="6" t="s">
        <v>522</v>
      </c>
      <c r="C2366" s="7">
        <v>33612</v>
      </c>
      <c r="D2366" s="6" t="s">
        <v>16</v>
      </c>
      <c r="E2366" s="6" t="s">
        <v>295</v>
      </c>
      <c r="F2366" s="6" t="s">
        <v>607</v>
      </c>
      <c r="G2366" s="6" t="s">
        <v>32</v>
      </c>
      <c r="H2366" s="6" t="s">
        <v>765</v>
      </c>
      <c r="I2366" s="6" t="s">
        <v>767</v>
      </c>
      <c r="J2366" s="6" t="s">
        <v>767</v>
      </c>
      <c r="K2366" s="7">
        <v>6366374</v>
      </c>
      <c r="L2366" s="7">
        <v>353408</v>
      </c>
      <c r="M2366" s="7">
        <v>19</v>
      </c>
      <c r="N2366" s="7">
        <v>1</v>
      </c>
      <c r="O2366" s="7">
        <v>1.03</v>
      </c>
    </row>
    <row r="2367" spans="1:15" x14ac:dyDescent="0.25">
      <c r="A2367" s="6" t="s">
        <v>22</v>
      </c>
      <c r="B2367" s="6" t="s">
        <v>522</v>
      </c>
      <c r="C2367" s="7">
        <v>33621</v>
      </c>
      <c r="D2367" s="6" t="s">
        <v>297</v>
      </c>
      <c r="E2367" s="6" t="s">
        <v>298</v>
      </c>
      <c r="F2367" s="6" t="s">
        <v>413</v>
      </c>
      <c r="G2367" s="6" t="s">
        <v>32</v>
      </c>
      <c r="H2367" s="6" t="s">
        <v>765</v>
      </c>
      <c r="I2367" s="6" t="s">
        <v>767</v>
      </c>
      <c r="J2367" s="6" t="s">
        <v>767</v>
      </c>
      <c r="K2367" s="7">
        <v>7918869</v>
      </c>
      <c r="L2367" s="7">
        <v>379782</v>
      </c>
      <c r="M2367" s="7">
        <v>19</v>
      </c>
      <c r="N2367" s="7">
        <v>1</v>
      </c>
      <c r="O2367" s="7">
        <v>0.57999999999999996</v>
      </c>
    </row>
    <row r="2368" spans="1:15" x14ac:dyDescent="0.25">
      <c r="A2368" s="6" t="s">
        <v>22</v>
      </c>
      <c r="B2368" s="6" t="s">
        <v>522</v>
      </c>
      <c r="C2368" s="7">
        <v>33622</v>
      </c>
      <c r="D2368" s="6" t="s">
        <v>297</v>
      </c>
      <c r="E2368" s="6" t="s">
        <v>298</v>
      </c>
      <c r="F2368" s="6" t="s">
        <v>413</v>
      </c>
      <c r="G2368" s="6" t="s">
        <v>32</v>
      </c>
      <c r="H2368" s="6" t="s">
        <v>765</v>
      </c>
      <c r="I2368" s="6" t="s">
        <v>767</v>
      </c>
      <c r="J2368" s="6" t="s">
        <v>767</v>
      </c>
      <c r="K2368" s="7">
        <v>7919012</v>
      </c>
      <c r="L2368" s="7">
        <v>378877</v>
      </c>
      <c r="M2368" s="7">
        <v>19</v>
      </c>
      <c r="N2368" s="7">
        <v>1</v>
      </c>
      <c r="O2368" s="7">
        <v>0.47</v>
      </c>
    </row>
    <row r="2369" spans="1:15" x14ac:dyDescent="0.25">
      <c r="A2369" s="6" t="s">
        <v>28</v>
      </c>
      <c r="B2369" s="6" t="s">
        <v>522</v>
      </c>
      <c r="C2369" s="7">
        <v>33636</v>
      </c>
      <c r="D2369" s="6" t="s">
        <v>24</v>
      </c>
      <c r="E2369" s="6" t="s">
        <v>31</v>
      </c>
      <c r="F2369" s="6" t="s">
        <v>593</v>
      </c>
      <c r="G2369" s="6" t="s">
        <v>32</v>
      </c>
      <c r="H2369" s="6" t="s">
        <v>19</v>
      </c>
      <c r="I2369" s="6" t="s">
        <v>767</v>
      </c>
      <c r="J2369" s="6" t="s">
        <v>767</v>
      </c>
      <c r="K2369" s="7">
        <v>6276138</v>
      </c>
      <c r="L2369" s="7">
        <v>292589</v>
      </c>
      <c r="M2369" s="7">
        <v>19</v>
      </c>
      <c r="N2369" s="7">
        <v>1</v>
      </c>
      <c r="O2369" s="7">
        <v>1</v>
      </c>
    </row>
    <row r="2370" spans="1:15" x14ac:dyDescent="0.25">
      <c r="A2370" s="6" t="s">
        <v>28</v>
      </c>
      <c r="B2370" s="6" t="s">
        <v>522</v>
      </c>
      <c r="C2370" s="7">
        <v>33637</v>
      </c>
      <c r="D2370" s="6" t="s">
        <v>42</v>
      </c>
      <c r="E2370" s="6" t="s">
        <v>167</v>
      </c>
      <c r="F2370" s="6" t="s">
        <v>168</v>
      </c>
      <c r="G2370" s="6" t="s">
        <v>32</v>
      </c>
      <c r="H2370" s="6" t="s">
        <v>19</v>
      </c>
      <c r="I2370" s="6" t="s">
        <v>767</v>
      </c>
      <c r="J2370" s="6" t="s">
        <v>767</v>
      </c>
      <c r="K2370" s="7">
        <v>6226349</v>
      </c>
      <c r="L2370" s="7">
        <v>344635</v>
      </c>
      <c r="M2370" s="7">
        <v>19</v>
      </c>
      <c r="N2370" s="7">
        <v>1</v>
      </c>
      <c r="O2370" s="7">
        <v>0.91</v>
      </c>
    </row>
    <row r="2371" spans="1:15" x14ac:dyDescent="0.25">
      <c r="A2371" s="6" t="s">
        <v>28</v>
      </c>
      <c r="B2371" s="6" t="s">
        <v>522</v>
      </c>
      <c r="C2371" s="7">
        <v>33638</v>
      </c>
      <c r="D2371" s="6" t="s">
        <v>24</v>
      </c>
      <c r="E2371" s="6" t="s">
        <v>37</v>
      </c>
      <c r="F2371" s="6" t="s">
        <v>37</v>
      </c>
      <c r="G2371" s="6" t="s">
        <v>32</v>
      </c>
      <c r="H2371" s="6" t="s">
        <v>153</v>
      </c>
      <c r="I2371" s="6" t="s">
        <v>767</v>
      </c>
      <c r="J2371" s="6" t="s">
        <v>764</v>
      </c>
      <c r="K2371" s="7">
        <v>6272234</v>
      </c>
      <c r="L2371" s="7">
        <v>320974</v>
      </c>
      <c r="M2371" s="7">
        <v>19</v>
      </c>
      <c r="N2371" s="7">
        <v>1</v>
      </c>
      <c r="O2371" s="7">
        <v>0.31</v>
      </c>
    </row>
    <row r="2372" spans="1:15" x14ac:dyDescent="0.25">
      <c r="A2372" s="6" t="s">
        <v>28</v>
      </c>
      <c r="B2372" s="6" t="s">
        <v>522</v>
      </c>
      <c r="C2372" s="7">
        <v>33641</v>
      </c>
      <c r="D2372" s="6" t="s">
        <v>24</v>
      </c>
      <c r="E2372" s="6" t="s">
        <v>56</v>
      </c>
      <c r="F2372" s="6" t="s">
        <v>624</v>
      </c>
      <c r="G2372" s="6" t="s">
        <v>32</v>
      </c>
      <c r="H2372" s="6" t="s">
        <v>19</v>
      </c>
      <c r="I2372" s="6" t="s">
        <v>767</v>
      </c>
      <c r="J2372" s="6" t="s">
        <v>767</v>
      </c>
      <c r="K2372" s="7">
        <v>6272487</v>
      </c>
      <c r="L2372" s="7">
        <v>340057</v>
      </c>
      <c r="M2372" s="7">
        <v>19</v>
      </c>
      <c r="N2372" s="7">
        <v>1</v>
      </c>
      <c r="O2372" s="7">
        <v>0.38</v>
      </c>
    </row>
    <row r="2373" spans="1:15" x14ac:dyDescent="0.25">
      <c r="A2373" s="6" t="s">
        <v>28</v>
      </c>
      <c r="B2373" s="6" t="s">
        <v>522</v>
      </c>
      <c r="C2373" s="7">
        <v>33642</v>
      </c>
      <c r="D2373" s="6" t="s">
        <v>24</v>
      </c>
      <c r="E2373" s="6" t="s">
        <v>56</v>
      </c>
      <c r="F2373" s="6" t="s">
        <v>418</v>
      </c>
      <c r="G2373" s="6" t="s">
        <v>32</v>
      </c>
      <c r="H2373" s="6" t="s">
        <v>19</v>
      </c>
      <c r="I2373" s="6" t="s">
        <v>767</v>
      </c>
      <c r="J2373" s="6" t="s">
        <v>767</v>
      </c>
      <c r="K2373" s="7">
        <v>6272258</v>
      </c>
      <c r="L2373" s="7">
        <v>339597</v>
      </c>
      <c r="M2373" s="7">
        <v>19</v>
      </c>
      <c r="N2373" s="7">
        <v>1</v>
      </c>
      <c r="O2373" s="7">
        <v>0.35</v>
      </c>
    </row>
    <row r="2374" spans="1:15" x14ac:dyDescent="0.25">
      <c r="A2374" s="6" t="s">
        <v>28</v>
      </c>
      <c r="B2374" s="6" t="s">
        <v>522</v>
      </c>
      <c r="C2374" s="7">
        <v>33643</v>
      </c>
      <c r="D2374" s="6" t="s">
        <v>24</v>
      </c>
      <c r="E2374" s="6" t="s">
        <v>31</v>
      </c>
      <c r="F2374" s="6" t="s">
        <v>109</v>
      </c>
      <c r="G2374" s="6" t="s">
        <v>32</v>
      </c>
      <c r="H2374" s="6" t="s">
        <v>19</v>
      </c>
      <c r="I2374" s="6" t="s">
        <v>767</v>
      </c>
      <c r="J2374" s="6" t="s">
        <v>767</v>
      </c>
      <c r="K2374" s="7">
        <v>6276000</v>
      </c>
      <c r="L2374" s="7">
        <v>291211</v>
      </c>
      <c r="M2374" s="7">
        <v>19</v>
      </c>
      <c r="N2374" s="7">
        <v>1</v>
      </c>
      <c r="O2374" s="7">
        <v>1.1499999999999999</v>
      </c>
    </row>
    <row r="2375" spans="1:15" x14ac:dyDescent="0.25">
      <c r="A2375" s="6" t="s">
        <v>28</v>
      </c>
      <c r="B2375" s="6" t="s">
        <v>522</v>
      </c>
      <c r="C2375" s="7">
        <v>33644</v>
      </c>
      <c r="D2375" s="6" t="s">
        <v>24</v>
      </c>
      <c r="E2375" s="6" t="s">
        <v>543</v>
      </c>
      <c r="F2375" s="6" t="s">
        <v>543</v>
      </c>
      <c r="G2375" s="6" t="s">
        <v>32</v>
      </c>
      <c r="H2375" s="6" t="s">
        <v>19</v>
      </c>
      <c r="I2375" s="6" t="s">
        <v>767</v>
      </c>
      <c r="J2375" s="6" t="s">
        <v>767</v>
      </c>
      <c r="K2375" s="7">
        <v>6315054</v>
      </c>
      <c r="L2375" s="7">
        <v>328682</v>
      </c>
      <c r="M2375" s="7">
        <v>19</v>
      </c>
      <c r="N2375" s="7">
        <v>1</v>
      </c>
      <c r="O2375" s="7">
        <v>0.3</v>
      </c>
    </row>
    <row r="2376" spans="1:15" x14ac:dyDescent="0.25">
      <c r="A2376" s="6" t="s">
        <v>28</v>
      </c>
      <c r="B2376" s="6" t="s">
        <v>522</v>
      </c>
      <c r="C2376" s="7">
        <v>33645</v>
      </c>
      <c r="D2376" s="6" t="s">
        <v>24</v>
      </c>
      <c r="E2376" s="6" t="s">
        <v>56</v>
      </c>
      <c r="F2376" s="6" t="s">
        <v>554</v>
      </c>
      <c r="G2376" s="6" t="s">
        <v>32</v>
      </c>
      <c r="H2376" s="6" t="s">
        <v>19</v>
      </c>
      <c r="I2376" s="6" t="s">
        <v>767</v>
      </c>
      <c r="J2376" s="6" t="s">
        <v>767</v>
      </c>
      <c r="K2376" s="7">
        <v>6278223</v>
      </c>
      <c r="L2376" s="7">
        <v>339603</v>
      </c>
      <c r="M2376" s="7">
        <v>19</v>
      </c>
      <c r="N2376" s="7">
        <v>1</v>
      </c>
      <c r="O2376" s="7">
        <v>1</v>
      </c>
    </row>
    <row r="2377" spans="1:15" x14ac:dyDescent="0.25">
      <c r="A2377" s="6" t="s">
        <v>28</v>
      </c>
      <c r="B2377" s="6" t="s">
        <v>522</v>
      </c>
      <c r="C2377" s="7">
        <v>33646</v>
      </c>
      <c r="D2377" s="6" t="s">
        <v>24</v>
      </c>
      <c r="E2377" s="6" t="s">
        <v>56</v>
      </c>
      <c r="F2377" s="6" t="s">
        <v>418</v>
      </c>
      <c r="G2377" s="6" t="s">
        <v>32</v>
      </c>
      <c r="H2377" s="6" t="s">
        <v>19</v>
      </c>
      <c r="I2377" s="6" t="s">
        <v>767</v>
      </c>
      <c r="J2377" s="6" t="s">
        <v>767</v>
      </c>
      <c r="K2377" s="7">
        <v>6270843</v>
      </c>
      <c r="L2377" s="7">
        <v>338311</v>
      </c>
      <c r="M2377" s="7">
        <v>19</v>
      </c>
      <c r="N2377" s="7">
        <v>1</v>
      </c>
      <c r="O2377" s="7">
        <v>0.12</v>
      </c>
    </row>
    <row r="2378" spans="1:15" x14ac:dyDescent="0.25">
      <c r="A2378" s="6" t="s">
        <v>28</v>
      </c>
      <c r="B2378" s="6" t="s">
        <v>522</v>
      </c>
      <c r="C2378" s="7">
        <v>33649</v>
      </c>
      <c r="D2378" s="6" t="s">
        <v>24</v>
      </c>
      <c r="E2378" s="6" t="s">
        <v>56</v>
      </c>
      <c r="F2378" s="6" t="s">
        <v>56</v>
      </c>
      <c r="G2378" s="6" t="s">
        <v>32</v>
      </c>
      <c r="H2378" s="6" t="s">
        <v>153</v>
      </c>
      <c r="I2378" s="6" t="s">
        <v>767</v>
      </c>
      <c r="J2378" s="6" t="s">
        <v>764</v>
      </c>
      <c r="K2378" s="7">
        <v>6285728</v>
      </c>
      <c r="L2378" s="7">
        <v>337450</v>
      </c>
      <c r="M2378" s="7">
        <v>19</v>
      </c>
      <c r="N2378" s="7">
        <v>1</v>
      </c>
      <c r="O2378" s="7">
        <v>7.75</v>
      </c>
    </row>
    <row r="2379" spans="1:15" x14ac:dyDescent="0.25">
      <c r="A2379" s="6" t="s">
        <v>28</v>
      </c>
      <c r="B2379" s="6" t="s">
        <v>522</v>
      </c>
      <c r="C2379" s="7">
        <v>33655</v>
      </c>
      <c r="D2379" s="6" t="s">
        <v>24</v>
      </c>
      <c r="E2379" s="6" t="s">
        <v>38</v>
      </c>
      <c r="F2379" s="6" t="s">
        <v>615</v>
      </c>
      <c r="G2379" s="6" t="s">
        <v>32</v>
      </c>
      <c r="H2379" s="6" t="s">
        <v>19</v>
      </c>
      <c r="I2379" s="6" t="s">
        <v>767</v>
      </c>
      <c r="J2379" s="6" t="s">
        <v>767</v>
      </c>
      <c r="K2379" s="7">
        <v>6271409</v>
      </c>
      <c r="L2379" s="7">
        <v>310045</v>
      </c>
      <c r="M2379" s="7">
        <v>19</v>
      </c>
      <c r="N2379" s="7">
        <v>1</v>
      </c>
      <c r="O2379" s="7">
        <v>1.05</v>
      </c>
    </row>
    <row r="2380" spans="1:15" x14ac:dyDescent="0.25">
      <c r="A2380" s="6" t="s">
        <v>28</v>
      </c>
      <c r="B2380" s="6" t="s">
        <v>522</v>
      </c>
      <c r="C2380" s="7">
        <v>33658</v>
      </c>
      <c r="D2380" s="6" t="s">
        <v>42</v>
      </c>
      <c r="E2380" s="6" t="s">
        <v>167</v>
      </c>
      <c r="F2380" s="6" t="s">
        <v>168</v>
      </c>
      <c r="G2380" s="6" t="s">
        <v>32</v>
      </c>
      <c r="H2380" s="6" t="s">
        <v>19</v>
      </c>
      <c r="I2380" s="6" t="s">
        <v>767</v>
      </c>
      <c r="J2380" s="6" t="s">
        <v>767</v>
      </c>
      <c r="K2380" s="7">
        <v>6222950</v>
      </c>
      <c r="L2380" s="7">
        <v>344307</v>
      </c>
      <c r="M2380" s="7">
        <v>19</v>
      </c>
      <c r="N2380" s="7">
        <v>1</v>
      </c>
      <c r="O2380" s="7">
        <v>0.97</v>
      </c>
    </row>
    <row r="2381" spans="1:15" x14ac:dyDescent="0.25">
      <c r="A2381" s="6" t="s">
        <v>28</v>
      </c>
      <c r="B2381" s="6" t="s">
        <v>522</v>
      </c>
      <c r="C2381" s="7">
        <v>33665</v>
      </c>
      <c r="D2381" s="6" t="s">
        <v>42</v>
      </c>
      <c r="E2381" s="6" t="s">
        <v>167</v>
      </c>
      <c r="F2381" s="6" t="s">
        <v>168</v>
      </c>
      <c r="G2381" s="6" t="s">
        <v>32</v>
      </c>
      <c r="H2381" s="6" t="s">
        <v>19</v>
      </c>
      <c r="I2381" s="6" t="s">
        <v>767</v>
      </c>
      <c r="J2381" s="6" t="s">
        <v>767</v>
      </c>
      <c r="K2381" s="7">
        <v>6223051</v>
      </c>
      <c r="L2381" s="7">
        <v>343983</v>
      </c>
      <c r="M2381" s="7">
        <v>19</v>
      </c>
      <c r="N2381" s="7">
        <v>1</v>
      </c>
      <c r="O2381" s="7">
        <v>1</v>
      </c>
    </row>
    <row r="2382" spans="1:15" x14ac:dyDescent="0.25">
      <c r="A2382" s="6" t="s">
        <v>22</v>
      </c>
      <c r="B2382" s="6" t="s">
        <v>522</v>
      </c>
      <c r="C2382" s="7">
        <v>33674</v>
      </c>
      <c r="D2382" s="6" t="s">
        <v>24</v>
      </c>
      <c r="E2382" s="6" t="s">
        <v>25</v>
      </c>
      <c r="F2382" s="6" t="s">
        <v>445</v>
      </c>
      <c r="G2382" s="6" t="s">
        <v>32</v>
      </c>
      <c r="H2382" s="6" t="s">
        <v>765</v>
      </c>
      <c r="I2382" s="6" t="s">
        <v>767</v>
      </c>
      <c r="J2382" s="6" t="s">
        <v>767</v>
      </c>
      <c r="K2382" s="7">
        <v>6259342</v>
      </c>
      <c r="L2382" s="7">
        <v>332229</v>
      </c>
      <c r="M2382" s="7">
        <v>19</v>
      </c>
      <c r="N2382" s="7">
        <v>1</v>
      </c>
      <c r="O2382" s="7">
        <v>0.1</v>
      </c>
    </row>
    <row r="2383" spans="1:15" x14ac:dyDescent="0.25">
      <c r="A2383" s="6" t="s">
        <v>22</v>
      </c>
      <c r="B2383" s="6" t="s">
        <v>522</v>
      </c>
      <c r="C2383" s="7">
        <v>33681</v>
      </c>
      <c r="D2383" s="6" t="s">
        <v>24</v>
      </c>
      <c r="E2383" s="6" t="s">
        <v>25</v>
      </c>
      <c r="F2383" s="6" t="s">
        <v>445</v>
      </c>
      <c r="G2383" s="6" t="s">
        <v>32</v>
      </c>
      <c r="H2383" s="6" t="s">
        <v>765</v>
      </c>
      <c r="I2383" s="6" t="s">
        <v>767</v>
      </c>
      <c r="J2383" s="6" t="s">
        <v>767</v>
      </c>
      <c r="K2383" s="7">
        <v>6260037</v>
      </c>
      <c r="L2383" s="7">
        <v>332858</v>
      </c>
      <c r="M2383" s="7">
        <v>19</v>
      </c>
      <c r="N2383" s="7">
        <v>3</v>
      </c>
      <c r="O2383" s="7">
        <v>2.13</v>
      </c>
    </row>
    <row r="2384" spans="1:15" x14ac:dyDescent="0.25">
      <c r="A2384" s="6" t="s">
        <v>28</v>
      </c>
      <c r="B2384" s="6" t="s">
        <v>522</v>
      </c>
      <c r="C2384" s="7">
        <v>33686</v>
      </c>
      <c r="D2384" s="6" t="s">
        <v>24</v>
      </c>
      <c r="E2384" s="6" t="s">
        <v>38</v>
      </c>
      <c r="F2384" s="6" t="s">
        <v>576</v>
      </c>
      <c r="G2384" s="6" t="s">
        <v>32</v>
      </c>
      <c r="H2384" s="6" t="s">
        <v>153</v>
      </c>
      <c r="I2384" s="6" t="s">
        <v>767</v>
      </c>
      <c r="J2384" s="6" t="s">
        <v>764</v>
      </c>
      <c r="K2384" s="7">
        <v>6268425</v>
      </c>
      <c r="L2384" s="7">
        <v>308174</v>
      </c>
      <c r="M2384" s="7">
        <v>19</v>
      </c>
      <c r="N2384" s="7">
        <v>1</v>
      </c>
      <c r="O2384" s="7">
        <v>4.95</v>
      </c>
    </row>
    <row r="2385" spans="1:15" x14ac:dyDescent="0.25">
      <c r="A2385" s="6" t="s">
        <v>28</v>
      </c>
      <c r="B2385" s="6" t="s">
        <v>522</v>
      </c>
      <c r="C2385" s="7">
        <v>33687</v>
      </c>
      <c r="D2385" s="6" t="s">
        <v>24</v>
      </c>
      <c r="E2385" s="6" t="s">
        <v>37</v>
      </c>
      <c r="F2385" s="6" t="s">
        <v>37</v>
      </c>
      <c r="G2385" s="6" t="s">
        <v>32</v>
      </c>
      <c r="H2385" s="6" t="s">
        <v>19</v>
      </c>
      <c r="I2385" s="6" t="s">
        <v>767</v>
      </c>
      <c r="J2385" s="6" t="s">
        <v>767</v>
      </c>
      <c r="K2385" s="7">
        <v>6271119</v>
      </c>
      <c r="L2385" s="7">
        <v>325997</v>
      </c>
      <c r="M2385" s="7">
        <v>19</v>
      </c>
      <c r="N2385" s="7">
        <v>1</v>
      </c>
      <c r="O2385" s="7">
        <v>1.1000000000000001</v>
      </c>
    </row>
    <row r="2386" spans="1:15" x14ac:dyDescent="0.25">
      <c r="A2386" s="6" t="s">
        <v>28</v>
      </c>
      <c r="B2386" s="6" t="s">
        <v>522</v>
      </c>
      <c r="C2386" s="7">
        <v>33688</v>
      </c>
      <c r="D2386" s="6" t="s">
        <v>24</v>
      </c>
      <c r="E2386" s="6" t="s">
        <v>625</v>
      </c>
      <c r="F2386" s="6" t="s">
        <v>625</v>
      </c>
      <c r="G2386" s="6" t="s">
        <v>32</v>
      </c>
      <c r="H2386" s="6" t="s">
        <v>19</v>
      </c>
      <c r="I2386" s="6" t="s">
        <v>767</v>
      </c>
      <c r="J2386" s="6" t="s">
        <v>767</v>
      </c>
      <c r="K2386" s="7">
        <v>6273426</v>
      </c>
      <c r="L2386" s="7">
        <v>291332</v>
      </c>
      <c r="M2386" s="7">
        <v>19</v>
      </c>
      <c r="N2386" s="7">
        <v>1</v>
      </c>
      <c r="O2386" s="7">
        <v>1.63</v>
      </c>
    </row>
    <row r="2387" spans="1:15" x14ac:dyDescent="0.25">
      <c r="A2387" s="6" t="s">
        <v>28</v>
      </c>
      <c r="B2387" s="6" t="s">
        <v>522</v>
      </c>
      <c r="C2387" s="7">
        <v>33689</v>
      </c>
      <c r="D2387" s="6" t="s">
        <v>24</v>
      </c>
      <c r="E2387" s="6" t="s">
        <v>56</v>
      </c>
      <c r="F2387" s="6" t="s">
        <v>418</v>
      </c>
      <c r="G2387" s="6" t="s">
        <v>32</v>
      </c>
      <c r="H2387" s="6" t="s">
        <v>19</v>
      </c>
      <c r="I2387" s="6" t="s">
        <v>767</v>
      </c>
      <c r="J2387" s="6" t="s">
        <v>767</v>
      </c>
      <c r="K2387" s="7">
        <v>6273268</v>
      </c>
      <c r="L2387" s="7">
        <v>334681</v>
      </c>
      <c r="M2387" s="7">
        <v>19</v>
      </c>
      <c r="N2387" s="7">
        <v>1</v>
      </c>
      <c r="O2387" s="7">
        <v>1.1100000000000001</v>
      </c>
    </row>
    <row r="2388" spans="1:15" x14ac:dyDescent="0.25">
      <c r="A2388" s="6" t="s">
        <v>28</v>
      </c>
      <c r="B2388" s="6" t="s">
        <v>522</v>
      </c>
      <c r="C2388" s="7">
        <v>33690</v>
      </c>
      <c r="D2388" s="6" t="s">
        <v>24</v>
      </c>
      <c r="E2388" s="6" t="s">
        <v>96</v>
      </c>
      <c r="F2388" s="6" t="s">
        <v>542</v>
      </c>
      <c r="G2388" s="6" t="s">
        <v>32</v>
      </c>
      <c r="H2388" s="6" t="s">
        <v>19</v>
      </c>
      <c r="I2388" s="6" t="s">
        <v>767</v>
      </c>
      <c r="J2388" s="6" t="s">
        <v>767</v>
      </c>
      <c r="K2388" s="7">
        <v>6254884</v>
      </c>
      <c r="L2388" s="7">
        <v>319562</v>
      </c>
      <c r="M2388" s="7">
        <v>19</v>
      </c>
      <c r="N2388" s="7">
        <v>1</v>
      </c>
      <c r="O2388" s="7">
        <v>0.1</v>
      </c>
    </row>
    <row r="2389" spans="1:15" x14ac:dyDescent="0.25">
      <c r="A2389" s="6" t="s">
        <v>28</v>
      </c>
      <c r="B2389" s="6" t="s">
        <v>522</v>
      </c>
      <c r="C2389" s="7">
        <v>33693</v>
      </c>
      <c r="D2389" s="6" t="s">
        <v>24</v>
      </c>
      <c r="E2389" s="6" t="s">
        <v>501</v>
      </c>
      <c r="F2389" s="6" t="s">
        <v>578</v>
      </c>
      <c r="G2389" s="6" t="s">
        <v>32</v>
      </c>
      <c r="H2389" s="6" t="s">
        <v>19</v>
      </c>
      <c r="I2389" s="6" t="s">
        <v>767</v>
      </c>
      <c r="J2389" s="6" t="s">
        <v>767</v>
      </c>
      <c r="K2389" s="7">
        <v>6326058</v>
      </c>
      <c r="L2389" s="7">
        <v>324860</v>
      </c>
      <c r="M2389" s="7">
        <v>19</v>
      </c>
      <c r="N2389" s="7">
        <v>1</v>
      </c>
      <c r="O2389" s="7">
        <v>0.4</v>
      </c>
    </row>
    <row r="2390" spans="1:15" x14ac:dyDescent="0.25">
      <c r="A2390" s="6" t="s">
        <v>28</v>
      </c>
      <c r="B2390" s="6" t="s">
        <v>522</v>
      </c>
      <c r="C2390" s="7">
        <v>33694</v>
      </c>
      <c r="D2390" s="6" t="s">
        <v>24</v>
      </c>
      <c r="E2390" s="6" t="s">
        <v>56</v>
      </c>
      <c r="F2390" s="6" t="s">
        <v>467</v>
      </c>
      <c r="G2390" s="6" t="s">
        <v>32</v>
      </c>
      <c r="H2390" s="6" t="s">
        <v>153</v>
      </c>
      <c r="I2390" s="6" t="s">
        <v>767</v>
      </c>
      <c r="J2390" s="6" t="s">
        <v>764</v>
      </c>
      <c r="K2390" s="7">
        <v>6276882</v>
      </c>
      <c r="L2390" s="7">
        <v>345622</v>
      </c>
      <c r="M2390" s="7">
        <v>19</v>
      </c>
      <c r="N2390" s="7">
        <v>1</v>
      </c>
      <c r="O2390" s="7">
        <v>1</v>
      </c>
    </row>
    <row r="2391" spans="1:15" x14ac:dyDescent="0.25">
      <c r="A2391" s="6" t="s">
        <v>28</v>
      </c>
      <c r="B2391" s="6" t="s">
        <v>522</v>
      </c>
      <c r="C2391" s="7">
        <v>33698</v>
      </c>
      <c r="D2391" s="6" t="s">
        <v>24</v>
      </c>
      <c r="E2391" s="6" t="s">
        <v>56</v>
      </c>
      <c r="F2391" s="6" t="s">
        <v>467</v>
      </c>
      <c r="G2391" s="6" t="s">
        <v>32</v>
      </c>
      <c r="H2391" s="6" t="s">
        <v>153</v>
      </c>
      <c r="I2391" s="6" t="s">
        <v>767</v>
      </c>
      <c r="J2391" s="6" t="s">
        <v>764</v>
      </c>
      <c r="K2391" s="7">
        <v>6277183</v>
      </c>
      <c r="L2391" s="7">
        <v>345699</v>
      </c>
      <c r="M2391" s="7">
        <v>19</v>
      </c>
      <c r="N2391" s="7">
        <v>4</v>
      </c>
      <c r="O2391" s="7">
        <v>4.5999999999999996</v>
      </c>
    </row>
    <row r="2392" spans="1:15" x14ac:dyDescent="0.25">
      <c r="A2392" s="6" t="s">
        <v>28</v>
      </c>
      <c r="B2392" s="6" t="s">
        <v>522</v>
      </c>
      <c r="C2392" s="7">
        <v>33699</v>
      </c>
      <c r="D2392" s="6" t="s">
        <v>24</v>
      </c>
      <c r="E2392" s="6" t="s">
        <v>25</v>
      </c>
      <c r="F2392" s="6" t="s">
        <v>445</v>
      </c>
      <c r="G2392" s="6" t="s">
        <v>32</v>
      </c>
      <c r="H2392" s="6" t="s">
        <v>19</v>
      </c>
      <c r="I2392" s="6" t="s">
        <v>767</v>
      </c>
      <c r="J2392" s="6" t="s">
        <v>767</v>
      </c>
      <c r="K2392" s="7">
        <v>6256908</v>
      </c>
      <c r="L2392" s="7">
        <v>334031</v>
      </c>
      <c r="M2392" s="7">
        <v>19</v>
      </c>
      <c r="N2392" s="7">
        <v>1</v>
      </c>
      <c r="O2392" s="7">
        <v>0.3</v>
      </c>
    </row>
    <row r="2393" spans="1:15" x14ac:dyDescent="0.25">
      <c r="A2393" s="6" t="s">
        <v>28</v>
      </c>
      <c r="B2393" s="6" t="s">
        <v>522</v>
      </c>
      <c r="C2393" s="7">
        <v>33700</v>
      </c>
      <c r="D2393" s="6" t="s">
        <v>24</v>
      </c>
      <c r="E2393" s="6" t="s">
        <v>31</v>
      </c>
      <c r="F2393" s="6" t="s">
        <v>530</v>
      </c>
      <c r="G2393" s="6" t="s">
        <v>32</v>
      </c>
      <c r="H2393" s="6" t="s">
        <v>19</v>
      </c>
      <c r="I2393" s="6" t="s">
        <v>767</v>
      </c>
      <c r="J2393" s="6" t="s">
        <v>767</v>
      </c>
      <c r="K2393" s="7">
        <v>6270118</v>
      </c>
      <c r="L2393" s="7">
        <v>305107</v>
      </c>
      <c r="M2393" s="7">
        <v>19</v>
      </c>
      <c r="N2393" s="7">
        <v>1</v>
      </c>
      <c r="O2393" s="7">
        <v>0.23</v>
      </c>
    </row>
    <row r="2394" spans="1:15" x14ac:dyDescent="0.25">
      <c r="A2394" s="6" t="s">
        <v>28</v>
      </c>
      <c r="B2394" s="6" t="s">
        <v>522</v>
      </c>
      <c r="C2394" s="7">
        <v>33702</v>
      </c>
      <c r="D2394" s="6" t="s">
        <v>24</v>
      </c>
      <c r="E2394" s="6" t="s">
        <v>96</v>
      </c>
      <c r="F2394" s="6" t="s">
        <v>96</v>
      </c>
      <c r="G2394" s="6" t="s">
        <v>32</v>
      </c>
      <c r="H2394" s="6" t="s">
        <v>19</v>
      </c>
      <c r="I2394" s="6" t="s">
        <v>767</v>
      </c>
      <c r="J2394" s="6" t="s">
        <v>767</v>
      </c>
      <c r="K2394" s="7">
        <v>6256855</v>
      </c>
      <c r="L2394" s="7">
        <v>342341</v>
      </c>
      <c r="M2394" s="7">
        <v>19</v>
      </c>
      <c r="N2394" s="7">
        <v>1</v>
      </c>
      <c r="O2394" s="7">
        <v>0.99</v>
      </c>
    </row>
    <row r="2395" spans="1:15" x14ac:dyDescent="0.25">
      <c r="A2395" s="6" t="s">
        <v>28</v>
      </c>
      <c r="B2395" s="6" t="s">
        <v>522</v>
      </c>
      <c r="C2395" s="7">
        <v>33703</v>
      </c>
      <c r="D2395" s="6" t="s">
        <v>24</v>
      </c>
      <c r="E2395" s="6" t="s">
        <v>37</v>
      </c>
      <c r="F2395" s="6" t="s">
        <v>626</v>
      </c>
      <c r="G2395" s="6" t="s">
        <v>32</v>
      </c>
      <c r="H2395" s="6" t="s">
        <v>153</v>
      </c>
      <c r="I2395" s="6" t="s">
        <v>767</v>
      </c>
      <c r="J2395" s="6" t="s">
        <v>764</v>
      </c>
      <c r="K2395" s="7">
        <v>6278429</v>
      </c>
      <c r="L2395" s="7">
        <v>323311</v>
      </c>
      <c r="M2395" s="7">
        <v>19</v>
      </c>
      <c r="N2395" s="7">
        <v>1</v>
      </c>
      <c r="O2395" s="7">
        <v>4.29</v>
      </c>
    </row>
    <row r="2396" spans="1:15" x14ac:dyDescent="0.25">
      <c r="A2396" s="6" t="s">
        <v>28</v>
      </c>
      <c r="B2396" s="6" t="s">
        <v>522</v>
      </c>
      <c r="C2396" s="7">
        <v>33704</v>
      </c>
      <c r="D2396" s="6" t="s">
        <v>24</v>
      </c>
      <c r="E2396" s="6" t="s">
        <v>570</v>
      </c>
      <c r="F2396" s="6" t="s">
        <v>570</v>
      </c>
      <c r="G2396" s="6" t="s">
        <v>32</v>
      </c>
      <c r="H2396" s="6" t="s">
        <v>19</v>
      </c>
      <c r="I2396" s="6" t="s">
        <v>767</v>
      </c>
      <c r="J2396" s="6" t="s">
        <v>767</v>
      </c>
      <c r="K2396" s="7">
        <v>6307684</v>
      </c>
      <c r="L2396" s="7">
        <v>342326</v>
      </c>
      <c r="M2396" s="7">
        <v>19</v>
      </c>
      <c r="N2396" s="7">
        <v>1</v>
      </c>
      <c r="O2396" s="7">
        <v>6</v>
      </c>
    </row>
    <row r="2397" spans="1:15" x14ac:dyDescent="0.25">
      <c r="A2397" s="6" t="s">
        <v>28</v>
      </c>
      <c r="B2397" s="6" t="s">
        <v>522</v>
      </c>
      <c r="C2397" s="7">
        <v>33705</v>
      </c>
      <c r="D2397" s="6" t="s">
        <v>24</v>
      </c>
      <c r="E2397" s="6" t="s">
        <v>56</v>
      </c>
      <c r="F2397" s="6" t="s">
        <v>547</v>
      </c>
      <c r="G2397" s="6" t="s">
        <v>32</v>
      </c>
      <c r="H2397" s="6" t="s">
        <v>19</v>
      </c>
      <c r="I2397" s="6" t="s">
        <v>767</v>
      </c>
      <c r="J2397" s="6" t="s">
        <v>767</v>
      </c>
      <c r="K2397" s="7">
        <v>6273946</v>
      </c>
      <c r="L2397" s="7">
        <v>339820</v>
      </c>
      <c r="M2397" s="7">
        <v>19</v>
      </c>
      <c r="N2397" s="7">
        <v>1</v>
      </c>
      <c r="O2397" s="7">
        <v>1.04</v>
      </c>
    </row>
    <row r="2398" spans="1:15" x14ac:dyDescent="0.25">
      <c r="A2398" s="6" t="s">
        <v>28</v>
      </c>
      <c r="B2398" s="6" t="s">
        <v>522</v>
      </c>
      <c r="C2398" s="7">
        <v>33706</v>
      </c>
      <c r="D2398" s="6" t="s">
        <v>24</v>
      </c>
      <c r="E2398" s="6" t="s">
        <v>56</v>
      </c>
      <c r="F2398" s="6" t="s">
        <v>418</v>
      </c>
      <c r="G2398" s="6" t="s">
        <v>32</v>
      </c>
      <c r="H2398" s="6" t="s">
        <v>19</v>
      </c>
      <c r="I2398" s="6" t="s">
        <v>767</v>
      </c>
      <c r="J2398" s="6" t="s">
        <v>767</v>
      </c>
      <c r="K2398" s="7">
        <v>6272268</v>
      </c>
      <c r="L2398" s="7">
        <v>339872</v>
      </c>
      <c r="M2398" s="7">
        <v>19</v>
      </c>
      <c r="N2398" s="7">
        <v>1</v>
      </c>
      <c r="O2398" s="7">
        <v>0.28999999999999998</v>
      </c>
    </row>
    <row r="2399" spans="1:15" x14ac:dyDescent="0.25">
      <c r="A2399" s="6" t="s">
        <v>28</v>
      </c>
      <c r="B2399" s="6" t="s">
        <v>522</v>
      </c>
      <c r="C2399" s="7">
        <v>33709</v>
      </c>
      <c r="D2399" s="6" t="s">
        <v>24</v>
      </c>
      <c r="E2399" s="6" t="s">
        <v>56</v>
      </c>
      <c r="F2399" s="6" t="s">
        <v>595</v>
      </c>
      <c r="G2399" s="6" t="s">
        <v>32</v>
      </c>
      <c r="H2399" s="6" t="s">
        <v>19</v>
      </c>
      <c r="I2399" s="6" t="s">
        <v>767</v>
      </c>
      <c r="J2399" s="6" t="s">
        <v>767</v>
      </c>
      <c r="K2399" s="7">
        <v>6274858</v>
      </c>
      <c r="L2399" s="7">
        <v>338369</v>
      </c>
      <c r="M2399" s="7">
        <v>19</v>
      </c>
      <c r="N2399" s="7">
        <v>1</v>
      </c>
      <c r="O2399" s="7">
        <v>3.64</v>
      </c>
    </row>
    <row r="2400" spans="1:15" x14ac:dyDescent="0.25">
      <c r="A2400" s="6" t="s">
        <v>28</v>
      </c>
      <c r="B2400" s="6" t="s">
        <v>522</v>
      </c>
      <c r="C2400" s="7">
        <v>33710</v>
      </c>
      <c r="D2400" s="6" t="s">
        <v>24</v>
      </c>
      <c r="E2400" s="6" t="s">
        <v>31</v>
      </c>
      <c r="F2400" s="6" t="s">
        <v>415</v>
      </c>
      <c r="G2400" s="6" t="s">
        <v>32</v>
      </c>
      <c r="H2400" s="6" t="s">
        <v>19</v>
      </c>
      <c r="I2400" s="6" t="s">
        <v>767</v>
      </c>
      <c r="J2400" s="6" t="s">
        <v>767</v>
      </c>
      <c r="K2400" s="7">
        <v>6273368</v>
      </c>
      <c r="L2400" s="7">
        <v>300172</v>
      </c>
      <c r="M2400" s="7">
        <v>19</v>
      </c>
      <c r="N2400" s="7">
        <v>1</v>
      </c>
      <c r="O2400" s="7">
        <v>1.69</v>
      </c>
    </row>
    <row r="2401" spans="1:15" x14ac:dyDescent="0.25">
      <c r="A2401" s="6" t="s">
        <v>28</v>
      </c>
      <c r="B2401" s="6" t="s">
        <v>522</v>
      </c>
      <c r="C2401" s="7">
        <v>33712</v>
      </c>
      <c r="D2401" s="6" t="s">
        <v>24</v>
      </c>
      <c r="E2401" s="6" t="s">
        <v>31</v>
      </c>
      <c r="F2401" s="6" t="s">
        <v>530</v>
      </c>
      <c r="G2401" s="6" t="s">
        <v>32</v>
      </c>
      <c r="H2401" s="6" t="s">
        <v>19</v>
      </c>
      <c r="I2401" s="6" t="s">
        <v>767</v>
      </c>
      <c r="J2401" s="6" t="s">
        <v>767</v>
      </c>
      <c r="K2401" s="7">
        <v>6273596</v>
      </c>
      <c r="L2401" s="7">
        <v>303235</v>
      </c>
      <c r="M2401" s="7">
        <v>19</v>
      </c>
      <c r="N2401" s="7">
        <v>1</v>
      </c>
      <c r="O2401" s="7">
        <v>0.99</v>
      </c>
    </row>
    <row r="2402" spans="1:15" x14ac:dyDescent="0.25">
      <c r="A2402" s="6" t="s">
        <v>28</v>
      </c>
      <c r="B2402" s="6" t="s">
        <v>522</v>
      </c>
      <c r="C2402" s="7">
        <v>33713</v>
      </c>
      <c r="D2402" s="6" t="s">
        <v>24</v>
      </c>
      <c r="E2402" s="6" t="s">
        <v>436</v>
      </c>
      <c r="F2402" s="6" t="s">
        <v>436</v>
      </c>
      <c r="G2402" s="6" t="s">
        <v>32</v>
      </c>
      <c r="H2402" s="6" t="s">
        <v>19</v>
      </c>
      <c r="I2402" s="6" t="s">
        <v>767</v>
      </c>
      <c r="J2402" s="6" t="s">
        <v>767</v>
      </c>
      <c r="K2402" s="7">
        <v>6277359</v>
      </c>
      <c r="L2402" s="7">
        <v>333222</v>
      </c>
      <c r="M2402" s="7">
        <v>19</v>
      </c>
      <c r="N2402" s="7">
        <v>1</v>
      </c>
      <c r="O2402" s="7">
        <v>1</v>
      </c>
    </row>
    <row r="2403" spans="1:15" x14ac:dyDescent="0.25">
      <c r="A2403" s="6" t="s">
        <v>28</v>
      </c>
      <c r="B2403" s="6" t="s">
        <v>522</v>
      </c>
      <c r="C2403" s="7">
        <v>33715</v>
      </c>
      <c r="D2403" s="6" t="s">
        <v>24</v>
      </c>
      <c r="E2403" s="6" t="s">
        <v>31</v>
      </c>
      <c r="F2403" s="6" t="s">
        <v>530</v>
      </c>
      <c r="G2403" s="6" t="s">
        <v>32</v>
      </c>
      <c r="H2403" s="6" t="s">
        <v>19</v>
      </c>
      <c r="I2403" s="6" t="s">
        <v>767</v>
      </c>
      <c r="J2403" s="6" t="s">
        <v>767</v>
      </c>
      <c r="K2403" s="7">
        <v>6273383</v>
      </c>
      <c r="L2403" s="7">
        <v>302928</v>
      </c>
      <c r="M2403" s="7">
        <v>19</v>
      </c>
      <c r="N2403" s="7">
        <v>1</v>
      </c>
      <c r="O2403" s="7">
        <v>1.1000000000000001</v>
      </c>
    </row>
    <row r="2404" spans="1:15" x14ac:dyDescent="0.25">
      <c r="A2404" s="6" t="s">
        <v>28</v>
      </c>
      <c r="B2404" s="6" t="s">
        <v>522</v>
      </c>
      <c r="C2404" s="7">
        <v>33716</v>
      </c>
      <c r="D2404" s="6" t="s">
        <v>24</v>
      </c>
      <c r="E2404" s="6" t="s">
        <v>429</v>
      </c>
      <c r="F2404" s="6" t="s">
        <v>491</v>
      </c>
      <c r="G2404" s="6" t="s">
        <v>32</v>
      </c>
      <c r="H2404" s="6" t="s">
        <v>19</v>
      </c>
      <c r="I2404" s="6" t="s">
        <v>767</v>
      </c>
      <c r="J2404" s="6" t="s">
        <v>767</v>
      </c>
      <c r="K2404" s="7">
        <v>6302726</v>
      </c>
      <c r="L2404" s="7">
        <v>327785</v>
      </c>
      <c r="M2404" s="7">
        <v>19</v>
      </c>
      <c r="N2404" s="7">
        <v>1</v>
      </c>
      <c r="O2404" s="7">
        <v>0.18</v>
      </c>
    </row>
    <row r="2405" spans="1:15" x14ac:dyDescent="0.25">
      <c r="A2405" s="6" t="s">
        <v>28</v>
      </c>
      <c r="B2405" s="6" t="s">
        <v>522</v>
      </c>
      <c r="C2405" s="7">
        <v>33750</v>
      </c>
      <c r="D2405" s="6" t="s">
        <v>24</v>
      </c>
      <c r="E2405" s="6" t="s">
        <v>56</v>
      </c>
      <c r="F2405" s="6" t="s">
        <v>592</v>
      </c>
      <c r="G2405" s="6" t="s">
        <v>32</v>
      </c>
      <c r="H2405" s="6" t="s">
        <v>153</v>
      </c>
      <c r="I2405" s="6" t="s">
        <v>767</v>
      </c>
      <c r="J2405" s="6" t="s">
        <v>764</v>
      </c>
      <c r="K2405" s="7">
        <v>6279339</v>
      </c>
      <c r="L2405" s="7">
        <v>339414</v>
      </c>
      <c r="M2405" s="7">
        <v>19</v>
      </c>
      <c r="N2405" s="7">
        <v>1</v>
      </c>
      <c r="O2405" s="7">
        <v>0.43</v>
      </c>
    </row>
    <row r="2406" spans="1:15" x14ac:dyDescent="0.25">
      <c r="A2406" s="6" t="s">
        <v>28</v>
      </c>
      <c r="B2406" s="6" t="s">
        <v>522</v>
      </c>
      <c r="C2406" s="7">
        <v>33751</v>
      </c>
      <c r="D2406" s="6" t="s">
        <v>24</v>
      </c>
      <c r="E2406" s="6" t="s">
        <v>25</v>
      </c>
      <c r="F2406" s="6" t="s">
        <v>25</v>
      </c>
      <c r="G2406" s="6" t="s">
        <v>32</v>
      </c>
      <c r="H2406" s="6" t="s">
        <v>19</v>
      </c>
      <c r="I2406" s="6" t="s">
        <v>767</v>
      </c>
      <c r="J2406" s="6" t="s">
        <v>767</v>
      </c>
      <c r="K2406" s="7">
        <v>6268154</v>
      </c>
      <c r="L2406" s="7">
        <v>341958</v>
      </c>
      <c r="M2406" s="7">
        <v>19</v>
      </c>
      <c r="N2406" s="7">
        <v>1</v>
      </c>
      <c r="O2406" s="7">
        <v>1</v>
      </c>
    </row>
    <row r="2407" spans="1:15" x14ac:dyDescent="0.25">
      <c r="A2407" s="6" t="s">
        <v>28</v>
      </c>
      <c r="B2407" s="6" t="s">
        <v>522</v>
      </c>
      <c r="C2407" s="7">
        <v>33752</v>
      </c>
      <c r="D2407" s="6" t="s">
        <v>24</v>
      </c>
      <c r="E2407" s="6" t="s">
        <v>56</v>
      </c>
      <c r="F2407" s="6" t="s">
        <v>592</v>
      </c>
      <c r="G2407" s="6" t="s">
        <v>32</v>
      </c>
      <c r="H2407" s="6" t="s">
        <v>19</v>
      </c>
      <c r="I2407" s="6" t="s">
        <v>767</v>
      </c>
      <c r="J2407" s="6" t="s">
        <v>767</v>
      </c>
      <c r="K2407" s="7">
        <v>6279190</v>
      </c>
      <c r="L2407" s="7">
        <v>338797</v>
      </c>
      <c r="M2407" s="7">
        <v>19</v>
      </c>
      <c r="N2407" s="7">
        <v>1</v>
      </c>
      <c r="O2407" s="7">
        <v>1.05</v>
      </c>
    </row>
    <row r="2408" spans="1:15" x14ac:dyDescent="0.25">
      <c r="A2408" s="6" t="s">
        <v>28</v>
      </c>
      <c r="B2408" s="6" t="s">
        <v>522</v>
      </c>
      <c r="C2408" s="7">
        <v>33754</v>
      </c>
      <c r="D2408" s="6" t="s">
        <v>24</v>
      </c>
      <c r="E2408" s="6" t="s">
        <v>429</v>
      </c>
      <c r="F2408" s="6" t="s">
        <v>491</v>
      </c>
      <c r="G2408" s="6" t="s">
        <v>32</v>
      </c>
      <c r="H2408" s="6" t="s">
        <v>153</v>
      </c>
      <c r="I2408" s="6" t="s">
        <v>767</v>
      </c>
      <c r="J2408" s="6" t="s">
        <v>764</v>
      </c>
      <c r="K2408" s="7">
        <v>6302747</v>
      </c>
      <c r="L2408" s="7">
        <v>324455</v>
      </c>
      <c r="M2408" s="7">
        <v>19</v>
      </c>
      <c r="N2408" s="7">
        <v>1</v>
      </c>
      <c r="O2408" s="7">
        <v>0.43</v>
      </c>
    </row>
    <row r="2409" spans="1:15" x14ac:dyDescent="0.25">
      <c r="A2409" s="6" t="s">
        <v>28</v>
      </c>
      <c r="B2409" s="6" t="s">
        <v>522</v>
      </c>
      <c r="C2409" s="7">
        <v>33755</v>
      </c>
      <c r="D2409" s="6" t="s">
        <v>24</v>
      </c>
      <c r="E2409" s="6" t="s">
        <v>56</v>
      </c>
      <c r="F2409" s="6" t="s">
        <v>592</v>
      </c>
      <c r="G2409" s="6" t="s">
        <v>32</v>
      </c>
      <c r="H2409" s="6" t="s">
        <v>19</v>
      </c>
      <c r="I2409" s="6" t="s">
        <v>767</v>
      </c>
      <c r="J2409" s="6" t="s">
        <v>767</v>
      </c>
      <c r="K2409" s="7">
        <v>6279689</v>
      </c>
      <c r="L2409" s="7">
        <v>339893</v>
      </c>
      <c r="M2409" s="7">
        <v>19</v>
      </c>
      <c r="N2409" s="7">
        <v>1</v>
      </c>
      <c r="O2409" s="7">
        <v>0.72</v>
      </c>
    </row>
    <row r="2410" spans="1:15" x14ac:dyDescent="0.25">
      <c r="A2410" s="6" t="s">
        <v>28</v>
      </c>
      <c r="B2410" s="6" t="s">
        <v>522</v>
      </c>
      <c r="C2410" s="7">
        <v>33757</v>
      </c>
      <c r="D2410" s="6" t="s">
        <v>24</v>
      </c>
      <c r="E2410" s="6" t="s">
        <v>543</v>
      </c>
      <c r="F2410" s="6" t="s">
        <v>627</v>
      </c>
      <c r="G2410" s="6" t="s">
        <v>32</v>
      </c>
      <c r="H2410" s="6" t="s">
        <v>19</v>
      </c>
      <c r="I2410" s="6" t="s">
        <v>767</v>
      </c>
      <c r="J2410" s="6" t="s">
        <v>767</v>
      </c>
      <c r="K2410" s="7">
        <v>6309085</v>
      </c>
      <c r="L2410" s="7">
        <v>330395</v>
      </c>
      <c r="M2410" s="7">
        <v>19</v>
      </c>
      <c r="N2410" s="7">
        <v>1</v>
      </c>
      <c r="O2410" s="7">
        <v>0.44</v>
      </c>
    </row>
    <row r="2411" spans="1:15" x14ac:dyDescent="0.25">
      <c r="A2411" s="6" t="s">
        <v>28</v>
      </c>
      <c r="B2411" s="6" t="s">
        <v>522</v>
      </c>
      <c r="C2411" s="7">
        <v>33758</v>
      </c>
      <c r="D2411" s="6" t="s">
        <v>24</v>
      </c>
      <c r="E2411" s="6" t="s">
        <v>543</v>
      </c>
      <c r="F2411" s="6" t="s">
        <v>627</v>
      </c>
      <c r="G2411" s="6" t="s">
        <v>32</v>
      </c>
      <c r="H2411" s="6" t="s">
        <v>19</v>
      </c>
      <c r="I2411" s="6" t="s">
        <v>767</v>
      </c>
      <c r="J2411" s="6" t="s">
        <v>767</v>
      </c>
      <c r="K2411" s="7">
        <v>6308542</v>
      </c>
      <c r="L2411" s="7">
        <v>330369</v>
      </c>
      <c r="M2411" s="7">
        <v>19</v>
      </c>
      <c r="N2411" s="7">
        <v>1</v>
      </c>
      <c r="O2411" s="7">
        <v>0.36</v>
      </c>
    </row>
    <row r="2412" spans="1:15" x14ac:dyDescent="0.25">
      <c r="A2412" s="6" t="s">
        <v>28</v>
      </c>
      <c r="B2412" s="6" t="s">
        <v>522</v>
      </c>
      <c r="C2412" s="7">
        <v>33759</v>
      </c>
      <c r="D2412" s="6" t="s">
        <v>24</v>
      </c>
      <c r="E2412" s="6" t="s">
        <v>25</v>
      </c>
      <c r="F2412" s="6" t="s">
        <v>26</v>
      </c>
      <c r="G2412" s="6" t="s">
        <v>32</v>
      </c>
      <c r="H2412" s="6" t="s">
        <v>153</v>
      </c>
      <c r="I2412" s="6" t="s">
        <v>767</v>
      </c>
      <c r="J2412" s="6" t="s">
        <v>764</v>
      </c>
      <c r="K2412" s="7">
        <v>6265119</v>
      </c>
      <c r="L2412" s="7">
        <v>336005</v>
      </c>
      <c r="M2412" s="7">
        <v>19</v>
      </c>
      <c r="N2412" s="7">
        <v>1</v>
      </c>
      <c r="O2412" s="7">
        <v>10</v>
      </c>
    </row>
    <row r="2413" spans="1:15" x14ac:dyDescent="0.25">
      <c r="A2413" s="6" t="s">
        <v>28</v>
      </c>
      <c r="B2413" s="6" t="s">
        <v>522</v>
      </c>
      <c r="C2413" s="7">
        <v>33760</v>
      </c>
      <c r="D2413" s="6" t="s">
        <v>24</v>
      </c>
      <c r="E2413" s="6" t="s">
        <v>25</v>
      </c>
      <c r="F2413" s="6" t="s">
        <v>425</v>
      </c>
      <c r="G2413" s="6" t="s">
        <v>32</v>
      </c>
      <c r="H2413" s="6" t="s">
        <v>19</v>
      </c>
      <c r="I2413" s="6" t="s">
        <v>767</v>
      </c>
      <c r="J2413" s="6" t="s">
        <v>767</v>
      </c>
      <c r="K2413" s="7">
        <v>6264263</v>
      </c>
      <c r="L2413" s="7">
        <v>338327</v>
      </c>
      <c r="M2413" s="7">
        <v>19</v>
      </c>
      <c r="N2413" s="7">
        <v>1</v>
      </c>
      <c r="O2413" s="7">
        <v>0.9</v>
      </c>
    </row>
    <row r="2414" spans="1:15" x14ac:dyDescent="0.25">
      <c r="A2414" s="6" t="s">
        <v>28</v>
      </c>
      <c r="B2414" s="6" t="s">
        <v>522</v>
      </c>
      <c r="C2414" s="7">
        <v>33761</v>
      </c>
      <c r="D2414" s="6" t="s">
        <v>24</v>
      </c>
      <c r="E2414" s="6" t="s">
        <v>25</v>
      </c>
      <c r="F2414" s="6" t="s">
        <v>425</v>
      </c>
      <c r="G2414" s="6" t="s">
        <v>32</v>
      </c>
      <c r="H2414" s="6" t="s">
        <v>19</v>
      </c>
      <c r="I2414" s="6" t="s">
        <v>767</v>
      </c>
      <c r="J2414" s="6" t="s">
        <v>767</v>
      </c>
      <c r="K2414" s="7">
        <v>6263992</v>
      </c>
      <c r="L2414" s="7">
        <v>338200</v>
      </c>
      <c r="M2414" s="7">
        <v>19</v>
      </c>
      <c r="N2414" s="7">
        <v>1</v>
      </c>
      <c r="O2414" s="7">
        <v>1.1499999999999999</v>
      </c>
    </row>
    <row r="2415" spans="1:15" x14ac:dyDescent="0.25">
      <c r="A2415" s="6" t="s">
        <v>28</v>
      </c>
      <c r="B2415" s="6" t="s">
        <v>522</v>
      </c>
      <c r="C2415" s="7">
        <v>33762</v>
      </c>
      <c r="D2415" s="6" t="s">
        <v>24</v>
      </c>
      <c r="E2415" s="6" t="s">
        <v>429</v>
      </c>
      <c r="F2415" s="6" t="s">
        <v>491</v>
      </c>
      <c r="G2415" s="6" t="s">
        <v>32</v>
      </c>
      <c r="H2415" s="6" t="s">
        <v>19</v>
      </c>
      <c r="I2415" s="6" t="s">
        <v>767</v>
      </c>
      <c r="J2415" s="6" t="s">
        <v>767</v>
      </c>
      <c r="K2415" s="7">
        <v>6301241</v>
      </c>
      <c r="L2415" s="7">
        <v>325919</v>
      </c>
      <c r="M2415" s="7">
        <v>19</v>
      </c>
      <c r="N2415" s="7">
        <v>1</v>
      </c>
      <c r="O2415" s="7">
        <v>0.34</v>
      </c>
    </row>
    <row r="2416" spans="1:15" x14ac:dyDescent="0.25">
      <c r="A2416" s="6" t="s">
        <v>28</v>
      </c>
      <c r="B2416" s="6" t="s">
        <v>522</v>
      </c>
      <c r="C2416" s="7">
        <v>33764</v>
      </c>
      <c r="D2416" s="6" t="s">
        <v>24</v>
      </c>
      <c r="E2416" s="6" t="s">
        <v>25</v>
      </c>
      <c r="F2416" s="6" t="s">
        <v>556</v>
      </c>
      <c r="G2416" s="6" t="s">
        <v>32</v>
      </c>
      <c r="H2416" s="6" t="s">
        <v>19</v>
      </c>
      <c r="I2416" s="6" t="s">
        <v>767</v>
      </c>
      <c r="J2416" s="6" t="s">
        <v>767</v>
      </c>
      <c r="K2416" s="7">
        <v>6264431</v>
      </c>
      <c r="L2416" s="7">
        <v>333981</v>
      </c>
      <c r="M2416" s="7">
        <v>19</v>
      </c>
      <c r="N2416" s="7">
        <v>1</v>
      </c>
      <c r="O2416" s="7">
        <v>0.6</v>
      </c>
    </row>
    <row r="2417" spans="1:15" x14ac:dyDescent="0.25">
      <c r="A2417" s="6" t="s">
        <v>28</v>
      </c>
      <c r="B2417" s="6" t="s">
        <v>522</v>
      </c>
      <c r="C2417" s="7">
        <v>33765</v>
      </c>
      <c r="D2417" s="6" t="s">
        <v>24</v>
      </c>
      <c r="E2417" s="6" t="s">
        <v>429</v>
      </c>
      <c r="F2417" s="6" t="s">
        <v>491</v>
      </c>
      <c r="G2417" s="6" t="s">
        <v>32</v>
      </c>
      <c r="H2417" s="6" t="s">
        <v>19</v>
      </c>
      <c r="I2417" s="6" t="s">
        <v>767</v>
      </c>
      <c r="J2417" s="6" t="s">
        <v>767</v>
      </c>
      <c r="K2417" s="7">
        <v>6302045</v>
      </c>
      <c r="L2417" s="7">
        <v>327169</v>
      </c>
      <c r="M2417" s="7">
        <v>19</v>
      </c>
      <c r="N2417" s="7">
        <v>2</v>
      </c>
      <c r="O2417" s="7">
        <v>0.83</v>
      </c>
    </row>
    <row r="2418" spans="1:15" x14ac:dyDescent="0.25">
      <c r="A2418" s="6" t="s">
        <v>14</v>
      </c>
      <c r="B2418" s="6" t="s">
        <v>522</v>
      </c>
      <c r="C2418" s="7">
        <v>33772</v>
      </c>
      <c r="D2418" s="6" t="s">
        <v>39</v>
      </c>
      <c r="E2418" s="6" t="s">
        <v>310</v>
      </c>
      <c r="F2418" s="6" t="s">
        <v>310</v>
      </c>
      <c r="G2418" s="6" t="s">
        <v>32</v>
      </c>
      <c r="H2418" s="6" t="s">
        <v>33</v>
      </c>
      <c r="I2418" s="6" t="s">
        <v>764</v>
      </c>
      <c r="J2418" s="6" t="s">
        <v>767</v>
      </c>
      <c r="K2418" s="7">
        <v>6115091</v>
      </c>
      <c r="L2418" s="7">
        <v>289455</v>
      </c>
      <c r="M2418" s="7">
        <v>19</v>
      </c>
      <c r="N2418" s="7">
        <v>2</v>
      </c>
      <c r="O2418" s="7">
        <v>2</v>
      </c>
    </row>
    <row r="2419" spans="1:15" x14ac:dyDescent="0.25">
      <c r="A2419" s="6" t="s">
        <v>28</v>
      </c>
      <c r="B2419" s="6" t="s">
        <v>522</v>
      </c>
      <c r="C2419" s="7">
        <v>33773</v>
      </c>
      <c r="D2419" s="6" t="s">
        <v>39</v>
      </c>
      <c r="E2419" s="6" t="s">
        <v>310</v>
      </c>
      <c r="F2419" s="6" t="s">
        <v>310</v>
      </c>
      <c r="G2419" s="6" t="s">
        <v>32</v>
      </c>
      <c r="H2419" s="6" t="s">
        <v>33</v>
      </c>
      <c r="I2419" s="6" t="s">
        <v>764</v>
      </c>
      <c r="J2419" s="6" t="s">
        <v>767</v>
      </c>
      <c r="K2419" s="7">
        <v>6115315</v>
      </c>
      <c r="L2419" s="7">
        <v>289776</v>
      </c>
      <c r="M2419" s="7">
        <v>19</v>
      </c>
      <c r="N2419" s="7">
        <v>2</v>
      </c>
      <c r="O2419" s="7">
        <v>2</v>
      </c>
    </row>
    <row r="2420" spans="1:15" x14ac:dyDescent="0.25">
      <c r="A2420" s="6" t="s">
        <v>28</v>
      </c>
      <c r="B2420" s="6" t="s">
        <v>522</v>
      </c>
      <c r="C2420" s="7">
        <v>33789</v>
      </c>
      <c r="D2420" s="6" t="s">
        <v>24</v>
      </c>
      <c r="E2420" s="6" t="s">
        <v>37</v>
      </c>
      <c r="F2420" s="6" t="s">
        <v>616</v>
      </c>
      <c r="G2420" s="6" t="s">
        <v>32</v>
      </c>
      <c r="H2420" s="6" t="s">
        <v>19</v>
      </c>
      <c r="I2420" s="6" t="s">
        <v>767</v>
      </c>
      <c r="J2420" s="6" t="s">
        <v>767</v>
      </c>
      <c r="K2420" s="7">
        <v>6274924</v>
      </c>
      <c r="L2420" s="7">
        <v>321805</v>
      </c>
      <c r="M2420" s="7">
        <v>19</v>
      </c>
      <c r="N2420" s="7">
        <v>1</v>
      </c>
      <c r="O2420" s="7">
        <v>1</v>
      </c>
    </row>
    <row r="2421" spans="1:15" x14ac:dyDescent="0.25">
      <c r="A2421" s="6" t="s">
        <v>28</v>
      </c>
      <c r="B2421" s="6" t="s">
        <v>522</v>
      </c>
      <c r="C2421" s="7">
        <v>33791</v>
      </c>
      <c r="D2421" s="6" t="s">
        <v>24</v>
      </c>
      <c r="E2421" s="6" t="s">
        <v>37</v>
      </c>
      <c r="F2421" s="6" t="s">
        <v>616</v>
      </c>
      <c r="G2421" s="6" t="s">
        <v>32</v>
      </c>
      <c r="H2421" s="6" t="s">
        <v>19</v>
      </c>
      <c r="I2421" s="6" t="s">
        <v>767</v>
      </c>
      <c r="J2421" s="6" t="s">
        <v>767</v>
      </c>
      <c r="K2421" s="7">
        <v>6275344</v>
      </c>
      <c r="L2421" s="7">
        <v>321675</v>
      </c>
      <c r="M2421" s="7">
        <v>19</v>
      </c>
      <c r="N2421" s="7">
        <v>1</v>
      </c>
      <c r="O2421" s="7">
        <v>1.2</v>
      </c>
    </row>
    <row r="2422" spans="1:15" x14ac:dyDescent="0.25">
      <c r="A2422" s="6" t="s">
        <v>28</v>
      </c>
      <c r="B2422" s="6" t="s">
        <v>522</v>
      </c>
      <c r="C2422" s="7">
        <v>33792</v>
      </c>
      <c r="D2422" s="6" t="s">
        <v>24</v>
      </c>
      <c r="E2422" s="6" t="s">
        <v>37</v>
      </c>
      <c r="F2422" s="6" t="s">
        <v>616</v>
      </c>
      <c r="G2422" s="6" t="s">
        <v>32</v>
      </c>
      <c r="H2422" s="6" t="s">
        <v>19</v>
      </c>
      <c r="I2422" s="6" t="s">
        <v>767</v>
      </c>
      <c r="J2422" s="6" t="s">
        <v>767</v>
      </c>
      <c r="K2422" s="7">
        <v>6274849</v>
      </c>
      <c r="L2422" s="7">
        <v>322907</v>
      </c>
      <c r="M2422" s="7">
        <v>19</v>
      </c>
      <c r="N2422" s="7">
        <v>1</v>
      </c>
      <c r="O2422" s="7">
        <v>1</v>
      </c>
    </row>
    <row r="2423" spans="1:15" x14ac:dyDescent="0.25">
      <c r="A2423" s="6" t="s">
        <v>14</v>
      </c>
      <c r="B2423" s="6" t="s">
        <v>522</v>
      </c>
      <c r="C2423" s="7">
        <v>33808</v>
      </c>
      <c r="D2423" s="6" t="s">
        <v>39</v>
      </c>
      <c r="E2423" s="6" t="s">
        <v>64</v>
      </c>
      <c r="F2423" s="6" t="s">
        <v>551</v>
      </c>
      <c r="G2423" s="6" t="s">
        <v>32</v>
      </c>
      <c r="H2423" s="6" t="s">
        <v>33</v>
      </c>
      <c r="I2423" s="6" t="s">
        <v>764</v>
      </c>
      <c r="J2423" s="6" t="s">
        <v>767</v>
      </c>
      <c r="K2423" s="7">
        <v>6103719</v>
      </c>
      <c r="L2423" s="7">
        <v>298819</v>
      </c>
      <c r="M2423" s="7">
        <v>19</v>
      </c>
      <c r="N2423" s="7">
        <v>1</v>
      </c>
      <c r="O2423" s="7">
        <v>13</v>
      </c>
    </row>
    <row r="2424" spans="1:15" x14ac:dyDescent="0.25">
      <c r="A2424" s="6" t="s">
        <v>14</v>
      </c>
      <c r="B2424" s="6" t="s">
        <v>522</v>
      </c>
      <c r="C2424" s="7">
        <v>33809</v>
      </c>
      <c r="D2424" s="6" t="s">
        <v>39</v>
      </c>
      <c r="E2424" s="6" t="s">
        <v>64</v>
      </c>
      <c r="F2424" s="6" t="s">
        <v>551</v>
      </c>
      <c r="G2424" s="6" t="s">
        <v>32</v>
      </c>
      <c r="H2424" s="6" t="s">
        <v>33</v>
      </c>
      <c r="I2424" s="6" t="s">
        <v>764</v>
      </c>
      <c r="J2424" s="6" t="s">
        <v>767</v>
      </c>
      <c r="K2424" s="7">
        <v>6103719</v>
      </c>
      <c r="L2424" s="7">
        <v>298819</v>
      </c>
      <c r="M2424" s="7">
        <v>19</v>
      </c>
      <c r="N2424" s="7">
        <v>1</v>
      </c>
      <c r="O2424" s="7">
        <v>13</v>
      </c>
    </row>
    <row r="2425" spans="1:15" x14ac:dyDescent="0.25">
      <c r="A2425" s="6" t="s">
        <v>28</v>
      </c>
      <c r="B2425" s="6" t="s">
        <v>522</v>
      </c>
      <c r="C2425" s="7">
        <v>33810</v>
      </c>
      <c r="D2425" s="6" t="s">
        <v>39</v>
      </c>
      <c r="E2425" s="6" t="s">
        <v>310</v>
      </c>
      <c r="F2425" s="6" t="s">
        <v>310</v>
      </c>
      <c r="G2425" s="6" t="s">
        <v>32</v>
      </c>
      <c r="H2425" s="6" t="s">
        <v>33</v>
      </c>
      <c r="I2425" s="6" t="s">
        <v>764</v>
      </c>
      <c r="J2425" s="6" t="s">
        <v>767</v>
      </c>
      <c r="K2425" s="7">
        <v>6103719</v>
      </c>
      <c r="L2425" s="7">
        <v>298819</v>
      </c>
      <c r="M2425" s="7">
        <v>19</v>
      </c>
      <c r="N2425" s="7">
        <v>1</v>
      </c>
      <c r="O2425" s="7">
        <v>13</v>
      </c>
    </row>
    <row r="2426" spans="1:15" x14ac:dyDescent="0.25">
      <c r="A2426" s="6" t="s">
        <v>28</v>
      </c>
      <c r="B2426" s="6" t="s">
        <v>522</v>
      </c>
      <c r="C2426" s="7">
        <v>33811</v>
      </c>
      <c r="D2426" s="6" t="s">
        <v>39</v>
      </c>
      <c r="E2426" s="6" t="s">
        <v>310</v>
      </c>
      <c r="F2426" s="6" t="s">
        <v>310</v>
      </c>
      <c r="G2426" s="6" t="s">
        <v>32</v>
      </c>
      <c r="H2426" s="6" t="s">
        <v>33</v>
      </c>
      <c r="I2426" s="6" t="s">
        <v>767</v>
      </c>
      <c r="J2426" s="6" t="s">
        <v>767</v>
      </c>
      <c r="K2426" s="7">
        <v>6116371</v>
      </c>
      <c r="L2426" s="7">
        <v>289656</v>
      </c>
      <c r="M2426" s="7">
        <v>19</v>
      </c>
      <c r="N2426" s="7">
        <v>1</v>
      </c>
      <c r="O2426" s="7">
        <v>3.3</v>
      </c>
    </row>
    <row r="2427" spans="1:15" x14ac:dyDescent="0.25">
      <c r="A2427" s="6" t="s">
        <v>28</v>
      </c>
      <c r="B2427" s="6" t="s">
        <v>522</v>
      </c>
      <c r="C2427" s="7">
        <v>33812</v>
      </c>
      <c r="D2427" s="6" t="s">
        <v>39</v>
      </c>
      <c r="E2427" s="6" t="s">
        <v>41</v>
      </c>
      <c r="F2427" s="6" t="s">
        <v>41</v>
      </c>
      <c r="G2427" s="6" t="s">
        <v>32</v>
      </c>
      <c r="H2427" s="6" t="s">
        <v>33</v>
      </c>
      <c r="I2427" s="6" t="s">
        <v>767</v>
      </c>
      <c r="J2427" s="6" t="s">
        <v>767</v>
      </c>
      <c r="K2427" s="7">
        <v>6118577</v>
      </c>
      <c r="L2427" s="7">
        <v>290634</v>
      </c>
      <c r="M2427" s="7">
        <v>19</v>
      </c>
      <c r="N2427" s="7">
        <v>1</v>
      </c>
      <c r="O2427" s="7">
        <v>4.7</v>
      </c>
    </row>
    <row r="2428" spans="1:15" x14ac:dyDescent="0.25">
      <c r="A2428" s="6" t="s">
        <v>28</v>
      </c>
      <c r="B2428" s="6" t="s">
        <v>522</v>
      </c>
      <c r="C2428" s="7">
        <v>33813</v>
      </c>
      <c r="D2428" s="6" t="s">
        <v>39</v>
      </c>
      <c r="E2428" s="6" t="s">
        <v>41</v>
      </c>
      <c r="F2428" s="6" t="s">
        <v>41</v>
      </c>
      <c r="G2428" s="6" t="s">
        <v>32</v>
      </c>
      <c r="H2428" s="6" t="s">
        <v>33</v>
      </c>
      <c r="I2428" s="6" t="s">
        <v>767</v>
      </c>
      <c r="J2428" s="6" t="s">
        <v>767</v>
      </c>
      <c r="K2428" s="7">
        <v>6120070</v>
      </c>
      <c r="L2428" s="7">
        <v>288769</v>
      </c>
      <c r="M2428" s="7">
        <v>19</v>
      </c>
      <c r="N2428" s="7">
        <v>1</v>
      </c>
      <c r="O2428" s="7">
        <v>6.6</v>
      </c>
    </row>
    <row r="2429" spans="1:15" x14ac:dyDescent="0.25">
      <c r="A2429" s="6" t="s">
        <v>28</v>
      </c>
      <c r="B2429" s="6" t="s">
        <v>522</v>
      </c>
      <c r="C2429" s="7">
        <v>33814</v>
      </c>
      <c r="D2429" s="6" t="s">
        <v>42</v>
      </c>
      <c r="E2429" s="6" t="s">
        <v>449</v>
      </c>
      <c r="F2429" s="6" t="s">
        <v>449</v>
      </c>
      <c r="G2429" s="6" t="s">
        <v>32</v>
      </c>
      <c r="H2429" s="6" t="s">
        <v>33</v>
      </c>
      <c r="I2429" s="6" t="s">
        <v>767</v>
      </c>
      <c r="J2429" s="6" t="s">
        <v>767</v>
      </c>
      <c r="K2429" s="7">
        <v>6165640</v>
      </c>
      <c r="L2429" s="7">
        <v>308239</v>
      </c>
      <c r="M2429" s="7">
        <v>19</v>
      </c>
      <c r="N2429" s="7">
        <v>2</v>
      </c>
      <c r="O2429" s="7">
        <v>21.3</v>
      </c>
    </row>
    <row r="2430" spans="1:15" x14ac:dyDescent="0.25">
      <c r="A2430" s="6" t="s">
        <v>28</v>
      </c>
      <c r="B2430" s="6" t="s">
        <v>522</v>
      </c>
      <c r="C2430" s="7">
        <v>33818</v>
      </c>
      <c r="D2430" s="6" t="s">
        <v>42</v>
      </c>
      <c r="E2430" s="6" t="s">
        <v>301</v>
      </c>
      <c r="F2430" s="6" t="s">
        <v>302</v>
      </c>
      <c r="G2430" s="6" t="s">
        <v>32</v>
      </c>
      <c r="H2430" s="6" t="s">
        <v>33</v>
      </c>
      <c r="I2430" s="6" t="s">
        <v>767</v>
      </c>
      <c r="J2430" s="6" t="s">
        <v>767</v>
      </c>
      <c r="K2430" s="7">
        <v>6218131</v>
      </c>
      <c r="L2430" s="7">
        <v>345162</v>
      </c>
      <c r="M2430" s="7">
        <v>19</v>
      </c>
      <c r="N2430" s="7">
        <v>1</v>
      </c>
      <c r="O2430" s="7">
        <v>8.84</v>
      </c>
    </row>
    <row r="2431" spans="1:15" x14ac:dyDescent="0.25">
      <c r="A2431" s="6" t="s">
        <v>22</v>
      </c>
      <c r="B2431" s="6" t="s">
        <v>522</v>
      </c>
      <c r="C2431" s="7">
        <v>33822</v>
      </c>
      <c r="D2431" s="6" t="s">
        <v>24</v>
      </c>
      <c r="E2431" s="6" t="s">
        <v>25</v>
      </c>
      <c r="F2431" s="6" t="s">
        <v>445</v>
      </c>
      <c r="G2431" s="6" t="s">
        <v>32</v>
      </c>
      <c r="H2431" s="6" t="s">
        <v>765</v>
      </c>
      <c r="I2431" s="6" t="s">
        <v>767</v>
      </c>
      <c r="J2431" s="6" t="s">
        <v>767</v>
      </c>
      <c r="K2431" s="7">
        <v>6259203</v>
      </c>
      <c r="L2431" s="7">
        <v>332330</v>
      </c>
      <c r="M2431" s="7">
        <v>19</v>
      </c>
      <c r="N2431" s="7">
        <v>1</v>
      </c>
      <c r="O2431" s="7">
        <v>0.39</v>
      </c>
    </row>
    <row r="2432" spans="1:15" x14ac:dyDescent="0.25">
      <c r="A2432" s="6" t="s">
        <v>22</v>
      </c>
      <c r="B2432" s="6" t="s">
        <v>522</v>
      </c>
      <c r="C2432" s="7">
        <v>33824</v>
      </c>
      <c r="D2432" s="6" t="s">
        <v>24</v>
      </c>
      <c r="E2432" s="6" t="s">
        <v>25</v>
      </c>
      <c r="F2432" s="6" t="s">
        <v>445</v>
      </c>
      <c r="G2432" s="6" t="s">
        <v>32</v>
      </c>
      <c r="H2432" s="6" t="s">
        <v>765</v>
      </c>
      <c r="I2432" s="6" t="s">
        <v>767</v>
      </c>
      <c r="J2432" s="6" t="s">
        <v>767</v>
      </c>
      <c r="K2432" s="7">
        <v>6259328</v>
      </c>
      <c r="L2432" s="7">
        <v>332530</v>
      </c>
      <c r="M2432" s="7">
        <v>19</v>
      </c>
      <c r="N2432" s="7">
        <v>1</v>
      </c>
      <c r="O2432" s="7">
        <v>0.45</v>
      </c>
    </row>
    <row r="2433" spans="1:15" x14ac:dyDescent="0.25">
      <c r="A2433" s="6" t="s">
        <v>28</v>
      </c>
      <c r="B2433" s="6" t="s">
        <v>522</v>
      </c>
      <c r="C2433" s="7">
        <v>33849</v>
      </c>
      <c r="D2433" s="6" t="s">
        <v>24</v>
      </c>
      <c r="E2433" s="6" t="s">
        <v>436</v>
      </c>
      <c r="F2433" s="6" t="s">
        <v>53</v>
      </c>
      <c r="G2433" s="6" t="s">
        <v>32</v>
      </c>
      <c r="H2433" s="6" t="s">
        <v>19</v>
      </c>
      <c r="I2433" s="6" t="s">
        <v>767</v>
      </c>
      <c r="J2433" s="6" t="s">
        <v>767</v>
      </c>
      <c r="K2433" s="7">
        <v>6274197</v>
      </c>
      <c r="L2433" s="7">
        <v>329192</v>
      </c>
      <c r="M2433" s="7">
        <v>19</v>
      </c>
      <c r="N2433" s="7">
        <v>1</v>
      </c>
      <c r="O2433" s="7">
        <v>1.0900000000000001</v>
      </c>
    </row>
    <row r="2434" spans="1:15" x14ac:dyDescent="0.25">
      <c r="A2434" s="6" t="s">
        <v>28</v>
      </c>
      <c r="B2434" s="6" t="s">
        <v>522</v>
      </c>
      <c r="C2434" s="7">
        <v>33850</v>
      </c>
      <c r="D2434" s="6" t="s">
        <v>24</v>
      </c>
      <c r="E2434" s="6" t="s">
        <v>62</v>
      </c>
      <c r="F2434" s="6" t="s">
        <v>416</v>
      </c>
      <c r="G2434" s="6" t="s">
        <v>32</v>
      </c>
      <c r="H2434" s="6" t="s">
        <v>153</v>
      </c>
      <c r="I2434" s="6" t="s">
        <v>767</v>
      </c>
      <c r="J2434" s="6" t="s">
        <v>764</v>
      </c>
      <c r="K2434" s="7">
        <v>6281076</v>
      </c>
      <c r="L2434" s="7">
        <v>327727</v>
      </c>
      <c r="M2434" s="7">
        <v>19</v>
      </c>
      <c r="N2434" s="7">
        <v>1</v>
      </c>
      <c r="O2434" s="7">
        <v>2.2400000000000002</v>
      </c>
    </row>
    <row r="2435" spans="1:15" x14ac:dyDescent="0.25">
      <c r="A2435" s="6" t="s">
        <v>22</v>
      </c>
      <c r="B2435" s="6" t="s">
        <v>522</v>
      </c>
      <c r="C2435" s="7">
        <v>33865</v>
      </c>
      <c r="D2435" s="6" t="s">
        <v>24</v>
      </c>
      <c r="E2435" s="6" t="s">
        <v>25</v>
      </c>
      <c r="F2435" s="6" t="s">
        <v>445</v>
      </c>
      <c r="G2435" s="6" t="s">
        <v>32</v>
      </c>
      <c r="H2435" s="6" t="s">
        <v>765</v>
      </c>
      <c r="I2435" s="6" t="s">
        <v>767</v>
      </c>
      <c r="J2435" s="6" t="s">
        <v>767</v>
      </c>
      <c r="K2435" s="7">
        <v>6260577</v>
      </c>
      <c r="L2435" s="7">
        <v>332905</v>
      </c>
      <c r="M2435" s="7">
        <v>19</v>
      </c>
      <c r="N2435" s="7">
        <v>1</v>
      </c>
      <c r="O2435" s="7">
        <v>0.25</v>
      </c>
    </row>
    <row r="2436" spans="1:15" x14ac:dyDescent="0.25">
      <c r="A2436" s="6" t="s">
        <v>22</v>
      </c>
      <c r="B2436" s="6" t="s">
        <v>522</v>
      </c>
      <c r="C2436" s="7">
        <v>33871</v>
      </c>
      <c r="D2436" s="6" t="s">
        <v>24</v>
      </c>
      <c r="E2436" s="6" t="s">
        <v>25</v>
      </c>
      <c r="F2436" s="6" t="s">
        <v>445</v>
      </c>
      <c r="G2436" s="6" t="s">
        <v>32</v>
      </c>
      <c r="H2436" s="6" t="s">
        <v>765</v>
      </c>
      <c r="I2436" s="6" t="s">
        <v>767</v>
      </c>
      <c r="J2436" s="6" t="s">
        <v>767</v>
      </c>
      <c r="K2436" s="7">
        <v>6260307</v>
      </c>
      <c r="L2436" s="7">
        <v>332911</v>
      </c>
      <c r="M2436" s="7">
        <v>19</v>
      </c>
      <c r="N2436" s="7">
        <v>1</v>
      </c>
      <c r="O2436" s="7">
        <v>0.68</v>
      </c>
    </row>
    <row r="2437" spans="1:15" x14ac:dyDescent="0.25">
      <c r="A2437" s="6" t="s">
        <v>22</v>
      </c>
      <c r="B2437" s="6" t="s">
        <v>522</v>
      </c>
      <c r="C2437" s="7">
        <v>33882</v>
      </c>
      <c r="D2437" s="6" t="s">
        <v>24</v>
      </c>
      <c r="E2437" s="6" t="s">
        <v>25</v>
      </c>
      <c r="F2437" s="6" t="s">
        <v>445</v>
      </c>
      <c r="G2437" s="6" t="s">
        <v>32</v>
      </c>
      <c r="H2437" s="6" t="s">
        <v>765</v>
      </c>
      <c r="I2437" s="6" t="s">
        <v>767</v>
      </c>
      <c r="J2437" s="6" t="s">
        <v>767</v>
      </c>
      <c r="K2437" s="7">
        <v>6260408</v>
      </c>
      <c r="L2437" s="7">
        <v>333003</v>
      </c>
      <c r="M2437" s="7">
        <v>19</v>
      </c>
      <c r="N2437" s="7">
        <v>1</v>
      </c>
      <c r="O2437" s="7">
        <v>0.84</v>
      </c>
    </row>
    <row r="2438" spans="1:15" x14ac:dyDescent="0.25">
      <c r="A2438" s="6" t="s">
        <v>22</v>
      </c>
      <c r="B2438" s="6" t="s">
        <v>522</v>
      </c>
      <c r="C2438" s="7">
        <v>33885</v>
      </c>
      <c r="D2438" s="6" t="s">
        <v>24</v>
      </c>
      <c r="E2438" s="6" t="s">
        <v>25</v>
      </c>
      <c r="F2438" s="6" t="s">
        <v>445</v>
      </c>
      <c r="G2438" s="6" t="s">
        <v>32</v>
      </c>
      <c r="H2438" s="6" t="s">
        <v>765</v>
      </c>
      <c r="I2438" s="6" t="s">
        <v>767</v>
      </c>
      <c r="J2438" s="6" t="s">
        <v>767</v>
      </c>
      <c r="K2438" s="7">
        <v>6258578</v>
      </c>
      <c r="L2438" s="7">
        <v>332050</v>
      </c>
      <c r="M2438" s="7">
        <v>19</v>
      </c>
      <c r="N2438" s="7">
        <v>1</v>
      </c>
      <c r="O2438" s="7">
        <v>0.36</v>
      </c>
    </row>
    <row r="2439" spans="1:15" x14ac:dyDescent="0.25">
      <c r="A2439" s="6" t="s">
        <v>22</v>
      </c>
      <c r="B2439" s="6" t="s">
        <v>522</v>
      </c>
      <c r="C2439" s="7">
        <v>33886</v>
      </c>
      <c r="D2439" s="6" t="s">
        <v>24</v>
      </c>
      <c r="E2439" s="6" t="s">
        <v>25</v>
      </c>
      <c r="F2439" s="6" t="s">
        <v>426</v>
      </c>
      <c r="G2439" s="6" t="s">
        <v>32</v>
      </c>
      <c r="H2439" s="6" t="s">
        <v>765</v>
      </c>
      <c r="I2439" s="6" t="s">
        <v>767</v>
      </c>
      <c r="J2439" s="6" t="s">
        <v>767</v>
      </c>
      <c r="K2439" s="7">
        <v>6260640</v>
      </c>
      <c r="L2439" s="7">
        <v>331751</v>
      </c>
      <c r="M2439" s="7">
        <v>19</v>
      </c>
      <c r="N2439" s="7">
        <v>1</v>
      </c>
      <c r="O2439" s="7">
        <v>0.36</v>
      </c>
    </row>
    <row r="2440" spans="1:15" x14ac:dyDescent="0.25">
      <c r="A2440" s="6" t="s">
        <v>22</v>
      </c>
      <c r="B2440" s="6" t="s">
        <v>522</v>
      </c>
      <c r="C2440" s="7">
        <v>33887</v>
      </c>
      <c r="D2440" s="6" t="s">
        <v>42</v>
      </c>
      <c r="E2440" s="6" t="s">
        <v>196</v>
      </c>
      <c r="F2440" s="6" t="s">
        <v>168</v>
      </c>
      <c r="G2440" s="6" t="s">
        <v>32</v>
      </c>
      <c r="H2440" s="6" t="s">
        <v>765</v>
      </c>
      <c r="I2440" s="6" t="s">
        <v>767</v>
      </c>
      <c r="J2440" s="6" t="s">
        <v>767</v>
      </c>
      <c r="K2440" s="7">
        <v>6226092</v>
      </c>
      <c r="L2440" s="7">
        <v>346954</v>
      </c>
      <c r="M2440" s="7">
        <v>19</v>
      </c>
      <c r="N2440" s="7">
        <v>1</v>
      </c>
      <c r="O2440" s="7">
        <v>0.54</v>
      </c>
    </row>
    <row r="2441" spans="1:15" x14ac:dyDescent="0.25">
      <c r="A2441" s="6" t="s">
        <v>22</v>
      </c>
      <c r="B2441" s="6" t="s">
        <v>522</v>
      </c>
      <c r="C2441" s="7">
        <v>33890</v>
      </c>
      <c r="D2441" s="6" t="s">
        <v>24</v>
      </c>
      <c r="E2441" s="6" t="s">
        <v>25</v>
      </c>
      <c r="F2441" s="6" t="s">
        <v>445</v>
      </c>
      <c r="G2441" s="6" t="s">
        <v>32</v>
      </c>
      <c r="H2441" s="6" t="s">
        <v>765</v>
      </c>
      <c r="I2441" s="6" t="s">
        <v>767</v>
      </c>
      <c r="J2441" s="6" t="s">
        <v>767</v>
      </c>
      <c r="K2441" s="7">
        <v>6258970</v>
      </c>
      <c r="L2441" s="7">
        <v>332738</v>
      </c>
      <c r="M2441" s="7">
        <v>19</v>
      </c>
      <c r="N2441" s="7">
        <v>1</v>
      </c>
      <c r="O2441" s="7">
        <v>0</v>
      </c>
    </row>
    <row r="2442" spans="1:15" x14ac:dyDescent="0.25">
      <c r="A2442" s="6" t="s">
        <v>22</v>
      </c>
      <c r="B2442" s="6" t="s">
        <v>522</v>
      </c>
      <c r="C2442" s="7">
        <v>33891</v>
      </c>
      <c r="D2442" s="6" t="s">
        <v>24</v>
      </c>
      <c r="E2442" s="6" t="s">
        <v>25</v>
      </c>
      <c r="F2442" s="6" t="s">
        <v>445</v>
      </c>
      <c r="G2442" s="6" t="s">
        <v>32</v>
      </c>
      <c r="H2442" s="6" t="s">
        <v>765</v>
      </c>
      <c r="I2442" s="6" t="s">
        <v>767</v>
      </c>
      <c r="J2442" s="6" t="s">
        <v>767</v>
      </c>
      <c r="K2442" s="7">
        <v>6259350</v>
      </c>
      <c r="L2442" s="7">
        <v>333025</v>
      </c>
      <c r="M2442" s="7">
        <v>19</v>
      </c>
      <c r="N2442" s="7">
        <v>1</v>
      </c>
      <c r="O2442" s="7">
        <v>1.55</v>
      </c>
    </row>
    <row r="2443" spans="1:15" x14ac:dyDescent="0.25">
      <c r="A2443" s="6" t="s">
        <v>22</v>
      </c>
      <c r="B2443" s="6" t="s">
        <v>522</v>
      </c>
      <c r="C2443" s="7">
        <v>33966</v>
      </c>
      <c r="D2443" s="6" t="s">
        <v>297</v>
      </c>
      <c r="E2443" s="6" t="s">
        <v>298</v>
      </c>
      <c r="F2443" s="6" t="s">
        <v>523</v>
      </c>
      <c r="G2443" s="6" t="s">
        <v>32</v>
      </c>
      <c r="H2443" s="6" t="s">
        <v>765</v>
      </c>
      <c r="I2443" s="6" t="s">
        <v>767</v>
      </c>
      <c r="J2443" s="6" t="s">
        <v>767</v>
      </c>
      <c r="K2443" s="7">
        <v>7952329</v>
      </c>
      <c r="L2443" s="7">
        <v>371477</v>
      </c>
      <c r="M2443" s="7">
        <v>19</v>
      </c>
      <c r="N2443" s="7">
        <v>1</v>
      </c>
      <c r="O2443" s="7">
        <v>0.05</v>
      </c>
    </row>
    <row r="2444" spans="1:15" x14ac:dyDescent="0.25">
      <c r="A2444" s="6" t="s">
        <v>22</v>
      </c>
      <c r="B2444" s="6" t="s">
        <v>522</v>
      </c>
      <c r="C2444" s="7">
        <v>33968</v>
      </c>
      <c r="D2444" s="6" t="s">
        <v>24</v>
      </c>
      <c r="E2444" s="6" t="s">
        <v>25</v>
      </c>
      <c r="F2444" s="6" t="s">
        <v>445</v>
      </c>
      <c r="G2444" s="6" t="s">
        <v>89</v>
      </c>
      <c r="H2444" s="6" t="s">
        <v>765</v>
      </c>
      <c r="I2444" s="6" t="s">
        <v>767</v>
      </c>
      <c r="J2444" s="6" t="s">
        <v>767</v>
      </c>
      <c r="K2444" s="7">
        <v>6259046</v>
      </c>
      <c r="L2444" s="7">
        <v>332602</v>
      </c>
      <c r="M2444" s="7">
        <v>19</v>
      </c>
      <c r="N2444" s="7">
        <v>4</v>
      </c>
      <c r="O2444" s="7">
        <v>2.2999999999999998</v>
      </c>
    </row>
    <row r="2445" spans="1:15" x14ac:dyDescent="0.25">
      <c r="A2445" s="6" t="s">
        <v>22</v>
      </c>
      <c r="B2445" s="6" t="s">
        <v>522</v>
      </c>
      <c r="C2445" s="7">
        <v>33987</v>
      </c>
      <c r="D2445" s="6" t="s">
        <v>297</v>
      </c>
      <c r="E2445" s="6" t="s">
        <v>298</v>
      </c>
      <c r="F2445" s="6" t="s">
        <v>523</v>
      </c>
      <c r="G2445" s="6" t="s">
        <v>32</v>
      </c>
      <c r="H2445" s="6" t="s">
        <v>765</v>
      </c>
      <c r="I2445" s="6" t="s">
        <v>767</v>
      </c>
      <c r="J2445" s="6" t="s">
        <v>767</v>
      </c>
      <c r="K2445" s="7">
        <v>7952649</v>
      </c>
      <c r="L2445" s="7">
        <v>371613</v>
      </c>
      <c r="M2445" s="7">
        <v>19</v>
      </c>
      <c r="N2445" s="7">
        <v>1</v>
      </c>
      <c r="O2445" s="7">
        <v>3.28</v>
      </c>
    </row>
    <row r="2446" spans="1:15" x14ac:dyDescent="0.25">
      <c r="A2446" s="6" t="s">
        <v>22</v>
      </c>
      <c r="B2446" s="6" t="s">
        <v>522</v>
      </c>
      <c r="C2446" s="7">
        <v>33988</v>
      </c>
      <c r="D2446" s="6" t="s">
        <v>297</v>
      </c>
      <c r="E2446" s="6" t="s">
        <v>298</v>
      </c>
      <c r="F2446" s="6" t="s">
        <v>523</v>
      </c>
      <c r="G2446" s="6" t="s">
        <v>32</v>
      </c>
      <c r="H2446" s="6" t="s">
        <v>765</v>
      </c>
      <c r="I2446" s="6" t="s">
        <v>767</v>
      </c>
      <c r="J2446" s="6" t="s">
        <v>767</v>
      </c>
      <c r="K2446" s="7">
        <v>7953369</v>
      </c>
      <c r="L2446" s="7">
        <v>366140</v>
      </c>
      <c r="M2446" s="7">
        <v>19</v>
      </c>
      <c r="N2446" s="7">
        <v>1</v>
      </c>
      <c r="O2446" s="7">
        <v>1.36</v>
      </c>
    </row>
    <row r="2447" spans="1:15" x14ac:dyDescent="0.25">
      <c r="A2447" s="6" t="s">
        <v>22</v>
      </c>
      <c r="B2447" s="6" t="s">
        <v>522</v>
      </c>
      <c r="C2447" s="7">
        <v>33989</v>
      </c>
      <c r="D2447" s="6" t="s">
        <v>297</v>
      </c>
      <c r="E2447" s="6" t="s">
        <v>298</v>
      </c>
      <c r="F2447" s="6" t="s">
        <v>523</v>
      </c>
      <c r="G2447" s="6" t="s">
        <v>32</v>
      </c>
      <c r="H2447" s="6" t="s">
        <v>765</v>
      </c>
      <c r="I2447" s="6" t="s">
        <v>767</v>
      </c>
      <c r="J2447" s="6" t="s">
        <v>767</v>
      </c>
      <c r="K2447" s="7">
        <v>7952724</v>
      </c>
      <c r="L2447" s="7">
        <v>371409</v>
      </c>
      <c r="M2447" s="7">
        <v>19</v>
      </c>
      <c r="N2447" s="7">
        <v>1</v>
      </c>
      <c r="O2447" s="7">
        <v>0.68</v>
      </c>
    </row>
    <row r="2448" spans="1:15" x14ac:dyDescent="0.25">
      <c r="A2448" s="6" t="s">
        <v>22</v>
      </c>
      <c r="B2448" s="6" t="s">
        <v>522</v>
      </c>
      <c r="C2448" s="7">
        <v>33990</v>
      </c>
      <c r="D2448" s="6" t="s">
        <v>297</v>
      </c>
      <c r="E2448" s="6" t="s">
        <v>298</v>
      </c>
      <c r="F2448" s="6" t="s">
        <v>523</v>
      </c>
      <c r="G2448" s="6" t="s">
        <v>32</v>
      </c>
      <c r="H2448" s="6" t="s">
        <v>765</v>
      </c>
      <c r="I2448" s="6" t="s">
        <v>767</v>
      </c>
      <c r="J2448" s="6" t="s">
        <v>767</v>
      </c>
      <c r="K2448" s="7">
        <v>7953904</v>
      </c>
      <c r="L2448" s="7">
        <v>368755</v>
      </c>
      <c r="M2448" s="7">
        <v>19</v>
      </c>
      <c r="N2448" s="7">
        <v>1</v>
      </c>
      <c r="O2448" s="7">
        <v>1.67</v>
      </c>
    </row>
    <row r="2449" spans="1:15" x14ac:dyDescent="0.25">
      <c r="A2449" s="6" t="s">
        <v>22</v>
      </c>
      <c r="B2449" s="6" t="s">
        <v>522</v>
      </c>
      <c r="C2449" s="7">
        <v>33991</v>
      </c>
      <c r="D2449" s="6" t="s">
        <v>297</v>
      </c>
      <c r="E2449" s="6" t="s">
        <v>298</v>
      </c>
      <c r="F2449" s="6" t="s">
        <v>523</v>
      </c>
      <c r="G2449" s="6" t="s">
        <v>32</v>
      </c>
      <c r="H2449" s="6" t="s">
        <v>765</v>
      </c>
      <c r="I2449" s="6" t="s">
        <v>767</v>
      </c>
      <c r="J2449" s="6" t="s">
        <v>767</v>
      </c>
      <c r="K2449" s="7">
        <v>7953904</v>
      </c>
      <c r="L2449" s="7">
        <v>368755</v>
      </c>
      <c r="M2449" s="7">
        <v>19</v>
      </c>
      <c r="N2449" s="7">
        <v>1</v>
      </c>
      <c r="O2449" s="7">
        <v>1.29</v>
      </c>
    </row>
    <row r="2450" spans="1:15" x14ac:dyDescent="0.25">
      <c r="A2450" s="6" t="s">
        <v>22</v>
      </c>
      <c r="B2450" s="6" t="s">
        <v>522</v>
      </c>
      <c r="C2450" s="7">
        <v>33992</v>
      </c>
      <c r="D2450" s="6" t="s">
        <v>297</v>
      </c>
      <c r="E2450" s="6" t="s">
        <v>298</v>
      </c>
      <c r="F2450" s="6" t="s">
        <v>523</v>
      </c>
      <c r="G2450" s="6" t="s">
        <v>32</v>
      </c>
      <c r="H2450" s="6" t="s">
        <v>765</v>
      </c>
      <c r="I2450" s="6" t="s">
        <v>767</v>
      </c>
      <c r="J2450" s="6" t="s">
        <v>767</v>
      </c>
      <c r="K2450" s="7">
        <v>7951795</v>
      </c>
      <c r="L2450" s="7">
        <v>374711</v>
      </c>
      <c r="M2450" s="7">
        <v>19</v>
      </c>
      <c r="N2450" s="7">
        <v>1</v>
      </c>
      <c r="O2450" s="7">
        <v>0.28999999999999998</v>
      </c>
    </row>
    <row r="2451" spans="1:15" x14ac:dyDescent="0.25">
      <c r="A2451" s="6" t="s">
        <v>22</v>
      </c>
      <c r="B2451" s="6" t="s">
        <v>522</v>
      </c>
      <c r="C2451" s="7">
        <v>34015</v>
      </c>
      <c r="D2451" s="6" t="s">
        <v>297</v>
      </c>
      <c r="E2451" s="6" t="s">
        <v>298</v>
      </c>
      <c r="F2451" s="6" t="s">
        <v>523</v>
      </c>
      <c r="G2451" s="6" t="s">
        <v>32</v>
      </c>
      <c r="H2451" s="6" t="s">
        <v>765</v>
      </c>
      <c r="I2451" s="6" t="s">
        <v>767</v>
      </c>
      <c r="J2451" s="6" t="s">
        <v>767</v>
      </c>
      <c r="K2451" s="7">
        <v>7953369</v>
      </c>
      <c r="L2451" s="7">
        <v>366140</v>
      </c>
      <c r="M2451" s="7">
        <v>19</v>
      </c>
      <c r="N2451" s="7">
        <v>1</v>
      </c>
      <c r="O2451" s="7">
        <v>1.36</v>
      </c>
    </row>
    <row r="2452" spans="1:15" x14ac:dyDescent="0.25">
      <c r="A2452" s="6" t="s">
        <v>22</v>
      </c>
      <c r="B2452" s="6" t="s">
        <v>522</v>
      </c>
      <c r="C2452" s="7">
        <v>34121</v>
      </c>
      <c r="D2452" s="6" t="s">
        <v>24</v>
      </c>
      <c r="E2452" s="6" t="s">
        <v>25</v>
      </c>
      <c r="F2452" s="6" t="s">
        <v>426</v>
      </c>
      <c r="G2452" s="6" t="s">
        <v>32</v>
      </c>
      <c r="H2452" s="6" t="s">
        <v>765</v>
      </c>
      <c r="I2452" s="6" t="s">
        <v>767</v>
      </c>
      <c r="J2452" s="6" t="s">
        <v>767</v>
      </c>
      <c r="K2452" s="7">
        <v>6260735</v>
      </c>
      <c r="L2452" s="7">
        <v>331793</v>
      </c>
      <c r="M2452" s="7">
        <v>19</v>
      </c>
      <c r="N2452" s="7">
        <v>2</v>
      </c>
      <c r="O2452" s="7">
        <v>1.95</v>
      </c>
    </row>
    <row r="2453" spans="1:15" x14ac:dyDescent="0.25">
      <c r="A2453" s="6" t="s">
        <v>28</v>
      </c>
      <c r="B2453" s="6" t="s">
        <v>522</v>
      </c>
      <c r="C2453" s="7">
        <v>34135</v>
      </c>
      <c r="D2453" s="6" t="s">
        <v>24</v>
      </c>
      <c r="E2453" s="6" t="s">
        <v>436</v>
      </c>
      <c r="F2453" s="6" t="s">
        <v>628</v>
      </c>
      <c r="G2453" s="6" t="s">
        <v>32</v>
      </c>
      <c r="H2453" s="6" t="s">
        <v>153</v>
      </c>
      <c r="I2453" s="6" t="s">
        <v>767</v>
      </c>
      <c r="J2453" s="6" t="s">
        <v>764</v>
      </c>
      <c r="K2453" s="7">
        <v>6278830</v>
      </c>
      <c r="L2453" s="7">
        <v>339037</v>
      </c>
      <c r="M2453" s="7">
        <v>19</v>
      </c>
      <c r="N2453" s="7">
        <v>1</v>
      </c>
      <c r="O2453" s="7">
        <v>8.1999999999999993</v>
      </c>
    </row>
    <row r="2454" spans="1:15" x14ac:dyDescent="0.25">
      <c r="A2454" s="6" t="s">
        <v>28</v>
      </c>
      <c r="B2454" s="6" t="s">
        <v>522</v>
      </c>
      <c r="C2454" s="7">
        <v>34136</v>
      </c>
      <c r="D2454" s="6" t="s">
        <v>24</v>
      </c>
      <c r="E2454" s="6" t="s">
        <v>37</v>
      </c>
      <c r="F2454" s="6" t="s">
        <v>548</v>
      </c>
      <c r="G2454" s="6" t="s">
        <v>32</v>
      </c>
      <c r="H2454" s="6" t="s">
        <v>19</v>
      </c>
      <c r="I2454" s="6" t="s">
        <v>767</v>
      </c>
      <c r="J2454" s="6" t="s">
        <v>767</v>
      </c>
      <c r="K2454" s="7">
        <v>6271386</v>
      </c>
      <c r="L2454" s="7">
        <v>326102</v>
      </c>
      <c r="M2454" s="7">
        <v>19</v>
      </c>
      <c r="N2454" s="7">
        <v>1</v>
      </c>
      <c r="O2454" s="7">
        <v>1</v>
      </c>
    </row>
    <row r="2455" spans="1:15" x14ac:dyDescent="0.25">
      <c r="A2455" s="6" t="s">
        <v>28</v>
      </c>
      <c r="B2455" s="6" t="s">
        <v>522</v>
      </c>
      <c r="C2455" s="7">
        <v>34137</v>
      </c>
      <c r="D2455" s="6" t="s">
        <v>24</v>
      </c>
      <c r="E2455" s="6" t="s">
        <v>38</v>
      </c>
      <c r="F2455" s="6" t="s">
        <v>530</v>
      </c>
      <c r="G2455" s="6" t="s">
        <v>32</v>
      </c>
      <c r="H2455" s="6" t="s">
        <v>153</v>
      </c>
      <c r="I2455" s="6" t="s">
        <v>767</v>
      </c>
      <c r="J2455" s="6" t="s">
        <v>764</v>
      </c>
      <c r="K2455" s="7">
        <v>6270360</v>
      </c>
      <c r="L2455" s="7">
        <v>306622</v>
      </c>
      <c r="M2455" s="7">
        <v>19</v>
      </c>
      <c r="N2455" s="7">
        <v>2</v>
      </c>
      <c r="O2455" s="7">
        <v>1.98</v>
      </c>
    </row>
    <row r="2456" spans="1:15" x14ac:dyDescent="0.25">
      <c r="A2456" s="6" t="s">
        <v>28</v>
      </c>
      <c r="B2456" s="6" t="s">
        <v>522</v>
      </c>
      <c r="C2456" s="7">
        <v>34138</v>
      </c>
      <c r="D2456" s="6" t="s">
        <v>24</v>
      </c>
      <c r="E2456" s="6" t="s">
        <v>38</v>
      </c>
      <c r="F2456" s="6" t="s">
        <v>599</v>
      </c>
      <c r="G2456" s="6" t="s">
        <v>32</v>
      </c>
      <c r="H2456" s="6" t="s">
        <v>19</v>
      </c>
      <c r="I2456" s="6" t="s">
        <v>767</v>
      </c>
      <c r="J2456" s="6" t="s">
        <v>767</v>
      </c>
      <c r="K2456" s="7">
        <v>6267533</v>
      </c>
      <c r="L2456" s="7">
        <v>307339</v>
      </c>
      <c r="M2456" s="7">
        <v>19</v>
      </c>
      <c r="N2456" s="7">
        <v>2</v>
      </c>
      <c r="O2456" s="7">
        <v>2.04</v>
      </c>
    </row>
    <row r="2457" spans="1:15" x14ac:dyDescent="0.25">
      <c r="A2457" s="6" t="s">
        <v>28</v>
      </c>
      <c r="B2457" s="6" t="s">
        <v>522</v>
      </c>
      <c r="C2457" s="7">
        <v>34139</v>
      </c>
      <c r="D2457" s="6" t="s">
        <v>24</v>
      </c>
      <c r="E2457" s="6" t="s">
        <v>38</v>
      </c>
      <c r="F2457" s="6" t="s">
        <v>615</v>
      </c>
      <c r="G2457" s="6" t="s">
        <v>32</v>
      </c>
      <c r="H2457" s="6" t="s">
        <v>19</v>
      </c>
      <c r="I2457" s="6" t="s">
        <v>767</v>
      </c>
      <c r="J2457" s="6" t="s">
        <v>767</v>
      </c>
      <c r="K2457" s="7">
        <v>6272169</v>
      </c>
      <c r="L2457" s="7">
        <v>309873</v>
      </c>
      <c r="M2457" s="7">
        <v>19</v>
      </c>
      <c r="N2457" s="7">
        <v>1</v>
      </c>
      <c r="O2457" s="7">
        <v>1</v>
      </c>
    </row>
    <row r="2458" spans="1:15" x14ac:dyDescent="0.25">
      <c r="A2458" s="6" t="s">
        <v>22</v>
      </c>
      <c r="B2458" s="6" t="s">
        <v>522</v>
      </c>
      <c r="C2458" s="7">
        <v>34141</v>
      </c>
      <c r="D2458" s="6" t="s">
        <v>24</v>
      </c>
      <c r="E2458" s="6" t="s">
        <v>25</v>
      </c>
      <c r="F2458" s="6" t="s">
        <v>445</v>
      </c>
      <c r="G2458" s="6" t="s">
        <v>89</v>
      </c>
      <c r="H2458" s="6" t="s">
        <v>765</v>
      </c>
      <c r="I2458" s="6" t="s">
        <v>767</v>
      </c>
      <c r="J2458" s="6" t="s">
        <v>767</v>
      </c>
      <c r="K2458" s="7">
        <v>6258888</v>
      </c>
      <c r="L2458" s="7">
        <v>332074</v>
      </c>
      <c r="M2458" s="7">
        <v>19</v>
      </c>
      <c r="N2458" s="7">
        <v>1</v>
      </c>
      <c r="O2458" s="7">
        <v>0.08</v>
      </c>
    </row>
    <row r="2459" spans="1:15" x14ac:dyDescent="0.25">
      <c r="A2459" s="6" t="s">
        <v>22</v>
      </c>
      <c r="B2459" s="6" t="s">
        <v>522</v>
      </c>
      <c r="C2459" s="7">
        <v>34142</v>
      </c>
      <c r="D2459" s="6" t="s">
        <v>24</v>
      </c>
      <c r="E2459" s="6" t="s">
        <v>25</v>
      </c>
      <c r="F2459" s="6" t="s">
        <v>445</v>
      </c>
      <c r="G2459" s="6" t="s">
        <v>89</v>
      </c>
      <c r="H2459" s="6" t="s">
        <v>765</v>
      </c>
      <c r="I2459" s="6" t="s">
        <v>767</v>
      </c>
      <c r="J2459" s="6" t="s">
        <v>767</v>
      </c>
      <c r="K2459" s="7">
        <v>6258814</v>
      </c>
      <c r="L2459" s="7">
        <v>332037</v>
      </c>
      <c r="M2459" s="7">
        <v>19</v>
      </c>
      <c r="N2459" s="7">
        <v>1</v>
      </c>
      <c r="O2459" s="7">
        <v>0.2</v>
      </c>
    </row>
    <row r="2460" spans="1:15" x14ac:dyDescent="0.25">
      <c r="A2460" s="6" t="s">
        <v>22</v>
      </c>
      <c r="B2460" s="6" t="s">
        <v>522</v>
      </c>
      <c r="C2460" s="7">
        <v>34144</v>
      </c>
      <c r="D2460" s="6" t="s">
        <v>24</v>
      </c>
      <c r="E2460" s="6" t="s">
        <v>25</v>
      </c>
      <c r="F2460" s="6" t="s">
        <v>445</v>
      </c>
      <c r="G2460" s="6" t="s">
        <v>89</v>
      </c>
      <c r="H2460" s="6" t="s">
        <v>765</v>
      </c>
      <c r="I2460" s="6" t="s">
        <v>767</v>
      </c>
      <c r="J2460" s="6" t="s">
        <v>767</v>
      </c>
      <c r="K2460" s="7">
        <v>6258702</v>
      </c>
      <c r="L2460" s="7">
        <v>332041</v>
      </c>
      <c r="M2460" s="7">
        <v>19</v>
      </c>
      <c r="N2460" s="7">
        <v>1</v>
      </c>
      <c r="O2460" s="7">
        <v>0.8</v>
      </c>
    </row>
    <row r="2461" spans="1:15" x14ac:dyDescent="0.25">
      <c r="A2461" s="6" t="s">
        <v>22</v>
      </c>
      <c r="B2461" s="6" t="s">
        <v>522</v>
      </c>
      <c r="C2461" s="7">
        <v>34145</v>
      </c>
      <c r="D2461" s="6" t="s">
        <v>24</v>
      </c>
      <c r="E2461" s="6" t="s">
        <v>25</v>
      </c>
      <c r="F2461" s="6" t="s">
        <v>445</v>
      </c>
      <c r="G2461" s="6" t="s">
        <v>89</v>
      </c>
      <c r="H2461" s="6" t="s">
        <v>765</v>
      </c>
      <c r="I2461" s="6" t="s">
        <v>767</v>
      </c>
      <c r="J2461" s="6" t="s">
        <v>767</v>
      </c>
      <c r="K2461" s="7">
        <v>6258629</v>
      </c>
      <c r="L2461" s="7">
        <v>331976</v>
      </c>
      <c r="M2461" s="7">
        <v>19</v>
      </c>
      <c r="N2461" s="7">
        <v>1</v>
      </c>
      <c r="O2461" s="7">
        <v>0.8</v>
      </c>
    </row>
    <row r="2462" spans="1:15" x14ac:dyDescent="0.25">
      <c r="A2462" s="6" t="s">
        <v>22</v>
      </c>
      <c r="B2462" s="6" t="s">
        <v>522</v>
      </c>
      <c r="C2462" s="7">
        <v>34146</v>
      </c>
      <c r="D2462" s="6" t="s">
        <v>24</v>
      </c>
      <c r="E2462" s="6" t="s">
        <v>25</v>
      </c>
      <c r="F2462" s="6" t="s">
        <v>445</v>
      </c>
      <c r="G2462" s="6" t="s">
        <v>89</v>
      </c>
      <c r="H2462" s="6" t="s">
        <v>765</v>
      </c>
      <c r="I2462" s="6" t="s">
        <v>767</v>
      </c>
      <c r="J2462" s="6" t="s">
        <v>767</v>
      </c>
      <c r="K2462" s="7">
        <v>6258624</v>
      </c>
      <c r="L2462" s="7">
        <v>332198</v>
      </c>
      <c r="M2462" s="7">
        <v>19</v>
      </c>
      <c r="N2462" s="7">
        <v>1</v>
      </c>
      <c r="O2462" s="7">
        <v>0.4</v>
      </c>
    </row>
    <row r="2463" spans="1:15" x14ac:dyDescent="0.25">
      <c r="A2463" s="6" t="s">
        <v>22</v>
      </c>
      <c r="B2463" s="6" t="s">
        <v>522</v>
      </c>
      <c r="C2463" s="7">
        <v>34147</v>
      </c>
      <c r="D2463" s="6" t="s">
        <v>24</v>
      </c>
      <c r="E2463" s="6" t="s">
        <v>25</v>
      </c>
      <c r="F2463" s="6" t="s">
        <v>445</v>
      </c>
      <c r="G2463" s="6" t="s">
        <v>89</v>
      </c>
      <c r="H2463" s="6" t="s">
        <v>765</v>
      </c>
      <c r="I2463" s="6" t="s">
        <v>767</v>
      </c>
      <c r="J2463" s="6" t="s">
        <v>767</v>
      </c>
      <c r="K2463" s="7">
        <v>6258938</v>
      </c>
      <c r="L2463" s="7">
        <v>332101</v>
      </c>
      <c r="M2463" s="7">
        <v>19</v>
      </c>
      <c r="N2463" s="7">
        <v>1</v>
      </c>
      <c r="O2463" s="7">
        <v>0.25</v>
      </c>
    </row>
    <row r="2464" spans="1:15" x14ac:dyDescent="0.25">
      <c r="A2464" s="6" t="s">
        <v>28</v>
      </c>
      <c r="B2464" s="6" t="s">
        <v>522</v>
      </c>
      <c r="C2464" s="7">
        <v>34155</v>
      </c>
      <c r="D2464" s="6" t="s">
        <v>24</v>
      </c>
      <c r="E2464" s="6" t="s">
        <v>96</v>
      </c>
      <c r="F2464" s="6" t="s">
        <v>545</v>
      </c>
      <c r="G2464" s="6" t="s">
        <v>32</v>
      </c>
      <c r="H2464" s="6" t="s">
        <v>19</v>
      </c>
      <c r="I2464" s="6" t="s">
        <v>767</v>
      </c>
      <c r="J2464" s="6" t="s">
        <v>767</v>
      </c>
      <c r="K2464" s="7">
        <v>6256839</v>
      </c>
      <c r="L2464" s="7">
        <v>348686</v>
      </c>
      <c r="M2464" s="7">
        <v>19</v>
      </c>
      <c r="N2464" s="7">
        <v>1</v>
      </c>
      <c r="O2464" s="7">
        <v>0.92</v>
      </c>
    </row>
    <row r="2465" spans="1:15" x14ac:dyDescent="0.25">
      <c r="A2465" s="6" t="s">
        <v>28</v>
      </c>
      <c r="B2465" s="6" t="s">
        <v>522</v>
      </c>
      <c r="C2465" s="7">
        <v>34156</v>
      </c>
      <c r="D2465" s="6" t="s">
        <v>24</v>
      </c>
      <c r="E2465" s="6" t="s">
        <v>37</v>
      </c>
      <c r="F2465" s="6" t="s">
        <v>548</v>
      </c>
      <c r="G2465" s="6" t="s">
        <v>32</v>
      </c>
      <c r="H2465" s="6" t="s">
        <v>19</v>
      </c>
      <c r="I2465" s="6" t="s">
        <v>767</v>
      </c>
      <c r="J2465" s="6" t="s">
        <v>767</v>
      </c>
      <c r="K2465" s="7">
        <v>6271294</v>
      </c>
      <c r="L2465" s="7">
        <v>325683</v>
      </c>
      <c r="M2465" s="7">
        <v>19</v>
      </c>
      <c r="N2465" s="7">
        <v>1</v>
      </c>
      <c r="O2465" s="7">
        <v>1</v>
      </c>
    </row>
    <row r="2466" spans="1:15" x14ac:dyDescent="0.25">
      <c r="A2466" s="6" t="s">
        <v>28</v>
      </c>
      <c r="B2466" s="6" t="s">
        <v>522</v>
      </c>
      <c r="C2466" s="7">
        <v>34177</v>
      </c>
      <c r="D2466" s="6" t="s">
        <v>24</v>
      </c>
      <c r="E2466" s="6" t="s">
        <v>25</v>
      </c>
      <c r="F2466" s="6" t="s">
        <v>445</v>
      </c>
      <c r="G2466" s="6" t="s">
        <v>32</v>
      </c>
      <c r="H2466" s="6" t="s">
        <v>153</v>
      </c>
      <c r="I2466" s="6" t="s">
        <v>767</v>
      </c>
      <c r="J2466" s="6" t="s">
        <v>764</v>
      </c>
      <c r="K2466" s="7">
        <v>6257718</v>
      </c>
      <c r="L2466" s="7">
        <v>334534</v>
      </c>
      <c r="M2466" s="7">
        <v>19</v>
      </c>
      <c r="N2466" s="7">
        <v>1</v>
      </c>
      <c r="O2466" s="7">
        <v>0.31</v>
      </c>
    </row>
    <row r="2467" spans="1:15" x14ac:dyDescent="0.25">
      <c r="A2467" s="6" t="s">
        <v>28</v>
      </c>
      <c r="B2467" s="6" t="s">
        <v>522</v>
      </c>
      <c r="C2467" s="7">
        <v>34178</v>
      </c>
      <c r="D2467" s="6" t="s">
        <v>24</v>
      </c>
      <c r="E2467" s="6" t="s">
        <v>25</v>
      </c>
      <c r="F2467" s="6" t="s">
        <v>445</v>
      </c>
      <c r="G2467" s="6" t="s">
        <v>32</v>
      </c>
      <c r="H2467" s="6" t="s">
        <v>153</v>
      </c>
      <c r="I2467" s="6" t="s">
        <v>767</v>
      </c>
      <c r="J2467" s="6" t="s">
        <v>764</v>
      </c>
      <c r="K2467" s="7">
        <v>6258091</v>
      </c>
      <c r="L2467" s="7">
        <v>334342</v>
      </c>
      <c r="M2467" s="7">
        <v>19</v>
      </c>
      <c r="N2467" s="7">
        <v>1</v>
      </c>
      <c r="O2467" s="7">
        <v>0.43</v>
      </c>
    </row>
    <row r="2468" spans="1:15" x14ac:dyDescent="0.25">
      <c r="A2468" s="6" t="s">
        <v>28</v>
      </c>
      <c r="B2468" s="6" t="s">
        <v>522</v>
      </c>
      <c r="C2468" s="7">
        <v>34179</v>
      </c>
      <c r="D2468" s="6" t="s">
        <v>24</v>
      </c>
      <c r="E2468" s="6" t="s">
        <v>25</v>
      </c>
      <c r="F2468" s="6" t="s">
        <v>445</v>
      </c>
      <c r="G2468" s="6" t="s">
        <v>32</v>
      </c>
      <c r="H2468" s="6" t="s">
        <v>153</v>
      </c>
      <c r="I2468" s="6" t="s">
        <v>767</v>
      </c>
      <c r="J2468" s="6" t="s">
        <v>764</v>
      </c>
      <c r="K2468" s="7">
        <v>6258397</v>
      </c>
      <c r="L2468" s="7">
        <v>334164</v>
      </c>
      <c r="M2468" s="7">
        <v>19</v>
      </c>
      <c r="N2468" s="7">
        <v>1</v>
      </c>
      <c r="O2468" s="7">
        <v>1.06</v>
      </c>
    </row>
    <row r="2469" spans="1:15" x14ac:dyDescent="0.25">
      <c r="A2469" s="6" t="s">
        <v>28</v>
      </c>
      <c r="B2469" s="6" t="s">
        <v>522</v>
      </c>
      <c r="C2469" s="7">
        <v>34181</v>
      </c>
      <c r="D2469" s="6" t="s">
        <v>24</v>
      </c>
      <c r="E2469" s="6" t="s">
        <v>37</v>
      </c>
      <c r="F2469" s="6" t="s">
        <v>37</v>
      </c>
      <c r="G2469" s="6" t="s">
        <v>32</v>
      </c>
      <c r="H2469" s="6" t="s">
        <v>19</v>
      </c>
      <c r="I2469" s="6" t="s">
        <v>767</v>
      </c>
      <c r="J2469" s="6" t="s">
        <v>767</v>
      </c>
      <c r="K2469" s="7">
        <v>6268838</v>
      </c>
      <c r="L2469" s="7">
        <v>324479</v>
      </c>
      <c r="M2469" s="7">
        <v>19</v>
      </c>
      <c r="N2469" s="7">
        <v>1</v>
      </c>
      <c r="O2469" s="7">
        <v>1.1000000000000001</v>
      </c>
    </row>
    <row r="2470" spans="1:15" x14ac:dyDescent="0.25">
      <c r="A2470" s="6" t="s">
        <v>28</v>
      </c>
      <c r="B2470" s="6" t="s">
        <v>522</v>
      </c>
      <c r="C2470" s="7">
        <v>34182</v>
      </c>
      <c r="D2470" s="6" t="s">
        <v>24</v>
      </c>
      <c r="E2470" s="6" t="s">
        <v>37</v>
      </c>
      <c r="F2470" s="6" t="s">
        <v>37</v>
      </c>
      <c r="G2470" s="6" t="s">
        <v>32</v>
      </c>
      <c r="H2470" s="6" t="s">
        <v>19</v>
      </c>
      <c r="I2470" s="6" t="s">
        <v>767</v>
      </c>
      <c r="J2470" s="6" t="s">
        <v>767</v>
      </c>
      <c r="K2470" s="7">
        <v>6268473</v>
      </c>
      <c r="L2470" s="7">
        <v>324383</v>
      </c>
      <c r="M2470" s="7">
        <v>19</v>
      </c>
      <c r="N2470" s="7">
        <v>1</v>
      </c>
      <c r="O2470" s="7">
        <v>0.9</v>
      </c>
    </row>
    <row r="2471" spans="1:15" x14ac:dyDescent="0.25">
      <c r="A2471" s="6" t="s">
        <v>28</v>
      </c>
      <c r="B2471" s="6" t="s">
        <v>522</v>
      </c>
      <c r="C2471" s="7">
        <v>34183</v>
      </c>
      <c r="D2471" s="6" t="s">
        <v>24</v>
      </c>
      <c r="E2471" s="6" t="s">
        <v>25</v>
      </c>
      <c r="F2471" s="6" t="s">
        <v>425</v>
      </c>
      <c r="G2471" s="6" t="s">
        <v>32</v>
      </c>
      <c r="H2471" s="6" t="s">
        <v>153</v>
      </c>
      <c r="I2471" s="6" t="s">
        <v>767</v>
      </c>
      <c r="J2471" s="6" t="s">
        <v>764</v>
      </c>
      <c r="K2471" s="7">
        <v>6264254</v>
      </c>
      <c r="L2471" s="7">
        <v>336026</v>
      </c>
      <c r="M2471" s="7">
        <v>19</v>
      </c>
      <c r="N2471" s="7">
        <v>1</v>
      </c>
      <c r="O2471" s="7">
        <v>8</v>
      </c>
    </row>
    <row r="2472" spans="1:15" x14ac:dyDescent="0.25">
      <c r="A2472" s="6" t="s">
        <v>28</v>
      </c>
      <c r="B2472" s="6" t="s">
        <v>522</v>
      </c>
      <c r="C2472" s="7">
        <v>34184</v>
      </c>
      <c r="D2472" s="6" t="s">
        <v>24</v>
      </c>
      <c r="E2472" s="6" t="s">
        <v>570</v>
      </c>
      <c r="F2472" s="6" t="s">
        <v>570</v>
      </c>
      <c r="G2472" s="6" t="s">
        <v>32</v>
      </c>
      <c r="H2472" s="6" t="s">
        <v>19</v>
      </c>
      <c r="I2472" s="6" t="s">
        <v>767</v>
      </c>
      <c r="J2472" s="6" t="s">
        <v>767</v>
      </c>
      <c r="K2472" s="7">
        <v>6307767</v>
      </c>
      <c r="L2472" s="7">
        <v>341792</v>
      </c>
      <c r="M2472" s="7">
        <v>19</v>
      </c>
      <c r="N2472" s="7">
        <v>1</v>
      </c>
      <c r="O2472" s="7">
        <v>2.4</v>
      </c>
    </row>
    <row r="2473" spans="1:15" x14ac:dyDescent="0.25">
      <c r="A2473" s="6" t="s">
        <v>28</v>
      </c>
      <c r="B2473" s="6" t="s">
        <v>522</v>
      </c>
      <c r="C2473" s="7">
        <v>34185</v>
      </c>
      <c r="D2473" s="6" t="s">
        <v>24</v>
      </c>
      <c r="E2473" s="6" t="s">
        <v>25</v>
      </c>
      <c r="F2473" s="6" t="s">
        <v>445</v>
      </c>
      <c r="G2473" s="6" t="s">
        <v>32</v>
      </c>
      <c r="H2473" s="6" t="s">
        <v>153</v>
      </c>
      <c r="I2473" s="6" t="s">
        <v>767</v>
      </c>
      <c r="J2473" s="6" t="s">
        <v>764</v>
      </c>
      <c r="K2473" s="7">
        <v>6272324</v>
      </c>
      <c r="L2473" s="7">
        <v>307061</v>
      </c>
      <c r="M2473" s="7">
        <v>19</v>
      </c>
      <c r="N2473" s="7">
        <v>1</v>
      </c>
      <c r="O2473" s="7">
        <v>1</v>
      </c>
    </row>
    <row r="2474" spans="1:15" x14ac:dyDescent="0.25">
      <c r="A2474" s="6" t="s">
        <v>28</v>
      </c>
      <c r="B2474" s="6" t="s">
        <v>522</v>
      </c>
      <c r="C2474" s="7">
        <v>34186</v>
      </c>
      <c r="D2474" s="6" t="s">
        <v>24</v>
      </c>
      <c r="E2474" s="6" t="s">
        <v>31</v>
      </c>
      <c r="F2474" s="6" t="s">
        <v>531</v>
      </c>
      <c r="G2474" s="6" t="s">
        <v>32</v>
      </c>
      <c r="H2474" s="6" t="s">
        <v>19</v>
      </c>
      <c r="I2474" s="6" t="s">
        <v>767</v>
      </c>
      <c r="J2474" s="6" t="s">
        <v>767</v>
      </c>
      <c r="K2474" s="7">
        <v>6271490</v>
      </c>
      <c r="L2474" s="7">
        <v>285206</v>
      </c>
      <c r="M2474" s="7">
        <v>19</v>
      </c>
      <c r="N2474" s="7">
        <v>1</v>
      </c>
      <c r="O2474" s="7">
        <v>0.89</v>
      </c>
    </row>
    <row r="2475" spans="1:15" x14ac:dyDescent="0.25">
      <c r="A2475" s="6" t="s">
        <v>28</v>
      </c>
      <c r="B2475" s="6" t="s">
        <v>522</v>
      </c>
      <c r="C2475" s="7">
        <v>34188</v>
      </c>
      <c r="D2475" s="6" t="s">
        <v>24</v>
      </c>
      <c r="E2475" s="6" t="s">
        <v>38</v>
      </c>
      <c r="F2475" s="6" t="s">
        <v>615</v>
      </c>
      <c r="G2475" s="6" t="s">
        <v>32</v>
      </c>
      <c r="H2475" s="6" t="s">
        <v>19</v>
      </c>
      <c r="I2475" s="6" t="s">
        <v>767</v>
      </c>
      <c r="J2475" s="6" t="s">
        <v>767</v>
      </c>
      <c r="K2475" s="7">
        <v>6272263</v>
      </c>
      <c r="L2475" s="7">
        <v>309348</v>
      </c>
      <c r="M2475" s="7">
        <v>19</v>
      </c>
      <c r="N2475" s="7">
        <v>1</v>
      </c>
      <c r="O2475" s="7">
        <v>1</v>
      </c>
    </row>
    <row r="2476" spans="1:15" x14ac:dyDescent="0.25">
      <c r="A2476" s="6" t="s">
        <v>28</v>
      </c>
      <c r="B2476" s="6" t="s">
        <v>522</v>
      </c>
      <c r="C2476" s="7">
        <v>34189</v>
      </c>
      <c r="D2476" s="6" t="s">
        <v>24</v>
      </c>
      <c r="E2476" s="6" t="s">
        <v>96</v>
      </c>
      <c r="F2476" s="6" t="s">
        <v>96</v>
      </c>
      <c r="G2476" s="6" t="s">
        <v>32</v>
      </c>
      <c r="H2476" s="6" t="s">
        <v>153</v>
      </c>
      <c r="I2476" s="6" t="s">
        <v>767</v>
      </c>
      <c r="J2476" s="6" t="s">
        <v>764</v>
      </c>
      <c r="K2476" s="7">
        <v>6257775</v>
      </c>
      <c r="L2476" s="7">
        <v>343258</v>
      </c>
      <c r="M2476" s="7">
        <v>19</v>
      </c>
      <c r="N2476" s="7">
        <v>1</v>
      </c>
      <c r="O2476" s="7">
        <v>6.35</v>
      </c>
    </row>
    <row r="2477" spans="1:15" x14ac:dyDescent="0.25">
      <c r="A2477" s="6" t="s">
        <v>28</v>
      </c>
      <c r="B2477" s="6" t="s">
        <v>522</v>
      </c>
      <c r="C2477" s="7">
        <v>34193</v>
      </c>
      <c r="D2477" s="6" t="s">
        <v>24</v>
      </c>
      <c r="E2477" s="6" t="s">
        <v>456</v>
      </c>
      <c r="F2477" s="6" t="s">
        <v>558</v>
      </c>
      <c r="G2477" s="6" t="s">
        <v>32</v>
      </c>
      <c r="H2477" s="6" t="s">
        <v>153</v>
      </c>
      <c r="I2477" s="6" t="s">
        <v>767</v>
      </c>
      <c r="J2477" s="6" t="s">
        <v>764</v>
      </c>
      <c r="K2477" s="7">
        <v>6291649</v>
      </c>
      <c r="L2477" s="7">
        <v>329144</v>
      </c>
      <c r="M2477" s="7">
        <v>19</v>
      </c>
      <c r="N2477" s="7">
        <v>2</v>
      </c>
      <c r="O2477" s="7">
        <v>0.81</v>
      </c>
    </row>
    <row r="2478" spans="1:15" x14ac:dyDescent="0.25">
      <c r="A2478" s="6" t="s">
        <v>28</v>
      </c>
      <c r="B2478" s="6" t="s">
        <v>522</v>
      </c>
      <c r="C2478" s="7">
        <v>34194</v>
      </c>
      <c r="D2478" s="6" t="s">
        <v>24</v>
      </c>
      <c r="E2478" s="6" t="s">
        <v>429</v>
      </c>
      <c r="F2478" s="6" t="s">
        <v>602</v>
      </c>
      <c r="G2478" s="6" t="s">
        <v>32</v>
      </c>
      <c r="H2478" s="6" t="s">
        <v>153</v>
      </c>
      <c r="I2478" s="6" t="s">
        <v>767</v>
      </c>
      <c r="J2478" s="6" t="s">
        <v>764</v>
      </c>
      <c r="K2478" s="7">
        <v>6306505</v>
      </c>
      <c r="L2478" s="7">
        <v>332858</v>
      </c>
      <c r="M2478" s="7">
        <v>19</v>
      </c>
      <c r="N2478" s="7">
        <v>2</v>
      </c>
      <c r="O2478" s="7">
        <v>4.6900000000000004</v>
      </c>
    </row>
    <row r="2479" spans="1:15" x14ac:dyDescent="0.25">
      <c r="A2479" s="6" t="s">
        <v>22</v>
      </c>
      <c r="B2479" s="6" t="s">
        <v>522</v>
      </c>
      <c r="C2479" s="7">
        <v>34202</v>
      </c>
      <c r="D2479" s="6" t="s">
        <v>24</v>
      </c>
      <c r="E2479" s="6" t="s">
        <v>25</v>
      </c>
      <c r="F2479" s="6" t="s">
        <v>426</v>
      </c>
      <c r="G2479" s="6" t="s">
        <v>32</v>
      </c>
      <c r="H2479" s="6" t="s">
        <v>765</v>
      </c>
      <c r="I2479" s="6" t="s">
        <v>767</v>
      </c>
      <c r="J2479" s="6" t="s">
        <v>767</v>
      </c>
      <c r="K2479" s="7">
        <v>6262398</v>
      </c>
      <c r="L2479" s="7">
        <v>332019</v>
      </c>
      <c r="M2479" s="7">
        <v>19</v>
      </c>
      <c r="N2479" s="7">
        <v>1</v>
      </c>
      <c r="O2479" s="7">
        <v>2.15</v>
      </c>
    </row>
    <row r="2480" spans="1:15" x14ac:dyDescent="0.25">
      <c r="A2480" s="6" t="s">
        <v>22</v>
      </c>
      <c r="B2480" s="6" t="s">
        <v>522</v>
      </c>
      <c r="C2480" s="7">
        <v>34204</v>
      </c>
      <c r="D2480" s="6" t="s">
        <v>24</v>
      </c>
      <c r="E2480" s="6" t="s">
        <v>25</v>
      </c>
      <c r="F2480" s="6" t="s">
        <v>445</v>
      </c>
      <c r="G2480" s="6" t="s">
        <v>32</v>
      </c>
      <c r="H2480" s="6" t="s">
        <v>765</v>
      </c>
      <c r="I2480" s="6" t="s">
        <v>767</v>
      </c>
      <c r="J2480" s="6" t="s">
        <v>767</v>
      </c>
      <c r="K2480" s="7">
        <v>6260521</v>
      </c>
      <c r="L2480" s="7">
        <v>333180</v>
      </c>
      <c r="M2480" s="7">
        <v>19</v>
      </c>
      <c r="N2480" s="7">
        <v>1</v>
      </c>
      <c r="O2480" s="7">
        <v>0.88</v>
      </c>
    </row>
    <row r="2481" spans="1:15" x14ac:dyDescent="0.25">
      <c r="A2481" s="6" t="s">
        <v>22</v>
      </c>
      <c r="B2481" s="6" t="s">
        <v>522</v>
      </c>
      <c r="C2481" s="7">
        <v>34214</v>
      </c>
      <c r="D2481" s="6" t="s">
        <v>24</v>
      </c>
      <c r="E2481" s="6" t="s">
        <v>25</v>
      </c>
      <c r="F2481" s="6" t="s">
        <v>426</v>
      </c>
      <c r="G2481" s="6" t="s">
        <v>32</v>
      </c>
      <c r="H2481" s="6" t="s">
        <v>765</v>
      </c>
      <c r="I2481" s="6" t="s">
        <v>767</v>
      </c>
      <c r="J2481" s="6" t="s">
        <v>767</v>
      </c>
      <c r="K2481" s="7">
        <v>6259455</v>
      </c>
      <c r="L2481" s="7">
        <v>330886</v>
      </c>
      <c r="M2481" s="7">
        <v>19</v>
      </c>
      <c r="N2481" s="7">
        <v>1</v>
      </c>
      <c r="O2481" s="7">
        <v>7.0000000000000007E-2</v>
      </c>
    </row>
    <row r="2482" spans="1:15" x14ac:dyDescent="0.25">
      <c r="A2482" s="6" t="s">
        <v>22</v>
      </c>
      <c r="B2482" s="6" t="s">
        <v>522</v>
      </c>
      <c r="C2482" s="7">
        <v>34218</v>
      </c>
      <c r="D2482" s="6" t="s">
        <v>24</v>
      </c>
      <c r="E2482" s="6" t="s">
        <v>96</v>
      </c>
      <c r="F2482" s="6" t="s">
        <v>573</v>
      </c>
      <c r="G2482" s="6" t="s">
        <v>32</v>
      </c>
      <c r="H2482" s="6" t="s">
        <v>765</v>
      </c>
      <c r="I2482" s="6" t="s">
        <v>767</v>
      </c>
      <c r="J2482" s="6" t="s">
        <v>767</v>
      </c>
      <c r="K2482" s="7">
        <v>6254922</v>
      </c>
      <c r="L2482" s="7">
        <v>334142</v>
      </c>
      <c r="M2482" s="7">
        <v>19</v>
      </c>
      <c r="N2482" s="7">
        <v>1</v>
      </c>
      <c r="O2482" s="7">
        <v>2.78</v>
      </c>
    </row>
    <row r="2483" spans="1:15" x14ac:dyDescent="0.25">
      <c r="A2483" s="6" t="s">
        <v>22</v>
      </c>
      <c r="B2483" s="6" t="s">
        <v>522</v>
      </c>
      <c r="C2483" s="7">
        <v>34224</v>
      </c>
      <c r="D2483" s="6" t="s">
        <v>42</v>
      </c>
      <c r="E2483" s="6" t="s">
        <v>167</v>
      </c>
      <c r="F2483" s="6" t="s">
        <v>167</v>
      </c>
      <c r="G2483" s="6" t="s">
        <v>32</v>
      </c>
      <c r="H2483" s="6" t="s">
        <v>765</v>
      </c>
      <c r="I2483" s="6" t="s">
        <v>767</v>
      </c>
      <c r="J2483" s="6" t="s">
        <v>767</v>
      </c>
      <c r="K2483" s="7">
        <v>6236047</v>
      </c>
      <c r="L2483" s="7">
        <v>342629</v>
      </c>
      <c r="M2483" s="7">
        <v>19</v>
      </c>
      <c r="N2483" s="7">
        <v>1</v>
      </c>
      <c r="O2483" s="7">
        <v>2.15</v>
      </c>
    </row>
    <row r="2484" spans="1:15" x14ac:dyDescent="0.25">
      <c r="A2484" s="6" t="s">
        <v>22</v>
      </c>
      <c r="B2484" s="6" t="s">
        <v>522</v>
      </c>
      <c r="C2484" s="7">
        <v>34227</v>
      </c>
      <c r="D2484" s="6" t="s">
        <v>24</v>
      </c>
      <c r="E2484" s="6" t="s">
        <v>25</v>
      </c>
      <c r="F2484" s="6" t="s">
        <v>426</v>
      </c>
      <c r="G2484" s="6" t="s">
        <v>89</v>
      </c>
      <c r="H2484" s="6" t="s">
        <v>765</v>
      </c>
      <c r="I2484" s="6" t="s">
        <v>767</v>
      </c>
      <c r="J2484" s="6" t="s">
        <v>767</v>
      </c>
      <c r="K2484" s="7">
        <v>6259941</v>
      </c>
      <c r="L2484" s="7">
        <v>331442</v>
      </c>
      <c r="M2484" s="7">
        <v>19</v>
      </c>
      <c r="N2484" s="7">
        <v>1</v>
      </c>
      <c r="O2484" s="7">
        <v>0.4</v>
      </c>
    </row>
    <row r="2485" spans="1:15" x14ac:dyDescent="0.25">
      <c r="A2485" s="6" t="s">
        <v>22</v>
      </c>
      <c r="B2485" s="6" t="s">
        <v>522</v>
      </c>
      <c r="C2485" s="7">
        <v>34231</v>
      </c>
      <c r="D2485" s="6" t="s">
        <v>24</v>
      </c>
      <c r="E2485" s="6" t="s">
        <v>25</v>
      </c>
      <c r="F2485" s="6" t="s">
        <v>445</v>
      </c>
      <c r="G2485" s="6" t="s">
        <v>89</v>
      </c>
      <c r="H2485" s="6" t="s">
        <v>765</v>
      </c>
      <c r="I2485" s="6" t="s">
        <v>767</v>
      </c>
      <c r="J2485" s="6" t="s">
        <v>767</v>
      </c>
      <c r="K2485" s="7">
        <v>6259006</v>
      </c>
      <c r="L2485" s="7">
        <v>332274</v>
      </c>
      <c r="M2485" s="7">
        <v>19</v>
      </c>
      <c r="N2485" s="7">
        <v>1</v>
      </c>
      <c r="O2485" s="7">
        <v>0.3</v>
      </c>
    </row>
    <row r="2486" spans="1:15" x14ac:dyDescent="0.25">
      <c r="A2486" s="6" t="s">
        <v>22</v>
      </c>
      <c r="B2486" s="6" t="s">
        <v>522</v>
      </c>
      <c r="C2486" s="7">
        <v>34232</v>
      </c>
      <c r="D2486" s="6" t="s">
        <v>24</v>
      </c>
      <c r="E2486" s="6" t="s">
        <v>25</v>
      </c>
      <c r="F2486" s="6" t="s">
        <v>445</v>
      </c>
      <c r="G2486" s="6" t="s">
        <v>89</v>
      </c>
      <c r="H2486" s="6" t="s">
        <v>765</v>
      </c>
      <c r="I2486" s="6" t="s">
        <v>767</v>
      </c>
      <c r="J2486" s="6" t="s">
        <v>767</v>
      </c>
      <c r="K2486" s="7">
        <v>6258916</v>
      </c>
      <c r="L2486" s="7">
        <v>332314</v>
      </c>
      <c r="M2486" s="7">
        <v>19</v>
      </c>
      <c r="N2486" s="7">
        <v>1</v>
      </c>
      <c r="O2486" s="7">
        <v>0.3</v>
      </c>
    </row>
    <row r="2487" spans="1:15" x14ac:dyDescent="0.25">
      <c r="A2487" s="6" t="s">
        <v>22</v>
      </c>
      <c r="B2487" s="6" t="s">
        <v>522</v>
      </c>
      <c r="C2487" s="7">
        <v>34233</v>
      </c>
      <c r="D2487" s="6" t="s">
        <v>24</v>
      </c>
      <c r="E2487" s="6" t="s">
        <v>25</v>
      </c>
      <c r="F2487" s="6" t="s">
        <v>445</v>
      </c>
      <c r="G2487" s="6" t="s">
        <v>89</v>
      </c>
      <c r="H2487" s="6" t="s">
        <v>765</v>
      </c>
      <c r="I2487" s="6" t="s">
        <v>767</v>
      </c>
      <c r="J2487" s="6" t="s">
        <v>767</v>
      </c>
      <c r="K2487" s="7">
        <v>6258893</v>
      </c>
      <c r="L2487" s="7">
        <v>332242</v>
      </c>
      <c r="M2487" s="7">
        <v>19</v>
      </c>
      <c r="N2487" s="7">
        <v>1</v>
      </c>
      <c r="O2487" s="7">
        <v>0.66</v>
      </c>
    </row>
    <row r="2488" spans="1:15" x14ac:dyDescent="0.25">
      <c r="A2488" s="6" t="s">
        <v>22</v>
      </c>
      <c r="B2488" s="6" t="s">
        <v>522</v>
      </c>
      <c r="C2488" s="7">
        <v>34239</v>
      </c>
      <c r="D2488" s="6" t="s">
        <v>24</v>
      </c>
      <c r="E2488" s="6" t="s">
        <v>25</v>
      </c>
      <c r="F2488" s="6" t="s">
        <v>445</v>
      </c>
      <c r="G2488" s="6" t="s">
        <v>32</v>
      </c>
      <c r="H2488" s="6" t="s">
        <v>765</v>
      </c>
      <c r="I2488" s="6" t="s">
        <v>767</v>
      </c>
      <c r="J2488" s="6" t="s">
        <v>767</v>
      </c>
      <c r="K2488" s="7">
        <v>6259184</v>
      </c>
      <c r="L2488" s="7">
        <v>332180</v>
      </c>
      <c r="M2488" s="7">
        <v>19</v>
      </c>
      <c r="N2488" s="7">
        <v>1</v>
      </c>
      <c r="O2488" s="7">
        <v>1.63</v>
      </c>
    </row>
    <row r="2489" spans="1:15" x14ac:dyDescent="0.25">
      <c r="A2489" s="6" t="s">
        <v>28</v>
      </c>
      <c r="B2489" s="6" t="s">
        <v>522</v>
      </c>
      <c r="C2489" s="7">
        <v>34245</v>
      </c>
      <c r="D2489" s="6" t="s">
        <v>39</v>
      </c>
      <c r="E2489" s="6" t="s">
        <v>310</v>
      </c>
      <c r="F2489" s="6" t="s">
        <v>310</v>
      </c>
      <c r="G2489" s="6" t="s">
        <v>32</v>
      </c>
      <c r="H2489" s="6" t="s">
        <v>33</v>
      </c>
      <c r="I2489" s="6" t="s">
        <v>764</v>
      </c>
      <c r="J2489" s="6" t="s">
        <v>767</v>
      </c>
      <c r="K2489" s="7">
        <v>6103025</v>
      </c>
      <c r="L2489" s="7">
        <v>290454</v>
      </c>
      <c r="M2489" s="7">
        <v>19</v>
      </c>
      <c r="N2489" s="7">
        <v>2</v>
      </c>
      <c r="O2489" s="7">
        <v>24</v>
      </c>
    </row>
    <row r="2490" spans="1:15" x14ac:dyDescent="0.25">
      <c r="A2490" s="6" t="s">
        <v>22</v>
      </c>
      <c r="B2490" s="6" t="s">
        <v>522</v>
      </c>
      <c r="C2490" s="7">
        <v>34246</v>
      </c>
      <c r="D2490" s="6" t="s">
        <v>24</v>
      </c>
      <c r="E2490" s="6" t="s">
        <v>25</v>
      </c>
      <c r="F2490" s="6" t="s">
        <v>445</v>
      </c>
      <c r="G2490" s="6" t="s">
        <v>32</v>
      </c>
      <c r="H2490" s="6" t="s">
        <v>765</v>
      </c>
      <c r="I2490" s="6" t="s">
        <v>767</v>
      </c>
      <c r="J2490" s="6" t="s">
        <v>767</v>
      </c>
      <c r="K2490" s="7">
        <v>6259574</v>
      </c>
      <c r="L2490" s="7">
        <v>332794</v>
      </c>
      <c r="M2490" s="7">
        <v>19</v>
      </c>
      <c r="N2490" s="7">
        <v>1</v>
      </c>
      <c r="O2490" s="7">
        <v>1.9</v>
      </c>
    </row>
    <row r="2491" spans="1:15" x14ac:dyDescent="0.25">
      <c r="A2491" s="6" t="s">
        <v>22</v>
      </c>
      <c r="B2491" s="6" t="s">
        <v>522</v>
      </c>
      <c r="C2491" s="7">
        <v>34286</v>
      </c>
      <c r="D2491" s="6" t="s">
        <v>24</v>
      </c>
      <c r="E2491" s="6" t="s">
        <v>25</v>
      </c>
      <c r="F2491" s="6" t="s">
        <v>445</v>
      </c>
      <c r="G2491" s="6" t="s">
        <v>32</v>
      </c>
      <c r="H2491" s="6" t="s">
        <v>765</v>
      </c>
      <c r="I2491" s="6" t="s">
        <v>767</v>
      </c>
      <c r="J2491" s="6" t="s">
        <v>767</v>
      </c>
      <c r="K2491" s="7">
        <v>6260253</v>
      </c>
      <c r="L2491" s="7">
        <v>332704</v>
      </c>
      <c r="M2491" s="7">
        <v>19</v>
      </c>
      <c r="N2491" s="7">
        <v>1</v>
      </c>
      <c r="O2491" s="7">
        <v>2.2999999999999998</v>
      </c>
    </row>
    <row r="2492" spans="1:15" x14ac:dyDescent="0.25">
      <c r="A2492" s="6" t="s">
        <v>22</v>
      </c>
      <c r="B2492" s="6" t="s">
        <v>522</v>
      </c>
      <c r="C2492" s="7">
        <v>34288</v>
      </c>
      <c r="D2492" s="6" t="s">
        <v>24</v>
      </c>
      <c r="E2492" s="6" t="s">
        <v>25</v>
      </c>
      <c r="F2492" s="6" t="s">
        <v>426</v>
      </c>
      <c r="G2492" s="6" t="s">
        <v>32</v>
      </c>
      <c r="H2492" s="6" t="s">
        <v>765</v>
      </c>
      <c r="I2492" s="6" t="s">
        <v>767</v>
      </c>
      <c r="J2492" s="6" t="s">
        <v>767</v>
      </c>
      <c r="K2492" s="7">
        <v>6260544</v>
      </c>
      <c r="L2492" s="7">
        <v>331426</v>
      </c>
      <c r="M2492" s="7">
        <v>19</v>
      </c>
      <c r="N2492" s="7">
        <v>1</v>
      </c>
      <c r="O2492" s="7">
        <v>0.92</v>
      </c>
    </row>
    <row r="2493" spans="1:15" x14ac:dyDescent="0.25">
      <c r="A2493" s="6" t="s">
        <v>22</v>
      </c>
      <c r="B2493" s="6" t="s">
        <v>522</v>
      </c>
      <c r="C2493" s="7">
        <v>34294</v>
      </c>
      <c r="D2493" s="6" t="s">
        <v>24</v>
      </c>
      <c r="E2493" s="6" t="s">
        <v>25</v>
      </c>
      <c r="F2493" s="6" t="s">
        <v>445</v>
      </c>
      <c r="G2493" s="6" t="s">
        <v>89</v>
      </c>
      <c r="H2493" s="6" t="s">
        <v>765</v>
      </c>
      <c r="I2493" s="6" t="s">
        <v>767</v>
      </c>
      <c r="J2493" s="6" t="s">
        <v>767</v>
      </c>
      <c r="K2493" s="7">
        <v>6259006</v>
      </c>
      <c r="L2493" s="7">
        <v>332651</v>
      </c>
      <c r="M2493" s="7">
        <v>19</v>
      </c>
      <c r="N2493" s="7">
        <v>2</v>
      </c>
      <c r="O2493" s="7">
        <v>1.54</v>
      </c>
    </row>
    <row r="2494" spans="1:15" x14ac:dyDescent="0.25">
      <c r="A2494" s="6" t="s">
        <v>28</v>
      </c>
      <c r="B2494" s="6" t="s">
        <v>522</v>
      </c>
      <c r="C2494" s="7">
        <v>34304</v>
      </c>
      <c r="D2494" s="6" t="s">
        <v>24</v>
      </c>
      <c r="E2494" s="6" t="s">
        <v>25</v>
      </c>
      <c r="F2494" s="6" t="s">
        <v>556</v>
      </c>
      <c r="G2494" s="6" t="s">
        <v>32</v>
      </c>
      <c r="H2494" s="6" t="s">
        <v>19</v>
      </c>
      <c r="I2494" s="6" t="s">
        <v>767</v>
      </c>
      <c r="J2494" s="6" t="s">
        <v>767</v>
      </c>
      <c r="K2494" s="7">
        <v>6264523</v>
      </c>
      <c r="L2494" s="7">
        <v>333647</v>
      </c>
      <c r="M2494" s="7">
        <v>19</v>
      </c>
      <c r="N2494" s="7">
        <v>2</v>
      </c>
      <c r="O2494" s="7">
        <v>2.06</v>
      </c>
    </row>
    <row r="2495" spans="1:15" x14ac:dyDescent="0.25">
      <c r="A2495" s="6" t="s">
        <v>28</v>
      </c>
      <c r="B2495" s="6" t="s">
        <v>522</v>
      </c>
      <c r="C2495" s="7">
        <v>34307</v>
      </c>
      <c r="D2495" s="6" t="s">
        <v>24</v>
      </c>
      <c r="E2495" s="6" t="s">
        <v>25</v>
      </c>
      <c r="F2495" s="6" t="s">
        <v>25</v>
      </c>
      <c r="G2495" s="6" t="s">
        <v>32</v>
      </c>
      <c r="H2495" s="6" t="s">
        <v>153</v>
      </c>
      <c r="I2495" s="6" t="s">
        <v>767</v>
      </c>
      <c r="J2495" s="6" t="s">
        <v>764</v>
      </c>
      <c r="K2495" s="7">
        <v>6267744</v>
      </c>
      <c r="L2495" s="7">
        <v>342002</v>
      </c>
      <c r="M2495" s="7">
        <v>19</v>
      </c>
      <c r="N2495" s="7">
        <v>1</v>
      </c>
      <c r="O2495" s="7">
        <v>4.9000000000000004</v>
      </c>
    </row>
    <row r="2496" spans="1:15" x14ac:dyDescent="0.25">
      <c r="A2496" s="6" t="s">
        <v>28</v>
      </c>
      <c r="B2496" s="6" t="s">
        <v>522</v>
      </c>
      <c r="C2496" s="7">
        <v>34310</v>
      </c>
      <c r="D2496" s="6" t="s">
        <v>24</v>
      </c>
      <c r="E2496" s="6" t="s">
        <v>456</v>
      </c>
      <c r="F2496" s="6" t="s">
        <v>568</v>
      </c>
      <c r="G2496" s="6" t="s">
        <v>32</v>
      </c>
      <c r="H2496" s="6" t="s">
        <v>153</v>
      </c>
      <c r="I2496" s="6" t="s">
        <v>767</v>
      </c>
      <c r="J2496" s="6" t="s">
        <v>764</v>
      </c>
      <c r="K2496" s="7">
        <v>6292774</v>
      </c>
      <c r="L2496" s="7">
        <v>332139</v>
      </c>
      <c r="M2496" s="7">
        <v>19</v>
      </c>
      <c r="N2496" s="7">
        <v>1</v>
      </c>
      <c r="O2496" s="7">
        <v>8</v>
      </c>
    </row>
    <row r="2497" spans="1:15" x14ac:dyDescent="0.25">
      <c r="A2497" s="6" t="s">
        <v>28</v>
      </c>
      <c r="B2497" s="6" t="s">
        <v>522</v>
      </c>
      <c r="C2497" s="7">
        <v>34313</v>
      </c>
      <c r="D2497" s="6" t="s">
        <v>24</v>
      </c>
      <c r="E2497" s="6" t="s">
        <v>436</v>
      </c>
      <c r="F2497" s="6" t="s">
        <v>436</v>
      </c>
      <c r="G2497" s="6" t="s">
        <v>32</v>
      </c>
      <c r="H2497" s="6" t="s">
        <v>153</v>
      </c>
      <c r="I2497" s="6" t="s">
        <v>767</v>
      </c>
      <c r="J2497" s="6" t="s">
        <v>764</v>
      </c>
      <c r="K2497" s="7">
        <v>6277318</v>
      </c>
      <c r="L2497" s="7">
        <v>335064</v>
      </c>
      <c r="M2497" s="7">
        <v>19</v>
      </c>
      <c r="N2497" s="7">
        <v>2</v>
      </c>
      <c r="O2497" s="7">
        <v>3.2</v>
      </c>
    </row>
    <row r="2498" spans="1:15" x14ac:dyDescent="0.25">
      <c r="A2498" s="6" t="s">
        <v>28</v>
      </c>
      <c r="B2498" s="6" t="s">
        <v>522</v>
      </c>
      <c r="C2498" s="7">
        <v>34318</v>
      </c>
      <c r="D2498" s="6" t="s">
        <v>24</v>
      </c>
      <c r="E2498" s="6" t="s">
        <v>436</v>
      </c>
      <c r="F2498" s="6" t="s">
        <v>548</v>
      </c>
      <c r="G2498" s="6" t="s">
        <v>32</v>
      </c>
      <c r="H2498" s="6" t="s">
        <v>153</v>
      </c>
      <c r="I2498" s="6" t="s">
        <v>767</v>
      </c>
      <c r="J2498" s="6" t="s">
        <v>764</v>
      </c>
      <c r="K2498" s="7">
        <v>6277406</v>
      </c>
      <c r="L2498" s="7">
        <v>331859</v>
      </c>
      <c r="M2498" s="7">
        <v>19</v>
      </c>
      <c r="N2498" s="7">
        <v>1</v>
      </c>
      <c r="O2498" s="7">
        <v>5.0999999999999996</v>
      </c>
    </row>
    <row r="2499" spans="1:15" x14ac:dyDescent="0.25">
      <c r="A2499" s="6" t="s">
        <v>28</v>
      </c>
      <c r="B2499" s="6" t="s">
        <v>522</v>
      </c>
      <c r="C2499" s="7">
        <v>34321</v>
      </c>
      <c r="D2499" s="6" t="s">
        <v>24</v>
      </c>
      <c r="E2499" s="6" t="s">
        <v>429</v>
      </c>
      <c r="F2499" s="6" t="s">
        <v>491</v>
      </c>
      <c r="G2499" s="6" t="s">
        <v>32</v>
      </c>
      <c r="H2499" s="6" t="s">
        <v>19</v>
      </c>
      <c r="I2499" s="6" t="s">
        <v>767</v>
      </c>
      <c r="J2499" s="6" t="s">
        <v>767</v>
      </c>
      <c r="K2499" s="7">
        <v>6305382</v>
      </c>
      <c r="L2499" s="7">
        <v>327005</v>
      </c>
      <c r="M2499" s="7">
        <v>19</v>
      </c>
      <c r="N2499" s="7">
        <v>1</v>
      </c>
      <c r="O2499" s="7">
        <v>0.3</v>
      </c>
    </row>
    <row r="2500" spans="1:15" x14ac:dyDescent="0.25">
      <c r="A2500" s="6" t="s">
        <v>28</v>
      </c>
      <c r="B2500" s="6" t="s">
        <v>522</v>
      </c>
      <c r="C2500" s="7">
        <v>34325</v>
      </c>
      <c r="D2500" s="6" t="s">
        <v>24</v>
      </c>
      <c r="E2500" s="6" t="s">
        <v>501</v>
      </c>
      <c r="F2500" s="6" t="s">
        <v>578</v>
      </c>
      <c r="G2500" s="6" t="s">
        <v>32</v>
      </c>
      <c r="H2500" s="6" t="s">
        <v>19</v>
      </c>
      <c r="I2500" s="6" t="s">
        <v>767</v>
      </c>
      <c r="J2500" s="6" t="s">
        <v>767</v>
      </c>
      <c r="K2500" s="7">
        <v>6325882</v>
      </c>
      <c r="L2500" s="7">
        <v>325138</v>
      </c>
      <c r="M2500" s="7">
        <v>19</v>
      </c>
      <c r="N2500" s="7">
        <v>1</v>
      </c>
      <c r="O2500" s="7">
        <v>1.05</v>
      </c>
    </row>
    <row r="2501" spans="1:15" x14ac:dyDescent="0.25">
      <c r="A2501" s="6" t="s">
        <v>28</v>
      </c>
      <c r="B2501" s="6" t="s">
        <v>522</v>
      </c>
      <c r="C2501" s="7">
        <v>34327</v>
      </c>
      <c r="D2501" s="6" t="s">
        <v>24</v>
      </c>
      <c r="E2501" s="6" t="s">
        <v>56</v>
      </c>
      <c r="F2501" s="6" t="s">
        <v>592</v>
      </c>
      <c r="G2501" s="6" t="s">
        <v>32</v>
      </c>
      <c r="H2501" s="6" t="s">
        <v>153</v>
      </c>
      <c r="I2501" s="6" t="s">
        <v>767</v>
      </c>
      <c r="J2501" s="6" t="s">
        <v>764</v>
      </c>
      <c r="K2501" s="7">
        <v>6280060</v>
      </c>
      <c r="L2501" s="7">
        <v>339732</v>
      </c>
      <c r="M2501" s="7">
        <v>19</v>
      </c>
      <c r="N2501" s="7">
        <v>2</v>
      </c>
      <c r="O2501" s="7">
        <v>0.74</v>
      </c>
    </row>
    <row r="2502" spans="1:15" x14ac:dyDescent="0.25">
      <c r="A2502" s="6" t="s">
        <v>28</v>
      </c>
      <c r="B2502" s="6" t="s">
        <v>522</v>
      </c>
      <c r="C2502" s="7">
        <v>34329</v>
      </c>
      <c r="D2502" s="6" t="s">
        <v>24</v>
      </c>
      <c r="E2502" s="6" t="s">
        <v>436</v>
      </c>
      <c r="F2502" s="6" t="s">
        <v>548</v>
      </c>
      <c r="G2502" s="6" t="s">
        <v>32</v>
      </c>
      <c r="H2502" s="6" t="s">
        <v>153</v>
      </c>
      <c r="I2502" s="6" t="s">
        <v>767</v>
      </c>
      <c r="J2502" s="6" t="s">
        <v>764</v>
      </c>
      <c r="K2502" s="7">
        <v>6277649</v>
      </c>
      <c r="L2502" s="7">
        <v>332153</v>
      </c>
      <c r="M2502" s="7">
        <v>19</v>
      </c>
      <c r="N2502" s="7">
        <v>1</v>
      </c>
      <c r="O2502" s="7">
        <v>1.69</v>
      </c>
    </row>
    <row r="2503" spans="1:15" x14ac:dyDescent="0.25">
      <c r="A2503" s="6" t="s">
        <v>28</v>
      </c>
      <c r="B2503" s="6" t="s">
        <v>522</v>
      </c>
      <c r="C2503" s="7">
        <v>34330</v>
      </c>
      <c r="D2503" s="6" t="s">
        <v>24</v>
      </c>
      <c r="E2503" s="6" t="s">
        <v>456</v>
      </c>
      <c r="F2503" s="6" t="s">
        <v>568</v>
      </c>
      <c r="G2503" s="6" t="s">
        <v>32</v>
      </c>
      <c r="H2503" s="6" t="s">
        <v>153</v>
      </c>
      <c r="I2503" s="6" t="s">
        <v>767</v>
      </c>
      <c r="J2503" s="6" t="s">
        <v>764</v>
      </c>
      <c r="K2503" s="7">
        <v>6291155</v>
      </c>
      <c r="L2503" s="7">
        <v>330128</v>
      </c>
      <c r="M2503" s="7">
        <v>19</v>
      </c>
      <c r="N2503" s="7">
        <v>1</v>
      </c>
      <c r="O2503" s="7">
        <v>13.6</v>
      </c>
    </row>
    <row r="2504" spans="1:15" x14ac:dyDescent="0.25">
      <c r="A2504" s="6" t="s">
        <v>28</v>
      </c>
      <c r="B2504" s="6" t="s">
        <v>522</v>
      </c>
      <c r="C2504" s="7">
        <v>34331</v>
      </c>
      <c r="D2504" s="6" t="s">
        <v>24</v>
      </c>
      <c r="E2504" s="6" t="s">
        <v>456</v>
      </c>
      <c r="F2504" s="6" t="s">
        <v>571</v>
      </c>
      <c r="G2504" s="6" t="s">
        <v>32</v>
      </c>
      <c r="H2504" s="6" t="s">
        <v>19</v>
      </c>
      <c r="I2504" s="6" t="s">
        <v>767</v>
      </c>
      <c r="J2504" s="6" t="s">
        <v>767</v>
      </c>
      <c r="K2504" s="7">
        <v>6293539</v>
      </c>
      <c r="L2504" s="7">
        <v>332175</v>
      </c>
      <c r="M2504" s="7">
        <v>19</v>
      </c>
      <c r="N2504" s="7">
        <v>1</v>
      </c>
      <c r="O2504" s="7">
        <v>0.28999999999999998</v>
      </c>
    </row>
    <row r="2505" spans="1:15" x14ac:dyDescent="0.25">
      <c r="A2505" s="6" t="s">
        <v>28</v>
      </c>
      <c r="B2505" s="6" t="s">
        <v>522</v>
      </c>
      <c r="C2505" s="7">
        <v>34334</v>
      </c>
      <c r="D2505" s="6" t="s">
        <v>24</v>
      </c>
      <c r="E2505" s="6" t="s">
        <v>56</v>
      </c>
      <c r="F2505" s="6" t="s">
        <v>547</v>
      </c>
      <c r="G2505" s="6" t="s">
        <v>32</v>
      </c>
      <c r="H2505" s="6" t="s">
        <v>19</v>
      </c>
      <c r="I2505" s="6" t="s">
        <v>767</v>
      </c>
      <c r="J2505" s="6" t="s">
        <v>767</v>
      </c>
      <c r="K2505" s="7">
        <v>6274431</v>
      </c>
      <c r="L2505" s="7">
        <v>340168</v>
      </c>
      <c r="M2505" s="7">
        <v>19</v>
      </c>
      <c r="N2505" s="7">
        <v>1</v>
      </c>
      <c r="O2505" s="7">
        <v>1</v>
      </c>
    </row>
    <row r="2506" spans="1:15" x14ac:dyDescent="0.25">
      <c r="A2506" s="6" t="s">
        <v>28</v>
      </c>
      <c r="B2506" s="6" t="s">
        <v>522</v>
      </c>
      <c r="C2506" s="7">
        <v>34336</v>
      </c>
      <c r="D2506" s="6" t="s">
        <v>24</v>
      </c>
      <c r="E2506" s="6" t="s">
        <v>501</v>
      </c>
      <c r="F2506" s="6" t="s">
        <v>578</v>
      </c>
      <c r="G2506" s="6" t="s">
        <v>32</v>
      </c>
      <c r="H2506" s="6" t="s">
        <v>153</v>
      </c>
      <c r="I2506" s="6" t="s">
        <v>767</v>
      </c>
      <c r="J2506" s="6" t="s">
        <v>764</v>
      </c>
      <c r="K2506" s="7">
        <v>6326058</v>
      </c>
      <c r="L2506" s="7">
        <v>324860</v>
      </c>
      <c r="M2506" s="7">
        <v>19</v>
      </c>
      <c r="N2506" s="7">
        <v>1</v>
      </c>
      <c r="O2506" s="7">
        <v>0.6</v>
      </c>
    </row>
    <row r="2507" spans="1:15" x14ac:dyDescent="0.25">
      <c r="A2507" s="6" t="s">
        <v>28</v>
      </c>
      <c r="B2507" s="6" t="s">
        <v>522</v>
      </c>
      <c r="C2507" s="7">
        <v>34337</v>
      </c>
      <c r="D2507" s="6" t="s">
        <v>24</v>
      </c>
      <c r="E2507" s="6" t="s">
        <v>56</v>
      </c>
      <c r="F2507" s="6" t="s">
        <v>467</v>
      </c>
      <c r="G2507" s="6" t="s">
        <v>32</v>
      </c>
      <c r="H2507" s="6" t="s">
        <v>153</v>
      </c>
      <c r="I2507" s="6" t="s">
        <v>767</v>
      </c>
      <c r="J2507" s="6" t="s">
        <v>764</v>
      </c>
      <c r="K2507" s="7">
        <v>6276658</v>
      </c>
      <c r="L2507" s="7">
        <v>345889</v>
      </c>
      <c r="M2507" s="7">
        <v>19</v>
      </c>
      <c r="N2507" s="7">
        <v>1</v>
      </c>
      <c r="O2507" s="7">
        <v>1</v>
      </c>
    </row>
    <row r="2508" spans="1:15" x14ac:dyDescent="0.25">
      <c r="A2508" s="6" t="s">
        <v>28</v>
      </c>
      <c r="B2508" s="6" t="s">
        <v>522</v>
      </c>
      <c r="C2508" s="7">
        <v>34338</v>
      </c>
      <c r="D2508" s="6" t="s">
        <v>24</v>
      </c>
      <c r="E2508" s="6" t="s">
        <v>56</v>
      </c>
      <c r="F2508" s="6" t="s">
        <v>419</v>
      </c>
      <c r="G2508" s="6" t="s">
        <v>32</v>
      </c>
      <c r="H2508" s="6" t="s">
        <v>153</v>
      </c>
      <c r="I2508" s="6" t="s">
        <v>767</v>
      </c>
      <c r="J2508" s="6" t="s">
        <v>764</v>
      </c>
      <c r="K2508" s="7">
        <v>6276122</v>
      </c>
      <c r="L2508" s="7">
        <v>340909</v>
      </c>
      <c r="M2508" s="7">
        <v>19</v>
      </c>
      <c r="N2508" s="7">
        <v>1</v>
      </c>
      <c r="O2508" s="7">
        <v>8.1999999999999993</v>
      </c>
    </row>
    <row r="2509" spans="1:15" x14ac:dyDescent="0.25">
      <c r="A2509" s="6" t="s">
        <v>28</v>
      </c>
      <c r="B2509" s="6" t="s">
        <v>522</v>
      </c>
      <c r="C2509" s="7">
        <v>34344</v>
      </c>
      <c r="D2509" s="6" t="s">
        <v>24</v>
      </c>
      <c r="E2509" s="6" t="s">
        <v>37</v>
      </c>
      <c r="F2509" s="6" t="s">
        <v>548</v>
      </c>
      <c r="G2509" s="6" t="s">
        <v>32</v>
      </c>
      <c r="H2509" s="6" t="s">
        <v>19</v>
      </c>
      <c r="I2509" s="6" t="s">
        <v>767</v>
      </c>
      <c r="J2509" s="6" t="s">
        <v>767</v>
      </c>
      <c r="K2509" s="7">
        <v>6271979</v>
      </c>
      <c r="L2509" s="7">
        <v>325833</v>
      </c>
      <c r="M2509" s="7">
        <v>19</v>
      </c>
      <c r="N2509" s="7">
        <v>1</v>
      </c>
      <c r="O2509" s="7">
        <v>0.95</v>
      </c>
    </row>
    <row r="2510" spans="1:15" x14ac:dyDescent="0.25">
      <c r="A2510" s="6" t="s">
        <v>22</v>
      </c>
      <c r="B2510" s="6" t="s">
        <v>522</v>
      </c>
      <c r="C2510" s="7">
        <v>34351</v>
      </c>
      <c r="D2510" s="6" t="s">
        <v>24</v>
      </c>
      <c r="E2510" s="6" t="s">
        <v>25</v>
      </c>
      <c r="F2510" s="6" t="s">
        <v>426</v>
      </c>
      <c r="G2510" s="6" t="s">
        <v>32</v>
      </c>
      <c r="H2510" s="6" t="s">
        <v>765</v>
      </c>
      <c r="I2510" s="6" t="s">
        <v>767</v>
      </c>
      <c r="J2510" s="6" t="s">
        <v>767</v>
      </c>
      <c r="K2510" s="7">
        <v>6260876</v>
      </c>
      <c r="L2510" s="7">
        <v>331617</v>
      </c>
      <c r="M2510" s="7">
        <v>19</v>
      </c>
      <c r="N2510" s="7">
        <v>1</v>
      </c>
      <c r="O2510" s="7">
        <v>0.93</v>
      </c>
    </row>
    <row r="2511" spans="1:15" x14ac:dyDescent="0.25">
      <c r="A2511" s="6" t="s">
        <v>22</v>
      </c>
      <c r="B2511" s="6" t="s">
        <v>522</v>
      </c>
      <c r="C2511" s="7">
        <v>34358</v>
      </c>
      <c r="D2511" s="6" t="s">
        <v>24</v>
      </c>
      <c r="E2511" s="6" t="s">
        <v>25</v>
      </c>
      <c r="F2511" s="6" t="s">
        <v>426</v>
      </c>
      <c r="G2511" s="6" t="s">
        <v>32</v>
      </c>
      <c r="H2511" s="6" t="s">
        <v>765</v>
      </c>
      <c r="I2511" s="6" t="s">
        <v>767</v>
      </c>
      <c r="J2511" s="6" t="s">
        <v>767</v>
      </c>
      <c r="K2511" s="7">
        <v>6260380</v>
      </c>
      <c r="L2511" s="7">
        <v>332793</v>
      </c>
      <c r="M2511" s="7">
        <v>19</v>
      </c>
      <c r="N2511" s="7">
        <v>1</v>
      </c>
      <c r="O2511" s="7">
        <v>1.65</v>
      </c>
    </row>
    <row r="2512" spans="1:15" x14ac:dyDescent="0.25">
      <c r="A2512" s="6" t="s">
        <v>28</v>
      </c>
      <c r="B2512" s="6" t="s">
        <v>522</v>
      </c>
      <c r="C2512" s="7">
        <v>34360</v>
      </c>
      <c r="D2512" s="6" t="s">
        <v>24</v>
      </c>
      <c r="E2512" s="6" t="s">
        <v>570</v>
      </c>
      <c r="F2512" s="6" t="s">
        <v>570</v>
      </c>
      <c r="G2512" s="6" t="s">
        <v>32</v>
      </c>
      <c r="H2512" s="6" t="s">
        <v>153</v>
      </c>
      <c r="I2512" s="6" t="s">
        <v>767</v>
      </c>
      <c r="J2512" s="6" t="s">
        <v>764</v>
      </c>
      <c r="K2512" s="7">
        <v>6307818</v>
      </c>
      <c r="L2512" s="7">
        <v>340861</v>
      </c>
      <c r="M2512" s="7">
        <v>19</v>
      </c>
      <c r="N2512" s="7">
        <v>1</v>
      </c>
      <c r="O2512" s="7">
        <v>1.64</v>
      </c>
    </row>
    <row r="2513" spans="1:15" x14ac:dyDescent="0.25">
      <c r="A2513" s="6" t="s">
        <v>28</v>
      </c>
      <c r="B2513" s="6" t="s">
        <v>522</v>
      </c>
      <c r="C2513" s="7">
        <v>34361</v>
      </c>
      <c r="D2513" s="6" t="s">
        <v>24</v>
      </c>
      <c r="E2513" s="6" t="s">
        <v>463</v>
      </c>
      <c r="F2513" s="6" t="s">
        <v>629</v>
      </c>
      <c r="G2513" s="6" t="s">
        <v>32</v>
      </c>
      <c r="H2513" s="6" t="s">
        <v>19</v>
      </c>
      <c r="I2513" s="6" t="s">
        <v>767</v>
      </c>
      <c r="J2513" s="6" t="s">
        <v>767</v>
      </c>
      <c r="K2513" s="7">
        <v>6277176</v>
      </c>
      <c r="L2513" s="7">
        <v>347092</v>
      </c>
      <c r="M2513" s="7">
        <v>19</v>
      </c>
      <c r="N2513" s="7">
        <v>1</v>
      </c>
      <c r="O2513" s="7">
        <v>1.61</v>
      </c>
    </row>
    <row r="2514" spans="1:15" x14ac:dyDescent="0.25">
      <c r="A2514" s="6" t="s">
        <v>28</v>
      </c>
      <c r="B2514" s="6" t="s">
        <v>522</v>
      </c>
      <c r="C2514" s="7">
        <v>34362</v>
      </c>
      <c r="D2514" s="6" t="s">
        <v>24</v>
      </c>
      <c r="E2514" s="6" t="s">
        <v>31</v>
      </c>
      <c r="F2514" s="6" t="s">
        <v>109</v>
      </c>
      <c r="G2514" s="6" t="s">
        <v>32</v>
      </c>
      <c r="H2514" s="6" t="s">
        <v>19</v>
      </c>
      <c r="I2514" s="6" t="s">
        <v>767</v>
      </c>
      <c r="J2514" s="6" t="s">
        <v>767</v>
      </c>
      <c r="K2514" s="7">
        <v>6278362</v>
      </c>
      <c r="L2514" s="7">
        <v>291008</v>
      </c>
      <c r="M2514" s="7">
        <v>19</v>
      </c>
      <c r="N2514" s="7">
        <v>1</v>
      </c>
      <c r="O2514" s="7">
        <v>0.2</v>
      </c>
    </row>
    <row r="2515" spans="1:15" x14ac:dyDescent="0.25">
      <c r="A2515" s="6" t="s">
        <v>28</v>
      </c>
      <c r="B2515" s="6" t="s">
        <v>522</v>
      </c>
      <c r="C2515" s="7">
        <v>34363</v>
      </c>
      <c r="D2515" s="6" t="s">
        <v>24</v>
      </c>
      <c r="E2515" s="6" t="s">
        <v>62</v>
      </c>
      <c r="F2515" s="6" t="s">
        <v>594</v>
      </c>
      <c r="G2515" s="6" t="s">
        <v>32</v>
      </c>
      <c r="H2515" s="6" t="s">
        <v>153</v>
      </c>
      <c r="I2515" s="6" t="s">
        <v>767</v>
      </c>
      <c r="J2515" s="6" t="s">
        <v>764</v>
      </c>
      <c r="K2515" s="7">
        <v>6282002</v>
      </c>
      <c r="L2515" s="7">
        <v>326797</v>
      </c>
      <c r="M2515" s="7">
        <v>19</v>
      </c>
      <c r="N2515" s="7">
        <v>1</v>
      </c>
      <c r="O2515" s="7">
        <v>2.4</v>
      </c>
    </row>
    <row r="2516" spans="1:15" x14ac:dyDescent="0.25">
      <c r="A2516" s="6" t="s">
        <v>28</v>
      </c>
      <c r="B2516" s="6" t="s">
        <v>522</v>
      </c>
      <c r="C2516" s="7">
        <v>34366</v>
      </c>
      <c r="D2516" s="6" t="s">
        <v>24</v>
      </c>
      <c r="E2516" s="6" t="s">
        <v>37</v>
      </c>
      <c r="F2516" s="6" t="s">
        <v>37</v>
      </c>
      <c r="G2516" s="6" t="s">
        <v>32</v>
      </c>
      <c r="H2516" s="6" t="s">
        <v>19</v>
      </c>
      <c r="I2516" s="6" t="s">
        <v>767</v>
      </c>
      <c r="J2516" s="6" t="s">
        <v>767</v>
      </c>
      <c r="K2516" s="7">
        <v>6271683</v>
      </c>
      <c r="L2516" s="7">
        <v>326575</v>
      </c>
      <c r="M2516" s="7">
        <v>19</v>
      </c>
      <c r="N2516" s="7">
        <v>1</v>
      </c>
      <c r="O2516" s="7">
        <v>0.82</v>
      </c>
    </row>
    <row r="2517" spans="1:15" x14ac:dyDescent="0.25">
      <c r="A2517" s="6" t="s">
        <v>28</v>
      </c>
      <c r="B2517" s="6" t="s">
        <v>522</v>
      </c>
      <c r="C2517" s="7">
        <v>34367</v>
      </c>
      <c r="D2517" s="6" t="s">
        <v>24</v>
      </c>
      <c r="E2517" s="6" t="s">
        <v>56</v>
      </c>
      <c r="F2517" s="6" t="s">
        <v>548</v>
      </c>
      <c r="G2517" s="6" t="s">
        <v>32</v>
      </c>
      <c r="H2517" s="6" t="s">
        <v>19</v>
      </c>
      <c r="I2517" s="6" t="s">
        <v>767</v>
      </c>
      <c r="J2517" s="6" t="s">
        <v>767</v>
      </c>
      <c r="K2517" s="7">
        <v>6287662</v>
      </c>
      <c r="L2517" s="7">
        <v>339252</v>
      </c>
      <c r="M2517" s="7">
        <v>19</v>
      </c>
      <c r="N2517" s="7">
        <v>1</v>
      </c>
      <c r="O2517" s="7">
        <v>1</v>
      </c>
    </row>
    <row r="2518" spans="1:15" x14ac:dyDescent="0.25">
      <c r="A2518" s="6" t="s">
        <v>28</v>
      </c>
      <c r="B2518" s="6" t="s">
        <v>522</v>
      </c>
      <c r="C2518" s="7">
        <v>34368</v>
      </c>
      <c r="D2518" s="6" t="s">
        <v>24</v>
      </c>
      <c r="E2518" s="6" t="s">
        <v>543</v>
      </c>
      <c r="F2518" s="6" t="s">
        <v>612</v>
      </c>
      <c r="G2518" s="6" t="s">
        <v>32</v>
      </c>
      <c r="H2518" s="6" t="s">
        <v>19</v>
      </c>
      <c r="I2518" s="6" t="s">
        <v>767</v>
      </c>
      <c r="J2518" s="6" t="s">
        <v>767</v>
      </c>
      <c r="K2518" s="7">
        <v>6318748</v>
      </c>
      <c r="L2518" s="7">
        <v>333377</v>
      </c>
      <c r="M2518" s="7">
        <v>19</v>
      </c>
      <c r="N2518" s="7">
        <v>1</v>
      </c>
      <c r="O2518" s="7">
        <v>1.1000000000000001</v>
      </c>
    </row>
    <row r="2519" spans="1:15" x14ac:dyDescent="0.25">
      <c r="A2519" s="6" t="s">
        <v>28</v>
      </c>
      <c r="B2519" s="6" t="s">
        <v>522</v>
      </c>
      <c r="C2519" s="7">
        <v>34369</v>
      </c>
      <c r="D2519" s="6" t="s">
        <v>24</v>
      </c>
      <c r="E2519" s="6" t="s">
        <v>49</v>
      </c>
      <c r="F2519" s="6" t="s">
        <v>49</v>
      </c>
      <c r="G2519" s="6" t="s">
        <v>32</v>
      </c>
      <c r="H2519" s="6" t="s">
        <v>19</v>
      </c>
      <c r="I2519" s="6" t="s">
        <v>767</v>
      </c>
      <c r="J2519" s="6" t="s">
        <v>767</v>
      </c>
      <c r="K2519" s="7">
        <v>6278777</v>
      </c>
      <c r="L2519" s="7">
        <v>357319</v>
      </c>
      <c r="M2519" s="7">
        <v>19</v>
      </c>
      <c r="N2519" s="7">
        <v>1</v>
      </c>
      <c r="O2519" s="7">
        <v>0.9</v>
      </c>
    </row>
    <row r="2520" spans="1:15" x14ac:dyDescent="0.25">
      <c r="A2520" s="6" t="s">
        <v>28</v>
      </c>
      <c r="B2520" s="6" t="s">
        <v>522</v>
      </c>
      <c r="C2520" s="7">
        <v>34371</v>
      </c>
      <c r="D2520" s="6" t="s">
        <v>24</v>
      </c>
      <c r="E2520" s="6" t="s">
        <v>37</v>
      </c>
      <c r="F2520" s="6" t="s">
        <v>37</v>
      </c>
      <c r="G2520" s="6" t="s">
        <v>32</v>
      </c>
      <c r="H2520" s="6" t="s">
        <v>19</v>
      </c>
      <c r="I2520" s="6" t="s">
        <v>767</v>
      </c>
      <c r="J2520" s="6" t="s">
        <v>767</v>
      </c>
      <c r="K2520" s="7">
        <v>6271381</v>
      </c>
      <c r="L2520" s="7">
        <v>326443</v>
      </c>
      <c r="M2520" s="7">
        <v>19</v>
      </c>
      <c r="N2520" s="7">
        <v>1</v>
      </c>
      <c r="O2520" s="7">
        <v>0.95</v>
      </c>
    </row>
    <row r="2521" spans="1:15" x14ac:dyDescent="0.25">
      <c r="A2521" s="6" t="s">
        <v>28</v>
      </c>
      <c r="B2521" s="6" t="s">
        <v>522</v>
      </c>
      <c r="C2521" s="7">
        <v>34373</v>
      </c>
      <c r="D2521" s="6" t="s">
        <v>24</v>
      </c>
      <c r="E2521" s="6" t="s">
        <v>429</v>
      </c>
      <c r="F2521" s="6" t="s">
        <v>429</v>
      </c>
      <c r="G2521" s="6" t="s">
        <v>32</v>
      </c>
      <c r="H2521" s="6" t="s">
        <v>19</v>
      </c>
      <c r="I2521" s="6" t="s">
        <v>767</v>
      </c>
      <c r="J2521" s="6" t="s">
        <v>767</v>
      </c>
      <c r="K2521" s="7">
        <v>6306917</v>
      </c>
      <c r="L2521" s="7">
        <v>331876</v>
      </c>
      <c r="M2521" s="7">
        <v>19</v>
      </c>
      <c r="N2521" s="7">
        <v>1</v>
      </c>
      <c r="O2521" s="7">
        <v>0.97</v>
      </c>
    </row>
    <row r="2522" spans="1:15" x14ac:dyDescent="0.25">
      <c r="A2522" s="6" t="s">
        <v>28</v>
      </c>
      <c r="B2522" s="6" t="s">
        <v>522</v>
      </c>
      <c r="C2522" s="7">
        <v>34374</v>
      </c>
      <c r="D2522" s="6" t="s">
        <v>24</v>
      </c>
      <c r="E2522" s="6" t="s">
        <v>427</v>
      </c>
      <c r="F2522" s="6" t="s">
        <v>443</v>
      </c>
      <c r="G2522" s="6" t="s">
        <v>32</v>
      </c>
      <c r="H2522" s="6" t="s">
        <v>19</v>
      </c>
      <c r="I2522" s="6" t="s">
        <v>767</v>
      </c>
      <c r="J2522" s="6" t="s">
        <v>767</v>
      </c>
      <c r="K2522" s="7">
        <v>6261748</v>
      </c>
      <c r="L2522" s="7">
        <v>326953</v>
      </c>
      <c r="M2522" s="7">
        <v>19</v>
      </c>
      <c r="N2522" s="7">
        <v>1</v>
      </c>
      <c r="O2522" s="7">
        <v>1.55</v>
      </c>
    </row>
    <row r="2523" spans="1:15" x14ac:dyDescent="0.25">
      <c r="A2523" s="6" t="s">
        <v>28</v>
      </c>
      <c r="B2523" s="6" t="s">
        <v>522</v>
      </c>
      <c r="C2523" s="7">
        <v>34375</v>
      </c>
      <c r="D2523" s="6" t="s">
        <v>24</v>
      </c>
      <c r="E2523" s="6" t="s">
        <v>580</v>
      </c>
      <c r="F2523" s="6" t="s">
        <v>580</v>
      </c>
      <c r="G2523" s="6" t="s">
        <v>32</v>
      </c>
      <c r="H2523" s="6" t="s">
        <v>19</v>
      </c>
      <c r="I2523" s="6" t="s">
        <v>767</v>
      </c>
      <c r="J2523" s="6" t="s">
        <v>767</v>
      </c>
      <c r="K2523" s="7">
        <v>6345919</v>
      </c>
      <c r="L2523" s="7">
        <v>340636</v>
      </c>
      <c r="M2523" s="7">
        <v>19</v>
      </c>
      <c r="N2523" s="7">
        <v>3</v>
      </c>
      <c r="O2523" s="7">
        <v>0.99</v>
      </c>
    </row>
    <row r="2524" spans="1:15" x14ac:dyDescent="0.25">
      <c r="A2524" s="6" t="s">
        <v>28</v>
      </c>
      <c r="B2524" s="6" t="s">
        <v>522</v>
      </c>
      <c r="C2524" s="7">
        <v>34377</v>
      </c>
      <c r="D2524" s="6" t="s">
        <v>24</v>
      </c>
      <c r="E2524" s="6" t="s">
        <v>501</v>
      </c>
      <c r="F2524" s="6" t="s">
        <v>578</v>
      </c>
      <c r="G2524" s="6" t="s">
        <v>32</v>
      </c>
      <c r="H2524" s="6" t="s">
        <v>19</v>
      </c>
      <c r="I2524" s="6" t="s">
        <v>767</v>
      </c>
      <c r="J2524" s="6" t="s">
        <v>767</v>
      </c>
      <c r="K2524" s="7">
        <v>6326023</v>
      </c>
      <c r="L2524" s="7">
        <v>325460</v>
      </c>
      <c r="M2524" s="7">
        <v>19</v>
      </c>
      <c r="N2524" s="7">
        <v>1</v>
      </c>
      <c r="O2524" s="7">
        <v>1.1000000000000001</v>
      </c>
    </row>
    <row r="2525" spans="1:15" x14ac:dyDescent="0.25">
      <c r="A2525" s="6" t="s">
        <v>28</v>
      </c>
      <c r="B2525" s="6" t="s">
        <v>522</v>
      </c>
      <c r="C2525" s="7">
        <v>34378</v>
      </c>
      <c r="D2525" s="6" t="s">
        <v>24</v>
      </c>
      <c r="E2525" s="6" t="s">
        <v>463</v>
      </c>
      <c r="F2525" s="6" t="s">
        <v>629</v>
      </c>
      <c r="G2525" s="6" t="s">
        <v>32</v>
      </c>
      <c r="H2525" s="6" t="s">
        <v>19</v>
      </c>
      <c r="I2525" s="6" t="s">
        <v>767</v>
      </c>
      <c r="J2525" s="6" t="s">
        <v>767</v>
      </c>
      <c r="K2525" s="7">
        <v>6277650</v>
      </c>
      <c r="L2525" s="7">
        <v>347192</v>
      </c>
      <c r="M2525" s="7">
        <v>19</v>
      </c>
      <c r="N2525" s="7">
        <v>1</v>
      </c>
      <c r="O2525" s="7">
        <v>1.4</v>
      </c>
    </row>
    <row r="2526" spans="1:15" x14ac:dyDescent="0.25">
      <c r="A2526" s="6" t="s">
        <v>28</v>
      </c>
      <c r="B2526" s="6" t="s">
        <v>522</v>
      </c>
      <c r="C2526" s="7">
        <v>34379</v>
      </c>
      <c r="D2526" s="6" t="s">
        <v>24</v>
      </c>
      <c r="E2526" s="6" t="s">
        <v>580</v>
      </c>
      <c r="F2526" s="6" t="s">
        <v>581</v>
      </c>
      <c r="G2526" s="6" t="s">
        <v>32</v>
      </c>
      <c r="H2526" s="6" t="s">
        <v>19</v>
      </c>
      <c r="I2526" s="6" t="s">
        <v>767</v>
      </c>
      <c r="J2526" s="6" t="s">
        <v>767</v>
      </c>
      <c r="K2526" s="7">
        <v>6316343</v>
      </c>
      <c r="L2526" s="7">
        <v>345155</v>
      </c>
      <c r="M2526" s="7">
        <v>19</v>
      </c>
      <c r="N2526" s="7">
        <v>1</v>
      </c>
      <c r="O2526" s="7">
        <v>1.1000000000000001</v>
      </c>
    </row>
    <row r="2527" spans="1:15" x14ac:dyDescent="0.25">
      <c r="A2527" s="6" t="s">
        <v>28</v>
      </c>
      <c r="B2527" s="6" t="s">
        <v>522</v>
      </c>
      <c r="C2527" s="7">
        <v>34380</v>
      </c>
      <c r="D2527" s="6" t="s">
        <v>24</v>
      </c>
      <c r="E2527" s="6" t="s">
        <v>501</v>
      </c>
      <c r="F2527" s="6" t="s">
        <v>578</v>
      </c>
      <c r="G2527" s="6" t="s">
        <v>32</v>
      </c>
      <c r="H2527" s="6" t="s">
        <v>19</v>
      </c>
      <c r="I2527" s="6" t="s">
        <v>767</v>
      </c>
      <c r="J2527" s="6" t="s">
        <v>767</v>
      </c>
      <c r="K2527" s="7">
        <v>6325681</v>
      </c>
      <c r="L2527" s="7">
        <v>325607</v>
      </c>
      <c r="M2527" s="7">
        <v>19</v>
      </c>
      <c r="N2527" s="7">
        <v>1</v>
      </c>
      <c r="O2527" s="7">
        <v>0.72</v>
      </c>
    </row>
    <row r="2528" spans="1:15" x14ac:dyDescent="0.25">
      <c r="A2528" s="6" t="s">
        <v>28</v>
      </c>
      <c r="B2528" s="6" t="s">
        <v>522</v>
      </c>
      <c r="C2528" s="7">
        <v>34381</v>
      </c>
      <c r="D2528" s="6" t="s">
        <v>24</v>
      </c>
      <c r="E2528" s="6" t="s">
        <v>570</v>
      </c>
      <c r="F2528" s="6" t="s">
        <v>570</v>
      </c>
      <c r="G2528" s="6" t="s">
        <v>32</v>
      </c>
      <c r="H2528" s="6" t="s">
        <v>19</v>
      </c>
      <c r="I2528" s="6" t="s">
        <v>767</v>
      </c>
      <c r="J2528" s="6" t="s">
        <v>767</v>
      </c>
      <c r="K2528" s="7">
        <v>6308370</v>
      </c>
      <c r="L2528" s="7">
        <v>340634</v>
      </c>
      <c r="M2528" s="7">
        <v>19</v>
      </c>
      <c r="N2528" s="7">
        <v>1</v>
      </c>
      <c r="O2528" s="7">
        <v>5.4</v>
      </c>
    </row>
    <row r="2529" spans="1:15" x14ac:dyDescent="0.25">
      <c r="A2529" s="6" t="s">
        <v>28</v>
      </c>
      <c r="B2529" s="6" t="s">
        <v>522</v>
      </c>
      <c r="C2529" s="7">
        <v>34384</v>
      </c>
      <c r="D2529" s="6" t="s">
        <v>24</v>
      </c>
      <c r="E2529" s="6" t="s">
        <v>501</v>
      </c>
      <c r="F2529" s="6" t="s">
        <v>578</v>
      </c>
      <c r="G2529" s="6" t="s">
        <v>32</v>
      </c>
      <c r="H2529" s="6" t="s">
        <v>19</v>
      </c>
      <c r="I2529" s="6" t="s">
        <v>767</v>
      </c>
      <c r="J2529" s="6" t="s">
        <v>767</v>
      </c>
      <c r="K2529" s="7">
        <v>6326414</v>
      </c>
      <c r="L2529" s="7">
        <v>325510</v>
      </c>
      <c r="M2529" s="7">
        <v>19</v>
      </c>
      <c r="N2529" s="7">
        <v>1</v>
      </c>
      <c r="O2529" s="7">
        <v>0.3</v>
      </c>
    </row>
    <row r="2530" spans="1:15" x14ac:dyDescent="0.25">
      <c r="A2530" s="6" t="s">
        <v>28</v>
      </c>
      <c r="B2530" s="6" t="s">
        <v>522</v>
      </c>
      <c r="C2530" s="7">
        <v>34411</v>
      </c>
      <c r="D2530" s="6" t="s">
        <v>24</v>
      </c>
      <c r="E2530" s="6" t="s">
        <v>463</v>
      </c>
      <c r="F2530" s="6" t="s">
        <v>629</v>
      </c>
      <c r="G2530" s="6" t="s">
        <v>32</v>
      </c>
      <c r="H2530" s="6" t="s">
        <v>19</v>
      </c>
      <c r="I2530" s="6" t="s">
        <v>767</v>
      </c>
      <c r="J2530" s="6" t="s">
        <v>767</v>
      </c>
      <c r="K2530" s="7">
        <v>6277343</v>
      </c>
      <c r="L2530" s="7">
        <v>347483</v>
      </c>
      <c r="M2530" s="7">
        <v>19</v>
      </c>
      <c r="N2530" s="7">
        <v>1</v>
      </c>
      <c r="O2530" s="7">
        <v>1.61</v>
      </c>
    </row>
    <row r="2531" spans="1:15" x14ac:dyDescent="0.25">
      <c r="A2531" s="6" t="s">
        <v>28</v>
      </c>
      <c r="B2531" s="6" t="s">
        <v>522</v>
      </c>
      <c r="C2531" s="7">
        <v>34412</v>
      </c>
      <c r="D2531" s="6" t="s">
        <v>24</v>
      </c>
      <c r="E2531" s="6" t="s">
        <v>463</v>
      </c>
      <c r="F2531" s="6" t="s">
        <v>629</v>
      </c>
      <c r="G2531" s="6" t="s">
        <v>32</v>
      </c>
      <c r="H2531" s="6" t="s">
        <v>19</v>
      </c>
      <c r="I2531" s="6" t="s">
        <v>767</v>
      </c>
      <c r="J2531" s="6" t="s">
        <v>767</v>
      </c>
      <c r="K2531" s="7">
        <v>6277890</v>
      </c>
      <c r="L2531" s="7">
        <v>347671</v>
      </c>
      <c r="M2531" s="7">
        <v>19</v>
      </c>
      <c r="N2531" s="7">
        <v>1</v>
      </c>
      <c r="O2531" s="7">
        <v>0.57999999999999996</v>
      </c>
    </row>
    <row r="2532" spans="1:15" x14ac:dyDescent="0.25">
      <c r="A2532" s="6" t="s">
        <v>28</v>
      </c>
      <c r="B2532" s="6" t="s">
        <v>522</v>
      </c>
      <c r="C2532" s="7">
        <v>34413</v>
      </c>
      <c r="D2532" s="6" t="s">
        <v>24</v>
      </c>
      <c r="E2532" s="6" t="s">
        <v>56</v>
      </c>
      <c r="F2532" s="6" t="s">
        <v>418</v>
      </c>
      <c r="G2532" s="6" t="s">
        <v>32</v>
      </c>
      <c r="H2532" s="6" t="s">
        <v>19</v>
      </c>
      <c r="I2532" s="6" t="s">
        <v>767</v>
      </c>
      <c r="J2532" s="6" t="s">
        <v>767</v>
      </c>
      <c r="K2532" s="7">
        <v>6272797</v>
      </c>
      <c r="L2532" s="7">
        <v>339341</v>
      </c>
      <c r="M2532" s="7">
        <v>19</v>
      </c>
      <c r="N2532" s="7">
        <v>1</v>
      </c>
      <c r="O2532" s="7">
        <v>1.6</v>
      </c>
    </row>
    <row r="2533" spans="1:15" x14ac:dyDescent="0.25">
      <c r="A2533" s="6" t="s">
        <v>28</v>
      </c>
      <c r="B2533" s="6" t="s">
        <v>522</v>
      </c>
      <c r="C2533" s="7">
        <v>34414</v>
      </c>
      <c r="D2533" s="6" t="s">
        <v>24</v>
      </c>
      <c r="E2533" s="6" t="s">
        <v>96</v>
      </c>
      <c r="F2533" s="6" t="s">
        <v>545</v>
      </c>
      <c r="G2533" s="6" t="s">
        <v>32</v>
      </c>
      <c r="H2533" s="6" t="s">
        <v>19</v>
      </c>
      <c r="I2533" s="6" t="s">
        <v>767</v>
      </c>
      <c r="J2533" s="6" t="s">
        <v>767</v>
      </c>
      <c r="K2533" s="7">
        <v>6257006</v>
      </c>
      <c r="L2533" s="7">
        <v>348084</v>
      </c>
      <c r="M2533" s="7">
        <v>19</v>
      </c>
      <c r="N2533" s="7">
        <v>1</v>
      </c>
      <c r="O2533" s="7">
        <v>0.28000000000000003</v>
      </c>
    </row>
    <row r="2534" spans="1:15" x14ac:dyDescent="0.25">
      <c r="A2534" s="6" t="s">
        <v>28</v>
      </c>
      <c r="B2534" s="6" t="s">
        <v>522</v>
      </c>
      <c r="C2534" s="7">
        <v>34416</v>
      </c>
      <c r="D2534" s="6" t="s">
        <v>24</v>
      </c>
      <c r="E2534" s="6" t="s">
        <v>25</v>
      </c>
      <c r="F2534" s="6" t="s">
        <v>565</v>
      </c>
      <c r="G2534" s="6" t="s">
        <v>32</v>
      </c>
      <c r="H2534" s="6" t="s">
        <v>19</v>
      </c>
      <c r="I2534" s="6" t="s">
        <v>767</v>
      </c>
      <c r="J2534" s="6" t="s">
        <v>767</v>
      </c>
      <c r="K2534" s="7">
        <v>6273563</v>
      </c>
      <c r="L2534" s="7">
        <v>344460</v>
      </c>
      <c r="M2534" s="7">
        <v>19</v>
      </c>
      <c r="N2534" s="7">
        <v>1</v>
      </c>
      <c r="O2534" s="7">
        <v>0.95</v>
      </c>
    </row>
    <row r="2535" spans="1:15" x14ac:dyDescent="0.25">
      <c r="A2535" s="6" t="s">
        <v>28</v>
      </c>
      <c r="B2535" s="6" t="s">
        <v>522</v>
      </c>
      <c r="C2535" s="7">
        <v>34417</v>
      </c>
      <c r="D2535" s="6" t="s">
        <v>24</v>
      </c>
      <c r="E2535" s="6" t="s">
        <v>463</v>
      </c>
      <c r="F2535" s="6" t="s">
        <v>629</v>
      </c>
      <c r="G2535" s="6" t="s">
        <v>32</v>
      </c>
      <c r="H2535" s="6" t="s">
        <v>19</v>
      </c>
      <c r="I2535" s="6" t="s">
        <v>767</v>
      </c>
      <c r="J2535" s="6" t="s">
        <v>767</v>
      </c>
      <c r="K2535" s="7">
        <v>6277628</v>
      </c>
      <c r="L2535" s="7">
        <v>347627</v>
      </c>
      <c r="M2535" s="7">
        <v>19</v>
      </c>
      <c r="N2535" s="7">
        <v>1</v>
      </c>
      <c r="O2535" s="7">
        <v>0.81</v>
      </c>
    </row>
    <row r="2536" spans="1:15" x14ac:dyDescent="0.25">
      <c r="A2536" s="6" t="s">
        <v>28</v>
      </c>
      <c r="B2536" s="6" t="s">
        <v>522</v>
      </c>
      <c r="C2536" s="7">
        <v>34419</v>
      </c>
      <c r="D2536" s="6" t="s">
        <v>24</v>
      </c>
      <c r="E2536" s="6" t="s">
        <v>501</v>
      </c>
      <c r="F2536" s="6" t="s">
        <v>578</v>
      </c>
      <c r="G2536" s="6" t="s">
        <v>32</v>
      </c>
      <c r="H2536" s="6" t="s">
        <v>153</v>
      </c>
      <c r="I2536" s="6" t="s">
        <v>767</v>
      </c>
      <c r="J2536" s="6" t="s">
        <v>764</v>
      </c>
      <c r="K2536" s="7">
        <v>6326484</v>
      </c>
      <c r="L2536" s="7">
        <v>325130</v>
      </c>
      <c r="M2536" s="7">
        <v>19</v>
      </c>
      <c r="N2536" s="7">
        <v>1</v>
      </c>
      <c r="O2536" s="7">
        <v>1</v>
      </c>
    </row>
    <row r="2537" spans="1:15" x14ac:dyDescent="0.25">
      <c r="A2537" s="6" t="s">
        <v>28</v>
      </c>
      <c r="B2537" s="6" t="s">
        <v>522</v>
      </c>
      <c r="C2537" s="7">
        <v>34420</v>
      </c>
      <c r="D2537" s="6" t="s">
        <v>24</v>
      </c>
      <c r="E2537" s="6" t="s">
        <v>96</v>
      </c>
      <c r="F2537" s="6" t="s">
        <v>630</v>
      </c>
      <c r="G2537" s="6" t="s">
        <v>32</v>
      </c>
      <c r="H2537" s="6" t="s">
        <v>19</v>
      </c>
      <c r="I2537" s="6" t="s">
        <v>767</v>
      </c>
      <c r="J2537" s="6" t="s">
        <v>767</v>
      </c>
      <c r="K2537" s="7">
        <v>6255424</v>
      </c>
      <c r="L2537" s="7">
        <v>345860</v>
      </c>
      <c r="M2537" s="7">
        <v>19</v>
      </c>
      <c r="N2537" s="7">
        <v>1</v>
      </c>
      <c r="O2537" s="7">
        <v>0.61</v>
      </c>
    </row>
    <row r="2538" spans="1:15" x14ac:dyDescent="0.25">
      <c r="A2538" s="6" t="s">
        <v>28</v>
      </c>
      <c r="B2538" s="6" t="s">
        <v>522</v>
      </c>
      <c r="C2538" s="7">
        <v>34421</v>
      </c>
      <c r="D2538" s="6" t="s">
        <v>24</v>
      </c>
      <c r="E2538" s="6" t="s">
        <v>96</v>
      </c>
      <c r="F2538" s="6" t="s">
        <v>587</v>
      </c>
      <c r="G2538" s="6" t="s">
        <v>32</v>
      </c>
      <c r="H2538" s="6" t="s">
        <v>19</v>
      </c>
      <c r="I2538" s="6" t="s">
        <v>767</v>
      </c>
      <c r="J2538" s="6" t="s">
        <v>767</v>
      </c>
      <c r="K2538" s="7">
        <v>6253272</v>
      </c>
      <c r="L2538" s="7">
        <v>345291</v>
      </c>
      <c r="M2538" s="7">
        <v>19</v>
      </c>
      <c r="N2538" s="7">
        <v>1</v>
      </c>
      <c r="O2538" s="7">
        <v>1.7</v>
      </c>
    </row>
    <row r="2539" spans="1:15" x14ac:dyDescent="0.25">
      <c r="A2539" s="6" t="s">
        <v>28</v>
      </c>
      <c r="B2539" s="6" t="s">
        <v>522</v>
      </c>
      <c r="C2539" s="7">
        <v>34422</v>
      </c>
      <c r="D2539" s="6" t="s">
        <v>24</v>
      </c>
      <c r="E2539" s="6" t="s">
        <v>436</v>
      </c>
      <c r="F2539" s="6" t="s">
        <v>548</v>
      </c>
      <c r="G2539" s="6" t="s">
        <v>32</v>
      </c>
      <c r="H2539" s="6" t="s">
        <v>19</v>
      </c>
      <c r="I2539" s="6" t="s">
        <v>767</v>
      </c>
      <c r="J2539" s="6" t="s">
        <v>767</v>
      </c>
      <c r="K2539" s="7">
        <v>6277045</v>
      </c>
      <c r="L2539" s="7">
        <v>331665</v>
      </c>
      <c r="M2539" s="7">
        <v>19</v>
      </c>
      <c r="N2539" s="7">
        <v>1</v>
      </c>
      <c r="O2539" s="7">
        <v>1.6</v>
      </c>
    </row>
    <row r="2540" spans="1:15" x14ac:dyDescent="0.25">
      <c r="A2540" s="6" t="s">
        <v>28</v>
      </c>
      <c r="B2540" s="6" t="s">
        <v>522</v>
      </c>
      <c r="C2540" s="7">
        <v>34424</v>
      </c>
      <c r="D2540" s="6" t="s">
        <v>24</v>
      </c>
      <c r="E2540" s="6" t="s">
        <v>31</v>
      </c>
      <c r="F2540" s="6" t="s">
        <v>563</v>
      </c>
      <c r="G2540" s="6" t="s">
        <v>32</v>
      </c>
      <c r="H2540" s="6" t="s">
        <v>19</v>
      </c>
      <c r="I2540" s="6" t="s">
        <v>767</v>
      </c>
      <c r="J2540" s="6" t="s">
        <v>767</v>
      </c>
      <c r="K2540" s="7">
        <v>6271898</v>
      </c>
      <c r="L2540" s="7">
        <v>302914</v>
      </c>
      <c r="M2540" s="7">
        <v>19</v>
      </c>
      <c r="N2540" s="7">
        <v>1</v>
      </c>
      <c r="O2540" s="7">
        <v>1.5</v>
      </c>
    </row>
    <row r="2541" spans="1:15" x14ac:dyDescent="0.25">
      <c r="A2541" s="6" t="s">
        <v>28</v>
      </c>
      <c r="B2541" s="6" t="s">
        <v>522</v>
      </c>
      <c r="C2541" s="7">
        <v>34425</v>
      </c>
      <c r="D2541" s="6" t="s">
        <v>24</v>
      </c>
      <c r="E2541" s="6" t="s">
        <v>25</v>
      </c>
      <c r="F2541" s="6" t="s">
        <v>565</v>
      </c>
      <c r="G2541" s="6" t="s">
        <v>32</v>
      </c>
      <c r="H2541" s="6" t="s">
        <v>19</v>
      </c>
      <c r="I2541" s="6" t="s">
        <v>767</v>
      </c>
      <c r="J2541" s="6" t="s">
        <v>767</v>
      </c>
      <c r="K2541" s="7">
        <v>6273203</v>
      </c>
      <c r="L2541" s="7">
        <v>344857</v>
      </c>
      <c r="M2541" s="7">
        <v>19</v>
      </c>
      <c r="N2541" s="7">
        <v>1</v>
      </c>
      <c r="O2541" s="7">
        <v>0.5</v>
      </c>
    </row>
    <row r="2542" spans="1:15" x14ac:dyDescent="0.25">
      <c r="A2542" s="6" t="s">
        <v>28</v>
      </c>
      <c r="B2542" s="6" t="s">
        <v>522</v>
      </c>
      <c r="C2542" s="7">
        <v>34426</v>
      </c>
      <c r="D2542" s="6" t="s">
        <v>24</v>
      </c>
      <c r="E2542" s="6" t="s">
        <v>25</v>
      </c>
      <c r="F2542" s="6" t="s">
        <v>565</v>
      </c>
      <c r="G2542" s="6" t="s">
        <v>32</v>
      </c>
      <c r="H2542" s="6" t="s">
        <v>19</v>
      </c>
      <c r="I2542" s="6" t="s">
        <v>767</v>
      </c>
      <c r="J2542" s="6" t="s">
        <v>767</v>
      </c>
      <c r="K2542" s="7">
        <v>6273464</v>
      </c>
      <c r="L2542" s="7">
        <v>344974</v>
      </c>
      <c r="M2542" s="7">
        <v>19</v>
      </c>
      <c r="N2542" s="7">
        <v>1</v>
      </c>
      <c r="O2542" s="7">
        <v>1.1499999999999999</v>
      </c>
    </row>
    <row r="2543" spans="1:15" x14ac:dyDescent="0.25">
      <c r="A2543" s="6" t="s">
        <v>28</v>
      </c>
      <c r="B2543" s="6" t="s">
        <v>522</v>
      </c>
      <c r="C2543" s="7">
        <v>34427</v>
      </c>
      <c r="D2543" s="6" t="s">
        <v>24</v>
      </c>
      <c r="E2543" s="6" t="s">
        <v>501</v>
      </c>
      <c r="F2543" s="6" t="s">
        <v>578</v>
      </c>
      <c r="G2543" s="6" t="s">
        <v>32</v>
      </c>
      <c r="H2543" s="6" t="s">
        <v>153</v>
      </c>
      <c r="I2543" s="6" t="s">
        <v>767</v>
      </c>
      <c r="J2543" s="6" t="s">
        <v>764</v>
      </c>
      <c r="K2543" s="7">
        <v>6325428</v>
      </c>
      <c r="L2543" s="7">
        <v>325820</v>
      </c>
      <c r="M2543" s="7">
        <v>19</v>
      </c>
      <c r="N2543" s="7">
        <v>2</v>
      </c>
      <c r="O2543" s="7">
        <v>2.1</v>
      </c>
    </row>
    <row r="2544" spans="1:15" x14ac:dyDescent="0.25">
      <c r="A2544" s="6" t="s">
        <v>28</v>
      </c>
      <c r="B2544" s="6" t="s">
        <v>522</v>
      </c>
      <c r="C2544" s="7">
        <v>34428</v>
      </c>
      <c r="D2544" s="6" t="s">
        <v>24</v>
      </c>
      <c r="E2544" s="6" t="s">
        <v>436</v>
      </c>
      <c r="F2544" s="6" t="s">
        <v>572</v>
      </c>
      <c r="G2544" s="6" t="s">
        <v>32</v>
      </c>
      <c r="H2544" s="6" t="s">
        <v>153</v>
      </c>
      <c r="I2544" s="6" t="s">
        <v>767</v>
      </c>
      <c r="J2544" s="6" t="s">
        <v>764</v>
      </c>
      <c r="K2544" s="7">
        <v>6275467</v>
      </c>
      <c r="L2544" s="7">
        <v>337311</v>
      </c>
      <c r="M2544" s="7">
        <v>19</v>
      </c>
      <c r="N2544" s="7">
        <v>2</v>
      </c>
      <c r="O2544" s="7">
        <v>11.09</v>
      </c>
    </row>
    <row r="2545" spans="1:15" x14ac:dyDescent="0.25">
      <c r="A2545" s="6" t="s">
        <v>22</v>
      </c>
      <c r="B2545" s="6" t="s">
        <v>522</v>
      </c>
      <c r="C2545" s="7">
        <v>34433</v>
      </c>
      <c r="D2545" s="6" t="s">
        <v>24</v>
      </c>
      <c r="E2545" s="6" t="s">
        <v>25</v>
      </c>
      <c r="F2545" s="6" t="s">
        <v>445</v>
      </c>
      <c r="G2545" s="6" t="s">
        <v>89</v>
      </c>
      <c r="H2545" s="6" t="s">
        <v>765</v>
      </c>
      <c r="I2545" s="6" t="s">
        <v>767</v>
      </c>
      <c r="J2545" s="6" t="s">
        <v>767</v>
      </c>
      <c r="K2545" s="7">
        <v>6260588</v>
      </c>
      <c r="L2545" s="7">
        <v>333116</v>
      </c>
      <c r="M2545" s="7">
        <v>19</v>
      </c>
      <c r="N2545" s="7">
        <v>3</v>
      </c>
      <c r="O2545" s="7">
        <v>0.9</v>
      </c>
    </row>
    <row r="2546" spans="1:15" x14ac:dyDescent="0.25">
      <c r="A2546" s="6" t="s">
        <v>22</v>
      </c>
      <c r="B2546" s="6" t="s">
        <v>522</v>
      </c>
      <c r="C2546" s="7">
        <v>34434</v>
      </c>
      <c r="D2546" s="6" t="s">
        <v>24</v>
      </c>
      <c r="E2546" s="6" t="s">
        <v>25</v>
      </c>
      <c r="F2546" s="6" t="s">
        <v>445</v>
      </c>
      <c r="G2546" s="6" t="s">
        <v>32</v>
      </c>
      <c r="H2546" s="6" t="s">
        <v>765</v>
      </c>
      <c r="I2546" s="6" t="s">
        <v>767</v>
      </c>
      <c r="J2546" s="6" t="s">
        <v>767</v>
      </c>
      <c r="K2546" s="7">
        <v>6260138</v>
      </c>
      <c r="L2546" s="7">
        <v>331076</v>
      </c>
      <c r="M2546" s="7">
        <v>19</v>
      </c>
      <c r="N2546" s="7">
        <v>1</v>
      </c>
      <c r="O2546" s="7">
        <v>0.42</v>
      </c>
    </row>
    <row r="2547" spans="1:15" x14ac:dyDescent="0.25">
      <c r="A2547" s="6" t="s">
        <v>22</v>
      </c>
      <c r="B2547" s="6" t="s">
        <v>522</v>
      </c>
      <c r="C2547" s="7">
        <v>34444</v>
      </c>
      <c r="D2547" s="6" t="s">
        <v>24</v>
      </c>
      <c r="E2547" s="6" t="s">
        <v>25</v>
      </c>
      <c r="F2547" s="6" t="s">
        <v>445</v>
      </c>
      <c r="G2547" s="6" t="s">
        <v>32</v>
      </c>
      <c r="H2547" s="6" t="s">
        <v>765</v>
      </c>
      <c r="I2547" s="6" t="s">
        <v>767</v>
      </c>
      <c r="J2547" s="6" t="s">
        <v>767</v>
      </c>
      <c r="K2547" s="7">
        <v>6260250</v>
      </c>
      <c r="L2547" s="7">
        <v>332872</v>
      </c>
      <c r="M2547" s="7">
        <v>19</v>
      </c>
      <c r="N2547" s="7">
        <v>1</v>
      </c>
      <c r="O2547" s="7">
        <v>0.66</v>
      </c>
    </row>
    <row r="2548" spans="1:15" x14ac:dyDescent="0.25">
      <c r="A2548" s="6" t="s">
        <v>22</v>
      </c>
      <c r="B2548" s="6" t="s">
        <v>522</v>
      </c>
      <c r="C2548" s="7">
        <v>34450</v>
      </c>
      <c r="D2548" s="6" t="s">
        <v>24</v>
      </c>
      <c r="E2548" s="6" t="s">
        <v>25</v>
      </c>
      <c r="F2548" s="6" t="s">
        <v>445</v>
      </c>
      <c r="G2548" s="6" t="s">
        <v>32</v>
      </c>
      <c r="H2548" s="6" t="s">
        <v>765</v>
      </c>
      <c r="I2548" s="6" t="s">
        <v>767</v>
      </c>
      <c r="J2548" s="6" t="s">
        <v>767</v>
      </c>
      <c r="K2548" s="7">
        <v>6260138</v>
      </c>
      <c r="L2548" s="7">
        <v>331076</v>
      </c>
      <c r="M2548" s="7">
        <v>19</v>
      </c>
      <c r="N2548" s="7">
        <v>1</v>
      </c>
      <c r="O2548" s="7">
        <v>0.43</v>
      </c>
    </row>
    <row r="2549" spans="1:15" x14ac:dyDescent="0.25">
      <c r="A2549" s="6" t="s">
        <v>22</v>
      </c>
      <c r="B2549" s="6" t="s">
        <v>522</v>
      </c>
      <c r="C2549" s="7">
        <v>34457</v>
      </c>
      <c r="D2549" s="6" t="s">
        <v>24</v>
      </c>
      <c r="E2549" s="6" t="s">
        <v>25</v>
      </c>
      <c r="F2549" s="6" t="s">
        <v>445</v>
      </c>
      <c r="G2549" s="6" t="s">
        <v>32</v>
      </c>
      <c r="H2549" s="6" t="s">
        <v>765</v>
      </c>
      <c r="I2549" s="6" t="s">
        <v>767</v>
      </c>
      <c r="J2549" s="6" t="s">
        <v>767</v>
      </c>
      <c r="K2549" s="7">
        <v>6260057</v>
      </c>
      <c r="L2549" s="7">
        <v>331032</v>
      </c>
      <c r="M2549" s="7">
        <v>19</v>
      </c>
      <c r="N2549" s="7">
        <v>1</v>
      </c>
      <c r="O2549" s="7">
        <v>0.49</v>
      </c>
    </row>
    <row r="2550" spans="1:15" x14ac:dyDescent="0.25">
      <c r="A2550" s="6" t="s">
        <v>28</v>
      </c>
      <c r="B2550" s="6" t="s">
        <v>522</v>
      </c>
      <c r="C2550" s="7">
        <v>34465</v>
      </c>
      <c r="D2550" s="6" t="s">
        <v>24</v>
      </c>
      <c r="E2550" s="6" t="s">
        <v>37</v>
      </c>
      <c r="F2550" s="6" t="s">
        <v>577</v>
      </c>
      <c r="G2550" s="6" t="s">
        <v>32</v>
      </c>
      <c r="H2550" s="6" t="s">
        <v>153</v>
      </c>
      <c r="I2550" s="6" t="s">
        <v>767</v>
      </c>
      <c r="J2550" s="6" t="s">
        <v>764</v>
      </c>
      <c r="K2550" s="7">
        <v>6272228</v>
      </c>
      <c r="L2550" s="7">
        <v>327125</v>
      </c>
      <c r="M2550" s="7">
        <v>19</v>
      </c>
      <c r="N2550" s="7">
        <v>1</v>
      </c>
      <c r="O2550" s="7">
        <v>6.2</v>
      </c>
    </row>
    <row r="2551" spans="1:15" x14ac:dyDescent="0.25">
      <c r="A2551" s="6" t="s">
        <v>28</v>
      </c>
      <c r="B2551" s="6" t="s">
        <v>522</v>
      </c>
      <c r="C2551" s="7">
        <v>34466</v>
      </c>
      <c r="D2551" s="6" t="s">
        <v>24</v>
      </c>
      <c r="E2551" s="6" t="s">
        <v>56</v>
      </c>
      <c r="F2551" s="6" t="s">
        <v>419</v>
      </c>
      <c r="G2551" s="6" t="s">
        <v>32</v>
      </c>
      <c r="H2551" s="6" t="s">
        <v>153</v>
      </c>
      <c r="I2551" s="6" t="s">
        <v>767</v>
      </c>
      <c r="J2551" s="6" t="s">
        <v>764</v>
      </c>
      <c r="K2551" s="7">
        <v>6275933</v>
      </c>
      <c r="L2551" s="7">
        <v>346292</v>
      </c>
      <c r="M2551" s="7">
        <v>19</v>
      </c>
      <c r="N2551" s="7">
        <v>1</v>
      </c>
      <c r="O2551" s="7">
        <v>2.44</v>
      </c>
    </row>
    <row r="2552" spans="1:15" x14ac:dyDescent="0.25">
      <c r="A2552" s="6" t="s">
        <v>28</v>
      </c>
      <c r="B2552" s="6" t="s">
        <v>522</v>
      </c>
      <c r="C2552" s="7">
        <v>34467</v>
      </c>
      <c r="D2552" s="6" t="s">
        <v>24</v>
      </c>
      <c r="E2552" s="6" t="s">
        <v>31</v>
      </c>
      <c r="F2552" s="6" t="s">
        <v>109</v>
      </c>
      <c r="G2552" s="6" t="s">
        <v>32</v>
      </c>
      <c r="H2552" s="6" t="s">
        <v>153</v>
      </c>
      <c r="I2552" s="6" t="s">
        <v>767</v>
      </c>
      <c r="J2552" s="6" t="s">
        <v>764</v>
      </c>
      <c r="K2552" s="7">
        <v>6278362</v>
      </c>
      <c r="L2552" s="7">
        <v>291008</v>
      </c>
      <c r="M2552" s="7">
        <v>19</v>
      </c>
      <c r="N2552" s="7">
        <v>1</v>
      </c>
      <c r="O2552" s="7">
        <v>0.42</v>
      </c>
    </row>
    <row r="2553" spans="1:15" x14ac:dyDescent="0.25">
      <c r="A2553" s="6" t="s">
        <v>28</v>
      </c>
      <c r="B2553" s="6" t="s">
        <v>522</v>
      </c>
      <c r="C2553" s="7">
        <v>34468</v>
      </c>
      <c r="D2553" s="6" t="s">
        <v>24</v>
      </c>
      <c r="E2553" s="6" t="s">
        <v>456</v>
      </c>
      <c r="F2553" s="6" t="s">
        <v>558</v>
      </c>
      <c r="G2553" s="6" t="s">
        <v>32</v>
      </c>
      <c r="H2553" s="6" t="s">
        <v>19</v>
      </c>
      <c r="I2553" s="6" t="s">
        <v>767</v>
      </c>
      <c r="J2553" s="6" t="s">
        <v>767</v>
      </c>
      <c r="K2553" s="7">
        <v>6289756</v>
      </c>
      <c r="L2553" s="7">
        <v>330596</v>
      </c>
      <c r="M2553" s="7">
        <v>19</v>
      </c>
      <c r="N2553" s="7">
        <v>1</v>
      </c>
      <c r="O2553" s="7">
        <v>0.38</v>
      </c>
    </row>
    <row r="2554" spans="1:15" x14ac:dyDescent="0.25">
      <c r="A2554" s="6" t="s">
        <v>28</v>
      </c>
      <c r="B2554" s="6" t="s">
        <v>522</v>
      </c>
      <c r="C2554" s="7">
        <v>34469</v>
      </c>
      <c r="D2554" s="6" t="s">
        <v>24</v>
      </c>
      <c r="E2554" s="6" t="s">
        <v>31</v>
      </c>
      <c r="F2554" s="6" t="s">
        <v>576</v>
      </c>
      <c r="G2554" s="6" t="s">
        <v>32</v>
      </c>
      <c r="H2554" s="6" t="s">
        <v>19</v>
      </c>
      <c r="I2554" s="6" t="s">
        <v>767</v>
      </c>
      <c r="J2554" s="6" t="s">
        <v>767</v>
      </c>
      <c r="K2554" s="7">
        <v>6267947</v>
      </c>
      <c r="L2554" s="7">
        <v>308860</v>
      </c>
      <c r="M2554" s="7">
        <v>19</v>
      </c>
      <c r="N2554" s="7">
        <v>1</v>
      </c>
      <c r="O2554" s="7">
        <v>1.7</v>
      </c>
    </row>
    <row r="2555" spans="1:15" x14ac:dyDescent="0.25">
      <c r="A2555" s="6" t="s">
        <v>28</v>
      </c>
      <c r="B2555" s="6" t="s">
        <v>522</v>
      </c>
      <c r="C2555" s="7">
        <v>34470</v>
      </c>
      <c r="D2555" s="6" t="s">
        <v>24</v>
      </c>
      <c r="E2555" s="6" t="s">
        <v>456</v>
      </c>
      <c r="F2555" s="6" t="s">
        <v>558</v>
      </c>
      <c r="G2555" s="6" t="s">
        <v>32</v>
      </c>
      <c r="H2555" s="6" t="s">
        <v>19</v>
      </c>
      <c r="I2555" s="6" t="s">
        <v>767</v>
      </c>
      <c r="J2555" s="6" t="s">
        <v>767</v>
      </c>
      <c r="K2555" s="7">
        <v>6289384</v>
      </c>
      <c r="L2555" s="7">
        <v>330973</v>
      </c>
      <c r="M2555" s="7">
        <v>19</v>
      </c>
      <c r="N2555" s="7">
        <v>1</v>
      </c>
      <c r="O2555" s="7">
        <v>0.4</v>
      </c>
    </row>
    <row r="2556" spans="1:15" x14ac:dyDescent="0.25">
      <c r="A2556" s="6" t="s">
        <v>28</v>
      </c>
      <c r="B2556" s="6" t="s">
        <v>522</v>
      </c>
      <c r="C2556" s="7">
        <v>34471</v>
      </c>
      <c r="D2556" s="6" t="s">
        <v>24</v>
      </c>
      <c r="E2556" s="6" t="s">
        <v>31</v>
      </c>
      <c r="F2556" s="6" t="s">
        <v>109</v>
      </c>
      <c r="G2556" s="6" t="s">
        <v>32</v>
      </c>
      <c r="H2556" s="6" t="s">
        <v>153</v>
      </c>
      <c r="I2556" s="6" t="s">
        <v>767</v>
      </c>
      <c r="J2556" s="6" t="s">
        <v>764</v>
      </c>
      <c r="K2556" s="7">
        <v>6278442</v>
      </c>
      <c r="L2556" s="7">
        <v>290694</v>
      </c>
      <c r="M2556" s="7">
        <v>19</v>
      </c>
      <c r="N2556" s="7">
        <v>1</v>
      </c>
      <c r="O2556" s="7">
        <v>1</v>
      </c>
    </row>
    <row r="2557" spans="1:15" x14ac:dyDescent="0.25">
      <c r="A2557" s="6" t="s">
        <v>28</v>
      </c>
      <c r="B2557" s="6" t="s">
        <v>522</v>
      </c>
      <c r="C2557" s="7">
        <v>34472</v>
      </c>
      <c r="D2557" s="6" t="s">
        <v>24</v>
      </c>
      <c r="E2557" s="6" t="s">
        <v>31</v>
      </c>
      <c r="F2557" s="6" t="s">
        <v>415</v>
      </c>
      <c r="G2557" s="6" t="s">
        <v>32</v>
      </c>
      <c r="H2557" s="6" t="s">
        <v>153</v>
      </c>
      <c r="I2557" s="6" t="s">
        <v>767</v>
      </c>
      <c r="J2557" s="6" t="s">
        <v>764</v>
      </c>
      <c r="K2557" s="7">
        <v>6276993</v>
      </c>
      <c r="L2557" s="7">
        <v>298293</v>
      </c>
      <c r="M2557" s="7">
        <v>19</v>
      </c>
      <c r="N2557" s="7">
        <v>1</v>
      </c>
      <c r="O2557" s="7">
        <v>0.8</v>
      </c>
    </row>
    <row r="2558" spans="1:15" x14ac:dyDescent="0.25">
      <c r="A2558" s="6" t="s">
        <v>28</v>
      </c>
      <c r="B2558" s="6" t="s">
        <v>522</v>
      </c>
      <c r="C2558" s="7">
        <v>34473</v>
      </c>
      <c r="D2558" s="6" t="s">
        <v>24</v>
      </c>
      <c r="E2558" s="6" t="s">
        <v>96</v>
      </c>
      <c r="F2558" s="6" t="s">
        <v>542</v>
      </c>
      <c r="G2558" s="6" t="s">
        <v>32</v>
      </c>
      <c r="H2558" s="6" t="s">
        <v>153</v>
      </c>
      <c r="I2558" s="6" t="s">
        <v>767</v>
      </c>
      <c r="J2558" s="6" t="s">
        <v>764</v>
      </c>
      <c r="K2558" s="7">
        <v>6256098</v>
      </c>
      <c r="L2558" s="7">
        <v>321061</v>
      </c>
      <c r="M2558" s="7">
        <v>19</v>
      </c>
      <c r="N2558" s="7">
        <v>1</v>
      </c>
      <c r="O2558" s="7">
        <v>0.2</v>
      </c>
    </row>
    <row r="2559" spans="1:15" x14ac:dyDescent="0.25">
      <c r="A2559" s="6" t="s">
        <v>28</v>
      </c>
      <c r="B2559" s="6" t="s">
        <v>522</v>
      </c>
      <c r="C2559" s="7">
        <v>34474</v>
      </c>
      <c r="D2559" s="6" t="s">
        <v>24</v>
      </c>
      <c r="E2559" s="6" t="s">
        <v>25</v>
      </c>
      <c r="F2559" s="6" t="s">
        <v>445</v>
      </c>
      <c r="G2559" s="6" t="s">
        <v>32</v>
      </c>
      <c r="H2559" s="6" t="s">
        <v>19</v>
      </c>
      <c r="I2559" s="6" t="s">
        <v>767</v>
      </c>
      <c r="J2559" s="6" t="s">
        <v>767</v>
      </c>
      <c r="K2559" s="7">
        <v>6255704</v>
      </c>
      <c r="L2559" s="7">
        <v>333288</v>
      </c>
      <c r="M2559" s="7">
        <v>19</v>
      </c>
      <c r="N2559" s="7">
        <v>1</v>
      </c>
      <c r="O2559" s="7">
        <v>0.41</v>
      </c>
    </row>
    <row r="2560" spans="1:15" x14ac:dyDescent="0.25">
      <c r="A2560" s="6" t="s">
        <v>28</v>
      </c>
      <c r="B2560" s="6" t="s">
        <v>522</v>
      </c>
      <c r="C2560" s="7">
        <v>34475</v>
      </c>
      <c r="D2560" s="6" t="s">
        <v>24</v>
      </c>
      <c r="E2560" s="6" t="s">
        <v>25</v>
      </c>
      <c r="F2560" s="6" t="s">
        <v>605</v>
      </c>
      <c r="G2560" s="6" t="s">
        <v>32</v>
      </c>
      <c r="H2560" s="6" t="s">
        <v>19</v>
      </c>
      <c r="I2560" s="6" t="s">
        <v>767</v>
      </c>
      <c r="J2560" s="6" t="s">
        <v>767</v>
      </c>
      <c r="K2560" s="7">
        <v>6256345</v>
      </c>
      <c r="L2560" s="7">
        <v>333488</v>
      </c>
      <c r="M2560" s="7">
        <v>19</v>
      </c>
      <c r="N2560" s="7">
        <v>1</v>
      </c>
      <c r="O2560" s="7">
        <v>0.37</v>
      </c>
    </row>
    <row r="2561" spans="1:15" x14ac:dyDescent="0.25">
      <c r="A2561" s="6" t="s">
        <v>28</v>
      </c>
      <c r="B2561" s="6" t="s">
        <v>522</v>
      </c>
      <c r="C2561" s="7">
        <v>34476</v>
      </c>
      <c r="D2561" s="6" t="s">
        <v>24</v>
      </c>
      <c r="E2561" s="6" t="s">
        <v>25</v>
      </c>
      <c r="F2561" s="6" t="s">
        <v>528</v>
      </c>
      <c r="G2561" s="6" t="s">
        <v>32</v>
      </c>
      <c r="H2561" s="6" t="s">
        <v>19</v>
      </c>
      <c r="I2561" s="6" t="s">
        <v>767</v>
      </c>
      <c r="J2561" s="6" t="s">
        <v>767</v>
      </c>
      <c r="K2561" s="7">
        <v>6262042</v>
      </c>
      <c r="L2561" s="7">
        <v>335107</v>
      </c>
      <c r="M2561" s="7">
        <v>19</v>
      </c>
      <c r="N2561" s="7">
        <v>1</v>
      </c>
      <c r="O2561" s="7">
        <v>0.34</v>
      </c>
    </row>
    <row r="2562" spans="1:15" x14ac:dyDescent="0.25">
      <c r="A2562" s="6" t="s">
        <v>22</v>
      </c>
      <c r="B2562" s="6" t="s">
        <v>522</v>
      </c>
      <c r="C2562" s="7">
        <v>34482</v>
      </c>
      <c r="D2562" s="6" t="s">
        <v>24</v>
      </c>
      <c r="E2562" s="6" t="s">
        <v>25</v>
      </c>
      <c r="F2562" s="6" t="s">
        <v>426</v>
      </c>
      <c r="G2562" s="6" t="s">
        <v>32</v>
      </c>
      <c r="H2562" s="6" t="s">
        <v>765</v>
      </c>
      <c r="I2562" s="6" t="s">
        <v>767</v>
      </c>
      <c r="J2562" s="6" t="s">
        <v>767</v>
      </c>
      <c r="K2562" s="7">
        <v>6259741</v>
      </c>
      <c r="L2562" s="7">
        <v>331136</v>
      </c>
      <c r="M2562" s="7">
        <v>19</v>
      </c>
      <c r="N2562" s="7">
        <v>1</v>
      </c>
      <c r="O2562" s="7">
        <v>0.38</v>
      </c>
    </row>
    <row r="2563" spans="1:15" x14ac:dyDescent="0.25">
      <c r="A2563" s="6" t="s">
        <v>22</v>
      </c>
      <c r="B2563" s="6" t="s">
        <v>522</v>
      </c>
      <c r="C2563" s="7">
        <v>34484</v>
      </c>
      <c r="D2563" s="6" t="s">
        <v>24</v>
      </c>
      <c r="E2563" s="6" t="s">
        <v>25</v>
      </c>
      <c r="F2563" s="6" t="s">
        <v>426</v>
      </c>
      <c r="G2563" s="6" t="s">
        <v>32</v>
      </c>
      <c r="H2563" s="6" t="s">
        <v>765</v>
      </c>
      <c r="I2563" s="6" t="s">
        <v>767</v>
      </c>
      <c r="J2563" s="6" t="s">
        <v>767</v>
      </c>
      <c r="K2563" s="7">
        <v>6260238</v>
      </c>
      <c r="L2563" s="7">
        <v>331222</v>
      </c>
      <c r="M2563" s="7">
        <v>19</v>
      </c>
      <c r="N2563" s="7">
        <v>1</v>
      </c>
      <c r="O2563" s="7">
        <v>0.83</v>
      </c>
    </row>
    <row r="2564" spans="1:15" x14ac:dyDescent="0.25">
      <c r="A2564" s="6" t="s">
        <v>22</v>
      </c>
      <c r="B2564" s="6" t="s">
        <v>522</v>
      </c>
      <c r="C2564" s="7">
        <v>34485</v>
      </c>
      <c r="D2564" s="6" t="s">
        <v>24</v>
      </c>
      <c r="E2564" s="6" t="s">
        <v>25</v>
      </c>
      <c r="F2564" s="6" t="s">
        <v>426</v>
      </c>
      <c r="G2564" s="6" t="s">
        <v>32</v>
      </c>
      <c r="H2564" s="6" t="s">
        <v>765</v>
      </c>
      <c r="I2564" s="6" t="s">
        <v>767</v>
      </c>
      <c r="J2564" s="6" t="s">
        <v>767</v>
      </c>
      <c r="K2564" s="7">
        <v>6259788</v>
      </c>
      <c r="L2564" s="7">
        <v>331072</v>
      </c>
      <c r="M2564" s="7">
        <v>19</v>
      </c>
      <c r="N2564" s="7">
        <v>1</v>
      </c>
      <c r="O2564" s="7">
        <v>0.91</v>
      </c>
    </row>
    <row r="2565" spans="1:15" x14ac:dyDescent="0.25">
      <c r="A2565" s="6" t="s">
        <v>28</v>
      </c>
      <c r="B2565" s="6" t="s">
        <v>522</v>
      </c>
      <c r="C2565" s="7">
        <v>34489</v>
      </c>
      <c r="D2565" s="6" t="s">
        <v>24</v>
      </c>
      <c r="E2565" s="6" t="s">
        <v>580</v>
      </c>
      <c r="F2565" s="6" t="s">
        <v>580</v>
      </c>
      <c r="G2565" s="6" t="s">
        <v>32</v>
      </c>
      <c r="H2565" s="6" t="s">
        <v>153</v>
      </c>
      <c r="I2565" s="6" t="s">
        <v>767</v>
      </c>
      <c r="J2565" s="6" t="s">
        <v>764</v>
      </c>
      <c r="K2565" s="7">
        <v>6344713</v>
      </c>
      <c r="L2565" s="7">
        <v>341493</v>
      </c>
      <c r="M2565" s="7">
        <v>19</v>
      </c>
      <c r="N2565" s="7">
        <v>1</v>
      </c>
      <c r="O2565" s="7">
        <v>0.31</v>
      </c>
    </row>
    <row r="2566" spans="1:15" x14ac:dyDescent="0.25">
      <c r="A2566" s="6" t="s">
        <v>28</v>
      </c>
      <c r="B2566" s="6" t="s">
        <v>522</v>
      </c>
      <c r="C2566" s="7">
        <v>34492</v>
      </c>
      <c r="D2566" s="6" t="s">
        <v>24</v>
      </c>
      <c r="E2566" s="6" t="s">
        <v>429</v>
      </c>
      <c r="F2566" s="6" t="s">
        <v>491</v>
      </c>
      <c r="G2566" s="6" t="s">
        <v>32</v>
      </c>
      <c r="H2566" s="6" t="s">
        <v>19</v>
      </c>
      <c r="I2566" s="6" t="s">
        <v>767</v>
      </c>
      <c r="J2566" s="6" t="s">
        <v>767</v>
      </c>
      <c r="K2566" s="7">
        <v>6302449</v>
      </c>
      <c r="L2566" s="7">
        <v>324747</v>
      </c>
      <c r="M2566" s="7">
        <v>19</v>
      </c>
      <c r="N2566" s="7">
        <v>1</v>
      </c>
      <c r="O2566" s="7">
        <v>0.4</v>
      </c>
    </row>
    <row r="2567" spans="1:15" x14ac:dyDescent="0.25">
      <c r="A2567" s="6" t="s">
        <v>28</v>
      </c>
      <c r="B2567" s="6" t="s">
        <v>522</v>
      </c>
      <c r="C2567" s="7">
        <v>34493</v>
      </c>
      <c r="D2567" s="6" t="s">
        <v>24</v>
      </c>
      <c r="E2567" s="6" t="s">
        <v>37</v>
      </c>
      <c r="F2567" s="6" t="s">
        <v>457</v>
      </c>
      <c r="G2567" s="6" t="s">
        <v>32</v>
      </c>
      <c r="H2567" s="6" t="s">
        <v>19</v>
      </c>
      <c r="I2567" s="6" t="s">
        <v>767</v>
      </c>
      <c r="J2567" s="6" t="s">
        <v>767</v>
      </c>
      <c r="K2567" s="7">
        <v>6272614</v>
      </c>
      <c r="L2567" s="7">
        <v>327764</v>
      </c>
      <c r="M2567" s="7">
        <v>19</v>
      </c>
      <c r="N2567" s="7">
        <v>1</v>
      </c>
      <c r="O2567" s="7">
        <v>0.83</v>
      </c>
    </row>
    <row r="2568" spans="1:15" x14ac:dyDescent="0.25">
      <c r="A2568" s="6" t="s">
        <v>28</v>
      </c>
      <c r="B2568" s="6" t="s">
        <v>522</v>
      </c>
      <c r="C2568" s="7">
        <v>34494</v>
      </c>
      <c r="D2568" s="6" t="s">
        <v>24</v>
      </c>
      <c r="E2568" s="6" t="s">
        <v>31</v>
      </c>
      <c r="F2568" s="6" t="s">
        <v>415</v>
      </c>
      <c r="G2568" s="6" t="s">
        <v>32</v>
      </c>
      <c r="H2568" s="6" t="s">
        <v>19</v>
      </c>
      <c r="I2568" s="6" t="s">
        <v>767</v>
      </c>
      <c r="J2568" s="6" t="s">
        <v>767</v>
      </c>
      <c r="K2568" s="7">
        <v>6272512</v>
      </c>
      <c r="L2568" s="7">
        <v>298929</v>
      </c>
      <c r="M2568" s="7">
        <v>19</v>
      </c>
      <c r="N2568" s="7">
        <v>1</v>
      </c>
      <c r="O2568" s="7">
        <v>0.7</v>
      </c>
    </row>
    <row r="2569" spans="1:15" x14ac:dyDescent="0.25">
      <c r="A2569" s="6" t="s">
        <v>28</v>
      </c>
      <c r="B2569" s="6" t="s">
        <v>522</v>
      </c>
      <c r="C2569" s="7">
        <v>34496</v>
      </c>
      <c r="D2569" s="6" t="s">
        <v>24</v>
      </c>
      <c r="E2569" s="6" t="s">
        <v>456</v>
      </c>
      <c r="F2569" s="6" t="s">
        <v>558</v>
      </c>
      <c r="G2569" s="6" t="s">
        <v>32</v>
      </c>
      <c r="H2569" s="6" t="s">
        <v>19</v>
      </c>
      <c r="I2569" s="6" t="s">
        <v>767</v>
      </c>
      <c r="J2569" s="6" t="s">
        <v>767</v>
      </c>
      <c r="K2569" s="7">
        <v>6289497</v>
      </c>
      <c r="L2569" s="7">
        <v>330691</v>
      </c>
      <c r="M2569" s="7">
        <v>19</v>
      </c>
      <c r="N2569" s="7">
        <v>1</v>
      </c>
      <c r="O2569" s="7">
        <v>0.45</v>
      </c>
    </row>
    <row r="2570" spans="1:15" x14ac:dyDescent="0.25">
      <c r="A2570" s="6" t="s">
        <v>28</v>
      </c>
      <c r="B2570" s="6" t="s">
        <v>522</v>
      </c>
      <c r="C2570" s="7">
        <v>34499</v>
      </c>
      <c r="D2570" s="6" t="s">
        <v>24</v>
      </c>
      <c r="E2570" s="6" t="s">
        <v>31</v>
      </c>
      <c r="F2570" s="6" t="s">
        <v>415</v>
      </c>
      <c r="G2570" s="6" t="s">
        <v>32</v>
      </c>
      <c r="H2570" s="6" t="s">
        <v>153</v>
      </c>
      <c r="I2570" s="6" t="s">
        <v>767</v>
      </c>
      <c r="J2570" s="6" t="s">
        <v>764</v>
      </c>
      <c r="K2570" s="7">
        <v>6272512</v>
      </c>
      <c r="L2570" s="7">
        <v>298929</v>
      </c>
      <c r="M2570" s="7">
        <v>19</v>
      </c>
      <c r="N2570" s="7">
        <v>1</v>
      </c>
      <c r="O2570" s="7">
        <v>0.61</v>
      </c>
    </row>
    <row r="2571" spans="1:15" x14ac:dyDescent="0.25">
      <c r="A2571" s="6" t="s">
        <v>28</v>
      </c>
      <c r="B2571" s="6" t="s">
        <v>522</v>
      </c>
      <c r="C2571" s="7">
        <v>34500</v>
      </c>
      <c r="D2571" s="6" t="s">
        <v>24</v>
      </c>
      <c r="E2571" s="6" t="s">
        <v>25</v>
      </c>
      <c r="F2571" s="6" t="s">
        <v>445</v>
      </c>
      <c r="G2571" s="6" t="s">
        <v>32</v>
      </c>
      <c r="H2571" s="6" t="s">
        <v>19</v>
      </c>
      <c r="I2571" s="6" t="s">
        <v>767</v>
      </c>
      <c r="J2571" s="6" t="s">
        <v>767</v>
      </c>
      <c r="K2571" s="7">
        <v>6257236</v>
      </c>
      <c r="L2571" s="7">
        <v>334325</v>
      </c>
      <c r="M2571" s="7">
        <v>19</v>
      </c>
      <c r="N2571" s="7">
        <v>1</v>
      </c>
      <c r="O2571" s="7">
        <v>0.81</v>
      </c>
    </row>
    <row r="2572" spans="1:15" x14ac:dyDescent="0.25">
      <c r="A2572" s="6" t="s">
        <v>28</v>
      </c>
      <c r="B2572" s="6" t="s">
        <v>522</v>
      </c>
      <c r="C2572" s="7">
        <v>34501</v>
      </c>
      <c r="D2572" s="6" t="s">
        <v>24</v>
      </c>
      <c r="E2572" s="6" t="s">
        <v>56</v>
      </c>
      <c r="F2572" s="6" t="s">
        <v>547</v>
      </c>
      <c r="G2572" s="6" t="s">
        <v>32</v>
      </c>
      <c r="H2572" s="6" t="s">
        <v>19</v>
      </c>
      <c r="I2572" s="6" t="s">
        <v>767</v>
      </c>
      <c r="J2572" s="6" t="s">
        <v>767</v>
      </c>
      <c r="K2572" s="7">
        <v>6274729</v>
      </c>
      <c r="L2572" s="7">
        <v>340079</v>
      </c>
      <c r="M2572" s="7">
        <v>19</v>
      </c>
      <c r="N2572" s="7">
        <v>1</v>
      </c>
      <c r="O2572" s="7">
        <v>0.46</v>
      </c>
    </row>
    <row r="2573" spans="1:15" x14ac:dyDescent="0.25">
      <c r="A2573" s="6" t="s">
        <v>28</v>
      </c>
      <c r="B2573" s="6" t="s">
        <v>522</v>
      </c>
      <c r="C2573" s="7">
        <v>34502</v>
      </c>
      <c r="D2573" s="6" t="s">
        <v>24</v>
      </c>
      <c r="E2573" s="6" t="s">
        <v>31</v>
      </c>
      <c r="F2573" s="6" t="s">
        <v>597</v>
      </c>
      <c r="G2573" s="6" t="s">
        <v>32</v>
      </c>
      <c r="H2573" s="6" t="s">
        <v>153</v>
      </c>
      <c r="I2573" s="6" t="s">
        <v>767</v>
      </c>
      <c r="J2573" s="6" t="s">
        <v>764</v>
      </c>
      <c r="K2573" s="7">
        <v>6276018</v>
      </c>
      <c r="L2573" s="7">
        <v>295008</v>
      </c>
      <c r="M2573" s="7">
        <v>19</v>
      </c>
      <c r="N2573" s="7">
        <v>1</v>
      </c>
      <c r="O2573" s="7">
        <v>1.2</v>
      </c>
    </row>
    <row r="2574" spans="1:15" x14ac:dyDescent="0.25">
      <c r="A2574" s="6" t="s">
        <v>28</v>
      </c>
      <c r="B2574" s="6" t="s">
        <v>522</v>
      </c>
      <c r="C2574" s="7">
        <v>34503</v>
      </c>
      <c r="D2574" s="6" t="s">
        <v>24</v>
      </c>
      <c r="E2574" s="6" t="s">
        <v>429</v>
      </c>
      <c r="F2574" s="6" t="s">
        <v>491</v>
      </c>
      <c r="G2574" s="6" t="s">
        <v>32</v>
      </c>
      <c r="H2574" s="6" t="s">
        <v>19</v>
      </c>
      <c r="I2574" s="6" t="s">
        <v>767</v>
      </c>
      <c r="J2574" s="6" t="s">
        <v>767</v>
      </c>
      <c r="K2574" s="7">
        <v>6302744</v>
      </c>
      <c r="L2574" s="7">
        <v>324694</v>
      </c>
      <c r="M2574" s="7">
        <v>19</v>
      </c>
      <c r="N2574" s="7">
        <v>1</v>
      </c>
      <c r="O2574" s="7">
        <v>0.4</v>
      </c>
    </row>
    <row r="2575" spans="1:15" x14ac:dyDescent="0.25">
      <c r="A2575" s="6" t="s">
        <v>28</v>
      </c>
      <c r="B2575" s="6" t="s">
        <v>522</v>
      </c>
      <c r="C2575" s="7">
        <v>34504</v>
      </c>
      <c r="D2575" s="6" t="s">
        <v>24</v>
      </c>
      <c r="E2575" s="6" t="s">
        <v>429</v>
      </c>
      <c r="F2575" s="6" t="s">
        <v>491</v>
      </c>
      <c r="G2575" s="6" t="s">
        <v>32</v>
      </c>
      <c r="H2575" s="6" t="s">
        <v>153</v>
      </c>
      <c r="I2575" s="6" t="s">
        <v>767</v>
      </c>
      <c r="J2575" s="6" t="s">
        <v>764</v>
      </c>
      <c r="K2575" s="7">
        <v>6302460</v>
      </c>
      <c r="L2575" s="7">
        <v>324469</v>
      </c>
      <c r="M2575" s="7">
        <v>19</v>
      </c>
      <c r="N2575" s="7">
        <v>1</v>
      </c>
      <c r="O2575" s="7">
        <v>0.21</v>
      </c>
    </row>
    <row r="2576" spans="1:15" x14ac:dyDescent="0.25">
      <c r="A2576" s="6" t="s">
        <v>22</v>
      </c>
      <c r="B2576" s="6" t="s">
        <v>522</v>
      </c>
      <c r="C2576" s="7">
        <v>34505</v>
      </c>
      <c r="D2576" s="6" t="s">
        <v>24</v>
      </c>
      <c r="E2576" s="6" t="s">
        <v>25</v>
      </c>
      <c r="F2576" s="6" t="s">
        <v>426</v>
      </c>
      <c r="G2576" s="6" t="s">
        <v>32</v>
      </c>
      <c r="H2576" s="6" t="s">
        <v>765</v>
      </c>
      <c r="I2576" s="6" t="s">
        <v>767</v>
      </c>
      <c r="J2576" s="6" t="s">
        <v>767</v>
      </c>
      <c r="K2576" s="7">
        <v>6259868</v>
      </c>
      <c r="L2576" s="7">
        <v>331062</v>
      </c>
      <c r="M2576" s="7">
        <v>19</v>
      </c>
      <c r="N2576" s="7">
        <v>1</v>
      </c>
      <c r="O2576" s="7">
        <v>0.95</v>
      </c>
    </row>
    <row r="2577" spans="1:15" x14ac:dyDescent="0.25">
      <c r="A2577" s="6" t="s">
        <v>22</v>
      </c>
      <c r="B2577" s="6" t="s">
        <v>522</v>
      </c>
      <c r="C2577" s="7">
        <v>34507</v>
      </c>
      <c r="D2577" s="6" t="s">
        <v>24</v>
      </c>
      <c r="E2577" s="6" t="s">
        <v>25</v>
      </c>
      <c r="F2577" s="6" t="s">
        <v>426</v>
      </c>
      <c r="G2577" s="6" t="s">
        <v>32</v>
      </c>
      <c r="H2577" s="6" t="s">
        <v>765</v>
      </c>
      <c r="I2577" s="6" t="s">
        <v>767</v>
      </c>
      <c r="J2577" s="6" t="s">
        <v>767</v>
      </c>
      <c r="K2577" s="7">
        <v>6260403</v>
      </c>
      <c r="L2577" s="7">
        <v>331131</v>
      </c>
      <c r="M2577" s="7">
        <v>19</v>
      </c>
      <c r="N2577" s="7">
        <v>1</v>
      </c>
      <c r="O2577" s="7">
        <v>0.64</v>
      </c>
    </row>
    <row r="2578" spans="1:15" x14ac:dyDescent="0.25">
      <c r="A2578" s="6" t="s">
        <v>22</v>
      </c>
      <c r="B2578" s="6" t="s">
        <v>522</v>
      </c>
      <c r="C2578" s="7">
        <v>34508</v>
      </c>
      <c r="D2578" s="6" t="s">
        <v>24</v>
      </c>
      <c r="E2578" s="6" t="s">
        <v>25</v>
      </c>
      <c r="F2578" s="6" t="s">
        <v>426</v>
      </c>
      <c r="G2578" s="6" t="s">
        <v>32</v>
      </c>
      <c r="H2578" s="6" t="s">
        <v>765</v>
      </c>
      <c r="I2578" s="6" t="s">
        <v>767</v>
      </c>
      <c r="J2578" s="6" t="s">
        <v>767</v>
      </c>
      <c r="K2578" s="7">
        <v>6260311</v>
      </c>
      <c r="L2578" s="7">
        <v>331085</v>
      </c>
      <c r="M2578" s="7">
        <v>19</v>
      </c>
      <c r="N2578" s="7">
        <v>1</v>
      </c>
      <c r="O2578" s="7">
        <v>1.06</v>
      </c>
    </row>
    <row r="2579" spans="1:15" x14ac:dyDescent="0.25">
      <c r="A2579" s="6" t="s">
        <v>22</v>
      </c>
      <c r="B2579" s="6" t="s">
        <v>522</v>
      </c>
      <c r="C2579" s="7">
        <v>34509</v>
      </c>
      <c r="D2579" s="6" t="s">
        <v>24</v>
      </c>
      <c r="E2579" s="6" t="s">
        <v>25</v>
      </c>
      <c r="F2579" s="6" t="s">
        <v>445</v>
      </c>
      <c r="G2579" s="6" t="s">
        <v>32</v>
      </c>
      <c r="H2579" s="6" t="s">
        <v>765</v>
      </c>
      <c r="I2579" s="6" t="s">
        <v>767</v>
      </c>
      <c r="J2579" s="6" t="s">
        <v>767</v>
      </c>
      <c r="K2579" s="7">
        <v>6259100</v>
      </c>
      <c r="L2579" s="7">
        <v>332724</v>
      </c>
      <c r="M2579" s="7">
        <v>19</v>
      </c>
      <c r="N2579" s="7">
        <v>1</v>
      </c>
      <c r="O2579" s="7">
        <v>1.1200000000000001</v>
      </c>
    </row>
    <row r="2580" spans="1:15" x14ac:dyDescent="0.25">
      <c r="A2580" s="6" t="s">
        <v>22</v>
      </c>
      <c r="B2580" s="6" t="s">
        <v>522</v>
      </c>
      <c r="C2580" s="7">
        <v>34510</v>
      </c>
      <c r="D2580" s="6" t="s">
        <v>24</v>
      </c>
      <c r="E2580" s="6" t="s">
        <v>25</v>
      </c>
      <c r="F2580" s="6" t="s">
        <v>426</v>
      </c>
      <c r="G2580" s="6" t="s">
        <v>32</v>
      </c>
      <c r="H2580" s="6" t="s">
        <v>765</v>
      </c>
      <c r="I2580" s="6" t="s">
        <v>767</v>
      </c>
      <c r="J2580" s="6" t="s">
        <v>767</v>
      </c>
      <c r="K2580" s="7">
        <v>6260048</v>
      </c>
      <c r="L2580" s="7">
        <v>331248</v>
      </c>
      <c r="M2580" s="7">
        <v>19</v>
      </c>
      <c r="N2580" s="7">
        <v>1</v>
      </c>
      <c r="O2580" s="7">
        <v>0.4</v>
      </c>
    </row>
    <row r="2581" spans="1:15" x14ac:dyDescent="0.25">
      <c r="A2581" s="6" t="s">
        <v>22</v>
      </c>
      <c r="B2581" s="6" t="s">
        <v>522</v>
      </c>
      <c r="C2581" s="7">
        <v>34514</v>
      </c>
      <c r="D2581" s="6" t="s">
        <v>16</v>
      </c>
      <c r="E2581" s="6" t="s">
        <v>295</v>
      </c>
      <c r="F2581" s="6" t="s">
        <v>607</v>
      </c>
      <c r="G2581" s="6" t="s">
        <v>32</v>
      </c>
      <c r="H2581" s="6" t="s">
        <v>765</v>
      </c>
      <c r="I2581" s="6" t="s">
        <v>767</v>
      </c>
      <c r="J2581" s="6" t="s">
        <v>767</v>
      </c>
      <c r="K2581" s="7">
        <v>6366433</v>
      </c>
      <c r="L2581" s="7">
        <v>353521</v>
      </c>
      <c r="M2581" s="7">
        <v>19</v>
      </c>
      <c r="N2581" s="7">
        <v>1</v>
      </c>
      <c r="O2581" s="7">
        <v>0.27</v>
      </c>
    </row>
    <row r="2582" spans="1:15" x14ac:dyDescent="0.25">
      <c r="A2582" s="6" t="s">
        <v>22</v>
      </c>
      <c r="B2582" s="6" t="s">
        <v>522</v>
      </c>
      <c r="C2582" s="7">
        <v>34539</v>
      </c>
      <c r="D2582" s="6" t="s">
        <v>297</v>
      </c>
      <c r="E2582" s="6" t="s">
        <v>298</v>
      </c>
      <c r="F2582" s="6" t="s">
        <v>523</v>
      </c>
      <c r="G2582" s="6" t="s">
        <v>32</v>
      </c>
      <c r="H2582" s="6" t="s">
        <v>765</v>
      </c>
      <c r="I2582" s="6" t="s">
        <v>767</v>
      </c>
      <c r="J2582" s="6" t="s">
        <v>767</v>
      </c>
      <c r="K2582" s="7">
        <v>7952868</v>
      </c>
      <c r="L2582" s="7">
        <v>371309</v>
      </c>
      <c r="M2582" s="7">
        <v>19</v>
      </c>
      <c r="N2582" s="7">
        <v>1</v>
      </c>
      <c r="O2582" s="7">
        <v>0.31</v>
      </c>
    </row>
    <row r="2583" spans="1:15" x14ac:dyDescent="0.25">
      <c r="A2583" s="6" t="s">
        <v>22</v>
      </c>
      <c r="B2583" s="6" t="s">
        <v>522</v>
      </c>
      <c r="C2583" s="7">
        <v>34540</v>
      </c>
      <c r="D2583" s="6" t="s">
        <v>24</v>
      </c>
      <c r="E2583" s="6" t="s">
        <v>25</v>
      </c>
      <c r="F2583" s="6" t="s">
        <v>445</v>
      </c>
      <c r="G2583" s="6" t="s">
        <v>32</v>
      </c>
      <c r="H2583" s="6" t="s">
        <v>765</v>
      </c>
      <c r="I2583" s="6" t="s">
        <v>767</v>
      </c>
      <c r="J2583" s="6" t="s">
        <v>767</v>
      </c>
      <c r="K2583" s="7">
        <v>6259176</v>
      </c>
      <c r="L2583" s="7">
        <v>332103</v>
      </c>
      <c r="M2583" s="7">
        <v>19</v>
      </c>
      <c r="N2583" s="7">
        <v>1</v>
      </c>
      <c r="O2583" s="7">
        <v>0.35</v>
      </c>
    </row>
    <row r="2584" spans="1:15" x14ac:dyDescent="0.25">
      <c r="A2584" s="6" t="s">
        <v>22</v>
      </c>
      <c r="B2584" s="6" t="s">
        <v>522</v>
      </c>
      <c r="C2584" s="7">
        <v>34554</v>
      </c>
      <c r="D2584" s="6" t="s">
        <v>24</v>
      </c>
      <c r="E2584" s="6" t="s">
        <v>25</v>
      </c>
      <c r="F2584" s="6" t="s">
        <v>426</v>
      </c>
      <c r="G2584" s="6" t="s">
        <v>32</v>
      </c>
      <c r="H2584" s="6" t="s">
        <v>765</v>
      </c>
      <c r="I2584" s="6" t="s">
        <v>767</v>
      </c>
      <c r="J2584" s="6" t="s">
        <v>767</v>
      </c>
      <c r="K2584" s="7">
        <v>6259347</v>
      </c>
      <c r="L2584" s="7">
        <v>330791</v>
      </c>
      <c r="M2584" s="7">
        <v>19</v>
      </c>
      <c r="N2584" s="7">
        <v>1</v>
      </c>
      <c r="O2584" s="7">
        <v>1.49</v>
      </c>
    </row>
    <row r="2585" spans="1:15" x14ac:dyDescent="0.25">
      <c r="A2585" s="6" t="s">
        <v>22</v>
      </c>
      <c r="B2585" s="6" t="s">
        <v>522</v>
      </c>
      <c r="C2585" s="7">
        <v>34557</v>
      </c>
      <c r="D2585" s="6" t="s">
        <v>24</v>
      </c>
      <c r="E2585" s="6" t="s">
        <v>25</v>
      </c>
      <c r="F2585" s="6" t="s">
        <v>445</v>
      </c>
      <c r="G2585" s="6" t="s">
        <v>32</v>
      </c>
      <c r="H2585" s="6" t="s">
        <v>765</v>
      </c>
      <c r="I2585" s="6" t="s">
        <v>767</v>
      </c>
      <c r="J2585" s="6" t="s">
        <v>767</v>
      </c>
      <c r="K2585" s="7">
        <v>6260874</v>
      </c>
      <c r="L2585" s="7">
        <v>333018</v>
      </c>
      <c r="M2585" s="7">
        <v>19</v>
      </c>
      <c r="N2585" s="7">
        <v>1</v>
      </c>
      <c r="O2585" s="7">
        <v>0.59</v>
      </c>
    </row>
    <row r="2586" spans="1:15" x14ac:dyDescent="0.25">
      <c r="A2586" s="6" t="s">
        <v>22</v>
      </c>
      <c r="B2586" s="6" t="s">
        <v>522</v>
      </c>
      <c r="C2586" s="7">
        <v>34560</v>
      </c>
      <c r="D2586" s="6" t="s">
        <v>24</v>
      </c>
      <c r="E2586" s="6" t="s">
        <v>25</v>
      </c>
      <c r="F2586" s="6" t="s">
        <v>445</v>
      </c>
      <c r="G2586" s="6" t="s">
        <v>32</v>
      </c>
      <c r="H2586" s="6" t="s">
        <v>765</v>
      </c>
      <c r="I2586" s="6" t="s">
        <v>767</v>
      </c>
      <c r="J2586" s="6" t="s">
        <v>767</v>
      </c>
      <c r="K2586" s="7">
        <v>6258542</v>
      </c>
      <c r="L2586" s="7">
        <v>332143</v>
      </c>
      <c r="M2586" s="7">
        <v>19</v>
      </c>
      <c r="N2586" s="7">
        <v>1</v>
      </c>
      <c r="O2586" s="7">
        <v>0.64</v>
      </c>
    </row>
    <row r="2587" spans="1:15" x14ac:dyDescent="0.25">
      <c r="A2587" s="6" t="s">
        <v>22</v>
      </c>
      <c r="B2587" s="6" t="s">
        <v>522</v>
      </c>
      <c r="C2587" s="7">
        <v>34564</v>
      </c>
      <c r="D2587" s="6" t="s">
        <v>24</v>
      </c>
      <c r="E2587" s="6" t="s">
        <v>25</v>
      </c>
      <c r="F2587" s="6" t="s">
        <v>426</v>
      </c>
      <c r="G2587" s="6" t="s">
        <v>32</v>
      </c>
      <c r="H2587" s="6" t="s">
        <v>765</v>
      </c>
      <c r="I2587" s="6" t="s">
        <v>767</v>
      </c>
      <c r="J2587" s="6" t="s">
        <v>767</v>
      </c>
      <c r="K2587" s="7">
        <v>6262478</v>
      </c>
      <c r="L2587" s="7">
        <v>332466</v>
      </c>
      <c r="M2587" s="7">
        <v>19</v>
      </c>
      <c r="N2587" s="7">
        <v>1</v>
      </c>
      <c r="O2587" s="7">
        <v>0.85</v>
      </c>
    </row>
    <row r="2588" spans="1:15" x14ac:dyDescent="0.25">
      <c r="A2588" s="6" t="s">
        <v>22</v>
      </c>
      <c r="B2588" s="6" t="s">
        <v>522</v>
      </c>
      <c r="C2588" s="7">
        <v>34570</v>
      </c>
      <c r="D2588" s="6" t="s">
        <v>24</v>
      </c>
      <c r="E2588" s="6" t="s">
        <v>25</v>
      </c>
      <c r="F2588" s="6" t="s">
        <v>445</v>
      </c>
      <c r="G2588" s="6" t="s">
        <v>89</v>
      </c>
      <c r="H2588" s="6" t="s">
        <v>765</v>
      </c>
      <c r="I2588" s="6" t="s">
        <v>767</v>
      </c>
      <c r="J2588" s="6" t="s">
        <v>767</v>
      </c>
      <c r="K2588" s="7">
        <v>6259046</v>
      </c>
      <c r="L2588" s="7">
        <v>332363</v>
      </c>
      <c r="M2588" s="7">
        <v>19</v>
      </c>
      <c r="N2588" s="7">
        <v>4</v>
      </c>
      <c r="O2588" s="7">
        <v>1.89</v>
      </c>
    </row>
    <row r="2589" spans="1:15" x14ac:dyDescent="0.25">
      <c r="A2589" s="6" t="s">
        <v>22</v>
      </c>
      <c r="B2589" s="6" t="s">
        <v>522</v>
      </c>
      <c r="C2589" s="7">
        <v>34575</v>
      </c>
      <c r="D2589" s="6" t="s">
        <v>24</v>
      </c>
      <c r="E2589" s="6" t="s">
        <v>31</v>
      </c>
      <c r="F2589" s="6" t="s">
        <v>415</v>
      </c>
      <c r="G2589" s="6" t="s">
        <v>32</v>
      </c>
      <c r="H2589" s="6" t="s">
        <v>765</v>
      </c>
      <c r="I2589" s="6" t="s">
        <v>767</v>
      </c>
      <c r="J2589" s="6" t="s">
        <v>767</v>
      </c>
      <c r="K2589" s="7">
        <v>6276680</v>
      </c>
      <c r="L2589" s="7">
        <v>297171</v>
      </c>
      <c r="M2589" s="7">
        <v>19</v>
      </c>
      <c r="N2589" s="7">
        <v>1</v>
      </c>
      <c r="O2589" s="7">
        <v>0.1</v>
      </c>
    </row>
    <row r="2590" spans="1:15" x14ac:dyDescent="0.25">
      <c r="A2590" s="6" t="s">
        <v>22</v>
      </c>
      <c r="B2590" s="6" t="s">
        <v>522</v>
      </c>
      <c r="C2590" s="7">
        <v>34576</v>
      </c>
      <c r="D2590" s="6" t="s">
        <v>24</v>
      </c>
      <c r="E2590" s="6" t="s">
        <v>56</v>
      </c>
      <c r="F2590" s="6" t="s">
        <v>419</v>
      </c>
      <c r="G2590" s="6" t="s">
        <v>32</v>
      </c>
      <c r="H2590" s="6" t="s">
        <v>765</v>
      </c>
      <c r="I2590" s="6" t="s">
        <v>767</v>
      </c>
      <c r="J2590" s="6" t="s">
        <v>767</v>
      </c>
      <c r="K2590" s="7">
        <v>6275592</v>
      </c>
      <c r="L2590" s="7">
        <v>340318</v>
      </c>
      <c r="M2590" s="7">
        <v>19</v>
      </c>
      <c r="N2590" s="7">
        <v>1</v>
      </c>
      <c r="O2590" s="7">
        <v>0.2</v>
      </c>
    </row>
    <row r="2591" spans="1:15" x14ac:dyDescent="0.25">
      <c r="A2591" s="6" t="s">
        <v>22</v>
      </c>
      <c r="B2591" s="6" t="s">
        <v>522</v>
      </c>
      <c r="C2591" s="7">
        <v>34577</v>
      </c>
      <c r="D2591" s="6" t="s">
        <v>24</v>
      </c>
      <c r="E2591" s="6" t="s">
        <v>96</v>
      </c>
      <c r="F2591" s="6" t="s">
        <v>96</v>
      </c>
      <c r="G2591" s="6" t="s">
        <v>32</v>
      </c>
      <c r="H2591" s="6" t="s">
        <v>765</v>
      </c>
      <c r="I2591" s="6" t="s">
        <v>767</v>
      </c>
      <c r="J2591" s="6" t="s">
        <v>767</v>
      </c>
      <c r="K2591" s="7">
        <v>6259348</v>
      </c>
      <c r="L2591" s="7">
        <v>340832</v>
      </c>
      <c r="M2591" s="7">
        <v>19</v>
      </c>
      <c r="N2591" s="7">
        <v>2</v>
      </c>
      <c r="O2591" s="7">
        <v>0.2</v>
      </c>
    </row>
    <row r="2592" spans="1:15" x14ac:dyDescent="0.25">
      <c r="A2592" s="6" t="s">
        <v>22</v>
      </c>
      <c r="B2592" s="6" t="s">
        <v>522</v>
      </c>
      <c r="C2592" s="7">
        <v>34580</v>
      </c>
      <c r="D2592" s="6" t="s">
        <v>24</v>
      </c>
      <c r="E2592" s="6" t="s">
        <v>96</v>
      </c>
      <c r="F2592" s="6" t="s">
        <v>292</v>
      </c>
      <c r="G2592" s="6" t="s">
        <v>32</v>
      </c>
      <c r="H2592" s="6" t="s">
        <v>765</v>
      </c>
      <c r="I2592" s="6" t="s">
        <v>767</v>
      </c>
      <c r="J2592" s="6" t="s">
        <v>767</v>
      </c>
      <c r="K2592" s="7">
        <v>6253709</v>
      </c>
      <c r="L2592" s="7">
        <v>343235</v>
      </c>
      <c r="M2592" s="7">
        <v>19</v>
      </c>
      <c r="N2592" s="7">
        <v>1</v>
      </c>
      <c r="O2592" s="7">
        <v>0.1</v>
      </c>
    </row>
    <row r="2593" spans="1:15" x14ac:dyDescent="0.25">
      <c r="A2593" s="6" t="s">
        <v>22</v>
      </c>
      <c r="B2593" s="6" t="s">
        <v>522</v>
      </c>
      <c r="C2593" s="7">
        <v>34584</v>
      </c>
      <c r="D2593" s="6" t="s">
        <v>24</v>
      </c>
      <c r="E2593" s="6" t="s">
        <v>96</v>
      </c>
      <c r="F2593" s="6" t="s">
        <v>96</v>
      </c>
      <c r="G2593" s="6" t="s">
        <v>32</v>
      </c>
      <c r="H2593" s="6" t="s">
        <v>765</v>
      </c>
      <c r="I2593" s="6" t="s">
        <v>767</v>
      </c>
      <c r="J2593" s="6" t="s">
        <v>767</v>
      </c>
      <c r="K2593" s="7">
        <v>6255099</v>
      </c>
      <c r="L2593" s="7">
        <v>338063</v>
      </c>
      <c r="M2593" s="7">
        <v>19</v>
      </c>
      <c r="N2593" s="7">
        <v>1</v>
      </c>
      <c r="O2593" s="7">
        <v>0.2</v>
      </c>
    </row>
    <row r="2594" spans="1:15" x14ac:dyDescent="0.25">
      <c r="A2594" s="6" t="s">
        <v>28</v>
      </c>
      <c r="B2594" s="6" t="s">
        <v>522</v>
      </c>
      <c r="C2594" s="7">
        <v>34587</v>
      </c>
      <c r="D2594" s="6" t="s">
        <v>24</v>
      </c>
      <c r="E2594" s="6" t="s">
        <v>56</v>
      </c>
      <c r="F2594" s="6" t="s">
        <v>418</v>
      </c>
      <c r="G2594" s="6" t="s">
        <v>32</v>
      </c>
      <c r="H2594" s="6" t="s">
        <v>153</v>
      </c>
      <c r="I2594" s="6" t="s">
        <v>767</v>
      </c>
      <c r="J2594" s="6" t="s">
        <v>764</v>
      </c>
      <c r="K2594" s="7">
        <v>6271033</v>
      </c>
      <c r="L2594" s="7">
        <v>336950</v>
      </c>
      <c r="M2594" s="7">
        <v>19</v>
      </c>
      <c r="N2594" s="7">
        <v>1</v>
      </c>
      <c r="O2594" s="7">
        <v>8.1</v>
      </c>
    </row>
    <row r="2595" spans="1:15" x14ac:dyDescent="0.25">
      <c r="A2595" s="6" t="s">
        <v>28</v>
      </c>
      <c r="B2595" s="6" t="s">
        <v>522</v>
      </c>
      <c r="C2595" s="7">
        <v>34588</v>
      </c>
      <c r="D2595" s="6" t="s">
        <v>24</v>
      </c>
      <c r="E2595" s="6" t="s">
        <v>25</v>
      </c>
      <c r="F2595" s="6" t="s">
        <v>425</v>
      </c>
      <c r="G2595" s="6" t="s">
        <v>32</v>
      </c>
      <c r="H2595" s="6" t="s">
        <v>19</v>
      </c>
      <c r="I2595" s="6" t="s">
        <v>767</v>
      </c>
      <c r="J2595" s="6" t="s">
        <v>767</v>
      </c>
      <c r="K2595" s="7">
        <v>6264105</v>
      </c>
      <c r="L2595" s="7">
        <v>341773</v>
      </c>
      <c r="M2595" s="7">
        <v>19</v>
      </c>
      <c r="N2595" s="7">
        <v>1</v>
      </c>
      <c r="O2595" s="7">
        <v>1.05</v>
      </c>
    </row>
    <row r="2596" spans="1:15" x14ac:dyDescent="0.25">
      <c r="A2596" s="6" t="s">
        <v>28</v>
      </c>
      <c r="B2596" s="6" t="s">
        <v>522</v>
      </c>
      <c r="C2596" s="7">
        <v>34589</v>
      </c>
      <c r="D2596" s="6" t="s">
        <v>24</v>
      </c>
      <c r="E2596" s="6" t="s">
        <v>436</v>
      </c>
      <c r="F2596" s="6" t="s">
        <v>532</v>
      </c>
      <c r="G2596" s="6" t="s">
        <v>32</v>
      </c>
      <c r="H2596" s="6" t="s">
        <v>19</v>
      </c>
      <c r="I2596" s="6" t="s">
        <v>767</v>
      </c>
      <c r="J2596" s="6" t="s">
        <v>767</v>
      </c>
      <c r="K2596" s="7">
        <v>6277559</v>
      </c>
      <c r="L2596" s="7">
        <v>338187</v>
      </c>
      <c r="M2596" s="7">
        <v>19</v>
      </c>
      <c r="N2596" s="7">
        <v>1</v>
      </c>
      <c r="O2596" s="7">
        <v>0.4</v>
      </c>
    </row>
    <row r="2597" spans="1:15" x14ac:dyDescent="0.25">
      <c r="A2597" s="6" t="s">
        <v>22</v>
      </c>
      <c r="B2597" s="6" t="s">
        <v>522</v>
      </c>
      <c r="C2597" s="7">
        <v>34590</v>
      </c>
      <c r="D2597" s="6" t="s">
        <v>24</v>
      </c>
      <c r="E2597" s="6" t="s">
        <v>96</v>
      </c>
      <c r="F2597" s="6" t="s">
        <v>96</v>
      </c>
      <c r="G2597" s="6" t="s">
        <v>32</v>
      </c>
      <c r="H2597" s="6" t="s">
        <v>765</v>
      </c>
      <c r="I2597" s="6" t="s">
        <v>767</v>
      </c>
      <c r="J2597" s="6" t="s">
        <v>767</v>
      </c>
      <c r="K2597" s="7">
        <v>6259820</v>
      </c>
      <c r="L2597" s="7">
        <v>340202</v>
      </c>
      <c r="M2597" s="7">
        <v>19</v>
      </c>
      <c r="N2597" s="7">
        <v>1</v>
      </c>
      <c r="O2597" s="7">
        <v>0.1</v>
      </c>
    </row>
    <row r="2598" spans="1:15" x14ac:dyDescent="0.25">
      <c r="A2598" s="6" t="s">
        <v>22</v>
      </c>
      <c r="B2598" s="6" t="s">
        <v>522</v>
      </c>
      <c r="C2598" s="7">
        <v>34592</v>
      </c>
      <c r="D2598" s="6" t="s">
        <v>24</v>
      </c>
      <c r="E2598" s="6" t="s">
        <v>96</v>
      </c>
      <c r="F2598" s="6" t="s">
        <v>69</v>
      </c>
      <c r="G2598" s="6" t="s">
        <v>32</v>
      </c>
      <c r="H2598" s="6" t="s">
        <v>765</v>
      </c>
      <c r="I2598" s="6" t="s">
        <v>767</v>
      </c>
      <c r="J2598" s="6" t="s">
        <v>767</v>
      </c>
      <c r="K2598" s="7">
        <v>6262834</v>
      </c>
      <c r="L2598" s="7">
        <v>344143</v>
      </c>
      <c r="M2598" s="7">
        <v>19</v>
      </c>
      <c r="N2598" s="7">
        <v>3</v>
      </c>
      <c r="O2598" s="7">
        <v>1.4</v>
      </c>
    </row>
    <row r="2599" spans="1:15" x14ac:dyDescent="0.25">
      <c r="A2599" s="6" t="s">
        <v>22</v>
      </c>
      <c r="B2599" s="6" t="s">
        <v>522</v>
      </c>
      <c r="C2599" s="7">
        <v>34593</v>
      </c>
      <c r="D2599" s="6" t="s">
        <v>24</v>
      </c>
      <c r="E2599" s="6" t="s">
        <v>96</v>
      </c>
      <c r="F2599" s="6" t="s">
        <v>573</v>
      </c>
      <c r="G2599" s="6" t="s">
        <v>32</v>
      </c>
      <c r="H2599" s="6" t="s">
        <v>765</v>
      </c>
      <c r="I2599" s="6" t="s">
        <v>767</v>
      </c>
      <c r="J2599" s="6" t="s">
        <v>767</v>
      </c>
      <c r="K2599" s="7">
        <v>6252920</v>
      </c>
      <c r="L2599" s="7">
        <v>334383</v>
      </c>
      <c r="M2599" s="7">
        <v>19</v>
      </c>
      <c r="N2599" s="7">
        <v>1</v>
      </c>
      <c r="O2599" s="7">
        <v>2.8</v>
      </c>
    </row>
    <row r="2600" spans="1:15" x14ac:dyDescent="0.25">
      <c r="A2600" s="6" t="s">
        <v>22</v>
      </c>
      <c r="B2600" s="6" t="s">
        <v>522</v>
      </c>
      <c r="C2600" s="7">
        <v>34597</v>
      </c>
      <c r="D2600" s="6" t="s">
        <v>24</v>
      </c>
      <c r="E2600" s="6" t="s">
        <v>96</v>
      </c>
      <c r="F2600" s="6" t="s">
        <v>292</v>
      </c>
      <c r="G2600" s="6" t="s">
        <v>89</v>
      </c>
      <c r="H2600" s="6" t="s">
        <v>765</v>
      </c>
      <c r="I2600" s="6" t="s">
        <v>767</v>
      </c>
      <c r="J2600" s="6" t="s">
        <v>767</v>
      </c>
      <c r="K2600" s="7">
        <v>6253330</v>
      </c>
      <c r="L2600" s="7">
        <v>342399</v>
      </c>
      <c r="M2600" s="7">
        <v>19</v>
      </c>
      <c r="N2600" s="7">
        <v>1</v>
      </c>
      <c r="O2600" s="7">
        <v>0.4</v>
      </c>
    </row>
    <row r="2601" spans="1:15" x14ac:dyDescent="0.25">
      <c r="A2601" s="6" t="s">
        <v>22</v>
      </c>
      <c r="B2601" s="6" t="s">
        <v>522</v>
      </c>
      <c r="C2601" s="7">
        <v>34602</v>
      </c>
      <c r="D2601" s="6" t="s">
        <v>24</v>
      </c>
      <c r="E2601" s="6" t="s">
        <v>25</v>
      </c>
      <c r="F2601" s="6" t="s">
        <v>426</v>
      </c>
      <c r="G2601" s="6" t="s">
        <v>32</v>
      </c>
      <c r="H2601" s="6" t="s">
        <v>765</v>
      </c>
      <c r="I2601" s="6" t="s">
        <v>767</v>
      </c>
      <c r="J2601" s="6" t="s">
        <v>767</v>
      </c>
      <c r="K2601" s="7">
        <v>6260692</v>
      </c>
      <c r="L2601" s="7">
        <v>331426</v>
      </c>
      <c r="M2601" s="7">
        <v>19</v>
      </c>
      <c r="N2601" s="7">
        <v>1</v>
      </c>
      <c r="O2601" s="7">
        <v>0.01</v>
      </c>
    </row>
    <row r="2602" spans="1:15" x14ac:dyDescent="0.25">
      <c r="A2602" s="6" t="s">
        <v>22</v>
      </c>
      <c r="B2602" s="6" t="s">
        <v>522</v>
      </c>
      <c r="C2602" s="7">
        <v>34603</v>
      </c>
      <c r="D2602" s="6" t="s">
        <v>24</v>
      </c>
      <c r="E2602" s="6" t="s">
        <v>25</v>
      </c>
      <c r="F2602" s="6" t="s">
        <v>445</v>
      </c>
      <c r="G2602" s="6" t="s">
        <v>32</v>
      </c>
      <c r="H2602" s="6" t="s">
        <v>765</v>
      </c>
      <c r="I2602" s="6" t="s">
        <v>767</v>
      </c>
      <c r="J2602" s="6" t="s">
        <v>767</v>
      </c>
      <c r="K2602" s="7">
        <v>6260101</v>
      </c>
      <c r="L2602" s="7">
        <v>332941</v>
      </c>
      <c r="M2602" s="7">
        <v>19</v>
      </c>
      <c r="N2602" s="7">
        <v>1</v>
      </c>
      <c r="O2602" s="7">
        <v>0.3</v>
      </c>
    </row>
    <row r="2603" spans="1:15" x14ac:dyDescent="0.25">
      <c r="A2603" s="6" t="s">
        <v>22</v>
      </c>
      <c r="B2603" s="6" t="s">
        <v>522</v>
      </c>
      <c r="C2603" s="7">
        <v>34607</v>
      </c>
      <c r="D2603" s="6" t="s">
        <v>297</v>
      </c>
      <c r="E2603" s="6" t="s">
        <v>298</v>
      </c>
      <c r="F2603" s="6" t="s">
        <v>523</v>
      </c>
      <c r="G2603" s="6" t="s">
        <v>32</v>
      </c>
      <c r="H2603" s="6" t="s">
        <v>765</v>
      </c>
      <c r="I2603" s="6" t="s">
        <v>767</v>
      </c>
      <c r="J2603" s="6" t="s">
        <v>767</v>
      </c>
      <c r="K2603" s="7">
        <v>7950196</v>
      </c>
      <c r="L2603" s="7">
        <v>378353</v>
      </c>
      <c r="M2603" s="7">
        <v>19</v>
      </c>
      <c r="N2603" s="7">
        <v>1</v>
      </c>
      <c r="O2603" s="7">
        <v>0.87</v>
      </c>
    </row>
    <row r="2604" spans="1:15" x14ac:dyDescent="0.25">
      <c r="A2604" s="6" t="s">
        <v>22</v>
      </c>
      <c r="B2604" s="6" t="s">
        <v>522</v>
      </c>
      <c r="C2604" s="7">
        <v>34608</v>
      </c>
      <c r="D2604" s="6" t="s">
        <v>24</v>
      </c>
      <c r="E2604" s="6" t="s">
        <v>96</v>
      </c>
      <c r="F2604" s="6" t="s">
        <v>614</v>
      </c>
      <c r="G2604" s="6" t="s">
        <v>89</v>
      </c>
      <c r="H2604" s="6" t="s">
        <v>765</v>
      </c>
      <c r="I2604" s="6" t="s">
        <v>767</v>
      </c>
      <c r="J2604" s="6" t="s">
        <v>767</v>
      </c>
      <c r="K2604" s="7">
        <v>6259419</v>
      </c>
      <c r="L2604" s="7">
        <v>346268</v>
      </c>
      <c r="M2604" s="7">
        <v>19</v>
      </c>
      <c r="N2604" s="7">
        <v>2</v>
      </c>
      <c r="O2604" s="7">
        <v>4</v>
      </c>
    </row>
    <row r="2605" spans="1:15" x14ac:dyDescent="0.25">
      <c r="A2605" s="6" t="s">
        <v>22</v>
      </c>
      <c r="B2605" s="6" t="s">
        <v>522</v>
      </c>
      <c r="C2605" s="7">
        <v>34611</v>
      </c>
      <c r="D2605" s="6" t="s">
        <v>24</v>
      </c>
      <c r="E2605" s="6" t="s">
        <v>25</v>
      </c>
      <c r="F2605" s="6" t="s">
        <v>426</v>
      </c>
      <c r="G2605" s="6" t="s">
        <v>32</v>
      </c>
      <c r="H2605" s="6" t="s">
        <v>765</v>
      </c>
      <c r="I2605" s="6" t="s">
        <v>767</v>
      </c>
      <c r="J2605" s="6" t="s">
        <v>767</v>
      </c>
      <c r="K2605" s="7">
        <v>6260693</v>
      </c>
      <c r="L2605" s="7">
        <v>331426</v>
      </c>
      <c r="M2605" s="7">
        <v>19</v>
      </c>
      <c r="N2605" s="7">
        <v>1</v>
      </c>
      <c r="O2605" s="7">
        <v>0.13</v>
      </c>
    </row>
    <row r="2606" spans="1:15" x14ac:dyDescent="0.25">
      <c r="A2606" s="6" t="s">
        <v>22</v>
      </c>
      <c r="B2606" s="6" t="s">
        <v>522</v>
      </c>
      <c r="C2606" s="7">
        <v>34612</v>
      </c>
      <c r="D2606" s="6" t="s">
        <v>297</v>
      </c>
      <c r="E2606" s="6" t="s">
        <v>298</v>
      </c>
      <c r="F2606" s="6" t="s">
        <v>523</v>
      </c>
      <c r="G2606" s="6" t="s">
        <v>32</v>
      </c>
      <c r="H2606" s="6" t="s">
        <v>765</v>
      </c>
      <c r="I2606" s="6" t="s">
        <v>767</v>
      </c>
      <c r="J2606" s="6" t="s">
        <v>767</v>
      </c>
      <c r="K2606" s="7">
        <v>7952877</v>
      </c>
      <c r="L2606" s="7">
        <v>371250</v>
      </c>
      <c r="M2606" s="7">
        <v>19</v>
      </c>
      <c r="N2606" s="7">
        <v>1</v>
      </c>
      <c r="O2606" s="7">
        <v>0.31</v>
      </c>
    </row>
    <row r="2607" spans="1:15" x14ac:dyDescent="0.25">
      <c r="A2607" s="6" t="s">
        <v>22</v>
      </c>
      <c r="B2607" s="6" t="s">
        <v>522</v>
      </c>
      <c r="C2607" s="7">
        <v>34614</v>
      </c>
      <c r="D2607" s="6" t="s">
        <v>297</v>
      </c>
      <c r="E2607" s="6" t="s">
        <v>298</v>
      </c>
      <c r="F2607" s="6" t="s">
        <v>523</v>
      </c>
      <c r="G2607" s="6" t="s">
        <v>32</v>
      </c>
      <c r="H2607" s="6" t="s">
        <v>765</v>
      </c>
      <c r="I2607" s="6" t="s">
        <v>767</v>
      </c>
      <c r="J2607" s="6" t="s">
        <v>767</v>
      </c>
      <c r="K2607" s="7">
        <v>7953904</v>
      </c>
      <c r="L2607" s="7">
        <v>368755</v>
      </c>
      <c r="M2607" s="7">
        <v>19</v>
      </c>
      <c r="N2607" s="7">
        <v>1</v>
      </c>
      <c r="O2607" s="7">
        <v>1.24</v>
      </c>
    </row>
    <row r="2608" spans="1:15" x14ac:dyDescent="0.25">
      <c r="A2608" s="6" t="s">
        <v>22</v>
      </c>
      <c r="B2608" s="6" t="s">
        <v>522</v>
      </c>
      <c r="C2608" s="7">
        <v>34624</v>
      </c>
      <c r="D2608" s="6" t="s">
        <v>297</v>
      </c>
      <c r="E2608" s="6" t="s">
        <v>298</v>
      </c>
      <c r="F2608" s="6" t="s">
        <v>523</v>
      </c>
      <c r="G2608" s="6" t="s">
        <v>32</v>
      </c>
      <c r="H2608" s="6" t="s">
        <v>765</v>
      </c>
      <c r="I2608" s="6" t="s">
        <v>767</v>
      </c>
      <c r="J2608" s="6" t="s">
        <v>767</v>
      </c>
      <c r="K2608" s="7">
        <v>7949784</v>
      </c>
      <c r="L2608" s="7">
        <v>378115</v>
      </c>
      <c r="M2608" s="7">
        <v>19</v>
      </c>
      <c r="N2608" s="7">
        <v>1</v>
      </c>
      <c r="O2608" s="7">
        <v>0.51</v>
      </c>
    </row>
    <row r="2609" spans="1:15" x14ac:dyDescent="0.25">
      <c r="A2609" s="6" t="s">
        <v>22</v>
      </c>
      <c r="B2609" s="6" t="s">
        <v>522</v>
      </c>
      <c r="C2609" s="7">
        <v>34626</v>
      </c>
      <c r="D2609" s="6" t="s">
        <v>297</v>
      </c>
      <c r="E2609" s="6" t="s">
        <v>298</v>
      </c>
      <c r="F2609" s="6" t="s">
        <v>523</v>
      </c>
      <c r="G2609" s="6" t="s">
        <v>32</v>
      </c>
      <c r="H2609" s="6" t="s">
        <v>765</v>
      </c>
      <c r="I2609" s="6" t="s">
        <v>767</v>
      </c>
      <c r="J2609" s="6" t="s">
        <v>767</v>
      </c>
      <c r="K2609" s="7">
        <v>7949746</v>
      </c>
      <c r="L2609" s="7">
        <v>378354</v>
      </c>
      <c r="M2609" s="7">
        <v>19</v>
      </c>
      <c r="N2609" s="7">
        <v>1</v>
      </c>
      <c r="O2609" s="7">
        <v>0.96</v>
      </c>
    </row>
    <row r="2610" spans="1:15" x14ac:dyDescent="0.25">
      <c r="A2610" s="6" t="s">
        <v>28</v>
      </c>
      <c r="B2610" s="6" t="s">
        <v>522</v>
      </c>
      <c r="C2610" s="7">
        <v>34628</v>
      </c>
      <c r="D2610" s="6" t="s">
        <v>24</v>
      </c>
      <c r="E2610" s="6" t="s">
        <v>436</v>
      </c>
      <c r="F2610" s="6" t="s">
        <v>572</v>
      </c>
      <c r="G2610" s="6" t="s">
        <v>32</v>
      </c>
      <c r="H2610" s="6" t="s">
        <v>19</v>
      </c>
      <c r="I2610" s="6" t="s">
        <v>767</v>
      </c>
      <c r="J2610" s="6" t="s">
        <v>767</v>
      </c>
      <c r="K2610" s="7">
        <v>6275977</v>
      </c>
      <c r="L2610" s="7">
        <v>337061</v>
      </c>
      <c r="M2610" s="7">
        <v>19</v>
      </c>
      <c r="N2610" s="7">
        <v>1</v>
      </c>
      <c r="O2610" s="7">
        <v>0.18</v>
      </c>
    </row>
    <row r="2611" spans="1:15" x14ac:dyDescent="0.25">
      <c r="A2611" s="6" t="s">
        <v>22</v>
      </c>
      <c r="B2611" s="6" t="s">
        <v>522</v>
      </c>
      <c r="C2611" s="7">
        <v>34629</v>
      </c>
      <c r="D2611" s="6" t="s">
        <v>297</v>
      </c>
      <c r="E2611" s="6" t="s">
        <v>298</v>
      </c>
      <c r="F2611" s="6" t="s">
        <v>523</v>
      </c>
      <c r="G2611" s="6" t="s">
        <v>32</v>
      </c>
      <c r="H2611" s="6" t="s">
        <v>765</v>
      </c>
      <c r="I2611" s="6" t="s">
        <v>767</v>
      </c>
      <c r="J2611" s="6" t="s">
        <v>767</v>
      </c>
      <c r="K2611" s="7">
        <v>7952799</v>
      </c>
      <c r="L2611" s="7">
        <v>371585</v>
      </c>
      <c r="M2611" s="7">
        <v>19</v>
      </c>
      <c r="N2611" s="7">
        <v>1</v>
      </c>
      <c r="O2611" s="7">
        <v>2.0499999999999998</v>
      </c>
    </row>
    <row r="2612" spans="1:15" x14ac:dyDescent="0.25">
      <c r="A2612" s="6" t="s">
        <v>28</v>
      </c>
      <c r="B2612" s="6" t="s">
        <v>522</v>
      </c>
      <c r="C2612" s="7">
        <v>34631</v>
      </c>
      <c r="D2612" s="6" t="s">
        <v>24</v>
      </c>
      <c r="E2612" s="6" t="s">
        <v>31</v>
      </c>
      <c r="F2612" s="6" t="s">
        <v>109</v>
      </c>
      <c r="G2612" s="6" t="s">
        <v>32</v>
      </c>
      <c r="H2612" s="6" t="s">
        <v>153</v>
      </c>
      <c r="I2612" s="6" t="s">
        <v>767</v>
      </c>
      <c r="J2612" s="6" t="s">
        <v>764</v>
      </c>
      <c r="K2612" s="7">
        <v>6278180</v>
      </c>
      <c r="L2612" s="7">
        <v>291245</v>
      </c>
      <c r="M2612" s="7">
        <v>19</v>
      </c>
      <c r="N2612" s="7">
        <v>1</v>
      </c>
      <c r="O2612" s="7">
        <v>0.31</v>
      </c>
    </row>
    <row r="2613" spans="1:15" x14ac:dyDescent="0.25">
      <c r="A2613" s="6" t="s">
        <v>22</v>
      </c>
      <c r="B2613" s="6" t="s">
        <v>522</v>
      </c>
      <c r="C2613" s="7">
        <v>34632</v>
      </c>
      <c r="D2613" s="6" t="s">
        <v>297</v>
      </c>
      <c r="E2613" s="6" t="s">
        <v>298</v>
      </c>
      <c r="F2613" s="6" t="s">
        <v>523</v>
      </c>
      <c r="G2613" s="6" t="s">
        <v>32</v>
      </c>
      <c r="H2613" s="6" t="s">
        <v>765</v>
      </c>
      <c r="I2613" s="6" t="s">
        <v>767</v>
      </c>
      <c r="J2613" s="6" t="s">
        <v>767</v>
      </c>
      <c r="K2613" s="7">
        <v>7949784</v>
      </c>
      <c r="L2613" s="7">
        <v>378115</v>
      </c>
      <c r="M2613" s="7">
        <v>19</v>
      </c>
      <c r="N2613" s="7">
        <v>1</v>
      </c>
      <c r="O2613" s="7">
        <v>0.52</v>
      </c>
    </row>
    <row r="2614" spans="1:15" x14ac:dyDescent="0.25">
      <c r="A2614" s="6" t="s">
        <v>22</v>
      </c>
      <c r="B2614" s="6" t="s">
        <v>522</v>
      </c>
      <c r="C2614" s="7">
        <v>34633</v>
      </c>
      <c r="D2614" s="6" t="s">
        <v>297</v>
      </c>
      <c r="E2614" s="6" t="s">
        <v>298</v>
      </c>
      <c r="F2614" s="6" t="s">
        <v>523</v>
      </c>
      <c r="G2614" s="6" t="s">
        <v>32</v>
      </c>
      <c r="H2614" s="6" t="s">
        <v>765</v>
      </c>
      <c r="I2614" s="6" t="s">
        <v>767</v>
      </c>
      <c r="J2614" s="6" t="s">
        <v>767</v>
      </c>
      <c r="K2614" s="7">
        <v>7950196</v>
      </c>
      <c r="L2614" s="7">
        <v>378353</v>
      </c>
      <c r="M2614" s="7">
        <v>19</v>
      </c>
      <c r="N2614" s="7">
        <v>1</v>
      </c>
      <c r="O2614" s="7">
        <v>0.72</v>
      </c>
    </row>
    <row r="2615" spans="1:15" x14ac:dyDescent="0.25">
      <c r="A2615" s="6" t="s">
        <v>22</v>
      </c>
      <c r="B2615" s="6" t="s">
        <v>522</v>
      </c>
      <c r="C2615" s="7">
        <v>34635</v>
      </c>
      <c r="D2615" s="6" t="s">
        <v>297</v>
      </c>
      <c r="E2615" s="6" t="s">
        <v>298</v>
      </c>
      <c r="F2615" s="6" t="s">
        <v>523</v>
      </c>
      <c r="G2615" s="6" t="s">
        <v>32</v>
      </c>
      <c r="H2615" s="6" t="s">
        <v>765</v>
      </c>
      <c r="I2615" s="6" t="s">
        <v>767</v>
      </c>
      <c r="J2615" s="6" t="s">
        <v>767</v>
      </c>
      <c r="K2615" s="7">
        <v>7952329</v>
      </c>
      <c r="L2615" s="7">
        <v>371477</v>
      </c>
      <c r="M2615" s="7">
        <v>19</v>
      </c>
      <c r="N2615" s="7">
        <v>1</v>
      </c>
      <c r="O2615" s="7">
        <v>0.25</v>
      </c>
    </row>
    <row r="2616" spans="1:15" x14ac:dyDescent="0.25">
      <c r="A2616" s="6" t="s">
        <v>22</v>
      </c>
      <c r="B2616" s="6" t="s">
        <v>522</v>
      </c>
      <c r="C2616" s="7">
        <v>34637</v>
      </c>
      <c r="D2616" s="6" t="s">
        <v>297</v>
      </c>
      <c r="E2616" s="6" t="s">
        <v>298</v>
      </c>
      <c r="F2616" s="6" t="s">
        <v>523</v>
      </c>
      <c r="G2616" s="6" t="s">
        <v>32</v>
      </c>
      <c r="H2616" s="6" t="s">
        <v>765</v>
      </c>
      <c r="I2616" s="6" t="s">
        <v>767</v>
      </c>
      <c r="J2616" s="6" t="s">
        <v>767</v>
      </c>
      <c r="K2616" s="7">
        <v>7952724</v>
      </c>
      <c r="L2616" s="7">
        <v>371409</v>
      </c>
      <c r="M2616" s="7">
        <v>19</v>
      </c>
      <c r="N2616" s="7">
        <v>1</v>
      </c>
      <c r="O2616" s="7">
        <v>0.72</v>
      </c>
    </row>
    <row r="2617" spans="1:15" x14ac:dyDescent="0.25">
      <c r="A2617" s="6" t="s">
        <v>22</v>
      </c>
      <c r="B2617" s="6" t="s">
        <v>522</v>
      </c>
      <c r="C2617" s="7">
        <v>34641</v>
      </c>
      <c r="D2617" s="6" t="s">
        <v>297</v>
      </c>
      <c r="E2617" s="6" t="s">
        <v>298</v>
      </c>
      <c r="F2617" s="6" t="s">
        <v>523</v>
      </c>
      <c r="G2617" s="6" t="s">
        <v>32</v>
      </c>
      <c r="H2617" s="6" t="s">
        <v>765</v>
      </c>
      <c r="I2617" s="6" t="s">
        <v>767</v>
      </c>
      <c r="J2617" s="6" t="s">
        <v>767</v>
      </c>
      <c r="K2617" s="7">
        <v>7953369</v>
      </c>
      <c r="L2617" s="7">
        <v>366140</v>
      </c>
      <c r="M2617" s="7">
        <v>19</v>
      </c>
      <c r="N2617" s="7">
        <v>1</v>
      </c>
      <c r="O2617" s="7">
        <v>0.4</v>
      </c>
    </row>
    <row r="2618" spans="1:15" x14ac:dyDescent="0.25">
      <c r="A2618" s="6" t="s">
        <v>22</v>
      </c>
      <c r="B2618" s="6" t="s">
        <v>522</v>
      </c>
      <c r="C2618" s="7">
        <v>34643</v>
      </c>
      <c r="D2618" s="6" t="s">
        <v>297</v>
      </c>
      <c r="E2618" s="6" t="s">
        <v>298</v>
      </c>
      <c r="F2618" s="6" t="s">
        <v>523</v>
      </c>
      <c r="G2618" s="6" t="s">
        <v>32</v>
      </c>
      <c r="H2618" s="6" t="s">
        <v>765</v>
      </c>
      <c r="I2618" s="6" t="s">
        <v>767</v>
      </c>
      <c r="J2618" s="6" t="s">
        <v>767</v>
      </c>
      <c r="K2618" s="7">
        <v>7952877</v>
      </c>
      <c r="L2618" s="7">
        <v>371250</v>
      </c>
      <c r="M2618" s="7">
        <v>19</v>
      </c>
      <c r="N2618" s="7">
        <v>1</v>
      </c>
      <c r="O2618" s="7">
        <v>0.08</v>
      </c>
    </row>
    <row r="2619" spans="1:15" x14ac:dyDescent="0.25">
      <c r="A2619" s="6" t="s">
        <v>22</v>
      </c>
      <c r="B2619" s="6" t="s">
        <v>522</v>
      </c>
      <c r="C2619" s="7">
        <v>34646</v>
      </c>
      <c r="D2619" s="6" t="s">
        <v>297</v>
      </c>
      <c r="E2619" s="6" t="s">
        <v>298</v>
      </c>
      <c r="F2619" s="6" t="s">
        <v>523</v>
      </c>
      <c r="G2619" s="6" t="s">
        <v>32</v>
      </c>
      <c r="H2619" s="6" t="s">
        <v>765</v>
      </c>
      <c r="I2619" s="6" t="s">
        <v>767</v>
      </c>
      <c r="J2619" s="6" t="s">
        <v>767</v>
      </c>
      <c r="K2619" s="7">
        <v>7953369</v>
      </c>
      <c r="L2619" s="7">
        <v>366140</v>
      </c>
      <c r="M2619" s="7">
        <v>19</v>
      </c>
      <c r="N2619" s="7">
        <v>1</v>
      </c>
      <c r="O2619" s="7">
        <v>0.1</v>
      </c>
    </row>
    <row r="2620" spans="1:15" x14ac:dyDescent="0.25">
      <c r="A2620" s="6" t="s">
        <v>22</v>
      </c>
      <c r="B2620" s="6" t="s">
        <v>522</v>
      </c>
      <c r="C2620" s="7">
        <v>34652</v>
      </c>
      <c r="D2620" s="6" t="s">
        <v>24</v>
      </c>
      <c r="E2620" s="6" t="s">
        <v>96</v>
      </c>
      <c r="F2620" s="6" t="s">
        <v>587</v>
      </c>
      <c r="G2620" s="6" t="s">
        <v>89</v>
      </c>
      <c r="H2620" s="6" t="s">
        <v>765</v>
      </c>
      <c r="I2620" s="6" t="s">
        <v>767</v>
      </c>
      <c r="J2620" s="6" t="s">
        <v>767</v>
      </c>
      <c r="K2620" s="7">
        <v>6254756</v>
      </c>
      <c r="L2620" s="7">
        <v>344871</v>
      </c>
      <c r="M2620" s="7">
        <v>19</v>
      </c>
      <c r="N2620" s="7">
        <v>1</v>
      </c>
      <c r="O2620" s="7">
        <v>5</v>
      </c>
    </row>
    <row r="2621" spans="1:15" x14ac:dyDescent="0.25">
      <c r="A2621" s="6" t="s">
        <v>22</v>
      </c>
      <c r="B2621" s="6" t="s">
        <v>522</v>
      </c>
      <c r="C2621" s="7">
        <v>34659</v>
      </c>
      <c r="D2621" s="6" t="s">
        <v>297</v>
      </c>
      <c r="E2621" s="6" t="s">
        <v>298</v>
      </c>
      <c r="F2621" s="6" t="s">
        <v>523</v>
      </c>
      <c r="G2621" s="6" t="s">
        <v>32</v>
      </c>
      <c r="H2621" s="6" t="s">
        <v>765</v>
      </c>
      <c r="I2621" s="6" t="s">
        <v>767</v>
      </c>
      <c r="J2621" s="6" t="s">
        <v>767</v>
      </c>
      <c r="K2621" s="7">
        <v>7949957</v>
      </c>
      <c r="L2621" s="7">
        <v>378226</v>
      </c>
      <c r="M2621" s="7">
        <v>19</v>
      </c>
      <c r="N2621" s="7">
        <v>1</v>
      </c>
      <c r="O2621" s="7">
        <v>1.1100000000000001</v>
      </c>
    </row>
    <row r="2622" spans="1:15" x14ac:dyDescent="0.25">
      <c r="A2622" s="6" t="s">
        <v>22</v>
      </c>
      <c r="B2622" s="6" t="s">
        <v>522</v>
      </c>
      <c r="C2622" s="7">
        <v>34663</v>
      </c>
      <c r="D2622" s="6" t="s">
        <v>297</v>
      </c>
      <c r="E2622" s="6" t="s">
        <v>298</v>
      </c>
      <c r="F2622" s="6" t="s">
        <v>523</v>
      </c>
      <c r="G2622" s="6" t="s">
        <v>32</v>
      </c>
      <c r="H2622" s="6" t="s">
        <v>765</v>
      </c>
      <c r="I2622" s="6" t="s">
        <v>767</v>
      </c>
      <c r="J2622" s="6" t="s">
        <v>767</v>
      </c>
      <c r="K2622" s="7">
        <v>7952799</v>
      </c>
      <c r="L2622" s="7">
        <v>371585</v>
      </c>
      <c r="M2622" s="7">
        <v>19</v>
      </c>
      <c r="N2622" s="7">
        <v>1</v>
      </c>
      <c r="O2622" s="7">
        <v>0.83</v>
      </c>
    </row>
    <row r="2623" spans="1:15" x14ac:dyDescent="0.25">
      <c r="A2623" s="6" t="s">
        <v>22</v>
      </c>
      <c r="B2623" s="6" t="s">
        <v>522</v>
      </c>
      <c r="C2623" s="7">
        <v>34664</v>
      </c>
      <c r="D2623" s="6" t="s">
        <v>297</v>
      </c>
      <c r="E2623" s="6" t="s">
        <v>298</v>
      </c>
      <c r="F2623" s="6" t="s">
        <v>523</v>
      </c>
      <c r="G2623" s="6" t="s">
        <v>32</v>
      </c>
      <c r="H2623" s="6" t="s">
        <v>765</v>
      </c>
      <c r="I2623" s="6" t="s">
        <v>767</v>
      </c>
      <c r="J2623" s="6" t="s">
        <v>767</v>
      </c>
      <c r="K2623" s="7">
        <v>7953369</v>
      </c>
      <c r="L2623" s="7">
        <v>366140</v>
      </c>
      <c r="M2623" s="7">
        <v>19</v>
      </c>
      <c r="N2623" s="7">
        <v>1</v>
      </c>
      <c r="O2623" s="7">
        <v>0.21</v>
      </c>
    </row>
    <row r="2624" spans="1:15" x14ac:dyDescent="0.25">
      <c r="A2624" s="6" t="s">
        <v>22</v>
      </c>
      <c r="B2624" s="6" t="s">
        <v>522</v>
      </c>
      <c r="C2624" s="7">
        <v>34665</v>
      </c>
      <c r="D2624" s="6" t="s">
        <v>297</v>
      </c>
      <c r="E2624" s="6" t="s">
        <v>298</v>
      </c>
      <c r="F2624" s="6" t="s">
        <v>523</v>
      </c>
      <c r="G2624" s="6" t="s">
        <v>32</v>
      </c>
      <c r="H2624" s="6" t="s">
        <v>765</v>
      </c>
      <c r="I2624" s="6" t="s">
        <v>767</v>
      </c>
      <c r="J2624" s="6" t="s">
        <v>767</v>
      </c>
      <c r="K2624" s="7">
        <v>7952877</v>
      </c>
      <c r="L2624" s="7">
        <v>371250</v>
      </c>
      <c r="M2624" s="7">
        <v>19</v>
      </c>
      <c r="N2624" s="7">
        <v>1</v>
      </c>
      <c r="O2624" s="7">
        <v>0.51</v>
      </c>
    </row>
    <row r="2625" spans="1:15" x14ac:dyDescent="0.25">
      <c r="A2625" s="6" t="s">
        <v>22</v>
      </c>
      <c r="B2625" s="6" t="s">
        <v>522</v>
      </c>
      <c r="C2625" s="7">
        <v>34666</v>
      </c>
      <c r="D2625" s="6" t="s">
        <v>24</v>
      </c>
      <c r="E2625" s="6" t="s">
        <v>96</v>
      </c>
      <c r="F2625" s="6" t="s">
        <v>587</v>
      </c>
      <c r="G2625" s="6" t="s">
        <v>89</v>
      </c>
      <c r="H2625" s="6" t="s">
        <v>765</v>
      </c>
      <c r="I2625" s="6" t="s">
        <v>767</v>
      </c>
      <c r="J2625" s="6" t="s">
        <v>767</v>
      </c>
      <c r="K2625" s="7">
        <v>6254756</v>
      </c>
      <c r="L2625" s="7">
        <v>344871</v>
      </c>
      <c r="M2625" s="7">
        <v>19</v>
      </c>
      <c r="N2625" s="7">
        <v>1</v>
      </c>
      <c r="O2625" s="7">
        <v>4</v>
      </c>
    </row>
    <row r="2626" spans="1:15" x14ac:dyDescent="0.25">
      <c r="A2626" s="6" t="s">
        <v>22</v>
      </c>
      <c r="B2626" s="6" t="s">
        <v>522</v>
      </c>
      <c r="C2626" s="7">
        <v>34668</v>
      </c>
      <c r="D2626" s="6" t="s">
        <v>297</v>
      </c>
      <c r="E2626" s="6" t="s">
        <v>298</v>
      </c>
      <c r="F2626" s="6" t="s">
        <v>523</v>
      </c>
      <c r="G2626" s="6" t="s">
        <v>32</v>
      </c>
      <c r="H2626" s="6" t="s">
        <v>765</v>
      </c>
      <c r="I2626" s="6" t="s">
        <v>767</v>
      </c>
      <c r="J2626" s="6" t="s">
        <v>767</v>
      </c>
      <c r="K2626" s="7">
        <v>7952329</v>
      </c>
      <c r="L2626" s="7">
        <v>371477</v>
      </c>
      <c r="M2626" s="7">
        <v>19</v>
      </c>
      <c r="N2626" s="7">
        <v>1</v>
      </c>
      <c r="O2626" s="7">
        <v>0.02</v>
      </c>
    </row>
    <row r="2627" spans="1:15" x14ac:dyDescent="0.25">
      <c r="A2627" s="6" t="s">
        <v>22</v>
      </c>
      <c r="B2627" s="6" t="s">
        <v>522</v>
      </c>
      <c r="C2627" s="7">
        <v>34669</v>
      </c>
      <c r="D2627" s="6" t="s">
        <v>24</v>
      </c>
      <c r="E2627" s="6" t="s">
        <v>96</v>
      </c>
      <c r="F2627" s="6" t="s">
        <v>587</v>
      </c>
      <c r="G2627" s="6" t="s">
        <v>89</v>
      </c>
      <c r="H2627" s="6" t="s">
        <v>765</v>
      </c>
      <c r="I2627" s="6" t="s">
        <v>767</v>
      </c>
      <c r="J2627" s="6" t="s">
        <v>767</v>
      </c>
      <c r="K2627" s="7">
        <v>6255609</v>
      </c>
      <c r="L2627" s="7">
        <v>347462</v>
      </c>
      <c r="M2627" s="7">
        <v>19</v>
      </c>
      <c r="N2627" s="7">
        <v>1</v>
      </c>
      <c r="O2627" s="7">
        <v>3.5</v>
      </c>
    </row>
    <row r="2628" spans="1:15" x14ac:dyDescent="0.25">
      <c r="A2628" s="6" t="s">
        <v>22</v>
      </c>
      <c r="B2628" s="6" t="s">
        <v>522</v>
      </c>
      <c r="C2628" s="7">
        <v>34673</v>
      </c>
      <c r="D2628" s="6" t="s">
        <v>297</v>
      </c>
      <c r="E2628" s="6" t="s">
        <v>298</v>
      </c>
      <c r="F2628" s="6" t="s">
        <v>523</v>
      </c>
      <c r="G2628" s="6" t="s">
        <v>32</v>
      </c>
      <c r="H2628" s="6" t="s">
        <v>765</v>
      </c>
      <c r="I2628" s="6" t="s">
        <v>767</v>
      </c>
      <c r="J2628" s="6" t="s">
        <v>767</v>
      </c>
      <c r="K2628" s="7">
        <v>7953369</v>
      </c>
      <c r="L2628" s="7">
        <v>366140</v>
      </c>
      <c r="M2628" s="7">
        <v>19</v>
      </c>
      <c r="N2628" s="7">
        <v>1</v>
      </c>
      <c r="O2628" s="7">
        <v>0.01</v>
      </c>
    </row>
    <row r="2629" spans="1:15" x14ac:dyDescent="0.25">
      <c r="A2629" s="6" t="s">
        <v>22</v>
      </c>
      <c r="B2629" s="6" t="s">
        <v>522</v>
      </c>
      <c r="C2629" s="7">
        <v>34718</v>
      </c>
      <c r="D2629" s="6" t="s">
        <v>24</v>
      </c>
      <c r="E2629" s="6" t="s">
        <v>96</v>
      </c>
      <c r="F2629" s="6" t="s">
        <v>587</v>
      </c>
      <c r="G2629" s="6" t="s">
        <v>89</v>
      </c>
      <c r="H2629" s="6" t="s">
        <v>765</v>
      </c>
      <c r="I2629" s="6" t="s">
        <v>767</v>
      </c>
      <c r="J2629" s="6" t="s">
        <v>767</v>
      </c>
      <c r="K2629" s="7">
        <v>6256047</v>
      </c>
      <c r="L2629" s="7">
        <v>344952</v>
      </c>
      <c r="M2629" s="7">
        <v>19</v>
      </c>
      <c r="N2629" s="7">
        <v>2</v>
      </c>
      <c r="O2629" s="7">
        <v>7.5</v>
      </c>
    </row>
    <row r="2630" spans="1:15" x14ac:dyDescent="0.25">
      <c r="A2630" s="6" t="s">
        <v>22</v>
      </c>
      <c r="B2630" s="6" t="s">
        <v>522</v>
      </c>
      <c r="C2630" s="7">
        <v>34721</v>
      </c>
      <c r="D2630" s="6" t="s">
        <v>24</v>
      </c>
      <c r="E2630" s="6" t="s">
        <v>429</v>
      </c>
      <c r="F2630" s="6" t="s">
        <v>491</v>
      </c>
      <c r="G2630" s="6" t="s">
        <v>89</v>
      </c>
      <c r="H2630" s="6" t="s">
        <v>765</v>
      </c>
      <c r="I2630" s="6" t="s">
        <v>767</v>
      </c>
      <c r="J2630" s="6" t="s">
        <v>767</v>
      </c>
      <c r="K2630" s="7">
        <v>6303378</v>
      </c>
      <c r="L2630" s="7">
        <v>327458</v>
      </c>
      <c r="M2630" s="7">
        <v>19</v>
      </c>
      <c r="N2630" s="7">
        <v>1</v>
      </c>
      <c r="O2630" s="7">
        <v>3</v>
      </c>
    </row>
    <row r="2631" spans="1:15" x14ac:dyDescent="0.25">
      <c r="A2631" s="6" t="s">
        <v>22</v>
      </c>
      <c r="B2631" s="6" t="s">
        <v>522</v>
      </c>
      <c r="C2631" s="7">
        <v>34723</v>
      </c>
      <c r="D2631" s="6" t="s">
        <v>24</v>
      </c>
      <c r="E2631" s="6" t="s">
        <v>429</v>
      </c>
      <c r="F2631" s="6" t="s">
        <v>429</v>
      </c>
      <c r="G2631" s="6" t="s">
        <v>89</v>
      </c>
      <c r="H2631" s="6" t="s">
        <v>765</v>
      </c>
      <c r="I2631" s="6" t="s">
        <v>767</v>
      </c>
      <c r="J2631" s="6" t="s">
        <v>767</v>
      </c>
      <c r="K2631" s="7">
        <v>6305314</v>
      </c>
      <c r="L2631" s="7">
        <v>331941</v>
      </c>
      <c r="M2631" s="7">
        <v>19</v>
      </c>
      <c r="N2631" s="7">
        <v>1</v>
      </c>
      <c r="O2631" s="7">
        <v>2.5</v>
      </c>
    </row>
    <row r="2632" spans="1:15" x14ac:dyDescent="0.25">
      <c r="A2632" s="6" t="s">
        <v>22</v>
      </c>
      <c r="B2632" s="6" t="s">
        <v>522</v>
      </c>
      <c r="C2632" s="7">
        <v>34725</v>
      </c>
      <c r="D2632" s="6" t="s">
        <v>24</v>
      </c>
      <c r="E2632" s="6" t="s">
        <v>429</v>
      </c>
      <c r="F2632" s="6" t="s">
        <v>491</v>
      </c>
      <c r="G2632" s="6" t="s">
        <v>89</v>
      </c>
      <c r="H2632" s="6" t="s">
        <v>765</v>
      </c>
      <c r="I2632" s="6" t="s">
        <v>767</v>
      </c>
      <c r="J2632" s="6" t="s">
        <v>767</v>
      </c>
      <c r="K2632" s="7">
        <v>6303335</v>
      </c>
      <c r="L2632" s="7">
        <v>327577</v>
      </c>
      <c r="M2632" s="7">
        <v>19</v>
      </c>
      <c r="N2632" s="7">
        <v>1</v>
      </c>
      <c r="O2632" s="7">
        <v>2</v>
      </c>
    </row>
    <row r="2633" spans="1:15" x14ac:dyDescent="0.25">
      <c r="A2633" s="6" t="s">
        <v>22</v>
      </c>
      <c r="B2633" s="6" t="s">
        <v>522</v>
      </c>
      <c r="C2633" s="7">
        <v>34728</v>
      </c>
      <c r="D2633" s="6" t="s">
        <v>42</v>
      </c>
      <c r="E2633" s="6" t="s">
        <v>196</v>
      </c>
      <c r="F2633" s="6" t="s">
        <v>631</v>
      </c>
      <c r="G2633" s="6" t="s">
        <v>89</v>
      </c>
      <c r="H2633" s="6" t="s">
        <v>765</v>
      </c>
      <c r="I2633" s="6" t="s">
        <v>767</v>
      </c>
      <c r="J2633" s="6" t="s">
        <v>767</v>
      </c>
      <c r="K2633" s="7">
        <v>6221825</v>
      </c>
      <c r="L2633" s="7">
        <v>337327</v>
      </c>
      <c r="M2633" s="7">
        <v>19</v>
      </c>
      <c r="N2633" s="7">
        <v>1</v>
      </c>
      <c r="O2633" s="7">
        <v>2</v>
      </c>
    </row>
    <row r="2634" spans="1:15" x14ac:dyDescent="0.25">
      <c r="A2634" s="6" t="s">
        <v>22</v>
      </c>
      <c r="B2634" s="6" t="s">
        <v>522</v>
      </c>
      <c r="C2634" s="7">
        <v>34732</v>
      </c>
      <c r="D2634" s="6" t="s">
        <v>297</v>
      </c>
      <c r="E2634" s="6" t="s">
        <v>298</v>
      </c>
      <c r="F2634" s="6" t="s">
        <v>523</v>
      </c>
      <c r="G2634" s="6" t="s">
        <v>32</v>
      </c>
      <c r="H2634" s="6" t="s">
        <v>765</v>
      </c>
      <c r="I2634" s="6" t="s">
        <v>767</v>
      </c>
      <c r="J2634" s="6" t="s">
        <v>767</v>
      </c>
      <c r="K2634" s="7">
        <v>7952799</v>
      </c>
      <c r="L2634" s="7">
        <v>371585</v>
      </c>
      <c r="M2634" s="7">
        <v>19</v>
      </c>
      <c r="N2634" s="7">
        <v>1</v>
      </c>
      <c r="O2634" s="7">
        <v>0.43</v>
      </c>
    </row>
    <row r="2635" spans="1:15" x14ac:dyDescent="0.25">
      <c r="A2635" s="6" t="s">
        <v>22</v>
      </c>
      <c r="B2635" s="6" t="s">
        <v>522</v>
      </c>
      <c r="C2635" s="7">
        <v>34739</v>
      </c>
      <c r="D2635" s="6" t="s">
        <v>24</v>
      </c>
      <c r="E2635" s="6" t="s">
        <v>96</v>
      </c>
      <c r="F2635" s="6" t="s">
        <v>96</v>
      </c>
      <c r="G2635" s="6" t="s">
        <v>32</v>
      </c>
      <c r="H2635" s="6" t="s">
        <v>765</v>
      </c>
      <c r="I2635" s="6" t="s">
        <v>767</v>
      </c>
      <c r="J2635" s="6" t="s">
        <v>767</v>
      </c>
      <c r="K2635" s="7">
        <v>6254768</v>
      </c>
      <c r="L2635" s="7">
        <v>339952</v>
      </c>
      <c r="M2635" s="7">
        <v>19</v>
      </c>
      <c r="N2635" s="7">
        <v>1</v>
      </c>
      <c r="O2635" s="7">
        <v>0.1</v>
      </c>
    </row>
    <row r="2636" spans="1:15" x14ac:dyDescent="0.25">
      <c r="A2636" s="6" t="s">
        <v>22</v>
      </c>
      <c r="B2636" s="6" t="s">
        <v>522</v>
      </c>
      <c r="C2636" s="7">
        <v>34740</v>
      </c>
      <c r="D2636" s="6" t="s">
        <v>24</v>
      </c>
      <c r="E2636" s="6" t="s">
        <v>25</v>
      </c>
      <c r="F2636" s="6" t="s">
        <v>426</v>
      </c>
      <c r="G2636" s="6" t="s">
        <v>32</v>
      </c>
      <c r="H2636" s="6" t="s">
        <v>765</v>
      </c>
      <c r="I2636" s="6" t="s">
        <v>767</v>
      </c>
      <c r="J2636" s="6" t="s">
        <v>767</v>
      </c>
      <c r="K2636" s="7">
        <v>6260636</v>
      </c>
      <c r="L2636" s="7">
        <v>331480</v>
      </c>
      <c r="M2636" s="7">
        <v>19</v>
      </c>
      <c r="N2636" s="7">
        <v>1</v>
      </c>
      <c r="O2636" s="7">
        <v>0.54</v>
      </c>
    </row>
    <row r="2637" spans="1:15" x14ac:dyDescent="0.25">
      <c r="A2637" s="6" t="s">
        <v>22</v>
      </c>
      <c r="B2637" s="6" t="s">
        <v>522</v>
      </c>
      <c r="C2637" s="7">
        <v>34742</v>
      </c>
      <c r="D2637" s="6" t="s">
        <v>42</v>
      </c>
      <c r="E2637" s="6" t="s">
        <v>536</v>
      </c>
      <c r="F2637" s="6" t="s">
        <v>477</v>
      </c>
      <c r="G2637" s="6" t="s">
        <v>32</v>
      </c>
      <c r="H2637" s="6" t="s">
        <v>765</v>
      </c>
      <c r="I2637" s="6" t="s">
        <v>767</v>
      </c>
      <c r="J2637" s="6" t="s">
        <v>767</v>
      </c>
      <c r="K2637" s="7">
        <v>6183341</v>
      </c>
      <c r="L2637" s="7">
        <v>318720</v>
      </c>
      <c r="M2637" s="7">
        <v>19</v>
      </c>
      <c r="N2637" s="7">
        <v>1</v>
      </c>
      <c r="O2637" s="7">
        <v>0.5</v>
      </c>
    </row>
    <row r="2638" spans="1:15" x14ac:dyDescent="0.25">
      <c r="A2638" s="6" t="s">
        <v>22</v>
      </c>
      <c r="B2638" s="6" t="s">
        <v>522</v>
      </c>
      <c r="C2638" s="7">
        <v>34743</v>
      </c>
      <c r="D2638" s="6" t="s">
        <v>42</v>
      </c>
      <c r="E2638" s="6" t="s">
        <v>51</v>
      </c>
      <c r="F2638" s="6" t="s">
        <v>596</v>
      </c>
      <c r="G2638" s="6" t="s">
        <v>32</v>
      </c>
      <c r="H2638" s="6" t="s">
        <v>765</v>
      </c>
      <c r="I2638" s="6" t="s">
        <v>767</v>
      </c>
      <c r="J2638" s="6" t="s">
        <v>767</v>
      </c>
      <c r="K2638" s="7">
        <v>6154544</v>
      </c>
      <c r="L2638" s="7">
        <v>311894</v>
      </c>
      <c r="M2638" s="7">
        <v>19</v>
      </c>
      <c r="N2638" s="7">
        <v>1</v>
      </c>
      <c r="O2638" s="7">
        <v>0.5</v>
      </c>
    </row>
    <row r="2639" spans="1:15" x14ac:dyDescent="0.25">
      <c r="A2639" s="6" t="s">
        <v>22</v>
      </c>
      <c r="B2639" s="6" t="s">
        <v>522</v>
      </c>
      <c r="C2639" s="7">
        <v>34744</v>
      </c>
      <c r="D2639" s="6" t="s">
        <v>297</v>
      </c>
      <c r="E2639" s="6" t="s">
        <v>298</v>
      </c>
      <c r="F2639" s="6" t="s">
        <v>523</v>
      </c>
      <c r="G2639" s="6" t="s">
        <v>32</v>
      </c>
      <c r="H2639" s="6" t="s">
        <v>765</v>
      </c>
      <c r="I2639" s="6" t="s">
        <v>767</v>
      </c>
      <c r="J2639" s="6" t="s">
        <v>767</v>
      </c>
      <c r="K2639" s="7">
        <v>7952329</v>
      </c>
      <c r="L2639" s="7">
        <v>371477</v>
      </c>
      <c r="M2639" s="7">
        <v>19</v>
      </c>
      <c r="N2639" s="7">
        <v>1</v>
      </c>
      <c r="O2639" s="7">
        <v>0.03</v>
      </c>
    </row>
    <row r="2640" spans="1:15" x14ac:dyDescent="0.25">
      <c r="A2640" s="6" t="s">
        <v>22</v>
      </c>
      <c r="B2640" s="6" t="s">
        <v>522</v>
      </c>
      <c r="C2640" s="7">
        <v>34752</v>
      </c>
      <c r="D2640" s="6" t="s">
        <v>24</v>
      </c>
      <c r="E2640" s="6" t="s">
        <v>25</v>
      </c>
      <c r="F2640" s="6" t="s">
        <v>445</v>
      </c>
      <c r="G2640" s="6" t="s">
        <v>89</v>
      </c>
      <c r="H2640" s="6" t="s">
        <v>765</v>
      </c>
      <c r="I2640" s="6" t="s">
        <v>767</v>
      </c>
      <c r="J2640" s="6" t="s">
        <v>767</v>
      </c>
      <c r="K2640" s="7">
        <v>6258715</v>
      </c>
      <c r="L2640" s="7">
        <v>332144</v>
      </c>
      <c r="M2640" s="7">
        <v>19</v>
      </c>
      <c r="N2640" s="7">
        <v>1</v>
      </c>
      <c r="O2640" s="7">
        <v>1</v>
      </c>
    </row>
    <row r="2641" spans="1:15" x14ac:dyDescent="0.25">
      <c r="A2641" s="6" t="s">
        <v>22</v>
      </c>
      <c r="B2641" s="6" t="s">
        <v>522</v>
      </c>
      <c r="C2641" s="7">
        <v>34755</v>
      </c>
      <c r="D2641" s="6" t="s">
        <v>297</v>
      </c>
      <c r="E2641" s="6" t="s">
        <v>298</v>
      </c>
      <c r="F2641" s="6" t="s">
        <v>523</v>
      </c>
      <c r="G2641" s="6" t="s">
        <v>32</v>
      </c>
      <c r="H2641" s="6" t="s">
        <v>765</v>
      </c>
      <c r="I2641" s="6" t="s">
        <v>767</v>
      </c>
      <c r="J2641" s="6" t="s">
        <v>767</v>
      </c>
      <c r="K2641" s="7">
        <v>7952848</v>
      </c>
      <c r="L2641" s="7">
        <v>370878</v>
      </c>
      <c r="M2641" s="7">
        <v>19</v>
      </c>
      <c r="N2641" s="7">
        <v>1</v>
      </c>
      <c r="O2641" s="7">
        <v>0.15</v>
      </c>
    </row>
    <row r="2642" spans="1:15" x14ac:dyDescent="0.25">
      <c r="A2642" s="6" t="s">
        <v>22</v>
      </c>
      <c r="B2642" s="6" t="s">
        <v>522</v>
      </c>
      <c r="C2642" s="7">
        <v>34758</v>
      </c>
      <c r="D2642" s="6" t="s">
        <v>297</v>
      </c>
      <c r="E2642" s="6" t="s">
        <v>298</v>
      </c>
      <c r="F2642" s="6" t="s">
        <v>523</v>
      </c>
      <c r="G2642" s="6" t="s">
        <v>32</v>
      </c>
      <c r="H2642" s="6" t="s">
        <v>765</v>
      </c>
      <c r="I2642" s="6" t="s">
        <v>767</v>
      </c>
      <c r="J2642" s="6" t="s">
        <v>767</v>
      </c>
      <c r="K2642" s="7">
        <v>7952717</v>
      </c>
      <c r="L2642" s="7">
        <v>371018</v>
      </c>
      <c r="M2642" s="7">
        <v>19</v>
      </c>
      <c r="N2642" s="7">
        <v>1</v>
      </c>
      <c r="O2642" s="7">
        <v>0.01</v>
      </c>
    </row>
    <row r="2643" spans="1:15" x14ac:dyDescent="0.25">
      <c r="A2643" s="6" t="s">
        <v>22</v>
      </c>
      <c r="B2643" s="6" t="s">
        <v>522</v>
      </c>
      <c r="C2643" s="7">
        <v>34769</v>
      </c>
      <c r="D2643" s="6" t="s">
        <v>24</v>
      </c>
      <c r="E2643" s="6" t="s">
        <v>25</v>
      </c>
      <c r="F2643" s="6" t="s">
        <v>445</v>
      </c>
      <c r="G2643" s="6" t="s">
        <v>89</v>
      </c>
      <c r="H2643" s="6" t="s">
        <v>765</v>
      </c>
      <c r="I2643" s="6" t="s">
        <v>767</v>
      </c>
      <c r="J2643" s="6" t="s">
        <v>767</v>
      </c>
      <c r="K2643" s="7">
        <v>6258949</v>
      </c>
      <c r="L2643" s="7">
        <v>332572</v>
      </c>
      <c r="M2643" s="7">
        <v>19</v>
      </c>
      <c r="N2643" s="7">
        <v>1</v>
      </c>
      <c r="O2643" s="7">
        <v>0.18</v>
      </c>
    </row>
    <row r="2644" spans="1:15" x14ac:dyDescent="0.25">
      <c r="A2644" s="6" t="s">
        <v>22</v>
      </c>
      <c r="B2644" s="6" t="s">
        <v>522</v>
      </c>
      <c r="C2644" s="7">
        <v>34773</v>
      </c>
      <c r="D2644" s="6" t="s">
        <v>16</v>
      </c>
      <c r="E2644" s="6" t="s">
        <v>291</v>
      </c>
      <c r="F2644" s="6" t="s">
        <v>632</v>
      </c>
      <c r="G2644" s="6" t="s">
        <v>32</v>
      </c>
      <c r="H2644" s="6" t="s">
        <v>765</v>
      </c>
      <c r="I2644" s="6" t="s">
        <v>767</v>
      </c>
      <c r="J2644" s="6" t="s">
        <v>767</v>
      </c>
      <c r="K2644" s="7">
        <v>6368314</v>
      </c>
      <c r="L2644" s="7">
        <v>352308</v>
      </c>
      <c r="M2644" s="7">
        <v>19</v>
      </c>
      <c r="N2644" s="7">
        <v>1</v>
      </c>
      <c r="O2644" s="7">
        <v>0.1</v>
      </c>
    </row>
    <row r="2645" spans="1:15" x14ac:dyDescent="0.25">
      <c r="A2645" s="6" t="s">
        <v>22</v>
      </c>
      <c r="B2645" s="6" t="s">
        <v>522</v>
      </c>
      <c r="C2645" s="7">
        <v>34774</v>
      </c>
      <c r="D2645" s="6" t="s">
        <v>16</v>
      </c>
      <c r="E2645" s="6" t="s">
        <v>291</v>
      </c>
      <c r="F2645" s="6" t="s">
        <v>291</v>
      </c>
      <c r="G2645" s="6" t="s">
        <v>32</v>
      </c>
      <c r="H2645" s="6" t="s">
        <v>765</v>
      </c>
      <c r="I2645" s="6" t="s">
        <v>767</v>
      </c>
      <c r="J2645" s="6" t="s">
        <v>767</v>
      </c>
      <c r="K2645" s="7">
        <v>6367125</v>
      </c>
      <c r="L2645" s="7">
        <v>354969</v>
      </c>
      <c r="M2645" s="7">
        <v>19</v>
      </c>
      <c r="N2645" s="7">
        <v>1</v>
      </c>
      <c r="O2645" s="7">
        <v>0.72</v>
      </c>
    </row>
    <row r="2646" spans="1:15" x14ac:dyDescent="0.25">
      <c r="A2646" s="6" t="s">
        <v>22</v>
      </c>
      <c r="B2646" s="6" t="s">
        <v>522</v>
      </c>
      <c r="C2646" s="7">
        <v>34776</v>
      </c>
      <c r="D2646" s="6" t="s">
        <v>16</v>
      </c>
      <c r="E2646" s="6" t="s">
        <v>295</v>
      </c>
      <c r="F2646" s="6" t="s">
        <v>607</v>
      </c>
      <c r="G2646" s="6" t="s">
        <v>32</v>
      </c>
      <c r="H2646" s="6" t="s">
        <v>765</v>
      </c>
      <c r="I2646" s="6" t="s">
        <v>767</v>
      </c>
      <c r="J2646" s="6" t="s">
        <v>767</v>
      </c>
      <c r="K2646" s="7">
        <v>6366289</v>
      </c>
      <c r="L2646" s="7">
        <v>353246</v>
      </c>
      <c r="M2646" s="7">
        <v>19</v>
      </c>
      <c r="N2646" s="7">
        <v>1</v>
      </c>
      <c r="O2646" s="7">
        <v>1.3</v>
      </c>
    </row>
    <row r="2647" spans="1:15" x14ac:dyDescent="0.25">
      <c r="A2647" s="6" t="s">
        <v>22</v>
      </c>
      <c r="B2647" s="6" t="s">
        <v>522</v>
      </c>
      <c r="C2647" s="7">
        <v>34784</v>
      </c>
      <c r="D2647" s="6" t="s">
        <v>24</v>
      </c>
      <c r="E2647" s="6" t="s">
        <v>25</v>
      </c>
      <c r="F2647" s="6" t="s">
        <v>445</v>
      </c>
      <c r="G2647" s="6" t="s">
        <v>32</v>
      </c>
      <c r="H2647" s="6" t="s">
        <v>765</v>
      </c>
      <c r="I2647" s="6" t="s">
        <v>767</v>
      </c>
      <c r="J2647" s="6" t="s">
        <v>767</v>
      </c>
      <c r="K2647" s="7">
        <v>6259645</v>
      </c>
      <c r="L2647" s="7">
        <v>332587</v>
      </c>
      <c r="M2647" s="7">
        <v>19</v>
      </c>
      <c r="N2647" s="7">
        <v>1</v>
      </c>
      <c r="O2647" s="7">
        <v>0.75</v>
      </c>
    </row>
    <row r="2648" spans="1:15" x14ac:dyDescent="0.25">
      <c r="A2648" s="6" t="s">
        <v>22</v>
      </c>
      <c r="B2648" s="6" t="s">
        <v>522</v>
      </c>
      <c r="C2648" s="7">
        <v>34790</v>
      </c>
      <c r="D2648" s="6" t="s">
        <v>16</v>
      </c>
      <c r="E2648" s="6" t="s">
        <v>295</v>
      </c>
      <c r="F2648" s="6" t="s">
        <v>607</v>
      </c>
      <c r="G2648" s="6" t="s">
        <v>32</v>
      </c>
      <c r="H2648" s="6" t="s">
        <v>765</v>
      </c>
      <c r="I2648" s="6" t="s">
        <v>767</v>
      </c>
      <c r="J2648" s="6" t="s">
        <v>767</v>
      </c>
      <c r="K2648" s="7">
        <v>6366674</v>
      </c>
      <c r="L2648" s="7">
        <v>353737</v>
      </c>
      <c r="M2648" s="7">
        <v>19</v>
      </c>
      <c r="N2648" s="7">
        <v>1</v>
      </c>
      <c r="O2648" s="7">
        <v>1.98</v>
      </c>
    </row>
    <row r="2649" spans="1:15" x14ac:dyDescent="0.25">
      <c r="A2649" s="6" t="s">
        <v>22</v>
      </c>
      <c r="B2649" s="6" t="s">
        <v>522</v>
      </c>
      <c r="C2649" s="7">
        <v>34791</v>
      </c>
      <c r="D2649" s="6" t="s">
        <v>24</v>
      </c>
      <c r="E2649" s="6" t="s">
        <v>25</v>
      </c>
      <c r="F2649" s="6" t="s">
        <v>426</v>
      </c>
      <c r="G2649" s="6" t="s">
        <v>32</v>
      </c>
      <c r="H2649" s="6" t="s">
        <v>765</v>
      </c>
      <c r="I2649" s="6" t="s">
        <v>767</v>
      </c>
      <c r="J2649" s="6" t="s">
        <v>767</v>
      </c>
      <c r="K2649" s="7">
        <v>6260167</v>
      </c>
      <c r="L2649" s="7">
        <v>331027</v>
      </c>
      <c r="M2649" s="7">
        <v>19</v>
      </c>
      <c r="N2649" s="7">
        <v>1</v>
      </c>
      <c r="O2649" s="7">
        <v>0.41</v>
      </c>
    </row>
    <row r="2650" spans="1:15" x14ac:dyDescent="0.25">
      <c r="A2650" s="6" t="s">
        <v>22</v>
      </c>
      <c r="B2650" s="6" t="s">
        <v>522</v>
      </c>
      <c r="C2650" s="7">
        <v>34792</v>
      </c>
      <c r="D2650" s="6" t="s">
        <v>24</v>
      </c>
      <c r="E2650" s="6" t="s">
        <v>25</v>
      </c>
      <c r="F2650" s="6" t="s">
        <v>426</v>
      </c>
      <c r="G2650" s="6" t="s">
        <v>32</v>
      </c>
      <c r="H2650" s="6" t="s">
        <v>765</v>
      </c>
      <c r="I2650" s="6" t="s">
        <v>767</v>
      </c>
      <c r="J2650" s="6" t="s">
        <v>767</v>
      </c>
      <c r="K2650" s="7">
        <v>6259294</v>
      </c>
      <c r="L2650" s="7">
        <v>330881</v>
      </c>
      <c r="M2650" s="7">
        <v>19</v>
      </c>
      <c r="N2650" s="7">
        <v>1</v>
      </c>
      <c r="O2650" s="7">
        <v>1.1100000000000001</v>
      </c>
    </row>
    <row r="2651" spans="1:15" x14ac:dyDescent="0.25">
      <c r="A2651" s="6" t="s">
        <v>22</v>
      </c>
      <c r="B2651" s="6" t="s">
        <v>522</v>
      </c>
      <c r="C2651" s="7">
        <v>34796</v>
      </c>
      <c r="D2651" s="6" t="s">
        <v>24</v>
      </c>
      <c r="E2651" s="6" t="s">
        <v>25</v>
      </c>
      <c r="F2651" s="6" t="s">
        <v>426</v>
      </c>
      <c r="G2651" s="6" t="s">
        <v>32</v>
      </c>
      <c r="H2651" s="6" t="s">
        <v>765</v>
      </c>
      <c r="I2651" s="6" t="s">
        <v>767</v>
      </c>
      <c r="J2651" s="6" t="s">
        <v>767</v>
      </c>
      <c r="K2651" s="7">
        <v>6260089</v>
      </c>
      <c r="L2651" s="7">
        <v>330977</v>
      </c>
      <c r="M2651" s="7">
        <v>19</v>
      </c>
      <c r="N2651" s="7">
        <v>1</v>
      </c>
      <c r="O2651" s="7">
        <v>0.51</v>
      </c>
    </row>
    <row r="2652" spans="1:15" x14ac:dyDescent="0.25">
      <c r="A2652" s="6" t="s">
        <v>22</v>
      </c>
      <c r="B2652" s="6" t="s">
        <v>522</v>
      </c>
      <c r="C2652" s="7">
        <v>34801</v>
      </c>
      <c r="D2652" s="6" t="s">
        <v>24</v>
      </c>
      <c r="E2652" s="6" t="s">
        <v>25</v>
      </c>
      <c r="F2652" s="6" t="s">
        <v>426</v>
      </c>
      <c r="G2652" s="6" t="s">
        <v>32</v>
      </c>
      <c r="H2652" s="6" t="s">
        <v>765</v>
      </c>
      <c r="I2652" s="6" t="s">
        <v>767</v>
      </c>
      <c r="J2652" s="6" t="s">
        <v>767</v>
      </c>
      <c r="K2652" s="7">
        <v>6259937</v>
      </c>
      <c r="L2652" s="7">
        <v>331192</v>
      </c>
      <c r="M2652" s="7">
        <v>19</v>
      </c>
      <c r="N2652" s="7">
        <v>1</v>
      </c>
      <c r="O2652" s="7">
        <v>0.55000000000000004</v>
      </c>
    </row>
    <row r="2653" spans="1:15" x14ac:dyDescent="0.25">
      <c r="A2653" s="6" t="s">
        <v>22</v>
      </c>
      <c r="B2653" s="6" t="s">
        <v>522</v>
      </c>
      <c r="C2653" s="7">
        <v>34802</v>
      </c>
      <c r="D2653" s="6" t="s">
        <v>24</v>
      </c>
      <c r="E2653" s="6" t="s">
        <v>25</v>
      </c>
      <c r="F2653" s="6" t="s">
        <v>426</v>
      </c>
      <c r="G2653" s="6" t="s">
        <v>32</v>
      </c>
      <c r="H2653" s="6" t="s">
        <v>765</v>
      </c>
      <c r="I2653" s="6" t="s">
        <v>767</v>
      </c>
      <c r="J2653" s="6" t="s">
        <v>767</v>
      </c>
      <c r="K2653" s="7">
        <v>6259828</v>
      </c>
      <c r="L2653" s="7">
        <v>331152</v>
      </c>
      <c r="M2653" s="7">
        <v>19</v>
      </c>
      <c r="N2653" s="7">
        <v>1</v>
      </c>
      <c r="O2653" s="7">
        <v>0.4</v>
      </c>
    </row>
    <row r="2654" spans="1:15" x14ac:dyDescent="0.25">
      <c r="A2654" s="6" t="s">
        <v>22</v>
      </c>
      <c r="B2654" s="6" t="s">
        <v>522</v>
      </c>
      <c r="C2654" s="7">
        <v>34813</v>
      </c>
      <c r="D2654" s="6" t="s">
        <v>24</v>
      </c>
      <c r="E2654" s="6" t="s">
        <v>25</v>
      </c>
      <c r="F2654" s="6" t="s">
        <v>426</v>
      </c>
      <c r="G2654" s="6" t="s">
        <v>32</v>
      </c>
      <c r="H2654" s="6" t="s">
        <v>765</v>
      </c>
      <c r="I2654" s="6" t="s">
        <v>767</v>
      </c>
      <c r="J2654" s="6" t="s">
        <v>767</v>
      </c>
      <c r="K2654" s="7">
        <v>6260083</v>
      </c>
      <c r="L2654" s="7">
        <v>331174</v>
      </c>
      <c r="M2654" s="7">
        <v>19</v>
      </c>
      <c r="N2654" s="7">
        <v>1</v>
      </c>
      <c r="O2654" s="7">
        <v>1.04</v>
      </c>
    </row>
    <row r="2655" spans="1:15" x14ac:dyDescent="0.25">
      <c r="A2655" s="6" t="s">
        <v>22</v>
      </c>
      <c r="B2655" s="6" t="s">
        <v>522</v>
      </c>
      <c r="C2655" s="7">
        <v>34815</v>
      </c>
      <c r="D2655" s="6" t="s">
        <v>16</v>
      </c>
      <c r="E2655" s="6" t="s">
        <v>295</v>
      </c>
      <c r="F2655" s="6" t="s">
        <v>607</v>
      </c>
      <c r="G2655" s="6" t="s">
        <v>32</v>
      </c>
      <c r="H2655" s="6" t="s">
        <v>765</v>
      </c>
      <c r="I2655" s="6" t="s">
        <v>767</v>
      </c>
      <c r="J2655" s="6" t="s">
        <v>767</v>
      </c>
      <c r="K2655" s="7">
        <v>6366618</v>
      </c>
      <c r="L2655" s="7">
        <v>353629</v>
      </c>
      <c r="M2655" s="7">
        <v>19</v>
      </c>
      <c r="N2655" s="7">
        <v>1</v>
      </c>
      <c r="O2655" s="7">
        <v>0.25</v>
      </c>
    </row>
    <row r="2656" spans="1:15" x14ac:dyDescent="0.25">
      <c r="A2656" s="6" t="s">
        <v>22</v>
      </c>
      <c r="B2656" s="6" t="s">
        <v>522</v>
      </c>
      <c r="C2656" s="7">
        <v>34819</v>
      </c>
      <c r="D2656" s="6" t="s">
        <v>16</v>
      </c>
      <c r="E2656" s="6" t="s">
        <v>295</v>
      </c>
      <c r="F2656" s="6" t="s">
        <v>607</v>
      </c>
      <c r="G2656" s="6" t="s">
        <v>32</v>
      </c>
      <c r="H2656" s="6" t="s">
        <v>765</v>
      </c>
      <c r="I2656" s="6" t="s">
        <v>767</v>
      </c>
      <c r="J2656" s="6" t="s">
        <v>767</v>
      </c>
      <c r="K2656" s="7">
        <v>6366210</v>
      </c>
      <c r="L2656" s="7">
        <v>353091</v>
      </c>
      <c r="M2656" s="7">
        <v>19</v>
      </c>
      <c r="N2656" s="7">
        <v>1</v>
      </c>
      <c r="O2656" s="7">
        <v>2.04</v>
      </c>
    </row>
    <row r="2657" spans="1:15" x14ac:dyDescent="0.25">
      <c r="A2657" s="6" t="s">
        <v>22</v>
      </c>
      <c r="B2657" s="6" t="s">
        <v>522</v>
      </c>
      <c r="C2657" s="7">
        <v>34823</v>
      </c>
      <c r="D2657" s="6" t="s">
        <v>16</v>
      </c>
      <c r="E2657" s="6" t="s">
        <v>295</v>
      </c>
      <c r="F2657" s="6" t="s">
        <v>607</v>
      </c>
      <c r="G2657" s="6" t="s">
        <v>32</v>
      </c>
      <c r="H2657" s="6" t="s">
        <v>765</v>
      </c>
      <c r="I2657" s="6" t="s">
        <v>767</v>
      </c>
      <c r="J2657" s="6" t="s">
        <v>767</v>
      </c>
      <c r="K2657" s="7">
        <v>6366712</v>
      </c>
      <c r="L2657" s="7">
        <v>353662</v>
      </c>
      <c r="M2657" s="7">
        <v>19</v>
      </c>
      <c r="N2657" s="7">
        <v>1</v>
      </c>
      <c r="O2657" s="7">
        <v>0.69</v>
      </c>
    </row>
    <row r="2658" spans="1:15" x14ac:dyDescent="0.25">
      <c r="A2658" s="6" t="s">
        <v>22</v>
      </c>
      <c r="B2658" s="6" t="s">
        <v>522</v>
      </c>
      <c r="C2658" s="7">
        <v>34825</v>
      </c>
      <c r="D2658" s="6" t="s">
        <v>24</v>
      </c>
      <c r="E2658" s="6" t="s">
        <v>25</v>
      </c>
      <c r="F2658" s="6" t="s">
        <v>426</v>
      </c>
      <c r="G2658" s="6" t="s">
        <v>32</v>
      </c>
      <c r="H2658" s="6" t="s">
        <v>765</v>
      </c>
      <c r="I2658" s="6" t="s">
        <v>767</v>
      </c>
      <c r="J2658" s="6" t="s">
        <v>767</v>
      </c>
      <c r="K2658" s="7">
        <v>6259396</v>
      </c>
      <c r="L2658" s="7">
        <v>330933</v>
      </c>
      <c r="M2658" s="7">
        <v>19</v>
      </c>
      <c r="N2658" s="7">
        <v>1</v>
      </c>
      <c r="O2658" s="7">
        <v>0.9</v>
      </c>
    </row>
    <row r="2659" spans="1:15" x14ac:dyDescent="0.25">
      <c r="A2659" s="6" t="s">
        <v>14</v>
      </c>
      <c r="B2659" s="6" t="s">
        <v>522</v>
      </c>
      <c r="C2659" s="7">
        <v>34827</v>
      </c>
      <c r="D2659" s="6" t="s">
        <v>42</v>
      </c>
      <c r="E2659" s="6" t="s">
        <v>51</v>
      </c>
      <c r="F2659" s="6" t="s">
        <v>51</v>
      </c>
      <c r="G2659" s="6" t="s">
        <v>89</v>
      </c>
      <c r="H2659" s="6" t="s">
        <v>101</v>
      </c>
      <c r="I2659" s="6" t="s">
        <v>767</v>
      </c>
      <c r="J2659" s="6" t="s">
        <v>767</v>
      </c>
      <c r="K2659" s="7">
        <v>6158099</v>
      </c>
      <c r="L2659" s="7">
        <v>312223</v>
      </c>
      <c r="M2659" s="7">
        <v>19</v>
      </c>
      <c r="N2659" s="7">
        <v>1</v>
      </c>
      <c r="O2659" s="7">
        <v>16.5</v>
      </c>
    </row>
    <row r="2660" spans="1:15" x14ac:dyDescent="0.25">
      <c r="A2660" s="6" t="s">
        <v>14</v>
      </c>
      <c r="B2660" s="6" t="s">
        <v>522</v>
      </c>
      <c r="C2660" s="7">
        <v>34830</v>
      </c>
      <c r="D2660" s="6" t="s">
        <v>42</v>
      </c>
      <c r="E2660" s="6" t="s">
        <v>51</v>
      </c>
      <c r="F2660" s="6" t="s">
        <v>51</v>
      </c>
      <c r="G2660" s="6" t="s">
        <v>89</v>
      </c>
      <c r="H2660" s="6" t="s">
        <v>101</v>
      </c>
      <c r="I2660" s="6" t="s">
        <v>767</v>
      </c>
      <c r="J2660" s="6" t="s">
        <v>767</v>
      </c>
      <c r="K2660" s="7">
        <v>6157220</v>
      </c>
      <c r="L2660" s="7">
        <v>321173</v>
      </c>
      <c r="M2660" s="7">
        <v>19</v>
      </c>
      <c r="N2660" s="7">
        <v>1</v>
      </c>
      <c r="O2660" s="7">
        <v>2</v>
      </c>
    </row>
    <row r="2661" spans="1:15" x14ac:dyDescent="0.25">
      <c r="A2661" s="6" t="s">
        <v>28</v>
      </c>
      <c r="B2661" s="6" t="s">
        <v>522</v>
      </c>
      <c r="C2661" s="7">
        <v>34832</v>
      </c>
      <c r="D2661" s="6" t="s">
        <v>24</v>
      </c>
      <c r="E2661" s="6" t="s">
        <v>31</v>
      </c>
      <c r="F2661" s="6" t="s">
        <v>109</v>
      </c>
      <c r="G2661" s="6" t="s">
        <v>32</v>
      </c>
      <c r="H2661" s="6" t="s">
        <v>153</v>
      </c>
      <c r="I2661" s="6" t="s">
        <v>767</v>
      </c>
      <c r="J2661" s="6" t="s">
        <v>764</v>
      </c>
      <c r="K2661" s="7">
        <v>6278279</v>
      </c>
      <c r="L2661" s="7">
        <v>288721</v>
      </c>
      <c r="M2661" s="7">
        <v>19</v>
      </c>
      <c r="N2661" s="7">
        <v>1</v>
      </c>
      <c r="O2661" s="7">
        <v>3.59</v>
      </c>
    </row>
    <row r="2662" spans="1:15" x14ac:dyDescent="0.25">
      <c r="A2662" s="6" t="s">
        <v>22</v>
      </c>
      <c r="B2662" s="6" t="s">
        <v>522</v>
      </c>
      <c r="C2662" s="7">
        <v>34833</v>
      </c>
      <c r="D2662" s="6" t="s">
        <v>24</v>
      </c>
      <c r="E2662" s="6" t="s">
        <v>25</v>
      </c>
      <c r="F2662" s="6" t="s">
        <v>69</v>
      </c>
      <c r="G2662" s="6" t="s">
        <v>89</v>
      </c>
      <c r="H2662" s="6" t="s">
        <v>765</v>
      </c>
      <c r="I2662" s="6" t="s">
        <v>767</v>
      </c>
      <c r="J2662" s="6" t="s">
        <v>767</v>
      </c>
      <c r="K2662" s="7">
        <v>6263378</v>
      </c>
      <c r="L2662" s="7">
        <v>343981</v>
      </c>
      <c r="M2662" s="7">
        <v>19</v>
      </c>
      <c r="N2662" s="7">
        <v>1</v>
      </c>
      <c r="O2662" s="7">
        <v>2</v>
      </c>
    </row>
    <row r="2663" spans="1:15" x14ac:dyDescent="0.25">
      <c r="A2663" s="6" t="s">
        <v>14</v>
      </c>
      <c r="B2663" s="6" t="s">
        <v>522</v>
      </c>
      <c r="C2663" s="7">
        <v>34834</v>
      </c>
      <c r="D2663" s="6" t="s">
        <v>42</v>
      </c>
      <c r="E2663" s="6" t="s">
        <v>63</v>
      </c>
      <c r="F2663" s="6" t="s">
        <v>325</v>
      </c>
      <c r="G2663" s="6" t="s">
        <v>89</v>
      </c>
      <c r="H2663" s="6" t="s">
        <v>101</v>
      </c>
      <c r="I2663" s="6" t="s">
        <v>767</v>
      </c>
      <c r="J2663" s="6" t="s">
        <v>767</v>
      </c>
      <c r="K2663" s="7">
        <v>6164181</v>
      </c>
      <c r="L2663" s="7">
        <v>291986</v>
      </c>
      <c r="M2663" s="7">
        <v>19</v>
      </c>
      <c r="N2663" s="7">
        <v>1</v>
      </c>
      <c r="O2663" s="7">
        <v>12</v>
      </c>
    </row>
    <row r="2664" spans="1:15" x14ac:dyDescent="0.25">
      <c r="A2664" s="6" t="s">
        <v>22</v>
      </c>
      <c r="B2664" s="6" t="s">
        <v>522</v>
      </c>
      <c r="C2664" s="7">
        <v>34836</v>
      </c>
      <c r="D2664" s="6" t="s">
        <v>16</v>
      </c>
      <c r="E2664" s="6" t="s">
        <v>295</v>
      </c>
      <c r="F2664" s="6" t="s">
        <v>607</v>
      </c>
      <c r="G2664" s="6" t="s">
        <v>32</v>
      </c>
      <c r="H2664" s="6" t="s">
        <v>765</v>
      </c>
      <c r="I2664" s="6" t="s">
        <v>767</v>
      </c>
      <c r="J2664" s="6" t="s">
        <v>767</v>
      </c>
      <c r="K2664" s="7">
        <v>6366714</v>
      </c>
      <c r="L2664" s="7">
        <v>353862</v>
      </c>
      <c r="M2664" s="7">
        <v>19</v>
      </c>
      <c r="N2664" s="7">
        <v>1</v>
      </c>
      <c r="O2664" s="7">
        <v>0.25</v>
      </c>
    </row>
    <row r="2665" spans="1:15" x14ac:dyDescent="0.25">
      <c r="A2665" s="6" t="s">
        <v>22</v>
      </c>
      <c r="B2665" s="6" t="s">
        <v>522</v>
      </c>
      <c r="C2665" s="7">
        <v>34839</v>
      </c>
      <c r="D2665" s="6" t="s">
        <v>24</v>
      </c>
      <c r="E2665" s="6" t="s">
        <v>25</v>
      </c>
      <c r="F2665" s="6" t="s">
        <v>69</v>
      </c>
      <c r="G2665" s="6" t="s">
        <v>89</v>
      </c>
      <c r="H2665" s="6" t="s">
        <v>765</v>
      </c>
      <c r="I2665" s="6" t="s">
        <v>767</v>
      </c>
      <c r="J2665" s="6" t="s">
        <v>767</v>
      </c>
      <c r="K2665" s="7">
        <v>6263446</v>
      </c>
      <c r="L2665" s="7">
        <v>344340</v>
      </c>
      <c r="M2665" s="7">
        <v>19</v>
      </c>
      <c r="N2665" s="7">
        <v>1</v>
      </c>
      <c r="O2665" s="7">
        <v>0.02</v>
      </c>
    </row>
    <row r="2666" spans="1:15" x14ac:dyDescent="0.25">
      <c r="A2666" s="6" t="s">
        <v>28</v>
      </c>
      <c r="B2666" s="6" t="s">
        <v>522</v>
      </c>
      <c r="C2666" s="7">
        <v>34840</v>
      </c>
      <c r="D2666" s="6" t="s">
        <v>24</v>
      </c>
      <c r="E2666" s="6" t="s">
        <v>456</v>
      </c>
      <c r="F2666" s="6" t="s">
        <v>558</v>
      </c>
      <c r="G2666" s="6" t="s">
        <v>32</v>
      </c>
      <c r="H2666" s="6" t="s">
        <v>19</v>
      </c>
      <c r="I2666" s="6" t="s">
        <v>767</v>
      </c>
      <c r="J2666" s="6" t="s">
        <v>767</v>
      </c>
      <c r="K2666" s="7">
        <v>6289797</v>
      </c>
      <c r="L2666" s="7">
        <v>331071</v>
      </c>
      <c r="M2666" s="7">
        <v>19</v>
      </c>
      <c r="N2666" s="7">
        <v>1</v>
      </c>
      <c r="O2666" s="7">
        <v>0.4</v>
      </c>
    </row>
    <row r="2667" spans="1:15" x14ac:dyDescent="0.25">
      <c r="A2667" s="6" t="s">
        <v>22</v>
      </c>
      <c r="B2667" s="6" t="s">
        <v>522</v>
      </c>
      <c r="C2667" s="7">
        <v>34843</v>
      </c>
      <c r="D2667" s="6" t="s">
        <v>24</v>
      </c>
      <c r="E2667" s="6" t="s">
        <v>96</v>
      </c>
      <c r="F2667" s="6" t="s">
        <v>96</v>
      </c>
      <c r="G2667" s="6" t="s">
        <v>32</v>
      </c>
      <c r="H2667" s="6" t="s">
        <v>765</v>
      </c>
      <c r="I2667" s="6" t="s">
        <v>767</v>
      </c>
      <c r="J2667" s="6" t="s">
        <v>767</v>
      </c>
      <c r="K2667" s="7">
        <v>6259348</v>
      </c>
      <c r="L2667" s="7">
        <v>340832</v>
      </c>
      <c r="M2667" s="7">
        <v>19</v>
      </c>
      <c r="N2667" s="7">
        <v>1</v>
      </c>
      <c r="O2667" s="7">
        <v>0.4</v>
      </c>
    </row>
    <row r="2668" spans="1:15" x14ac:dyDescent="0.25">
      <c r="A2668" s="6" t="s">
        <v>14</v>
      </c>
      <c r="B2668" s="6" t="s">
        <v>522</v>
      </c>
      <c r="C2668" s="7">
        <v>34844</v>
      </c>
      <c r="D2668" s="6" t="s">
        <v>39</v>
      </c>
      <c r="E2668" s="6" t="s">
        <v>310</v>
      </c>
      <c r="F2668" s="6" t="s">
        <v>310</v>
      </c>
      <c r="G2668" s="6" t="s">
        <v>89</v>
      </c>
      <c r="H2668" s="6" t="s">
        <v>101</v>
      </c>
      <c r="I2668" s="6" t="s">
        <v>767</v>
      </c>
      <c r="J2668" s="6" t="s">
        <v>767</v>
      </c>
      <c r="K2668" s="7">
        <v>6117298</v>
      </c>
      <c r="L2668" s="7">
        <v>288844</v>
      </c>
      <c r="M2668" s="7">
        <v>19</v>
      </c>
      <c r="N2668" s="7">
        <v>1</v>
      </c>
      <c r="O2668" s="7">
        <v>2</v>
      </c>
    </row>
    <row r="2669" spans="1:15" x14ac:dyDescent="0.25">
      <c r="A2669" s="6" t="s">
        <v>14</v>
      </c>
      <c r="B2669" s="6" t="s">
        <v>522</v>
      </c>
      <c r="C2669" s="7">
        <v>34847</v>
      </c>
      <c r="D2669" s="6" t="s">
        <v>42</v>
      </c>
      <c r="E2669" s="6" t="s">
        <v>449</v>
      </c>
      <c r="F2669" s="6" t="s">
        <v>449</v>
      </c>
      <c r="G2669" s="6" t="s">
        <v>89</v>
      </c>
      <c r="H2669" s="6" t="s">
        <v>101</v>
      </c>
      <c r="I2669" s="6" t="s">
        <v>767</v>
      </c>
      <c r="J2669" s="6" t="s">
        <v>767</v>
      </c>
      <c r="K2669" s="7">
        <v>6163933</v>
      </c>
      <c r="L2669" s="7">
        <v>306007</v>
      </c>
      <c r="M2669" s="7">
        <v>19</v>
      </c>
      <c r="N2669" s="7">
        <v>1</v>
      </c>
      <c r="O2669" s="7">
        <v>8.4</v>
      </c>
    </row>
    <row r="2670" spans="1:15" x14ac:dyDescent="0.25">
      <c r="A2670" s="6" t="s">
        <v>22</v>
      </c>
      <c r="B2670" s="6" t="s">
        <v>522</v>
      </c>
      <c r="C2670" s="7">
        <v>34848</v>
      </c>
      <c r="D2670" s="6" t="s">
        <v>16</v>
      </c>
      <c r="E2670" s="6" t="s">
        <v>295</v>
      </c>
      <c r="F2670" s="6" t="s">
        <v>607</v>
      </c>
      <c r="G2670" s="6" t="s">
        <v>32</v>
      </c>
      <c r="H2670" s="6" t="s">
        <v>765</v>
      </c>
      <c r="I2670" s="6" t="s">
        <v>767</v>
      </c>
      <c r="J2670" s="6" t="s">
        <v>767</v>
      </c>
      <c r="K2670" s="7">
        <v>6366415</v>
      </c>
      <c r="L2670" s="7">
        <v>353823</v>
      </c>
      <c r="M2670" s="7">
        <v>19</v>
      </c>
      <c r="N2670" s="7">
        <v>1</v>
      </c>
      <c r="O2670" s="7">
        <v>0.59</v>
      </c>
    </row>
    <row r="2671" spans="1:15" x14ac:dyDescent="0.25">
      <c r="A2671" s="6" t="s">
        <v>14</v>
      </c>
      <c r="B2671" s="6" t="s">
        <v>522</v>
      </c>
      <c r="C2671" s="7">
        <v>34850</v>
      </c>
      <c r="D2671" s="6" t="s">
        <v>42</v>
      </c>
      <c r="E2671" s="6" t="s">
        <v>449</v>
      </c>
      <c r="F2671" s="6" t="s">
        <v>449</v>
      </c>
      <c r="G2671" s="6" t="s">
        <v>89</v>
      </c>
      <c r="H2671" s="6" t="s">
        <v>101</v>
      </c>
      <c r="I2671" s="6" t="s">
        <v>767</v>
      </c>
      <c r="J2671" s="6" t="s">
        <v>767</v>
      </c>
      <c r="K2671" s="7">
        <v>6166410</v>
      </c>
      <c r="L2671" s="7">
        <v>304556</v>
      </c>
      <c r="M2671" s="7">
        <v>19</v>
      </c>
      <c r="N2671" s="7">
        <v>1</v>
      </c>
      <c r="O2671" s="7">
        <v>2</v>
      </c>
    </row>
    <row r="2672" spans="1:15" x14ac:dyDescent="0.25">
      <c r="A2672" s="6" t="s">
        <v>22</v>
      </c>
      <c r="B2672" s="6" t="s">
        <v>522</v>
      </c>
      <c r="C2672" s="7">
        <v>34851</v>
      </c>
      <c r="D2672" s="6" t="s">
        <v>133</v>
      </c>
      <c r="E2672" s="6" t="s">
        <v>249</v>
      </c>
      <c r="F2672" s="6" t="s">
        <v>526</v>
      </c>
      <c r="G2672" s="6" t="s">
        <v>89</v>
      </c>
      <c r="H2672" s="6" t="s">
        <v>765</v>
      </c>
      <c r="I2672" s="6" t="s">
        <v>767</v>
      </c>
      <c r="J2672" s="6" t="s">
        <v>767</v>
      </c>
      <c r="K2672" s="7">
        <v>5699866</v>
      </c>
      <c r="L2672" s="7">
        <v>722881</v>
      </c>
      <c r="M2672" s="7">
        <v>18</v>
      </c>
      <c r="N2672" s="7">
        <v>1</v>
      </c>
      <c r="O2672" s="7">
        <v>0.1</v>
      </c>
    </row>
    <row r="2673" spans="1:15" x14ac:dyDescent="0.25">
      <c r="A2673" s="6" t="s">
        <v>22</v>
      </c>
      <c r="B2673" s="6" t="s">
        <v>522</v>
      </c>
      <c r="C2673" s="7">
        <v>34853</v>
      </c>
      <c r="D2673" s="6" t="s">
        <v>16</v>
      </c>
      <c r="E2673" s="6" t="s">
        <v>295</v>
      </c>
      <c r="F2673" s="6" t="s">
        <v>607</v>
      </c>
      <c r="G2673" s="6" t="s">
        <v>32</v>
      </c>
      <c r="H2673" s="6" t="s">
        <v>765</v>
      </c>
      <c r="I2673" s="6" t="s">
        <v>767</v>
      </c>
      <c r="J2673" s="6" t="s">
        <v>767</v>
      </c>
      <c r="K2673" s="7">
        <v>6366207</v>
      </c>
      <c r="L2673" s="7">
        <v>352974</v>
      </c>
      <c r="M2673" s="7">
        <v>19</v>
      </c>
      <c r="N2673" s="7">
        <v>1</v>
      </c>
      <c r="O2673" s="7">
        <v>0.28999999999999998</v>
      </c>
    </row>
    <row r="2674" spans="1:15" x14ac:dyDescent="0.25">
      <c r="A2674" s="6" t="s">
        <v>14</v>
      </c>
      <c r="B2674" s="6" t="s">
        <v>522</v>
      </c>
      <c r="C2674" s="7">
        <v>34855</v>
      </c>
      <c r="D2674" s="6" t="s">
        <v>42</v>
      </c>
      <c r="E2674" s="6" t="s">
        <v>45</v>
      </c>
      <c r="F2674" s="6" t="s">
        <v>199</v>
      </c>
      <c r="G2674" s="6" t="s">
        <v>89</v>
      </c>
      <c r="H2674" s="6" t="s">
        <v>101</v>
      </c>
      <c r="I2674" s="6" t="s">
        <v>767</v>
      </c>
      <c r="J2674" s="6" t="s">
        <v>767</v>
      </c>
      <c r="K2674" s="7">
        <v>6174126</v>
      </c>
      <c r="L2674" s="7">
        <v>321438</v>
      </c>
      <c r="M2674" s="7">
        <v>19</v>
      </c>
      <c r="N2674" s="7">
        <v>1</v>
      </c>
      <c r="O2674" s="7">
        <v>4.5999999999999996</v>
      </c>
    </row>
    <row r="2675" spans="1:15" x14ac:dyDescent="0.25">
      <c r="A2675" s="6" t="s">
        <v>14</v>
      </c>
      <c r="B2675" s="6" t="s">
        <v>522</v>
      </c>
      <c r="C2675" s="7">
        <v>34858</v>
      </c>
      <c r="D2675" s="6" t="s">
        <v>42</v>
      </c>
      <c r="E2675" s="6" t="s">
        <v>448</v>
      </c>
      <c r="F2675" s="6" t="s">
        <v>149</v>
      </c>
      <c r="G2675" s="6" t="s">
        <v>89</v>
      </c>
      <c r="H2675" s="6" t="s">
        <v>101</v>
      </c>
      <c r="I2675" s="6" t="s">
        <v>767</v>
      </c>
      <c r="J2675" s="6" t="s">
        <v>767</v>
      </c>
      <c r="K2675" s="7">
        <v>6160721</v>
      </c>
      <c r="L2675" s="7">
        <v>293690</v>
      </c>
      <c r="M2675" s="7">
        <v>19</v>
      </c>
      <c r="N2675" s="7">
        <v>2</v>
      </c>
      <c r="O2675" s="7">
        <v>8</v>
      </c>
    </row>
    <row r="2676" spans="1:15" x14ac:dyDescent="0.25">
      <c r="A2676" s="6" t="s">
        <v>14</v>
      </c>
      <c r="B2676" s="6" t="s">
        <v>522</v>
      </c>
      <c r="C2676" s="7">
        <v>34861</v>
      </c>
      <c r="D2676" s="6" t="s">
        <v>39</v>
      </c>
      <c r="E2676" s="6" t="s">
        <v>41</v>
      </c>
      <c r="F2676" s="6" t="s">
        <v>41</v>
      </c>
      <c r="G2676" s="6" t="s">
        <v>89</v>
      </c>
      <c r="H2676" s="6" t="s">
        <v>101</v>
      </c>
      <c r="I2676" s="6" t="s">
        <v>767</v>
      </c>
      <c r="J2676" s="6" t="s">
        <v>767</v>
      </c>
      <c r="K2676" s="7">
        <v>6118014</v>
      </c>
      <c r="L2676" s="7">
        <v>290871</v>
      </c>
      <c r="M2676" s="7">
        <v>19</v>
      </c>
      <c r="N2676" s="7">
        <v>1</v>
      </c>
      <c r="O2676" s="7">
        <v>1</v>
      </c>
    </row>
    <row r="2677" spans="1:15" x14ac:dyDescent="0.25">
      <c r="A2677" s="6" t="s">
        <v>14</v>
      </c>
      <c r="B2677" s="6" t="s">
        <v>522</v>
      </c>
      <c r="C2677" s="7">
        <v>34862</v>
      </c>
      <c r="D2677" s="6" t="s">
        <v>42</v>
      </c>
      <c r="E2677" s="6" t="s">
        <v>301</v>
      </c>
      <c r="F2677" s="6" t="s">
        <v>301</v>
      </c>
      <c r="G2677" s="6" t="s">
        <v>89</v>
      </c>
      <c r="H2677" s="6" t="s">
        <v>101</v>
      </c>
      <c r="I2677" s="6" t="s">
        <v>767</v>
      </c>
      <c r="J2677" s="6" t="s">
        <v>767</v>
      </c>
      <c r="K2677" s="7">
        <v>6218142</v>
      </c>
      <c r="L2677" s="7">
        <v>346568</v>
      </c>
      <c r="M2677" s="7">
        <v>19</v>
      </c>
      <c r="N2677" s="7">
        <v>1</v>
      </c>
      <c r="O2677" s="7">
        <v>2</v>
      </c>
    </row>
    <row r="2678" spans="1:15" x14ac:dyDescent="0.25">
      <c r="A2678" s="6" t="s">
        <v>22</v>
      </c>
      <c r="B2678" s="6" t="s">
        <v>522</v>
      </c>
      <c r="C2678" s="7">
        <v>34863</v>
      </c>
      <c r="D2678" s="6" t="s">
        <v>16</v>
      </c>
      <c r="E2678" s="6" t="s">
        <v>295</v>
      </c>
      <c r="F2678" s="6" t="s">
        <v>536</v>
      </c>
      <c r="G2678" s="6" t="s">
        <v>32</v>
      </c>
      <c r="H2678" s="6" t="s">
        <v>765</v>
      </c>
      <c r="I2678" s="6" t="s">
        <v>767</v>
      </c>
      <c r="J2678" s="6" t="s">
        <v>767</v>
      </c>
      <c r="K2678" s="7">
        <v>6362732</v>
      </c>
      <c r="L2678" s="7">
        <v>350536</v>
      </c>
      <c r="M2678" s="7">
        <v>19</v>
      </c>
      <c r="N2678" s="7">
        <v>1</v>
      </c>
      <c r="O2678" s="7">
        <v>3.25</v>
      </c>
    </row>
    <row r="2679" spans="1:15" x14ac:dyDescent="0.25">
      <c r="A2679" s="6" t="s">
        <v>14</v>
      </c>
      <c r="B2679" s="6" t="s">
        <v>522</v>
      </c>
      <c r="C2679" s="7">
        <v>34865</v>
      </c>
      <c r="D2679" s="6" t="s">
        <v>42</v>
      </c>
      <c r="E2679" s="6" t="s">
        <v>301</v>
      </c>
      <c r="F2679" s="6" t="s">
        <v>301</v>
      </c>
      <c r="G2679" s="6" t="s">
        <v>89</v>
      </c>
      <c r="H2679" s="6" t="s">
        <v>101</v>
      </c>
      <c r="I2679" s="6" t="s">
        <v>767</v>
      </c>
      <c r="J2679" s="6" t="s">
        <v>767</v>
      </c>
      <c r="K2679" s="7">
        <v>6218195</v>
      </c>
      <c r="L2679" s="7">
        <v>346871</v>
      </c>
      <c r="M2679" s="7">
        <v>19</v>
      </c>
      <c r="N2679" s="7">
        <v>1</v>
      </c>
      <c r="O2679" s="7">
        <v>3</v>
      </c>
    </row>
    <row r="2680" spans="1:15" x14ac:dyDescent="0.25">
      <c r="A2680" s="6" t="s">
        <v>22</v>
      </c>
      <c r="B2680" s="6" t="s">
        <v>522</v>
      </c>
      <c r="C2680" s="7">
        <v>34866</v>
      </c>
      <c r="D2680" s="6" t="s">
        <v>16</v>
      </c>
      <c r="E2680" s="6" t="s">
        <v>295</v>
      </c>
      <c r="F2680" s="6" t="s">
        <v>607</v>
      </c>
      <c r="G2680" s="6" t="s">
        <v>32</v>
      </c>
      <c r="H2680" s="6" t="s">
        <v>765</v>
      </c>
      <c r="I2680" s="6" t="s">
        <v>767</v>
      </c>
      <c r="J2680" s="6" t="s">
        <v>767</v>
      </c>
      <c r="K2680" s="7">
        <v>6366722</v>
      </c>
      <c r="L2680" s="7">
        <v>353501</v>
      </c>
      <c r="M2680" s="7">
        <v>19</v>
      </c>
      <c r="N2680" s="7">
        <v>1</v>
      </c>
      <c r="O2680" s="7">
        <v>0.95</v>
      </c>
    </row>
    <row r="2681" spans="1:15" x14ac:dyDescent="0.25">
      <c r="A2681" s="6" t="s">
        <v>14</v>
      </c>
      <c r="B2681" s="6" t="s">
        <v>522</v>
      </c>
      <c r="C2681" s="7">
        <v>34867</v>
      </c>
      <c r="D2681" s="6" t="s">
        <v>39</v>
      </c>
      <c r="E2681" s="6" t="s">
        <v>41</v>
      </c>
      <c r="F2681" s="6" t="s">
        <v>502</v>
      </c>
      <c r="G2681" s="6" t="s">
        <v>89</v>
      </c>
      <c r="H2681" s="6" t="s">
        <v>101</v>
      </c>
      <c r="I2681" s="6" t="s">
        <v>767</v>
      </c>
      <c r="J2681" s="6" t="s">
        <v>767</v>
      </c>
      <c r="K2681" s="7">
        <v>6122341</v>
      </c>
      <c r="L2681" s="7">
        <v>292668</v>
      </c>
      <c r="M2681" s="7">
        <v>19</v>
      </c>
      <c r="N2681" s="7">
        <v>1</v>
      </c>
      <c r="O2681" s="7">
        <v>4.3</v>
      </c>
    </row>
    <row r="2682" spans="1:15" x14ac:dyDescent="0.25">
      <c r="A2682" s="6" t="s">
        <v>14</v>
      </c>
      <c r="B2682" s="6" t="s">
        <v>522</v>
      </c>
      <c r="C2682" s="7">
        <v>34869</v>
      </c>
      <c r="D2682" s="6" t="s">
        <v>42</v>
      </c>
      <c r="E2682" s="6" t="s">
        <v>51</v>
      </c>
      <c r="F2682" s="6" t="s">
        <v>76</v>
      </c>
      <c r="G2682" s="6" t="s">
        <v>89</v>
      </c>
      <c r="H2682" s="6" t="s">
        <v>101</v>
      </c>
      <c r="I2682" s="6" t="s">
        <v>767</v>
      </c>
      <c r="J2682" s="6" t="s">
        <v>767</v>
      </c>
      <c r="K2682" s="7">
        <v>6145290</v>
      </c>
      <c r="L2682" s="7">
        <v>319021</v>
      </c>
      <c r="M2682" s="7">
        <v>19</v>
      </c>
      <c r="N2682" s="7">
        <v>1</v>
      </c>
      <c r="O2682" s="7">
        <v>3</v>
      </c>
    </row>
    <row r="2683" spans="1:15" x14ac:dyDescent="0.25">
      <c r="A2683" s="6" t="s">
        <v>14</v>
      </c>
      <c r="B2683" s="6" t="s">
        <v>522</v>
      </c>
      <c r="C2683" s="7">
        <v>34870</v>
      </c>
      <c r="D2683" s="6" t="s">
        <v>24</v>
      </c>
      <c r="E2683" s="6" t="s">
        <v>557</v>
      </c>
      <c r="F2683" s="6" t="s">
        <v>557</v>
      </c>
      <c r="G2683" s="6" t="s">
        <v>89</v>
      </c>
      <c r="H2683" s="6" t="s">
        <v>101</v>
      </c>
      <c r="I2683" s="6" t="s">
        <v>767</v>
      </c>
      <c r="J2683" s="6" t="s">
        <v>767</v>
      </c>
      <c r="K2683" s="7">
        <v>6285075</v>
      </c>
      <c r="L2683" s="7">
        <v>321374</v>
      </c>
      <c r="M2683" s="7">
        <v>19</v>
      </c>
      <c r="N2683" s="7">
        <v>1</v>
      </c>
      <c r="O2683" s="7">
        <v>0.75</v>
      </c>
    </row>
    <row r="2684" spans="1:15" x14ac:dyDescent="0.25">
      <c r="A2684" s="6" t="s">
        <v>14</v>
      </c>
      <c r="B2684" s="6" t="s">
        <v>522</v>
      </c>
      <c r="C2684" s="7">
        <v>34871</v>
      </c>
      <c r="D2684" s="6" t="s">
        <v>39</v>
      </c>
      <c r="E2684" s="6" t="s">
        <v>310</v>
      </c>
      <c r="F2684" s="6" t="s">
        <v>310</v>
      </c>
      <c r="G2684" s="6" t="s">
        <v>89</v>
      </c>
      <c r="H2684" s="6" t="s">
        <v>101</v>
      </c>
      <c r="I2684" s="6" t="s">
        <v>767</v>
      </c>
      <c r="J2684" s="6" t="s">
        <v>767</v>
      </c>
      <c r="K2684" s="7">
        <v>6110948</v>
      </c>
      <c r="L2684" s="7">
        <v>209124</v>
      </c>
      <c r="M2684" s="7">
        <v>19</v>
      </c>
      <c r="N2684" s="7">
        <v>1</v>
      </c>
      <c r="O2684" s="7">
        <v>4</v>
      </c>
    </row>
    <row r="2685" spans="1:15" x14ac:dyDescent="0.25">
      <c r="A2685" s="6" t="s">
        <v>14</v>
      </c>
      <c r="B2685" s="6" t="s">
        <v>522</v>
      </c>
      <c r="C2685" s="7">
        <v>34872</v>
      </c>
      <c r="D2685" s="6" t="s">
        <v>24</v>
      </c>
      <c r="E2685" s="6" t="s">
        <v>557</v>
      </c>
      <c r="F2685" s="6" t="s">
        <v>557</v>
      </c>
      <c r="G2685" s="6" t="s">
        <v>89</v>
      </c>
      <c r="H2685" s="6" t="s">
        <v>101</v>
      </c>
      <c r="I2685" s="6" t="s">
        <v>767</v>
      </c>
      <c r="J2685" s="6" t="s">
        <v>767</v>
      </c>
      <c r="K2685" s="7">
        <v>6285075</v>
      </c>
      <c r="L2685" s="7">
        <v>321374</v>
      </c>
      <c r="M2685" s="7">
        <v>19</v>
      </c>
      <c r="N2685" s="7">
        <v>1</v>
      </c>
      <c r="O2685" s="7">
        <v>6.5</v>
      </c>
    </row>
    <row r="2686" spans="1:15" x14ac:dyDescent="0.25">
      <c r="A2686" s="6" t="s">
        <v>22</v>
      </c>
      <c r="B2686" s="6" t="s">
        <v>522</v>
      </c>
      <c r="C2686" s="7">
        <v>34873</v>
      </c>
      <c r="D2686" s="6" t="s">
        <v>16</v>
      </c>
      <c r="E2686" s="6" t="s">
        <v>295</v>
      </c>
      <c r="F2686" s="6" t="s">
        <v>607</v>
      </c>
      <c r="G2686" s="6" t="s">
        <v>32</v>
      </c>
      <c r="H2686" s="6" t="s">
        <v>765</v>
      </c>
      <c r="I2686" s="6" t="s">
        <v>767</v>
      </c>
      <c r="J2686" s="6" t="s">
        <v>767</v>
      </c>
      <c r="K2686" s="7">
        <v>6366803</v>
      </c>
      <c r="L2686" s="7">
        <v>353456</v>
      </c>
      <c r="M2686" s="7">
        <v>19</v>
      </c>
      <c r="N2686" s="7">
        <v>1</v>
      </c>
      <c r="O2686" s="7">
        <v>0.16</v>
      </c>
    </row>
    <row r="2687" spans="1:15" x14ac:dyDescent="0.25">
      <c r="A2687" s="6" t="s">
        <v>14</v>
      </c>
      <c r="B2687" s="6" t="s">
        <v>522</v>
      </c>
      <c r="C2687" s="7">
        <v>34874</v>
      </c>
      <c r="D2687" s="6" t="s">
        <v>24</v>
      </c>
      <c r="E2687" s="6" t="s">
        <v>557</v>
      </c>
      <c r="F2687" s="6" t="s">
        <v>557</v>
      </c>
      <c r="G2687" s="6" t="s">
        <v>89</v>
      </c>
      <c r="H2687" s="6" t="s">
        <v>101</v>
      </c>
      <c r="I2687" s="6" t="s">
        <v>767</v>
      </c>
      <c r="J2687" s="6" t="s">
        <v>767</v>
      </c>
      <c r="K2687" s="7">
        <v>6285075</v>
      </c>
      <c r="L2687" s="7">
        <v>321374</v>
      </c>
      <c r="M2687" s="7">
        <v>19</v>
      </c>
      <c r="N2687" s="7">
        <v>1</v>
      </c>
      <c r="O2687" s="7">
        <v>0.75</v>
      </c>
    </row>
    <row r="2688" spans="1:15" x14ac:dyDescent="0.25">
      <c r="A2688" s="6" t="s">
        <v>14</v>
      </c>
      <c r="B2688" s="6" t="s">
        <v>522</v>
      </c>
      <c r="C2688" s="7">
        <v>34875</v>
      </c>
      <c r="D2688" s="6" t="s">
        <v>42</v>
      </c>
      <c r="E2688" s="6" t="s">
        <v>51</v>
      </c>
      <c r="F2688" s="6" t="s">
        <v>51</v>
      </c>
      <c r="G2688" s="6" t="s">
        <v>89</v>
      </c>
      <c r="H2688" s="6" t="s">
        <v>101</v>
      </c>
      <c r="I2688" s="6" t="s">
        <v>767</v>
      </c>
      <c r="J2688" s="6" t="s">
        <v>767</v>
      </c>
      <c r="K2688" s="7">
        <v>6148308</v>
      </c>
      <c r="L2688" s="7">
        <v>319734</v>
      </c>
      <c r="M2688" s="7">
        <v>19</v>
      </c>
      <c r="N2688" s="7">
        <v>1</v>
      </c>
      <c r="O2688" s="7">
        <v>3</v>
      </c>
    </row>
    <row r="2689" spans="1:15" x14ac:dyDescent="0.25">
      <c r="A2689" s="6" t="s">
        <v>14</v>
      </c>
      <c r="B2689" s="6" t="s">
        <v>522</v>
      </c>
      <c r="C2689" s="7">
        <v>34876</v>
      </c>
      <c r="D2689" s="6" t="s">
        <v>42</v>
      </c>
      <c r="E2689" s="6" t="s">
        <v>51</v>
      </c>
      <c r="F2689" s="6" t="s">
        <v>51</v>
      </c>
      <c r="G2689" s="6" t="s">
        <v>89</v>
      </c>
      <c r="H2689" s="6" t="s">
        <v>101</v>
      </c>
      <c r="I2689" s="6" t="s">
        <v>767</v>
      </c>
      <c r="J2689" s="6" t="s">
        <v>767</v>
      </c>
      <c r="K2689" s="7">
        <v>6148308</v>
      </c>
      <c r="L2689" s="7">
        <v>319734</v>
      </c>
      <c r="M2689" s="7">
        <v>19</v>
      </c>
      <c r="N2689" s="7">
        <v>1</v>
      </c>
      <c r="O2689" s="7">
        <v>1</v>
      </c>
    </row>
    <row r="2690" spans="1:15" x14ac:dyDescent="0.25">
      <c r="A2690" s="6" t="s">
        <v>14</v>
      </c>
      <c r="B2690" s="6" t="s">
        <v>522</v>
      </c>
      <c r="C2690" s="7">
        <v>34877</v>
      </c>
      <c r="D2690" s="6" t="s">
        <v>39</v>
      </c>
      <c r="E2690" s="6" t="s">
        <v>53</v>
      </c>
      <c r="F2690" s="6" t="s">
        <v>53</v>
      </c>
      <c r="G2690" s="6" t="s">
        <v>89</v>
      </c>
      <c r="H2690" s="6" t="s">
        <v>101</v>
      </c>
      <c r="I2690" s="6" t="s">
        <v>767</v>
      </c>
      <c r="J2690" s="6" t="s">
        <v>767</v>
      </c>
      <c r="K2690" s="7">
        <v>6144958</v>
      </c>
      <c r="L2690" s="7">
        <v>306275</v>
      </c>
      <c r="M2690" s="7">
        <v>19</v>
      </c>
      <c r="N2690" s="7">
        <v>1</v>
      </c>
      <c r="O2690" s="7">
        <v>6</v>
      </c>
    </row>
    <row r="2691" spans="1:15" x14ac:dyDescent="0.25">
      <c r="A2691" s="6" t="s">
        <v>22</v>
      </c>
      <c r="B2691" s="6" t="s">
        <v>522</v>
      </c>
      <c r="C2691" s="7">
        <v>34879</v>
      </c>
      <c r="D2691" s="6" t="s">
        <v>16</v>
      </c>
      <c r="E2691" s="6" t="s">
        <v>295</v>
      </c>
      <c r="F2691" s="6" t="s">
        <v>607</v>
      </c>
      <c r="G2691" s="6" t="s">
        <v>32</v>
      </c>
      <c r="H2691" s="6" t="s">
        <v>765</v>
      </c>
      <c r="I2691" s="6" t="s">
        <v>767</v>
      </c>
      <c r="J2691" s="6" t="s">
        <v>767</v>
      </c>
      <c r="K2691" s="7">
        <v>6366636</v>
      </c>
      <c r="L2691" s="7">
        <v>353248</v>
      </c>
      <c r="M2691" s="7">
        <v>19</v>
      </c>
      <c r="N2691" s="7">
        <v>1</v>
      </c>
      <c r="O2691" s="7">
        <v>1.01</v>
      </c>
    </row>
    <row r="2692" spans="1:15" x14ac:dyDescent="0.25">
      <c r="A2692" s="6" t="s">
        <v>22</v>
      </c>
      <c r="B2692" s="6" t="s">
        <v>522</v>
      </c>
      <c r="C2692" s="7">
        <v>34883</v>
      </c>
      <c r="D2692" s="6" t="s">
        <v>16</v>
      </c>
      <c r="E2692" s="6" t="s">
        <v>295</v>
      </c>
      <c r="F2692" s="6" t="s">
        <v>607</v>
      </c>
      <c r="G2692" s="6" t="s">
        <v>32</v>
      </c>
      <c r="H2692" s="6" t="s">
        <v>765</v>
      </c>
      <c r="I2692" s="6" t="s">
        <v>767</v>
      </c>
      <c r="J2692" s="6" t="s">
        <v>767</v>
      </c>
      <c r="K2692" s="7">
        <v>6366557</v>
      </c>
      <c r="L2692" s="7">
        <v>353491</v>
      </c>
      <c r="M2692" s="7">
        <v>19</v>
      </c>
      <c r="N2692" s="7">
        <v>1</v>
      </c>
      <c r="O2692" s="7">
        <v>1.25</v>
      </c>
    </row>
    <row r="2693" spans="1:15" x14ac:dyDescent="0.25">
      <c r="A2693" s="6" t="s">
        <v>22</v>
      </c>
      <c r="B2693" s="6" t="s">
        <v>522</v>
      </c>
      <c r="C2693" s="7">
        <v>34884</v>
      </c>
      <c r="D2693" s="6" t="s">
        <v>16</v>
      </c>
      <c r="E2693" s="6" t="s">
        <v>291</v>
      </c>
      <c r="F2693" s="6" t="s">
        <v>291</v>
      </c>
      <c r="G2693" s="6" t="s">
        <v>32</v>
      </c>
      <c r="H2693" s="6" t="s">
        <v>765</v>
      </c>
      <c r="I2693" s="6" t="s">
        <v>767</v>
      </c>
      <c r="J2693" s="6" t="s">
        <v>767</v>
      </c>
      <c r="K2693" s="7">
        <v>6367257</v>
      </c>
      <c r="L2693" s="7">
        <v>355197</v>
      </c>
      <c r="M2693" s="7">
        <v>19</v>
      </c>
      <c r="N2693" s="7">
        <v>1</v>
      </c>
      <c r="O2693" s="7">
        <v>0.7</v>
      </c>
    </row>
    <row r="2694" spans="1:15" x14ac:dyDescent="0.25">
      <c r="A2694" s="6" t="s">
        <v>14</v>
      </c>
      <c r="B2694" s="6" t="s">
        <v>522</v>
      </c>
      <c r="C2694" s="7">
        <v>34885</v>
      </c>
      <c r="D2694" s="6" t="s">
        <v>39</v>
      </c>
      <c r="E2694" s="6" t="s">
        <v>53</v>
      </c>
      <c r="F2694" s="6" t="s">
        <v>53</v>
      </c>
      <c r="G2694" s="6" t="s">
        <v>89</v>
      </c>
      <c r="H2694" s="6" t="s">
        <v>101</v>
      </c>
      <c r="I2694" s="6" t="s">
        <v>767</v>
      </c>
      <c r="J2694" s="6" t="s">
        <v>767</v>
      </c>
      <c r="K2694" s="7">
        <v>6144958</v>
      </c>
      <c r="L2694" s="7">
        <v>306275</v>
      </c>
      <c r="M2694" s="7">
        <v>19</v>
      </c>
      <c r="N2694" s="7">
        <v>1</v>
      </c>
      <c r="O2694" s="7">
        <v>3.5</v>
      </c>
    </row>
    <row r="2695" spans="1:15" x14ac:dyDescent="0.25">
      <c r="A2695" s="6" t="s">
        <v>22</v>
      </c>
      <c r="B2695" s="6" t="s">
        <v>522</v>
      </c>
      <c r="C2695" s="7">
        <v>34886</v>
      </c>
      <c r="D2695" s="6" t="s">
        <v>16</v>
      </c>
      <c r="E2695" s="6" t="s">
        <v>295</v>
      </c>
      <c r="F2695" s="6" t="s">
        <v>607</v>
      </c>
      <c r="G2695" s="6" t="s">
        <v>32</v>
      </c>
      <c r="H2695" s="6" t="s">
        <v>765</v>
      </c>
      <c r="I2695" s="6" t="s">
        <v>767</v>
      </c>
      <c r="J2695" s="6" t="s">
        <v>767</v>
      </c>
      <c r="K2695" s="7">
        <v>6366590</v>
      </c>
      <c r="L2695" s="7">
        <v>353242</v>
      </c>
      <c r="M2695" s="7">
        <v>19</v>
      </c>
      <c r="N2695" s="7">
        <v>1</v>
      </c>
      <c r="O2695" s="7">
        <v>0.64</v>
      </c>
    </row>
    <row r="2696" spans="1:15" x14ac:dyDescent="0.25">
      <c r="A2696" s="6" t="s">
        <v>22</v>
      </c>
      <c r="B2696" s="6" t="s">
        <v>522</v>
      </c>
      <c r="C2696" s="7">
        <v>34888</v>
      </c>
      <c r="D2696" s="6" t="s">
        <v>16</v>
      </c>
      <c r="E2696" s="6" t="s">
        <v>295</v>
      </c>
      <c r="F2696" s="6" t="s">
        <v>536</v>
      </c>
      <c r="G2696" s="6" t="s">
        <v>32</v>
      </c>
      <c r="H2696" s="6" t="s">
        <v>765</v>
      </c>
      <c r="I2696" s="6" t="s">
        <v>767</v>
      </c>
      <c r="J2696" s="6" t="s">
        <v>767</v>
      </c>
      <c r="K2696" s="7">
        <v>6361611</v>
      </c>
      <c r="L2696" s="7">
        <v>351564</v>
      </c>
      <c r="M2696" s="7">
        <v>19</v>
      </c>
      <c r="N2696" s="7">
        <v>1</v>
      </c>
      <c r="O2696" s="7">
        <v>0.96</v>
      </c>
    </row>
    <row r="2697" spans="1:15" x14ac:dyDescent="0.25">
      <c r="A2697" s="6" t="s">
        <v>22</v>
      </c>
      <c r="B2697" s="6" t="s">
        <v>522</v>
      </c>
      <c r="C2697" s="7">
        <v>34889</v>
      </c>
      <c r="D2697" s="6" t="s">
        <v>16</v>
      </c>
      <c r="E2697" s="6" t="s">
        <v>633</v>
      </c>
      <c r="F2697" s="6" t="s">
        <v>536</v>
      </c>
      <c r="G2697" s="6" t="s">
        <v>32</v>
      </c>
      <c r="H2697" s="6" t="s">
        <v>765</v>
      </c>
      <c r="I2697" s="6" t="s">
        <v>767</v>
      </c>
      <c r="J2697" s="6" t="s">
        <v>767</v>
      </c>
      <c r="K2697" s="7">
        <v>6360450</v>
      </c>
      <c r="L2697" s="7">
        <v>351557</v>
      </c>
      <c r="M2697" s="7">
        <v>19</v>
      </c>
      <c r="N2697" s="7">
        <v>1</v>
      </c>
      <c r="O2697" s="7">
        <v>1.34</v>
      </c>
    </row>
    <row r="2698" spans="1:15" x14ac:dyDescent="0.25">
      <c r="A2698" s="6" t="s">
        <v>22</v>
      </c>
      <c r="B2698" s="6" t="s">
        <v>522</v>
      </c>
      <c r="C2698" s="7">
        <v>34890</v>
      </c>
      <c r="D2698" s="6" t="s">
        <v>16</v>
      </c>
      <c r="E2698" s="6" t="s">
        <v>295</v>
      </c>
      <c r="F2698" s="6" t="s">
        <v>536</v>
      </c>
      <c r="G2698" s="6" t="s">
        <v>32</v>
      </c>
      <c r="H2698" s="6" t="s">
        <v>765</v>
      </c>
      <c r="I2698" s="6" t="s">
        <v>767</v>
      </c>
      <c r="J2698" s="6" t="s">
        <v>767</v>
      </c>
      <c r="K2698" s="7">
        <v>6361446</v>
      </c>
      <c r="L2698" s="7">
        <v>351647</v>
      </c>
      <c r="M2698" s="7">
        <v>19</v>
      </c>
      <c r="N2698" s="7">
        <v>1</v>
      </c>
      <c r="O2698" s="7">
        <v>0.78</v>
      </c>
    </row>
    <row r="2699" spans="1:15" x14ac:dyDescent="0.25">
      <c r="A2699" s="6" t="s">
        <v>22</v>
      </c>
      <c r="B2699" s="6" t="s">
        <v>522</v>
      </c>
      <c r="C2699" s="7">
        <v>34891</v>
      </c>
      <c r="D2699" s="6" t="s">
        <v>16</v>
      </c>
      <c r="E2699" s="6" t="s">
        <v>633</v>
      </c>
      <c r="F2699" s="6" t="s">
        <v>536</v>
      </c>
      <c r="G2699" s="6" t="s">
        <v>32</v>
      </c>
      <c r="H2699" s="6" t="s">
        <v>765</v>
      </c>
      <c r="I2699" s="6" t="s">
        <v>767</v>
      </c>
      <c r="J2699" s="6" t="s">
        <v>767</v>
      </c>
      <c r="K2699" s="7">
        <v>6360303</v>
      </c>
      <c r="L2699" s="7">
        <v>351542</v>
      </c>
      <c r="M2699" s="7">
        <v>19</v>
      </c>
      <c r="N2699" s="7">
        <v>1</v>
      </c>
      <c r="O2699" s="7">
        <v>0.99</v>
      </c>
    </row>
    <row r="2700" spans="1:15" x14ac:dyDescent="0.25">
      <c r="A2700" s="6" t="s">
        <v>22</v>
      </c>
      <c r="B2700" s="6" t="s">
        <v>522</v>
      </c>
      <c r="C2700" s="7">
        <v>34895</v>
      </c>
      <c r="D2700" s="6" t="s">
        <v>16</v>
      </c>
      <c r="E2700" s="6" t="s">
        <v>295</v>
      </c>
      <c r="F2700" s="6" t="s">
        <v>536</v>
      </c>
      <c r="G2700" s="6" t="s">
        <v>32</v>
      </c>
      <c r="H2700" s="6" t="s">
        <v>765</v>
      </c>
      <c r="I2700" s="6" t="s">
        <v>767</v>
      </c>
      <c r="J2700" s="6" t="s">
        <v>767</v>
      </c>
      <c r="K2700" s="7">
        <v>6361605</v>
      </c>
      <c r="L2700" s="7">
        <v>351662</v>
      </c>
      <c r="M2700" s="7">
        <v>19</v>
      </c>
      <c r="N2700" s="7">
        <v>1</v>
      </c>
      <c r="O2700" s="7">
        <v>0.5</v>
      </c>
    </row>
    <row r="2701" spans="1:15" x14ac:dyDescent="0.25">
      <c r="A2701" s="6" t="s">
        <v>22</v>
      </c>
      <c r="B2701" s="6" t="s">
        <v>522</v>
      </c>
      <c r="C2701" s="7">
        <v>34898</v>
      </c>
      <c r="D2701" s="6" t="s">
        <v>16</v>
      </c>
      <c r="E2701" s="6" t="s">
        <v>291</v>
      </c>
      <c r="F2701" s="6" t="s">
        <v>291</v>
      </c>
      <c r="G2701" s="6" t="s">
        <v>32</v>
      </c>
      <c r="H2701" s="6" t="s">
        <v>765</v>
      </c>
      <c r="I2701" s="6" t="s">
        <v>767</v>
      </c>
      <c r="J2701" s="6" t="s">
        <v>767</v>
      </c>
      <c r="K2701" s="7">
        <v>6366941</v>
      </c>
      <c r="L2701" s="7">
        <v>354812</v>
      </c>
      <c r="M2701" s="7">
        <v>19</v>
      </c>
      <c r="N2701" s="7">
        <v>1</v>
      </c>
      <c r="O2701" s="7">
        <v>2.09</v>
      </c>
    </row>
    <row r="2702" spans="1:15" x14ac:dyDescent="0.25">
      <c r="A2702" s="6" t="s">
        <v>14</v>
      </c>
      <c r="B2702" s="6" t="s">
        <v>522</v>
      </c>
      <c r="C2702" s="7">
        <v>34902</v>
      </c>
      <c r="D2702" s="6" t="s">
        <v>42</v>
      </c>
      <c r="E2702" s="6" t="s">
        <v>51</v>
      </c>
      <c r="F2702" s="6" t="s">
        <v>634</v>
      </c>
      <c r="G2702" s="6" t="s">
        <v>89</v>
      </c>
      <c r="H2702" s="6" t="s">
        <v>101</v>
      </c>
      <c r="I2702" s="6" t="s">
        <v>767</v>
      </c>
      <c r="J2702" s="6" t="s">
        <v>767</v>
      </c>
      <c r="K2702" s="7">
        <v>6157301</v>
      </c>
      <c r="L2702" s="7">
        <v>316354</v>
      </c>
      <c r="M2702" s="7">
        <v>19</v>
      </c>
      <c r="N2702" s="7">
        <v>1</v>
      </c>
      <c r="O2702" s="7">
        <v>17</v>
      </c>
    </row>
    <row r="2703" spans="1:15" x14ac:dyDescent="0.25">
      <c r="A2703" s="6" t="s">
        <v>22</v>
      </c>
      <c r="B2703" s="6" t="s">
        <v>522</v>
      </c>
      <c r="C2703" s="7">
        <v>34905</v>
      </c>
      <c r="D2703" s="6" t="s">
        <v>16</v>
      </c>
      <c r="E2703" s="6" t="s">
        <v>295</v>
      </c>
      <c r="F2703" s="6" t="s">
        <v>536</v>
      </c>
      <c r="G2703" s="6" t="s">
        <v>32</v>
      </c>
      <c r="H2703" s="6" t="s">
        <v>765</v>
      </c>
      <c r="I2703" s="6" t="s">
        <v>767</v>
      </c>
      <c r="J2703" s="6" t="s">
        <v>767</v>
      </c>
      <c r="K2703" s="7">
        <v>6361466</v>
      </c>
      <c r="L2703" s="7">
        <v>351511</v>
      </c>
      <c r="M2703" s="7">
        <v>19</v>
      </c>
      <c r="N2703" s="7">
        <v>1</v>
      </c>
      <c r="O2703" s="7">
        <v>0.98</v>
      </c>
    </row>
    <row r="2704" spans="1:15" x14ac:dyDescent="0.25">
      <c r="A2704" s="6" t="s">
        <v>22</v>
      </c>
      <c r="B2704" s="6" t="s">
        <v>522</v>
      </c>
      <c r="C2704" s="7">
        <v>34906</v>
      </c>
      <c r="D2704" s="6" t="s">
        <v>16</v>
      </c>
      <c r="E2704" s="6" t="s">
        <v>295</v>
      </c>
      <c r="F2704" s="6" t="s">
        <v>607</v>
      </c>
      <c r="G2704" s="6" t="s">
        <v>32</v>
      </c>
      <c r="H2704" s="6" t="s">
        <v>765</v>
      </c>
      <c r="I2704" s="6" t="s">
        <v>767</v>
      </c>
      <c r="J2704" s="6" t="s">
        <v>767</v>
      </c>
      <c r="K2704" s="7">
        <v>6366749</v>
      </c>
      <c r="L2704" s="7">
        <v>353234</v>
      </c>
      <c r="M2704" s="7">
        <v>19</v>
      </c>
      <c r="N2704" s="7">
        <v>1</v>
      </c>
      <c r="O2704" s="7">
        <v>1.29</v>
      </c>
    </row>
    <row r="2705" spans="1:15" x14ac:dyDescent="0.25">
      <c r="A2705" s="6" t="s">
        <v>22</v>
      </c>
      <c r="B2705" s="6" t="s">
        <v>522</v>
      </c>
      <c r="C2705" s="7">
        <v>34907</v>
      </c>
      <c r="D2705" s="6" t="s">
        <v>16</v>
      </c>
      <c r="E2705" s="6" t="s">
        <v>295</v>
      </c>
      <c r="F2705" s="6" t="s">
        <v>607</v>
      </c>
      <c r="G2705" s="6" t="s">
        <v>32</v>
      </c>
      <c r="H2705" s="6" t="s">
        <v>765</v>
      </c>
      <c r="I2705" s="6" t="s">
        <v>767</v>
      </c>
      <c r="J2705" s="6" t="s">
        <v>767</v>
      </c>
      <c r="K2705" s="7">
        <v>6366399</v>
      </c>
      <c r="L2705" s="7">
        <v>353164</v>
      </c>
      <c r="M2705" s="7">
        <v>19</v>
      </c>
      <c r="N2705" s="7">
        <v>1</v>
      </c>
      <c r="O2705" s="7">
        <v>1.25</v>
      </c>
    </row>
    <row r="2706" spans="1:15" x14ac:dyDescent="0.25">
      <c r="A2706" s="6" t="s">
        <v>22</v>
      </c>
      <c r="B2706" s="6" t="s">
        <v>522</v>
      </c>
      <c r="C2706" s="7">
        <v>34909</v>
      </c>
      <c r="D2706" s="6" t="s">
        <v>16</v>
      </c>
      <c r="E2706" s="6" t="s">
        <v>295</v>
      </c>
      <c r="F2706" s="6" t="s">
        <v>536</v>
      </c>
      <c r="G2706" s="6" t="s">
        <v>32</v>
      </c>
      <c r="H2706" s="6" t="s">
        <v>765</v>
      </c>
      <c r="I2706" s="6" t="s">
        <v>767</v>
      </c>
      <c r="J2706" s="6" t="s">
        <v>767</v>
      </c>
      <c r="K2706" s="7">
        <v>6362422</v>
      </c>
      <c r="L2706" s="7">
        <v>351032</v>
      </c>
      <c r="M2706" s="7">
        <v>19</v>
      </c>
      <c r="N2706" s="7">
        <v>1</v>
      </c>
      <c r="O2706" s="7">
        <v>2.52</v>
      </c>
    </row>
    <row r="2707" spans="1:15" x14ac:dyDescent="0.25">
      <c r="A2707" s="6" t="s">
        <v>14</v>
      </c>
      <c r="B2707" s="6" t="s">
        <v>522</v>
      </c>
      <c r="C2707" s="7">
        <v>34910</v>
      </c>
      <c r="D2707" s="6" t="s">
        <v>24</v>
      </c>
      <c r="E2707" s="6" t="s">
        <v>31</v>
      </c>
      <c r="F2707" s="6" t="s">
        <v>415</v>
      </c>
      <c r="G2707" s="6" t="s">
        <v>89</v>
      </c>
      <c r="H2707" s="6" t="s">
        <v>101</v>
      </c>
      <c r="I2707" s="6" t="s">
        <v>767</v>
      </c>
      <c r="J2707" s="6" t="s">
        <v>767</v>
      </c>
      <c r="K2707" s="7">
        <v>6271650</v>
      </c>
      <c r="L2707" s="7">
        <v>301755</v>
      </c>
      <c r="M2707" s="7">
        <v>19</v>
      </c>
      <c r="N2707" s="7">
        <v>1</v>
      </c>
      <c r="O2707" s="7">
        <v>1.1000000000000001</v>
      </c>
    </row>
    <row r="2708" spans="1:15" x14ac:dyDescent="0.25">
      <c r="A2708" s="6" t="s">
        <v>14</v>
      </c>
      <c r="B2708" s="6" t="s">
        <v>522</v>
      </c>
      <c r="C2708" s="7">
        <v>34912</v>
      </c>
      <c r="D2708" s="6" t="s">
        <v>24</v>
      </c>
      <c r="E2708" s="6" t="s">
        <v>31</v>
      </c>
      <c r="F2708" s="6" t="s">
        <v>415</v>
      </c>
      <c r="G2708" s="6" t="s">
        <v>89</v>
      </c>
      <c r="H2708" s="6" t="s">
        <v>101</v>
      </c>
      <c r="I2708" s="6" t="s">
        <v>767</v>
      </c>
      <c r="J2708" s="6" t="s">
        <v>767</v>
      </c>
      <c r="K2708" s="7">
        <v>6271650</v>
      </c>
      <c r="L2708" s="7">
        <v>301755</v>
      </c>
      <c r="M2708" s="7">
        <v>19</v>
      </c>
      <c r="N2708" s="7">
        <v>1</v>
      </c>
      <c r="O2708" s="7">
        <v>4.5999999999999996</v>
      </c>
    </row>
    <row r="2709" spans="1:15" x14ac:dyDescent="0.25">
      <c r="A2709" s="6" t="s">
        <v>22</v>
      </c>
      <c r="B2709" s="6" t="s">
        <v>522</v>
      </c>
      <c r="C2709" s="7">
        <v>34913</v>
      </c>
      <c r="D2709" s="6" t="s">
        <v>16</v>
      </c>
      <c r="E2709" s="6" t="s">
        <v>295</v>
      </c>
      <c r="F2709" s="6" t="s">
        <v>536</v>
      </c>
      <c r="G2709" s="6" t="s">
        <v>32</v>
      </c>
      <c r="H2709" s="6" t="s">
        <v>765</v>
      </c>
      <c r="I2709" s="6" t="s">
        <v>767</v>
      </c>
      <c r="J2709" s="6" t="s">
        <v>767</v>
      </c>
      <c r="K2709" s="7">
        <v>6362462</v>
      </c>
      <c r="L2709" s="7">
        <v>351166</v>
      </c>
      <c r="M2709" s="7">
        <v>19</v>
      </c>
      <c r="N2709" s="7">
        <v>1</v>
      </c>
      <c r="O2709" s="7">
        <v>0.73</v>
      </c>
    </row>
    <row r="2710" spans="1:15" x14ac:dyDescent="0.25">
      <c r="A2710" s="6" t="s">
        <v>14</v>
      </c>
      <c r="B2710" s="6" t="s">
        <v>522</v>
      </c>
      <c r="C2710" s="7">
        <v>34916</v>
      </c>
      <c r="D2710" s="6" t="s">
        <v>39</v>
      </c>
      <c r="E2710" s="6" t="s">
        <v>53</v>
      </c>
      <c r="F2710" s="6" t="s">
        <v>53</v>
      </c>
      <c r="G2710" s="6" t="s">
        <v>89</v>
      </c>
      <c r="H2710" s="6" t="s">
        <v>101</v>
      </c>
      <c r="I2710" s="6" t="s">
        <v>767</v>
      </c>
      <c r="J2710" s="6" t="s">
        <v>767</v>
      </c>
      <c r="K2710" s="7">
        <v>6144958</v>
      </c>
      <c r="L2710" s="7">
        <v>306275</v>
      </c>
      <c r="M2710" s="7">
        <v>19</v>
      </c>
      <c r="N2710" s="7">
        <v>1</v>
      </c>
      <c r="O2710" s="7">
        <v>4</v>
      </c>
    </row>
    <row r="2711" spans="1:15" x14ac:dyDescent="0.25">
      <c r="A2711" s="6" t="s">
        <v>22</v>
      </c>
      <c r="B2711" s="6" t="s">
        <v>522</v>
      </c>
      <c r="C2711" s="7">
        <v>34917</v>
      </c>
      <c r="D2711" s="6" t="s">
        <v>16</v>
      </c>
      <c r="E2711" s="6" t="s">
        <v>295</v>
      </c>
      <c r="F2711" s="6" t="s">
        <v>607</v>
      </c>
      <c r="G2711" s="6" t="s">
        <v>32</v>
      </c>
      <c r="H2711" s="6" t="s">
        <v>765</v>
      </c>
      <c r="I2711" s="6" t="s">
        <v>767</v>
      </c>
      <c r="J2711" s="6" t="s">
        <v>767</v>
      </c>
      <c r="K2711" s="7">
        <v>6366632</v>
      </c>
      <c r="L2711" s="7">
        <v>352991</v>
      </c>
      <c r="M2711" s="7">
        <v>19</v>
      </c>
      <c r="N2711" s="7">
        <v>1</v>
      </c>
      <c r="O2711" s="7">
        <v>0.85</v>
      </c>
    </row>
    <row r="2712" spans="1:15" x14ac:dyDescent="0.25">
      <c r="A2712" s="6" t="s">
        <v>22</v>
      </c>
      <c r="B2712" s="6" t="s">
        <v>522</v>
      </c>
      <c r="C2712" s="7">
        <v>34920</v>
      </c>
      <c r="D2712" s="6" t="s">
        <v>16</v>
      </c>
      <c r="E2712" s="6" t="s">
        <v>291</v>
      </c>
      <c r="F2712" s="6" t="s">
        <v>291</v>
      </c>
      <c r="G2712" s="6" t="s">
        <v>32</v>
      </c>
      <c r="H2712" s="6" t="s">
        <v>765</v>
      </c>
      <c r="I2712" s="6" t="s">
        <v>767</v>
      </c>
      <c r="J2712" s="6" t="s">
        <v>767</v>
      </c>
      <c r="K2712" s="7">
        <v>6367308</v>
      </c>
      <c r="L2712" s="7">
        <v>355132</v>
      </c>
      <c r="M2712" s="7">
        <v>19</v>
      </c>
      <c r="N2712" s="7">
        <v>1</v>
      </c>
      <c r="O2712" s="7">
        <v>0.14000000000000001</v>
      </c>
    </row>
    <row r="2713" spans="1:15" x14ac:dyDescent="0.25">
      <c r="A2713" s="6" t="s">
        <v>22</v>
      </c>
      <c r="B2713" s="6" t="s">
        <v>522</v>
      </c>
      <c r="C2713" s="7">
        <v>34921</v>
      </c>
      <c r="D2713" s="6" t="s">
        <v>16</v>
      </c>
      <c r="E2713" s="6" t="s">
        <v>291</v>
      </c>
      <c r="F2713" s="6" t="s">
        <v>291</v>
      </c>
      <c r="G2713" s="6" t="s">
        <v>32</v>
      </c>
      <c r="H2713" s="6" t="s">
        <v>765</v>
      </c>
      <c r="I2713" s="6" t="s">
        <v>767</v>
      </c>
      <c r="J2713" s="6" t="s">
        <v>767</v>
      </c>
      <c r="K2713" s="7">
        <v>6366971</v>
      </c>
      <c r="L2713" s="7">
        <v>355028</v>
      </c>
      <c r="M2713" s="7">
        <v>19</v>
      </c>
      <c r="N2713" s="7">
        <v>1</v>
      </c>
      <c r="O2713" s="7">
        <v>0.73</v>
      </c>
    </row>
    <row r="2714" spans="1:15" x14ac:dyDescent="0.25">
      <c r="A2714" s="6" t="s">
        <v>22</v>
      </c>
      <c r="B2714" s="6" t="s">
        <v>522</v>
      </c>
      <c r="C2714" s="7">
        <v>34922</v>
      </c>
      <c r="D2714" s="6" t="s">
        <v>16</v>
      </c>
      <c r="E2714" s="6" t="s">
        <v>295</v>
      </c>
      <c r="F2714" s="6" t="s">
        <v>607</v>
      </c>
      <c r="G2714" s="6" t="s">
        <v>32</v>
      </c>
      <c r="H2714" s="6" t="s">
        <v>765</v>
      </c>
      <c r="I2714" s="6" t="s">
        <v>767</v>
      </c>
      <c r="J2714" s="6" t="s">
        <v>767</v>
      </c>
      <c r="K2714" s="7">
        <v>6366310</v>
      </c>
      <c r="L2714" s="7">
        <v>352947</v>
      </c>
      <c r="M2714" s="7">
        <v>19</v>
      </c>
      <c r="N2714" s="7">
        <v>1</v>
      </c>
      <c r="O2714" s="7">
        <v>0.95</v>
      </c>
    </row>
    <row r="2715" spans="1:15" x14ac:dyDescent="0.25">
      <c r="A2715" s="6" t="s">
        <v>14</v>
      </c>
      <c r="B2715" s="6" t="s">
        <v>522</v>
      </c>
      <c r="C2715" s="7">
        <v>34930</v>
      </c>
      <c r="D2715" s="6" t="s">
        <v>42</v>
      </c>
      <c r="E2715" s="6" t="s">
        <v>51</v>
      </c>
      <c r="F2715" s="6" t="s">
        <v>51</v>
      </c>
      <c r="G2715" s="6" t="s">
        <v>89</v>
      </c>
      <c r="H2715" s="6" t="s">
        <v>101</v>
      </c>
      <c r="I2715" s="6" t="s">
        <v>767</v>
      </c>
      <c r="J2715" s="6" t="s">
        <v>767</v>
      </c>
      <c r="K2715" s="7">
        <v>6148464</v>
      </c>
      <c r="L2715" s="7">
        <v>320068</v>
      </c>
      <c r="M2715" s="7">
        <v>19</v>
      </c>
      <c r="N2715" s="7">
        <v>1</v>
      </c>
      <c r="O2715" s="7">
        <v>4</v>
      </c>
    </row>
    <row r="2716" spans="1:15" x14ac:dyDescent="0.25">
      <c r="A2716" s="6" t="s">
        <v>14</v>
      </c>
      <c r="B2716" s="6" t="s">
        <v>522</v>
      </c>
      <c r="C2716" s="7">
        <v>34931</v>
      </c>
      <c r="D2716" s="6" t="s">
        <v>24</v>
      </c>
      <c r="E2716" s="6" t="s">
        <v>31</v>
      </c>
      <c r="F2716" s="6" t="s">
        <v>415</v>
      </c>
      <c r="G2716" s="6" t="s">
        <v>89</v>
      </c>
      <c r="H2716" s="6" t="s">
        <v>101</v>
      </c>
      <c r="I2716" s="6" t="s">
        <v>767</v>
      </c>
      <c r="J2716" s="6" t="s">
        <v>767</v>
      </c>
      <c r="K2716" s="7">
        <v>6271650</v>
      </c>
      <c r="L2716" s="7">
        <v>301755</v>
      </c>
      <c r="M2716" s="7">
        <v>19</v>
      </c>
      <c r="N2716" s="7">
        <v>1</v>
      </c>
      <c r="O2716" s="7">
        <v>5</v>
      </c>
    </row>
    <row r="2717" spans="1:15" x14ac:dyDescent="0.25">
      <c r="A2717" s="6" t="s">
        <v>22</v>
      </c>
      <c r="B2717" s="6" t="s">
        <v>522</v>
      </c>
      <c r="C2717" s="7">
        <v>34934</v>
      </c>
      <c r="D2717" s="6" t="s">
        <v>16</v>
      </c>
      <c r="E2717" s="6" t="s">
        <v>291</v>
      </c>
      <c r="F2717" s="6" t="s">
        <v>291</v>
      </c>
      <c r="G2717" s="6" t="s">
        <v>32</v>
      </c>
      <c r="H2717" s="6" t="s">
        <v>765</v>
      </c>
      <c r="I2717" s="6" t="s">
        <v>767</v>
      </c>
      <c r="J2717" s="6" t="s">
        <v>767</v>
      </c>
      <c r="K2717" s="7">
        <v>6367074</v>
      </c>
      <c r="L2717" s="7">
        <v>354875</v>
      </c>
      <c r="M2717" s="7">
        <v>19</v>
      </c>
      <c r="N2717" s="7">
        <v>1</v>
      </c>
      <c r="O2717" s="7">
        <v>0.5</v>
      </c>
    </row>
    <row r="2718" spans="1:15" x14ac:dyDescent="0.25">
      <c r="A2718" s="6" t="s">
        <v>14</v>
      </c>
      <c r="B2718" s="6" t="s">
        <v>522</v>
      </c>
      <c r="C2718" s="7">
        <v>34951</v>
      </c>
      <c r="D2718" s="6" t="s">
        <v>24</v>
      </c>
      <c r="E2718" s="6" t="s">
        <v>31</v>
      </c>
      <c r="F2718" s="6" t="s">
        <v>415</v>
      </c>
      <c r="G2718" s="6" t="s">
        <v>89</v>
      </c>
      <c r="H2718" s="6" t="s">
        <v>101</v>
      </c>
      <c r="I2718" s="6" t="s">
        <v>767</v>
      </c>
      <c r="J2718" s="6" t="s">
        <v>767</v>
      </c>
      <c r="K2718" s="7">
        <v>6271650</v>
      </c>
      <c r="L2718" s="7">
        <v>301755</v>
      </c>
      <c r="M2718" s="7">
        <v>19</v>
      </c>
      <c r="N2718" s="7">
        <v>1</v>
      </c>
      <c r="O2718" s="7">
        <v>2.6</v>
      </c>
    </row>
    <row r="2719" spans="1:15" x14ac:dyDescent="0.25">
      <c r="A2719" s="6" t="s">
        <v>14</v>
      </c>
      <c r="B2719" s="6" t="s">
        <v>522</v>
      </c>
      <c r="C2719" s="7">
        <v>34958</v>
      </c>
      <c r="D2719" s="6" t="s">
        <v>24</v>
      </c>
      <c r="E2719" s="6" t="s">
        <v>31</v>
      </c>
      <c r="F2719" s="6" t="s">
        <v>415</v>
      </c>
      <c r="G2719" s="6" t="s">
        <v>89</v>
      </c>
      <c r="H2719" s="6" t="s">
        <v>101</v>
      </c>
      <c r="I2719" s="6" t="s">
        <v>767</v>
      </c>
      <c r="J2719" s="6" t="s">
        <v>767</v>
      </c>
      <c r="K2719" s="7">
        <v>6271650</v>
      </c>
      <c r="L2719" s="7">
        <v>301755</v>
      </c>
      <c r="M2719" s="7">
        <v>19</v>
      </c>
      <c r="N2719" s="7">
        <v>1</v>
      </c>
      <c r="O2719" s="7">
        <v>0.98</v>
      </c>
    </row>
    <row r="2720" spans="1:15" x14ac:dyDescent="0.25">
      <c r="A2720" s="6" t="s">
        <v>14</v>
      </c>
      <c r="B2720" s="6" t="s">
        <v>522</v>
      </c>
      <c r="C2720" s="7">
        <v>34964</v>
      </c>
      <c r="D2720" s="6" t="s">
        <v>39</v>
      </c>
      <c r="E2720" s="6" t="s">
        <v>53</v>
      </c>
      <c r="F2720" s="6" t="s">
        <v>53</v>
      </c>
      <c r="G2720" s="6" t="s">
        <v>89</v>
      </c>
      <c r="H2720" s="6" t="s">
        <v>101</v>
      </c>
      <c r="I2720" s="6" t="s">
        <v>767</v>
      </c>
      <c r="J2720" s="6" t="s">
        <v>767</v>
      </c>
      <c r="K2720" s="7">
        <v>6145061</v>
      </c>
      <c r="L2720" s="7">
        <v>306903</v>
      </c>
      <c r="M2720" s="7">
        <v>19</v>
      </c>
      <c r="N2720" s="7">
        <v>2</v>
      </c>
      <c r="O2720" s="7">
        <v>6</v>
      </c>
    </row>
    <row r="2721" spans="1:15" x14ac:dyDescent="0.25">
      <c r="A2721" s="6" t="s">
        <v>14</v>
      </c>
      <c r="B2721" s="6" t="s">
        <v>522</v>
      </c>
      <c r="C2721" s="7">
        <v>34966</v>
      </c>
      <c r="D2721" s="6" t="s">
        <v>24</v>
      </c>
      <c r="E2721" s="6" t="s">
        <v>436</v>
      </c>
      <c r="F2721" s="6" t="s">
        <v>436</v>
      </c>
      <c r="G2721" s="6" t="s">
        <v>89</v>
      </c>
      <c r="H2721" s="6" t="s">
        <v>101</v>
      </c>
      <c r="I2721" s="6" t="s">
        <v>767</v>
      </c>
      <c r="J2721" s="6" t="s">
        <v>767</v>
      </c>
      <c r="K2721" s="7">
        <v>6278039</v>
      </c>
      <c r="L2721" s="7">
        <v>340265</v>
      </c>
      <c r="M2721" s="7">
        <v>19</v>
      </c>
      <c r="N2721" s="7">
        <v>1</v>
      </c>
      <c r="O2721" s="7">
        <v>8.6999999999999993</v>
      </c>
    </row>
    <row r="2722" spans="1:15" x14ac:dyDescent="0.25">
      <c r="A2722" s="6" t="s">
        <v>14</v>
      </c>
      <c r="B2722" s="6" t="s">
        <v>522</v>
      </c>
      <c r="C2722" s="7">
        <v>34972</v>
      </c>
      <c r="D2722" s="6" t="s">
        <v>42</v>
      </c>
      <c r="E2722" s="6" t="s">
        <v>167</v>
      </c>
      <c r="F2722" s="6" t="s">
        <v>591</v>
      </c>
      <c r="G2722" s="6" t="s">
        <v>89</v>
      </c>
      <c r="H2722" s="6" t="s">
        <v>101</v>
      </c>
      <c r="I2722" s="6" t="s">
        <v>767</v>
      </c>
      <c r="J2722" s="6" t="s">
        <v>767</v>
      </c>
      <c r="K2722" s="7">
        <v>6220632</v>
      </c>
      <c r="L2722" s="7">
        <v>344184</v>
      </c>
      <c r="M2722" s="7">
        <v>19</v>
      </c>
      <c r="N2722" s="7">
        <v>1</v>
      </c>
      <c r="O2722" s="7">
        <v>2.2999999999999998</v>
      </c>
    </row>
    <row r="2723" spans="1:15" x14ac:dyDescent="0.25">
      <c r="A2723" s="6" t="s">
        <v>14</v>
      </c>
      <c r="B2723" s="6" t="s">
        <v>522</v>
      </c>
      <c r="C2723" s="7">
        <v>34973</v>
      </c>
      <c r="D2723" s="6" t="s">
        <v>42</v>
      </c>
      <c r="E2723" s="6" t="s">
        <v>51</v>
      </c>
      <c r="F2723" s="6" t="s">
        <v>51</v>
      </c>
      <c r="G2723" s="6" t="s">
        <v>89</v>
      </c>
      <c r="H2723" s="6" t="s">
        <v>101</v>
      </c>
      <c r="I2723" s="6" t="s">
        <v>767</v>
      </c>
      <c r="J2723" s="6" t="s">
        <v>767</v>
      </c>
      <c r="K2723" s="7">
        <v>6149577</v>
      </c>
      <c r="L2723" s="7">
        <v>316425</v>
      </c>
      <c r="M2723" s="7">
        <v>19</v>
      </c>
      <c r="N2723" s="7">
        <v>1</v>
      </c>
      <c r="O2723" s="7">
        <v>11</v>
      </c>
    </row>
    <row r="2724" spans="1:15" x14ac:dyDescent="0.25">
      <c r="A2724" s="6" t="s">
        <v>14</v>
      </c>
      <c r="B2724" s="6" t="s">
        <v>522</v>
      </c>
      <c r="C2724" s="7">
        <v>34974</v>
      </c>
      <c r="D2724" s="6" t="s">
        <v>42</v>
      </c>
      <c r="E2724" s="6" t="s">
        <v>51</v>
      </c>
      <c r="F2724" s="6" t="s">
        <v>51</v>
      </c>
      <c r="G2724" s="6" t="s">
        <v>89</v>
      </c>
      <c r="H2724" s="6" t="s">
        <v>101</v>
      </c>
      <c r="I2724" s="6" t="s">
        <v>767</v>
      </c>
      <c r="J2724" s="6" t="s">
        <v>767</v>
      </c>
      <c r="K2724" s="7">
        <v>6149147</v>
      </c>
      <c r="L2724" s="7">
        <v>316713</v>
      </c>
      <c r="M2724" s="7">
        <v>19</v>
      </c>
      <c r="N2724" s="7">
        <v>1</v>
      </c>
      <c r="O2724" s="7">
        <v>9</v>
      </c>
    </row>
    <row r="2725" spans="1:15" x14ac:dyDescent="0.25">
      <c r="A2725" s="6" t="s">
        <v>14</v>
      </c>
      <c r="B2725" s="6" t="s">
        <v>522</v>
      </c>
      <c r="C2725" s="7">
        <v>34975</v>
      </c>
      <c r="D2725" s="6" t="s">
        <v>42</v>
      </c>
      <c r="E2725" s="6" t="s">
        <v>51</v>
      </c>
      <c r="F2725" s="6" t="s">
        <v>51</v>
      </c>
      <c r="G2725" s="6" t="s">
        <v>89</v>
      </c>
      <c r="H2725" s="6" t="s">
        <v>101</v>
      </c>
      <c r="I2725" s="6" t="s">
        <v>767</v>
      </c>
      <c r="J2725" s="6" t="s">
        <v>767</v>
      </c>
      <c r="K2725" s="7">
        <v>6149147</v>
      </c>
      <c r="L2725" s="7">
        <v>316713</v>
      </c>
      <c r="M2725" s="7">
        <v>19</v>
      </c>
      <c r="N2725" s="7">
        <v>1</v>
      </c>
      <c r="O2725" s="7">
        <v>1</v>
      </c>
    </row>
    <row r="2726" spans="1:15" x14ac:dyDescent="0.25">
      <c r="A2726" s="6" t="s">
        <v>14</v>
      </c>
      <c r="B2726" s="6" t="s">
        <v>522</v>
      </c>
      <c r="C2726" s="7">
        <v>34976</v>
      </c>
      <c r="D2726" s="6" t="s">
        <v>42</v>
      </c>
      <c r="E2726" s="6" t="s">
        <v>66</v>
      </c>
      <c r="F2726" s="6" t="s">
        <v>635</v>
      </c>
      <c r="G2726" s="6" t="s">
        <v>89</v>
      </c>
      <c r="H2726" s="6" t="s">
        <v>101</v>
      </c>
      <c r="I2726" s="6" t="s">
        <v>767</v>
      </c>
      <c r="J2726" s="6" t="s">
        <v>767</v>
      </c>
      <c r="K2726" s="7">
        <v>6227365</v>
      </c>
      <c r="L2726" s="7">
        <v>345079</v>
      </c>
      <c r="M2726" s="7">
        <v>19</v>
      </c>
      <c r="N2726" s="7">
        <v>1</v>
      </c>
      <c r="O2726" s="7">
        <v>6</v>
      </c>
    </row>
    <row r="2727" spans="1:15" x14ac:dyDescent="0.25">
      <c r="A2727" s="6" t="s">
        <v>14</v>
      </c>
      <c r="B2727" s="6" t="s">
        <v>522</v>
      </c>
      <c r="C2727" s="7">
        <v>34977</v>
      </c>
      <c r="D2727" s="6" t="s">
        <v>42</v>
      </c>
      <c r="E2727" s="6" t="s">
        <v>196</v>
      </c>
      <c r="F2727" s="6" t="s">
        <v>196</v>
      </c>
      <c r="G2727" s="6" t="s">
        <v>89</v>
      </c>
      <c r="H2727" s="6" t="s">
        <v>101</v>
      </c>
      <c r="I2727" s="6" t="s">
        <v>767</v>
      </c>
      <c r="J2727" s="6" t="s">
        <v>767</v>
      </c>
      <c r="K2727" s="7">
        <v>6228904</v>
      </c>
      <c r="L2727" s="7">
        <v>341318</v>
      </c>
      <c r="M2727" s="7">
        <v>19</v>
      </c>
      <c r="N2727" s="7">
        <v>2</v>
      </c>
      <c r="O2727" s="7">
        <v>8</v>
      </c>
    </row>
    <row r="2728" spans="1:15" x14ac:dyDescent="0.25">
      <c r="A2728" s="6" t="s">
        <v>14</v>
      </c>
      <c r="B2728" s="6" t="s">
        <v>522</v>
      </c>
      <c r="C2728" s="7">
        <v>34978</v>
      </c>
      <c r="D2728" s="6" t="s">
        <v>42</v>
      </c>
      <c r="E2728" s="6" t="s">
        <v>167</v>
      </c>
      <c r="F2728" s="6" t="s">
        <v>167</v>
      </c>
      <c r="G2728" s="6" t="s">
        <v>89</v>
      </c>
      <c r="H2728" s="6" t="s">
        <v>101</v>
      </c>
      <c r="I2728" s="6" t="s">
        <v>767</v>
      </c>
      <c r="J2728" s="6" t="s">
        <v>767</v>
      </c>
      <c r="K2728" s="7">
        <v>6227934</v>
      </c>
      <c r="L2728" s="7">
        <v>340657</v>
      </c>
      <c r="M2728" s="7">
        <v>19</v>
      </c>
      <c r="N2728" s="7">
        <v>1</v>
      </c>
      <c r="O2728" s="7">
        <v>2</v>
      </c>
    </row>
    <row r="2729" spans="1:15" x14ac:dyDescent="0.25">
      <c r="A2729" s="6" t="s">
        <v>22</v>
      </c>
      <c r="B2729" s="6" t="s">
        <v>522</v>
      </c>
      <c r="C2729" s="7">
        <v>34979</v>
      </c>
      <c r="D2729" s="6" t="s">
        <v>16</v>
      </c>
      <c r="E2729" s="6" t="s">
        <v>291</v>
      </c>
      <c r="F2729" s="6" t="s">
        <v>291</v>
      </c>
      <c r="G2729" s="6" t="s">
        <v>32</v>
      </c>
      <c r="H2729" s="6" t="s">
        <v>765</v>
      </c>
      <c r="I2729" s="6" t="s">
        <v>767</v>
      </c>
      <c r="J2729" s="6" t="s">
        <v>767</v>
      </c>
      <c r="K2729" s="7">
        <v>6367239</v>
      </c>
      <c r="L2729" s="7">
        <v>355127</v>
      </c>
      <c r="M2729" s="7">
        <v>19</v>
      </c>
      <c r="N2729" s="7">
        <v>1</v>
      </c>
      <c r="O2729" s="7">
        <v>0.56000000000000005</v>
      </c>
    </row>
    <row r="2730" spans="1:15" x14ac:dyDescent="0.25">
      <c r="A2730" s="6" t="s">
        <v>14</v>
      </c>
      <c r="B2730" s="6" t="s">
        <v>522</v>
      </c>
      <c r="C2730" s="7">
        <v>34980</v>
      </c>
      <c r="D2730" s="6" t="s">
        <v>42</v>
      </c>
      <c r="E2730" s="6" t="s">
        <v>51</v>
      </c>
      <c r="F2730" s="6" t="s">
        <v>85</v>
      </c>
      <c r="G2730" s="6" t="s">
        <v>89</v>
      </c>
      <c r="H2730" s="6" t="s">
        <v>101</v>
      </c>
      <c r="I2730" s="6" t="s">
        <v>767</v>
      </c>
      <c r="J2730" s="6" t="s">
        <v>767</v>
      </c>
      <c r="K2730" s="7">
        <v>6148238</v>
      </c>
      <c r="L2730" s="7">
        <v>316822</v>
      </c>
      <c r="M2730" s="7">
        <v>19</v>
      </c>
      <c r="N2730" s="7">
        <v>1</v>
      </c>
      <c r="O2730" s="7">
        <v>2</v>
      </c>
    </row>
    <row r="2731" spans="1:15" x14ac:dyDescent="0.25">
      <c r="A2731" s="6" t="s">
        <v>22</v>
      </c>
      <c r="B2731" s="6" t="s">
        <v>522</v>
      </c>
      <c r="C2731" s="7">
        <v>34996</v>
      </c>
      <c r="D2731" s="6" t="s">
        <v>297</v>
      </c>
      <c r="E2731" s="6" t="s">
        <v>298</v>
      </c>
      <c r="F2731" s="6" t="s">
        <v>523</v>
      </c>
      <c r="G2731" s="6" t="s">
        <v>32</v>
      </c>
      <c r="H2731" s="6" t="s">
        <v>765</v>
      </c>
      <c r="I2731" s="6" t="s">
        <v>767</v>
      </c>
      <c r="J2731" s="6" t="s">
        <v>767</v>
      </c>
      <c r="K2731" s="7">
        <v>7952329</v>
      </c>
      <c r="L2731" s="7">
        <v>371477</v>
      </c>
      <c r="M2731" s="7">
        <v>19</v>
      </c>
      <c r="N2731" s="7">
        <v>1</v>
      </c>
      <c r="O2731" s="7">
        <v>0.09</v>
      </c>
    </row>
    <row r="2732" spans="1:15" x14ac:dyDescent="0.25">
      <c r="A2732" s="6" t="s">
        <v>14</v>
      </c>
      <c r="B2732" s="6" t="s">
        <v>522</v>
      </c>
      <c r="C2732" s="7">
        <v>35010</v>
      </c>
      <c r="D2732" s="6" t="s">
        <v>42</v>
      </c>
      <c r="E2732" s="6" t="s">
        <v>167</v>
      </c>
      <c r="F2732" s="6" t="s">
        <v>167</v>
      </c>
      <c r="G2732" s="6" t="s">
        <v>89</v>
      </c>
      <c r="H2732" s="6" t="s">
        <v>101</v>
      </c>
      <c r="I2732" s="6" t="s">
        <v>767</v>
      </c>
      <c r="J2732" s="6" t="s">
        <v>767</v>
      </c>
      <c r="K2732" s="7">
        <v>6224005</v>
      </c>
      <c r="L2732" s="7">
        <v>342825</v>
      </c>
      <c r="M2732" s="7">
        <v>19</v>
      </c>
      <c r="N2732" s="7">
        <v>1</v>
      </c>
      <c r="O2732" s="7">
        <v>5</v>
      </c>
    </row>
    <row r="2733" spans="1:15" x14ac:dyDescent="0.25">
      <c r="A2733" s="6" t="s">
        <v>14</v>
      </c>
      <c r="B2733" s="6" t="s">
        <v>522</v>
      </c>
      <c r="C2733" s="7">
        <v>35011</v>
      </c>
      <c r="D2733" s="6" t="s">
        <v>42</v>
      </c>
      <c r="E2733" s="6" t="s">
        <v>196</v>
      </c>
      <c r="F2733" s="6" t="s">
        <v>196</v>
      </c>
      <c r="G2733" s="6" t="s">
        <v>89</v>
      </c>
      <c r="H2733" s="6" t="s">
        <v>101</v>
      </c>
      <c r="I2733" s="6" t="s">
        <v>767</v>
      </c>
      <c r="J2733" s="6" t="s">
        <v>767</v>
      </c>
      <c r="K2733" s="7">
        <v>6220876</v>
      </c>
      <c r="L2733" s="7">
        <v>341463</v>
      </c>
      <c r="M2733" s="7">
        <v>19</v>
      </c>
      <c r="N2733" s="7">
        <v>1</v>
      </c>
      <c r="O2733" s="7">
        <v>1.5</v>
      </c>
    </row>
    <row r="2734" spans="1:15" x14ac:dyDescent="0.25">
      <c r="A2734" s="6" t="s">
        <v>14</v>
      </c>
      <c r="B2734" s="6" t="s">
        <v>522</v>
      </c>
      <c r="C2734" s="7">
        <v>35012</v>
      </c>
      <c r="D2734" s="6" t="s">
        <v>42</v>
      </c>
      <c r="E2734" s="6" t="s">
        <v>66</v>
      </c>
      <c r="F2734" s="6" t="s">
        <v>66</v>
      </c>
      <c r="G2734" s="6" t="s">
        <v>89</v>
      </c>
      <c r="H2734" s="6" t="s">
        <v>101</v>
      </c>
      <c r="I2734" s="6" t="s">
        <v>767</v>
      </c>
      <c r="J2734" s="6" t="s">
        <v>767</v>
      </c>
      <c r="K2734" s="7">
        <v>6224537</v>
      </c>
      <c r="L2734" s="7">
        <v>348594</v>
      </c>
      <c r="M2734" s="7">
        <v>19</v>
      </c>
      <c r="N2734" s="7">
        <v>1</v>
      </c>
      <c r="O2734" s="7">
        <v>1</v>
      </c>
    </row>
    <row r="2735" spans="1:15" x14ac:dyDescent="0.25">
      <c r="A2735" s="6" t="s">
        <v>22</v>
      </c>
      <c r="B2735" s="6" t="s">
        <v>522</v>
      </c>
      <c r="C2735" s="7">
        <v>35046</v>
      </c>
      <c r="D2735" s="6" t="s">
        <v>24</v>
      </c>
      <c r="E2735" s="6" t="s">
        <v>25</v>
      </c>
      <c r="F2735" s="6" t="s">
        <v>445</v>
      </c>
      <c r="G2735" s="6" t="s">
        <v>89</v>
      </c>
      <c r="H2735" s="6" t="s">
        <v>765</v>
      </c>
      <c r="I2735" s="6" t="s">
        <v>767</v>
      </c>
      <c r="J2735" s="6" t="s">
        <v>767</v>
      </c>
      <c r="K2735" s="7">
        <v>6258808</v>
      </c>
      <c r="L2735" s="7">
        <v>332151</v>
      </c>
      <c r="M2735" s="7">
        <v>19</v>
      </c>
      <c r="N2735" s="7">
        <v>1</v>
      </c>
      <c r="O2735" s="7">
        <v>0.17</v>
      </c>
    </row>
    <row r="2736" spans="1:15" x14ac:dyDescent="0.25">
      <c r="A2736" s="6" t="s">
        <v>22</v>
      </c>
      <c r="B2736" s="6" t="s">
        <v>522</v>
      </c>
      <c r="C2736" s="7">
        <v>35048</v>
      </c>
      <c r="D2736" s="6" t="s">
        <v>16</v>
      </c>
      <c r="E2736" s="6" t="s">
        <v>291</v>
      </c>
      <c r="F2736" s="6" t="s">
        <v>291</v>
      </c>
      <c r="G2736" s="6" t="s">
        <v>32</v>
      </c>
      <c r="H2736" s="6" t="s">
        <v>765</v>
      </c>
      <c r="I2736" s="6" t="s">
        <v>767</v>
      </c>
      <c r="J2736" s="6" t="s">
        <v>767</v>
      </c>
      <c r="K2736" s="7">
        <v>6367095</v>
      </c>
      <c r="L2736" s="7">
        <v>355176</v>
      </c>
      <c r="M2736" s="7">
        <v>19</v>
      </c>
      <c r="N2736" s="7">
        <v>1</v>
      </c>
      <c r="O2736" s="7">
        <v>3.57</v>
      </c>
    </row>
    <row r="2737" spans="1:15" x14ac:dyDescent="0.25">
      <c r="A2737" s="6" t="s">
        <v>14</v>
      </c>
      <c r="B2737" s="6" t="s">
        <v>522</v>
      </c>
      <c r="C2737" s="7">
        <v>35077</v>
      </c>
      <c r="D2737" s="6" t="s">
        <v>39</v>
      </c>
      <c r="E2737" s="6" t="s">
        <v>310</v>
      </c>
      <c r="F2737" s="6" t="s">
        <v>310</v>
      </c>
      <c r="G2737" s="6" t="s">
        <v>32</v>
      </c>
      <c r="H2737" s="6" t="s">
        <v>33</v>
      </c>
      <c r="I2737" s="6" t="s">
        <v>764</v>
      </c>
      <c r="J2737" s="6" t="s">
        <v>767</v>
      </c>
      <c r="K2737" s="7">
        <v>6103719</v>
      </c>
      <c r="L2737" s="7">
        <v>298819</v>
      </c>
      <c r="M2737" s="7">
        <v>19</v>
      </c>
      <c r="N2737" s="7">
        <v>1</v>
      </c>
      <c r="O2737" s="7">
        <v>13</v>
      </c>
    </row>
    <row r="2738" spans="1:15" x14ac:dyDescent="0.25">
      <c r="A2738" s="6" t="s">
        <v>14</v>
      </c>
      <c r="B2738" s="6" t="s">
        <v>522</v>
      </c>
      <c r="C2738" s="7">
        <v>35078</v>
      </c>
      <c r="D2738" s="6" t="s">
        <v>39</v>
      </c>
      <c r="E2738" s="6" t="s">
        <v>436</v>
      </c>
      <c r="F2738" s="6" t="s">
        <v>53</v>
      </c>
      <c r="G2738" s="6" t="s">
        <v>32</v>
      </c>
      <c r="H2738" s="6" t="s">
        <v>33</v>
      </c>
      <c r="I2738" s="6" t="s">
        <v>764</v>
      </c>
      <c r="J2738" s="6" t="s">
        <v>767</v>
      </c>
      <c r="K2738" s="7">
        <v>6142243</v>
      </c>
      <c r="L2738" s="7">
        <v>306694</v>
      </c>
      <c r="M2738" s="7">
        <v>19</v>
      </c>
      <c r="N2738" s="7">
        <v>1</v>
      </c>
      <c r="O2738" s="7">
        <v>4</v>
      </c>
    </row>
    <row r="2739" spans="1:15" x14ac:dyDescent="0.25">
      <c r="A2739" s="6" t="s">
        <v>14</v>
      </c>
      <c r="B2739" s="6" t="s">
        <v>522</v>
      </c>
      <c r="C2739" s="7">
        <v>35079</v>
      </c>
      <c r="D2739" s="6" t="s">
        <v>39</v>
      </c>
      <c r="E2739" s="6" t="s">
        <v>310</v>
      </c>
      <c r="F2739" s="6" t="s">
        <v>310</v>
      </c>
      <c r="G2739" s="6" t="s">
        <v>32</v>
      </c>
      <c r="H2739" s="6" t="s">
        <v>33</v>
      </c>
      <c r="I2739" s="6" t="s">
        <v>764</v>
      </c>
      <c r="J2739" s="6" t="s">
        <v>767</v>
      </c>
      <c r="K2739" s="7">
        <v>6103025</v>
      </c>
      <c r="L2739" s="7">
        <v>290454</v>
      </c>
      <c r="M2739" s="7">
        <v>19</v>
      </c>
      <c r="N2739" s="7">
        <v>2</v>
      </c>
      <c r="O2739" s="7">
        <v>24</v>
      </c>
    </row>
    <row r="2740" spans="1:15" x14ac:dyDescent="0.25">
      <c r="A2740" s="6" t="s">
        <v>22</v>
      </c>
      <c r="B2740" s="6" t="s">
        <v>522</v>
      </c>
      <c r="C2740" s="7">
        <v>35091</v>
      </c>
      <c r="D2740" s="6" t="s">
        <v>297</v>
      </c>
      <c r="E2740" s="6" t="s">
        <v>298</v>
      </c>
      <c r="F2740" s="6" t="s">
        <v>523</v>
      </c>
      <c r="G2740" s="6" t="s">
        <v>32</v>
      </c>
      <c r="H2740" s="6" t="s">
        <v>765</v>
      </c>
      <c r="I2740" s="6" t="s">
        <v>767</v>
      </c>
      <c r="J2740" s="6" t="s">
        <v>767</v>
      </c>
      <c r="K2740" s="7">
        <v>7952329</v>
      </c>
      <c r="L2740" s="7">
        <v>371477</v>
      </c>
      <c r="M2740" s="7">
        <v>19</v>
      </c>
      <c r="N2740" s="7">
        <v>1</v>
      </c>
      <c r="O2740" s="7">
        <v>0.03</v>
      </c>
    </row>
    <row r="2741" spans="1:15" x14ac:dyDescent="0.25">
      <c r="A2741" s="6" t="s">
        <v>22</v>
      </c>
      <c r="B2741" s="6" t="s">
        <v>522</v>
      </c>
      <c r="C2741" s="7">
        <v>35098</v>
      </c>
      <c r="D2741" s="6" t="s">
        <v>297</v>
      </c>
      <c r="E2741" s="6" t="s">
        <v>298</v>
      </c>
      <c r="F2741" s="6" t="s">
        <v>523</v>
      </c>
      <c r="G2741" s="6" t="s">
        <v>32</v>
      </c>
      <c r="H2741" s="6" t="s">
        <v>765</v>
      </c>
      <c r="I2741" s="6" t="s">
        <v>767</v>
      </c>
      <c r="J2741" s="6" t="s">
        <v>767</v>
      </c>
      <c r="K2741" s="7">
        <v>7953369</v>
      </c>
      <c r="L2741" s="7">
        <v>366140</v>
      </c>
      <c r="M2741" s="7">
        <v>19</v>
      </c>
      <c r="N2741" s="7">
        <v>1</v>
      </c>
      <c r="O2741" s="7">
        <v>0.03</v>
      </c>
    </row>
    <row r="2742" spans="1:15" x14ac:dyDescent="0.25">
      <c r="A2742" s="6" t="s">
        <v>22</v>
      </c>
      <c r="B2742" s="6" t="s">
        <v>522</v>
      </c>
      <c r="C2742" s="7">
        <v>35129</v>
      </c>
      <c r="D2742" s="6" t="s">
        <v>297</v>
      </c>
      <c r="E2742" s="6" t="s">
        <v>298</v>
      </c>
      <c r="F2742" s="6" t="s">
        <v>523</v>
      </c>
      <c r="G2742" s="6" t="s">
        <v>32</v>
      </c>
      <c r="H2742" s="6" t="s">
        <v>765</v>
      </c>
      <c r="I2742" s="6" t="s">
        <v>767</v>
      </c>
      <c r="J2742" s="6" t="s">
        <v>767</v>
      </c>
      <c r="K2742" s="7">
        <v>7952717</v>
      </c>
      <c r="L2742" s="7">
        <v>371018</v>
      </c>
      <c r="M2742" s="7">
        <v>19</v>
      </c>
      <c r="N2742" s="7">
        <v>1</v>
      </c>
      <c r="O2742" s="7">
        <v>7.0000000000000007E-2</v>
      </c>
    </row>
    <row r="2743" spans="1:15" x14ac:dyDescent="0.25">
      <c r="A2743" s="6" t="s">
        <v>22</v>
      </c>
      <c r="B2743" s="6" t="s">
        <v>522</v>
      </c>
      <c r="C2743" s="7">
        <v>35132</v>
      </c>
      <c r="D2743" s="6" t="s">
        <v>297</v>
      </c>
      <c r="E2743" s="6" t="s">
        <v>298</v>
      </c>
      <c r="F2743" s="6" t="s">
        <v>523</v>
      </c>
      <c r="G2743" s="6" t="s">
        <v>32</v>
      </c>
      <c r="H2743" s="6" t="s">
        <v>765</v>
      </c>
      <c r="I2743" s="6" t="s">
        <v>767</v>
      </c>
      <c r="J2743" s="6" t="s">
        <v>767</v>
      </c>
      <c r="K2743" s="7">
        <v>7952329</v>
      </c>
      <c r="L2743" s="7">
        <v>371477</v>
      </c>
      <c r="M2743" s="7">
        <v>19</v>
      </c>
      <c r="N2743" s="7">
        <v>1</v>
      </c>
      <c r="O2743" s="7">
        <v>0.01</v>
      </c>
    </row>
    <row r="2744" spans="1:15" x14ac:dyDescent="0.25">
      <c r="A2744" s="6" t="s">
        <v>22</v>
      </c>
      <c r="B2744" s="6" t="s">
        <v>522</v>
      </c>
      <c r="C2744" s="7">
        <v>35133</v>
      </c>
      <c r="D2744" s="6" t="s">
        <v>297</v>
      </c>
      <c r="E2744" s="6" t="s">
        <v>298</v>
      </c>
      <c r="F2744" s="6" t="s">
        <v>523</v>
      </c>
      <c r="G2744" s="6" t="s">
        <v>32</v>
      </c>
      <c r="H2744" s="6" t="s">
        <v>765</v>
      </c>
      <c r="I2744" s="6" t="s">
        <v>767</v>
      </c>
      <c r="J2744" s="6" t="s">
        <v>767</v>
      </c>
      <c r="K2744" s="7">
        <v>7953369</v>
      </c>
      <c r="L2744" s="7">
        <v>366140</v>
      </c>
      <c r="M2744" s="7">
        <v>19</v>
      </c>
      <c r="N2744" s="7">
        <v>1</v>
      </c>
      <c r="O2744" s="7">
        <v>0.01</v>
      </c>
    </row>
    <row r="2745" spans="1:15" x14ac:dyDescent="0.25">
      <c r="A2745" s="6" t="s">
        <v>22</v>
      </c>
      <c r="B2745" s="6" t="s">
        <v>522</v>
      </c>
      <c r="C2745" s="7">
        <v>35142</v>
      </c>
      <c r="D2745" s="6" t="s">
        <v>24</v>
      </c>
      <c r="E2745" s="6" t="s">
        <v>25</v>
      </c>
      <c r="F2745" s="6" t="s">
        <v>445</v>
      </c>
      <c r="G2745" s="6" t="s">
        <v>89</v>
      </c>
      <c r="H2745" s="6" t="s">
        <v>765</v>
      </c>
      <c r="I2745" s="6" t="s">
        <v>767</v>
      </c>
      <c r="J2745" s="6" t="s">
        <v>767</v>
      </c>
      <c r="K2745" s="7">
        <v>6258969</v>
      </c>
      <c r="L2745" s="7">
        <v>332737</v>
      </c>
      <c r="M2745" s="7">
        <v>19</v>
      </c>
      <c r="N2745" s="7">
        <v>1</v>
      </c>
      <c r="O2745" s="7">
        <v>0.01</v>
      </c>
    </row>
    <row r="2746" spans="1:15" x14ac:dyDescent="0.25">
      <c r="A2746" s="6" t="s">
        <v>22</v>
      </c>
      <c r="B2746" s="6" t="s">
        <v>522</v>
      </c>
      <c r="C2746" s="7">
        <v>35212</v>
      </c>
      <c r="D2746" s="6" t="s">
        <v>297</v>
      </c>
      <c r="E2746" s="6" t="s">
        <v>298</v>
      </c>
      <c r="F2746" s="6" t="s">
        <v>523</v>
      </c>
      <c r="G2746" s="6" t="s">
        <v>32</v>
      </c>
      <c r="H2746" s="6" t="s">
        <v>765</v>
      </c>
      <c r="I2746" s="6" t="s">
        <v>767</v>
      </c>
      <c r="J2746" s="6" t="s">
        <v>767</v>
      </c>
      <c r="K2746" s="7">
        <v>7952329</v>
      </c>
      <c r="L2746" s="7">
        <v>371477</v>
      </c>
      <c r="M2746" s="7">
        <v>19</v>
      </c>
      <c r="N2746" s="7">
        <v>1</v>
      </c>
      <c r="O2746" s="7">
        <v>0.01</v>
      </c>
    </row>
    <row r="2747" spans="1:15" x14ac:dyDescent="0.25">
      <c r="A2747" s="6" t="s">
        <v>22</v>
      </c>
      <c r="B2747" s="6" t="s">
        <v>522</v>
      </c>
      <c r="C2747" s="7">
        <v>35213</v>
      </c>
      <c r="D2747" s="6" t="s">
        <v>297</v>
      </c>
      <c r="E2747" s="6" t="s">
        <v>298</v>
      </c>
      <c r="F2747" s="6" t="s">
        <v>523</v>
      </c>
      <c r="G2747" s="6" t="s">
        <v>32</v>
      </c>
      <c r="H2747" s="6" t="s">
        <v>765</v>
      </c>
      <c r="I2747" s="6" t="s">
        <v>767</v>
      </c>
      <c r="J2747" s="6" t="s">
        <v>767</v>
      </c>
      <c r="K2747" s="7">
        <v>7953369</v>
      </c>
      <c r="L2747" s="7">
        <v>366140</v>
      </c>
      <c r="M2747" s="7">
        <v>19</v>
      </c>
      <c r="N2747" s="7">
        <v>1</v>
      </c>
      <c r="O2747" s="7">
        <v>0.01</v>
      </c>
    </row>
    <row r="2748" spans="1:15" x14ac:dyDescent="0.25">
      <c r="A2748" s="6" t="s">
        <v>22</v>
      </c>
      <c r="B2748" s="6" t="s">
        <v>522</v>
      </c>
      <c r="C2748" s="7">
        <v>35220</v>
      </c>
      <c r="D2748" s="6" t="s">
        <v>297</v>
      </c>
      <c r="E2748" s="6" t="s">
        <v>298</v>
      </c>
      <c r="F2748" s="6" t="s">
        <v>523</v>
      </c>
      <c r="G2748" s="6" t="s">
        <v>32</v>
      </c>
      <c r="H2748" s="6" t="s">
        <v>765</v>
      </c>
      <c r="I2748" s="6" t="s">
        <v>767</v>
      </c>
      <c r="J2748" s="6" t="s">
        <v>767</v>
      </c>
      <c r="K2748" s="7">
        <v>7952717</v>
      </c>
      <c r="L2748" s="7">
        <v>371018</v>
      </c>
      <c r="M2748" s="7">
        <v>19</v>
      </c>
      <c r="N2748" s="7">
        <v>1</v>
      </c>
      <c r="O2748" s="7">
        <v>0.04</v>
      </c>
    </row>
    <row r="2749" spans="1:15" x14ac:dyDescent="0.25">
      <c r="A2749" s="6" t="s">
        <v>22</v>
      </c>
      <c r="B2749" s="6" t="s">
        <v>522</v>
      </c>
      <c r="C2749" s="7">
        <v>35221</v>
      </c>
      <c r="D2749" s="6" t="s">
        <v>297</v>
      </c>
      <c r="E2749" s="6" t="s">
        <v>298</v>
      </c>
      <c r="F2749" s="6" t="s">
        <v>523</v>
      </c>
      <c r="G2749" s="6" t="s">
        <v>32</v>
      </c>
      <c r="H2749" s="6" t="s">
        <v>765</v>
      </c>
      <c r="I2749" s="6" t="s">
        <v>767</v>
      </c>
      <c r="J2749" s="6" t="s">
        <v>767</v>
      </c>
      <c r="K2749" s="7">
        <v>7952848</v>
      </c>
      <c r="L2749" s="7">
        <v>370878</v>
      </c>
      <c r="M2749" s="7">
        <v>19</v>
      </c>
      <c r="N2749" s="7">
        <v>1</v>
      </c>
      <c r="O2749" s="7">
        <v>0.06</v>
      </c>
    </row>
    <row r="2750" spans="1:15" x14ac:dyDescent="0.25">
      <c r="A2750" s="6" t="s">
        <v>22</v>
      </c>
      <c r="B2750" s="6" t="s">
        <v>522</v>
      </c>
      <c r="C2750" s="7">
        <v>35222</v>
      </c>
      <c r="D2750" s="6" t="s">
        <v>297</v>
      </c>
      <c r="E2750" s="6" t="s">
        <v>298</v>
      </c>
      <c r="F2750" s="6" t="s">
        <v>523</v>
      </c>
      <c r="G2750" s="6" t="s">
        <v>32</v>
      </c>
      <c r="H2750" s="6" t="s">
        <v>765</v>
      </c>
      <c r="I2750" s="6" t="s">
        <v>767</v>
      </c>
      <c r="J2750" s="6" t="s">
        <v>767</v>
      </c>
      <c r="K2750" s="7">
        <v>7952487</v>
      </c>
      <c r="L2750" s="7">
        <v>371587</v>
      </c>
      <c r="M2750" s="7">
        <v>19</v>
      </c>
      <c r="N2750" s="7">
        <v>1</v>
      </c>
      <c r="O2750" s="7">
        <v>0.5</v>
      </c>
    </row>
    <row r="2751" spans="1:15" x14ac:dyDescent="0.25">
      <c r="A2751" s="6" t="s">
        <v>22</v>
      </c>
      <c r="B2751" s="6" t="s">
        <v>522</v>
      </c>
      <c r="C2751" s="7">
        <v>35234</v>
      </c>
      <c r="D2751" s="6" t="s">
        <v>297</v>
      </c>
      <c r="E2751" s="6" t="s">
        <v>298</v>
      </c>
      <c r="F2751" s="6" t="s">
        <v>523</v>
      </c>
      <c r="G2751" s="6" t="s">
        <v>32</v>
      </c>
      <c r="H2751" s="6" t="s">
        <v>765</v>
      </c>
      <c r="I2751" s="6" t="s">
        <v>767</v>
      </c>
      <c r="J2751" s="6" t="s">
        <v>767</v>
      </c>
      <c r="K2751" s="7">
        <v>7952848</v>
      </c>
      <c r="L2751" s="7">
        <v>370878</v>
      </c>
      <c r="M2751" s="7">
        <v>19</v>
      </c>
      <c r="N2751" s="7">
        <v>1</v>
      </c>
      <c r="O2751" s="7">
        <v>0.04</v>
      </c>
    </row>
    <row r="2752" spans="1:15" x14ac:dyDescent="0.25">
      <c r="A2752" s="6" t="s">
        <v>22</v>
      </c>
      <c r="B2752" s="6" t="s">
        <v>522</v>
      </c>
      <c r="C2752" s="7">
        <v>35240</v>
      </c>
      <c r="D2752" s="6" t="s">
        <v>297</v>
      </c>
      <c r="E2752" s="6" t="s">
        <v>298</v>
      </c>
      <c r="F2752" s="6" t="s">
        <v>523</v>
      </c>
      <c r="G2752" s="6" t="s">
        <v>32</v>
      </c>
      <c r="H2752" s="6" t="s">
        <v>765</v>
      </c>
      <c r="I2752" s="6" t="s">
        <v>767</v>
      </c>
      <c r="J2752" s="6" t="s">
        <v>767</v>
      </c>
      <c r="K2752" s="7">
        <v>7952487</v>
      </c>
      <c r="L2752" s="7">
        <v>371587</v>
      </c>
      <c r="M2752" s="7">
        <v>19</v>
      </c>
      <c r="N2752" s="7">
        <v>1</v>
      </c>
      <c r="O2752" s="7">
        <v>0.06</v>
      </c>
    </row>
    <row r="2753" spans="1:15" x14ac:dyDescent="0.25">
      <c r="A2753" s="6" t="s">
        <v>22</v>
      </c>
      <c r="B2753" s="6" t="s">
        <v>522</v>
      </c>
      <c r="C2753" s="7">
        <v>35241</v>
      </c>
      <c r="D2753" s="6" t="s">
        <v>297</v>
      </c>
      <c r="E2753" s="6" t="s">
        <v>298</v>
      </c>
      <c r="F2753" s="6" t="s">
        <v>523</v>
      </c>
      <c r="G2753" s="6" t="s">
        <v>32</v>
      </c>
      <c r="H2753" s="6" t="s">
        <v>765</v>
      </c>
      <c r="I2753" s="6" t="s">
        <v>767</v>
      </c>
      <c r="J2753" s="6" t="s">
        <v>767</v>
      </c>
      <c r="K2753" s="7">
        <v>7952487</v>
      </c>
      <c r="L2753" s="7">
        <v>371587</v>
      </c>
      <c r="M2753" s="7">
        <v>19</v>
      </c>
      <c r="N2753" s="7">
        <v>1</v>
      </c>
      <c r="O2753" s="7">
        <v>0.16</v>
      </c>
    </row>
    <row r="2754" spans="1:15" x14ac:dyDescent="0.25">
      <c r="A2754" s="6" t="s">
        <v>22</v>
      </c>
      <c r="B2754" s="6" t="s">
        <v>522</v>
      </c>
      <c r="C2754" s="7">
        <v>35243</v>
      </c>
      <c r="D2754" s="6" t="s">
        <v>24</v>
      </c>
      <c r="E2754" s="6" t="s">
        <v>96</v>
      </c>
      <c r="F2754" s="6" t="s">
        <v>96</v>
      </c>
      <c r="G2754" s="6" t="s">
        <v>89</v>
      </c>
      <c r="H2754" s="6" t="s">
        <v>765</v>
      </c>
      <c r="I2754" s="6" t="s">
        <v>767</v>
      </c>
      <c r="J2754" s="6" t="s">
        <v>767</v>
      </c>
      <c r="K2754" s="7">
        <v>6255069</v>
      </c>
      <c r="L2754" s="7">
        <v>339971</v>
      </c>
      <c r="M2754" s="7">
        <v>19</v>
      </c>
      <c r="N2754" s="7">
        <v>1</v>
      </c>
      <c r="O2754" s="7">
        <v>0.1</v>
      </c>
    </row>
    <row r="2755" spans="1:15" x14ac:dyDescent="0.25">
      <c r="A2755" s="6" t="s">
        <v>22</v>
      </c>
      <c r="B2755" s="6" t="s">
        <v>522</v>
      </c>
      <c r="C2755" s="7">
        <v>35244</v>
      </c>
      <c r="D2755" s="6" t="s">
        <v>297</v>
      </c>
      <c r="E2755" s="6" t="s">
        <v>298</v>
      </c>
      <c r="F2755" s="6" t="s">
        <v>523</v>
      </c>
      <c r="G2755" s="6" t="s">
        <v>32</v>
      </c>
      <c r="H2755" s="6" t="s">
        <v>765</v>
      </c>
      <c r="I2755" s="6" t="s">
        <v>767</v>
      </c>
      <c r="J2755" s="6" t="s">
        <v>767</v>
      </c>
      <c r="K2755" s="7">
        <v>7953369</v>
      </c>
      <c r="L2755" s="7">
        <v>366140</v>
      </c>
      <c r="M2755" s="7">
        <v>19</v>
      </c>
      <c r="N2755" s="7">
        <v>1</v>
      </c>
      <c r="O2755" s="7">
        <v>0.02</v>
      </c>
    </row>
    <row r="2756" spans="1:15" x14ac:dyDescent="0.25">
      <c r="A2756" s="6" t="s">
        <v>22</v>
      </c>
      <c r="B2756" s="6" t="s">
        <v>522</v>
      </c>
      <c r="C2756" s="7">
        <v>35245</v>
      </c>
      <c r="D2756" s="6" t="s">
        <v>297</v>
      </c>
      <c r="E2756" s="6" t="s">
        <v>298</v>
      </c>
      <c r="F2756" s="6" t="s">
        <v>523</v>
      </c>
      <c r="G2756" s="6" t="s">
        <v>32</v>
      </c>
      <c r="H2756" s="6" t="s">
        <v>765</v>
      </c>
      <c r="I2756" s="6" t="s">
        <v>767</v>
      </c>
      <c r="J2756" s="6" t="s">
        <v>767</v>
      </c>
      <c r="K2756" s="7">
        <v>7952487</v>
      </c>
      <c r="L2756" s="7">
        <v>371587</v>
      </c>
      <c r="M2756" s="7">
        <v>19</v>
      </c>
      <c r="N2756" s="7">
        <v>1</v>
      </c>
      <c r="O2756" s="7">
        <v>0.28000000000000003</v>
      </c>
    </row>
    <row r="2757" spans="1:15" x14ac:dyDescent="0.25">
      <c r="A2757" s="6" t="s">
        <v>22</v>
      </c>
      <c r="B2757" s="6" t="s">
        <v>522</v>
      </c>
      <c r="C2757" s="7">
        <v>35246</v>
      </c>
      <c r="D2757" s="6" t="s">
        <v>297</v>
      </c>
      <c r="E2757" s="6" t="s">
        <v>298</v>
      </c>
      <c r="F2757" s="6" t="s">
        <v>523</v>
      </c>
      <c r="G2757" s="6" t="s">
        <v>32</v>
      </c>
      <c r="H2757" s="6" t="s">
        <v>765</v>
      </c>
      <c r="I2757" s="6" t="s">
        <v>767</v>
      </c>
      <c r="J2757" s="6" t="s">
        <v>767</v>
      </c>
      <c r="K2757" s="7">
        <v>7952483</v>
      </c>
      <c r="L2757" s="7">
        <v>371284</v>
      </c>
      <c r="M2757" s="7">
        <v>19</v>
      </c>
      <c r="N2757" s="7">
        <v>1</v>
      </c>
      <c r="O2757" s="7">
        <v>0.04</v>
      </c>
    </row>
    <row r="2758" spans="1:15" x14ac:dyDescent="0.25">
      <c r="A2758" s="6" t="s">
        <v>22</v>
      </c>
      <c r="B2758" s="6" t="s">
        <v>522</v>
      </c>
      <c r="C2758" s="7">
        <v>35247</v>
      </c>
      <c r="D2758" s="6" t="s">
        <v>297</v>
      </c>
      <c r="E2758" s="6" t="s">
        <v>298</v>
      </c>
      <c r="F2758" s="6" t="s">
        <v>523</v>
      </c>
      <c r="G2758" s="6" t="s">
        <v>32</v>
      </c>
      <c r="H2758" s="6" t="s">
        <v>765</v>
      </c>
      <c r="I2758" s="6" t="s">
        <v>767</v>
      </c>
      <c r="J2758" s="6" t="s">
        <v>767</v>
      </c>
      <c r="K2758" s="7">
        <v>7952483</v>
      </c>
      <c r="L2758" s="7">
        <v>371284</v>
      </c>
      <c r="M2758" s="7">
        <v>19</v>
      </c>
      <c r="N2758" s="7">
        <v>1</v>
      </c>
      <c r="O2758" s="7">
        <v>0.22</v>
      </c>
    </row>
    <row r="2759" spans="1:15" x14ac:dyDescent="0.25">
      <c r="A2759" s="6" t="s">
        <v>22</v>
      </c>
      <c r="B2759" s="6" t="s">
        <v>522</v>
      </c>
      <c r="C2759" s="7">
        <v>35248</v>
      </c>
      <c r="D2759" s="6" t="s">
        <v>297</v>
      </c>
      <c r="E2759" s="6" t="s">
        <v>298</v>
      </c>
      <c r="F2759" s="6" t="s">
        <v>523</v>
      </c>
      <c r="G2759" s="6" t="s">
        <v>32</v>
      </c>
      <c r="H2759" s="6" t="s">
        <v>765</v>
      </c>
      <c r="I2759" s="6" t="s">
        <v>767</v>
      </c>
      <c r="J2759" s="6" t="s">
        <v>767</v>
      </c>
      <c r="K2759" s="7">
        <v>7952717</v>
      </c>
      <c r="L2759" s="7">
        <v>371018</v>
      </c>
      <c r="M2759" s="7">
        <v>19</v>
      </c>
      <c r="N2759" s="7">
        <v>1</v>
      </c>
      <c r="O2759" s="7">
        <v>0.08</v>
      </c>
    </row>
    <row r="2760" spans="1:15" x14ac:dyDescent="0.25">
      <c r="A2760" s="6" t="s">
        <v>22</v>
      </c>
      <c r="B2760" s="6" t="s">
        <v>522</v>
      </c>
      <c r="C2760" s="7">
        <v>35259</v>
      </c>
      <c r="D2760" s="6" t="s">
        <v>297</v>
      </c>
      <c r="E2760" s="6" t="s">
        <v>298</v>
      </c>
      <c r="F2760" s="6" t="s">
        <v>523</v>
      </c>
      <c r="G2760" s="6" t="s">
        <v>32</v>
      </c>
      <c r="H2760" s="6" t="s">
        <v>765</v>
      </c>
      <c r="I2760" s="6" t="s">
        <v>767</v>
      </c>
      <c r="J2760" s="6" t="s">
        <v>767</v>
      </c>
      <c r="K2760" s="7">
        <v>7952717</v>
      </c>
      <c r="L2760" s="7">
        <v>371018</v>
      </c>
      <c r="M2760" s="7">
        <v>19</v>
      </c>
      <c r="N2760" s="7">
        <v>1</v>
      </c>
      <c r="O2760" s="7">
        <v>7.0000000000000007E-2</v>
      </c>
    </row>
    <row r="2761" spans="1:15" x14ac:dyDescent="0.25">
      <c r="A2761" s="6" t="s">
        <v>22</v>
      </c>
      <c r="B2761" s="6" t="s">
        <v>522</v>
      </c>
      <c r="C2761" s="7">
        <v>35260</v>
      </c>
      <c r="D2761" s="6" t="s">
        <v>297</v>
      </c>
      <c r="E2761" s="6" t="s">
        <v>298</v>
      </c>
      <c r="F2761" s="6" t="s">
        <v>523</v>
      </c>
      <c r="G2761" s="6" t="s">
        <v>32</v>
      </c>
      <c r="H2761" s="6" t="s">
        <v>765</v>
      </c>
      <c r="I2761" s="6" t="s">
        <v>767</v>
      </c>
      <c r="J2761" s="6" t="s">
        <v>767</v>
      </c>
      <c r="K2761" s="7">
        <v>7952717</v>
      </c>
      <c r="L2761" s="7">
        <v>371018</v>
      </c>
      <c r="M2761" s="7">
        <v>19</v>
      </c>
      <c r="N2761" s="7">
        <v>1</v>
      </c>
      <c r="O2761" s="7">
        <v>0.01</v>
      </c>
    </row>
    <row r="2762" spans="1:15" x14ac:dyDescent="0.25">
      <c r="A2762" s="6" t="s">
        <v>22</v>
      </c>
      <c r="B2762" s="6" t="s">
        <v>522</v>
      </c>
      <c r="C2762" s="7">
        <v>35262</v>
      </c>
      <c r="D2762" s="6" t="s">
        <v>297</v>
      </c>
      <c r="E2762" s="6" t="s">
        <v>298</v>
      </c>
      <c r="F2762" s="6" t="s">
        <v>523</v>
      </c>
      <c r="G2762" s="6" t="s">
        <v>32</v>
      </c>
      <c r="H2762" s="6" t="s">
        <v>765</v>
      </c>
      <c r="I2762" s="6" t="s">
        <v>767</v>
      </c>
      <c r="J2762" s="6" t="s">
        <v>767</v>
      </c>
      <c r="K2762" s="7">
        <v>7953369</v>
      </c>
      <c r="L2762" s="7">
        <v>366140</v>
      </c>
      <c r="M2762" s="7">
        <v>19</v>
      </c>
      <c r="N2762" s="7">
        <v>1</v>
      </c>
      <c r="O2762" s="7">
        <v>0.01</v>
      </c>
    </row>
    <row r="2763" spans="1:15" x14ac:dyDescent="0.25">
      <c r="A2763" s="6" t="s">
        <v>22</v>
      </c>
      <c r="B2763" s="6" t="s">
        <v>522</v>
      </c>
      <c r="C2763" s="7">
        <v>35263</v>
      </c>
      <c r="D2763" s="6" t="s">
        <v>297</v>
      </c>
      <c r="E2763" s="6" t="s">
        <v>298</v>
      </c>
      <c r="F2763" s="6" t="s">
        <v>523</v>
      </c>
      <c r="G2763" s="6" t="s">
        <v>32</v>
      </c>
      <c r="H2763" s="6" t="s">
        <v>765</v>
      </c>
      <c r="I2763" s="6" t="s">
        <v>767</v>
      </c>
      <c r="J2763" s="6" t="s">
        <v>767</v>
      </c>
      <c r="K2763" s="7">
        <v>7952717</v>
      </c>
      <c r="L2763" s="7">
        <v>371018</v>
      </c>
      <c r="M2763" s="7">
        <v>19</v>
      </c>
      <c r="N2763" s="7">
        <v>1</v>
      </c>
      <c r="O2763" s="7">
        <v>0.04</v>
      </c>
    </row>
    <row r="2764" spans="1:15" x14ac:dyDescent="0.25">
      <c r="A2764" s="6" t="s">
        <v>22</v>
      </c>
      <c r="B2764" s="6" t="s">
        <v>522</v>
      </c>
      <c r="C2764" s="7">
        <v>35264</v>
      </c>
      <c r="D2764" s="6" t="s">
        <v>297</v>
      </c>
      <c r="E2764" s="6" t="s">
        <v>298</v>
      </c>
      <c r="F2764" s="6" t="s">
        <v>523</v>
      </c>
      <c r="G2764" s="6" t="s">
        <v>32</v>
      </c>
      <c r="H2764" s="6" t="s">
        <v>765</v>
      </c>
      <c r="I2764" s="6" t="s">
        <v>767</v>
      </c>
      <c r="J2764" s="6" t="s">
        <v>767</v>
      </c>
      <c r="K2764" s="7">
        <v>7953369</v>
      </c>
      <c r="L2764" s="7">
        <v>366140</v>
      </c>
      <c r="M2764" s="7">
        <v>19</v>
      </c>
      <c r="N2764" s="7">
        <v>1</v>
      </c>
      <c r="O2764" s="7">
        <v>0.05</v>
      </c>
    </row>
    <row r="2765" spans="1:15" x14ac:dyDescent="0.25">
      <c r="A2765" s="6" t="s">
        <v>22</v>
      </c>
      <c r="B2765" s="6" t="s">
        <v>522</v>
      </c>
      <c r="C2765" s="7">
        <v>35265</v>
      </c>
      <c r="D2765" s="6" t="s">
        <v>297</v>
      </c>
      <c r="E2765" s="6" t="s">
        <v>298</v>
      </c>
      <c r="F2765" s="6" t="s">
        <v>523</v>
      </c>
      <c r="G2765" s="6" t="s">
        <v>32</v>
      </c>
      <c r="H2765" s="6" t="s">
        <v>765</v>
      </c>
      <c r="I2765" s="6" t="s">
        <v>767</v>
      </c>
      <c r="J2765" s="6" t="s">
        <v>767</v>
      </c>
      <c r="K2765" s="7">
        <v>7953369</v>
      </c>
      <c r="L2765" s="7">
        <v>366140</v>
      </c>
      <c r="M2765" s="7">
        <v>19</v>
      </c>
      <c r="N2765" s="7">
        <v>1</v>
      </c>
      <c r="O2765" s="7">
        <v>0.01</v>
      </c>
    </row>
    <row r="2766" spans="1:15" x14ac:dyDescent="0.25">
      <c r="A2766" s="6" t="s">
        <v>22</v>
      </c>
      <c r="B2766" s="6" t="s">
        <v>522</v>
      </c>
      <c r="C2766" s="7">
        <v>35266</v>
      </c>
      <c r="D2766" s="6" t="s">
        <v>297</v>
      </c>
      <c r="E2766" s="6" t="s">
        <v>298</v>
      </c>
      <c r="F2766" s="6" t="s">
        <v>523</v>
      </c>
      <c r="G2766" s="6" t="s">
        <v>32</v>
      </c>
      <c r="H2766" s="6" t="s">
        <v>765</v>
      </c>
      <c r="I2766" s="6" t="s">
        <v>767</v>
      </c>
      <c r="J2766" s="6" t="s">
        <v>767</v>
      </c>
      <c r="K2766" s="7">
        <v>7952717</v>
      </c>
      <c r="L2766" s="7">
        <v>371018</v>
      </c>
      <c r="M2766" s="7">
        <v>19</v>
      </c>
      <c r="N2766" s="7">
        <v>1</v>
      </c>
      <c r="O2766" s="7">
        <v>0.04</v>
      </c>
    </row>
    <row r="2767" spans="1:15" x14ac:dyDescent="0.25">
      <c r="A2767" s="6" t="s">
        <v>22</v>
      </c>
      <c r="B2767" s="6" t="s">
        <v>522</v>
      </c>
      <c r="C2767" s="7">
        <v>35267</v>
      </c>
      <c r="D2767" s="6" t="s">
        <v>297</v>
      </c>
      <c r="E2767" s="6" t="s">
        <v>298</v>
      </c>
      <c r="F2767" s="6" t="s">
        <v>523</v>
      </c>
      <c r="G2767" s="6" t="s">
        <v>32</v>
      </c>
      <c r="H2767" s="6" t="s">
        <v>765</v>
      </c>
      <c r="I2767" s="6" t="s">
        <v>767</v>
      </c>
      <c r="J2767" s="6" t="s">
        <v>767</v>
      </c>
      <c r="K2767" s="7">
        <v>7952717</v>
      </c>
      <c r="L2767" s="7">
        <v>371018</v>
      </c>
      <c r="M2767" s="7">
        <v>19</v>
      </c>
      <c r="N2767" s="7">
        <v>1</v>
      </c>
      <c r="O2767" s="7">
        <v>0.01</v>
      </c>
    </row>
    <row r="2768" spans="1:15" x14ac:dyDescent="0.25">
      <c r="A2768" s="6" t="s">
        <v>22</v>
      </c>
      <c r="B2768" s="6" t="s">
        <v>522</v>
      </c>
      <c r="C2768" s="7">
        <v>35268</v>
      </c>
      <c r="D2768" s="6" t="s">
        <v>297</v>
      </c>
      <c r="E2768" s="6" t="s">
        <v>298</v>
      </c>
      <c r="F2768" s="6" t="s">
        <v>523</v>
      </c>
      <c r="G2768" s="6" t="s">
        <v>32</v>
      </c>
      <c r="H2768" s="6" t="s">
        <v>765</v>
      </c>
      <c r="I2768" s="6" t="s">
        <v>767</v>
      </c>
      <c r="J2768" s="6" t="s">
        <v>767</v>
      </c>
      <c r="K2768" s="7">
        <v>7952329</v>
      </c>
      <c r="L2768" s="7">
        <v>371477</v>
      </c>
      <c r="M2768" s="7">
        <v>19</v>
      </c>
      <c r="N2768" s="7">
        <v>1</v>
      </c>
      <c r="O2768" s="7">
        <v>0.04</v>
      </c>
    </row>
    <row r="2769" spans="1:15" x14ac:dyDescent="0.25">
      <c r="A2769" s="6" t="s">
        <v>22</v>
      </c>
      <c r="B2769" s="6" t="s">
        <v>522</v>
      </c>
      <c r="C2769" s="7">
        <v>35273</v>
      </c>
      <c r="D2769" s="6" t="s">
        <v>297</v>
      </c>
      <c r="E2769" s="6" t="s">
        <v>298</v>
      </c>
      <c r="F2769" s="6" t="s">
        <v>523</v>
      </c>
      <c r="G2769" s="6" t="s">
        <v>32</v>
      </c>
      <c r="H2769" s="6" t="s">
        <v>765</v>
      </c>
      <c r="I2769" s="6" t="s">
        <v>767</v>
      </c>
      <c r="J2769" s="6" t="s">
        <v>767</v>
      </c>
      <c r="K2769" s="7">
        <v>7952717</v>
      </c>
      <c r="L2769" s="7">
        <v>371018</v>
      </c>
      <c r="M2769" s="7">
        <v>19</v>
      </c>
      <c r="N2769" s="7">
        <v>2</v>
      </c>
      <c r="O2769" s="7">
        <v>0.08</v>
      </c>
    </row>
    <row r="2770" spans="1:15" x14ac:dyDescent="0.25">
      <c r="A2770" s="6" t="s">
        <v>22</v>
      </c>
      <c r="B2770" s="6" t="s">
        <v>522</v>
      </c>
      <c r="C2770" s="7">
        <v>35276</v>
      </c>
      <c r="D2770" s="6" t="s">
        <v>297</v>
      </c>
      <c r="E2770" s="6" t="s">
        <v>298</v>
      </c>
      <c r="F2770" s="6" t="s">
        <v>523</v>
      </c>
      <c r="G2770" s="6" t="s">
        <v>32</v>
      </c>
      <c r="H2770" s="6" t="s">
        <v>765</v>
      </c>
      <c r="I2770" s="6" t="s">
        <v>767</v>
      </c>
      <c r="J2770" s="6" t="s">
        <v>767</v>
      </c>
      <c r="K2770" s="7">
        <v>7952717</v>
      </c>
      <c r="L2770" s="7">
        <v>371018</v>
      </c>
      <c r="M2770" s="7">
        <v>19</v>
      </c>
      <c r="N2770" s="7">
        <v>1</v>
      </c>
      <c r="O2770" s="7">
        <v>0.06</v>
      </c>
    </row>
    <row r="2771" spans="1:15" x14ac:dyDescent="0.25">
      <c r="A2771" s="6" t="s">
        <v>22</v>
      </c>
      <c r="B2771" s="6" t="s">
        <v>522</v>
      </c>
      <c r="C2771" s="7">
        <v>35277</v>
      </c>
      <c r="D2771" s="6" t="s">
        <v>297</v>
      </c>
      <c r="E2771" s="6" t="s">
        <v>298</v>
      </c>
      <c r="F2771" s="6" t="s">
        <v>523</v>
      </c>
      <c r="G2771" s="6" t="s">
        <v>32</v>
      </c>
      <c r="H2771" s="6" t="s">
        <v>765</v>
      </c>
      <c r="I2771" s="6" t="s">
        <v>767</v>
      </c>
      <c r="J2771" s="6" t="s">
        <v>767</v>
      </c>
      <c r="K2771" s="7">
        <v>7950067</v>
      </c>
      <c r="L2771" s="7">
        <v>378276</v>
      </c>
      <c r="M2771" s="7">
        <v>19</v>
      </c>
      <c r="N2771" s="7">
        <v>1</v>
      </c>
      <c r="O2771" s="7">
        <v>0.1</v>
      </c>
    </row>
    <row r="2772" spans="1:15" x14ac:dyDescent="0.25">
      <c r="A2772" s="6" t="s">
        <v>22</v>
      </c>
      <c r="B2772" s="6" t="s">
        <v>522</v>
      </c>
      <c r="C2772" s="7">
        <v>35279</v>
      </c>
      <c r="D2772" s="6" t="s">
        <v>297</v>
      </c>
      <c r="E2772" s="6" t="s">
        <v>298</v>
      </c>
      <c r="F2772" s="6" t="s">
        <v>523</v>
      </c>
      <c r="G2772" s="6" t="s">
        <v>32</v>
      </c>
      <c r="H2772" s="6" t="s">
        <v>765</v>
      </c>
      <c r="I2772" s="6" t="s">
        <v>767</v>
      </c>
      <c r="J2772" s="6" t="s">
        <v>767</v>
      </c>
      <c r="K2772" s="7">
        <v>7952329</v>
      </c>
      <c r="L2772" s="7">
        <v>371477</v>
      </c>
      <c r="M2772" s="7">
        <v>19</v>
      </c>
      <c r="N2772" s="7">
        <v>1</v>
      </c>
      <c r="O2772" s="7">
        <v>0.17</v>
      </c>
    </row>
    <row r="2773" spans="1:15" x14ac:dyDescent="0.25">
      <c r="A2773" s="6" t="s">
        <v>22</v>
      </c>
      <c r="B2773" s="6" t="s">
        <v>522</v>
      </c>
      <c r="C2773" s="7">
        <v>35280</v>
      </c>
      <c r="D2773" s="6" t="s">
        <v>297</v>
      </c>
      <c r="E2773" s="6" t="s">
        <v>298</v>
      </c>
      <c r="F2773" s="6" t="s">
        <v>523</v>
      </c>
      <c r="G2773" s="6" t="s">
        <v>32</v>
      </c>
      <c r="H2773" s="6" t="s">
        <v>765</v>
      </c>
      <c r="I2773" s="6" t="s">
        <v>767</v>
      </c>
      <c r="J2773" s="6" t="s">
        <v>767</v>
      </c>
      <c r="K2773" s="7">
        <v>7952329</v>
      </c>
      <c r="L2773" s="7">
        <v>371477</v>
      </c>
      <c r="M2773" s="7">
        <v>19</v>
      </c>
      <c r="N2773" s="7">
        <v>1</v>
      </c>
      <c r="O2773" s="7">
        <v>0.1</v>
      </c>
    </row>
    <row r="2774" spans="1:15" x14ac:dyDescent="0.25">
      <c r="A2774" s="6" t="s">
        <v>22</v>
      </c>
      <c r="B2774" s="6" t="s">
        <v>522</v>
      </c>
      <c r="C2774" s="7">
        <v>35283</v>
      </c>
      <c r="D2774" s="6" t="s">
        <v>297</v>
      </c>
      <c r="E2774" s="6" t="s">
        <v>298</v>
      </c>
      <c r="F2774" s="6" t="s">
        <v>523</v>
      </c>
      <c r="G2774" s="6" t="s">
        <v>32</v>
      </c>
      <c r="H2774" s="6" t="s">
        <v>765</v>
      </c>
      <c r="I2774" s="6" t="s">
        <v>767</v>
      </c>
      <c r="J2774" s="6" t="s">
        <v>767</v>
      </c>
      <c r="K2774" s="7">
        <v>7952329</v>
      </c>
      <c r="L2774" s="7">
        <v>371477</v>
      </c>
      <c r="M2774" s="7">
        <v>19</v>
      </c>
      <c r="N2774" s="7">
        <v>1</v>
      </c>
      <c r="O2774" s="7">
        <v>0.01</v>
      </c>
    </row>
    <row r="2775" spans="1:15" x14ac:dyDescent="0.25">
      <c r="A2775" s="6" t="s">
        <v>22</v>
      </c>
      <c r="B2775" s="6" t="s">
        <v>522</v>
      </c>
      <c r="C2775" s="7">
        <v>35285</v>
      </c>
      <c r="D2775" s="6" t="s">
        <v>297</v>
      </c>
      <c r="E2775" s="6" t="s">
        <v>298</v>
      </c>
      <c r="F2775" s="6" t="s">
        <v>413</v>
      </c>
      <c r="G2775" s="6" t="s">
        <v>32</v>
      </c>
      <c r="H2775" s="6" t="s">
        <v>765</v>
      </c>
      <c r="I2775" s="6" t="s">
        <v>767</v>
      </c>
      <c r="J2775" s="6" t="s">
        <v>767</v>
      </c>
      <c r="K2775" s="7">
        <v>7918838</v>
      </c>
      <c r="L2775" s="7">
        <v>379854</v>
      </c>
      <c r="M2775" s="7">
        <v>19</v>
      </c>
      <c r="N2775" s="7">
        <v>1</v>
      </c>
      <c r="O2775" s="7">
        <v>0.14000000000000001</v>
      </c>
    </row>
    <row r="2776" spans="1:15" x14ac:dyDescent="0.25">
      <c r="A2776" s="6" t="s">
        <v>22</v>
      </c>
      <c r="B2776" s="6" t="s">
        <v>522</v>
      </c>
      <c r="C2776" s="7">
        <v>35286</v>
      </c>
      <c r="D2776" s="6" t="s">
        <v>297</v>
      </c>
      <c r="E2776" s="6" t="s">
        <v>298</v>
      </c>
      <c r="F2776" s="6" t="s">
        <v>523</v>
      </c>
      <c r="G2776" s="6" t="s">
        <v>32</v>
      </c>
      <c r="H2776" s="6" t="s">
        <v>765</v>
      </c>
      <c r="I2776" s="6" t="s">
        <v>767</v>
      </c>
      <c r="J2776" s="6" t="s">
        <v>767</v>
      </c>
      <c r="K2776" s="7">
        <v>7952329</v>
      </c>
      <c r="L2776" s="7">
        <v>371477</v>
      </c>
      <c r="M2776" s="7">
        <v>19</v>
      </c>
      <c r="N2776" s="7">
        <v>1</v>
      </c>
      <c r="O2776" s="7">
        <v>0.01</v>
      </c>
    </row>
    <row r="2777" spans="1:15" x14ac:dyDescent="0.25">
      <c r="A2777" s="6" t="s">
        <v>22</v>
      </c>
      <c r="B2777" s="6" t="s">
        <v>522</v>
      </c>
      <c r="C2777" s="7">
        <v>35287</v>
      </c>
      <c r="D2777" s="6" t="s">
        <v>297</v>
      </c>
      <c r="E2777" s="6" t="s">
        <v>298</v>
      </c>
      <c r="F2777" s="6" t="s">
        <v>523</v>
      </c>
      <c r="G2777" s="6" t="s">
        <v>32</v>
      </c>
      <c r="H2777" s="6" t="s">
        <v>765</v>
      </c>
      <c r="I2777" s="6" t="s">
        <v>767</v>
      </c>
      <c r="J2777" s="6" t="s">
        <v>767</v>
      </c>
      <c r="K2777" s="7">
        <v>7953369</v>
      </c>
      <c r="L2777" s="7">
        <v>366140</v>
      </c>
      <c r="M2777" s="7">
        <v>19</v>
      </c>
      <c r="N2777" s="7">
        <v>1</v>
      </c>
      <c r="O2777" s="7">
        <v>0.22</v>
      </c>
    </row>
    <row r="2778" spans="1:15" x14ac:dyDescent="0.25">
      <c r="A2778" s="6" t="s">
        <v>22</v>
      </c>
      <c r="B2778" s="6" t="s">
        <v>522</v>
      </c>
      <c r="C2778" s="7">
        <v>35297</v>
      </c>
      <c r="D2778" s="6" t="s">
        <v>297</v>
      </c>
      <c r="E2778" s="6" t="s">
        <v>298</v>
      </c>
      <c r="F2778" s="6" t="s">
        <v>523</v>
      </c>
      <c r="G2778" s="6" t="s">
        <v>32</v>
      </c>
      <c r="H2778" s="6" t="s">
        <v>765</v>
      </c>
      <c r="I2778" s="6" t="s">
        <v>767</v>
      </c>
      <c r="J2778" s="6" t="s">
        <v>767</v>
      </c>
      <c r="K2778" s="7">
        <v>7950067</v>
      </c>
      <c r="L2778" s="7">
        <v>378276</v>
      </c>
      <c r="M2778" s="7">
        <v>19</v>
      </c>
      <c r="N2778" s="7">
        <v>2</v>
      </c>
      <c r="O2778" s="7">
        <v>0.2</v>
      </c>
    </row>
    <row r="2779" spans="1:15" x14ac:dyDescent="0.25">
      <c r="A2779" s="6" t="s">
        <v>22</v>
      </c>
      <c r="B2779" s="6" t="s">
        <v>522</v>
      </c>
      <c r="C2779" s="7">
        <v>35301</v>
      </c>
      <c r="D2779" s="6" t="s">
        <v>297</v>
      </c>
      <c r="E2779" s="6" t="s">
        <v>298</v>
      </c>
      <c r="F2779" s="6" t="s">
        <v>523</v>
      </c>
      <c r="G2779" s="6" t="s">
        <v>32</v>
      </c>
      <c r="H2779" s="6" t="s">
        <v>765</v>
      </c>
      <c r="I2779" s="6" t="s">
        <v>767</v>
      </c>
      <c r="J2779" s="6" t="s">
        <v>767</v>
      </c>
      <c r="K2779" s="7">
        <v>7950067</v>
      </c>
      <c r="L2779" s="7">
        <v>378276</v>
      </c>
      <c r="M2779" s="7">
        <v>19</v>
      </c>
      <c r="N2779" s="7">
        <v>1</v>
      </c>
      <c r="O2779" s="7">
        <v>0.53</v>
      </c>
    </row>
    <row r="2780" spans="1:15" x14ac:dyDescent="0.25">
      <c r="A2780" s="6" t="s">
        <v>22</v>
      </c>
      <c r="B2780" s="6" t="s">
        <v>522</v>
      </c>
      <c r="C2780" s="7">
        <v>35302</v>
      </c>
      <c r="D2780" s="6" t="s">
        <v>297</v>
      </c>
      <c r="E2780" s="6" t="s">
        <v>298</v>
      </c>
      <c r="F2780" s="6" t="s">
        <v>523</v>
      </c>
      <c r="G2780" s="6" t="s">
        <v>32</v>
      </c>
      <c r="H2780" s="6" t="s">
        <v>765</v>
      </c>
      <c r="I2780" s="6" t="s">
        <v>767</v>
      </c>
      <c r="J2780" s="6" t="s">
        <v>767</v>
      </c>
      <c r="K2780" s="7">
        <v>7952911</v>
      </c>
      <c r="L2780" s="7">
        <v>370995</v>
      </c>
      <c r="M2780" s="7">
        <v>19</v>
      </c>
      <c r="N2780" s="7">
        <v>1</v>
      </c>
      <c r="O2780" s="7">
        <v>0.4</v>
      </c>
    </row>
    <row r="2781" spans="1:15" x14ac:dyDescent="0.25">
      <c r="A2781" s="6" t="s">
        <v>22</v>
      </c>
      <c r="B2781" s="6" t="s">
        <v>522</v>
      </c>
      <c r="C2781" s="7">
        <v>35328</v>
      </c>
      <c r="D2781" s="6" t="s">
        <v>297</v>
      </c>
      <c r="E2781" s="6" t="s">
        <v>298</v>
      </c>
      <c r="F2781" s="6" t="s">
        <v>523</v>
      </c>
      <c r="G2781" s="6" t="s">
        <v>32</v>
      </c>
      <c r="H2781" s="6" t="s">
        <v>765</v>
      </c>
      <c r="I2781" s="6" t="s">
        <v>767</v>
      </c>
      <c r="J2781" s="6" t="s">
        <v>767</v>
      </c>
      <c r="K2781" s="7">
        <v>7952717</v>
      </c>
      <c r="L2781" s="7">
        <v>371018</v>
      </c>
      <c r="M2781" s="7">
        <v>19</v>
      </c>
      <c r="N2781" s="7">
        <v>1</v>
      </c>
      <c r="O2781" s="7">
        <v>0.01</v>
      </c>
    </row>
    <row r="2782" spans="1:15" x14ac:dyDescent="0.25">
      <c r="A2782" s="6" t="s">
        <v>22</v>
      </c>
      <c r="B2782" s="6" t="s">
        <v>522</v>
      </c>
      <c r="C2782" s="7">
        <v>35329</v>
      </c>
      <c r="D2782" s="6" t="s">
        <v>297</v>
      </c>
      <c r="E2782" s="6" t="s">
        <v>298</v>
      </c>
      <c r="F2782" s="6" t="s">
        <v>523</v>
      </c>
      <c r="G2782" s="6" t="s">
        <v>32</v>
      </c>
      <c r="H2782" s="6" t="s">
        <v>765</v>
      </c>
      <c r="I2782" s="6" t="s">
        <v>767</v>
      </c>
      <c r="J2782" s="6" t="s">
        <v>767</v>
      </c>
      <c r="K2782" s="7">
        <v>7952717</v>
      </c>
      <c r="L2782" s="7">
        <v>371018</v>
      </c>
      <c r="M2782" s="7">
        <v>19</v>
      </c>
      <c r="N2782" s="7">
        <v>1</v>
      </c>
      <c r="O2782" s="7">
        <v>0.01</v>
      </c>
    </row>
    <row r="2783" spans="1:15" x14ac:dyDescent="0.25">
      <c r="A2783" s="6" t="s">
        <v>22</v>
      </c>
      <c r="B2783" s="6" t="s">
        <v>522</v>
      </c>
      <c r="C2783" s="7">
        <v>35334</v>
      </c>
      <c r="D2783" s="6" t="s">
        <v>297</v>
      </c>
      <c r="E2783" s="6" t="s">
        <v>298</v>
      </c>
      <c r="F2783" s="6" t="s">
        <v>523</v>
      </c>
      <c r="G2783" s="6" t="s">
        <v>32</v>
      </c>
      <c r="H2783" s="6" t="s">
        <v>765</v>
      </c>
      <c r="I2783" s="6" t="s">
        <v>767</v>
      </c>
      <c r="J2783" s="6" t="s">
        <v>767</v>
      </c>
      <c r="K2783" s="7">
        <v>7952717</v>
      </c>
      <c r="L2783" s="7">
        <v>371018</v>
      </c>
      <c r="M2783" s="7">
        <v>19</v>
      </c>
      <c r="N2783" s="7">
        <v>1</v>
      </c>
      <c r="O2783" s="7">
        <v>0.04</v>
      </c>
    </row>
    <row r="2784" spans="1:15" x14ac:dyDescent="0.25">
      <c r="A2784" s="6" t="s">
        <v>22</v>
      </c>
      <c r="B2784" s="6" t="s">
        <v>522</v>
      </c>
      <c r="C2784" s="7">
        <v>35335</v>
      </c>
      <c r="D2784" s="6" t="s">
        <v>297</v>
      </c>
      <c r="E2784" s="6" t="s">
        <v>298</v>
      </c>
      <c r="F2784" s="6" t="s">
        <v>523</v>
      </c>
      <c r="G2784" s="6" t="s">
        <v>32</v>
      </c>
      <c r="H2784" s="6" t="s">
        <v>765</v>
      </c>
      <c r="I2784" s="6" t="s">
        <v>767</v>
      </c>
      <c r="J2784" s="6" t="s">
        <v>767</v>
      </c>
      <c r="K2784" s="7">
        <v>7952848</v>
      </c>
      <c r="L2784" s="7">
        <v>370878</v>
      </c>
      <c r="M2784" s="7">
        <v>19</v>
      </c>
      <c r="N2784" s="7">
        <v>1</v>
      </c>
      <c r="O2784" s="7">
        <v>0.26</v>
      </c>
    </row>
    <row r="2785" spans="1:15" x14ac:dyDescent="0.25">
      <c r="A2785" s="6" t="s">
        <v>22</v>
      </c>
      <c r="B2785" s="6" t="s">
        <v>522</v>
      </c>
      <c r="C2785" s="7">
        <v>35338</v>
      </c>
      <c r="D2785" s="6" t="s">
        <v>297</v>
      </c>
      <c r="E2785" s="6" t="s">
        <v>298</v>
      </c>
      <c r="F2785" s="6" t="s">
        <v>523</v>
      </c>
      <c r="G2785" s="6" t="s">
        <v>32</v>
      </c>
      <c r="H2785" s="6" t="s">
        <v>765</v>
      </c>
      <c r="I2785" s="6" t="s">
        <v>767</v>
      </c>
      <c r="J2785" s="6" t="s">
        <v>767</v>
      </c>
      <c r="K2785" s="7">
        <v>7952848</v>
      </c>
      <c r="L2785" s="7">
        <v>370878</v>
      </c>
      <c r="M2785" s="7">
        <v>19</v>
      </c>
      <c r="N2785" s="7">
        <v>1</v>
      </c>
      <c r="O2785" s="7">
        <v>0.18</v>
      </c>
    </row>
    <row r="2786" spans="1:15" x14ac:dyDescent="0.25">
      <c r="A2786" s="6" t="s">
        <v>22</v>
      </c>
      <c r="B2786" s="6" t="s">
        <v>522</v>
      </c>
      <c r="C2786" s="7">
        <v>35339</v>
      </c>
      <c r="D2786" s="6" t="s">
        <v>297</v>
      </c>
      <c r="E2786" s="6" t="s">
        <v>298</v>
      </c>
      <c r="F2786" s="6" t="s">
        <v>523</v>
      </c>
      <c r="G2786" s="6" t="s">
        <v>32</v>
      </c>
      <c r="H2786" s="6" t="s">
        <v>765</v>
      </c>
      <c r="I2786" s="6" t="s">
        <v>767</v>
      </c>
      <c r="J2786" s="6" t="s">
        <v>767</v>
      </c>
      <c r="K2786" s="7">
        <v>7952717</v>
      </c>
      <c r="L2786" s="7">
        <v>371018</v>
      </c>
      <c r="M2786" s="7">
        <v>19</v>
      </c>
      <c r="N2786" s="7">
        <v>1</v>
      </c>
      <c r="O2786" s="7">
        <v>7.0000000000000007E-2</v>
      </c>
    </row>
    <row r="2787" spans="1:15" x14ac:dyDescent="0.25">
      <c r="A2787" s="6" t="s">
        <v>22</v>
      </c>
      <c r="B2787" s="6" t="s">
        <v>522</v>
      </c>
      <c r="C2787" s="7">
        <v>35340</v>
      </c>
      <c r="D2787" s="6" t="s">
        <v>297</v>
      </c>
      <c r="E2787" s="6" t="s">
        <v>298</v>
      </c>
      <c r="F2787" s="6" t="s">
        <v>523</v>
      </c>
      <c r="G2787" s="6" t="s">
        <v>32</v>
      </c>
      <c r="H2787" s="6" t="s">
        <v>765</v>
      </c>
      <c r="I2787" s="6" t="s">
        <v>767</v>
      </c>
      <c r="J2787" s="6" t="s">
        <v>767</v>
      </c>
      <c r="K2787" s="7">
        <v>7952717</v>
      </c>
      <c r="L2787" s="7">
        <v>371018</v>
      </c>
      <c r="M2787" s="7">
        <v>19</v>
      </c>
      <c r="N2787" s="7">
        <v>1</v>
      </c>
      <c r="O2787" s="7">
        <v>0.01</v>
      </c>
    </row>
    <row r="2788" spans="1:15" x14ac:dyDescent="0.25">
      <c r="A2788" s="6" t="s">
        <v>22</v>
      </c>
      <c r="B2788" s="6" t="s">
        <v>522</v>
      </c>
      <c r="C2788" s="7">
        <v>35361</v>
      </c>
      <c r="D2788" s="6" t="s">
        <v>297</v>
      </c>
      <c r="E2788" s="6" t="s">
        <v>298</v>
      </c>
      <c r="F2788" s="6" t="s">
        <v>523</v>
      </c>
      <c r="G2788" s="6" t="s">
        <v>32</v>
      </c>
      <c r="H2788" s="6" t="s">
        <v>765</v>
      </c>
      <c r="I2788" s="6" t="s">
        <v>767</v>
      </c>
      <c r="J2788" s="6" t="s">
        <v>767</v>
      </c>
      <c r="K2788" s="7">
        <v>7952848</v>
      </c>
      <c r="L2788" s="7">
        <v>370878</v>
      </c>
      <c r="M2788" s="7">
        <v>19</v>
      </c>
      <c r="N2788" s="7">
        <v>1</v>
      </c>
      <c r="O2788" s="7">
        <v>0.1</v>
      </c>
    </row>
    <row r="2789" spans="1:15" x14ac:dyDescent="0.25">
      <c r="A2789" s="6" t="s">
        <v>22</v>
      </c>
      <c r="B2789" s="6" t="s">
        <v>522</v>
      </c>
      <c r="C2789" s="7">
        <v>35362</v>
      </c>
      <c r="D2789" s="6" t="s">
        <v>297</v>
      </c>
      <c r="E2789" s="6" t="s">
        <v>298</v>
      </c>
      <c r="F2789" s="6" t="s">
        <v>523</v>
      </c>
      <c r="G2789" s="6" t="s">
        <v>32</v>
      </c>
      <c r="H2789" s="6" t="s">
        <v>765</v>
      </c>
      <c r="I2789" s="6" t="s">
        <v>767</v>
      </c>
      <c r="J2789" s="6" t="s">
        <v>767</v>
      </c>
      <c r="K2789" s="7">
        <v>7952848</v>
      </c>
      <c r="L2789" s="7">
        <v>370878</v>
      </c>
      <c r="M2789" s="7">
        <v>19</v>
      </c>
      <c r="N2789" s="7">
        <v>1</v>
      </c>
      <c r="O2789" s="7">
        <v>0.06</v>
      </c>
    </row>
    <row r="2790" spans="1:15" x14ac:dyDescent="0.25">
      <c r="A2790" s="6" t="s">
        <v>22</v>
      </c>
      <c r="B2790" s="6" t="s">
        <v>522</v>
      </c>
      <c r="C2790" s="7">
        <v>35368</v>
      </c>
      <c r="D2790" s="6" t="s">
        <v>297</v>
      </c>
      <c r="E2790" s="6" t="s">
        <v>298</v>
      </c>
      <c r="F2790" s="6" t="s">
        <v>523</v>
      </c>
      <c r="G2790" s="6" t="s">
        <v>32</v>
      </c>
      <c r="H2790" s="6" t="s">
        <v>765</v>
      </c>
      <c r="I2790" s="6" t="s">
        <v>767</v>
      </c>
      <c r="J2790" s="6" t="s">
        <v>767</v>
      </c>
      <c r="K2790" s="7">
        <v>7952848</v>
      </c>
      <c r="L2790" s="7">
        <v>370878</v>
      </c>
      <c r="M2790" s="7">
        <v>19</v>
      </c>
      <c r="N2790" s="7">
        <v>1</v>
      </c>
      <c r="O2790" s="7">
        <v>0.12</v>
      </c>
    </row>
    <row r="2791" spans="1:15" x14ac:dyDescent="0.25">
      <c r="A2791" s="6" t="s">
        <v>22</v>
      </c>
      <c r="B2791" s="6" t="s">
        <v>522</v>
      </c>
      <c r="C2791" s="7">
        <v>35369</v>
      </c>
      <c r="D2791" s="6" t="s">
        <v>297</v>
      </c>
      <c r="E2791" s="6" t="s">
        <v>298</v>
      </c>
      <c r="F2791" s="6" t="s">
        <v>523</v>
      </c>
      <c r="G2791" s="6" t="s">
        <v>32</v>
      </c>
      <c r="H2791" s="6" t="s">
        <v>765</v>
      </c>
      <c r="I2791" s="6" t="s">
        <v>767</v>
      </c>
      <c r="J2791" s="6" t="s">
        <v>767</v>
      </c>
      <c r="K2791" s="7">
        <v>7952717</v>
      </c>
      <c r="L2791" s="7">
        <v>371018</v>
      </c>
      <c r="M2791" s="7">
        <v>19</v>
      </c>
      <c r="N2791" s="7">
        <v>1</v>
      </c>
      <c r="O2791" s="7">
        <v>0.01</v>
      </c>
    </row>
    <row r="2792" spans="1:15" x14ac:dyDescent="0.25">
      <c r="A2792" s="6" t="s">
        <v>22</v>
      </c>
      <c r="B2792" s="6" t="s">
        <v>522</v>
      </c>
      <c r="C2792" s="7">
        <v>35371</v>
      </c>
      <c r="D2792" s="6" t="s">
        <v>297</v>
      </c>
      <c r="E2792" s="6" t="s">
        <v>298</v>
      </c>
      <c r="F2792" s="6" t="s">
        <v>523</v>
      </c>
      <c r="G2792" s="6" t="s">
        <v>32</v>
      </c>
      <c r="H2792" s="6" t="s">
        <v>765</v>
      </c>
      <c r="I2792" s="6" t="s">
        <v>767</v>
      </c>
      <c r="J2792" s="6" t="s">
        <v>767</v>
      </c>
      <c r="K2792" s="7">
        <v>7952817</v>
      </c>
      <c r="L2792" s="7">
        <v>371056</v>
      </c>
      <c r="M2792" s="7">
        <v>19</v>
      </c>
      <c r="N2792" s="7">
        <v>1</v>
      </c>
      <c r="O2792" s="7">
        <v>0.05</v>
      </c>
    </row>
    <row r="2793" spans="1:15" x14ac:dyDescent="0.25">
      <c r="A2793" s="6" t="s">
        <v>22</v>
      </c>
      <c r="B2793" s="6" t="s">
        <v>522</v>
      </c>
      <c r="C2793" s="7">
        <v>35372</v>
      </c>
      <c r="D2793" s="6" t="s">
        <v>297</v>
      </c>
      <c r="E2793" s="6" t="s">
        <v>298</v>
      </c>
      <c r="F2793" s="6" t="s">
        <v>523</v>
      </c>
      <c r="G2793" s="6" t="s">
        <v>32</v>
      </c>
      <c r="H2793" s="6" t="s">
        <v>765</v>
      </c>
      <c r="I2793" s="6" t="s">
        <v>767</v>
      </c>
      <c r="J2793" s="6" t="s">
        <v>767</v>
      </c>
      <c r="K2793" s="7">
        <v>6269869</v>
      </c>
      <c r="L2793" s="7">
        <v>325919</v>
      </c>
      <c r="M2793" s="7">
        <v>19</v>
      </c>
      <c r="N2793" s="7">
        <v>1</v>
      </c>
      <c r="O2793" s="7">
        <v>0.31</v>
      </c>
    </row>
    <row r="2794" spans="1:15" x14ac:dyDescent="0.25">
      <c r="A2794" s="6" t="s">
        <v>22</v>
      </c>
      <c r="B2794" s="6" t="s">
        <v>522</v>
      </c>
      <c r="C2794" s="7">
        <v>35373</v>
      </c>
      <c r="D2794" s="6" t="s">
        <v>297</v>
      </c>
      <c r="E2794" s="6" t="s">
        <v>298</v>
      </c>
      <c r="F2794" s="6" t="s">
        <v>523</v>
      </c>
      <c r="G2794" s="6" t="s">
        <v>32</v>
      </c>
      <c r="H2794" s="6" t="s">
        <v>765</v>
      </c>
      <c r="I2794" s="6" t="s">
        <v>767</v>
      </c>
      <c r="J2794" s="6" t="s">
        <v>767</v>
      </c>
      <c r="K2794" s="7">
        <v>7952848</v>
      </c>
      <c r="L2794" s="7">
        <v>370878</v>
      </c>
      <c r="M2794" s="7">
        <v>19</v>
      </c>
      <c r="N2794" s="7">
        <v>1</v>
      </c>
      <c r="O2794" s="7">
        <v>0.04</v>
      </c>
    </row>
    <row r="2795" spans="1:15" x14ac:dyDescent="0.25">
      <c r="A2795" s="6" t="s">
        <v>22</v>
      </c>
      <c r="B2795" s="6" t="s">
        <v>522</v>
      </c>
      <c r="C2795" s="7">
        <v>35394</v>
      </c>
      <c r="D2795" s="6" t="s">
        <v>297</v>
      </c>
      <c r="E2795" s="6" t="s">
        <v>298</v>
      </c>
      <c r="F2795" s="6" t="s">
        <v>523</v>
      </c>
      <c r="G2795" s="6" t="s">
        <v>32</v>
      </c>
      <c r="H2795" s="6" t="s">
        <v>765</v>
      </c>
      <c r="I2795" s="6" t="s">
        <v>767</v>
      </c>
      <c r="J2795" s="6" t="s">
        <v>767</v>
      </c>
      <c r="K2795" s="7">
        <v>7952848</v>
      </c>
      <c r="L2795" s="7">
        <v>370878</v>
      </c>
      <c r="M2795" s="7">
        <v>19</v>
      </c>
      <c r="N2795" s="7">
        <v>1</v>
      </c>
      <c r="O2795" s="7">
        <v>0.13</v>
      </c>
    </row>
    <row r="2796" spans="1:15" x14ac:dyDescent="0.25">
      <c r="A2796" s="6" t="s">
        <v>22</v>
      </c>
      <c r="B2796" s="6" t="s">
        <v>522</v>
      </c>
      <c r="C2796" s="7">
        <v>35395</v>
      </c>
      <c r="D2796" s="6" t="s">
        <v>297</v>
      </c>
      <c r="E2796" s="6" t="s">
        <v>298</v>
      </c>
      <c r="F2796" s="6" t="s">
        <v>523</v>
      </c>
      <c r="G2796" s="6" t="s">
        <v>32</v>
      </c>
      <c r="H2796" s="6" t="s">
        <v>765</v>
      </c>
      <c r="I2796" s="6" t="s">
        <v>767</v>
      </c>
      <c r="J2796" s="6" t="s">
        <v>767</v>
      </c>
      <c r="K2796" s="7">
        <v>7952911</v>
      </c>
      <c r="L2796" s="7">
        <v>370995</v>
      </c>
      <c r="M2796" s="7">
        <v>19</v>
      </c>
      <c r="N2796" s="7">
        <v>1</v>
      </c>
      <c r="O2796" s="7">
        <v>0.04</v>
      </c>
    </row>
    <row r="2797" spans="1:15" x14ac:dyDescent="0.25">
      <c r="A2797" s="6" t="s">
        <v>22</v>
      </c>
      <c r="B2797" s="6" t="s">
        <v>522</v>
      </c>
      <c r="C2797" s="7">
        <v>35401</v>
      </c>
      <c r="D2797" s="6" t="s">
        <v>297</v>
      </c>
      <c r="E2797" s="6" t="s">
        <v>298</v>
      </c>
      <c r="F2797" s="6" t="s">
        <v>523</v>
      </c>
      <c r="G2797" s="6" t="s">
        <v>32</v>
      </c>
      <c r="H2797" s="6" t="s">
        <v>765</v>
      </c>
      <c r="I2797" s="6" t="s">
        <v>767</v>
      </c>
      <c r="J2797" s="6" t="s">
        <v>767</v>
      </c>
      <c r="K2797" s="7">
        <v>7952817</v>
      </c>
      <c r="L2797" s="7">
        <v>371056</v>
      </c>
      <c r="M2797" s="7">
        <v>19</v>
      </c>
      <c r="N2797" s="7">
        <v>1</v>
      </c>
      <c r="O2797" s="7">
        <v>0.04</v>
      </c>
    </row>
    <row r="2798" spans="1:15" x14ac:dyDescent="0.25">
      <c r="A2798" s="6" t="s">
        <v>22</v>
      </c>
      <c r="B2798" s="6" t="s">
        <v>522</v>
      </c>
      <c r="C2798" s="7">
        <v>35413</v>
      </c>
      <c r="D2798" s="6" t="s">
        <v>297</v>
      </c>
      <c r="E2798" s="6" t="s">
        <v>298</v>
      </c>
      <c r="F2798" s="6" t="s">
        <v>523</v>
      </c>
      <c r="G2798" s="6" t="s">
        <v>32</v>
      </c>
      <c r="H2798" s="6" t="s">
        <v>765</v>
      </c>
      <c r="I2798" s="6" t="s">
        <v>767</v>
      </c>
      <c r="J2798" s="6" t="s">
        <v>767</v>
      </c>
      <c r="K2798" s="7">
        <v>7952817</v>
      </c>
      <c r="L2798" s="7">
        <v>371056</v>
      </c>
      <c r="M2798" s="7">
        <v>19</v>
      </c>
      <c r="N2798" s="7">
        <v>1</v>
      </c>
      <c r="O2798" s="7">
        <v>0.03</v>
      </c>
    </row>
    <row r="2799" spans="1:15" x14ac:dyDescent="0.25">
      <c r="A2799" s="6" t="s">
        <v>22</v>
      </c>
      <c r="B2799" s="6" t="s">
        <v>522</v>
      </c>
      <c r="C2799" s="7">
        <v>35430</v>
      </c>
      <c r="D2799" s="6" t="s">
        <v>297</v>
      </c>
      <c r="E2799" s="6" t="s">
        <v>298</v>
      </c>
      <c r="F2799" s="6" t="s">
        <v>523</v>
      </c>
      <c r="G2799" s="6" t="s">
        <v>32</v>
      </c>
      <c r="H2799" s="6" t="s">
        <v>765</v>
      </c>
      <c r="I2799" s="6" t="s">
        <v>767</v>
      </c>
      <c r="J2799" s="6" t="s">
        <v>767</v>
      </c>
      <c r="K2799" s="7">
        <v>7952817</v>
      </c>
      <c r="L2799" s="7">
        <v>371056</v>
      </c>
      <c r="M2799" s="7">
        <v>19</v>
      </c>
      <c r="N2799" s="7">
        <v>1</v>
      </c>
      <c r="O2799" s="7">
        <v>0.01</v>
      </c>
    </row>
    <row r="2800" spans="1:15" x14ac:dyDescent="0.25">
      <c r="A2800" s="6" t="s">
        <v>22</v>
      </c>
      <c r="B2800" s="6" t="s">
        <v>522</v>
      </c>
      <c r="C2800" s="7">
        <v>35435</v>
      </c>
      <c r="D2800" s="6" t="s">
        <v>297</v>
      </c>
      <c r="E2800" s="6" t="s">
        <v>298</v>
      </c>
      <c r="F2800" s="6" t="s">
        <v>523</v>
      </c>
      <c r="G2800" s="6" t="s">
        <v>32</v>
      </c>
      <c r="H2800" s="6" t="s">
        <v>765</v>
      </c>
      <c r="I2800" s="6" t="s">
        <v>767</v>
      </c>
      <c r="J2800" s="6" t="s">
        <v>767</v>
      </c>
      <c r="K2800" s="7">
        <v>7953369</v>
      </c>
      <c r="L2800" s="7">
        <v>366140</v>
      </c>
      <c r="M2800" s="7">
        <v>19</v>
      </c>
      <c r="N2800" s="7">
        <v>1</v>
      </c>
      <c r="O2800" s="7">
        <v>0.15</v>
      </c>
    </row>
    <row r="2801" spans="1:15" x14ac:dyDescent="0.25">
      <c r="A2801" s="6" t="s">
        <v>22</v>
      </c>
      <c r="B2801" s="6" t="s">
        <v>522</v>
      </c>
      <c r="C2801" s="7">
        <v>35447</v>
      </c>
      <c r="D2801" s="6" t="s">
        <v>297</v>
      </c>
      <c r="E2801" s="6" t="s">
        <v>298</v>
      </c>
      <c r="F2801" s="6" t="s">
        <v>523</v>
      </c>
      <c r="G2801" s="6" t="s">
        <v>32</v>
      </c>
      <c r="H2801" s="6" t="s">
        <v>765</v>
      </c>
      <c r="I2801" s="6" t="s">
        <v>767</v>
      </c>
      <c r="J2801" s="6" t="s">
        <v>767</v>
      </c>
      <c r="K2801" s="7">
        <v>7952848</v>
      </c>
      <c r="L2801" s="7">
        <v>370878</v>
      </c>
      <c r="M2801" s="7">
        <v>19</v>
      </c>
      <c r="N2801" s="7">
        <v>1</v>
      </c>
      <c r="O2801" s="7">
        <v>0.21</v>
      </c>
    </row>
    <row r="2802" spans="1:15" x14ac:dyDescent="0.25">
      <c r="A2802" s="6" t="s">
        <v>22</v>
      </c>
      <c r="B2802" s="6" t="s">
        <v>522</v>
      </c>
      <c r="C2802" s="7">
        <v>35464</v>
      </c>
      <c r="D2802" s="6" t="s">
        <v>297</v>
      </c>
      <c r="E2802" s="6" t="s">
        <v>298</v>
      </c>
      <c r="F2802" s="6" t="s">
        <v>523</v>
      </c>
      <c r="G2802" s="6" t="s">
        <v>32</v>
      </c>
      <c r="H2802" s="6" t="s">
        <v>765</v>
      </c>
      <c r="I2802" s="6" t="s">
        <v>767</v>
      </c>
      <c r="J2802" s="6" t="s">
        <v>767</v>
      </c>
      <c r="K2802" s="7">
        <v>7953369</v>
      </c>
      <c r="L2802" s="7">
        <v>366140</v>
      </c>
      <c r="M2802" s="7">
        <v>19</v>
      </c>
      <c r="N2802" s="7">
        <v>1</v>
      </c>
      <c r="O2802" s="7">
        <v>0.15</v>
      </c>
    </row>
    <row r="2803" spans="1:15" x14ac:dyDescent="0.25">
      <c r="A2803" s="6" t="s">
        <v>22</v>
      </c>
      <c r="B2803" s="6" t="s">
        <v>522</v>
      </c>
      <c r="C2803" s="7">
        <v>35465</v>
      </c>
      <c r="D2803" s="6" t="s">
        <v>297</v>
      </c>
      <c r="E2803" s="6" t="s">
        <v>298</v>
      </c>
      <c r="F2803" s="6" t="s">
        <v>523</v>
      </c>
      <c r="G2803" s="6" t="s">
        <v>32</v>
      </c>
      <c r="H2803" s="6" t="s">
        <v>765</v>
      </c>
      <c r="I2803" s="6" t="s">
        <v>767</v>
      </c>
      <c r="J2803" s="6" t="s">
        <v>767</v>
      </c>
      <c r="K2803" s="7">
        <v>7952717</v>
      </c>
      <c r="L2803" s="7">
        <v>371018</v>
      </c>
      <c r="M2803" s="7">
        <v>19</v>
      </c>
      <c r="N2803" s="7">
        <v>1</v>
      </c>
      <c r="O2803" s="7">
        <v>0.01</v>
      </c>
    </row>
    <row r="2804" spans="1:15" x14ac:dyDescent="0.25">
      <c r="A2804" s="6" t="s">
        <v>22</v>
      </c>
      <c r="B2804" s="6" t="s">
        <v>522</v>
      </c>
      <c r="C2804" s="7">
        <v>35499</v>
      </c>
      <c r="D2804" s="6" t="s">
        <v>297</v>
      </c>
      <c r="E2804" s="6" t="s">
        <v>298</v>
      </c>
      <c r="F2804" s="6" t="s">
        <v>523</v>
      </c>
      <c r="G2804" s="6" t="s">
        <v>32</v>
      </c>
      <c r="H2804" s="6" t="s">
        <v>765</v>
      </c>
      <c r="I2804" s="6" t="s">
        <v>767</v>
      </c>
      <c r="J2804" s="6" t="s">
        <v>767</v>
      </c>
      <c r="K2804" s="7">
        <v>7953369</v>
      </c>
      <c r="L2804" s="7">
        <v>366140</v>
      </c>
      <c r="M2804" s="7">
        <v>19</v>
      </c>
      <c r="N2804" s="7">
        <v>1</v>
      </c>
      <c r="O2804" s="7">
        <v>0.06</v>
      </c>
    </row>
    <row r="2805" spans="1:15" x14ac:dyDescent="0.25">
      <c r="A2805" s="6" t="s">
        <v>22</v>
      </c>
      <c r="B2805" s="6" t="s">
        <v>522</v>
      </c>
      <c r="C2805" s="7">
        <v>35507</v>
      </c>
      <c r="D2805" s="6" t="s">
        <v>297</v>
      </c>
      <c r="E2805" s="6" t="s">
        <v>298</v>
      </c>
      <c r="F2805" s="6" t="s">
        <v>523</v>
      </c>
      <c r="G2805" s="6" t="s">
        <v>32</v>
      </c>
      <c r="H2805" s="6" t="s">
        <v>765</v>
      </c>
      <c r="I2805" s="6" t="s">
        <v>767</v>
      </c>
      <c r="J2805" s="6" t="s">
        <v>767</v>
      </c>
      <c r="K2805" s="7">
        <v>7953369</v>
      </c>
      <c r="L2805" s="7">
        <v>366140</v>
      </c>
      <c r="M2805" s="7">
        <v>19</v>
      </c>
      <c r="N2805" s="7">
        <v>1</v>
      </c>
      <c r="O2805" s="7">
        <v>0.06</v>
      </c>
    </row>
    <row r="2806" spans="1:15" x14ac:dyDescent="0.25">
      <c r="A2806" s="6" t="s">
        <v>22</v>
      </c>
      <c r="B2806" s="6" t="s">
        <v>522</v>
      </c>
      <c r="C2806" s="7">
        <v>35546</v>
      </c>
      <c r="D2806" s="6" t="s">
        <v>297</v>
      </c>
      <c r="E2806" s="6" t="s">
        <v>298</v>
      </c>
      <c r="F2806" s="6" t="s">
        <v>523</v>
      </c>
      <c r="G2806" s="6" t="s">
        <v>32</v>
      </c>
      <c r="H2806" s="6" t="s">
        <v>765</v>
      </c>
      <c r="I2806" s="6" t="s">
        <v>767</v>
      </c>
      <c r="J2806" s="6" t="s">
        <v>767</v>
      </c>
      <c r="K2806" s="7">
        <v>7952717</v>
      </c>
      <c r="L2806" s="7">
        <v>371018</v>
      </c>
      <c r="M2806" s="7">
        <v>19</v>
      </c>
      <c r="N2806" s="7">
        <v>1</v>
      </c>
      <c r="O2806" s="7">
        <v>0.01</v>
      </c>
    </row>
    <row r="2807" spans="1:15" x14ac:dyDescent="0.25">
      <c r="A2807" s="6" t="s">
        <v>22</v>
      </c>
      <c r="B2807" s="6" t="s">
        <v>522</v>
      </c>
      <c r="C2807" s="7">
        <v>35547</v>
      </c>
      <c r="D2807" s="6" t="s">
        <v>297</v>
      </c>
      <c r="E2807" s="6" t="s">
        <v>298</v>
      </c>
      <c r="F2807" s="6" t="s">
        <v>523</v>
      </c>
      <c r="G2807" s="6" t="s">
        <v>32</v>
      </c>
      <c r="H2807" s="6" t="s">
        <v>765</v>
      </c>
      <c r="I2807" s="6" t="s">
        <v>767</v>
      </c>
      <c r="J2807" s="6" t="s">
        <v>767</v>
      </c>
      <c r="K2807" s="7">
        <v>7952717</v>
      </c>
      <c r="L2807" s="7">
        <v>371018</v>
      </c>
      <c r="M2807" s="7">
        <v>19</v>
      </c>
      <c r="N2807" s="7">
        <v>1</v>
      </c>
      <c r="O2807" s="7">
        <v>0.01</v>
      </c>
    </row>
    <row r="2808" spans="1:15" x14ac:dyDescent="0.25">
      <c r="A2808" s="6" t="s">
        <v>22</v>
      </c>
      <c r="B2808" s="6" t="s">
        <v>638</v>
      </c>
      <c r="C2808" s="7">
        <v>30094</v>
      </c>
      <c r="D2808" s="6" t="s">
        <v>133</v>
      </c>
      <c r="E2808" s="6" t="s">
        <v>508</v>
      </c>
      <c r="F2808" s="6" t="s">
        <v>508</v>
      </c>
      <c r="G2808" s="6" t="s">
        <v>50</v>
      </c>
      <c r="H2808" s="6" t="s">
        <v>765</v>
      </c>
      <c r="I2808" s="6" t="s">
        <v>767</v>
      </c>
      <c r="J2808" s="6" t="s">
        <v>767</v>
      </c>
      <c r="K2808" s="7">
        <v>5672607</v>
      </c>
      <c r="L2808" s="7">
        <v>699047</v>
      </c>
      <c r="M2808" s="7">
        <v>18</v>
      </c>
      <c r="N2808" s="7">
        <v>1</v>
      </c>
      <c r="O2808" s="7">
        <v>1.5</v>
      </c>
    </row>
    <row r="2809" spans="1:15" x14ac:dyDescent="0.25">
      <c r="A2809" s="6" t="s">
        <v>22</v>
      </c>
      <c r="B2809" s="6" t="s">
        <v>638</v>
      </c>
      <c r="C2809" s="7">
        <v>32882</v>
      </c>
      <c r="D2809" s="6" t="s">
        <v>133</v>
      </c>
      <c r="E2809" s="6" t="s">
        <v>218</v>
      </c>
      <c r="F2809" s="6" t="s">
        <v>639</v>
      </c>
      <c r="G2809" s="6" t="s">
        <v>50</v>
      </c>
      <c r="H2809" s="6" t="s">
        <v>765</v>
      </c>
      <c r="I2809" s="6" t="s">
        <v>767</v>
      </c>
      <c r="J2809" s="6" t="s">
        <v>767</v>
      </c>
      <c r="K2809" s="7">
        <v>5716444</v>
      </c>
      <c r="L2809" s="7">
        <v>717725</v>
      </c>
      <c r="M2809" s="7">
        <v>18</v>
      </c>
      <c r="N2809" s="7">
        <v>1</v>
      </c>
      <c r="O2809" s="7">
        <v>0.69</v>
      </c>
    </row>
    <row r="2810" spans="1:15" x14ac:dyDescent="0.25">
      <c r="A2810" s="6" t="s">
        <v>22</v>
      </c>
      <c r="B2810" s="6" t="s">
        <v>638</v>
      </c>
      <c r="C2810" s="7">
        <v>32923</v>
      </c>
      <c r="D2810" s="6" t="s">
        <v>133</v>
      </c>
      <c r="E2810" s="6" t="s">
        <v>508</v>
      </c>
      <c r="F2810" s="6" t="s">
        <v>508</v>
      </c>
      <c r="G2810" s="6" t="s">
        <v>50</v>
      </c>
      <c r="H2810" s="6" t="s">
        <v>765</v>
      </c>
      <c r="I2810" s="6" t="s">
        <v>767</v>
      </c>
      <c r="J2810" s="6" t="s">
        <v>767</v>
      </c>
      <c r="K2810" s="7">
        <v>5672607</v>
      </c>
      <c r="L2810" s="7">
        <v>699047</v>
      </c>
      <c r="M2810" s="7">
        <v>18</v>
      </c>
      <c r="N2810" s="7">
        <v>1</v>
      </c>
      <c r="O2810" s="7">
        <v>2.5</v>
      </c>
    </row>
    <row r="2811" spans="1:15" x14ac:dyDescent="0.25">
      <c r="A2811" s="6" t="s">
        <v>22</v>
      </c>
      <c r="B2811" s="6" t="s">
        <v>638</v>
      </c>
      <c r="C2811" s="7">
        <v>32939</v>
      </c>
      <c r="D2811" s="6" t="s">
        <v>133</v>
      </c>
      <c r="E2811" s="6" t="s">
        <v>508</v>
      </c>
      <c r="F2811" s="6" t="s">
        <v>508</v>
      </c>
      <c r="G2811" s="6" t="s">
        <v>50</v>
      </c>
      <c r="H2811" s="6" t="s">
        <v>765</v>
      </c>
      <c r="I2811" s="6" t="s">
        <v>767</v>
      </c>
      <c r="J2811" s="6" t="s">
        <v>767</v>
      </c>
      <c r="K2811" s="7">
        <v>5672577</v>
      </c>
      <c r="L2811" s="7">
        <v>699417</v>
      </c>
      <c r="M2811" s="7">
        <v>18</v>
      </c>
      <c r="N2811" s="7">
        <v>1</v>
      </c>
      <c r="O2811" s="7">
        <v>0.25</v>
      </c>
    </row>
    <row r="2812" spans="1:15" x14ac:dyDescent="0.25">
      <c r="A2812" s="6" t="s">
        <v>22</v>
      </c>
      <c r="B2812" s="6" t="s">
        <v>638</v>
      </c>
      <c r="C2812" s="7">
        <v>33022</v>
      </c>
      <c r="D2812" s="6" t="s">
        <v>133</v>
      </c>
      <c r="E2812" s="6" t="s">
        <v>508</v>
      </c>
      <c r="F2812" s="6" t="s">
        <v>508</v>
      </c>
      <c r="G2812" s="6" t="s">
        <v>50</v>
      </c>
      <c r="H2812" s="6" t="s">
        <v>765</v>
      </c>
      <c r="I2812" s="6" t="s">
        <v>767</v>
      </c>
      <c r="J2812" s="6" t="s">
        <v>767</v>
      </c>
      <c r="K2812" s="7">
        <v>5669238</v>
      </c>
      <c r="L2812" s="7">
        <v>700140</v>
      </c>
      <c r="M2812" s="7">
        <v>18</v>
      </c>
      <c r="N2812" s="7">
        <v>1</v>
      </c>
      <c r="O2812" s="7">
        <v>0.5</v>
      </c>
    </row>
    <row r="2813" spans="1:15" x14ac:dyDescent="0.25">
      <c r="A2813" s="6" t="s">
        <v>22</v>
      </c>
      <c r="B2813" s="6" t="s">
        <v>640</v>
      </c>
      <c r="C2813" s="7">
        <v>31443</v>
      </c>
      <c r="D2813" s="6" t="s">
        <v>24</v>
      </c>
      <c r="E2813" s="6" t="s">
        <v>501</v>
      </c>
      <c r="F2813" s="6" t="s">
        <v>641</v>
      </c>
      <c r="G2813" s="6" t="s">
        <v>32</v>
      </c>
      <c r="H2813" s="6" t="s">
        <v>765</v>
      </c>
      <c r="I2813" s="6" t="s">
        <v>767</v>
      </c>
      <c r="J2813" s="6" t="s">
        <v>767</v>
      </c>
      <c r="K2813" s="7">
        <v>6336028</v>
      </c>
      <c r="L2813" s="7">
        <v>332440</v>
      </c>
      <c r="M2813" s="7">
        <v>19</v>
      </c>
      <c r="N2813" s="7">
        <v>1</v>
      </c>
      <c r="O2813" s="7">
        <v>0.1</v>
      </c>
    </row>
    <row r="2814" spans="1:15" x14ac:dyDescent="0.25">
      <c r="A2814" s="6" t="s">
        <v>22</v>
      </c>
      <c r="B2814" s="6" t="s">
        <v>640</v>
      </c>
      <c r="C2814" s="7">
        <v>31452</v>
      </c>
      <c r="D2814" s="6" t="s">
        <v>24</v>
      </c>
      <c r="E2814" s="6" t="s">
        <v>580</v>
      </c>
      <c r="F2814" s="6" t="s">
        <v>580</v>
      </c>
      <c r="G2814" s="6" t="s">
        <v>32</v>
      </c>
      <c r="H2814" s="6" t="s">
        <v>765</v>
      </c>
      <c r="I2814" s="6" t="s">
        <v>767</v>
      </c>
      <c r="J2814" s="6" t="s">
        <v>767</v>
      </c>
      <c r="K2814" s="7">
        <v>6335818</v>
      </c>
      <c r="L2814" s="7">
        <v>340846</v>
      </c>
      <c r="M2814" s="7">
        <v>19</v>
      </c>
      <c r="N2814" s="7">
        <v>1</v>
      </c>
      <c r="O2814" s="7">
        <v>0.1</v>
      </c>
    </row>
    <row r="2815" spans="1:15" x14ac:dyDescent="0.25">
      <c r="A2815" s="6" t="s">
        <v>22</v>
      </c>
      <c r="B2815" s="6" t="s">
        <v>640</v>
      </c>
      <c r="C2815" s="7">
        <v>31454</v>
      </c>
      <c r="D2815" s="6" t="s">
        <v>24</v>
      </c>
      <c r="E2815" s="6" t="s">
        <v>436</v>
      </c>
      <c r="F2815" s="6" t="s">
        <v>457</v>
      </c>
      <c r="G2815" s="6" t="s">
        <v>32</v>
      </c>
      <c r="H2815" s="6" t="s">
        <v>765</v>
      </c>
      <c r="I2815" s="6" t="s">
        <v>767</v>
      </c>
      <c r="J2815" s="6" t="s">
        <v>767</v>
      </c>
      <c r="K2815" s="7">
        <v>6281022</v>
      </c>
      <c r="L2815" s="7">
        <v>334769</v>
      </c>
      <c r="M2815" s="7">
        <v>19</v>
      </c>
      <c r="N2815" s="7">
        <v>1</v>
      </c>
      <c r="O2815" s="7">
        <v>0.1</v>
      </c>
    </row>
    <row r="2816" spans="1:15" x14ac:dyDescent="0.25">
      <c r="A2816" s="6" t="s">
        <v>22</v>
      </c>
      <c r="B2816" s="6" t="s">
        <v>640</v>
      </c>
      <c r="C2816" s="7">
        <v>31458</v>
      </c>
      <c r="D2816" s="6" t="s">
        <v>24</v>
      </c>
      <c r="E2816" s="6" t="s">
        <v>49</v>
      </c>
      <c r="F2816" s="6" t="s">
        <v>49</v>
      </c>
      <c r="G2816" s="6" t="s">
        <v>32</v>
      </c>
      <c r="H2816" s="6" t="s">
        <v>765</v>
      </c>
      <c r="I2816" s="6" t="s">
        <v>767</v>
      </c>
      <c r="J2816" s="6" t="s">
        <v>767</v>
      </c>
      <c r="K2816" s="7">
        <v>6271989</v>
      </c>
      <c r="L2816" s="7">
        <v>348925</v>
      </c>
      <c r="M2816" s="7">
        <v>19</v>
      </c>
      <c r="N2816" s="7">
        <v>1</v>
      </c>
      <c r="O2816" s="7">
        <v>0.1</v>
      </c>
    </row>
    <row r="2817" spans="1:15" x14ac:dyDescent="0.25">
      <c r="A2817" s="6" t="s">
        <v>22</v>
      </c>
      <c r="B2817" s="6" t="s">
        <v>640</v>
      </c>
      <c r="C2817" s="7">
        <v>31481</v>
      </c>
      <c r="D2817" s="6" t="s">
        <v>42</v>
      </c>
      <c r="E2817" s="6" t="s">
        <v>45</v>
      </c>
      <c r="F2817" s="6" t="s">
        <v>157</v>
      </c>
      <c r="G2817" s="6" t="s">
        <v>32</v>
      </c>
      <c r="H2817" s="6" t="s">
        <v>765</v>
      </c>
      <c r="I2817" s="6" t="s">
        <v>767</v>
      </c>
      <c r="J2817" s="6" t="s">
        <v>767</v>
      </c>
      <c r="K2817" s="7">
        <v>6176568</v>
      </c>
      <c r="L2817" s="7">
        <v>321051</v>
      </c>
      <c r="M2817" s="7">
        <v>19</v>
      </c>
      <c r="N2817" s="7">
        <v>1</v>
      </c>
      <c r="O2817" s="7">
        <v>0.1</v>
      </c>
    </row>
    <row r="2818" spans="1:15" x14ac:dyDescent="0.25">
      <c r="A2818" s="6" t="s">
        <v>22</v>
      </c>
      <c r="B2818" s="6" t="s">
        <v>640</v>
      </c>
      <c r="C2818" s="7">
        <v>31496</v>
      </c>
      <c r="D2818" s="6" t="s">
        <v>24</v>
      </c>
      <c r="E2818" s="6" t="s">
        <v>436</v>
      </c>
      <c r="F2818" s="6" t="s">
        <v>457</v>
      </c>
      <c r="G2818" s="6" t="s">
        <v>32</v>
      </c>
      <c r="H2818" s="6" t="s">
        <v>765</v>
      </c>
      <c r="I2818" s="6" t="s">
        <v>767</v>
      </c>
      <c r="J2818" s="6" t="s">
        <v>767</v>
      </c>
      <c r="K2818" s="7">
        <v>6281022</v>
      </c>
      <c r="L2818" s="7">
        <v>334769</v>
      </c>
      <c r="M2818" s="7">
        <v>19</v>
      </c>
      <c r="N2818" s="7">
        <v>1</v>
      </c>
      <c r="O2818" s="7">
        <v>7.0000000000000007E-2</v>
      </c>
    </row>
    <row r="2819" spans="1:15" x14ac:dyDescent="0.25">
      <c r="A2819" s="6" t="s">
        <v>22</v>
      </c>
      <c r="B2819" s="6" t="s">
        <v>640</v>
      </c>
      <c r="C2819" s="7">
        <v>31502</v>
      </c>
      <c r="D2819" s="6" t="s">
        <v>24</v>
      </c>
      <c r="E2819" s="6" t="s">
        <v>49</v>
      </c>
      <c r="F2819" s="6" t="s">
        <v>49</v>
      </c>
      <c r="G2819" s="6" t="s">
        <v>32</v>
      </c>
      <c r="H2819" s="6" t="s">
        <v>765</v>
      </c>
      <c r="I2819" s="6" t="s">
        <v>767</v>
      </c>
      <c r="J2819" s="6" t="s">
        <v>767</v>
      </c>
      <c r="K2819" s="7">
        <v>6271989</v>
      </c>
      <c r="L2819" s="7">
        <v>348925</v>
      </c>
      <c r="M2819" s="7">
        <v>19</v>
      </c>
      <c r="N2819" s="7">
        <v>1</v>
      </c>
      <c r="O2819" s="7">
        <v>7.0000000000000007E-2</v>
      </c>
    </row>
    <row r="2820" spans="1:15" x14ac:dyDescent="0.25">
      <c r="A2820" s="6" t="s">
        <v>22</v>
      </c>
      <c r="B2820" s="6" t="s">
        <v>640</v>
      </c>
      <c r="C2820" s="7">
        <v>31820</v>
      </c>
      <c r="D2820" s="6" t="s">
        <v>42</v>
      </c>
      <c r="E2820" s="6" t="s">
        <v>43</v>
      </c>
      <c r="F2820" s="6" t="s">
        <v>642</v>
      </c>
      <c r="G2820" s="6" t="s">
        <v>32</v>
      </c>
      <c r="H2820" s="6" t="s">
        <v>765</v>
      </c>
      <c r="I2820" s="6" t="s">
        <v>767</v>
      </c>
      <c r="J2820" s="6" t="s">
        <v>767</v>
      </c>
      <c r="K2820" s="7">
        <v>6186718</v>
      </c>
      <c r="L2820" s="7">
        <v>335496</v>
      </c>
      <c r="M2820" s="7">
        <v>19</v>
      </c>
      <c r="N2820" s="7">
        <v>1</v>
      </c>
      <c r="O2820" s="7">
        <v>7.0000000000000007E-2</v>
      </c>
    </row>
    <row r="2821" spans="1:15" x14ac:dyDescent="0.25">
      <c r="A2821" s="6" t="s">
        <v>22</v>
      </c>
      <c r="B2821" s="6" t="s">
        <v>640</v>
      </c>
      <c r="C2821" s="7">
        <v>31821</v>
      </c>
      <c r="D2821" s="6" t="s">
        <v>42</v>
      </c>
      <c r="E2821" s="6" t="s">
        <v>43</v>
      </c>
      <c r="F2821" s="6" t="s">
        <v>642</v>
      </c>
      <c r="G2821" s="6" t="s">
        <v>32</v>
      </c>
      <c r="H2821" s="6" t="s">
        <v>765</v>
      </c>
      <c r="I2821" s="6" t="s">
        <v>767</v>
      </c>
      <c r="J2821" s="6" t="s">
        <v>767</v>
      </c>
      <c r="K2821" s="7">
        <v>6186718</v>
      </c>
      <c r="L2821" s="7">
        <v>335496</v>
      </c>
      <c r="M2821" s="7">
        <v>19</v>
      </c>
      <c r="N2821" s="7">
        <v>1</v>
      </c>
      <c r="O2821" s="7">
        <v>0.1</v>
      </c>
    </row>
    <row r="2822" spans="1:15" x14ac:dyDescent="0.25">
      <c r="A2822" s="6" t="s">
        <v>22</v>
      </c>
      <c r="B2822" s="6" t="s">
        <v>640</v>
      </c>
      <c r="C2822" s="7">
        <v>32406</v>
      </c>
      <c r="D2822" s="6" t="s">
        <v>24</v>
      </c>
      <c r="E2822" s="6" t="s">
        <v>501</v>
      </c>
      <c r="F2822" s="6" t="s">
        <v>641</v>
      </c>
      <c r="G2822" s="6" t="s">
        <v>32</v>
      </c>
      <c r="H2822" s="6" t="s">
        <v>765</v>
      </c>
      <c r="I2822" s="6" t="s">
        <v>767</v>
      </c>
      <c r="J2822" s="6" t="s">
        <v>767</v>
      </c>
      <c r="K2822" s="7">
        <v>6336028</v>
      </c>
      <c r="L2822" s="7">
        <v>332440</v>
      </c>
      <c r="M2822" s="7">
        <v>19</v>
      </c>
      <c r="N2822" s="7">
        <v>1</v>
      </c>
      <c r="O2822" s="7">
        <v>0.1</v>
      </c>
    </row>
    <row r="2823" spans="1:15" x14ac:dyDescent="0.25">
      <c r="A2823" s="6" t="s">
        <v>22</v>
      </c>
      <c r="B2823" s="6" t="s">
        <v>640</v>
      </c>
      <c r="C2823" s="7">
        <v>32407</v>
      </c>
      <c r="D2823" s="6" t="s">
        <v>24</v>
      </c>
      <c r="E2823" s="6" t="s">
        <v>580</v>
      </c>
      <c r="F2823" s="6" t="s">
        <v>580</v>
      </c>
      <c r="G2823" s="6" t="s">
        <v>32</v>
      </c>
      <c r="H2823" s="6" t="s">
        <v>765</v>
      </c>
      <c r="I2823" s="6" t="s">
        <v>767</v>
      </c>
      <c r="J2823" s="6" t="s">
        <v>767</v>
      </c>
      <c r="K2823" s="7">
        <v>6335818</v>
      </c>
      <c r="L2823" s="7">
        <v>340846</v>
      </c>
      <c r="M2823" s="7">
        <v>19</v>
      </c>
      <c r="N2823" s="7">
        <v>1</v>
      </c>
      <c r="O2823" s="7">
        <v>0.1</v>
      </c>
    </row>
    <row r="2824" spans="1:15" x14ac:dyDescent="0.25">
      <c r="A2824" s="6" t="s">
        <v>22</v>
      </c>
      <c r="B2824" s="6" t="s">
        <v>640</v>
      </c>
      <c r="C2824" s="7">
        <v>32409</v>
      </c>
      <c r="D2824" s="6" t="s">
        <v>24</v>
      </c>
      <c r="E2824" s="6" t="s">
        <v>501</v>
      </c>
      <c r="F2824" s="6" t="s">
        <v>641</v>
      </c>
      <c r="G2824" s="6" t="s">
        <v>32</v>
      </c>
      <c r="H2824" s="6" t="s">
        <v>765</v>
      </c>
      <c r="I2824" s="6" t="s">
        <v>767</v>
      </c>
      <c r="J2824" s="6" t="s">
        <v>767</v>
      </c>
      <c r="K2824" s="7">
        <v>6336028</v>
      </c>
      <c r="L2824" s="7">
        <v>332440</v>
      </c>
      <c r="M2824" s="7">
        <v>19</v>
      </c>
      <c r="N2824" s="7">
        <v>1</v>
      </c>
      <c r="O2824" s="7">
        <v>7.0000000000000007E-2</v>
      </c>
    </row>
    <row r="2825" spans="1:15" x14ac:dyDescent="0.25">
      <c r="A2825" s="6" t="s">
        <v>22</v>
      </c>
      <c r="B2825" s="6" t="s">
        <v>640</v>
      </c>
      <c r="C2825" s="7">
        <v>32411</v>
      </c>
      <c r="D2825" s="6" t="s">
        <v>24</v>
      </c>
      <c r="E2825" s="6" t="s">
        <v>580</v>
      </c>
      <c r="F2825" s="6" t="s">
        <v>580</v>
      </c>
      <c r="G2825" s="6" t="s">
        <v>32</v>
      </c>
      <c r="H2825" s="6" t="s">
        <v>765</v>
      </c>
      <c r="I2825" s="6" t="s">
        <v>767</v>
      </c>
      <c r="J2825" s="6" t="s">
        <v>767</v>
      </c>
      <c r="K2825" s="7">
        <v>6335818</v>
      </c>
      <c r="L2825" s="7">
        <v>340846</v>
      </c>
      <c r="M2825" s="7">
        <v>19</v>
      </c>
      <c r="N2825" s="7">
        <v>1</v>
      </c>
      <c r="O2825" s="7">
        <v>7.0000000000000007E-2</v>
      </c>
    </row>
    <row r="2826" spans="1:15" x14ac:dyDescent="0.25">
      <c r="A2826" s="6" t="s">
        <v>22</v>
      </c>
      <c r="B2826" s="6" t="s">
        <v>640</v>
      </c>
      <c r="C2826" s="7">
        <v>32683</v>
      </c>
      <c r="D2826" s="6" t="s">
        <v>42</v>
      </c>
      <c r="E2826" s="6" t="s">
        <v>45</v>
      </c>
      <c r="F2826" s="6" t="s">
        <v>157</v>
      </c>
      <c r="G2826" s="6" t="s">
        <v>32</v>
      </c>
      <c r="H2826" s="6" t="s">
        <v>765</v>
      </c>
      <c r="I2826" s="6" t="s">
        <v>767</v>
      </c>
      <c r="J2826" s="6" t="s">
        <v>767</v>
      </c>
      <c r="K2826" s="7">
        <v>6176568</v>
      </c>
      <c r="L2826" s="7">
        <v>321051</v>
      </c>
      <c r="M2826" s="7">
        <v>19</v>
      </c>
      <c r="N2826" s="7">
        <v>1</v>
      </c>
      <c r="O2826" s="7">
        <v>0.1</v>
      </c>
    </row>
    <row r="2827" spans="1:15" x14ac:dyDescent="0.25">
      <c r="A2827" s="6" t="s">
        <v>22</v>
      </c>
      <c r="B2827" s="6" t="s">
        <v>640</v>
      </c>
      <c r="C2827" s="7">
        <v>32689</v>
      </c>
      <c r="D2827" s="6" t="s">
        <v>42</v>
      </c>
      <c r="E2827" s="6" t="s">
        <v>43</v>
      </c>
      <c r="F2827" s="6" t="s">
        <v>642</v>
      </c>
      <c r="G2827" s="6" t="s">
        <v>32</v>
      </c>
      <c r="H2827" s="6" t="s">
        <v>765</v>
      </c>
      <c r="I2827" s="6" t="s">
        <v>767</v>
      </c>
      <c r="J2827" s="6" t="s">
        <v>767</v>
      </c>
      <c r="K2827" s="7">
        <v>6186718</v>
      </c>
      <c r="L2827" s="7">
        <v>335496</v>
      </c>
      <c r="M2827" s="7">
        <v>19</v>
      </c>
      <c r="N2827" s="7">
        <v>1</v>
      </c>
      <c r="O2827" s="7">
        <v>0.1</v>
      </c>
    </row>
    <row r="2828" spans="1:15" x14ac:dyDescent="0.25">
      <c r="A2828" s="6" t="s">
        <v>22</v>
      </c>
      <c r="B2828" s="6" t="s">
        <v>640</v>
      </c>
      <c r="C2828" s="7">
        <v>32988</v>
      </c>
      <c r="D2828" s="6" t="s">
        <v>24</v>
      </c>
      <c r="E2828" s="6" t="s">
        <v>436</v>
      </c>
      <c r="F2828" s="6" t="s">
        <v>457</v>
      </c>
      <c r="G2828" s="6" t="s">
        <v>32</v>
      </c>
      <c r="H2828" s="6" t="s">
        <v>765</v>
      </c>
      <c r="I2828" s="6" t="s">
        <v>767</v>
      </c>
      <c r="J2828" s="6" t="s">
        <v>767</v>
      </c>
      <c r="K2828" s="7">
        <v>6281022</v>
      </c>
      <c r="L2828" s="7">
        <v>334769</v>
      </c>
      <c r="M2828" s="7">
        <v>19</v>
      </c>
      <c r="N2828" s="7">
        <v>1</v>
      </c>
      <c r="O2828" s="7">
        <v>0.1</v>
      </c>
    </row>
    <row r="2829" spans="1:15" x14ac:dyDescent="0.25">
      <c r="A2829" s="6" t="s">
        <v>22</v>
      </c>
      <c r="B2829" s="6" t="s">
        <v>640</v>
      </c>
      <c r="C2829" s="7">
        <v>32989</v>
      </c>
      <c r="D2829" s="6" t="s">
        <v>24</v>
      </c>
      <c r="E2829" s="6" t="s">
        <v>49</v>
      </c>
      <c r="F2829" s="6" t="s">
        <v>49</v>
      </c>
      <c r="G2829" s="6" t="s">
        <v>32</v>
      </c>
      <c r="H2829" s="6" t="s">
        <v>765</v>
      </c>
      <c r="I2829" s="6" t="s">
        <v>767</v>
      </c>
      <c r="J2829" s="6" t="s">
        <v>767</v>
      </c>
      <c r="K2829" s="7">
        <v>6271989</v>
      </c>
      <c r="L2829" s="7">
        <v>348925</v>
      </c>
      <c r="M2829" s="7">
        <v>19</v>
      </c>
      <c r="N2829" s="7">
        <v>1</v>
      </c>
      <c r="O2829" s="7">
        <v>0.1</v>
      </c>
    </row>
    <row r="2830" spans="1:15" x14ac:dyDescent="0.25">
      <c r="A2830" s="6" t="s">
        <v>22</v>
      </c>
      <c r="B2830" s="6" t="s">
        <v>640</v>
      </c>
      <c r="C2830" s="7">
        <v>34354</v>
      </c>
      <c r="D2830" s="6" t="s">
        <v>24</v>
      </c>
      <c r="E2830" s="6" t="s">
        <v>580</v>
      </c>
      <c r="F2830" s="6" t="s">
        <v>580</v>
      </c>
      <c r="G2830" s="6" t="s">
        <v>32</v>
      </c>
      <c r="H2830" s="6" t="s">
        <v>765</v>
      </c>
      <c r="I2830" s="6" t="s">
        <v>767</v>
      </c>
      <c r="J2830" s="6" t="s">
        <v>767</v>
      </c>
      <c r="K2830" s="7">
        <v>6335818</v>
      </c>
      <c r="L2830" s="7">
        <v>340846</v>
      </c>
      <c r="M2830" s="7">
        <v>19</v>
      </c>
      <c r="N2830" s="7">
        <v>1</v>
      </c>
      <c r="O2830" s="7">
        <v>0.1</v>
      </c>
    </row>
    <row r="2831" spans="1:15" x14ac:dyDescent="0.25">
      <c r="A2831" s="6" t="s">
        <v>22</v>
      </c>
      <c r="B2831" s="6" t="s">
        <v>643</v>
      </c>
      <c r="C2831" s="7">
        <v>29680</v>
      </c>
      <c r="D2831" s="6" t="s">
        <v>133</v>
      </c>
      <c r="E2831" s="6" t="s">
        <v>645</v>
      </c>
      <c r="F2831" s="6" t="s">
        <v>645</v>
      </c>
      <c r="G2831" s="6" t="s">
        <v>50</v>
      </c>
      <c r="H2831" s="6" t="s">
        <v>765</v>
      </c>
      <c r="I2831" s="6" t="s">
        <v>766</v>
      </c>
      <c r="J2831" s="6" t="s">
        <v>766</v>
      </c>
      <c r="K2831" s="7">
        <v>5753621</v>
      </c>
      <c r="L2831" s="7">
        <v>710458</v>
      </c>
      <c r="M2831" s="7">
        <v>18</v>
      </c>
      <c r="N2831" s="7">
        <v>1</v>
      </c>
      <c r="O2831" s="7">
        <v>0.15</v>
      </c>
    </row>
    <row r="2832" spans="1:15" x14ac:dyDescent="0.25">
      <c r="A2832" s="6" t="s">
        <v>28</v>
      </c>
      <c r="B2832" s="6" t="s">
        <v>643</v>
      </c>
      <c r="C2832" s="7">
        <v>29882</v>
      </c>
      <c r="D2832" s="6" t="s">
        <v>98</v>
      </c>
      <c r="E2832" s="6" t="s">
        <v>99</v>
      </c>
      <c r="F2832" s="6" t="s">
        <v>99</v>
      </c>
      <c r="G2832" s="6" t="s">
        <v>50</v>
      </c>
      <c r="H2832" s="6" t="s">
        <v>33</v>
      </c>
      <c r="I2832" s="6" t="s">
        <v>116</v>
      </c>
      <c r="J2832" s="6" t="s">
        <v>117</v>
      </c>
      <c r="K2832" s="7">
        <v>5855847</v>
      </c>
      <c r="L2832" s="7">
        <v>745288</v>
      </c>
      <c r="M2832" s="7">
        <v>18</v>
      </c>
      <c r="N2832" s="7">
        <v>1</v>
      </c>
      <c r="O2832" s="7">
        <v>20</v>
      </c>
    </row>
    <row r="2833" spans="1:15" x14ac:dyDescent="0.25">
      <c r="A2833" s="6" t="s">
        <v>28</v>
      </c>
      <c r="B2833" s="6" t="s">
        <v>643</v>
      </c>
      <c r="C2833" s="7">
        <v>29883</v>
      </c>
      <c r="D2833" s="6" t="s">
        <v>133</v>
      </c>
      <c r="E2833" s="6" t="s">
        <v>218</v>
      </c>
      <c r="F2833" s="6" t="s">
        <v>646</v>
      </c>
      <c r="G2833" s="6" t="s">
        <v>50</v>
      </c>
      <c r="H2833" s="6" t="s">
        <v>33</v>
      </c>
      <c r="I2833" s="6" t="s">
        <v>116</v>
      </c>
      <c r="J2833" s="6" t="s">
        <v>117</v>
      </c>
      <c r="K2833" s="7">
        <v>5719820</v>
      </c>
      <c r="L2833" s="7">
        <v>738884</v>
      </c>
      <c r="M2833" s="7">
        <v>18</v>
      </c>
      <c r="N2833" s="7">
        <v>1</v>
      </c>
      <c r="O2833" s="7">
        <v>17.5</v>
      </c>
    </row>
    <row r="2834" spans="1:15" x14ac:dyDescent="0.25">
      <c r="A2834" s="6" t="s">
        <v>28</v>
      </c>
      <c r="B2834" s="6" t="s">
        <v>643</v>
      </c>
      <c r="C2834" s="7">
        <v>29887</v>
      </c>
      <c r="D2834" s="6" t="s">
        <v>133</v>
      </c>
      <c r="E2834" s="6" t="s">
        <v>218</v>
      </c>
      <c r="F2834" s="6" t="s">
        <v>145</v>
      </c>
      <c r="G2834" s="6" t="s">
        <v>50</v>
      </c>
      <c r="H2834" s="6" t="s">
        <v>33</v>
      </c>
      <c r="I2834" s="6" t="s">
        <v>116</v>
      </c>
      <c r="J2834" s="6" t="s">
        <v>117</v>
      </c>
      <c r="K2834" s="7">
        <v>5718453</v>
      </c>
      <c r="L2834" s="7">
        <v>734306</v>
      </c>
      <c r="M2834" s="7">
        <v>18</v>
      </c>
      <c r="N2834" s="7">
        <v>1</v>
      </c>
      <c r="O2834" s="7">
        <v>23.39</v>
      </c>
    </row>
    <row r="2835" spans="1:15" x14ac:dyDescent="0.25">
      <c r="A2835" s="6" t="s">
        <v>28</v>
      </c>
      <c r="B2835" s="6" t="s">
        <v>643</v>
      </c>
      <c r="C2835" s="7">
        <v>29888</v>
      </c>
      <c r="D2835" s="6" t="s">
        <v>133</v>
      </c>
      <c r="E2835" s="6" t="s">
        <v>218</v>
      </c>
      <c r="F2835" s="6" t="s">
        <v>145</v>
      </c>
      <c r="G2835" s="6" t="s">
        <v>50</v>
      </c>
      <c r="H2835" s="6" t="s">
        <v>33</v>
      </c>
      <c r="I2835" s="6" t="s">
        <v>116</v>
      </c>
      <c r="J2835" s="6" t="s">
        <v>117</v>
      </c>
      <c r="K2835" s="7">
        <v>5718254</v>
      </c>
      <c r="L2835" s="7">
        <v>732834</v>
      </c>
      <c r="M2835" s="7">
        <v>18</v>
      </c>
      <c r="N2835" s="7">
        <v>1</v>
      </c>
      <c r="O2835" s="7">
        <v>27</v>
      </c>
    </row>
    <row r="2836" spans="1:15" x14ac:dyDescent="0.25">
      <c r="A2836" s="6" t="s">
        <v>28</v>
      </c>
      <c r="B2836" s="6" t="s">
        <v>643</v>
      </c>
      <c r="C2836" s="7">
        <v>29944</v>
      </c>
      <c r="D2836" s="6" t="s">
        <v>133</v>
      </c>
      <c r="E2836" s="6" t="s">
        <v>647</v>
      </c>
      <c r="F2836" s="6" t="s">
        <v>647</v>
      </c>
      <c r="G2836" s="6" t="s">
        <v>50</v>
      </c>
      <c r="H2836" s="6" t="s">
        <v>33</v>
      </c>
      <c r="I2836" s="6" t="s">
        <v>116</v>
      </c>
      <c r="J2836" s="6" t="s">
        <v>117</v>
      </c>
      <c r="K2836" s="7">
        <v>5741595</v>
      </c>
      <c r="L2836" s="7">
        <v>727334</v>
      </c>
      <c r="M2836" s="7">
        <v>18</v>
      </c>
      <c r="N2836" s="7">
        <v>1</v>
      </c>
      <c r="O2836" s="7">
        <v>26.4</v>
      </c>
    </row>
    <row r="2837" spans="1:15" x14ac:dyDescent="0.25">
      <c r="A2837" s="6" t="s">
        <v>28</v>
      </c>
      <c r="B2837" s="6" t="s">
        <v>643</v>
      </c>
      <c r="C2837" s="7">
        <v>29961</v>
      </c>
      <c r="D2837" s="6" t="s">
        <v>133</v>
      </c>
      <c r="E2837" s="6" t="s">
        <v>218</v>
      </c>
      <c r="F2837" s="6" t="s">
        <v>648</v>
      </c>
      <c r="G2837" s="6" t="s">
        <v>50</v>
      </c>
      <c r="H2837" s="6" t="s">
        <v>33</v>
      </c>
      <c r="I2837" s="6" t="s">
        <v>116</v>
      </c>
      <c r="J2837" s="6" t="s">
        <v>117</v>
      </c>
      <c r="K2837" s="7">
        <v>5714420</v>
      </c>
      <c r="L2837" s="7">
        <v>731829</v>
      </c>
      <c r="M2837" s="7">
        <v>18</v>
      </c>
      <c r="N2837" s="7">
        <v>1</v>
      </c>
      <c r="O2837" s="7">
        <v>35</v>
      </c>
    </row>
    <row r="2838" spans="1:15" x14ac:dyDescent="0.25">
      <c r="A2838" s="6" t="s">
        <v>28</v>
      </c>
      <c r="B2838" s="6" t="s">
        <v>643</v>
      </c>
      <c r="C2838" s="7">
        <v>29962</v>
      </c>
      <c r="D2838" s="6" t="s">
        <v>133</v>
      </c>
      <c r="E2838" s="6" t="s">
        <v>218</v>
      </c>
      <c r="F2838" s="6" t="s">
        <v>648</v>
      </c>
      <c r="G2838" s="6" t="s">
        <v>50</v>
      </c>
      <c r="H2838" s="6" t="s">
        <v>33</v>
      </c>
      <c r="I2838" s="6" t="s">
        <v>116</v>
      </c>
      <c r="J2838" s="6" t="s">
        <v>117</v>
      </c>
      <c r="K2838" s="7">
        <v>5714424</v>
      </c>
      <c r="L2838" s="7">
        <v>734513</v>
      </c>
      <c r="M2838" s="7">
        <v>18</v>
      </c>
      <c r="N2838" s="7">
        <v>1</v>
      </c>
      <c r="O2838" s="7">
        <v>26</v>
      </c>
    </row>
    <row r="2839" spans="1:15" x14ac:dyDescent="0.25">
      <c r="A2839" s="6" t="s">
        <v>28</v>
      </c>
      <c r="B2839" s="6" t="s">
        <v>643</v>
      </c>
      <c r="C2839" s="7">
        <v>29971</v>
      </c>
      <c r="D2839" s="6" t="s">
        <v>98</v>
      </c>
      <c r="E2839" s="6" t="s">
        <v>283</v>
      </c>
      <c r="F2839" s="6" t="s">
        <v>283</v>
      </c>
      <c r="G2839" s="6" t="s">
        <v>50</v>
      </c>
      <c r="H2839" s="6" t="s">
        <v>33</v>
      </c>
      <c r="I2839" s="6" t="s">
        <v>116</v>
      </c>
      <c r="J2839" s="6" t="s">
        <v>117</v>
      </c>
      <c r="K2839" s="7">
        <v>5817576</v>
      </c>
      <c r="L2839" s="7">
        <v>738872</v>
      </c>
      <c r="M2839" s="7">
        <v>18</v>
      </c>
      <c r="N2839" s="7">
        <v>1</v>
      </c>
      <c r="O2839" s="7">
        <v>44</v>
      </c>
    </row>
    <row r="2840" spans="1:15" x14ac:dyDescent="0.25">
      <c r="A2840" s="6" t="s">
        <v>28</v>
      </c>
      <c r="B2840" s="6" t="s">
        <v>643</v>
      </c>
      <c r="C2840" s="7">
        <v>29978</v>
      </c>
      <c r="D2840" s="6" t="s">
        <v>98</v>
      </c>
      <c r="E2840" s="6" t="s">
        <v>99</v>
      </c>
      <c r="F2840" s="6" t="s">
        <v>125</v>
      </c>
      <c r="G2840" s="6" t="s">
        <v>50</v>
      </c>
      <c r="H2840" s="6" t="s">
        <v>33</v>
      </c>
      <c r="I2840" s="6" t="s">
        <v>116</v>
      </c>
      <c r="J2840" s="6" t="s">
        <v>117</v>
      </c>
      <c r="K2840" s="7">
        <v>5839564</v>
      </c>
      <c r="L2840" s="7">
        <v>738914</v>
      </c>
      <c r="M2840" s="7">
        <v>18</v>
      </c>
      <c r="N2840" s="7">
        <v>2</v>
      </c>
      <c r="O2840" s="7">
        <v>15</v>
      </c>
    </row>
    <row r="2841" spans="1:15" x14ac:dyDescent="0.25">
      <c r="A2841" s="6" t="s">
        <v>28</v>
      </c>
      <c r="B2841" s="6" t="s">
        <v>643</v>
      </c>
      <c r="C2841" s="7">
        <v>29979</v>
      </c>
      <c r="D2841" s="6" t="s">
        <v>98</v>
      </c>
      <c r="E2841" s="6" t="s">
        <v>99</v>
      </c>
      <c r="F2841" s="6" t="s">
        <v>649</v>
      </c>
      <c r="G2841" s="6" t="s">
        <v>50</v>
      </c>
      <c r="H2841" s="6" t="s">
        <v>33</v>
      </c>
      <c r="I2841" s="6" t="s">
        <v>112</v>
      </c>
      <c r="J2841" s="6" t="s">
        <v>112</v>
      </c>
      <c r="K2841" s="7">
        <v>5856110</v>
      </c>
      <c r="L2841" s="7">
        <v>748991</v>
      </c>
      <c r="M2841" s="7">
        <v>18</v>
      </c>
      <c r="N2841" s="7">
        <v>1</v>
      </c>
      <c r="O2841" s="7">
        <v>88</v>
      </c>
    </row>
    <row r="2842" spans="1:15" x14ac:dyDescent="0.25">
      <c r="A2842" s="6" t="s">
        <v>28</v>
      </c>
      <c r="B2842" s="6" t="s">
        <v>643</v>
      </c>
      <c r="C2842" s="7">
        <v>29982</v>
      </c>
      <c r="D2842" s="6" t="s">
        <v>98</v>
      </c>
      <c r="E2842" s="6" t="s">
        <v>126</v>
      </c>
      <c r="F2842" s="6" t="s">
        <v>126</v>
      </c>
      <c r="G2842" s="6" t="s">
        <v>50</v>
      </c>
      <c r="H2842" s="6" t="s">
        <v>33</v>
      </c>
      <c r="I2842" s="6" t="s">
        <v>116</v>
      </c>
      <c r="J2842" s="6" t="s">
        <v>117</v>
      </c>
      <c r="K2842" s="7">
        <v>5913024</v>
      </c>
      <c r="L2842" s="7">
        <v>240534</v>
      </c>
      <c r="M2842" s="7">
        <v>19</v>
      </c>
      <c r="N2842" s="7">
        <v>1</v>
      </c>
      <c r="O2842" s="7">
        <v>22</v>
      </c>
    </row>
    <row r="2843" spans="1:15" x14ac:dyDescent="0.25">
      <c r="A2843" s="6" t="s">
        <v>28</v>
      </c>
      <c r="B2843" s="6" t="s">
        <v>643</v>
      </c>
      <c r="C2843" s="7">
        <v>29984</v>
      </c>
      <c r="D2843" s="6" t="s">
        <v>98</v>
      </c>
      <c r="E2843" s="6" t="s">
        <v>99</v>
      </c>
      <c r="F2843" s="6" t="s">
        <v>99</v>
      </c>
      <c r="G2843" s="6" t="s">
        <v>50</v>
      </c>
      <c r="H2843" s="6" t="s">
        <v>33</v>
      </c>
      <c r="I2843" s="6" t="s">
        <v>116</v>
      </c>
      <c r="J2843" s="6" t="s">
        <v>117</v>
      </c>
      <c r="K2843" s="7">
        <v>5852806</v>
      </c>
      <c r="L2843" s="7">
        <v>740574</v>
      </c>
      <c r="M2843" s="7">
        <v>18</v>
      </c>
      <c r="N2843" s="7">
        <v>1</v>
      </c>
      <c r="O2843" s="7">
        <v>24.6</v>
      </c>
    </row>
    <row r="2844" spans="1:15" x14ac:dyDescent="0.25">
      <c r="A2844" s="6" t="s">
        <v>28</v>
      </c>
      <c r="B2844" s="6" t="s">
        <v>643</v>
      </c>
      <c r="C2844" s="7">
        <v>29985</v>
      </c>
      <c r="D2844" s="6" t="s">
        <v>98</v>
      </c>
      <c r="E2844" s="6" t="s">
        <v>99</v>
      </c>
      <c r="F2844" s="6" t="s">
        <v>649</v>
      </c>
      <c r="G2844" s="6" t="s">
        <v>50</v>
      </c>
      <c r="H2844" s="6" t="s">
        <v>33</v>
      </c>
      <c r="I2844" s="6" t="s">
        <v>116</v>
      </c>
      <c r="J2844" s="6" t="s">
        <v>117</v>
      </c>
      <c r="K2844" s="7">
        <v>5854350</v>
      </c>
      <c r="L2844" s="7">
        <v>743158</v>
      </c>
      <c r="M2844" s="7">
        <v>18</v>
      </c>
      <c r="N2844" s="7">
        <v>1</v>
      </c>
      <c r="O2844" s="7">
        <v>44</v>
      </c>
    </row>
    <row r="2845" spans="1:15" x14ac:dyDescent="0.25">
      <c r="A2845" s="6" t="s">
        <v>28</v>
      </c>
      <c r="B2845" s="6" t="s">
        <v>643</v>
      </c>
      <c r="C2845" s="7">
        <v>30023</v>
      </c>
      <c r="D2845" s="6" t="s">
        <v>133</v>
      </c>
      <c r="E2845" s="6" t="s">
        <v>277</v>
      </c>
      <c r="F2845" s="6" t="s">
        <v>650</v>
      </c>
      <c r="G2845" s="6" t="s">
        <v>50</v>
      </c>
      <c r="H2845" s="6" t="s">
        <v>33</v>
      </c>
      <c r="I2845" s="6" t="s">
        <v>116</v>
      </c>
      <c r="J2845" s="6" t="s">
        <v>117</v>
      </c>
      <c r="K2845" s="7">
        <v>5715576</v>
      </c>
      <c r="L2845" s="7">
        <v>729047</v>
      </c>
      <c r="M2845" s="7">
        <v>18</v>
      </c>
      <c r="N2845" s="7">
        <v>1</v>
      </c>
      <c r="O2845" s="7">
        <v>8.8000000000000007</v>
      </c>
    </row>
    <row r="2846" spans="1:15" x14ac:dyDescent="0.25">
      <c r="A2846" s="6" t="s">
        <v>28</v>
      </c>
      <c r="B2846" s="6" t="s">
        <v>643</v>
      </c>
      <c r="C2846" s="7">
        <v>30034</v>
      </c>
      <c r="D2846" s="6" t="s">
        <v>133</v>
      </c>
      <c r="E2846" s="6" t="s">
        <v>218</v>
      </c>
      <c r="F2846" s="6" t="s">
        <v>648</v>
      </c>
      <c r="G2846" s="6" t="s">
        <v>50</v>
      </c>
      <c r="H2846" s="6" t="s">
        <v>33</v>
      </c>
      <c r="I2846" s="6" t="s">
        <v>116</v>
      </c>
      <c r="J2846" s="6" t="s">
        <v>117</v>
      </c>
      <c r="K2846" s="7">
        <v>5715404</v>
      </c>
      <c r="L2846" s="7">
        <v>728030</v>
      </c>
      <c r="M2846" s="7">
        <v>18</v>
      </c>
      <c r="N2846" s="7">
        <v>1</v>
      </c>
      <c r="O2846" s="7">
        <v>44</v>
      </c>
    </row>
    <row r="2847" spans="1:15" x14ac:dyDescent="0.25">
      <c r="A2847" s="6" t="s">
        <v>28</v>
      </c>
      <c r="B2847" s="6" t="s">
        <v>643</v>
      </c>
      <c r="C2847" s="7">
        <v>30058</v>
      </c>
      <c r="D2847" s="6" t="s">
        <v>133</v>
      </c>
      <c r="E2847" s="6" t="s">
        <v>218</v>
      </c>
      <c r="F2847" s="6" t="s">
        <v>648</v>
      </c>
      <c r="G2847" s="6" t="s">
        <v>50</v>
      </c>
      <c r="H2847" s="6" t="s">
        <v>33</v>
      </c>
      <c r="I2847" s="6" t="s">
        <v>116</v>
      </c>
      <c r="J2847" s="6" t="s">
        <v>117</v>
      </c>
      <c r="K2847" s="7">
        <v>5714518</v>
      </c>
      <c r="L2847" s="7">
        <v>728039</v>
      </c>
      <c r="M2847" s="7">
        <v>18</v>
      </c>
      <c r="N2847" s="7">
        <v>1</v>
      </c>
      <c r="O2847" s="7">
        <v>8.8000000000000007</v>
      </c>
    </row>
    <row r="2848" spans="1:15" x14ac:dyDescent="0.25">
      <c r="A2848" s="6" t="s">
        <v>28</v>
      </c>
      <c r="B2848" s="6" t="s">
        <v>643</v>
      </c>
      <c r="C2848" s="7">
        <v>30059</v>
      </c>
      <c r="D2848" s="6" t="s">
        <v>133</v>
      </c>
      <c r="E2848" s="6" t="s">
        <v>218</v>
      </c>
      <c r="F2848" s="6" t="s">
        <v>648</v>
      </c>
      <c r="G2848" s="6" t="s">
        <v>50</v>
      </c>
      <c r="H2848" s="6" t="s">
        <v>33</v>
      </c>
      <c r="I2848" s="6" t="s">
        <v>116</v>
      </c>
      <c r="J2848" s="6" t="s">
        <v>117</v>
      </c>
      <c r="K2848" s="7">
        <v>5714503</v>
      </c>
      <c r="L2848" s="7">
        <v>728912</v>
      </c>
      <c r="M2848" s="7">
        <v>18</v>
      </c>
      <c r="N2848" s="7">
        <v>1</v>
      </c>
      <c r="O2848" s="7">
        <v>33</v>
      </c>
    </row>
    <row r="2849" spans="1:15" x14ac:dyDescent="0.25">
      <c r="A2849" s="6" t="s">
        <v>28</v>
      </c>
      <c r="B2849" s="6" t="s">
        <v>643</v>
      </c>
      <c r="C2849" s="7">
        <v>30068</v>
      </c>
      <c r="D2849" s="6" t="s">
        <v>133</v>
      </c>
      <c r="E2849" s="6" t="s">
        <v>218</v>
      </c>
      <c r="F2849" s="6" t="s">
        <v>219</v>
      </c>
      <c r="G2849" s="6" t="s">
        <v>50</v>
      </c>
      <c r="H2849" s="6" t="s">
        <v>33</v>
      </c>
      <c r="I2849" s="6" t="s">
        <v>116</v>
      </c>
      <c r="J2849" s="6" t="s">
        <v>117</v>
      </c>
      <c r="K2849" s="7">
        <v>5715530</v>
      </c>
      <c r="L2849" s="7">
        <v>725717</v>
      </c>
      <c r="M2849" s="7">
        <v>18</v>
      </c>
      <c r="N2849" s="7">
        <v>1</v>
      </c>
      <c r="O2849" s="7">
        <v>62.48</v>
      </c>
    </row>
    <row r="2850" spans="1:15" x14ac:dyDescent="0.25">
      <c r="A2850" s="6" t="s">
        <v>28</v>
      </c>
      <c r="B2850" s="6" t="s">
        <v>643</v>
      </c>
      <c r="C2850" s="7">
        <v>30070</v>
      </c>
      <c r="D2850" s="6" t="s">
        <v>133</v>
      </c>
      <c r="E2850" s="6" t="s">
        <v>218</v>
      </c>
      <c r="F2850" s="6" t="s">
        <v>219</v>
      </c>
      <c r="G2850" s="6" t="s">
        <v>50</v>
      </c>
      <c r="H2850" s="6" t="s">
        <v>33</v>
      </c>
      <c r="I2850" s="6" t="s">
        <v>116</v>
      </c>
      <c r="J2850" s="6" t="s">
        <v>117</v>
      </c>
      <c r="K2850" s="7">
        <v>5717812</v>
      </c>
      <c r="L2850" s="7">
        <v>733953</v>
      </c>
      <c r="M2850" s="7">
        <v>18</v>
      </c>
      <c r="N2850" s="7">
        <v>1</v>
      </c>
      <c r="O2850" s="7">
        <v>10.6</v>
      </c>
    </row>
    <row r="2851" spans="1:15" x14ac:dyDescent="0.25">
      <c r="A2851" s="6" t="s">
        <v>28</v>
      </c>
      <c r="B2851" s="6" t="s">
        <v>643</v>
      </c>
      <c r="C2851" s="7">
        <v>30073</v>
      </c>
      <c r="D2851" s="6" t="s">
        <v>133</v>
      </c>
      <c r="E2851" s="6" t="s">
        <v>218</v>
      </c>
      <c r="F2851" s="6" t="s">
        <v>219</v>
      </c>
      <c r="G2851" s="6" t="s">
        <v>50</v>
      </c>
      <c r="H2851" s="6" t="s">
        <v>33</v>
      </c>
      <c r="I2851" s="6" t="s">
        <v>116</v>
      </c>
      <c r="J2851" s="6" t="s">
        <v>117</v>
      </c>
      <c r="K2851" s="7">
        <v>5717454</v>
      </c>
      <c r="L2851" s="7">
        <v>733721</v>
      </c>
      <c r="M2851" s="7">
        <v>18</v>
      </c>
      <c r="N2851" s="7">
        <v>1</v>
      </c>
      <c r="O2851" s="7">
        <v>7.04</v>
      </c>
    </row>
    <row r="2852" spans="1:15" x14ac:dyDescent="0.25">
      <c r="A2852" s="6" t="s">
        <v>28</v>
      </c>
      <c r="B2852" s="6" t="s">
        <v>643</v>
      </c>
      <c r="C2852" s="7">
        <v>30074</v>
      </c>
      <c r="D2852" s="6" t="s">
        <v>133</v>
      </c>
      <c r="E2852" s="6" t="s">
        <v>218</v>
      </c>
      <c r="F2852" s="6" t="s">
        <v>219</v>
      </c>
      <c r="G2852" s="6" t="s">
        <v>50</v>
      </c>
      <c r="H2852" s="6" t="s">
        <v>33</v>
      </c>
      <c r="I2852" s="6" t="s">
        <v>116</v>
      </c>
      <c r="J2852" s="6" t="s">
        <v>117</v>
      </c>
      <c r="K2852" s="7">
        <v>5715468</v>
      </c>
      <c r="L2852" s="7">
        <v>732726</v>
      </c>
      <c r="M2852" s="7">
        <v>18</v>
      </c>
      <c r="N2852" s="7">
        <v>1</v>
      </c>
      <c r="O2852" s="7">
        <v>16.72</v>
      </c>
    </row>
    <row r="2853" spans="1:15" x14ac:dyDescent="0.25">
      <c r="A2853" s="6" t="s">
        <v>28</v>
      </c>
      <c r="B2853" s="6" t="s">
        <v>643</v>
      </c>
      <c r="C2853" s="7">
        <v>30075</v>
      </c>
      <c r="D2853" s="6" t="s">
        <v>133</v>
      </c>
      <c r="E2853" s="6" t="s">
        <v>218</v>
      </c>
      <c r="F2853" s="6" t="s">
        <v>646</v>
      </c>
      <c r="G2853" s="6" t="s">
        <v>50</v>
      </c>
      <c r="H2853" s="6" t="s">
        <v>33</v>
      </c>
      <c r="I2853" s="6" t="s">
        <v>116</v>
      </c>
      <c r="J2853" s="6" t="s">
        <v>117</v>
      </c>
      <c r="K2853" s="7">
        <v>5718920</v>
      </c>
      <c r="L2853" s="7">
        <v>736993</v>
      </c>
      <c r="M2853" s="7">
        <v>18</v>
      </c>
      <c r="N2853" s="7">
        <v>1</v>
      </c>
      <c r="O2853" s="7">
        <v>17.600000000000001</v>
      </c>
    </row>
    <row r="2854" spans="1:15" x14ac:dyDescent="0.25">
      <c r="A2854" s="6" t="s">
        <v>28</v>
      </c>
      <c r="B2854" s="6" t="s">
        <v>643</v>
      </c>
      <c r="C2854" s="7">
        <v>30135</v>
      </c>
      <c r="D2854" s="6" t="s">
        <v>133</v>
      </c>
      <c r="E2854" s="6" t="s">
        <v>218</v>
      </c>
      <c r="F2854" s="6" t="s">
        <v>219</v>
      </c>
      <c r="G2854" s="6" t="s">
        <v>50</v>
      </c>
      <c r="H2854" s="6" t="s">
        <v>33</v>
      </c>
      <c r="I2854" s="6" t="s">
        <v>116</v>
      </c>
      <c r="J2854" s="6" t="s">
        <v>117</v>
      </c>
      <c r="K2854" s="7">
        <v>5716004</v>
      </c>
      <c r="L2854" s="7">
        <v>738107</v>
      </c>
      <c r="M2854" s="7">
        <v>18</v>
      </c>
      <c r="N2854" s="7">
        <v>1</v>
      </c>
      <c r="O2854" s="7">
        <v>20.239999999999998</v>
      </c>
    </row>
    <row r="2855" spans="1:15" x14ac:dyDescent="0.25">
      <c r="A2855" s="6" t="s">
        <v>28</v>
      </c>
      <c r="B2855" s="6" t="s">
        <v>643</v>
      </c>
      <c r="C2855" s="7">
        <v>30247</v>
      </c>
      <c r="D2855" s="6" t="s">
        <v>133</v>
      </c>
      <c r="E2855" s="6" t="s">
        <v>270</v>
      </c>
      <c r="F2855" s="6" t="s">
        <v>651</v>
      </c>
      <c r="G2855" s="6" t="s">
        <v>50</v>
      </c>
      <c r="H2855" s="6" t="s">
        <v>33</v>
      </c>
      <c r="I2855" s="6" t="s">
        <v>116</v>
      </c>
      <c r="J2855" s="6" t="s">
        <v>117</v>
      </c>
      <c r="K2855" s="7">
        <v>5709517</v>
      </c>
      <c r="L2855" s="7">
        <v>681667</v>
      </c>
      <c r="M2855" s="7">
        <v>18</v>
      </c>
      <c r="N2855" s="7">
        <v>1</v>
      </c>
      <c r="O2855" s="7">
        <v>7.8</v>
      </c>
    </row>
    <row r="2856" spans="1:15" x14ac:dyDescent="0.25">
      <c r="A2856" s="6" t="s">
        <v>28</v>
      </c>
      <c r="B2856" s="6" t="s">
        <v>643</v>
      </c>
      <c r="C2856" s="7">
        <v>30248</v>
      </c>
      <c r="D2856" s="6" t="s">
        <v>133</v>
      </c>
      <c r="E2856" s="6" t="s">
        <v>270</v>
      </c>
      <c r="F2856" s="6" t="s">
        <v>651</v>
      </c>
      <c r="G2856" s="6" t="s">
        <v>50</v>
      </c>
      <c r="H2856" s="6" t="s">
        <v>33</v>
      </c>
      <c r="I2856" s="6" t="s">
        <v>116</v>
      </c>
      <c r="J2856" s="6" t="s">
        <v>117</v>
      </c>
      <c r="K2856" s="7">
        <v>5708409</v>
      </c>
      <c r="L2856" s="7">
        <v>682536</v>
      </c>
      <c r="M2856" s="7">
        <v>18</v>
      </c>
      <c r="N2856" s="7">
        <v>1</v>
      </c>
      <c r="O2856" s="7">
        <v>17</v>
      </c>
    </row>
    <row r="2857" spans="1:15" x14ac:dyDescent="0.25">
      <c r="A2857" s="6" t="s">
        <v>28</v>
      </c>
      <c r="B2857" s="6" t="s">
        <v>643</v>
      </c>
      <c r="C2857" s="7">
        <v>30251</v>
      </c>
      <c r="D2857" s="6" t="s">
        <v>133</v>
      </c>
      <c r="E2857" s="6" t="s">
        <v>652</v>
      </c>
      <c r="F2857" s="6" t="s">
        <v>653</v>
      </c>
      <c r="G2857" s="6" t="s">
        <v>50</v>
      </c>
      <c r="H2857" s="6" t="s">
        <v>33</v>
      </c>
      <c r="I2857" s="6" t="s">
        <v>116</v>
      </c>
      <c r="J2857" s="6" t="s">
        <v>117</v>
      </c>
      <c r="K2857" s="7">
        <v>5708764</v>
      </c>
      <c r="L2857" s="7">
        <v>684001</v>
      </c>
      <c r="M2857" s="7">
        <v>18</v>
      </c>
      <c r="N2857" s="7">
        <v>1</v>
      </c>
      <c r="O2857" s="7">
        <v>33.4</v>
      </c>
    </row>
    <row r="2858" spans="1:15" x14ac:dyDescent="0.25">
      <c r="A2858" s="6" t="s">
        <v>28</v>
      </c>
      <c r="B2858" s="6" t="s">
        <v>643</v>
      </c>
      <c r="C2858" s="7">
        <v>30271</v>
      </c>
      <c r="D2858" s="6" t="s">
        <v>133</v>
      </c>
      <c r="E2858" s="6" t="s">
        <v>564</v>
      </c>
      <c r="F2858" s="6" t="s">
        <v>654</v>
      </c>
      <c r="G2858" s="6" t="s">
        <v>50</v>
      </c>
      <c r="H2858" s="6" t="s">
        <v>33</v>
      </c>
      <c r="I2858" s="6" t="s">
        <v>116</v>
      </c>
      <c r="J2858" s="6" t="s">
        <v>117</v>
      </c>
      <c r="K2858" s="7">
        <v>5821853</v>
      </c>
      <c r="L2858" s="7">
        <v>715144</v>
      </c>
      <c r="M2858" s="7">
        <v>18</v>
      </c>
      <c r="N2858" s="7">
        <v>1</v>
      </c>
      <c r="O2858" s="7">
        <v>30.8</v>
      </c>
    </row>
    <row r="2859" spans="1:15" x14ac:dyDescent="0.25">
      <c r="A2859" s="6" t="s">
        <v>22</v>
      </c>
      <c r="B2859" s="6" t="s">
        <v>643</v>
      </c>
      <c r="C2859" s="7">
        <v>30446</v>
      </c>
      <c r="D2859" s="6" t="s">
        <v>133</v>
      </c>
      <c r="E2859" s="6" t="s">
        <v>422</v>
      </c>
      <c r="F2859" s="6" t="s">
        <v>422</v>
      </c>
      <c r="G2859" s="6" t="s">
        <v>50</v>
      </c>
      <c r="H2859" s="6" t="s">
        <v>765</v>
      </c>
      <c r="I2859" s="6" t="s">
        <v>766</v>
      </c>
      <c r="J2859" s="6" t="s">
        <v>766</v>
      </c>
      <c r="K2859" s="7">
        <v>5738092</v>
      </c>
      <c r="L2859" s="7">
        <v>723133</v>
      </c>
      <c r="M2859" s="7">
        <v>18</v>
      </c>
      <c r="N2859" s="7">
        <v>1</v>
      </c>
      <c r="O2859" s="7">
        <v>0.3</v>
      </c>
    </row>
    <row r="2860" spans="1:15" x14ac:dyDescent="0.25">
      <c r="A2860" s="6" t="s">
        <v>14</v>
      </c>
      <c r="B2860" s="6" t="s">
        <v>643</v>
      </c>
      <c r="C2860" s="7">
        <v>30447</v>
      </c>
      <c r="D2860" s="6" t="s">
        <v>133</v>
      </c>
      <c r="E2860" s="6" t="s">
        <v>652</v>
      </c>
      <c r="F2860" s="6" t="s">
        <v>655</v>
      </c>
      <c r="G2860" s="6" t="s">
        <v>50</v>
      </c>
      <c r="H2860" s="6" t="s">
        <v>33</v>
      </c>
      <c r="I2860" s="6" t="s">
        <v>112</v>
      </c>
      <c r="J2860" s="6" t="s">
        <v>112</v>
      </c>
      <c r="K2860" s="7">
        <v>5756523</v>
      </c>
      <c r="L2860" s="7">
        <v>749386</v>
      </c>
      <c r="M2860" s="7">
        <v>18</v>
      </c>
      <c r="N2860" s="7">
        <v>1</v>
      </c>
      <c r="O2860" s="7">
        <v>0.5</v>
      </c>
    </row>
    <row r="2861" spans="1:15" x14ac:dyDescent="0.25">
      <c r="A2861" s="6" t="s">
        <v>28</v>
      </c>
      <c r="B2861" s="6" t="s">
        <v>643</v>
      </c>
      <c r="C2861" s="7">
        <v>30557</v>
      </c>
      <c r="D2861" s="6" t="s">
        <v>98</v>
      </c>
      <c r="E2861" s="6" t="s">
        <v>656</v>
      </c>
      <c r="F2861" s="6" t="s">
        <v>657</v>
      </c>
      <c r="G2861" s="6" t="s">
        <v>50</v>
      </c>
      <c r="H2861" s="6" t="s">
        <v>33</v>
      </c>
      <c r="I2861" s="6" t="s">
        <v>116</v>
      </c>
      <c r="J2861" s="6" t="s">
        <v>117</v>
      </c>
      <c r="K2861" s="7">
        <v>5841197</v>
      </c>
      <c r="L2861" s="7">
        <v>710187</v>
      </c>
      <c r="M2861" s="7">
        <v>18</v>
      </c>
      <c r="N2861" s="7">
        <v>1</v>
      </c>
      <c r="O2861" s="7">
        <v>44</v>
      </c>
    </row>
    <row r="2862" spans="1:15" x14ac:dyDescent="0.25">
      <c r="A2862" s="6" t="s">
        <v>28</v>
      </c>
      <c r="B2862" s="6" t="s">
        <v>643</v>
      </c>
      <c r="C2862" s="7">
        <v>30562</v>
      </c>
      <c r="D2862" s="6" t="s">
        <v>98</v>
      </c>
      <c r="E2862" s="6" t="s">
        <v>242</v>
      </c>
      <c r="F2862" s="6" t="s">
        <v>242</v>
      </c>
      <c r="G2862" s="6" t="s">
        <v>50</v>
      </c>
      <c r="H2862" s="6" t="s">
        <v>33</v>
      </c>
      <c r="I2862" s="6" t="s">
        <v>116</v>
      </c>
      <c r="J2862" s="6" t="s">
        <v>117</v>
      </c>
      <c r="K2862" s="7">
        <v>5831791</v>
      </c>
      <c r="L2862" s="7">
        <v>713806</v>
      </c>
      <c r="M2862" s="7">
        <v>18</v>
      </c>
      <c r="N2862" s="7">
        <v>1</v>
      </c>
      <c r="O2862" s="7">
        <v>8.8000000000000007</v>
      </c>
    </row>
    <row r="2863" spans="1:15" x14ac:dyDescent="0.25">
      <c r="A2863" s="6" t="s">
        <v>28</v>
      </c>
      <c r="B2863" s="6" t="s">
        <v>643</v>
      </c>
      <c r="C2863" s="7">
        <v>30575</v>
      </c>
      <c r="D2863" s="6" t="s">
        <v>133</v>
      </c>
      <c r="E2863" s="6" t="s">
        <v>221</v>
      </c>
      <c r="F2863" s="6" t="s">
        <v>222</v>
      </c>
      <c r="G2863" s="6" t="s">
        <v>50</v>
      </c>
      <c r="H2863" s="6" t="s">
        <v>33</v>
      </c>
      <c r="I2863" s="6" t="s">
        <v>116</v>
      </c>
      <c r="J2863" s="6" t="s">
        <v>117</v>
      </c>
      <c r="K2863" s="7">
        <v>5695286</v>
      </c>
      <c r="L2863" s="7">
        <v>694608</v>
      </c>
      <c r="M2863" s="7">
        <v>18</v>
      </c>
      <c r="N2863" s="7">
        <v>1</v>
      </c>
      <c r="O2863" s="7">
        <v>26.4</v>
      </c>
    </row>
    <row r="2864" spans="1:15" x14ac:dyDescent="0.25">
      <c r="A2864" s="6" t="s">
        <v>28</v>
      </c>
      <c r="B2864" s="6" t="s">
        <v>643</v>
      </c>
      <c r="C2864" s="7">
        <v>30657</v>
      </c>
      <c r="D2864" s="6" t="s">
        <v>98</v>
      </c>
      <c r="E2864" s="6" t="s">
        <v>242</v>
      </c>
      <c r="F2864" s="6" t="s">
        <v>658</v>
      </c>
      <c r="G2864" s="6" t="s">
        <v>50</v>
      </c>
      <c r="H2864" s="6" t="s">
        <v>33</v>
      </c>
      <c r="I2864" s="6" t="s">
        <v>116</v>
      </c>
      <c r="J2864" s="6" t="s">
        <v>117</v>
      </c>
      <c r="K2864" s="7">
        <v>5832534</v>
      </c>
      <c r="L2864" s="7">
        <v>714665</v>
      </c>
      <c r="M2864" s="7">
        <v>18</v>
      </c>
      <c r="N2864" s="7">
        <v>2</v>
      </c>
      <c r="O2864" s="7">
        <v>43.6</v>
      </c>
    </row>
    <row r="2865" spans="1:15" x14ac:dyDescent="0.25">
      <c r="A2865" s="6" t="s">
        <v>28</v>
      </c>
      <c r="B2865" s="6" t="s">
        <v>643</v>
      </c>
      <c r="C2865" s="7">
        <v>30666</v>
      </c>
      <c r="D2865" s="6" t="s">
        <v>98</v>
      </c>
      <c r="E2865" s="6" t="s">
        <v>283</v>
      </c>
      <c r="F2865" s="6" t="s">
        <v>659</v>
      </c>
      <c r="G2865" s="6" t="s">
        <v>50</v>
      </c>
      <c r="H2865" s="6" t="s">
        <v>33</v>
      </c>
      <c r="I2865" s="6" t="s">
        <v>116</v>
      </c>
      <c r="J2865" s="6" t="s">
        <v>117</v>
      </c>
      <c r="K2865" s="7">
        <v>5830676</v>
      </c>
      <c r="L2865" s="7">
        <v>738946</v>
      </c>
      <c r="M2865" s="7">
        <v>18</v>
      </c>
      <c r="N2865" s="7">
        <v>1</v>
      </c>
      <c r="O2865" s="7">
        <v>30.8</v>
      </c>
    </row>
    <row r="2866" spans="1:15" x14ac:dyDescent="0.25">
      <c r="A2866" s="6" t="s">
        <v>28</v>
      </c>
      <c r="B2866" s="6" t="s">
        <v>643</v>
      </c>
      <c r="C2866" s="7">
        <v>30667</v>
      </c>
      <c r="D2866" s="6" t="s">
        <v>98</v>
      </c>
      <c r="E2866" s="6" t="s">
        <v>283</v>
      </c>
      <c r="F2866" s="6" t="s">
        <v>659</v>
      </c>
      <c r="G2866" s="6" t="s">
        <v>50</v>
      </c>
      <c r="H2866" s="6" t="s">
        <v>33</v>
      </c>
      <c r="I2866" s="6" t="s">
        <v>116</v>
      </c>
      <c r="J2866" s="6" t="s">
        <v>117</v>
      </c>
      <c r="K2866" s="7">
        <v>5832951</v>
      </c>
      <c r="L2866" s="7">
        <v>735693</v>
      </c>
      <c r="M2866" s="7">
        <v>18</v>
      </c>
      <c r="N2866" s="7">
        <v>1</v>
      </c>
      <c r="O2866" s="7">
        <v>52.8</v>
      </c>
    </row>
    <row r="2867" spans="1:15" x14ac:dyDescent="0.25">
      <c r="A2867" s="6" t="s">
        <v>22</v>
      </c>
      <c r="B2867" s="6" t="s">
        <v>643</v>
      </c>
      <c r="C2867" s="7">
        <v>30673</v>
      </c>
      <c r="D2867" s="6" t="s">
        <v>133</v>
      </c>
      <c r="E2867" s="6" t="s">
        <v>645</v>
      </c>
      <c r="F2867" s="6" t="s">
        <v>645</v>
      </c>
      <c r="G2867" s="6" t="s">
        <v>50</v>
      </c>
      <c r="H2867" s="6" t="s">
        <v>765</v>
      </c>
      <c r="I2867" s="6" t="s">
        <v>766</v>
      </c>
      <c r="J2867" s="6" t="s">
        <v>766</v>
      </c>
      <c r="K2867" s="7">
        <v>5754480</v>
      </c>
      <c r="L2867" s="7">
        <v>710308</v>
      </c>
      <c r="M2867" s="7">
        <v>18</v>
      </c>
      <c r="N2867" s="7">
        <v>1</v>
      </c>
      <c r="O2867" s="7">
        <v>0.5</v>
      </c>
    </row>
    <row r="2868" spans="1:15" x14ac:dyDescent="0.25">
      <c r="A2868" s="6" t="s">
        <v>28</v>
      </c>
      <c r="B2868" s="6" t="s">
        <v>643</v>
      </c>
      <c r="C2868" s="7">
        <v>30745</v>
      </c>
      <c r="D2868" s="6" t="s">
        <v>133</v>
      </c>
      <c r="E2868" s="6" t="s">
        <v>564</v>
      </c>
      <c r="F2868" s="6" t="s">
        <v>564</v>
      </c>
      <c r="G2868" s="6" t="s">
        <v>50</v>
      </c>
      <c r="H2868" s="6" t="s">
        <v>33</v>
      </c>
      <c r="I2868" s="6" t="s">
        <v>116</v>
      </c>
      <c r="J2868" s="6" t="s">
        <v>117</v>
      </c>
      <c r="K2868" s="7">
        <v>5826269</v>
      </c>
      <c r="L2868" s="7">
        <v>711162</v>
      </c>
      <c r="M2868" s="7">
        <v>18</v>
      </c>
      <c r="N2868" s="7">
        <v>1</v>
      </c>
      <c r="O2868" s="7">
        <v>10.56</v>
      </c>
    </row>
    <row r="2869" spans="1:15" x14ac:dyDescent="0.25">
      <c r="A2869" s="6" t="s">
        <v>28</v>
      </c>
      <c r="B2869" s="6" t="s">
        <v>643</v>
      </c>
      <c r="C2869" s="7">
        <v>30763</v>
      </c>
      <c r="D2869" s="6" t="s">
        <v>133</v>
      </c>
      <c r="E2869" s="6" t="s">
        <v>218</v>
      </c>
      <c r="F2869" s="6" t="s">
        <v>145</v>
      </c>
      <c r="G2869" s="6" t="s">
        <v>50</v>
      </c>
      <c r="H2869" s="6" t="s">
        <v>33</v>
      </c>
      <c r="I2869" s="6" t="s">
        <v>116</v>
      </c>
      <c r="J2869" s="6" t="s">
        <v>117</v>
      </c>
      <c r="K2869" s="7">
        <v>5718238</v>
      </c>
      <c r="L2869" s="7">
        <v>734336</v>
      </c>
      <c r="M2869" s="7">
        <v>18</v>
      </c>
      <c r="N2869" s="7">
        <v>1</v>
      </c>
      <c r="O2869" s="7">
        <v>10.56</v>
      </c>
    </row>
    <row r="2870" spans="1:15" x14ac:dyDescent="0.25">
      <c r="A2870" s="6" t="s">
        <v>28</v>
      </c>
      <c r="B2870" s="6" t="s">
        <v>643</v>
      </c>
      <c r="C2870" s="7">
        <v>30765</v>
      </c>
      <c r="D2870" s="6" t="s">
        <v>133</v>
      </c>
      <c r="E2870" s="6" t="s">
        <v>221</v>
      </c>
      <c r="F2870" s="6" t="s">
        <v>222</v>
      </c>
      <c r="G2870" s="6" t="s">
        <v>50</v>
      </c>
      <c r="H2870" s="6" t="s">
        <v>33</v>
      </c>
      <c r="I2870" s="6" t="s">
        <v>116</v>
      </c>
      <c r="J2870" s="6" t="s">
        <v>117</v>
      </c>
      <c r="K2870" s="7">
        <v>5695397</v>
      </c>
      <c r="L2870" s="7">
        <v>697515</v>
      </c>
      <c r="M2870" s="7">
        <v>18</v>
      </c>
      <c r="N2870" s="7">
        <v>1</v>
      </c>
      <c r="O2870" s="7">
        <v>44</v>
      </c>
    </row>
    <row r="2871" spans="1:15" x14ac:dyDescent="0.25">
      <c r="A2871" s="6" t="s">
        <v>28</v>
      </c>
      <c r="B2871" s="6" t="s">
        <v>643</v>
      </c>
      <c r="C2871" s="7">
        <v>30770</v>
      </c>
      <c r="D2871" s="6" t="s">
        <v>133</v>
      </c>
      <c r="E2871" s="6" t="s">
        <v>221</v>
      </c>
      <c r="F2871" s="6" t="s">
        <v>222</v>
      </c>
      <c r="G2871" s="6" t="s">
        <v>50</v>
      </c>
      <c r="H2871" s="6" t="s">
        <v>33</v>
      </c>
      <c r="I2871" s="6" t="s">
        <v>116</v>
      </c>
      <c r="J2871" s="6" t="s">
        <v>117</v>
      </c>
      <c r="K2871" s="7">
        <v>5686657</v>
      </c>
      <c r="L2871" s="7">
        <v>695174</v>
      </c>
      <c r="M2871" s="7">
        <v>18</v>
      </c>
      <c r="N2871" s="7">
        <v>1</v>
      </c>
      <c r="O2871" s="7">
        <v>61.6</v>
      </c>
    </row>
    <row r="2872" spans="1:15" x14ac:dyDescent="0.25">
      <c r="A2872" s="6" t="s">
        <v>28</v>
      </c>
      <c r="B2872" s="6" t="s">
        <v>643</v>
      </c>
      <c r="C2872" s="7">
        <v>30777</v>
      </c>
      <c r="D2872" s="6" t="s">
        <v>133</v>
      </c>
      <c r="E2872" s="6" t="s">
        <v>134</v>
      </c>
      <c r="F2872" s="6" t="s">
        <v>134</v>
      </c>
      <c r="G2872" s="6" t="s">
        <v>50</v>
      </c>
      <c r="H2872" s="6" t="s">
        <v>33</v>
      </c>
      <c r="I2872" s="6" t="s">
        <v>116</v>
      </c>
      <c r="J2872" s="6" t="s">
        <v>117</v>
      </c>
      <c r="K2872" s="7">
        <v>5814343</v>
      </c>
      <c r="L2872" s="7">
        <v>711507</v>
      </c>
      <c r="M2872" s="7">
        <v>18</v>
      </c>
      <c r="N2872" s="7">
        <v>1</v>
      </c>
      <c r="O2872" s="7">
        <v>26.4</v>
      </c>
    </row>
    <row r="2873" spans="1:15" x14ac:dyDescent="0.25">
      <c r="A2873" s="6" t="s">
        <v>28</v>
      </c>
      <c r="B2873" s="6" t="s">
        <v>643</v>
      </c>
      <c r="C2873" s="7">
        <v>30804</v>
      </c>
      <c r="D2873" s="6" t="s">
        <v>98</v>
      </c>
      <c r="E2873" s="6" t="s">
        <v>242</v>
      </c>
      <c r="F2873" s="6" t="s">
        <v>242</v>
      </c>
      <c r="G2873" s="6" t="s">
        <v>50</v>
      </c>
      <c r="H2873" s="6" t="s">
        <v>33</v>
      </c>
      <c r="I2873" s="6" t="s">
        <v>116</v>
      </c>
      <c r="J2873" s="6" t="s">
        <v>117</v>
      </c>
      <c r="K2873" s="7">
        <v>5831886</v>
      </c>
      <c r="L2873" s="7">
        <v>713114</v>
      </c>
      <c r="M2873" s="7">
        <v>18</v>
      </c>
      <c r="N2873" s="7">
        <v>4</v>
      </c>
      <c r="O2873" s="7">
        <v>26.3</v>
      </c>
    </row>
    <row r="2874" spans="1:15" x14ac:dyDescent="0.25">
      <c r="A2874" s="6" t="s">
        <v>28</v>
      </c>
      <c r="B2874" s="6" t="s">
        <v>643</v>
      </c>
      <c r="C2874" s="7">
        <v>30997</v>
      </c>
      <c r="D2874" s="6" t="s">
        <v>133</v>
      </c>
      <c r="E2874" s="6" t="s">
        <v>221</v>
      </c>
      <c r="F2874" s="6" t="s">
        <v>221</v>
      </c>
      <c r="G2874" s="6" t="s">
        <v>50</v>
      </c>
      <c r="H2874" s="6" t="s">
        <v>33</v>
      </c>
      <c r="I2874" s="6" t="s">
        <v>112</v>
      </c>
      <c r="J2874" s="6" t="s">
        <v>112</v>
      </c>
      <c r="K2874" s="7">
        <v>5684765</v>
      </c>
      <c r="L2874" s="7">
        <v>707102</v>
      </c>
      <c r="M2874" s="7">
        <v>18</v>
      </c>
      <c r="N2874" s="7">
        <v>1</v>
      </c>
      <c r="O2874" s="7">
        <v>44</v>
      </c>
    </row>
    <row r="2875" spans="1:15" x14ac:dyDescent="0.25">
      <c r="A2875" s="6" t="s">
        <v>28</v>
      </c>
      <c r="B2875" s="6" t="s">
        <v>643</v>
      </c>
      <c r="C2875" s="7">
        <v>31060</v>
      </c>
      <c r="D2875" s="6" t="s">
        <v>98</v>
      </c>
      <c r="E2875" s="6" t="s">
        <v>99</v>
      </c>
      <c r="F2875" s="6" t="s">
        <v>660</v>
      </c>
      <c r="G2875" s="6" t="s">
        <v>50</v>
      </c>
      <c r="H2875" s="6" t="s">
        <v>33</v>
      </c>
      <c r="I2875" s="6" t="s">
        <v>116</v>
      </c>
      <c r="J2875" s="6" t="s">
        <v>117</v>
      </c>
      <c r="K2875" s="7">
        <v>5853112</v>
      </c>
      <c r="L2875" s="7">
        <v>750307</v>
      </c>
      <c r="M2875" s="7">
        <v>18</v>
      </c>
      <c r="N2875" s="7">
        <v>1</v>
      </c>
      <c r="O2875" s="7">
        <v>12.32</v>
      </c>
    </row>
    <row r="2876" spans="1:15" x14ac:dyDescent="0.25">
      <c r="A2876" s="6" t="s">
        <v>28</v>
      </c>
      <c r="B2876" s="6" t="s">
        <v>643</v>
      </c>
      <c r="C2876" s="7">
        <v>31061</v>
      </c>
      <c r="D2876" s="6" t="s">
        <v>98</v>
      </c>
      <c r="E2876" s="6" t="s">
        <v>99</v>
      </c>
      <c r="F2876" s="6" t="s">
        <v>661</v>
      </c>
      <c r="G2876" s="6" t="s">
        <v>50</v>
      </c>
      <c r="H2876" s="6" t="s">
        <v>33</v>
      </c>
      <c r="I2876" s="6" t="s">
        <v>116</v>
      </c>
      <c r="J2876" s="6" t="s">
        <v>117</v>
      </c>
      <c r="K2876" s="7">
        <v>5842316</v>
      </c>
      <c r="L2876" s="7">
        <v>747421</v>
      </c>
      <c r="M2876" s="7">
        <v>18</v>
      </c>
      <c r="N2876" s="7">
        <v>1</v>
      </c>
      <c r="O2876" s="7">
        <v>36</v>
      </c>
    </row>
    <row r="2877" spans="1:15" x14ac:dyDescent="0.25">
      <c r="A2877" s="6" t="s">
        <v>28</v>
      </c>
      <c r="B2877" s="6" t="s">
        <v>643</v>
      </c>
      <c r="C2877" s="7">
        <v>31189</v>
      </c>
      <c r="D2877" s="6" t="s">
        <v>133</v>
      </c>
      <c r="E2877" s="6" t="s">
        <v>227</v>
      </c>
      <c r="F2877" s="6" t="s">
        <v>228</v>
      </c>
      <c r="G2877" s="6" t="s">
        <v>50</v>
      </c>
      <c r="H2877" s="6" t="s">
        <v>33</v>
      </c>
      <c r="I2877" s="6" t="s">
        <v>116</v>
      </c>
      <c r="J2877" s="6" t="s">
        <v>117</v>
      </c>
      <c r="K2877" s="7">
        <v>5682964</v>
      </c>
      <c r="L2877" s="7">
        <v>676510</v>
      </c>
      <c r="M2877" s="7">
        <v>18</v>
      </c>
      <c r="N2877" s="7">
        <v>1</v>
      </c>
      <c r="O2877" s="7">
        <v>21.12</v>
      </c>
    </row>
    <row r="2878" spans="1:15" x14ac:dyDescent="0.25">
      <c r="A2878" s="6" t="s">
        <v>28</v>
      </c>
      <c r="B2878" s="6" t="s">
        <v>643</v>
      </c>
      <c r="C2878" s="7">
        <v>31192</v>
      </c>
      <c r="D2878" s="6" t="s">
        <v>133</v>
      </c>
      <c r="E2878" s="6" t="s">
        <v>227</v>
      </c>
      <c r="F2878" s="6" t="s">
        <v>228</v>
      </c>
      <c r="G2878" s="6" t="s">
        <v>50</v>
      </c>
      <c r="H2878" s="6" t="s">
        <v>33</v>
      </c>
      <c r="I2878" s="6" t="s">
        <v>116</v>
      </c>
      <c r="J2878" s="6" t="s">
        <v>117</v>
      </c>
      <c r="K2878" s="7">
        <v>5683571</v>
      </c>
      <c r="L2878" s="7">
        <v>677585</v>
      </c>
      <c r="M2878" s="7">
        <v>18</v>
      </c>
      <c r="N2878" s="7">
        <v>1</v>
      </c>
      <c r="O2878" s="7">
        <v>9.68</v>
      </c>
    </row>
    <row r="2879" spans="1:15" x14ac:dyDescent="0.25">
      <c r="A2879" s="6" t="s">
        <v>28</v>
      </c>
      <c r="B2879" s="6" t="s">
        <v>643</v>
      </c>
      <c r="C2879" s="7">
        <v>31194</v>
      </c>
      <c r="D2879" s="6" t="s">
        <v>133</v>
      </c>
      <c r="E2879" s="6" t="s">
        <v>227</v>
      </c>
      <c r="F2879" s="6" t="s">
        <v>228</v>
      </c>
      <c r="G2879" s="6" t="s">
        <v>50</v>
      </c>
      <c r="H2879" s="6" t="s">
        <v>33</v>
      </c>
      <c r="I2879" s="6" t="s">
        <v>116</v>
      </c>
      <c r="J2879" s="6" t="s">
        <v>117</v>
      </c>
      <c r="K2879" s="7">
        <v>5683253</v>
      </c>
      <c r="L2879" s="7">
        <v>677617</v>
      </c>
      <c r="M2879" s="7">
        <v>18</v>
      </c>
      <c r="N2879" s="7">
        <v>1</v>
      </c>
      <c r="O2879" s="7">
        <v>4.4000000000000004</v>
      </c>
    </row>
    <row r="2880" spans="1:15" x14ac:dyDescent="0.25">
      <c r="A2880" s="6" t="s">
        <v>28</v>
      </c>
      <c r="B2880" s="6" t="s">
        <v>643</v>
      </c>
      <c r="C2880" s="7">
        <v>31425</v>
      </c>
      <c r="D2880" s="6" t="s">
        <v>133</v>
      </c>
      <c r="E2880" s="6" t="s">
        <v>645</v>
      </c>
      <c r="F2880" s="6" t="s">
        <v>645</v>
      </c>
      <c r="G2880" s="6" t="s">
        <v>50</v>
      </c>
      <c r="H2880" s="6" t="s">
        <v>33</v>
      </c>
      <c r="I2880" s="6" t="s">
        <v>112</v>
      </c>
      <c r="J2880" s="6" t="s">
        <v>112</v>
      </c>
      <c r="K2880" s="7">
        <v>5750351</v>
      </c>
      <c r="L2880" s="7">
        <v>708026</v>
      </c>
      <c r="M2880" s="7">
        <v>18</v>
      </c>
      <c r="N2880" s="7">
        <v>1</v>
      </c>
      <c r="O2880" s="7">
        <v>26.4</v>
      </c>
    </row>
    <row r="2881" spans="1:15" x14ac:dyDescent="0.25">
      <c r="A2881" s="6" t="s">
        <v>28</v>
      </c>
      <c r="B2881" s="6" t="s">
        <v>643</v>
      </c>
      <c r="C2881" s="7">
        <v>31429</v>
      </c>
      <c r="D2881" s="6" t="s">
        <v>133</v>
      </c>
      <c r="E2881" s="6" t="s">
        <v>645</v>
      </c>
      <c r="F2881" s="6" t="s">
        <v>653</v>
      </c>
      <c r="G2881" s="6" t="s">
        <v>50</v>
      </c>
      <c r="H2881" s="6" t="s">
        <v>33</v>
      </c>
      <c r="I2881" s="6" t="s">
        <v>112</v>
      </c>
      <c r="J2881" s="6" t="s">
        <v>112</v>
      </c>
      <c r="K2881" s="7">
        <v>5751350</v>
      </c>
      <c r="L2881" s="7">
        <v>714616</v>
      </c>
      <c r="M2881" s="7">
        <v>18</v>
      </c>
      <c r="N2881" s="7">
        <v>1</v>
      </c>
      <c r="O2881" s="7">
        <v>10.56</v>
      </c>
    </row>
    <row r="2882" spans="1:15" x14ac:dyDescent="0.25">
      <c r="A2882" s="6" t="s">
        <v>28</v>
      </c>
      <c r="B2882" s="6" t="s">
        <v>643</v>
      </c>
      <c r="C2882" s="7">
        <v>31434</v>
      </c>
      <c r="D2882" s="6" t="s">
        <v>133</v>
      </c>
      <c r="E2882" s="6" t="s">
        <v>645</v>
      </c>
      <c r="F2882" s="6" t="s">
        <v>653</v>
      </c>
      <c r="G2882" s="6" t="s">
        <v>50</v>
      </c>
      <c r="H2882" s="6" t="s">
        <v>33</v>
      </c>
      <c r="I2882" s="6" t="s">
        <v>112</v>
      </c>
      <c r="J2882" s="6" t="s">
        <v>112</v>
      </c>
      <c r="K2882" s="7">
        <v>5751214</v>
      </c>
      <c r="L2882" s="7">
        <v>714442</v>
      </c>
      <c r="M2882" s="7">
        <v>18</v>
      </c>
      <c r="N2882" s="7">
        <v>1</v>
      </c>
      <c r="O2882" s="7">
        <v>2.64</v>
      </c>
    </row>
    <row r="2883" spans="1:15" x14ac:dyDescent="0.25">
      <c r="A2883" s="6" t="s">
        <v>28</v>
      </c>
      <c r="B2883" s="6" t="s">
        <v>643</v>
      </c>
      <c r="C2883" s="7">
        <v>31440</v>
      </c>
      <c r="D2883" s="6" t="s">
        <v>133</v>
      </c>
      <c r="E2883" s="6" t="s">
        <v>645</v>
      </c>
      <c r="F2883" s="6" t="s">
        <v>653</v>
      </c>
      <c r="G2883" s="6" t="s">
        <v>50</v>
      </c>
      <c r="H2883" s="6" t="s">
        <v>33</v>
      </c>
      <c r="I2883" s="6" t="s">
        <v>112</v>
      </c>
      <c r="J2883" s="6" t="s">
        <v>112</v>
      </c>
      <c r="K2883" s="7">
        <v>5751540</v>
      </c>
      <c r="L2883" s="7">
        <v>714274</v>
      </c>
      <c r="M2883" s="7">
        <v>18</v>
      </c>
      <c r="N2883" s="7">
        <v>1</v>
      </c>
      <c r="O2883" s="7">
        <v>3.52</v>
      </c>
    </row>
    <row r="2884" spans="1:15" x14ac:dyDescent="0.25">
      <c r="A2884" s="6" t="s">
        <v>28</v>
      </c>
      <c r="B2884" s="6" t="s">
        <v>643</v>
      </c>
      <c r="C2884" s="7">
        <v>31464</v>
      </c>
      <c r="D2884" s="6" t="s">
        <v>133</v>
      </c>
      <c r="E2884" s="6" t="s">
        <v>645</v>
      </c>
      <c r="F2884" s="6" t="s">
        <v>653</v>
      </c>
      <c r="G2884" s="6" t="s">
        <v>50</v>
      </c>
      <c r="H2884" s="6" t="s">
        <v>33</v>
      </c>
      <c r="I2884" s="6" t="s">
        <v>112</v>
      </c>
      <c r="J2884" s="6" t="s">
        <v>112</v>
      </c>
      <c r="K2884" s="7">
        <v>5751389</v>
      </c>
      <c r="L2884" s="7">
        <v>713669</v>
      </c>
      <c r="M2884" s="7">
        <v>18</v>
      </c>
      <c r="N2884" s="7">
        <v>1</v>
      </c>
      <c r="O2884" s="7">
        <v>10.56</v>
      </c>
    </row>
    <row r="2885" spans="1:15" x14ac:dyDescent="0.25">
      <c r="A2885" s="6" t="s">
        <v>28</v>
      </c>
      <c r="B2885" s="6" t="s">
        <v>643</v>
      </c>
      <c r="C2885" s="7">
        <v>31483</v>
      </c>
      <c r="D2885" s="6" t="s">
        <v>133</v>
      </c>
      <c r="E2885" s="6" t="s">
        <v>645</v>
      </c>
      <c r="F2885" s="6" t="s">
        <v>653</v>
      </c>
      <c r="G2885" s="6" t="s">
        <v>50</v>
      </c>
      <c r="H2885" s="6" t="s">
        <v>33</v>
      </c>
      <c r="I2885" s="6" t="s">
        <v>112</v>
      </c>
      <c r="J2885" s="6" t="s">
        <v>112</v>
      </c>
      <c r="K2885" s="7">
        <v>5751786</v>
      </c>
      <c r="L2885" s="7">
        <v>713774</v>
      </c>
      <c r="M2885" s="7">
        <v>18</v>
      </c>
      <c r="N2885" s="7">
        <v>1</v>
      </c>
      <c r="O2885" s="7">
        <v>3.52</v>
      </c>
    </row>
    <row r="2886" spans="1:15" x14ac:dyDescent="0.25">
      <c r="A2886" s="6" t="s">
        <v>28</v>
      </c>
      <c r="B2886" s="6" t="s">
        <v>643</v>
      </c>
      <c r="C2886" s="7">
        <v>31484</v>
      </c>
      <c r="D2886" s="6" t="s">
        <v>133</v>
      </c>
      <c r="E2886" s="6" t="s">
        <v>645</v>
      </c>
      <c r="F2886" s="6" t="s">
        <v>653</v>
      </c>
      <c r="G2886" s="6" t="s">
        <v>50</v>
      </c>
      <c r="H2886" s="6" t="s">
        <v>33</v>
      </c>
      <c r="I2886" s="6" t="s">
        <v>112</v>
      </c>
      <c r="J2886" s="6" t="s">
        <v>112</v>
      </c>
      <c r="K2886" s="7">
        <v>5750773</v>
      </c>
      <c r="L2886" s="7">
        <v>712535</v>
      </c>
      <c r="M2886" s="7">
        <v>18</v>
      </c>
      <c r="N2886" s="7">
        <v>1</v>
      </c>
      <c r="O2886" s="7">
        <v>1.76</v>
      </c>
    </row>
    <row r="2887" spans="1:15" x14ac:dyDescent="0.25">
      <c r="A2887" s="6" t="s">
        <v>22</v>
      </c>
      <c r="B2887" s="6" t="s">
        <v>643</v>
      </c>
      <c r="C2887" s="7">
        <v>31996</v>
      </c>
      <c r="D2887" s="6" t="s">
        <v>133</v>
      </c>
      <c r="E2887" s="6" t="s">
        <v>652</v>
      </c>
      <c r="F2887" s="6" t="s">
        <v>662</v>
      </c>
      <c r="G2887" s="6" t="s">
        <v>50</v>
      </c>
      <c r="H2887" s="6" t="s">
        <v>765</v>
      </c>
      <c r="I2887" s="6" t="s">
        <v>766</v>
      </c>
      <c r="J2887" s="6" t="s">
        <v>766</v>
      </c>
      <c r="K2887" s="7">
        <v>5756425</v>
      </c>
      <c r="L2887" s="7">
        <v>725694</v>
      </c>
      <c r="M2887" s="7">
        <v>18</v>
      </c>
      <c r="N2887" s="7">
        <v>1</v>
      </c>
      <c r="O2887" s="7">
        <v>4</v>
      </c>
    </row>
    <row r="2888" spans="1:15" x14ac:dyDescent="0.25">
      <c r="A2888" s="6" t="s">
        <v>22</v>
      </c>
      <c r="B2888" s="6" t="s">
        <v>643</v>
      </c>
      <c r="C2888" s="7">
        <v>32522</v>
      </c>
      <c r="D2888" s="6" t="s">
        <v>133</v>
      </c>
      <c r="E2888" s="6" t="s">
        <v>221</v>
      </c>
      <c r="F2888" s="6" t="s">
        <v>222</v>
      </c>
      <c r="G2888" s="6" t="s">
        <v>50</v>
      </c>
      <c r="H2888" s="6" t="s">
        <v>765</v>
      </c>
      <c r="I2888" s="6" t="s">
        <v>766</v>
      </c>
      <c r="J2888" s="6" t="s">
        <v>766</v>
      </c>
      <c r="K2888" s="7">
        <v>5693440</v>
      </c>
      <c r="L2888" s="7">
        <v>709613</v>
      </c>
      <c r="M2888" s="7">
        <v>18</v>
      </c>
      <c r="N2888" s="7">
        <v>1</v>
      </c>
      <c r="O2888" s="7">
        <v>1.5</v>
      </c>
    </row>
    <row r="2889" spans="1:15" x14ac:dyDescent="0.25">
      <c r="A2889" s="6" t="s">
        <v>22</v>
      </c>
      <c r="B2889" s="6" t="s">
        <v>643</v>
      </c>
      <c r="C2889" s="7">
        <v>32642</v>
      </c>
      <c r="D2889" s="6" t="s">
        <v>133</v>
      </c>
      <c r="E2889" s="6" t="s">
        <v>218</v>
      </c>
      <c r="F2889" s="6" t="s">
        <v>646</v>
      </c>
      <c r="G2889" s="6" t="s">
        <v>50</v>
      </c>
      <c r="H2889" s="6" t="s">
        <v>765</v>
      </c>
      <c r="I2889" s="6" t="s">
        <v>766</v>
      </c>
      <c r="J2889" s="6" t="s">
        <v>766</v>
      </c>
      <c r="K2889" s="7">
        <v>5718197</v>
      </c>
      <c r="L2889" s="7">
        <v>724325</v>
      </c>
      <c r="M2889" s="7">
        <v>18</v>
      </c>
      <c r="N2889" s="7">
        <v>1</v>
      </c>
      <c r="O2889" s="7">
        <v>7</v>
      </c>
    </row>
    <row r="2890" spans="1:15" x14ac:dyDescent="0.25">
      <c r="A2890" s="6" t="s">
        <v>22</v>
      </c>
      <c r="B2890" s="6" t="s">
        <v>643</v>
      </c>
      <c r="C2890" s="7">
        <v>32646</v>
      </c>
      <c r="D2890" s="6" t="s">
        <v>133</v>
      </c>
      <c r="E2890" s="6" t="s">
        <v>218</v>
      </c>
      <c r="F2890" s="6" t="s">
        <v>663</v>
      </c>
      <c r="G2890" s="6" t="s">
        <v>50</v>
      </c>
      <c r="H2890" s="6" t="s">
        <v>765</v>
      </c>
      <c r="I2890" s="6" t="s">
        <v>766</v>
      </c>
      <c r="J2890" s="6" t="s">
        <v>766</v>
      </c>
      <c r="K2890" s="7">
        <v>5716331</v>
      </c>
      <c r="L2890" s="7">
        <v>727334</v>
      </c>
      <c r="M2890" s="7">
        <v>18</v>
      </c>
      <c r="N2890" s="7">
        <v>1</v>
      </c>
      <c r="O2890" s="7">
        <v>0.15</v>
      </c>
    </row>
    <row r="2891" spans="1:15" x14ac:dyDescent="0.25">
      <c r="A2891" s="6" t="s">
        <v>22</v>
      </c>
      <c r="B2891" s="6" t="s">
        <v>643</v>
      </c>
      <c r="C2891" s="7">
        <v>32652</v>
      </c>
      <c r="D2891" s="6" t="s">
        <v>133</v>
      </c>
      <c r="E2891" s="6" t="s">
        <v>218</v>
      </c>
      <c r="F2891" s="6" t="s">
        <v>663</v>
      </c>
      <c r="G2891" s="6" t="s">
        <v>50</v>
      </c>
      <c r="H2891" s="6" t="s">
        <v>765</v>
      </c>
      <c r="I2891" s="6" t="s">
        <v>766</v>
      </c>
      <c r="J2891" s="6" t="s">
        <v>766</v>
      </c>
      <c r="K2891" s="7">
        <v>5777796</v>
      </c>
      <c r="L2891" s="7">
        <v>729419</v>
      </c>
      <c r="M2891" s="7">
        <v>18</v>
      </c>
      <c r="N2891" s="7">
        <v>1</v>
      </c>
      <c r="O2891" s="7">
        <v>0.7</v>
      </c>
    </row>
    <row r="2892" spans="1:15" x14ac:dyDescent="0.25">
      <c r="A2892" s="6" t="s">
        <v>22</v>
      </c>
      <c r="B2892" s="6" t="s">
        <v>643</v>
      </c>
      <c r="C2892" s="7">
        <v>32669</v>
      </c>
      <c r="D2892" s="6" t="s">
        <v>133</v>
      </c>
      <c r="E2892" s="6" t="s">
        <v>647</v>
      </c>
      <c r="F2892" s="6" t="s">
        <v>647</v>
      </c>
      <c r="G2892" s="6" t="s">
        <v>50</v>
      </c>
      <c r="H2892" s="6" t="s">
        <v>765</v>
      </c>
      <c r="I2892" s="6" t="s">
        <v>766</v>
      </c>
      <c r="J2892" s="6" t="s">
        <v>766</v>
      </c>
      <c r="K2892" s="7">
        <v>5746003</v>
      </c>
      <c r="L2892" s="7">
        <v>731195</v>
      </c>
      <c r="M2892" s="7">
        <v>18</v>
      </c>
      <c r="N2892" s="7">
        <v>1</v>
      </c>
      <c r="O2892" s="7">
        <v>2</v>
      </c>
    </row>
    <row r="2893" spans="1:15" x14ac:dyDescent="0.25">
      <c r="A2893" s="6" t="s">
        <v>22</v>
      </c>
      <c r="B2893" s="6" t="s">
        <v>643</v>
      </c>
      <c r="C2893" s="7">
        <v>32674</v>
      </c>
      <c r="D2893" s="6" t="s">
        <v>133</v>
      </c>
      <c r="E2893" s="6" t="s">
        <v>647</v>
      </c>
      <c r="F2893" s="6" t="s">
        <v>647</v>
      </c>
      <c r="G2893" s="6" t="s">
        <v>50</v>
      </c>
      <c r="H2893" s="6" t="s">
        <v>765</v>
      </c>
      <c r="I2893" s="6" t="s">
        <v>766</v>
      </c>
      <c r="J2893" s="6" t="s">
        <v>766</v>
      </c>
      <c r="K2893" s="7">
        <v>5742679</v>
      </c>
      <c r="L2893" s="7">
        <v>726840</v>
      </c>
      <c r="M2893" s="7">
        <v>18</v>
      </c>
      <c r="N2893" s="7">
        <v>1</v>
      </c>
      <c r="O2893" s="7">
        <v>0.13</v>
      </c>
    </row>
    <row r="2894" spans="1:15" x14ac:dyDescent="0.25">
      <c r="A2894" s="6" t="s">
        <v>28</v>
      </c>
      <c r="B2894" s="6" t="s">
        <v>643</v>
      </c>
      <c r="C2894" s="7">
        <v>33949</v>
      </c>
      <c r="D2894" s="6" t="s">
        <v>133</v>
      </c>
      <c r="E2894" s="6" t="s">
        <v>422</v>
      </c>
      <c r="F2894" s="6" t="s">
        <v>664</v>
      </c>
      <c r="G2894" s="6" t="s">
        <v>50</v>
      </c>
      <c r="H2894" s="6" t="s">
        <v>33</v>
      </c>
      <c r="I2894" s="6" t="s">
        <v>112</v>
      </c>
      <c r="J2894" s="6" t="s">
        <v>112</v>
      </c>
      <c r="K2894" s="7">
        <v>5725615</v>
      </c>
      <c r="L2894" s="7">
        <v>717021</v>
      </c>
      <c r="M2894" s="7">
        <v>18</v>
      </c>
      <c r="N2894" s="7">
        <v>1</v>
      </c>
      <c r="O2894" s="7">
        <v>1</v>
      </c>
    </row>
    <row r="2895" spans="1:15" x14ac:dyDescent="0.25">
      <c r="A2895" s="6" t="s">
        <v>28</v>
      </c>
      <c r="B2895" s="6" t="s">
        <v>643</v>
      </c>
      <c r="C2895" s="7">
        <v>33969</v>
      </c>
      <c r="D2895" s="6" t="s">
        <v>133</v>
      </c>
      <c r="E2895" s="6" t="s">
        <v>277</v>
      </c>
      <c r="F2895" s="6" t="s">
        <v>664</v>
      </c>
      <c r="G2895" s="6" t="s">
        <v>50</v>
      </c>
      <c r="H2895" s="6" t="s">
        <v>33</v>
      </c>
      <c r="I2895" s="6" t="s">
        <v>112</v>
      </c>
      <c r="J2895" s="6" t="s">
        <v>112</v>
      </c>
      <c r="K2895" s="7">
        <v>5722934</v>
      </c>
      <c r="L2895" s="7">
        <v>714936</v>
      </c>
      <c r="M2895" s="7">
        <v>18</v>
      </c>
      <c r="N2895" s="7">
        <v>1</v>
      </c>
      <c r="O2895" s="7">
        <v>1</v>
      </c>
    </row>
    <row r="2896" spans="1:15" x14ac:dyDescent="0.25">
      <c r="A2896" s="6" t="s">
        <v>28</v>
      </c>
      <c r="B2896" s="6" t="s">
        <v>643</v>
      </c>
      <c r="C2896" s="7">
        <v>34124</v>
      </c>
      <c r="D2896" s="6" t="s">
        <v>133</v>
      </c>
      <c r="E2896" s="6" t="s">
        <v>665</v>
      </c>
      <c r="F2896" s="6" t="s">
        <v>665</v>
      </c>
      <c r="G2896" s="6" t="s">
        <v>50</v>
      </c>
      <c r="H2896" s="6" t="s">
        <v>19</v>
      </c>
      <c r="I2896" s="6" t="s">
        <v>112</v>
      </c>
      <c r="J2896" s="6" t="s">
        <v>112</v>
      </c>
      <c r="K2896" s="7">
        <v>5749142</v>
      </c>
      <c r="L2896" s="7">
        <v>700996</v>
      </c>
      <c r="M2896" s="7">
        <v>18</v>
      </c>
      <c r="N2896" s="7">
        <v>1</v>
      </c>
      <c r="O2896" s="7">
        <v>2.5</v>
      </c>
    </row>
    <row r="2897" spans="1:15" x14ac:dyDescent="0.25">
      <c r="A2897" s="6" t="s">
        <v>28</v>
      </c>
      <c r="B2897" s="6" t="s">
        <v>643</v>
      </c>
      <c r="C2897" s="7">
        <v>34247</v>
      </c>
      <c r="D2897" s="6" t="s">
        <v>133</v>
      </c>
      <c r="E2897" s="6" t="s">
        <v>218</v>
      </c>
      <c r="F2897" s="6" t="s">
        <v>666</v>
      </c>
      <c r="G2897" s="6" t="s">
        <v>50</v>
      </c>
      <c r="H2897" s="6" t="s">
        <v>33</v>
      </c>
      <c r="I2897" s="6" t="s">
        <v>112</v>
      </c>
      <c r="J2897" s="6" t="s">
        <v>112</v>
      </c>
      <c r="K2897" s="7">
        <v>5714227</v>
      </c>
      <c r="L2897" s="7">
        <v>745451</v>
      </c>
      <c r="M2897" s="7">
        <v>18</v>
      </c>
      <c r="N2897" s="7">
        <v>1</v>
      </c>
      <c r="O2897" s="7">
        <v>1</v>
      </c>
    </row>
    <row r="2898" spans="1:15" x14ac:dyDescent="0.25">
      <c r="A2898" s="6" t="s">
        <v>28</v>
      </c>
      <c r="B2898" s="6" t="s">
        <v>643</v>
      </c>
      <c r="C2898" s="7">
        <v>34261</v>
      </c>
      <c r="D2898" s="6" t="s">
        <v>133</v>
      </c>
      <c r="E2898" s="6" t="s">
        <v>645</v>
      </c>
      <c r="F2898" s="6" t="s">
        <v>667</v>
      </c>
      <c r="G2898" s="6" t="s">
        <v>50</v>
      </c>
      <c r="H2898" s="6" t="s">
        <v>33</v>
      </c>
      <c r="I2898" s="6" t="s">
        <v>112</v>
      </c>
      <c r="J2898" s="6" t="s">
        <v>112</v>
      </c>
      <c r="K2898" s="7">
        <v>5744979</v>
      </c>
      <c r="L2898" s="7">
        <v>704462</v>
      </c>
      <c r="M2898" s="7">
        <v>18</v>
      </c>
      <c r="N2898" s="7">
        <v>1</v>
      </c>
      <c r="O2898" s="7">
        <v>1</v>
      </c>
    </row>
    <row r="2899" spans="1:15" x14ac:dyDescent="0.25">
      <c r="A2899" s="6" t="s">
        <v>14</v>
      </c>
      <c r="B2899" s="6" t="s">
        <v>643</v>
      </c>
      <c r="C2899" s="7">
        <v>34311</v>
      </c>
      <c r="D2899" s="6" t="s">
        <v>133</v>
      </c>
      <c r="E2899" s="6" t="s">
        <v>645</v>
      </c>
      <c r="F2899" s="6" t="s">
        <v>668</v>
      </c>
      <c r="G2899" s="6" t="s">
        <v>50</v>
      </c>
      <c r="H2899" s="6" t="s">
        <v>33</v>
      </c>
      <c r="I2899" s="6" t="s">
        <v>112</v>
      </c>
      <c r="J2899" s="6" t="s">
        <v>112</v>
      </c>
      <c r="K2899" s="7">
        <v>5753609</v>
      </c>
      <c r="L2899" s="7">
        <v>698876</v>
      </c>
      <c r="M2899" s="7">
        <v>18</v>
      </c>
      <c r="N2899" s="7">
        <v>1</v>
      </c>
      <c r="O2899" s="7">
        <v>1</v>
      </c>
    </row>
    <row r="2900" spans="1:15" x14ac:dyDescent="0.25">
      <c r="A2900" s="6" t="s">
        <v>28</v>
      </c>
      <c r="B2900" s="6" t="s">
        <v>643</v>
      </c>
      <c r="C2900" s="7">
        <v>34596</v>
      </c>
      <c r="D2900" s="6" t="s">
        <v>133</v>
      </c>
      <c r="E2900" s="6" t="s">
        <v>422</v>
      </c>
      <c r="F2900" s="6" t="s">
        <v>664</v>
      </c>
      <c r="G2900" s="6" t="s">
        <v>50</v>
      </c>
      <c r="H2900" s="6" t="s">
        <v>19</v>
      </c>
      <c r="I2900" s="6" t="s">
        <v>112</v>
      </c>
      <c r="J2900" s="6" t="s">
        <v>112</v>
      </c>
      <c r="K2900" s="7">
        <v>5725724</v>
      </c>
      <c r="L2900" s="7">
        <v>717035</v>
      </c>
      <c r="M2900" s="7">
        <v>18</v>
      </c>
      <c r="N2900" s="7">
        <v>1</v>
      </c>
      <c r="O2900" s="7">
        <v>1</v>
      </c>
    </row>
    <row r="2901" spans="1:15" x14ac:dyDescent="0.25">
      <c r="A2901" s="6" t="s">
        <v>28</v>
      </c>
      <c r="B2901" s="6" t="s">
        <v>643</v>
      </c>
      <c r="C2901" s="7">
        <v>34604</v>
      </c>
      <c r="D2901" s="6" t="s">
        <v>133</v>
      </c>
      <c r="E2901" s="6" t="s">
        <v>277</v>
      </c>
      <c r="F2901" s="6" t="s">
        <v>664</v>
      </c>
      <c r="G2901" s="6" t="s">
        <v>50</v>
      </c>
      <c r="H2901" s="6" t="s">
        <v>19</v>
      </c>
      <c r="I2901" s="6" t="s">
        <v>112</v>
      </c>
      <c r="J2901" s="6" t="s">
        <v>112</v>
      </c>
      <c r="K2901" s="7">
        <v>5722938</v>
      </c>
      <c r="L2901" s="7">
        <v>714818</v>
      </c>
      <c r="M2901" s="7">
        <v>18</v>
      </c>
      <c r="N2901" s="7">
        <v>1</v>
      </c>
      <c r="O2901" s="7">
        <v>1</v>
      </c>
    </row>
    <row r="2902" spans="1:15" x14ac:dyDescent="0.25">
      <c r="A2902" s="6" t="s">
        <v>28</v>
      </c>
      <c r="B2902" s="6" t="s">
        <v>643</v>
      </c>
      <c r="C2902" s="7">
        <v>35020</v>
      </c>
      <c r="D2902" s="6" t="s">
        <v>133</v>
      </c>
      <c r="E2902" s="6" t="s">
        <v>647</v>
      </c>
      <c r="F2902" s="6" t="s">
        <v>669</v>
      </c>
      <c r="G2902" s="6" t="s">
        <v>50</v>
      </c>
      <c r="H2902" s="6" t="s">
        <v>33</v>
      </c>
      <c r="I2902" s="6" t="s">
        <v>112</v>
      </c>
      <c r="J2902" s="6" t="s">
        <v>112</v>
      </c>
      <c r="K2902" s="7">
        <v>5738026</v>
      </c>
      <c r="L2902" s="7">
        <v>728471</v>
      </c>
      <c r="M2902" s="7">
        <v>18</v>
      </c>
      <c r="N2902" s="7">
        <v>1</v>
      </c>
      <c r="O2902" s="7">
        <v>0.2</v>
      </c>
    </row>
    <row r="2903" spans="1:15" x14ac:dyDescent="0.25">
      <c r="A2903" s="6" t="s">
        <v>28</v>
      </c>
      <c r="B2903" s="6" t="s">
        <v>643</v>
      </c>
      <c r="C2903" s="7">
        <v>35027</v>
      </c>
      <c r="D2903" s="6" t="s">
        <v>98</v>
      </c>
      <c r="E2903" s="6" t="s">
        <v>99</v>
      </c>
      <c r="F2903" s="6" t="s">
        <v>670</v>
      </c>
      <c r="G2903" s="6" t="s">
        <v>50</v>
      </c>
      <c r="H2903" s="6" t="s">
        <v>33</v>
      </c>
      <c r="I2903" s="6" t="s">
        <v>112</v>
      </c>
      <c r="J2903" s="6" t="s">
        <v>112</v>
      </c>
      <c r="K2903" s="7">
        <v>5855327</v>
      </c>
      <c r="L2903" s="7">
        <v>755502</v>
      </c>
      <c r="M2903" s="7">
        <v>18</v>
      </c>
      <c r="N2903" s="7">
        <v>1</v>
      </c>
      <c r="O2903" s="7">
        <v>0.08</v>
      </c>
    </row>
    <row r="2904" spans="1:15" x14ac:dyDescent="0.25">
      <c r="A2904" s="6" t="s">
        <v>28</v>
      </c>
      <c r="B2904" s="6" t="s">
        <v>643</v>
      </c>
      <c r="C2904" s="7">
        <v>35029</v>
      </c>
      <c r="D2904" s="6" t="s">
        <v>98</v>
      </c>
      <c r="E2904" s="6" t="s">
        <v>99</v>
      </c>
      <c r="F2904" s="6" t="s">
        <v>660</v>
      </c>
      <c r="G2904" s="6" t="s">
        <v>50</v>
      </c>
      <c r="H2904" s="6" t="s">
        <v>33</v>
      </c>
      <c r="I2904" s="6" t="s">
        <v>112</v>
      </c>
      <c r="J2904" s="6" t="s">
        <v>112</v>
      </c>
      <c r="K2904" s="7">
        <v>5855327</v>
      </c>
      <c r="L2904" s="7">
        <v>755502</v>
      </c>
      <c r="M2904" s="7">
        <v>18</v>
      </c>
      <c r="N2904" s="7">
        <v>1</v>
      </c>
      <c r="O2904" s="7">
        <v>0.08</v>
      </c>
    </row>
    <row r="2905" spans="1:15" x14ac:dyDescent="0.25">
      <c r="A2905" s="6" t="s">
        <v>28</v>
      </c>
      <c r="B2905" s="6" t="s">
        <v>643</v>
      </c>
      <c r="C2905" s="7">
        <v>35030</v>
      </c>
      <c r="D2905" s="6" t="s">
        <v>98</v>
      </c>
      <c r="E2905" s="6" t="s">
        <v>99</v>
      </c>
      <c r="F2905" s="6" t="s">
        <v>660</v>
      </c>
      <c r="G2905" s="6" t="s">
        <v>50</v>
      </c>
      <c r="H2905" s="6" t="s">
        <v>19</v>
      </c>
      <c r="I2905" s="6" t="s">
        <v>112</v>
      </c>
      <c r="J2905" s="6" t="s">
        <v>112</v>
      </c>
      <c r="K2905" s="7">
        <v>5855327</v>
      </c>
      <c r="L2905" s="7">
        <v>755502</v>
      </c>
      <c r="M2905" s="7">
        <v>18</v>
      </c>
      <c r="N2905" s="7">
        <v>1</v>
      </c>
      <c r="O2905" s="7">
        <v>0.5</v>
      </c>
    </row>
    <row r="2906" spans="1:15" x14ac:dyDescent="0.25">
      <c r="A2906" s="6" t="s">
        <v>28</v>
      </c>
      <c r="B2906" s="6" t="s">
        <v>643</v>
      </c>
      <c r="C2906" s="7">
        <v>35040</v>
      </c>
      <c r="D2906" s="6" t="s">
        <v>133</v>
      </c>
      <c r="E2906" s="6" t="s">
        <v>422</v>
      </c>
      <c r="F2906" s="6" t="s">
        <v>671</v>
      </c>
      <c r="G2906" s="6" t="s">
        <v>50</v>
      </c>
      <c r="H2906" s="6" t="s">
        <v>19</v>
      </c>
      <c r="I2906" s="6" t="s">
        <v>112</v>
      </c>
      <c r="J2906" s="6" t="s">
        <v>112</v>
      </c>
      <c r="K2906" s="7">
        <v>5734747</v>
      </c>
      <c r="L2906" s="7">
        <v>725383</v>
      </c>
      <c r="M2906" s="7">
        <v>18</v>
      </c>
      <c r="N2906" s="7">
        <v>1</v>
      </c>
      <c r="O2906" s="7">
        <v>1</v>
      </c>
    </row>
    <row r="2907" spans="1:15" x14ac:dyDescent="0.25">
      <c r="A2907" s="6" t="s">
        <v>22</v>
      </c>
      <c r="B2907" s="6" t="s">
        <v>768</v>
      </c>
      <c r="C2907" s="7">
        <v>31112</v>
      </c>
      <c r="D2907" s="6" t="s">
        <v>42</v>
      </c>
      <c r="E2907" s="6" t="s">
        <v>167</v>
      </c>
      <c r="F2907" s="6" t="s">
        <v>167</v>
      </c>
      <c r="G2907" s="6" t="s">
        <v>32</v>
      </c>
      <c r="H2907" s="6" t="s">
        <v>765</v>
      </c>
      <c r="I2907" s="6" t="s">
        <v>767</v>
      </c>
      <c r="J2907" s="6" t="s">
        <v>767</v>
      </c>
      <c r="K2907" s="7">
        <v>6228277</v>
      </c>
      <c r="L2907" s="7">
        <v>338951</v>
      </c>
      <c r="M2907" s="7">
        <v>19</v>
      </c>
      <c r="N2907" s="7">
        <v>1</v>
      </c>
      <c r="O2907" s="7">
        <v>2.9</v>
      </c>
    </row>
    <row r="2908" spans="1:15" x14ac:dyDescent="0.25">
      <c r="A2908" s="6" t="s">
        <v>22</v>
      </c>
      <c r="B2908" s="6" t="s">
        <v>768</v>
      </c>
      <c r="C2908" s="7">
        <v>31114</v>
      </c>
      <c r="D2908" s="6" t="s">
        <v>42</v>
      </c>
      <c r="E2908" s="6" t="s">
        <v>167</v>
      </c>
      <c r="F2908" s="6" t="s">
        <v>167</v>
      </c>
      <c r="G2908" s="6" t="s">
        <v>32</v>
      </c>
      <c r="H2908" s="6" t="s">
        <v>765</v>
      </c>
      <c r="I2908" s="6" t="s">
        <v>767</v>
      </c>
      <c r="J2908" s="6" t="s">
        <v>767</v>
      </c>
      <c r="K2908" s="7">
        <v>6228359</v>
      </c>
      <c r="L2908" s="7">
        <v>336842</v>
      </c>
      <c r="M2908" s="7">
        <v>19</v>
      </c>
      <c r="N2908" s="7">
        <v>1</v>
      </c>
      <c r="O2908" s="7">
        <v>1.0900000000000001</v>
      </c>
    </row>
    <row r="2909" spans="1:15" x14ac:dyDescent="0.25">
      <c r="A2909" s="6" t="s">
        <v>22</v>
      </c>
      <c r="B2909" s="6" t="s">
        <v>768</v>
      </c>
      <c r="C2909" s="7">
        <v>31116</v>
      </c>
      <c r="D2909" s="6" t="s">
        <v>42</v>
      </c>
      <c r="E2909" s="6" t="s">
        <v>167</v>
      </c>
      <c r="F2909" s="6" t="s">
        <v>167</v>
      </c>
      <c r="G2909" s="6" t="s">
        <v>32</v>
      </c>
      <c r="H2909" s="6" t="s">
        <v>765</v>
      </c>
      <c r="I2909" s="6" t="s">
        <v>767</v>
      </c>
      <c r="J2909" s="6" t="s">
        <v>767</v>
      </c>
      <c r="K2909" s="7">
        <v>6227811</v>
      </c>
      <c r="L2909" s="7">
        <v>337916</v>
      </c>
      <c r="M2909" s="7">
        <v>19</v>
      </c>
      <c r="N2909" s="7">
        <v>1</v>
      </c>
      <c r="O2909" s="7">
        <v>3.8</v>
      </c>
    </row>
    <row r="2910" spans="1:15" x14ac:dyDescent="0.25">
      <c r="A2910" s="6" t="s">
        <v>22</v>
      </c>
      <c r="B2910" s="6" t="s">
        <v>768</v>
      </c>
      <c r="C2910" s="7">
        <v>31118</v>
      </c>
      <c r="D2910" s="6" t="s">
        <v>42</v>
      </c>
      <c r="E2910" s="6" t="s">
        <v>167</v>
      </c>
      <c r="F2910" s="6" t="s">
        <v>559</v>
      </c>
      <c r="G2910" s="6" t="s">
        <v>32</v>
      </c>
      <c r="H2910" s="6" t="s">
        <v>765</v>
      </c>
      <c r="I2910" s="6" t="s">
        <v>767</v>
      </c>
      <c r="J2910" s="6" t="s">
        <v>767</v>
      </c>
      <c r="K2910" s="7">
        <v>6224099</v>
      </c>
      <c r="L2910" s="7">
        <v>344012</v>
      </c>
      <c r="M2910" s="7">
        <v>19</v>
      </c>
      <c r="N2910" s="7">
        <v>1</v>
      </c>
      <c r="O2910" s="7">
        <v>1.77</v>
      </c>
    </row>
    <row r="2911" spans="1:15" x14ac:dyDescent="0.25">
      <c r="A2911" s="6" t="s">
        <v>22</v>
      </c>
      <c r="B2911" s="6" t="s">
        <v>768</v>
      </c>
      <c r="C2911" s="7">
        <v>32057</v>
      </c>
      <c r="D2911" s="6" t="s">
        <v>42</v>
      </c>
      <c r="E2911" s="6" t="s">
        <v>167</v>
      </c>
      <c r="F2911" s="6" t="s">
        <v>167</v>
      </c>
      <c r="G2911" s="6" t="s">
        <v>32</v>
      </c>
      <c r="H2911" s="6" t="s">
        <v>765</v>
      </c>
      <c r="I2911" s="6" t="s">
        <v>767</v>
      </c>
      <c r="J2911" s="6" t="s">
        <v>767</v>
      </c>
      <c r="K2911" s="7">
        <v>6228343</v>
      </c>
      <c r="L2911" s="7">
        <v>339006</v>
      </c>
      <c r="M2911" s="7">
        <v>19</v>
      </c>
      <c r="N2911" s="7">
        <v>1</v>
      </c>
      <c r="O2911" s="7">
        <v>1.88</v>
      </c>
    </row>
    <row r="2912" spans="1:15" x14ac:dyDescent="0.25">
      <c r="A2912" s="6" t="s">
        <v>22</v>
      </c>
      <c r="B2912" s="6" t="s">
        <v>768</v>
      </c>
      <c r="C2912" s="7">
        <v>32257</v>
      </c>
      <c r="D2912" s="6" t="s">
        <v>39</v>
      </c>
      <c r="E2912" s="6" t="s">
        <v>72</v>
      </c>
      <c r="F2912" s="6" t="s">
        <v>72</v>
      </c>
      <c r="G2912" s="6" t="s">
        <v>32</v>
      </c>
      <c r="H2912" s="6" t="s">
        <v>765</v>
      </c>
      <c r="I2912" s="6" t="s">
        <v>767</v>
      </c>
      <c r="J2912" s="6" t="s">
        <v>767</v>
      </c>
      <c r="K2912" s="7">
        <v>6068360</v>
      </c>
      <c r="L2912" s="7">
        <v>274071</v>
      </c>
      <c r="M2912" s="7">
        <v>19</v>
      </c>
      <c r="N2912" s="7">
        <v>1</v>
      </c>
      <c r="O2912" s="7">
        <v>0.7</v>
      </c>
    </row>
    <row r="2913" spans="1:15" x14ac:dyDescent="0.25">
      <c r="A2913" s="6" t="s">
        <v>22</v>
      </c>
      <c r="B2913" s="6" t="s">
        <v>768</v>
      </c>
      <c r="C2913" s="7">
        <v>32259</v>
      </c>
      <c r="D2913" s="6" t="s">
        <v>39</v>
      </c>
      <c r="E2913" s="6" t="s">
        <v>72</v>
      </c>
      <c r="F2913" s="6" t="s">
        <v>72</v>
      </c>
      <c r="G2913" s="6" t="s">
        <v>32</v>
      </c>
      <c r="H2913" s="6" t="s">
        <v>765</v>
      </c>
      <c r="I2913" s="6" t="s">
        <v>767</v>
      </c>
      <c r="J2913" s="6" t="s">
        <v>767</v>
      </c>
      <c r="K2913" s="7">
        <v>6068360</v>
      </c>
      <c r="L2913" s="7">
        <v>274071</v>
      </c>
      <c r="M2913" s="7">
        <v>19</v>
      </c>
      <c r="N2913" s="7">
        <v>1</v>
      </c>
      <c r="O2913" s="7">
        <v>1.7</v>
      </c>
    </row>
    <row r="2914" spans="1:15" x14ac:dyDescent="0.25">
      <c r="A2914" s="6" t="s">
        <v>22</v>
      </c>
      <c r="B2914" s="6" t="s">
        <v>768</v>
      </c>
      <c r="C2914" s="7">
        <v>32262</v>
      </c>
      <c r="D2914" s="6" t="s">
        <v>39</v>
      </c>
      <c r="E2914" s="6" t="s">
        <v>72</v>
      </c>
      <c r="F2914" s="6" t="s">
        <v>72</v>
      </c>
      <c r="G2914" s="6" t="s">
        <v>32</v>
      </c>
      <c r="H2914" s="6" t="s">
        <v>765</v>
      </c>
      <c r="I2914" s="6" t="s">
        <v>767</v>
      </c>
      <c r="J2914" s="6" t="s">
        <v>767</v>
      </c>
      <c r="K2914" s="7">
        <v>6068360</v>
      </c>
      <c r="L2914" s="7">
        <v>274071</v>
      </c>
      <c r="M2914" s="7">
        <v>19</v>
      </c>
      <c r="N2914" s="7">
        <v>1</v>
      </c>
      <c r="O2914" s="7">
        <v>0.1</v>
      </c>
    </row>
    <row r="2915" spans="1:15" x14ac:dyDescent="0.25">
      <c r="A2915" s="6" t="s">
        <v>22</v>
      </c>
      <c r="B2915" s="6" t="s">
        <v>768</v>
      </c>
      <c r="C2915" s="7">
        <v>32263</v>
      </c>
      <c r="D2915" s="6" t="s">
        <v>39</v>
      </c>
      <c r="E2915" s="6" t="s">
        <v>72</v>
      </c>
      <c r="F2915" s="6" t="s">
        <v>72</v>
      </c>
      <c r="G2915" s="6" t="s">
        <v>32</v>
      </c>
      <c r="H2915" s="6" t="s">
        <v>765</v>
      </c>
      <c r="I2915" s="6" t="s">
        <v>767</v>
      </c>
      <c r="J2915" s="6" t="s">
        <v>767</v>
      </c>
      <c r="K2915" s="7">
        <v>6068360</v>
      </c>
      <c r="L2915" s="7">
        <v>274071</v>
      </c>
      <c r="M2915" s="7">
        <v>19</v>
      </c>
      <c r="N2915" s="7">
        <v>1</v>
      </c>
      <c r="O2915" s="7">
        <v>0.2</v>
      </c>
    </row>
    <row r="2916" spans="1:15" x14ac:dyDescent="0.25">
      <c r="A2916" s="6" t="s">
        <v>22</v>
      </c>
      <c r="B2916" s="6" t="s">
        <v>768</v>
      </c>
      <c r="C2916" s="7">
        <v>32264</v>
      </c>
      <c r="D2916" s="6" t="s">
        <v>39</v>
      </c>
      <c r="E2916" s="6" t="s">
        <v>72</v>
      </c>
      <c r="F2916" s="6" t="s">
        <v>72</v>
      </c>
      <c r="G2916" s="6" t="s">
        <v>32</v>
      </c>
      <c r="H2916" s="6" t="s">
        <v>765</v>
      </c>
      <c r="I2916" s="6" t="s">
        <v>767</v>
      </c>
      <c r="J2916" s="6" t="s">
        <v>767</v>
      </c>
      <c r="K2916" s="7">
        <v>6068360</v>
      </c>
      <c r="L2916" s="7">
        <v>274071</v>
      </c>
      <c r="M2916" s="7">
        <v>19</v>
      </c>
      <c r="N2916" s="7">
        <v>1</v>
      </c>
      <c r="O2916" s="7">
        <v>0.4</v>
      </c>
    </row>
    <row r="2917" spans="1:15" x14ac:dyDescent="0.25">
      <c r="A2917" s="6" t="s">
        <v>22</v>
      </c>
      <c r="B2917" s="6" t="s">
        <v>768</v>
      </c>
      <c r="C2917" s="7">
        <v>33113</v>
      </c>
      <c r="D2917" s="6" t="s">
        <v>39</v>
      </c>
      <c r="E2917" s="6" t="s">
        <v>70</v>
      </c>
      <c r="F2917" s="6" t="s">
        <v>70</v>
      </c>
      <c r="G2917" s="6" t="s">
        <v>32</v>
      </c>
      <c r="H2917" s="6" t="s">
        <v>765</v>
      </c>
      <c r="I2917" s="6" t="s">
        <v>767</v>
      </c>
      <c r="J2917" s="6" t="s">
        <v>767</v>
      </c>
      <c r="K2917" s="7">
        <v>6078839</v>
      </c>
      <c r="L2917" s="7">
        <v>256816</v>
      </c>
      <c r="M2917" s="7">
        <v>19</v>
      </c>
      <c r="N2917" s="7">
        <v>1</v>
      </c>
      <c r="O2917" s="7">
        <v>0.7</v>
      </c>
    </row>
    <row r="2918" spans="1:15" x14ac:dyDescent="0.25">
      <c r="A2918" s="6" t="s">
        <v>22</v>
      </c>
      <c r="B2918" s="6" t="s">
        <v>768</v>
      </c>
      <c r="C2918" s="7">
        <v>33116</v>
      </c>
      <c r="D2918" s="6" t="s">
        <v>39</v>
      </c>
      <c r="E2918" s="6" t="s">
        <v>83</v>
      </c>
      <c r="F2918" s="6" t="s">
        <v>83</v>
      </c>
      <c r="G2918" s="6" t="s">
        <v>32</v>
      </c>
      <c r="H2918" s="6" t="s">
        <v>765</v>
      </c>
      <c r="I2918" s="6" t="s">
        <v>767</v>
      </c>
      <c r="J2918" s="6" t="s">
        <v>767</v>
      </c>
      <c r="K2918" s="7">
        <v>6083399</v>
      </c>
      <c r="L2918" s="7">
        <v>275631</v>
      </c>
      <c r="M2918" s="7">
        <v>19</v>
      </c>
      <c r="N2918" s="7">
        <v>1</v>
      </c>
      <c r="O2918" s="7">
        <v>0.7</v>
      </c>
    </row>
    <row r="2919" spans="1:15" x14ac:dyDescent="0.25">
      <c r="A2919" s="6" t="s">
        <v>22</v>
      </c>
      <c r="B2919" s="6" t="s">
        <v>768</v>
      </c>
      <c r="C2919" s="7">
        <v>33121</v>
      </c>
      <c r="D2919" s="6" t="s">
        <v>39</v>
      </c>
      <c r="E2919" s="6" t="s">
        <v>72</v>
      </c>
      <c r="F2919" s="6" t="s">
        <v>131</v>
      </c>
      <c r="G2919" s="6" t="s">
        <v>32</v>
      </c>
      <c r="H2919" s="6" t="s">
        <v>765</v>
      </c>
      <c r="I2919" s="6" t="s">
        <v>767</v>
      </c>
      <c r="J2919" s="6" t="s">
        <v>767</v>
      </c>
      <c r="K2919" s="7">
        <v>6068645</v>
      </c>
      <c r="L2919" s="7">
        <v>280762</v>
      </c>
      <c r="M2919" s="7">
        <v>19</v>
      </c>
      <c r="N2919" s="7">
        <v>1</v>
      </c>
      <c r="O2919" s="7">
        <v>0.7</v>
      </c>
    </row>
    <row r="2920" spans="1:15" x14ac:dyDescent="0.25">
      <c r="A2920" s="6" t="s">
        <v>22</v>
      </c>
      <c r="B2920" s="6" t="s">
        <v>768</v>
      </c>
      <c r="C2920" s="7">
        <v>33122</v>
      </c>
      <c r="D2920" s="6" t="s">
        <v>39</v>
      </c>
      <c r="E2920" s="6" t="s">
        <v>72</v>
      </c>
      <c r="F2920" s="6" t="s">
        <v>131</v>
      </c>
      <c r="G2920" s="6" t="s">
        <v>32</v>
      </c>
      <c r="H2920" s="6" t="s">
        <v>765</v>
      </c>
      <c r="I2920" s="6" t="s">
        <v>767</v>
      </c>
      <c r="J2920" s="6" t="s">
        <v>767</v>
      </c>
      <c r="K2920" s="7">
        <v>6068835</v>
      </c>
      <c r="L2920" s="7">
        <v>280376</v>
      </c>
      <c r="M2920" s="7">
        <v>19</v>
      </c>
      <c r="N2920" s="7">
        <v>1</v>
      </c>
      <c r="O2920" s="7">
        <v>0.6</v>
      </c>
    </row>
    <row r="2921" spans="1:15" x14ac:dyDescent="0.25">
      <c r="A2921" s="6" t="s">
        <v>22</v>
      </c>
      <c r="B2921" s="6" t="s">
        <v>768</v>
      </c>
      <c r="C2921" s="7">
        <v>33327</v>
      </c>
      <c r="D2921" s="6" t="s">
        <v>297</v>
      </c>
      <c r="E2921" s="6" t="s">
        <v>298</v>
      </c>
      <c r="F2921" s="6" t="s">
        <v>298</v>
      </c>
      <c r="G2921" s="6" t="s">
        <v>32</v>
      </c>
      <c r="H2921" s="6" t="s">
        <v>765</v>
      </c>
      <c r="I2921" s="6" t="s">
        <v>767</v>
      </c>
      <c r="J2921" s="6" t="s">
        <v>767</v>
      </c>
      <c r="K2921" s="7">
        <v>7949285</v>
      </c>
      <c r="L2921" s="7">
        <v>379922</v>
      </c>
      <c r="M2921" s="7">
        <v>19</v>
      </c>
      <c r="N2921" s="7">
        <v>1</v>
      </c>
      <c r="O2921" s="7">
        <v>0.04</v>
      </c>
    </row>
    <row r="2922" spans="1:15" x14ac:dyDescent="0.25">
      <c r="A2922" s="6" t="s">
        <v>22</v>
      </c>
      <c r="B2922" s="6" t="s">
        <v>768</v>
      </c>
      <c r="C2922" s="7">
        <v>33484</v>
      </c>
      <c r="D2922" s="6" t="s">
        <v>39</v>
      </c>
      <c r="E2922" s="6" t="s">
        <v>72</v>
      </c>
      <c r="F2922" s="6" t="s">
        <v>131</v>
      </c>
      <c r="G2922" s="6" t="s">
        <v>32</v>
      </c>
      <c r="H2922" s="6" t="s">
        <v>765</v>
      </c>
      <c r="I2922" s="6" t="s">
        <v>767</v>
      </c>
      <c r="J2922" s="6" t="s">
        <v>767</v>
      </c>
      <c r="K2922" s="7">
        <v>6064602</v>
      </c>
      <c r="L2922" s="7">
        <v>281300</v>
      </c>
      <c r="M2922" s="7">
        <v>19</v>
      </c>
      <c r="N2922" s="7">
        <v>1</v>
      </c>
      <c r="O2922" s="7">
        <v>0.43</v>
      </c>
    </row>
    <row r="2923" spans="1:15" x14ac:dyDescent="0.25">
      <c r="A2923" s="6" t="s">
        <v>22</v>
      </c>
      <c r="B2923" s="6" t="s">
        <v>768</v>
      </c>
      <c r="C2923" s="7">
        <v>33486</v>
      </c>
      <c r="D2923" s="6" t="s">
        <v>39</v>
      </c>
      <c r="E2923" s="6" t="s">
        <v>72</v>
      </c>
      <c r="F2923" s="6" t="s">
        <v>131</v>
      </c>
      <c r="G2923" s="6" t="s">
        <v>32</v>
      </c>
      <c r="H2923" s="6" t="s">
        <v>765</v>
      </c>
      <c r="I2923" s="6" t="s">
        <v>767</v>
      </c>
      <c r="J2923" s="6" t="s">
        <v>767</v>
      </c>
      <c r="K2923" s="7">
        <v>6064602</v>
      </c>
      <c r="L2923" s="7">
        <v>281300</v>
      </c>
      <c r="M2923" s="7">
        <v>19</v>
      </c>
      <c r="N2923" s="7">
        <v>1</v>
      </c>
      <c r="O2923" s="7">
        <v>0.46</v>
      </c>
    </row>
    <row r="2924" spans="1:15" x14ac:dyDescent="0.25">
      <c r="A2924" s="6" t="s">
        <v>22</v>
      </c>
      <c r="B2924" s="6" t="s">
        <v>768</v>
      </c>
      <c r="C2924" s="7">
        <v>33489</v>
      </c>
      <c r="D2924" s="6" t="s">
        <v>39</v>
      </c>
      <c r="E2924" s="6" t="s">
        <v>72</v>
      </c>
      <c r="F2924" s="6" t="s">
        <v>131</v>
      </c>
      <c r="G2924" s="6" t="s">
        <v>32</v>
      </c>
      <c r="H2924" s="6" t="s">
        <v>765</v>
      </c>
      <c r="I2924" s="6" t="s">
        <v>767</v>
      </c>
      <c r="J2924" s="6" t="s">
        <v>767</v>
      </c>
      <c r="K2924" s="7">
        <v>6064602</v>
      </c>
      <c r="L2924" s="7">
        <v>281300</v>
      </c>
      <c r="M2924" s="7">
        <v>19</v>
      </c>
      <c r="N2924" s="7">
        <v>1</v>
      </c>
      <c r="O2924" s="7">
        <v>0.2</v>
      </c>
    </row>
    <row r="2925" spans="1:15" x14ac:dyDescent="0.25">
      <c r="A2925" s="6" t="s">
        <v>22</v>
      </c>
      <c r="B2925" s="6" t="s">
        <v>768</v>
      </c>
      <c r="C2925" s="7">
        <v>33490</v>
      </c>
      <c r="D2925" s="6" t="s">
        <v>39</v>
      </c>
      <c r="E2925" s="6" t="s">
        <v>72</v>
      </c>
      <c r="F2925" s="6" t="s">
        <v>131</v>
      </c>
      <c r="G2925" s="6" t="s">
        <v>32</v>
      </c>
      <c r="H2925" s="6" t="s">
        <v>765</v>
      </c>
      <c r="I2925" s="6" t="s">
        <v>767</v>
      </c>
      <c r="J2925" s="6" t="s">
        <v>767</v>
      </c>
      <c r="K2925" s="7">
        <v>6064602</v>
      </c>
      <c r="L2925" s="7">
        <v>281300</v>
      </c>
      <c r="M2925" s="7">
        <v>19</v>
      </c>
      <c r="N2925" s="7">
        <v>1</v>
      </c>
      <c r="O2925" s="7">
        <v>0.1</v>
      </c>
    </row>
    <row r="2926" spans="1:15" x14ac:dyDescent="0.25">
      <c r="A2926" s="6" t="s">
        <v>22</v>
      </c>
      <c r="B2926" s="6" t="s">
        <v>768</v>
      </c>
      <c r="C2926" s="7">
        <v>33493</v>
      </c>
      <c r="D2926" s="6" t="s">
        <v>42</v>
      </c>
      <c r="E2926" s="6" t="s">
        <v>167</v>
      </c>
      <c r="F2926" s="6" t="s">
        <v>167</v>
      </c>
      <c r="G2926" s="6" t="s">
        <v>32</v>
      </c>
      <c r="H2926" s="6" t="s">
        <v>765</v>
      </c>
      <c r="I2926" s="6" t="s">
        <v>767</v>
      </c>
      <c r="J2926" s="6" t="s">
        <v>767</v>
      </c>
      <c r="K2926" s="7">
        <v>6228343</v>
      </c>
      <c r="L2926" s="7">
        <v>339006</v>
      </c>
      <c r="M2926" s="7">
        <v>19</v>
      </c>
      <c r="N2926" s="7">
        <v>1</v>
      </c>
      <c r="O2926" s="7">
        <v>0.65</v>
      </c>
    </row>
    <row r="2927" spans="1:15" x14ac:dyDescent="0.25">
      <c r="A2927" s="6" t="s">
        <v>22</v>
      </c>
      <c r="B2927" s="6" t="s">
        <v>768</v>
      </c>
      <c r="C2927" s="7">
        <v>33496</v>
      </c>
      <c r="D2927" s="6" t="s">
        <v>39</v>
      </c>
      <c r="E2927" s="6" t="s">
        <v>72</v>
      </c>
      <c r="F2927" s="6" t="s">
        <v>131</v>
      </c>
      <c r="G2927" s="6" t="s">
        <v>32</v>
      </c>
      <c r="H2927" s="6" t="s">
        <v>765</v>
      </c>
      <c r="I2927" s="6" t="s">
        <v>767</v>
      </c>
      <c r="J2927" s="6" t="s">
        <v>767</v>
      </c>
      <c r="K2927" s="7">
        <v>6064602</v>
      </c>
      <c r="L2927" s="7">
        <v>281300</v>
      </c>
      <c r="M2927" s="7">
        <v>19</v>
      </c>
      <c r="N2927" s="7">
        <v>1</v>
      </c>
      <c r="O2927" s="7">
        <v>0.1</v>
      </c>
    </row>
    <row r="2928" spans="1:15" x14ac:dyDescent="0.25">
      <c r="A2928" s="6" t="s">
        <v>22</v>
      </c>
      <c r="B2928" s="6" t="s">
        <v>768</v>
      </c>
      <c r="C2928" s="7">
        <v>33501</v>
      </c>
      <c r="D2928" s="6" t="s">
        <v>39</v>
      </c>
      <c r="E2928" s="6" t="s">
        <v>72</v>
      </c>
      <c r="F2928" s="6" t="s">
        <v>131</v>
      </c>
      <c r="G2928" s="6" t="s">
        <v>32</v>
      </c>
      <c r="H2928" s="6" t="s">
        <v>765</v>
      </c>
      <c r="I2928" s="6" t="s">
        <v>767</v>
      </c>
      <c r="J2928" s="6" t="s">
        <v>767</v>
      </c>
      <c r="K2928" s="7">
        <v>6068157</v>
      </c>
      <c r="L2928" s="7">
        <v>280065</v>
      </c>
      <c r="M2928" s="7">
        <v>19</v>
      </c>
      <c r="N2928" s="7">
        <v>1</v>
      </c>
      <c r="O2928" s="7">
        <v>2</v>
      </c>
    </row>
    <row r="2929" spans="1:15" x14ac:dyDescent="0.25">
      <c r="A2929" s="6" t="s">
        <v>22</v>
      </c>
      <c r="B2929" s="6" t="s">
        <v>768</v>
      </c>
      <c r="C2929" s="7">
        <v>33502</v>
      </c>
      <c r="D2929" s="6" t="s">
        <v>42</v>
      </c>
      <c r="E2929" s="6" t="s">
        <v>167</v>
      </c>
      <c r="F2929" s="6" t="s">
        <v>167</v>
      </c>
      <c r="G2929" s="6" t="s">
        <v>32</v>
      </c>
      <c r="H2929" s="6" t="s">
        <v>765</v>
      </c>
      <c r="I2929" s="6" t="s">
        <v>767</v>
      </c>
      <c r="J2929" s="6" t="s">
        <v>767</v>
      </c>
      <c r="K2929" s="7">
        <v>6227811</v>
      </c>
      <c r="L2929" s="7">
        <v>337916</v>
      </c>
      <c r="M2929" s="7">
        <v>19</v>
      </c>
      <c r="N2929" s="7">
        <v>1</v>
      </c>
      <c r="O2929" s="7">
        <v>4.66</v>
      </c>
    </row>
    <row r="2930" spans="1:15" x14ac:dyDescent="0.25">
      <c r="A2930" s="6" t="s">
        <v>22</v>
      </c>
      <c r="B2930" s="6" t="s">
        <v>768</v>
      </c>
      <c r="C2930" s="7">
        <v>33505</v>
      </c>
      <c r="D2930" s="6" t="s">
        <v>39</v>
      </c>
      <c r="E2930" s="6" t="s">
        <v>72</v>
      </c>
      <c r="F2930" s="6" t="s">
        <v>71</v>
      </c>
      <c r="G2930" s="6" t="s">
        <v>32</v>
      </c>
      <c r="H2930" s="6" t="s">
        <v>765</v>
      </c>
      <c r="I2930" s="6" t="s">
        <v>767</v>
      </c>
      <c r="J2930" s="6" t="s">
        <v>767</v>
      </c>
      <c r="K2930" s="7">
        <v>6073852</v>
      </c>
      <c r="L2930" s="7">
        <v>287828</v>
      </c>
      <c r="M2930" s="7">
        <v>19</v>
      </c>
      <c r="N2930" s="7">
        <v>1</v>
      </c>
      <c r="O2930" s="7">
        <v>2</v>
      </c>
    </row>
    <row r="2931" spans="1:15" x14ac:dyDescent="0.25">
      <c r="A2931" s="6" t="s">
        <v>22</v>
      </c>
      <c r="B2931" s="6" t="s">
        <v>768</v>
      </c>
      <c r="C2931" s="7">
        <v>33513</v>
      </c>
      <c r="D2931" s="6" t="s">
        <v>39</v>
      </c>
      <c r="E2931" s="6" t="s">
        <v>72</v>
      </c>
      <c r="F2931" s="6" t="s">
        <v>131</v>
      </c>
      <c r="G2931" s="6" t="s">
        <v>32</v>
      </c>
      <c r="H2931" s="6" t="s">
        <v>765</v>
      </c>
      <c r="I2931" s="6" t="s">
        <v>767</v>
      </c>
      <c r="J2931" s="6" t="s">
        <v>767</v>
      </c>
      <c r="K2931" s="7">
        <v>6065000</v>
      </c>
      <c r="L2931" s="7">
        <v>285050</v>
      </c>
      <c r="M2931" s="7">
        <v>19</v>
      </c>
      <c r="N2931" s="7">
        <v>1</v>
      </c>
      <c r="O2931" s="7">
        <v>0.5</v>
      </c>
    </row>
    <row r="2932" spans="1:15" x14ac:dyDescent="0.25">
      <c r="A2932" s="6" t="s">
        <v>22</v>
      </c>
      <c r="B2932" s="6" t="s">
        <v>768</v>
      </c>
      <c r="C2932" s="7">
        <v>33664</v>
      </c>
      <c r="D2932" s="6" t="s">
        <v>39</v>
      </c>
      <c r="E2932" s="6" t="s">
        <v>72</v>
      </c>
      <c r="F2932" s="6" t="s">
        <v>131</v>
      </c>
      <c r="G2932" s="6" t="s">
        <v>32</v>
      </c>
      <c r="H2932" s="6" t="s">
        <v>765</v>
      </c>
      <c r="I2932" s="6" t="s">
        <v>767</v>
      </c>
      <c r="J2932" s="6" t="s">
        <v>767</v>
      </c>
      <c r="K2932" s="7">
        <v>6067748</v>
      </c>
      <c r="L2932" s="7">
        <v>280112</v>
      </c>
      <c r="M2932" s="7">
        <v>19</v>
      </c>
      <c r="N2932" s="7">
        <v>1</v>
      </c>
      <c r="O2932" s="7">
        <v>1.1000000000000001</v>
      </c>
    </row>
    <row r="2933" spans="1:15" x14ac:dyDescent="0.25">
      <c r="A2933" s="6" t="s">
        <v>22</v>
      </c>
      <c r="B2933" s="6" t="s">
        <v>768</v>
      </c>
      <c r="C2933" s="7">
        <v>33667</v>
      </c>
      <c r="D2933" s="6" t="s">
        <v>39</v>
      </c>
      <c r="E2933" s="6" t="s">
        <v>72</v>
      </c>
      <c r="F2933" s="6" t="s">
        <v>131</v>
      </c>
      <c r="G2933" s="6" t="s">
        <v>32</v>
      </c>
      <c r="H2933" s="6" t="s">
        <v>765</v>
      </c>
      <c r="I2933" s="6" t="s">
        <v>767</v>
      </c>
      <c r="J2933" s="6" t="s">
        <v>767</v>
      </c>
      <c r="K2933" s="7">
        <v>6071356</v>
      </c>
      <c r="L2933" s="7">
        <v>283486</v>
      </c>
      <c r="M2933" s="7">
        <v>19</v>
      </c>
      <c r="N2933" s="7">
        <v>1</v>
      </c>
      <c r="O2933" s="7">
        <v>0.86</v>
      </c>
    </row>
    <row r="2934" spans="1:15" x14ac:dyDescent="0.25">
      <c r="A2934" s="6" t="s">
        <v>22</v>
      </c>
      <c r="B2934" s="6" t="s">
        <v>768</v>
      </c>
      <c r="C2934" s="7">
        <v>33670</v>
      </c>
      <c r="D2934" s="6" t="s">
        <v>39</v>
      </c>
      <c r="E2934" s="6" t="s">
        <v>70</v>
      </c>
      <c r="F2934" s="6" t="s">
        <v>70</v>
      </c>
      <c r="G2934" s="6" t="s">
        <v>32</v>
      </c>
      <c r="H2934" s="6" t="s">
        <v>765</v>
      </c>
      <c r="I2934" s="6" t="s">
        <v>767</v>
      </c>
      <c r="J2934" s="6" t="s">
        <v>767</v>
      </c>
      <c r="K2934" s="7">
        <v>6078691</v>
      </c>
      <c r="L2934" s="7">
        <v>263841</v>
      </c>
      <c r="M2934" s="7">
        <v>19</v>
      </c>
      <c r="N2934" s="7">
        <v>1</v>
      </c>
      <c r="O2934" s="7">
        <v>0.7</v>
      </c>
    </row>
    <row r="2935" spans="1:15" x14ac:dyDescent="0.25">
      <c r="A2935" s="6" t="s">
        <v>22</v>
      </c>
      <c r="B2935" s="6" t="s">
        <v>768</v>
      </c>
      <c r="C2935" s="7">
        <v>33673</v>
      </c>
      <c r="D2935" s="6" t="s">
        <v>39</v>
      </c>
      <c r="E2935" s="6" t="s">
        <v>80</v>
      </c>
      <c r="F2935" s="6" t="s">
        <v>80</v>
      </c>
      <c r="G2935" s="6" t="s">
        <v>32</v>
      </c>
      <c r="H2935" s="6" t="s">
        <v>765</v>
      </c>
      <c r="I2935" s="6" t="s">
        <v>767</v>
      </c>
      <c r="J2935" s="6" t="s">
        <v>767</v>
      </c>
      <c r="K2935" s="7">
        <v>6078580</v>
      </c>
      <c r="L2935" s="7">
        <v>275576</v>
      </c>
      <c r="M2935" s="7">
        <v>19</v>
      </c>
      <c r="N2935" s="7">
        <v>1</v>
      </c>
      <c r="O2935" s="7">
        <v>1.7</v>
      </c>
    </row>
    <row r="2936" spans="1:15" x14ac:dyDescent="0.25">
      <c r="A2936" s="6" t="s">
        <v>22</v>
      </c>
      <c r="B2936" s="6" t="s">
        <v>768</v>
      </c>
      <c r="C2936" s="7">
        <v>33733</v>
      </c>
      <c r="D2936" s="6" t="s">
        <v>42</v>
      </c>
      <c r="E2936" s="6" t="s">
        <v>167</v>
      </c>
      <c r="F2936" s="6" t="s">
        <v>167</v>
      </c>
      <c r="G2936" s="6" t="s">
        <v>89</v>
      </c>
      <c r="H2936" s="6" t="s">
        <v>765</v>
      </c>
      <c r="I2936" s="6" t="s">
        <v>767</v>
      </c>
      <c r="J2936" s="6" t="s">
        <v>767</v>
      </c>
      <c r="K2936" s="7">
        <v>6227735</v>
      </c>
      <c r="L2936" s="7">
        <v>338595</v>
      </c>
      <c r="M2936" s="7">
        <v>19</v>
      </c>
      <c r="N2936" s="7">
        <v>1</v>
      </c>
      <c r="O2936" s="7">
        <v>0.03</v>
      </c>
    </row>
    <row r="2937" spans="1:15" x14ac:dyDescent="0.25">
      <c r="A2937" s="6" t="s">
        <v>22</v>
      </c>
      <c r="B2937" s="6" t="s">
        <v>768</v>
      </c>
      <c r="C2937" s="7">
        <v>33735</v>
      </c>
      <c r="D2937" s="6" t="s">
        <v>42</v>
      </c>
      <c r="E2937" s="6" t="s">
        <v>167</v>
      </c>
      <c r="F2937" s="6" t="s">
        <v>167</v>
      </c>
      <c r="G2937" s="6" t="s">
        <v>89</v>
      </c>
      <c r="H2937" s="6" t="s">
        <v>765</v>
      </c>
      <c r="I2937" s="6" t="s">
        <v>767</v>
      </c>
      <c r="J2937" s="6" t="s">
        <v>767</v>
      </c>
      <c r="K2937" s="7">
        <v>6227735</v>
      </c>
      <c r="L2937" s="7">
        <v>338595</v>
      </c>
      <c r="M2937" s="7">
        <v>19</v>
      </c>
      <c r="N2937" s="7">
        <v>1</v>
      </c>
      <c r="O2937" s="7">
        <v>0.08</v>
      </c>
    </row>
    <row r="2938" spans="1:15" x14ac:dyDescent="0.25">
      <c r="A2938" s="6" t="s">
        <v>22</v>
      </c>
      <c r="B2938" s="6" t="s">
        <v>768</v>
      </c>
      <c r="C2938" s="7">
        <v>33737</v>
      </c>
      <c r="D2938" s="6" t="s">
        <v>42</v>
      </c>
      <c r="E2938" s="6" t="s">
        <v>167</v>
      </c>
      <c r="F2938" s="6" t="s">
        <v>167</v>
      </c>
      <c r="G2938" s="6" t="s">
        <v>89</v>
      </c>
      <c r="H2938" s="6" t="s">
        <v>765</v>
      </c>
      <c r="I2938" s="6" t="s">
        <v>767</v>
      </c>
      <c r="J2938" s="6" t="s">
        <v>767</v>
      </c>
      <c r="K2938" s="7">
        <v>6227923</v>
      </c>
      <c r="L2938" s="7">
        <v>337648</v>
      </c>
      <c r="M2938" s="7">
        <v>19</v>
      </c>
      <c r="N2938" s="7">
        <v>1</v>
      </c>
      <c r="O2938" s="7">
        <v>0.03</v>
      </c>
    </row>
    <row r="2939" spans="1:15" x14ac:dyDescent="0.25">
      <c r="A2939" s="6" t="s">
        <v>22</v>
      </c>
      <c r="B2939" s="6" t="s">
        <v>768</v>
      </c>
      <c r="C2939" s="7">
        <v>33739</v>
      </c>
      <c r="D2939" s="6" t="s">
        <v>42</v>
      </c>
      <c r="E2939" s="6" t="s">
        <v>167</v>
      </c>
      <c r="F2939" s="6" t="s">
        <v>167</v>
      </c>
      <c r="G2939" s="6" t="s">
        <v>89</v>
      </c>
      <c r="H2939" s="6" t="s">
        <v>765</v>
      </c>
      <c r="I2939" s="6" t="s">
        <v>767</v>
      </c>
      <c r="J2939" s="6" t="s">
        <v>767</v>
      </c>
      <c r="K2939" s="7">
        <v>6227923</v>
      </c>
      <c r="L2939" s="7">
        <v>337648</v>
      </c>
      <c r="M2939" s="7">
        <v>19</v>
      </c>
      <c r="N2939" s="7">
        <v>1</v>
      </c>
      <c r="O2939" s="7">
        <v>6.82</v>
      </c>
    </row>
    <row r="2940" spans="1:15" x14ac:dyDescent="0.25">
      <c r="A2940" s="6" t="s">
        <v>22</v>
      </c>
      <c r="B2940" s="6" t="s">
        <v>768</v>
      </c>
      <c r="C2940" s="7">
        <v>33854</v>
      </c>
      <c r="D2940" s="6" t="s">
        <v>42</v>
      </c>
      <c r="E2940" s="6" t="s">
        <v>167</v>
      </c>
      <c r="F2940" s="6" t="s">
        <v>167</v>
      </c>
      <c r="G2940" s="6" t="s">
        <v>89</v>
      </c>
      <c r="H2940" s="6" t="s">
        <v>765</v>
      </c>
      <c r="I2940" s="6" t="s">
        <v>767</v>
      </c>
      <c r="J2940" s="6" t="s">
        <v>767</v>
      </c>
      <c r="K2940" s="7">
        <v>6227694</v>
      </c>
      <c r="L2940" s="7">
        <v>338689</v>
      </c>
      <c r="M2940" s="7">
        <v>19</v>
      </c>
      <c r="N2940" s="7">
        <v>1</v>
      </c>
      <c r="O2940" s="7">
        <v>0.01</v>
      </c>
    </row>
    <row r="2941" spans="1:15" x14ac:dyDescent="0.25">
      <c r="A2941" s="6" t="s">
        <v>22</v>
      </c>
      <c r="B2941" s="6" t="s">
        <v>768</v>
      </c>
      <c r="C2941" s="7">
        <v>33857</v>
      </c>
      <c r="D2941" s="6" t="s">
        <v>42</v>
      </c>
      <c r="E2941" s="6" t="s">
        <v>167</v>
      </c>
      <c r="F2941" s="6" t="s">
        <v>167</v>
      </c>
      <c r="G2941" s="6" t="s">
        <v>89</v>
      </c>
      <c r="H2941" s="6" t="s">
        <v>765</v>
      </c>
      <c r="I2941" s="6" t="s">
        <v>767</v>
      </c>
      <c r="J2941" s="6" t="s">
        <v>767</v>
      </c>
      <c r="K2941" s="7">
        <v>6227636</v>
      </c>
      <c r="L2941" s="7">
        <v>338766</v>
      </c>
      <c r="M2941" s="7">
        <v>19</v>
      </c>
      <c r="N2941" s="7">
        <v>1</v>
      </c>
      <c r="O2941" s="7">
        <v>0.59</v>
      </c>
    </row>
    <row r="2942" spans="1:15" x14ac:dyDescent="0.25">
      <c r="A2942" s="6" t="s">
        <v>22</v>
      </c>
      <c r="B2942" s="6" t="s">
        <v>768</v>
      </c>
      <c r="C2942" s="7">
        <v>33911</v>
      </c>
      <c r="D2942" s="6" t="s">
        <v>42</v>
      </c>
      <c r="E2942" s="6" t="s">
        <v>167</v>
      </c>
      <c r="F2942" s="6" t="s">
        <v>167</v>
      </c>
      <c r="G2942" s="6" t="s">
        <v>32</v>
      </c>
      <c r="H2942" s="6" t="s">
        <v>765</v>
      </c>
      <c r="I2942" s="6" t="s">
        <v>767</v>
      </c>
      <c r="J2942" s="6" t="s">
        <v>767</v>
      </c>
      <c r="K2942" s="7">
        <v>6228359</v>
      </c>
      <c r="L2942" s="7">
        <v>336842</v>
      </c>
      <c r="M2942" s="7">
        <v>19</v>
      </c>
      <c r="N2942" s="7">
        <v>1</v>
      </c>
      <c r="O2942" s="7">
        <v>1.0900000000000001</v>
      </c>
    </row>
    <row r="2943" spans="1:15" x14ac:dyDescent="0.25">
      <c r="A2943" s="6" t="s">
        <v>22</v>
      </c>
      <c r="B2943" s="6" t="s">
        <v>768</v>
      </c>
      <c r="C2943" s="7">
        <v>33955</v>
      </c>
      <c r="D2943" s="6" t="s">
        <v>297</v>
      </c>
      <c r="E2943" s="6" t="s">
        <v>298</v>
      </c>
      <c r="F2943" s="6" t="s">
        <v>298</v>
      </c>
      <c r="G2943" s="6" t="s">
        <v>89</v>
      </c>
      <c r="H2943" s="6" t="s">
        <v>765</v>
      </c>
      <c r="I2943" s="6" t="s">
        <v>767</v>
      </c>
      <c r="J2943" s="6" t="s">
        <v>767</v>
      </c>
      <c r="K2943" s="7">
        <v>7949530</v>
      </c>
      <c r="L2943" s="7">
        <v>379774</v>
      </c>
      <c r="M2943" s="7">
        <v>19</v>
      </c>
      <c r="N2943" s="7">
        <v>1</v>
      </c>
      <c r="O2943" s="7">
        <v>0.01</v>
      </c>
    </row>
    <row r="2944" spans="1:15" x14ac:dyDescent="0.25">
      <c r="A2944" s="6" t="s">
        <v>22</v>
      </c>
      <c r="B2944" s="6" t="s">
        <v>768</v>
      </c>
      <c r="C2944" s="7">
        <v>33984</v>
      </c>
      <c r="D2944" s="6" t="s">
        <v>39</v>
      </c>
      <c r="E2944" s="6" t="s">
        <v>72</v>
      </c>
      <c r="F2944" s="6" t="s">
        <v>72</v>
      </c>
      <c r="G2944" s="6" t="s">
        <v>32</v>
      </c>
      <c r="H2944" s="6" t="s">
        <v>765</v>
      </c>
      <c r="I2944" s="6" t="s">
        <v>767</v>
      </c>
      <c r="J2944" s="6" t="s">
        <v>767</v>
      </c>
      <c r="K2944" s="7">
        <v>6068360</v>
      </c>
      <c r="L2944" s="7">
        <v>274071</v>
      </c>
      <c r="M2944" s="7">
        <v>19</v>
      </c>
      <c r="N2944" s="7">
        <v>1</v>
      </c>
      <c r="O2944" s="7">
        <v>0.3</v>
      </c>
    </row>
    <row r="2945" spans="1:15" x14ac:dyDescent="0.25">
      <c r="A2945" s="6" t="s">
        <v>22</v>
      </c>
      <c r="B2945" s="6" t="s">
        <v>768</v>
      </c>
      <c r="C2945" s="7">
        <v>33985</v>
      </c>
      <c r="D2945" s="6" t="s">
        <v>39</v>
      </c>
      <c r="E2945" s="6" t="s">
        <v>72</v>
      </c>
      <c r="F2945" s="6" t="s">
        <v>72</v>
      </c>
      <c r="G2945" s="6" t="s">
        <v>32</v>
      </c>
      <c r="H2945" s="6" t="s">
        <v>765</v>
      </c>
      <c r="I2945" s="6" t="s">
        <v>767</v>
      </c>
      <c r="J2945" s="6" t="s">
        <v>767</v>
      </c>
      <c r="K2945" s="7">
        <v>6068360</v>
      </c>
      <c r="L2945" s="7">
        <v>274071</v>
      </c>
      <c r="M2945" s="7">
        <v>19</v>
      </c>
      <c r="N2945" s="7">
        <v>1</v>
      </c>
      <c r="O2945" s="7">
        <v>0.2</v>
      </c>
    </row>
    <row r="2946" spans="1:15" x14ac:dyDescent="0.25">
      <c r="A2946" s="6" t="s">
        <v>22</v>
      </c>
      <c r="B2946" s="6" t="s">
        <v>768</v>
      </c>
      <c r="C2946" s="7">
        <v>33986</v>
      </c>
      <c r="D2946" s="6" t="s">
        <v>42</v>
      </c>
      <c r="E2946" s="6" t="s">
        <v>167</v>
      </c>
      <c r="F2946" s="6" t="s">
        <v>167</v>
      </c>
      <c r="G2946" s="6" t="s">
        <v>89</v>
      </c>
      <c r="H2946" s="6" t="s">
        <v>765</v>
      </c>
      <c r="I2946" s="6" t="s">
        <v>767</v>
      </c>
      <c r="J2946" s="6" t="s">
        <v>767</v>
      </c>
      <c r="K2946" s="7">
        <v>6227735</v>
      </c>
      <c r="L2946" s="7">
        <v>338595</v>
      </c>
      <c r="M2946" s="7">
        <v>19</v>
      </c>
      <c r="N2946" s="7">
        <v>1</v>
      </c>
      <c r="O2946" s="7">
        <v>0.38</v>
      </c>
    </row>
    <row r="2947" spans="1:15" x14ac:dyDescent="0.25">
      <c r="A2947" s="6" t="s">
        <v>22</v>
      </c>
      <c r="B2947" s="6" t="s">
        <v>768</v>
      </c>
      <c r="C2947" s="7">
        <v>34129</v>
      </c>
      <c r="D2947" s="6" t="s">
        <v>297</v>
      </c>
      <c r="E2947" s="6" t="s">
        <v>298</v>
      </c>
      <c r="F2947" s="6" t="s">
        <v>298</v>
      </c>
      <c r="G2947" s="6" t="s">
        <v>89</v>
      </c>
      <c r="H2947" s="6" t="s">
        <v>765</v>
      </c>
      <c r="I2947" s="6" t="s">
        <v>767</v>
      </c>
      <c r="J2947" s="6" t="s">
        <v>767</v>
      </c>
      <c r="K2947" s="7">
        <v>7949530</v>
      </c>
      <c r="L2947" s="7">
        <v>379774</v>
      </c>
      <c r="M2947" s="7">
        <v>19</v>
      </c>
      <c r="N2947" s="7">
        <v>1</v>
      </c>
      <c r="O2947" s="7">
        <v>0.01</v>
      </c>
    </row>
    <row r="2948" spans="1:15" x14ac:dyDescent="0.25">
      <c r="A2948" s="6" t="s">
        <v>22</v>
      </c>
      <c r="B2948" s="6" t="s">
        <v>768</v>
      </c>
      <c r="C2948" s="7">
        <v>34234</v>
      </c>
      <c r="D2948" s="6" t="s">
        <v>42</v>
      </c>
      <c r="E2948" s="6" t="s">
        <v>167</v>
      </c>
      <c r="F2948" s="6" t="s">
        <v>167</v>
      </c>
      <c r="G2948" s="6" t="s">
        <v>32</v>
      </c>
      <c r="H2948" s="6" t="s">
        <v>765</v>
      </c>
      <c r="I2948" s="6" t="s">
        <v>767</v>
      </c>
      <c r="J2948" s="6" t="s">
        <v>767</v>
      </c>
      <c r="K2948" s="7">
        <v>6228334</v>
      </c>
      <c r="L2948" s="7">
        <v>336850</v>
      </c>
      <c r="M2948" s="7">
        <v>19</v>
      </c>
      <c r="N2948" s="7">
        <v>1</v>
      </c>
      <c r="O2948" s="7">
        <v>0.16</v>
      </c>
    </row>
    <row r="2949" spans="1:15" x14ac:dyDescent="0.25">
      <c r="A2949" s="6" t="s">
        <v>22</v>
      </c>
      <c r="B2949" s="6" t="s">
        <v>768</v>
      </c>
      <c r="C2949" s="7">
        <v>34235</v>
      </c>
      <c r="D2949" s="6" t="s">
        <v>42</v>
      </c>
      <c r="E2949" s="6" t="s">
        <v>167</v>
      </c>
      <c r="F2949" s="6" t="s">
        <v>167</v>
      </c>
      <c r="G2949" s="6" t="s">
        <v>32</v>
      </c>
      <c r="H2949" s="6" t="s">
        <v>765</v>
      </c>
      <c r="I2949" s="6" t="s">
        <v>767</v>
      </c>
      <c r="J2949" s="6" t="s">
        <v>767</v>
      </c>
      <c r="K2949" s="7">
        <v>6227831</v>
      </c>
      <c r="L2949" s="7">
        <v>337930</v>
      </c>
      <c r="M2949" s="7">
        <v>19</v>
      </c>
      <c r="N2949" s="7">
        <v>1</v>
      </c>
      <c r="O2949" s="7">
        <v>1.32</v>
      </c>
    </row>
    <row r="2950" spans="1:15" x14ac:dyDescent="0.25">
      <c r="A2950" s="6" t="s">
        <v>22</v>
      </c>
      <c r="B2950" s="6" t="s">
        <v>768</v>
      </c>
      <c r="C2950" s="7">
        <v>34236</v>
      </c>
      <c r="D2950" s="6" t="s">
        <v>42</v>
      </c>
      <c r="E2950" s="6" t="s">
        <v>167</v>
      </c>
      <c r="F2950" s="6" t="s">
        <v>167</v>
      </c>
      <c r="G2950" s="6" t="s">
        <v>32</v>
      </c>
      <c r="H2950" s="6" t="s">
        <v>765</v>
      </c>
      <c r="I2950" s="6" t="s">
        <v>767</v>
      </c>
      <c r="J2950" s="6" t="s">
        <v>767</v>
      </c>
      <c r="K2950" s="7">
        <v>6227928</v>
      </c>
      <c r="L2950" s="7">
        <v>338000</v>
      </c>
      <c r="M2950" s="7">
        <v>19</v>
      </c>
      <c r="N2950" s="7">
        <v>1</v>
      </c>
      <c r="O2950" s="7">
        <v>2.44</v>
      </c>
    </row>
    <row r="2951" spans="1:15" x14ac:dyDescent="0.25">
      <c r="A2951" s="6" t="s">
        <v>22</v>
      </c>
      <c r="B2951" s="6" t="s">
        <v>768</v>
      </c>
      <c r="C2951" s="7">
        <v>34237</v>
      </c>
      <c r="D2951" s="6" t="s">
        <v>42</v>
      </c>
      <c r="E2951" s="6" t="s">
        <v>167</v>
      </c>
      <c r="F2951" s="6" t="s">
        <v>559</v>
      </c>
      <c r="G2951" s="6" t="s">
        <v>32</v>
      </c>
      <c r="H2951" s="6" t="s">
        <v>765</v>
      </c>
      <c r="I2951" s="6" t="s">
        <v>767</v>
      </c>
      <c r="J2951" s="6" t="s">
        <v>767</v>
      </c>
      <c r="K2951" s="7">
        <v>6224081</v>
      </c>
      <c r="L2951" s="7">
        <v>343897</v>
      </c>
      <c r="M2951" s="7">
        <v>19</v>
      </c>
      <c r="N2951" s="7">
        <v>1</v>
      </c>
      <c r="O2951" s="7">
        <v>1.67</v>
      </c>
    </row>
    <row r="2952" spans="1:15" x14ac:dyDescent="0.25">
      <c r="A2952" s="6" t="s">
        <v>22</v>
      </c>
      <c r="B2952" s="6" t="s">
        <v>768</v>
      </c>
      <c r="C2952" s="7">
        <v>34480</v>
      </c>
      <c r="D2952" s="6" t="s">
        <v>42</v>
      </c>
      <c r="E2952" s="6" t="s">
        <v>167</v>
      </c>
      <c r="F2952" s="6" t="s">
        <v>167</v>
      </c>
      <c r="G2952" s="6" t="s">
        <v>89</v>
      </c>
      <c r="H2952" s="6" t="s">
        <v>765</v>
      </c>
      <c r="I2952" s="6" t="s">
        <v>767</v>
      </c>
      <c r="J2952" s="6" t="s">
        <v>767</v>
      </c>
      <c r="K2952" s="7">
        <v>6228073</v>
      </c>
      <c r="L2952" s="7">
        <v>338430</v>
      </c>
      <c r="M2952" s="7">
        <v>19</v>
      </c>
      <c r="N2952" s="7">
        <v>1</v>
      </c>
      <c r="O2952" s="7">
        <v>0.7</v>
      </c>
    </row>
    <row r="2953" spans="1:15" x14ac:dyDescent="0.25">
      <c r="A2953" s="6" t="s">
        <v>22</v>
      </c>
      <c r="B2953" s="6" t="s">
        <v>768</v>
      </c>
      <c r="C2953" s="7">
        <v>34483</v>
      </c>
      <c r="D2953" s="6" t="s">
        <v>42</v>
      </c>
      <c r="E2953" s="6" t="s">
        <v>167</v>
      </c>
      <c r="F2953" s="6" t="s">
        <v>167</v>
      </c>
      <c r="G2953" s="6" t="s">
        <v>89</v>
      </c>
      <c r="H2953" s="6" t="s">
        <v>765</v>
      </c>
      <c r="I2953" s="6" t="s">
        <v>767</v>
      </c>
      <c r="J2953" s="6" t="s">
        <v>767</v>
      </c>
      <c r="K2953" s="7">
        <v>6227965</v>
      </c>
      <c r="L2953" s="7">
        <v>337504</v>
      </c>
      <c r="M2953" s="7">
        <v>19</v>
      </c>
      <c r="N2953" s="7">
        <v>1</v>
      </c>
      <c r="O2953" s="7">
        <v>0.99</v>
      </c>
    </row>
    <row r="2954" spans="1:15" x14ac:dyDescent="0.25">
      <c r="A2954" s="6" t="s">
        <v>22</v>
      </c>
      <c r="B2954" s="6" t="s">
        <v>768</v>
      </c>
      <c r="C2954" s="7">
        <v>34572</v>
      </c>
      <c r="D2954" s="6" t="s">
        <v>42</v>
      </c>
      <c r="E2954" s="6" t="s">
        <v>167</v>
      </c>
      <c r="F2954" s="6" t="s">
        <v>167</v>
      </c>
      <c r="G2954" s="6" t="s">
        <v>89</v>
      </c>
      <c r="H2954" s="6" t="s">
        <v>765</v>
      </c>
      <c r="I2954" s="6" t="s">
        <v>767</v>
      </c>
      <c r="J2954" s="6" t="s">
        <v>767</v>
      </c>
      <c r="K2954" s="7">
        <v>6227758</v>
      </c>
      <c r="L2954" s="7">
        <v>337718</v>
      </c>
      <c r="M2954" s="7">
        <v>19</v>
      </c>
      <c r="N2954" s="7">
        <v>1</v>
      </c>
      <c r="O2954" s="7">
        <v>0.65</v>
      </c>
    </row>
    <row r="2955" spans="1:15" x14ac:dyDescent="0.25">
      <c r="A2955" s="6" t="s">
        <v>22</v>
      </c>
      <c r="B2955" s="6" t="s">
        <v>768</v>
      </c>
      <c r="C2955" s="7">
        <v>34606</v>
      </c>
      <c r="D2955" s="6" t="s">
        <v>42</v>
      </c>
      <c r="E2955" s="6" t="s">
        <v>167</v>
      </c>
      <c r="F2955" s="6" t="s">
        <v>167</v>
      </c>
      <c r="G2955" s="6" t="s">
        <v>32</v>
      </c>
      <c r="H2955" s="6" t="s">
        <v>765</v>
      </c>
      <c r="I2955" s="6" t="s">
        <v>767</v>
      </c>
      <c r="J2955" s="6" t="s">
        <v>767</v>
      </c>
      <c r="K2955" s="7">
        <v>6228312</v>
      </c>
      <c r="L2955" s="7">
        <v>338853</v>
      </c>
      <c r="M2955" s="7">
        <v>19</v>
      </c>
      <c r="N2955" s="7">
        <v>1</v>
      </c>
      <c r="O2955" s="7">
        <v>0.25</v>
      </c>
    </row>
    <row r="2956" spans="1:15" x14ac:dyDescent="0.25">
      <c r="A2956" s="6" t="s">
        <v>22</v>
      </c>
      <c r="B2956" s="6" t="s">
        <v>768</v>
      </c>
      <c r="C2956" s="7">
        <v>34609</v>
      </c>
      <c r="D2956" s="6" t="s">
        <v>42</v>
      </c>
      <c r="E2956" s="6" t="s">
        <v>167</v>
      </c>
      <c r="F2956" s="6" t="s">
        <v>167</v>
      </c>
      <c r="G2956" s="6" t="s">
        <v>32</v>
      </c>
      <c r="H2956" s="6" t="s">
        <v>765</v>
      </c>
      <c r="I2956" s="6" t="s">
        <v>767</v>
      </c>
      <c r="J2956" s="6" t="s">
        <v>767</v>
      </c>
      <c r="K2956" s="7">
        <v>6227684</v>
      </c>
      <c r="L2956" s="7">
        <v>338932</v>
      </c>
      <c r="M2956" s="7">
        <v>19</v>
      </c>
      <c r="N2956" s="7">
        <v>1</v>
      </c>
      <c r="O2956" s="7">
        <v>3.11</v>
      </c>
    </row>
    <row r="2957" spans="1:15" x14ac:dyDescent="0.25">
      <c r="A2957" s="6" t="s">
        <v>22</v>
      </c>
      <c r="B2957" s="6" t="s">
        <v>768</v>
      </c>
      <c r="C2957" s="7">
        <v>34615</v>
      </c>
      <c r="D2957" s="6" t="s">
        <v>42</v>
      </c>
      <c r="E2957" s="6" t="s">
        <v>167</v>
      </c>
      <c r="F2957" s="6" t="s">
        <v>167</v>
      </c>
      <c r="G2957" s="6" t="s">
        <v>32</v>
      </c>
      <c r="H2957" s="6" t="s">
        <v>765</v>
      </c>
      <c r="I2957" s="6" t="s">
        <v>767</v>
      </c>
      <c r="J2957" s="6" t="s">
        <v>767</v>
      </c>
      <c r="K2957" s="7">
        <v>6227933</v>
      </c>
      <c r="L2957" s="7">
        <v>338875</v>
      </c>
      <c r="M2957" s="7">
        <v>19</v>
      </c>
      <c r="N2957" s="7">
        <v>1</v>
      </c>
      <c r="O2957" s="7">
        <v>0.26</v>
      </c>
    </row>
    <row r="2958" spans="1:15" x14ac:dyDescent="0.25">
      <c r="A2958" s="6" t="s">
        <v>22</v>
      </c>
      <c r="B2958" s="6" t="s">
        <v>768</v>
      </c>
      <c r="C2958" s="7">
        <v>34737</v>
      </c>
      <c r="D2958" s="6" t="s">
        <v>39</v>
      </c>
      <c r="E2958" s="6" t="s">
        <v>72</v>
      </c>
      <c r="F2958" s="6" t="s">
        <v>131</v>
      </c>
      <c r="G2958" s="6" t="s">
        <v>32</v>
      </c>
      <c r="H2958" s="6" t="s">
        <v>765</v>
      </c>
      <c r="I2958" s="6" t="s">
        <v>767</v>
      </c>
      <c r="J2958" s="6" t="s">
        <v>767</v>
      </c>
      <c r="K2958" s="7">
        <v>6068996</v>
      </c>
      <c r="L2958" s="7">
        <v>282712</v>
      </c>
      <c r="M2958" s="7">
        <v>19</v>
      </c>
      <c r="N2958" s="7">
        <v>1</v>
      </c>
      <c r="O2958" s="7">
        <v>1</v>
      </c>
    </row>
    <row r="2959" spans="1:15" x14ac:dyDescent="0.25">
      <c r="A2959" s="6" t="s">
        <v>22</v>
      </c>
      <c r="B2959" s="6" t="s">
        <v>768</v>
      </c>
      <c r="C2959" s="7">
        <v>34738</v>
      </c>
      <c r="D2959" s="6" t="s">
        <v>39</v>
      </c>
      <c r="E2959" s="6" t="s">
        <v>72</v>
      </c>
      <c r="F2959" s="6" t="s">
        <v>131</v>
      </c>
      <c r="G2959" s="6" t="s">
        <v>32</v>
      </c>
      <c r="H2959" s="6" t="s">
        <v>765</v>
      </c>
      <c r="I2959" s="6" t="s">
        <v>767</v>
      </c>
      <c r="J2959" s="6" t="s">
        <v>767</v>
      </c>
      <c r="K2959" s="7">
        <v>6070431</v>
      </c>
      <c r="L2959" s="7">
        <v>282807</v>
      </c>
      <c r="M2959" s="7">
        <v>19</v>
      </c>
      <c r="N2959" s="7">
        <v>1</v>
      </c>
      <c r="O2959" s="7">
        <v>1</v>
      </c>
    </row>
    <row r="2960" spans="1:15" x14ac:dyDescent="0.25">
      <c r="A2960" s="6" t="s">
        <v>22</v>
      </c>
      <c r="B2960" s="6" t="s">
        <v>768</v>
      </c>
      <c r="C2960" s="7">
        <v>34741</v>
      </c>
      <c r="D2960" s="6" t="s">
        <v>39</v>
      </c>
      <c r="E2960" s="6" t="s">
        <v>72</v>
      </c>
      <c r="F2960" s="6" t="s">
        <v>131</v>
      </c>
      <c r="G2960" s="6" t="s">
        <v>32</v>
      </c>
      <c r="H2960" s="6" t="s">
        <v>765</v>
      </c>
      <c r="I2960" s="6" t="s">
        <v>767</v>
      </c>
      <c r="J2960" s="6" t="s">
        <v>767</v>
      </c>
      <c r="K2960" s="7">
        <v>6064714</v>
      </c>
      <c r="L2960" s="7">
        <v>281891</v>
      </c>
      <c r="M2960" s="7">
        <v>19</v>
      </c>
      <c r="N2960" s="7">
        <v>1</v>
      </c>
      <c r="O2960" s="7">
        <v>0.22</v>
      </c>
    </row>
    <row r="2961" spans="1:15" x14ac:dyDescent="0.25">
      <c r="A2961" s="6" t="s">
        <v>22</v>
      </c>
      <c r="B2961" s="6" t="s">
        <v>768</v>
      </c>
      <c r="C2961" s="7">
        <v>34745</v>
      </c>
      <c r="D2961" s="6" t="s">
        <v>39</v>
      </c>
      <c r="E2961" s="6" t="s">
        <v>72</v>
      </c>
      <c r="F2961" s="6" t="s">
        <v>202</v>
      </c>
      <c r="G2961" s="6" t="s">
        <v>32</v>
      </c>
      <c r="H2961" s="6" t="s">
        <v>765</v>
      </c>
      <c r="I2961" s="6" t="s">
        <v>767</v>
      </c>
      <c r="J2961" s="6" t="s">
        <v>767</v>
      </c>
      <c r="K2961" s="7">
        <v>6069021</v>
      </c>
      <c r="L2961" s="7">
        <v>280126</v>
      </c>
      <c r="M2961" s="7">
        <v>19</v>
      </c>
      <c r="N2961" s="7">
        <v>1</v>
      </c>
      <c r="O2961" s="7">
        <v>0.19</v>
      </c>
    </row>
    <row r="2962" spans="1:15" x14ac:dyDescent="0.25">
      <c r="A2962" s="6" t="s">
        <v>22</v>
      </c>
      <c r="B2962" s="6" t="s">
        <v>768</v>
      </c>
      <c r="C2962" s="7">
        <v>34746</v>
      </c>
      <c r="D2962" s="6" t="s">
        <v>39</v>
      </c>
      <c r="E2962" s="6" t="s">
        <v>72</v>
      </c>
      <c r="F2962" s="6" t="s">
        <v>131</v>
      </c>
      <c r="G2962" s="6" t="s">
        <v>32</v>
      </c>
      <c r="H2962" s="6" t="s">
        <v>765</v>
      </c>
      <c r="I2962" s="6" t="s">
        <v>767</v>
      </c>
      <c r="J2962" s="6" t="s">
        <v>767</v>
      </c>
      <c r="K2962" s="7">
        <v>6066042</v>
      </c>
      <c r="L2962" s="7">
        <v>279551</v>
      </c>
      <c r="M2962" s="7">
        <v>19</v>
      </c>
      <c r="N2962" s="7">
        <v>1</v>
      </c>
      <c r="O2962" s="7">
        <v>0.8</v>
      </c>
    </row>
    <row r="2963" spans="1:15" x14ac:dyDescent="0.25">
      <c r="A2963" s="6" t="s">
        <v>22</v>
      </c>
      <c r="B2963" s="6" t="s">
        <v>768</v>
      </c>
      <c r="C2963" s="7">
        <v>34747</v>
      </c>
      <c r="D2963" s="6" t="s">
        <v>39</v>
      </c>
      <c r="E2963" s="6" t="s">
        <v>72</v>
      </c>
      <c r="F2963" s="6" t="s">
        <v>131</v>
      </c>
      <c r="G2963" s="6" t="s">
        <v>32</v>
      </c>
      <c r="H2963" s="6" t="s">
        <v>765</v>
      </c>
      <c r="I2963" s="6" t="s">
        <v>767</v>
      </c>
      <c r="J2963" s="6" t="s">
        <v>767</v>
      </c>
      <c r="K2963" s="7">
        <v>6065901</v>
      </c>
      <c r="L2963" s="7">
        <v>279921</v>
      </c>
      <c r="M2963" s="7">
        <v>19</v>
      </c>
      <c r="N2963" s="7">
        <v>1</v>
      </c>
      <c r="O2963" s="7">
        <v>0.22</v>
      </c>
    </row>
    <row r="2964" spans="1:15" x14ac:dyDescent="0.25">
      <c r="A2964" s="6" t="s">
        <v>22</v>
      </c>
      <c r="B2964" s="6" t="s">
        <v>768</v>
      </c>
      <c r="C2964" s="7">
        <v>34838</v>
      </c>
      <c r="D2964" s="6" t="s">
        <v>42</v>
      </c>
      <c r="E2964" s="6" t="s">
        <v>167</v>
      </c>
      <c r="F2964" s="6" t="s">
        <v>167</v>
      </c>
      <c r="G2964" s="6" t="s">
        <v>32</v>
      </c>
      <c r="H2964" s="6" t="s">
        <v>765</v>
      </c>
      <c r="I2964" s="6" t="s">
        <v>767</v>
      </c>
      <c r="J2964" s="6" t="s">
        <v>767</v>
      </c>
      <c r="K2964" s="7">
        <v>6227684</v>
      </c>
      <c r="L2964" s="7">
        <v>338932</v>
      </c>
      <c r="M2964" s="7">
        <v>19</v>
      </c>
      <c r="N2964" s="7">
        <v>1</v>
      </c>
      <c r="O2964" s="7">
        <v>0.28000000000000003</v>
      </c>
    </row>
    <row r="2965" spans="1:15" x14ac:dyDescent="0.25">
      <c r="A2965" s="6" t="s">
        <v>22</v>
      </c>
      <c r="B2965" s="6" t="s">
        <v>768</v>
      </c>
      <c r="C2965" s="7">
        <v>34982</v>
      </c>
      <c r="D2965" s="6" t="s">
        <v>297</v>
      </c>
      <c r="E2965" s="6" t="s">
        <v>298</v>
      </c>
      <c r="F2965" s="6" t="s">
        <v>298</v>
      </c>
      <c r="G2965" s="6" t="s">
        <v>89</v>
      </c>
      <c r="H2965" s="6" t="s">
        <v>765</v>
      </c>
      <c r="I2965" s="6" t="s">
        <v>767</v>
      </c>
      <c r="J2965" s="6" t="s">
        <v>767</v>
      </c>
      <c r="K2965" s="7">
        <v>7949052</v>
      </c>
      <c r="L2965" s="7">
        <v>379595</v>
      </c>
      <c r="M2965" s="7">
        <v>19</v>
      </c>
      <c r="N2965" s="7">
        <v>1</v>
      </c>
      <c r="O2965" s="7">
        <v>0.01</v>
      </c>
    </row>
    <row r="2966" spans="1:15" x14ac:dyDescent="0.25">
      <c r="A2966" s="6" t="s">
        <v>22</v>
      </c>
      <c r="B2966" s="6" t="s">
        <v>768</v>
      </c>
      <c r="C2966" s="7">
        <v>35031</v>
      </c>
      <c r="D2966" s="6" t="s">
        <v>39</v>
      </c>
      <c r="E2966" s="6" t="s">
        <v>72</v>
      </c>
      <c r="F2966" s="6" t="s">
        <v>72</v>
      </c>
      <c r="G2966" s="6" t="s">
        <v>32</v>
      </c>
      <c r="H2966" s="6" t="s">
        <v>765</v>
      </c>
      <c r="I2966" s="6" t="s">
        <v>767</v>
      </c>
      <c r="J2966" s="6" t="s">
        <v>767</v>
      </c>
      <c r="K2966" s="7">
        <v>6068360</v>
      </c>
      <c r="L2966" s="7">
        <v>274071</v>
      </c>
      <c r="M2966" s="7">
        <v>19</v>
      </c>
      <c r="N2966" s="7">
        <v>1</v>
      </c>
      <c r="O2966" s="7">
        <v>1.4</v>
      </c>
    </row>
    <row r="2967" spans="1:15" x14ac:dyDescent="0.25">
      <c r="A2967" s="6" t="s">
        <v>22</v>
      </c>
      <c r="B2967" s="6" t="s">
        <v>768</v>
      </c>
      <c r="C2967" s="7">
        <v>35034</v>
      </c>
      <c r="D2967" s="6" t="s">
        <v>39</v>
      </c>
      <c r="E2967" s="6" t="s">
        <v>80</v>
      </c>
      <c r="F2967" s="6" t="s">
        <v>80</v>
      </c>
      <c r="G2967" s="6" t="s">
        <v>32</v>
      </c>
      <c r="H2967" s="6" t="s">
        <v>765</v>
      </c>
      <c r="I2967" s="6" t="s">
        <v>767</v>
      </c>
      <c r="J2967" s="6" t="s">
        <v>767</v>
      </c>
      <c r="K2967" s="7">
        <v>6078580</v>
      </c>
      <c r="L2967" s="7">
        <v>275576</v>
      </c>
      <c r="M2967" s="7">
        <v>19</v>
      </c>
      <c r="N2967" s="7">
        <v>1</v>
      </c>
      <c r="O2967" s="7">
        <v>1.4</v>
      </c>
    </row>
    <row r="2968" spans="1:15" x14ac:dyDescent="0.25">
      <c r="A2968" s="6" t="s">
        <v>22</v>
      </c>
      <c r="B2968" s="6" t="s">
        <v>768</v>
      </c>
      <c r="C2968" s="7">
        <v>35050</v>
      </c>
      <c r="D2968" s="6" t="s">
        <v>297</v>
      </c>
      <c r="E2968" s="6" t="s">
        <v>298</v>
      </c>
      <c r="F2968" s="6" t="s">
        <v>298</v>
      </c>
      <c r="G2968" s="6" t="s">
        <v>89</v>
      </c>
      <c r="H2968" s="6" t="s">
        <v>765</v>
      </c>
      <c r="I2968" s="6" t="s">
        <v>767</v>
      </c>
      <c r="J2968" s="6" t="s">
        <v>767</v>
      </c>
      <c r="K2968" s="7">
        <v>7949032</v>
      </c>
      <c r="L2968" s="7">
        <v>379607</v>
      </c>
      <c r="M2968" s="7">
        <v>19</v>
      </c>
      <c r="N2968" s="7">
        <v>1</v>
      </c>
      <c r="O2968" s="7">
        <v>0.02</v>
      </c>
    </row>
    <row r="2969" spans="1:15" x14ac:dyDescent="0.25">
      <c r="A2969" s="6" t="s">
        <v>22</v>
      </c>
      <c r="B2969" s="6" t="s">
        <v>768</v>
      </c>
      <c r="C2969" s="7">
        <v>35203</v>
      </c>
      <c r="D2969" s="6" t="s">
        <v>297</v>
      </c>
      <c r="E2969" s="6" t="s">
        <v>298</v>
      </c>
      <c r="F2969" s="6" t="s">
        <v>298</v>
      </c>
      <c r="G2969" s="6" t="s">
        <v>32</v>
      </c>
      <c r="H2969" s="6" t="s">
        <v>765</v>
      </c>
      <c r="I2969" s="6" t="s">
        <v>767</v>
      </c>
      <c r="J2969" s="6" t="s">
        <v>767</v>
      </c>
      <c r="K2969" s="7">
        <v>7949237</v>
      </c>
      <c r="L2969" s="7">
        <v>379907</v>
      </c>
      <c r="M2969" s="7">
        <v>19</v>
      </c>
      <c r="N2969" s="7">
        <v>1</v>
      </c>
      <c r="O2969" s="7">
        <v>7.0000000000000007E-2</v>
      </c>
    </row>
    <row r="2970" spans="1:15" x14ac:dyDescent="0.25">
      <c r="A2970" s="6" t="s">
        <v>22</v>
      </c>
      <c r="B2970" s="6" t="s">
        <v>768</v>
      </c>
      <c r="C2970" s="7">
        <v>35217</v>
      </c>
      <c r="D2970" s="6" t="s">
        <v>297</v>
      </c>
      <c r="E2970" s="6" t="s">
        <v>298</v>
      </c>
      <c r="F2970" s="6" t="s">
        <v>298</v>
      </c>
      <c r="G2970" s="6" t="s">
        <v>89</v>
      </c>
      <c r="H2970" s="6" t="s">
        <v>765</v>
      </c>
      <c r="I2970" s="6" t="s">
        <v>767</v>
      </c>
      <c r="J2970" s="6" t="s">
        <v>767</v>
      </c>
      <c r="K2970" s="7">
        <v>7949042</v>
      </c>
      <c r="L2970" s="7">
        <v>379601</v>
      </c>
      <c r="M2970" s="7">
        <v>19</v>
      </c>
      <c r="N2970" s="7">
        <v>1</v>
      </c>
      <c r="O2970" s="7">
        <v>7.0000000000000007E-2</v>
      </c>
    </row>
    <row r="2971" spans="1:15" x14ac:dyDescent="0.25">
      <c r="A2971" s="6" t="s">
        <v>22</v>
      </c>
      <c r="B2971" s="6" t="s">
        <v>768</v>
      </c>
      <c r="C2971" s="7">
        <v>35249</v>
      </c>
      <c r="D2971" s="6" t="s">
        <v>297</v>
      </c>
      <c r="E2971" s="6" t="s">
        <v>298</v>
      </c>
      <c r="F2971" s="6" t="s">
        <v>298</v>
      </c>
      <c r="G2971" s="6" t="s">
        <v>89</v>
      </c>
      <c r="H2971" s="6" t="s">
        <v>765</v>
      </c>
      <c r="I2971" s="6" t="s">
        <v>767</v>
      </c>
      <c r="J2971" s="6" t="s">
        <v>767</v>
      </c>
      <c r="K2971" s="7">
        <v>7949039</v>
      </c>
      <c r="L2971" s="7">
        <v>379626</v>
      </c>
      <c r="M2971" s="7">
        <v>19</v>
      </c>
      <c r="N2971" s="7">
        <v>1</v>
      </c>
      <c r="O2971" s="7">
        <v>0.01</v>
      </c>
    </row>
    <row r="2972" spans="1:15" x14ac:dyDescent="0.25">
      <c r="A2972" s="6" t="s">
        <v>22</v>
      </c>
      <c r="B2972" s="6" t="s">
        <v>768</v>
      </c>
      <c r="C2972" s="7">
        <v>35258</v>
      </c>
      <c r="D2972" s="6" t="s">
        <v>297</v>
      </c>
      <c r="E2972" s="6" t="s">
        <v>298</v>
      </c>
      <c r="F2972" s="6" t="s">
        <v>298</v>
      </c>
      <c r="G2972" s="6" t="s">
        <v>89</v>
      </c>
      <c r="H2972" s="6" t="s">
        <v>765</v>
      </c>
      <c r="I2972" s="6" t="s">
        <v>767</v>
      </c>
      <c r="J2972" s="6" t="s">
        <v>767</v>
      </c>
      <c r="K2972" s="7">
        <v>7949021</v>
      </c>
      <c r="L2972" s="7">
        <v>379620</v>
      </c>
      <c r="M2972" s="7">
        <v>19</v>
      </c>
      <c r="N2972" s="7">
        <v>1</v>
      </c>
      <c r="O2972" s="7">
        <v>0.11</v>
      </c>
    </row>
    <row r="2973" spans="1:15" x14ac:dyDescent="0.25">
      <c r="A2973" s="6" t="s">
        <v>22</v>
      </c>
      <c r="B2973" s="6" t="s">
        <v>768</v>
      </c>
      <c r="C2973" s="7">
        <v>35269</v>
      </c>
      <c r="D2973" s="6" t="s">
        <v>297</v>
      </c>
      <c r="E2973" s="6" t="s">
        <v>298</v>
      </c>
      <c r="F2973" s="6" t="s">
        <v>298</v>
      </c>
      <c r="G2973" s="6" t="s">
        <v>89</v>
      </c>
      <c r="H2973" s="6" t="s">
        <v>765</v>
      </c>
      <c r="I2973" s="6" t="s">
        <v>767</v>
      </c>
      <c r="J2973" s="6" t="s">
        <v>767</v>
      </c>
      <c r="K2973" s="7">
        <v>7949014</v>
      </c>
      <c r="L2973" s="7">
        <v>379623</v>
      </c>
      <c r="M2973" s="7">
        <v>19</v>
      </c>
      <c r="N2973" s="7">
        <v>1</v>
      </c>
      <c r="O2973" s="7">
        <v>0.01</v>
      </c>
    </row>
    <row r="2974" spans="1:15" x14ac:dyDescent="0.25">
      <c r="A2974" s="6" t="s">
        <v>22</v>
      </c>
      <c r="B2974" s="6" t="s">
        <v>768</v>
      </c>
      <c r="C2974" s="7">
        <v>35270</v>
      </c>
      <c r="D2974" s="6" t="s">
        <v>297</v>
      </c>
      <c r="E2974" s="6" t="s">
        <v>298</v>
      </c>
      <c r="F2974" s="6" t="s">
        <v>298</v>
      </c>
      <c r="G2974" s="6" t="s">
        <v>89</v>
      </c>
      <c r="H2974" s="6" t="s">
        <v>765</v>
      </c>
      <c r="I2974" s="6" t="s">
        <v>767</v>
      </c>
      <c r="J2974" s="6" t="s">
        <v>767</v>
      </c>
      <c r="K2974" s="7">
        <v>7949414</v>
      </c>
      <c r="L2974" s="7">
        <v>379879</v>
      </c>
      <c r="M2974" s="7">
        <v>19</v>
      </c>
      <c r="N2974" s="7">
        <v>1</v>
      </c>
      <c r="O2974" s="7">
        <v>0.01</v>
      </c>
    </row>
    <row r="2975" spans="1:15" x14ac:dyDescent="0.25">
      <c r="A2975" s="6" t="s">
        <v>22</v>
      </c>
      <c r="B2975" s="6" t="s">
        <v>768</v>
      </c>
      <c r="C2975" s="7">
        <v>35274</v>
      </c>
      <c r="D2975" s="6" t="s">
        <v>297</v>
      </c>
      <c r="E2975" s="6" t="s">
        <v>298</v>
      </c>
      <c r="F2975" s="6" t="s">
        <v>298</v>
      </c>
      <c r="G2975" s="6" t="s">
        <v>89</v>
      </c>
      <c r="H2975" s="6" t="s">
        <v>765</v>
      </c>
      <c r="I2975" s="6" t="s">
        <v>767</v>
      </c>
      <c r="J2975" s="6" t="s">
        <v>767</v>
      </c>
      <c r="K2975" s="7">
        <v>7948984</v>
      </c>
      <c r="L2975" s="7">
        <v>379615</v>
      </c>
      <c r="M2975" s="7">
        <v>19</v>
      </c>
      <c r="N2975" s="7">
        <v>1</v>
      </c>
      <c r="O2975" s="7">
        <v>0.01</v>
      </c>
    </row>
    <row r="2976" spans="1:15" x14ac:dyDescent="0.25">
      <c r="A2976" s="6" t="s">
        <v>22</v>
      </c>
      <c r="B2976" s="6" t="s">
        <v>768</v>
      </c>
      <c r="C2976" s="7">
        <v>35281</v>
      </c>
      <c r="D2976" s="6" t="s">
        <v>297</v>
      </c>
      <c r="E2976" s="6" t="s">
        <v>298</v>
      </c>
      <c r="F2976" s="6" t="s">
        <v>298</v>
      </c>
      <c r="G2976" s="6" t="s">
        <v>32</v>
      </c>
      <c r="H2976" s="6" t="s">
        <v>765</v>
      </c>
      <c r="I2976" s="6" t="s">
        <v>767</v>
      </c>
      <c r="J2976" s="6" t="s">
        <v>767</v>
      </c>
      <c r="K2976" s="7">
        <v>7949285</v>
      </c>
      <c r="L2976" s="7">
        <v>379922</v>
      </c>
      <c r="M2976" s="7">
        <v>19</v>
      </c>
      <c r="N2976" s="7">
        <v>1</v>
      </c>
      <c r="O2976" s="7">
        <v>0.06</v>
      </c>
    </row>
    <row r="2977" spans="1:15" x14ac:dyDescent="0.25">
      <c r="A2977" s="6" t="s">
        <v>22</v>
      </c>
      <c r="B2977" s="6" t="s">
        <v>768</v>
      </c>
      <c r="C2977" s="7">
        <v>35303</v>
      </c>
      <c r="D2977" s="6" t="s">
        <v>297</v>
      </c>
      <c r="E2977" s="6" t="s">
        <v>298</v>
      </c>
      <c r="F2977" s="6" t="s">
        <v>298</v>
      </c>
      <c r="G2977" s="6" t="s">
        <v>89</v>
      </c>
      <c r="H2977" s="6" t="s">
        <v>765</v>
      </c>
      <c r="I2977" s="6" t="s">
        <v>767</v>
      </c>
      <c r="J2977" s="6" t="s">
        <v>767</v>
      </c>
      <c r="K2977" s="7">
        <v>7949473</v>
      </c>
      <c r="L2977" s="7">
        <v>379810</v>
      </c>
      <c r="M2977" s="7">
        <v>19</v>
      </c>
      <c r="N2977" s="7">
        <v>1</v>
      </c>
      <c r="O2977" s="7">
        <v>0.01</v>
      </c>
    </row>
    <row r="2978" spans="1:15" x14ac:dyDescent="0.25">
      <c r="A2978" s="6" t="s">
        <v>22</v>
      </c>
      <c r="B2978" s="6" t="s">
        <v>768</v>
      </c>
      <c r="C2978" s="7">
        <v>35304</v>
      </c>
      <c r="D2978" s="6" t="s">
        <v>297</v>
      </c>
      <c r="E2978" s="6" t="s">
        <v>298</v>
      </c>
      <c r="F2978" s="6" t="s">
        <v>298</v>
      </c>
      <c r="G2978" s="6" t="s">
        <v>89</v>
      </c>
      <c r="H2978" s="6" t="s">
        <v>765</v>
      </c>
      <c r="I2978" s="6" t="s">
        <v>767</v>
      </c>
      <c r="J2978" s="6" t="s">
        <v>767</v>
      </c>
      <c r="K2978" s="7">
        <v>7949478</v>
      </c>
      <c r="L2978" s="7">
        <v>379811</v>
      </c>
      <c r="M2978" s="7">
        <v>19</v>
      </c>
      <c r="N2978" s="7">
        <v>1</v>
      </c>
      <c r="O2978" s="7">
        <v>0.01</v>
      </c>
    </row>
    <row r="2979" spans="1:15" x14ac:dyDescent="0.25">
      <c r="A2979" s="6" t="s">
        <v>22</v>
      </c>
      <c r="B2979" s="6" t="s">
        <v>768</v>
      </c>
      <c r="C2979" s="7">
        <v>35305</v>
      </c>
      <c r="D2979" s="6" t="s">
        <v>297</v>
      </c>
      <c r="E2979" s="6" t="s">
        <v>298</v>
      </c>
      <c r="F2979" s="6" t="s">
        <v>298</v>
      </c>
      <c r="G2979" s="6" t="s">
        <v>89</v>
      </c>
      <c r="H2979" s="6" t="s">
        <v>765</v>
      </c>
      <c r="I2979" s="6" t="s">
        <v>767</v>
      </c>
      <c r="J2979" s="6" t="s">
        <v>767</v>
      </c>
      <c r="K2979" s="7">
        <v>7949477</v>
      </c>
      <c r="L2979" s="7">
        <v>379819</v>
      </c>
      <c r="M2979" s="7">
        <v>19</v>
      </c>
      <c r="N2979" s="7">
        <v>1</v>
      </c>
      <c r="O2979" s="7">
        <v>0.01</v>
      </c>
    </row>
    <row r="2980" spans="1:15" x14ac:dyDescent="0.25">
      <c r="A2980" s="6" t="s">
        <v>22</v>
      </c>
      <c r="B2980" s="6" t="s">
        <v>768</v>
      </c>
      <c r="C2980" s="7">
        <v>35381</v>
      </c>
      <c r="D2980" s="6" t="s">
        <v>297</v>
      </c>
      <c r="E2980" s="6" t="s">
        <v>298</v>
      </c>
      <c r="F2980" s="6" t="s">
        <v>298</v>
      </c>
      <c r="G2980" s="6" t="s">
        <v>89</v>
      </c>
      <c r="H2980" s="6" t="s">
        <v>765</v>
      </c>
      <c r="I2980" s="6" t="s">
        <v>767</v>
      </c>
      <c r="J2980" s="6" t="s">
        <v>767</v>
      </c>
      <c r="K2980" s="7">
        <v>7949473</v>
      </c>
      <c r="L2980" s="7">
        <v>379810</v>
      </c>
      <c r="M2980" s="7">
        <v>19</v>
      </c>
      <c r="N2980" s="7">
        <v>1</v>
      </c>
      <c r="O2980" s="7">
        <v>0.01</v>
      </c>
    </row>
    <row r="2981" spans="1:15" x14ac:dyDescent="0.25">
      <c r="A2981" s="6" t="s">
        <v>22</v>
      </c>
      <c r="B2981" s="6" t="s">
        <v>768</v>
      </c>
      <c r="C2981" s="7">
        <v>35392</v>
      </c>
      <c r="D2981" s="6" t="s">
        <v>297</v>
      </c>
      <c r="E2981" s="6" t="s">
        <v>298</v>
      </c>
      <c r="F2981" s="6" t="s">
        <v>298</v>
      </c>
      <c r="G2981" s="6" t="s">
        <v>32</v>
      </c>
      <c r="H2981" s="6" t="s">
        <v>765</v>
      </c>
      <c r="I2981" s="6" t="s">
        <v>767</v>
      </c>
      <c r="J2981" s="6" t="s">
        <v>767</v>
      </c>
      <c r="K2981" s="7">
        <v>7949237</v>
      </c>
      <c r="L2981" s="7">
        <v>379907</v>
      </c>
      <c r="M2981" s="7">
        <v>19</v>
      </c>
      <c r="N2981" s="7">
        <v>1</v>
      </c>
      <c r="O2981" s="7">
        <v>0.01</v>
      </c>
    </row>
    <row r="2982" spans="1:15" x14ac:dyDescent="0.25">
      <c r="A2982" s="6" t="s">
        <v>22</v>
      </c>
      <c r="B2982" s="6" t="s">
        <v>768</v>
      </c>
      <c r="C2982" s="7">
        <v>35396</v>
      </c>
      <c r="D2982" s="6" t="s">
        <v>297</v>
      </c>
      <c r="E2982" s="6" t="s">
        <v>298</v>
      </c>
      <c r="F2982" s="6" t="s">
        <v>298</v>
      </c>
      <c r="G2982" s="6" t="s">
        <v>89</v>
      </c>
      <c r="H2982" s="6" t="s">
        <v>765</v>
      </c>
      <c r="I2982" s="6" t="s">
        <v>767</v>
      </c>
      <c r="J2982" s="6" t="s">
        <v>767</v>
      </c>
      <c r="K2982" s="7">
        <v>7949275</v>
      </c>
      <c r="L2982" s="7">
        <v>379901</v>
      </c>
      <c r="M2982" s="7">
        <v>19</v>
      </c>
      <c r="N2982" s="7">
        <v>1</v>
      </c>
      <c r="O2982" s="7">
        <v>0.2</v>
      </c>
    </row>
    <row r="2983" spans="1:15" x14ac:dyDescent="0.25">
      <c r="A2983" s="6" t="s">
        <v>22</v>
      </c>
      <c r="B2983" s="6" t="s">
        <v>768</v>
      </c>
      <c r="C2983" s="7">
        <v>35433</v>
      </c>
      <c r="D2983" s="6" t="s">
        <v>297</v>
      </c>
      <c r="E2983" s="6" t="s">
        <v>298</v>
      </c>
      <c r="F2983" s="6" t="s">
        <v>298</v>
      </c>
      <c r="G2983" s="6" t="s">
        <v>32</v>
      </c>
      <c r="H2983" s="6" t="s">
        <v>765</v>
      </c>
      <c r="I2983" s="6" t="s">
        <v>767</v>
      </c>
      <c r="J2983" s="6" t="s">
        <v>767</v>
      </c>
      <c r="K2983" s="7">
        <v>7949237</v>
      </c>
      <c r="L2983" s="7">
        <v>379907</v>
      </c>
      <c r="M2983" s="7">
        <v>19</v>
      </c>
      <c r="N2983" s="7">
        <v>1</v>
      </c>
      <c r="O2983" s="7">
        <v>0.01</v>
      </c>
    </row>
    <row r="2984" spans="1:15" x14ac:dyDescent="0.25">
      <c r="A2984" s="6" t="s">
        <v>22</v>
      </c>
      <c r="B2984" s="6" t="s">
        <v>768</v>
      </c>
      <c r="C2984" s="7">
        <v>35446</v>
      </c>
      <c r="D2984" s="6" t="s">
        <v>297</v>
      </c>
      <c r="E2984" s="6" t="s">
        <v>298</v>
      </c>
      <c r="F2984" s="6" t="s">
        <v>298</v>
      </c>
      <c r="G2984" s="6" t="s">
        <v>89</v>
      </c>
      <c r="H2984" s="6" t="s">
        <v>765</v>
      </c>
      <c r="I2984" s="6" t="s">
        <v>767</v>
      </c>
      <c r="J2984" s="6" t="s">
        <v>767</v>
      </c>
      <c r="K2984" s="7">
        <v>7949477</v>
      </c>
      <c r="L2984" s="7">
        <v>379819</v>
      </c>
      <c r="M2984" s="7">
        <v>19</v>
      </c>
      <c r="N2984" s="7">
        <v>1</v>
      </c>
      <c r="O2984" s="7">
        <v>0.01</v>
      </c>
    </row>
    <row r="2985" spans="1:15" x14ac:dyDescent="0.25">
      <c r="A2985" s="6" t="s">
        <v>22</v>
      </c>
      <c r="B2985" s="6" t="s">
        <v>768</v>
      </c>
      <c r="C2985" s="7">
        <v>35644</v>
      </c>
      <c r="D2985" s="6" t="s">
        <v>297</v>
      </c>
      <c r="E2985" s="6" t="s">
        <v>298</v>
      </c>
      <c r="F2985" s="6" t="s">
        <v>298</v>
      </c>
      <c r="G2985" s="6" t="s">
        <v>32</v>
      </c>
      <c r="H2985" s="6" t="s">
        <v>765</v>
      </c>
      <c r="I2985" s="6" t="s">
        <v>767</v>
      </c>
      <c r="J2985" s="6" t="s">
        <v>767</v>
      </c>
      <c r="K2985" s="7">
        <v>7949237</v>
      </c>
      <c r="L2985" s="7">
        <v>379907</v>
      </c>
      <c r="M2985" s="7">
        <v>19</v>
      </c>
      <c r="N2985" s="7">
        <v>1</v>
      </c>
      <c r="O2985" s="7">
        <v>0.02</v>
      </c>
    </row>
    <row r="2986" spans="1:15" x14ac:dyDescent="0.25">
      <c r="A2986" s="6" t="s">
        <v>22</v>
      </c>
      <c r="B2986" s="6" t="s">
        <v>382</v>
      </c>
      <c r="C2986" s="7">
        <v>30077</v>
      </c>
      <c r="D2986" s="6" t="s">
        <v>42</v>
      </c>
      <c r="E2986" s="6" t="s">
        <v>167</v>
      </c>
      <c r="F2986" s="6" t="s">
        <v>382</v>
      </c>
      <c r="G2986" s="6" t="s">
        <v>32</v>
      </c>
      <c r="H2986" s="6" t="s">
        <v>765</v>
      </c>
      <c r="I2986" s="6" t="s">
        <v>767</v>
      </c>
      <c r="J2986" s="6" t="s">
        <v>767</v>
      </c>
      <c r="K2986" s="7">
        <v>6225010</v>
      </c>
      <c r="L2986" s="7">
        <v>339646</v>
      </c>
      <c r="M2986" s="7">
        <v>19</v>
      </c>
      <c r="N2986" s="7">
        <v>1</v>
      </c>
      <c r="O2986" s="7">
        <v>0.03</v>
      </c>
    </row>
    <row r="2987" spans="1:15" x14ac:dyDescent="0.25">
      <c r="A2987" s="6" t="s">
        <v>22</v>
      </c>
      <c r="B2987" s="6" t="s">
        <v>382</v>
      </c>
      <c r="C2987" s="7">
        <v>30078</v>
      </c>
      <c r="D2987" s="6" t="s">
        <v>42</v>
      </c>
      <c r="E2987" s="6" t="s">
        <v>167</v>
      </c>
      <c r="F2987" s="6" t="s">
        <v>382</v>
      </c>
      <c r="G2987" s="6" t="s">
        <v>32</v>
      </c>
      <c r="H2987" s="6" t="s">
        <v>765</v>
      </c>
      <c r="I2987" s="6" t="s">
        <v>767</v>
      </c>
      <c r="J2987" s="6" t="s">
        <v>767</v>
      </c>
      <c r="K2987" s="7">
        <v>6225010</v>
      </c>
      <c r="L2987" s="7">
        <v>339646</v>
      </c>
      <c r="M2987" s="7">
        <v>19</v>
      </c>
      <c r="N2987" s="7">
        <v>1</v>
      </c>
      <c r="O2987" s="7">
        <v>0.01</v>
      </c>
    </row>
    <row r="2988" spans="1:15" x14ac:dyDescent="0.25">
      <c r="A2988" s="6" t="s">
        <v>22</v>
      </c>
      <c r="B2988" s="6" t="s">
        <v>382</v>
      </c>
      <c r="C2988" s="7">
        <v>30079</v>
      </c>
      <c r="D2988" s="6" t="s">
        <v>42</v>
      </c>
      <c r="E2988" s="6" t="s">
        <v>167</v>
      </c>
      <c r="F2988" s="6" t="s">
        <v>382</v>
      </c>
      <c r="G2988" s="6" t="s">
        <v>32</v>
      </c>
      <c r="H2988" s="6" t="s">
        <v>765</v>
      </c>
      <c r="I2988" s="6" t="s">
        <v>767</v>
      </c>
      <c r="J2988" s="6" t="s">
        <v>767</v>
      </c>
      <c r="K2988" s="7">
        <v>6225010</v>
      </c>
      <c r="L2988" s="7">
        <v>339646</v>
      </c>
      <c r="M2988" s="7">
        <v>19</v>
      </c>
      <c r="N2988" s="7">
        <v>1</v>
      </c>
      <c r="O2988" s="7">
        <v>0.01</v>
      </c>
    </row>
    <row r="2989" spans="1:15" x14ac:dyDescent="0.25">
      <c r="A2989" s="6" t="s">
        <v>22</v>
      </c>
      <c r="B2989" s="6" t="s">
        <v>382</v>
      </c>
      <c r="C2989" s="7">
        <v>30081</v>
      </c>
      <c r="D2989" s="6" t="s">
        <v>42</v>
      </c>
      <c r="E2989" s="6" t="s">
        <v>167</v>
      </c>
      <c r="F2989" s="6" t="s">
        <v>382</v>
      </c>
      <c r="G2989" s="6" t="s">
        <v>32</v>
      </c>
      <c r="H2989" s="6" t="s">
        <v>765</v>
      </c>
      <c r="I2989" s="6" t="s">
        <v>767</v>
      </c>
      <c r="J2989" s="6" t="s">
        <v>767</v>
      </c>
      <c r="K2989" s="7">
        <v>6225010</v>
      </c>
      <c r="L2989" s="7">
        <v>339646</v>
      </c>
      <c r="M2989" s="7">
        <v>19</v>
      </c>
      <c r="N2989" s="7">
        <v>1</v>
      </c>
      <c r="O2989" s="7">
        <v>7.0000000000000007E-2</v>
      </c>
    </row>
    <row r="2990" spans="1:15" x14ac:dyDescent="0.25">
      <c r="A2990" s="6" t="s">
        <v>22</v>
      </c>
      <c r="B2990" s="6" t="s">
        <v>382</v>
      </c>
      <c r="C2990" s="7">
        <v>30084</v>
      </c>
      <c r="D2990" s="6" t="s">
        <v>42</v>
      </c>
      <c r="E2990" s="6" t="s">
        <v>167</v>
      </c>
      <c r="F2990" s="6" t="s">
        <v>382</v>
      </c>
      <c r="G2990" s="6" t="s">
        <v>32</v>
      </c>
      <c r="H2990" s="6" t="s">
        <v>765</v>
      </c>
      <c r="I2990" s="6" t="s">
        <v>767</v>
      </c>
      <c r="J2990" s="6" t="s">
        <v>767</v>
      </c>
      <c r="K2990" s="7">
        <v>6225010</v>
      </c>
      <c r="L2990" s="7">
        <v>339646</v>
      </c>
      <c r="M2990" s="7">
        <v>19</v>
      </c>
      <c r="N2990" s="7">
        <v>1</v>
      </c>
      <c r="O2990" s="7">
        <v>0.05</v>
      </c>
    </row>
    <row r="2991" spans="1:15" x14ac:dyDescent="0.25">
      <c r="A2991" s="6" t="s">
        <v>22</v>
      </c>
      <c r="B2991" s="6" t="s">
        <v>382</v>
      </c>
      <c r="C2991" s="7">
        <v>30086</v>
      </c>
      <c r="D2991" s="6" t="s">
        <v>42</v>
      </c>
      <c r="E2991" s="6" t="s">
        <v>167</v>
      </c>
      <c r="F2991" s="6" t="s">
        <v>382</v>
      </c>
      <c r="G2991" s="6" t="s">
        <v>32</v>
      </c>
      <c r="H2991" s="6" t="s">
        <v>765</v>
      </c>
      <c r="I2991" s="6" t="s">
        <v>767</v>
      </c>
      <c r="J2991" s="6" t="s">
        <v>767</v>
      </c>
      <c r="K2991" s="7">
        <v>6225010</v>
      </c>
      <c r="L2991" s="7">
        <v>339646</v>
      </c>
      <c r="M2991" s="7">
        <v>19</v>
      </c>
      <c r="N2991" s="7">
        <v>1</v>
      </c>
      <c r="O2991" s="7">
        <v>0.02</v>
      </c>
    </row>
    <row r="2992" spans="1:15" x14ac:dyDescent="0.25">
      <c r="A2992" s="6" t="s">
        <v>14</v>
      </c>
      <c r="B2992" s="6" t="s">
        <v>382</v>
      </c>
      <c r="C2992" s="7">
        <v>30089</v>
      </c>
      <c r="D2992" s="6" t="s">
        <v>42</v>
      </c>
      <c r="E2992" s="6" t="s">
        <v>167</v>
      </c>
      <c r="F2992" s="6" t="s">
        <v>382</v>
      </c>
      <c r="G2992" s="6" t="s">
        <v>32</v>
      </c>
      <c r="H2992" s="6" t="s">
        <v>33</v>
      </c>
      <c r="I2992" s="6" t="s">
        <v>767</v>
      </c>
      <c r="J2992" s="6" t="s">
        <v>767</v>
      </c>
      <c r="K2992" s="7">
        <v>6223812</v>
      </c>
      <c r="L2992" s="7">
        <v>335958</v>
      </c>
      <c r="M2992" s="7">
        <v>19</v>
      </c>
      <c r="N2992" s="7">
        <v>3</v>
      </c>
      <c r="O2992" s="7">
        <v>26.74</v>
      </c>
    </row>
    <row r="2993" spans="1:15" x14ac:dyDescent="0.25">
      <c r="A2993" s="6" t="s">
        <v>14</v>
      </c>
      <c r="B2993" s="6" t="s">
        <v>382</v>
      </c>
      <c r="C2993" s="7">
        <v>30090</v>
      </c>
      <c r="D2993" s="6" t="s">
        <v>42</v>
      </c>
      <c r="E2993" s="6" t="s">
        <v>167</v>
      </c>
      <c r="F2993" s="6" t="s">
        <v>382</v>
      </c>
      <c r="G2993" s="6" t="s">
        <v>32</v>
      </c>
      <c r="H2993" s="6" t="s">
        <v>33</v>
      </c>
      <c r="I2993" s="6" t="s">
        <v>767</v>
      </c>
      <c r="J2993" s="6" t="s">
        <v>764</v>
      </c>
      <c r="K2993" s="7">
        <v>6224110</v>
      </c>
      <c r="L2993" s="7">
        <v>338642</v>
      </c>
      <c r="M2993" s="7">
        <v>19</v>
      </c>
      <c r="N2993" s="7">
        <v>8</v>
      </c>
      <c r="O2993" s="7">
        <v>89.9</v>
      </c>
    </row>
    <row r="2994" spans="1:15" x14ac:dyDescent="0.25">
      <c r="A2994" s="6" t="s">
        <v>14</v>
      </c>
      <c r="B2994" s="6" t="s">
        <v>382</v>
      </c>
      <c r="C2994" s="7">
        <v>30093</v>
      </c>
      <c r="D2994" s="6" t="s">
        <v>42</v>
      </c>
      <c r="E2994" s="6" t="s">
        <v>672</v>
      </c>
      <c r="F2994" s="6" t="s">
        <v>673</v>
      </c>
      <c r="G2994" s="6" t="s">
        <v>32</v>
      </c>
      <c r="H2994" s="6" t="s">
        <v>33</v>
      </c>
      <c r="I2994" s="6" t="s">
        <v>767</v>
      </c>
      <c r="J2994" s="6" t="s">
        <v>767</v>
      </c>
      <c r="K2994" s="7">
        <v>6190042</v>
      </c>
      <c r="L2994" s="7">
        <v>279288</v>
      </c>
      <c r="M2994" s="7">
        <v>19</v>
      </c>
      <c r="N2994" s="7">
        <v>1</v>
      </c>
      <c r="O2994" s="7">
        <v>22.3</v>
      </c>
    </row>
    <row r="2995" spans="1:15" x14ac:dyDescent="0.25">
      <c r="A2995" s="6" t="s">
        <v>14</v>
      </c>
      <c r="B2995" s="6" t="s">
        <v>382</v>
      </c>
      <c r="C2995" s="7">
        <v>30108</v>
      </c>
      <c r="D2995" s="6" t="s">
        <v>39</v>
      </c>
      <c r="E2995" s="6" t="s">
        <v>310</v>
      </c>
      <c r="F2995" s="6" t="s">
        <v>53</v>
      </c>
      <c r="G2995" s="6" t="s">
        <v>32</v>
      </c>
      <c r="H2995" s="6" t="s">
        <v>33</v>
      </c>
      <c r="I2995" s="6" t="s">
        <v>767</v>
      </c>
      <c r="J2995" s="6" t="s">
        <v>764</v>
      </c>
      <c r="K2995" s="7">
        <v>6116999</v>
      </c>
      <c r="L2995" s="7">
        <v>294127</v>
      </c>
      <c r="M2995" s="7">
        <v>19</v>
      </c>
      <c r="N2995" s="7">
        <v>3</v>
      </c>
      <c r="O2995" s="7">
        <v>23.6</v>
      </c>
    </row>
    <row r="2996" spans="1:15" x14ac:dyDescent="0.25">
      <c r="A2996" s="6" t="s">
        <v>14</v>
      </c>
      <c r="B2996" s="6" t="s">
        <v>382</v>
      </c>
      <c r="C2996" s="7">
        <v>30110</v>
      </c>
      <c r="D2996" s="6" t="s">
        <v>39</v>
      </c>
      <c r="E2996" s="6" t="s">
        <v>310</v>
      </c>
      <c r="F2996" s="6" t="s">
        <v>674</v>
      </c>
      <c r="G2996" s="6" t="s">
        <v>32</v>
      </c>
      <c r="H2996" s="6" t="s">
        <v>33</v>
      </c>
      <c r="I2996" s="6" t="s">
        <v>767</v>
      </c>
      <c r="J2996" s="6" t="s">
        <v>767</v>
      </c>
      <c r="K2996" s="7">
        <v>6110322</v>
      </c>
      <c r="L2996" s="7">
        <v>292340</v>
      </c>
      <c r="M2996" s="7">
        <v>19</v>
      </c>
      <c r="N2996" s="7">
        <v>3</v>
      </c>
      <c r="O2996" s="7">
        <v>13.8</v>
      </c>
    </row>
    <row r="2997" spans="1:15" x14ac:dyDescent="0.25">
      <c r="A2997" s="6" t="s">
        <v>14</v>
      </c>
      <c r="B2997" s="6" t="s">
        <v>382</v>
      </c>
      <c r="C2997" s="7">
        <v>30113</v>
      </c>
      <c r="D2997" s="6" t="s">
        <v>39</v>
      </c>
      <c r="E2997" s="6" t="s">
        <v>310</v>
      </c>
      <c r="F2997" s="6" t="s">
        <v>447</v>
      </c>
      <c r="G2997" s="6" t="s">
        <v>32</v>
      </c>
      <c r="H2997" s="6" t="s">
        <v>33</v>
      </c>
      <c r="I2997" s="6" t="s">
        <v>767</v>
      </c>
      <c r="J2997" s="6" t="s">
        <v>764</v>
      </c>
      <c r="K2997" s="7">
        <v>6117570</v>
      </c>
      <c r="L2997" s="7">
        <v>293697</v>
      </c>
      <c r="M2997" s="7">
        <v>19</v>
      </c>
      <c r="N2997" s="7">
        <v>4</v>
      </c>
      <c r="O2997" s="7">
        <v>9</v>
      </c>
    </row>
    <row r="2998" spans="1:15" x14ac:dyDescent="0.25">
      <c r="A2998" s="6" t="s">
        <v>14</v>
      </c>
      <c r="B2998" s="6" t="s">
        <v>382</v>
      </c>
      <c r="C2998" s="7">
        <v>30121</v>
      </c>
      <c r="D2998" s="6" t="s">
        <v>42</v>
      </c>
      <c r="E2998" s="6" t="s">
        <v>63</v>
      </c>
      <c r="F2998" s="6" t="s">
        <v>432</v>
      </c>
      <c r="G2998" s="6" t="s">
        <v>32</v>
      </c>
      <c r="H2998" s="6" t="s">
        <v>33</v>
      </c>
      <c r="I2998" s="6" t="s">
        <v>767</v>
      </c>
      <c r="J2998" s="6" t="s">
        <v>764</v>
      </c>
      <c r="K2998" s="7">
        <v>6165608</v>
      </c>
      <c r="L2998" s="7">
        <v>287226</v>
      </c>
      <c r="M2998" s="7">
        <v>19</v>
      </c>
      <c r="N2998" s="7">
        <v>1</v>
      </c>
      <c r="O2998" s="7">
        <v>40</v>
      </c>
    </row>
    <row r="2999" spans="1:15" x14ac:dyDescent="0.25">
      <c r="A2999" s="6" t="s">
        <v>14</v>
      </c>
      <c r="B2999" s="6" t="s">
        <v>382</v>
      </c>
      <c r="C2999" s="7">
        <v>30129</v>
      </c>
      <c r="D2999" s="6" t="s">
        <v>24</v>
      </c>
      <c r="E2999" s="6" t="s">
        <v>49</v>
      </c>
      <c r="F2999" s="6" t="s">
        <v>49</v>
      </c>
      <c r="G2999" s="6" t="s">
        <v>32</v>
      </c>
      <c r="H2999" s="6" t="s">
        <v>33</v>
      </c>
      <c r="I2999" s="6" t="s">
        <v>767</v>
      </c>
      <c r="J2999" s="6" t="s">
        <v>764</v>
      </c>
      <c r="K2999" s="7">
        <v>6274233</v>
      </c>
      <c r="L2999" s="7">
        <v>356708</v>
      </c>
      <c r="M2999" s="7">
        <v>19</v>
      </c>
      <c r="N2999" s="7">
        <v>1</v>
      </c>
      <c r="O2999" s="7">
        <v>19.899999999999999</v>
      </c>
    </row>
    <row r="3000" spans="1:15" x14ac:dyDescent="0.25">
      <c r="A3000" s="6" t="s">
        <v>14</v>
      </c>
      <c r="B3000" s="6" t="s">
        <v>382</v>
      </c>
      <c r="C3000" s="7">
        <v>30139</v>
      </c>
      <c r="D3000" s="6" t="s">
        <v>39</v>
      </c>
      <c r="E3000" s="6" t="s">
        <v>53</v>
      </c>
      <c r="F3000" s="6" t="s">
        <v>375</v>
      </c>
      <c r="G3000" s="6" t="s">
        <v>32</v>
      </c>
      <c r="H3000" s="6" t="s">
        <v>33</v>
      </c>
      <c r="I3000" s="6" t="s">
        <v>767</v>
      </c>
      <c r="J3000" s="6" t="s">
        <v>767</v>
      </c>
      <c r="K3000" s="7">
        <v>6142030</v>
      </c>
      <c r="L3000" s="7">
        <v>293618</v>
      </c>
      <c r="M3000" s="7">
        <v>19</v>
      </c>
      <c r="N3000" s="7">
        <v>2</v>
      </c>
      <c r="O3000" s="7">
        <v>42</v>
      </c>
    </row>
    <row r="3001" spans="1:15" x14ac:dyDescent="0.25">
      <c r="A3001" s="6" t="s">
        <v>14</v>
      </c>
      <c r="B3001" s="6" t="s">
        <v>382</v>
      </c>
      <c r="C3001" s="7">
        <v>30145</v>
      </c>
      <c r="D3001" s="6" t="s">
        <v>42</v>
      </c>
      <c r="E3001" s="6" t="s">
        <v>167</v>
      </c>
      <c r="F3001" s="6" t="s">
        <v>382</v>
      </c>
      <c r="G3001" s="6" t="s">
        <v>32</v>
      </c>
      <c r="H3001" s="6" t="s">
        <v>33</v>
      </c>
      <c r="I3001" s="6" t="s">
        <v>767</v>
      </c>
      <c r="J3001" s="6" t="s">
        <v>767</v>
      </c>
      <c r="K3001" s="7">
        <v>6221693</v>
      </c>
      <c r="L3001" s="7">
        <v>336521</v>
      </c>
      <c r="M3001" s="7">
        <v>19</v>
      </c>
      <c r="N3001" s="7">
        <v>3</v>
      </c>
      <c r="O3001" s="7">
        <v>50.02</v>
      </c>
    </row>
    <row r="3002" spans="1:15" x14ac:dyDescent="0.25">
      <c r="A3002" s="6" t="s">
        <v>14</v>
      </c>
      <c r="B3002" s="6" t="s">
        <v>382</v>
      </c>
      <c r="C3002" s="7">
        <v>30170</v>
      </c>
      <c r="D3002" s="6" t="s">
        <v>39</v>
      </c>
      <c r="E3002" s="6" t="s">
        <v>40</v>
      </c>
      <c r="F3002" s="6" t="s">
        <v>40</v>
      </c>
      <c r="G3002" s="6" t="s">
        <v>32</v>
      </c>
      <c r="H3002" s="6" t="s">
        <v>33</v>
      </c>
      <c r="I3002" s="6" t="s">
        <v>767</v>
      </c>
      <c r="J3002" s="6" t="s">
        <v>764</v>
      </c>
      <c r="K3002" s="7">
        <v>6126858</v>
      </c>
      <c r="L3002" s="7">
        <v>302312</v>
      </c>
      <c r="M3002" s="7">
        <v>19</v>
      </c>
      <c r="N3002" s="7">
        <v>1</v>
      </c>
      <c r="O3002" s="7">
        <v>8</v>
      </c>
    </row>
    <row r="3003" spans="1:15" x14ac:dyDescent="0.25">
      <c r="A3003" s="6" t="s">
        <v>14</v>
      </c>
      <c r="B3003" s="6" t="s">
        <v>382</v>
      </c>
      <c r="C3003" s="7">
        <v>30182</v>
      </c>
      <c r="D3003" s="6" t="s">
        <v>42</v>
      </c>
      <c r="E3003" s="6" t="s">
        <v>196</v>
      </c>
      <c r="F3003" s="6" t="s">
        <v>196</v>
      </c>
      <c r="G3003" s="6" t="s">
        <v>32</v>
      </c>
      <c r="H3003" s="6" t="s">
        <v>33</v>
      </c>
      <c r="I3003" s="6" t="s">
        <v>767</v>
      </c>
      <c r="J3003" s="6" t="s">
        <v>767</v>
      </c>
      <c r="K3003" s="7">
        <v>6223908</v>
      </c>
      <c r="L3003" s="7">
        <v>340631</v>
      </c>
      <c r="M3003" s="7">
        <v>19</v>
      </c>
      <c r="N3003" s="7">
        <v>6</v>
      </c>
      <c r="O3003" s="7">
        <v>52.8</v>
      </c>
    </row>
    <row r="3004" spans="1:15" x14ac:dyDescent="0.25">
      <c r="A3004" s="6" t="s">
        <v>14</v>
      </c>
      <c r="B3004" s="6" t="s">
        <v>382</v>
      </c>
      <c r="C3004" s="7">
        <v>30189</v>
      </c>
      <c r="D3004" s="6" t="s">
        <v>39</v>
      </c>
      <c r="E3004" s="6" t="s">
        <v>40</v>
      </c>
      <c r="F3004" s="6" t="s">
        <v>40</v>
      </c>
      <c r="G3004" s="6" t="s">
        <v>32</v>
      </c>
      <c r="H3004" s="6" t="s">
        <v>33</v>
      </c>
      <c r="I3004" s="6" t="s">
        <v>767</v>
      </c>
      <c r="J3004" s="6" t="s">
        <v>764</v>
      </c>
      <c r="K3004" s="7">
        <v>6126214</v>
      </c>
      <c r="L3004" s="7">
        <v>299251</v>
      </c>
      <c r="M3004" s="7">
        <v>19</v>
      </c>
      <c r="N3004" s="7">
        <v>3</v>
      </c>
      <c r="O3004" s="7">
        <v>22.3</v>
      </c>
    </row>
    <row r="3005" spans="1:15" x14ac:dyDescent="0.25">
      <c r="A3005" s="6" t="s">
        <v>22</v>
      </c>
      <c r="B3005" s="6" t="s">
        <v>382</v>
      </c>
      <c r="C3005" s="7">
        <v>30213</v>
      </c>
      <c r="D3005" s="6" t="s">
        <v>42</v>
      </c>
      <c r="E3005" s="6" t="s">
        <v>167</v>
      </c>
      <c r="F3005" s="6" t="s">
        <v>382</v>
      </c>
      <c r="G3005" s="6" t="s">
        <v>32</v>
      </c>
      <c r="H3005" s="6" t="s">
        <v>765</v>
      </c>
      <c r="I3005" s="6" t="s">
        <v>767</v>
      </c>
      <c r="J3005" s="6" t="s">
        <v>767</v>
      </c>
      <c r="K3005" s="7">
        <v>6225010</v>
      </c>
      <c r="L3005" s="7">
        <v>339646</v>
      </c>
      <c r="M3005" s="7">
        <v>19</v>
      </c>
      <c r="N3005" s="7">
        <v>1</v>
      </c>
      <c r="O3005" s="7">
        <v>7.0000000000000007E-2</v>
      </c>
    </row>
    <row r="3006" spans="1:15" x14ac:dyDescent="0.25">
      <c r="A3006" s="6" t="s">
        <v>22</v>
      </c>
      <c r="B3006" s="6" t="s">
        <v>382</v>
      </c>
      <c r="C3006" s="7">
        <v>30214</v>
      </c>
      <c r="D3006" s="6" t="s">
        <v>42</v>
      </c>
      <c r="E3006" s="6" t="s">
        <v>167</v>
      </c>
      <c r="F3006" s="6" t="s">
        <v>382</v>
      </c>
      <c r="G3006" s="6" t="s">
        <v>32</v>
      </c>
      <c r="H3006" s="6" t="s">
        <v>765</v>
      </c>
      <c r="I3006" s="6" t="s">
        <v>767</v>
      </c>
      <c r="J3006" s="6" t="s">
        <v>767</v>
      </c>
      <c r="K3006" s="7">
        <v>6225010</v>
      </c>
      <c r="L3006" s="7">
        <v>339646</v>
      </c>
      <c r="M3006" s="7">
        <v>19</v>
      </c>
      <c r="N3006" s="7">
        <v>1</v>
      </c>
      <c r="O3006" s="7">
        <v>0.01</v>
      </c>
    </row>
    <row r="3007" spans="1:15" x14ac:dyDescent="0.25">
      <c r="A3007" s="6" t="s">
        <v>22</v>
      </c>
      <c r="B3007" s="6" t="s">
        <v>382</v>
      </c>
      <c r="C3007" s="7">
        <v>30215</v>
      </c>
      <c r="D3007" s="6" t="s">
        <v>42</v>
      </c>
      <c r="E3007" s="6" t="s">
        <v>167</v>
      </c>
      <c r="F3007" s="6" t="s">
        <v>382</v>
      </c>
      <c r="G3007" s="6" t="s">
        <v>32</v>
      </c>
      <c r="H3007" s="6" t="s">
        <v>765</v>
      </c>
      <c r="I3007" s="6" t="s">
        <v>767</v>
      </c>
      <c r="J3007" s="6" t="s">
        <v>767</v>
      </c>
      <c r="K3007" s="7">
        <v>6225010</v>
      </c>
      <c r="L3007" s="7">
        <v>339646</v>
      </c>
      <c r="M3007" s="7">
        <v>19</v>
      </c>
      <c r="N3007" s="7">
        <v>1</v>
      </c>
      <c r="O3007" s="7">
        <v>0.02</v>
      </c>
    </row>
    <row r="3008" spans="1:15" x14ac:dyDescent="0.25">
      <c r="A3008" s="6" t="s">
        <v>22</v>
      </c>
      <c r="B3008" s="6" t="s">
        <v>382</v>
      </c>
      <c r="C3008" s="7">
        <v>30217</v>
      </c>
      <c r="D3008" s="6" t="s">
        <v>42</v>
      </c>
      <c r="E3008" s="6" t="s">
        <v>167</v>
      </c>
      <c r="F3008" s="6" t="s">
        <v>382</v>
      </c>
      <c r="G3008" s="6" t="s">
        <v>32</v>
      </c>
      <c r="H3008" s="6" t="s">
        <v>765</v>
      </c>
      <c r="I3008" s="6" t="s">
        <v>767</v>
      </c>
      <c r="J3008" s="6" t="s">
        <v>767</v>
      </c>
      <c r="K3008" s="7">
        <v>6225010</v>
      </c>
      <c r="L3008" s="7">
        <v>339646</v>
      </c>
      <c r="M3008" s="7">
        <v>19</v>
      </c>
      <c r="N3008" s="7">
        <v>1</v>
      </c>
      <c r="O3008" s="7">
        <v>0.1</v>
      </c>
    </row>
    <row r="3009" spans="1:15" x14ac:dyDescent="0.25">
      <c r="A3009" s="6" t="s">
        <v>22</v>
      </c>
      <c r="B3009" s="6" t="s">
        <v>382</v>
      </c>
      <c r="C3009" s="7">
        <v>30218</v>
      </c>
      <c r="D3009" s="6" t="s">
        <v>42</v>
      </c>
      <c r="E3009" s="6" t="s">
        <v>167</v>
      </c>
      <c r="F3009" s="6" t="s">
        <v>382</v>
      </c>
      <c r="G3009" s="6" t="s">
        <v>32</v>
      </c>
      <c r="H3009" s="6" t="s">
        <v>765</v>
      </c>
      <c r="I3009" s="6" t="s">
        <v>767</v>
      </c>
      <c r="J3009" s="6" t="s">
        <v>767</v>
      </c>
      <c r="K3009" s="7">
        <v>6225010</v>
      </c>
      <c r="L3009" s="7">
        <v>339646</v>
      </c>
      <c r="M3009" s="7">
        <v>19</v>
      </c>
      <c r="N3009" s="7">
        <v>1</v>
      </c>
      <c r="O3009" s="7">
        <v>0.01</v>
      </c>
    </row>
    <row r="3010" spans="1:15" x14ac:dyDescent="0.25">
      <c r="A3010" s="6" t="s">
        <v>22</v>
      </c>
      <c r="B3010" s="6" t="s">
        <v>382</v>
      </c>
      <c r="C3010" s="7">
        <v>30219</v>
      </c>
      <c r="D3010" s="6" t="s">
        <v>42</v>
      </c>
      <c r="E3010" s="6" t="s">
        <v>167</v>
      </c>
      <c r="F3010" s="6" t="s">
        <v>382</v>
      </c>
      <c r="G3010" s="6" t="s">
        <v>32</v>
      </c>
      <c r="H3010" s="6" t="s">
        <v>765</v>
      </c>
      <c r="I3010" s="6" t="s">
        <v>767</v>
      </c>
      <c r="J3010" s="6" t="s">
        <v>767</v>
      </c>
      <c r="K3010" s="7">
        <v>6225010</v>
      </c>
      <c r="L3010" s="7">
        <v>339646</v>
      </c>
      <c r="M3010" s="7">
        <v>19</v>
      </c>
      <c r="N3010" s="7">
        <v>1</v>
      </c>
      <c r="O3010" s="7">
        <v>0.01</v>
      </c>
    </row>
    <row r="3011" spans="1:15" x14ac:dyDescent="0.25">
      <c r="A3011" s="6" t="s">
        <v>28</v>
      </c>
      <c r="B3011" s="6" t="s">
        <v>382</v>
      </c>
      <c r="C3011" s="7">
        <v>30230</v>
      </c>
      <c r="D3011" s="6" t="s">
        <v>39</v>
      </c>
      <c r="E3011" s="6" t="s">
        <v>40</v>
      </c>
      <c r="F3011" s="6" t="s">
        <v>181</v>
      </c>
      <c r="G3011" s="6" t="s">
        <v>32</v>
      </c>
      <c r="H3011" s="6" t="s">
        <v>19</v>
      </c>
      <c r="I3011" s="6" t="s">
        <v>767</v>
      </c>
      <c r="J3011" s="6" t="s">
        <v>767</v>
      </c>
      <c r="K3011" s="7">
        <v>6111405</v>
      </c>
      <c r="L3011" s="7">
        <v>302245</v>
      </c>
      <c r="M3011" s="7">
        <v>19</v>
      </c>
      <c r="N3011" s="7">
        <v>1</v>
      </c>
      <c r="O3011" s="7">
        <v>4</v>
      </c>
    </row>
    <row r="3012" spans="1:15" x14ac:dyDescent="0.25">
      <c r="A3012" s="6" t="s">
        <v>28</v>
      </c>
      <c r="B3012" s="6" t="s">
        <v>382</v>
      </c>
      <c r="C3012" s="7">
        <v>30237</v>
      </c>
      <c r="D3012" s="6" t="s">
        <v>39</v>
      </c>
      <c r="E3012" s="6" t="s">
        <v>40</v>
      </c>
      <c r="F3012" s="6" t="s">
        <v>381</v>
      </c>
      <c r="G3012" s="6" t="s">
        <v>32</v>
      </c>
      <c r="H3012" s="6" t="s">
        <v>19</v>
      </c>
      <c r="I3012" s="6" t="s">
        <v>767</v>
      </c>
      <c r="J3012" s="6" t="s">
        <v>767</v>
      </c>
      <c r="K3012" s="7">
        <v>6106772</v>
      </c>
      <c r="L3012" s="7">
        <v>306105</v>
      </c>
      <c r="M3012" s="7">
        <v>19</v>
      </c>
      <c r="N3012" s="7">
        <v>1</v>
      </c>
      <c r="O3012" s="7">
        <v>2</v>
      </c>
    </row>
    <row r="3013" spans="1:15" x14ac:dyDescent="0.25">
      <c r="A3013" s="6" t="s">
        <v>28</v>
      </c>
      <c r="B3013" s="6" t="s">
        <v>382</v>
      </c>
      <c r="C3013" s="7">
        <v>30241</v>
      </c>
      <c r="D3013" s="6" t="s">
        <v>39</v>
      </c>
      <c r="E3013" s="6" t="s">
        <v>40</v>
      </c>
      <c r="F3013" s="6" t="s">
        <v>179</v>
      </c>
      <c r="G3013" s="6" t="s">
        <v>32</v>
      </c>
      <c r="H3013" s="6" t="s">
        <v>19</v>
      </c>
      <c r="I3013" s="6" t="s">
        <v>767</v>
      </c>
      <c r="J3013" s="6" t="s">
        <v>767</v>
      </c>
      <c r="K3013" s="7">
        <v>6124477</v>
      </c>
      <c r="L3013" s="7">
        <v>309879</v>
      </c>
      <c r="M3013" s="7">
        <v>19</v>
      </c>
      <c r="N3013" s="7">
        <v>1</v>
      </c>
      <c r="O3013" s="7">
        <v>2</v>
      </c>
    </row>
    <row r="3014" spans="1:15" x14ac:dyDescent="0.25">
      <c r="A3014" s="6" t="s">
        <v>28</v>
      </c>
      <c r="B3014" s="6" t="s">
        <v>382</v>
      </c>
      <c r="C3014" s="7">
        <v>30262</v>
      </c>
      <c r="D3014" s="6" t="s">
        <v>39</v>
      </c>
      <c r="E3014" s="6" t="s">
        <v>40</v>
      </c>
      <c r="F3014" s="6" t="s">
        <v>82</v>
      </c>
      <c r="G3014" s="6" t="s">
        <v>32</v>
      </c>
      <c r="H3014" s="6" t="s">
        <v>19</v>
      </c>
      <c r="I3014" s="6" t="s">
        <v>767</v>
      </c>
      <c r="J3014" s="6" t="s">
        <v>767</v>
      </c>
      <c r="K3014" s="7">
        <v>6112941</v>
      </c>
      <c r="L3014" s="7">
        <v>303616</v>
      </c>
      <c r="M3014" s="7">
        <v>19</v>
      </c>
      <c r="N3014" s="7">
        <v>1</v>
      </c>
      <c r="O3014" s="7">
        <v>2</v>
      </c>
    </row>
    <row r="3015" spans="1:15" x14ac:dyDescent="0.25">
      <c r="A3015" s="6" t="s">
        <v>14</v>
      </c>
      <c r="B3015" s="6" t="s">
        <v>382</v>
      </c>
      <c r="C3015" s="7">
        <v>30268</v>
      </c>
      <c r="D3015" s="6" t="s">
        <v>42</v>
      </c>
      <c r="E3015" s="6" t="s">
        <v>167</v>
      </c>
      <c r="F3015" s="6" t="s">
        <v>382</v>
      </c>
      <c r="G3015" s="6" t="s">
        <v>32</v>
      </c>
      <c r="H3015" s="6" t="s">
        <v>33</v>
      </c>
      <c r="I3015" s="6" t="s">
        <v>767</v>
      </c>
      <c r="J3015" s="6" t="s">
        <v>764</v>
      </c>
      <c r="K3015" s="7">
        <v>6228831</v>
      </c>
      <c r="L3015" s="7">
        <v>334876</v>
      </c>
      <c r="M3015" s="7">
        <v>19</v>
      </c>
      <c r="N3015" s="7">
        <v>3</v>
      </c>
      <c r="O3015" s="7">
        <v>49</v>
      </c>
    </row>
    <row r="3016" spans="1:15" x14ac:dyDescent="0.25">
      <c r="A3016" s="6" t="s">
        <v>14</v>
      </c>
      <c r="B3016" s="6" t="s">
        <v>382</v>
      </c>
      <c r="C3016" s="7">
        <v>30296</v>
      </c>
      <c r="D3016" s="6" t="s">
        <v>39</v>
      </c>
      <c r="E3016" s="6" t="s">
        <v>40</v>
      </c>
      <c r="F3016" s="6" t="s">
        <v>310</v>
      </c>
      <c r="G3016" s="6" t="s">
        <v>32</v>
      </c>
      <c r="H3016" s="6" t="s">
        <v>33</v>
      </c>
      <c r="I3016" s="6" t="s">
        <v>767</v>
      </c>
      <c r="J3016" s="6" t="s">
        <v>764</v>
      </c>
      <c r="K3016" s="7">
        <v>6118302</v>
      </c>
      <c r="L3016" s="7">
        <v>292040</v>
      </c>
      <c r="M3016" s="7">
        <v>19</v>
      </c>
      <c r="N3016" s="7">
        <v>1</v>
      </c>
      <c r="O3016" s="7">
        <v>7</v>
      </c>
    </row>
    <row r="3017" spans="1:15" x14ac:dyDescent="0.25">
      <c r="A3017" s="6" t="s">
        <v>28</v>
      </c>
      <c r="B3017" s="6" t="s">
        <v>382</v>
      </c>
      <c r="C3017" s="7">
        <v>30309</v>
      </c>
      <c r="D3017" s="6" t="s">
        <v>39</v>
      </c>
      <c r="E3017" s="6" t="s">
        <v>53</v>
      </c>
      <c r="F3017" s="6" t="s">
        <v>674</v>
      </c>
      <c r="G3017" s="6" t="s">
        <v>32</v>
      </c>
      <c r="H3017" s="6" t="s">
        <v>19</v>
      </c>
      <c r="I3017" s="6" t="s">
        <v>767</v>
      </c>
      <c r="J3017" s="6" t="s">
        <v>767</v>
      </c>
      <c r="K3017" s="7">
        <v>6140594</v>
      </c>
      <c r="L3017" s="7">
        <v>315032</v>
      </c>
      <c r="M3017" s="7">
        <v>19</v>
      </c>
      <c r="N3017" s="7">
        <v>1</v>
      </c>
      <c r="O3017" s="7">
        <v>2</v>
      </c>
    </row>
    <row r="3018" spans="1:15" x14ac:dyDescent="0.25">
      <c r="A3018" s="6" t="s">
        <v>28</v>
      </c>
      <c r="B3018" s="6" t="s">
        <v>382</v>
      </c>
      <c r="C3018" s="7">
        <v>30323</v>
      </c>
      <c r="D3018" s="6" t="s">
        <v>39</v>
      </c>
      <c r="E3018" s="6" t="s">
        <v>53</v>
      </c>
      <c r="F3018" s="6" t="s">
        <v>674</v>
      </c>
      <c r="G3018" s="6" t="s">
        <v>32</v>
      </c>
      <c r="H3018" s="6" t="s">
        <v>33</v>
      </c>
      <c r="I3018" s="6" t="s">
        <v>767</v>
      </c>
      <c r="J3018" s="6" t="s">
        <v>767</v>
      </c>
      <c r="K3018" s="7">
        <v>6136868</v>
      </c>
      <c r="L3018" s="7">
        <v>301820</v>
      </c>
      <c r="M3018" s="7">
        <v>19</v>
      </c>
      <c r="N3018" s="7">
        <v>1</v>
      </c>
      <c r="O3018" s="7">
        <v>6.5</v>
      </c>
    </row>
    <row r="3019" spans="1:15" x14ac:dyDescent="0.25">
      <c r="A3019" s="6" t="s">
        <v>14</v>
      </c>
      <c r="B3019" s="6" t="s">
        <v>382</v>
      </c>
      <c r="C3019" s="7">
        <v>30326</v>
      </c>
      <c r="D3019" s="6" t="s">
        <v>39</v>
      </c>
      <c r="E3019" s="6" t="s">
        <v>386</v>
      </c>
      <c r="F3019" s="6" t="s">
        <v>675</v>
      </c>
      <c r="G3019" s="6" t="s">
        <v>32</v>
      </c>
      <c r="H3019" s="6" t="s">
        <v>33</v>
      </c>
      <c r="I3019" s="6" t="s">
        <v>767</v>
      </c>
      <c r="J3019" s="6" t="s">
        <v>764</v>
      </c>
      <c r="K3019" s="7">
        <v>6130880</v>
      </c>
      <c r="L3019" s="7">
        <v>289330</v>
      </c>
      <c r="M3019" s="7">
        <v>19</v>
      </c>
      <c r="N3019" s="7">
        <v>4</v>
      </c>
      <c r="O3019" s="7">
        <v>26.5</v>
      </c>
    </row>
    <row r="3020" spans="1:15" x14ac:dyDescent="0.25">
      <c r="A3020" s="6" t="s">
        <v>14</v>
      </c>
      <c r="B3020" s="6" t="s">
        <v>382</v>
      </c>
      <c r="C3020" s="7">
        <v>30328</v>
      </c>
      <c r="D3020" s="6" t="s">
        <v>39</v>
      </c>
      <c r="E3020" s="6" t="s">
        <v>310</v>
      </c>
      <c r="F3020" s="6" t="s">
        <v>310</v>
      </c>
      <c r="G3020" s="6" t="s">
        <v>32</v>
      </c>
      <c r="H3020" s="6" t="s">
        <v>33</v>
      </c>
      <c r="I3020" s="6" t="s">
        <v>767</v>
      </c>
      <c r="J3020" s="6" t="s">
        <v>764</v>
      </c>
      <c r="K3020" s="7">
        <v>6111930</v>
      </c>
      <c r="L3020" s="7">
        <v>293496</v>
      </c>
      <c r="M3020" s="7">
        <v>19</v>
      </c>
      <c r="N3020" s="7">
        <v>2</v>
      </c>
      <c r="O3020" s="7">
        <v>14</v>
      </c>
    </row>
    <row r="3021" spans="1:15" x14ac:dyDescent="0.25">
      <c r="A3021" s="6" t="s">
        <v>14</v>
      </c>
      <c r="B3021" s="6" t="s">
        <v>382</v>
      </c>
      <c r="C3021" s="7">
        <v>30330</v>
      </c>
      <c r="D3021" s="6" t="s">
        <v>39</v>
      </c>
      <c r="E3021" s="6" t="s">
        <v>87</v>
      </c>
      <c r="F3021" s="6" t="s">
        <v>70</v>
      </c>
      <c r="G3021" s="6" t="s">
        <v>32</v>
      </c>
      <c r="H3021" s="6" t="s">
        <v>33</v>
      </c>
      <c r="I3021" s="6" t="s">
        <v>767</v>
      </c>
      <c r="J3021" s="6" t="s">
        <v>767</v>
      </c>
      <c r="K3021" s="7">
        <v>6096376</v>
      </c>
      <c r="L3021" s="7">
        <v>295300</v>
      </c>
      <c r="M3021" s="7">
        <v>19</v>
      </c>
      <c r="N3021" s="7">
        <v>1</v>
      </c>
      <c r="O3021" s="7">
        <v>4</v>
      </c>
    </row>
    <row r="3022" spans="1:15" x14ac:dyDescent="0.25">
      <c r="A3022" s="6" t="s">
        <v>28</v>
      </c>
      <c r="B3022" s="6" t="s">
        <v>382</v>
      </c>
      <c r="C3022" s="7">
        <v>30367</v>
      </c>
      <c r="D3022" s="6" t="s">
        <v>42</v>
      </c>
      <c r="E3022" s="6" t="s">
        <v>167</v>
      </c>
      <c r="F3022" s="6" t="s">
        <v>382</v>
      </c>
      <c r="G3022" s="6" t="s">
        <v>32</v>
      </c>
      <c r="H3022" s="6" t="s">
        <v>33</v>
      </c>
      <c r="I3022" s="6" t="s">
        <v>767</v>
      </c>
      <c r="J3022" s="6" t="s">
        <v>767</v>
      </c>
      <c r="K3022" s="7">
        <v>6216325</v>
      </c>
      <c r="L3022" s="7">
        <v>335577</v>
      </c>
      <c r="M3022" s="7">
        <v>19</v>
      </c>
      <c r="N3022" s="7">
        <v>1</v>
      </c>
      <c r="O3022" s="7">
        <v>10.5</v>
      </c>
    </row>
    <row r="3023" spans="1:15" x14ac:dyDescent="0.25">
      <c r="A3023" s="6" t="s">
        <v>14</v>
      </c>
      <c r="B3023" s="6" t="s">
        <v>382</v>
      </c>
      <c r="C3023" s="7">
        <v>30370</v>
      </c>
      <c r="D3023" s="6" t="s">
        <v>42</v>
      </c>
      <c r="E3023" s="6" t="s">
        <v>51</v>
      </c>
      <c r="F3023" s="6" t="s">
        <v>51</v>
      </c>
      <c r="G3023" s="6" t="s">
        <v>32</v>
      </c>
      <c r="H3023" s="6" t="s">
        <v>33</v>
      </c>
      <c r="I3023" s="6" t="s">
        <v>767</v>
      </c>
      <c r="J3023" s="6" t="s">
        <v>764</v>
      </c>
      <c r="K3023" s="7">
        <v>6150832</v>
      </c>
      <c r="L3023" s="7">
        <v>318959</v>
      </c>
      <c r="M3023" s="7">
        <v>19</v>
      </c>
      <c r="N3023" s="7">
        <v>2</v>
      </c>
      <c r="O3023" s="7">
        <v>5</v>
      </c>
    </row>
    <row r="3024" spans="1:15" x14ac:dyDescent="0.25">
      <c r="A3024" s="6" t="s">
        <v>14</v>
      </c>
      <c r="B3024" s="6" t="s">
        <v>382</v>
      </c>
      <c r="C3024" s="7">
        <v>30397</v>
      </c>
      <c r="D3024" s="6" t="s">
        <v>42</v>
      </c>
      <c r="E3024" s="6" t="s">
        <v>51</v>
      </c>
      <c r="F3024" s="6" t="s">
        <v>51</v>
      </c>
      <c r="G3024" s="6" t="s">
        <v>32</v>
      </c>
      <c r="H3024" s="6" t="s">
        <v>33</v>
      </c>
      <c r="I3024" s="6" t="s">
        <v>767</v>
      </c>
      <c r="J3024" s="6" t="s">
        <v>764</v>
      </c>
      <c r="K3024" s="7">
        <v>6150458</v>
      </c>
      <c r="L3024" s="7">
        <v>317052</v>
      </c>
      <c r="M3024" s="7">
        <v>19</v>
      </c>
      <c r="N3024" s="7">
        <v>2</v>
      </c>
      <c r="O3024" s="7">
        <v>12</v>
      </c>
    </row>
    <row r="3025" spans="1:15" x14ac:dyDescent="0.25">
      <c r="A3025" s="6" t="s">
        <v>14</v>
      </c>
      <c r="B3025" s="6" t="s">
        <v>382</v>
      </c>
      <c r="C3025" s="7">
        <v>30418</v>
      </c>
      <c r="D3025" s="6" t="s">
        <v>39</v>
      </c>
      <c r="E3025" s="6" t="s">
        <v>310</v>
      </c>
      <c r="F3025" s="6" t="s">
        <v>676</v>
      </c>
      <c r="G3025" s="6" t="s">
        <v>32</v>
      </c>
      <c r="H3025" s="6" t="s">
        <v>33</v>
      </c>
      <c r="I3025" s="6" t="s">
        <v>767</v>
      </c>
      <c r="J3025" s="6" t="s">
        <v>764</v>
      </c>
      <c r="K3025" s="7">
        <v>6111844</v>
      </c>
      <c r="L3025" s="7">
        <v>293062</v>
      </c>
      <c r="M3025" s="7">
        <v>19</v>
      </c>
      <c r="N3025" s="7">
        <v>4</v>
      </c>
      <c r="O3025" s="7">
        <v>15</v>
      </c>
    </row>
    <row r="3026" spans="1:15" x14ac:dyDescent="0.25">
      <c r="A3026" s="6" t="s">
        <v>14</v>
      </c>
      <c r="B3026" s="6" t="s">
        <v>382</v>
      </c>
      <c r="C3026" s="7">
        <v>30428</v>
      </c>
      <c r="D3026" s="6" t="s">
        <v>42</v>
      </c>
      <c r="E3026" s="6" t="s">
        <v>51</v>
      </c>
      <c r="F3026" s="6" t="s">
        <v>51</v>
      </c>
      <c r="G3026" s="6" t="s">
        <v>32</v>
      </c>
      <c r="H3026" s="6" t="s">
        <v>33</v>
      </c>
      <c r="I3026" s="6" t="s">
        <v>767</v>
      </c>
      <c r="J3026" s="6" t="s">
        <v>764</v>
      </c>
      <c r="K3026" s="7">
        <v>6150356</v>
      </c>
      <c r="L3026" s="7">
        <v>316669</v>
      </c>
      <c r="M3026" s="7">
        <v>19</v>
      </c>
      <c r="N3026" s="7">
        <v>1</v>
      </c>
      <c r="O3026" s="7">
        <v>11.5</v>
      </c>
    </row>
    <row r="3027" spans="1:15" x14ac:dyDescent="0.25">
      <c r="A3027" s="6" t="s">
        <v>14</v>
      </c>
      <c r="B3027" s="6" t="s">
        <v>382</v>
      </c>
      <c r="C3027" s="7">
        <v>30506</v>
      </c>
      <c r="D3027" s="6" t="s">
        <v>42</v>
      </c>
      <c r="E3027" s="6" t="s">
        <v>51</v>
      </c>
      <c r="F3027" s="6" t="s">
        <v>51</v>
      </c>
      <c r="G3027" s="6" t="s">
        <v>32</v>
      </c>
      <c r="H3027" s="6" t="s">
        <v>33</v>
      </c>
      <c r="I3027" s="6" t="s">
        <v>767</v>
      </c>
      <c r="J3027" s="6" t="s">
        <v>764</v>
      </c>
      <c r="K3027" s="7">
        <v>6151094</v>
      </c>
      <c r="L3027" s="7">
        <v>318739</v>
      </c>
      <c r="M3027" s="7">
        <v>19</v>
      </c>
      <c r="N3027" s="7">
        <v>1</v>
      </c>
      <c r="O3027" s="7">
        <v>5.5</v>
      </c>
    </row>
    <row r="3028" spans="1:15" x14ac:dyDescent="0.25">
      <c r="A3028" s="6" t="s">
        <v>14</v>
      </c>
      <c r="B3028" s="6" t="s">
        <v>382</v>
      </c>
      <c r="C3028" s="7">
        <v>30510</v>
      </c>
      <c r="D3028" s="6" t="s">
        <v>24</v>
      </c>
      <c r="E3028" s="6" t="s">
        <v>427</v>
      </c>
      <c r="F3028" s="6" t="s">
        <v>37</v>
      </c>
      <c r="G3028" s="6" t="s">
        <v>32</v>
      </c>
      <c r="H3028" s="6" t="s">
        <v>19</v>
      </c>
      <c r="I3028" s="6" t="s">
        <v>767</v>
      </c>
      <c r="J3028" s="6" t="s">
        <v>767</v>
      </c>
      <c r="K3028" s="7">
        <v>6266947</v>
      </c>
      <c r="L3028" s="7">
        <v>322386</v>
      </c>
      <c r="M3028" s="7">
        <v>19</v>
      </c>
      <c r="N3028" s="7">
        <v>1</v>
      </c>
      <c r="O3028" s="7">
        <v>1.2</v>
      </c>
    </row>
    <row r="3029" spans="1:15" x14ac:dyDescent="0.25">
      <c r="A3029" s="6" t="s">
        <v>14</v>
      </c>
      <c r="B3029" s="6" t="s">
        <v>382</v>
      </c>
      <c r="C3029" s="7">
        <v>30518</v>
      </c>
      <c r="D3029" s="6" t="s">
        <v>39</v>
      </c>
      <c r="E3029" s="6" t="s">
        <v>53</v>
      </c>
      <c r="F3029" s="6" t="s">
        <v>40</v>
      </c>
      <c r="G3029" s="6" t="s">
        <v>32</v>
      </c>
      <c r="H3029" s="6" t="s">
        <v>33</v>
      </c>
      <c r="I3029" s="6" t="s">
        <v>767</v>
      </c>
      <c r="J3029" s="6" t="s">
        <v>767</v>
      </c>
      <c r="K3029" s="7">
        <v>6130384</v>
      </c>
      <c r="L3029" s="7">
        <v>318493</v>
      </c>
      <c r="M3029" s="7">
        <v>19</v>
      </c>
      <c r="N3029" s="7">
        <v>2</v>
      </c>
      <c r="O3029" s="7">
        <v>28</v>
      </c>
    </row>
    <row r="3030" spans="1:15" x14ac:dyDescent="0.25">
      <c r="A3030" s="6" t="s">
        <v>14</v>
      </c>
      <c r="B3030" s="6" t="s">
        <v>382</v>
      </c>
      <c r="C3030" s="7">
        <v>30524</v>
      </c>
      <c r="D3030" s="6" t="s">
        <v>42</v>
      </c>
      <c r="E3030" s="6" t="s">
        <v>51</v>
      </c>
      <c r="F3030" s="6" t="s">
        <v>51</v>
      </c>
      <c r="G3030" s="6" t="s">
        <v>32</v>
      </c>
      <c r="H3030" s="6" t="s">
        <v>33</v>
      </c>
      <c r="I3030" s="6" t="s">
        <v>767</v>
      </c>
      <c r="J3030" s="6" t="s">
        <v>764</v>
      </c>
      <c r="K3030" s="7">
        <v>6150783</v>
      </c>
      <c r="L3030" s="7">
        <v>318605</v>
      </c>
      <c r="M3030" s="7">
        <v>19</v>
      </c>
      <c r="N3030" s="7">
        <v>1</v>
      </c>
      <c r="O3030" s="7">
        <v>10.5</v>
      </c>
    </row>
    <row r="3031" spans="1:15" x14ac:dyDescent="0.25">
      <c r="A3031" s="6" t="s">
        <v>28</v>
      </c>
      <c r="B3031" s="6" t="s">
        <v>382</v>
      </c>
      <c r="C3031" s="7">
        <v>30566</v>
      </c>
      <c r="D3031" s="6" t="s">
        <v>42</v>
      </c>
      <c r="E3031" s="6" t="s">
        <v>45</v>
      </c>
      <c r="F3031" s="6" t="s">
        <v>45</v>
      </c>
      <c r="G3031" s="6" t="s">
        <v>32</v>
      </c>
      <c r="H3031" s="6" t="s">
        <v>33</v>
      </c>
      <c r="I3031" s="6" t="s">
        <v>767</v>
      </c>
      <c r="J3031" s="6" t="s">
        <v>767</v>
      </c>
      <c r="K3031" s="7">
        <v>6171413</v>
      </c>
      <c r="L3031" s="7">
        <v>313485</v>
      </c>
      <c r="M3031" s="7">
        <v>19</v>
      </c>
      <c r="N3031" s="7">
        <v>1</v>
      </c>
      <c r="O3031" s="7">
        <v>8</v>
      </c>
    </row>
    <row r="3032" spans="1:15" x14ac:dyDescent="0.25">
      <c r="A3032" s="6" t="s">
        <v>14</v>
      </c>
      <c r="B3032" s="6" t="s">
        <v>382</v>
      </c>
      <c r="C3032" s="7">
        <v>30581</v>
      </c>
      <c r="D3032" s="6" t="s">
        <v>39</v>
      </c>
      <c r="E3032" s="6" t="s">
        <v>40</v>
      </c>
      <c r="F3032" s="6" t="s">
        <v>181</v>
      </c>
      <c r="G3032" s="6" t="s">
        <v>32</v>
      </c>
      <c r="H3032" s="6" t="s">
        <v>33</v>
      </c>
      <c r="I3032" s="6" t="s">
        <v>767</v>
      </c>
      <c r="J3032" s="6" t="s">
        <v>767</v>
      </c>
      <c r="K3032" s="7">
        <v>6117376</v>
      </c>
      <c r="L3032" s="7">
        <v>299786</v>
      </c>
      <c r="M3032" s="7">
        <v>19</v>
      </c>
      <c r="N3032" s="7">
        <v>2</v>
      </c>
      <c r="O3032" s="7">
        <v>26</v>
      </c>
    </row>
    <row r="3033" spans="1:15" x14ac:dyDescent="0.25">
      <c r="A3033" s="6" t="s">
        <v>28</v>
      </c>
      <c r="B3033" s="6" t="s">
        <v>382</v>
      </c>
      <c r="C3033" s="7">
        <v>30611</v>
      </c>
      <c r="D3033" s="6" t="s">
        <v>42</v>
      </c>
      <c r="E3033" s="6" t="s">
        <v>51</v>
      </c>
      <c r="F3033" s="6" t="s">
        <v>51</v>
      </c>
      <c r="G3033" s="6" t="s">
        <v>32</v>
      </c>
      <c r="H3033" s="6" t="s">
        <v>33</v>
      </c>
      <c r="I3033" s="6" t="s">
        <v>767</v>
      </c>
      <c r="J3033" s="6" t="s">
        <v>767</v>
      </c>
      <c r="K3033" s="7">
        <v>6152894</v>
      </c>
      <c r="L3033" s="7">
        <v>319533</v>
      </c>
      <c r="M3033" s="7">
        <v>19</v>
      </c>
      <c r="N3033" s="7">
        <v>2</v>
      </c>
      <c r="O3033" s="7">
        <v>12.5</v>
      </c>
    </row>
    <row r="3034" spans="1:15" x14ac:dyDescent="0.25">
      <c r="A3034" s="6" t="s">
        <v>28</v>
      </c>
      <c r="B3034" s="6" t="s">
        <v>382</v>
      </c>
      <c r="C3034" s="7">
        <v>30625</v>
      </c>
      <c r="D3034" s="6" t="s">
        <v>39</v>
      </c>
      <c r="E3034" s="6" t="s">
        <v>40</v>
      </c>
      <c r="F3034" s="6" t="s">
        <v>53</v>
      </c>
      <c r="G3034" s="6" t="s">
        <v>32</v>
      </c>
      <c r="H3034" s="6" t="s">
        <v>33</v>
      </c>
      <c r="I3034" s="6" t="s">
        <v>767</v>
      </c>
      <c r="J3034" s="6" t="s">
        <v>764</v>
      </c>
      <c r="K3034" s="7">
        <v>6140662</v>
      </c>
      <c r="L3034" s="7">
        <v>315413</v>
      </c>
      <c r="M3034" s="7">
        <v>19</v>
      </c>
      <c r="N3034" s="7">
        <v>1</v>
      </c>
      <c r="O3034" s="7">
        <v>7</v>
      </c>
    </row>
    <row r="3035" spans="1:15" x14ac:dyDescent="0.25">
      <c r="A3035" s="6" t="s">
        <v>28</v>
      </c>
      <c r="B3035" s="6" t="s">
        <v>382</v>
      </c>
      <c r="C3035" s="7">
        <v>30636</v>
      </c>
      <c r="D3035" s="6" t="s">
        <v>39</v>
      </c>
      <c r="E3035" s="6" t="s">
        <v>87</v>
      </c>
      <c r="F3035" s="6" t="s">
        <v>87</v>
      </c>
      <c r="G3035" s="6" t="s">
        <v>32</v>
      </c>
      <c r="H3035" s="6" t="s">
        <v>33</v>
      </c>
      <c r="I3035" s="6" t="s">
        <v>767</v>
      </c>
      <c r="J3035" s="6" t="s">
        <v>767</v>
      </c>
      <c r="K3035" s="7">
        <v>6098176</v>
      </c>
      <c r="L3035" s="7">
        <v>297899</v>
      </c>
      <c r="M3035" s="7">
        <v>19</v>
      </c>
      <c r="N3035" s="7">
        <v>2</v>
      </c>
      <c r="O3035" s="7">
        <v>14</v>
      </c>
    </row>
    <row r="3036" spans="1:15" x14ac:dyDescent="0.25">
      <c r="A3036" s="6" t="s">
        <v>14</v>
      </c>
      <c r="B3036" s="6" t="s">
        <v>382</v>
      </c>
      <c r="C3036" s="7">
        <v>30641</v>
      </c>
      <c r="D3036" s="6" t="s">
        <v>39</v>
      </c>
      <c r="E3036" s="6" t="s">
        <v>40</v>
      </c>
      <c r="F3036" s="6" t="s">
        <v>40</v>
      </c>
      <c r="G3036" s="6" t="s">
        <v>32</v>
      </c>
      <c r="H3036" s="6" t="s">
        <v>33</v>
      </c>
      <c r="I3036" s="6" t="s">
        <v>767</v>
      </c>
      <c r="J3036" s="6" t="s">
        <v>764</v>
      </c>
      <c r="K3036" s="7">
        <v>6126349</v>
      </c>
      <c r="L3036" s="7">
        <v>302501</v>
      </c>
      <c r="M3036" s="7">
        <v>19</v>
      </c>
      <c r="N3036" s="7">
        <v>1</v>
      </c>
      <c r="O3036" s="7">
        <v>4.5</v>
      </c>
    </row>
    <row r="3037" spans="1:15" x14ac:dyDescent="0.25">
      <c r="A3037" s="6" t="s">
        <v>28</v>
      </c>
      <c r="B3037" s="6" t="s">
        <v>382</v>
      </c>
      <c r="C3037" s="7">
        <v>30642</v>
      </c>
      <c r="D3037" s="6" t="s">
        <v>39</v>
      </c>
      <c r="E3037" s="6" t="s">
        <v>53</v>
      </c>
      <c r="F3037" s="6" t="s">
        <v>51</v>
      </c>
      <c r="G3037" s="6" t="s">
        <v>32</v>
      </c>
      <c r="H3037" s="6" t="s">
        <v>33</v>
      </c>
      <c r="I3037" s="6" t="s">
        <v>767</v>
      </c>
      <c r="J3037" s="6" t="s">
        <v>764</v>
      </c>
      <c r="K3037" s="7">
        <v>6140854</v>
      </c>
      <c r="L3037" s="7">
        <v>314969</v>
      </c>
      <c r="M3037" s="7">
        <v>19</v>
      </c>
      <c r="N3037" s="7">
        <v>1</v>
      </c>
      <c r="O3037" s="7">
        <v>8</v>
      </c>
    </row>
    <row r="3038" spans="1:15" x14ac:dyDescent="0.25">
      <c r="A3038" s="6" t="s">
        <v>14</v>
      </c>
      <c r="B3038" s="6" t="s">
        <v>382</v>
      </c>
      <c r="C3038" s="7">
        <v>30644</v>
      </c>
      <c r="D3038" s="6" t="s">
        <v>39</v>
      </c>
      <c r="E3038" s="6" t="s">
        <v>40</v>
      </c>
      <c r="F3038" s="6" t="s">
        <v>40</v>
      </c>
      <c r="G3038" s="6" t="s">
        <v>32</v>
      </c>
      <c r="H3038" s="6" t="s">
        <v>33</v>
      </c>
      <c r="I3038" s="6" t="s">
        <v>767</v>
      </c>
      <c r="J3038" s="6" t="s">
        <v>764</v>
      </c>
      <c r="K3038" s="7">
        <v>6126633</v>
      </c>
      <c r="L3038" s="7">
        <v>299517</v>
      </c>
      <c r="M3038" s="7">
        <v>19</v>
      </c>
      <c r="N3038" s="7">
        <v>2</v>
      </c>
      <c r="O3038" s="7">
        <v>13.4</v>
      </c>
    </row>
    <row r="3039" spans="1:15" x14ac:dyDescent="0.25">
      <c r="A3039" s="6" t="s">
        <v>14</v>
      </c>
      <c r="B3039" s="6" t="s">
        <v>382</v>
      </c>
      <c r="C3039" s="7">
        <v>30656</v>
      </c>
      <c r="D3039" s="6" t="s">
        <v>39</v>
      </c>
      <c r="E3039" s="6" t="s">
        <v>72</v>
      </c>
      <c r="F3039" s="6" t="s">
        <v>72</v>
      </c>
      <c r="G3039" s="6" t="s">
        <v>32</v>
      </c>
      <c r="H3039" s="6" t="s">
        <v>33</v>
      </c>
      <c r="I3039" s="6" t="s">
        <v>767</v>
      </c>
      <c r="J3039" s="6" t="s">
        <v>767</v>
      </c>
      <c r="K3039" s="7">
        <v>6059193</v>
      </c>
      <c r="L3039" s="7">
        <v>282501</v>
      </c>
      <c r="M3039" s="7">
        <v>19</v>
      </c>
      <c r="N3039" s="7">
        <v>8</v>
      </c>
      <c r="O3039" s="7">
        <v>12.3</v>
      </c>
    </row>
    <row r="3040" spans="1:15" x14ac:dyDescent="0.25">
      <c r="A3040" s="6" t="s">
        <v>14</v>
      </c>
      <c r="B3040" s="6" t="s">
        <v>382</v>
      </c>
      <c r="C3040" s="7">
        <v>30659</v>
      </c>
      <c r="D3040" s="6" t="s">
        <v>39</v>
      </c>
      <c r="E3040" s="6" t="s">
        <v>72</v>
      </c>
      <c r="F3040" s="6" t="s">
        <v>72</v>
      </c>
      <c r="G3040" s="6" t="s">
        <v>32</v>
      </c>
      <c r="H3040" s="6" t="s">
        <v>33</v>
      </c>
      <c r="I3040" s="6" t="s">
        <v>767</v>
      </c>
      <c r="J3040" s="6" t="s">
        <v>767</v>
      </c>
      <c r="K3040" s="7">
        <v>6059013</v>
      </c>
      <c r="L3040" s="7">
        <v>282484</v>
      </c>
      <c r="M3040" s="7">
        <v>19</v>
      </c>
      <c r="N3040" s="7">
        <v>2</v>
      </c>
      <c r="O3040" s="7">
        <v>4.7</v>
      </c>
    </row>
    <row r="3041" spans="1:15" x14ac:dyDescent="0.25">
      <c r="A3041" s="6" t="s">
        <v>14</v>
      </c>
      <c r="B3041" s="6" t="s">
        <v>382</v>
      </c>
      <c r="C3041" s="7">
        <v>30661</v>
      </c>
      <c r="D3041" s="6" t="s">
        <v>39</v>
      </c>
      <c r="E3041" s="6" t="s">
        <v>156</v>
      </c>
      <c r="F3041" s="6" t="s">
        <v>156</v>
      </c>
      <c r="G3041" s="6" t="s">
        <v>32</v>
      </c>
      <c r="H3041" s="6" t="s">
        <v>33</v>
      </c>
      <c r="I3041" s="6" t="s">
        <v>767</v>
      </c>
      <c r="J3041" s="6" t="s">
        <v>767</v>
      </c>
      <c r="K3041" s="7">
        <v>6026357</v>
      </c>
      <c r="L3041" s="7">
        <v>271836</v>
      </c>
      <c r="M3041" s="7">
        <v>19</v>
      </c>
      <c r="N3041" s="7">
        <v>4</v>
      </c>
      <c r="O3041" s="7">
        <v>21</v>
      </c>
    </row>
    <row r="3042" spans="1:15" x14ac:dyDescent="0.25">
      <c r="A3042" s="6" t="s">
        <v>28</v>
      </c>
      <c r="B3042" s="6" t="s">
        <v>382</v>
      </c>
      <c r="C3042" s="7">
        <v>30664</v>
      </c>
      <c r="D3042" s="6" t="s">
        <v>39</v>
      </c>
      <c r="E3042" s="6" t="s">
        <v>156</v>
      </c>
      <c r="F3042" s="6" t="s">
        <v>156</v>
      </c>
      <c r="G3042" s="6" t="s">
        <v>32</v>
      </c>
      <c r="H3042" s="6" t="s">
        <v>33</v>
      </c>
      <c r="I3042" s="6" t="s">
        <v>767</v>
      </c>
      <c r="J3042" s="6" t="s">
        <v>767</v>
      </c>
      <c r="K3042" s="7">
        <v>6026097</v>
      </c>
      <c r="L3042" s="7">
        <v>273085</v>
      </c>
      <c r="M3042" s="7">
        <v>19</v>
      </c>
      <c r="N3042" s="7">
        <v>2</v>
      </c>
      <c r="O3042" s="7">
        <v>54</v>
      </c>
    </row>
    <row r="3043" spans="1:15" x14ac:dyDescent="0.25">
      <c r="A3043" s="6" t="s">
        <v>14</v>
      </c>
      <c r="B3043" s="6" t="s">
        <v>382</v>
      </c>
      <c r="C3043" s="7">
        <v>30702</v>
      </c>
      <c r="D3043" s="6" t="s">
        <v>39</v>
      </c>
      <c r="E3043" s="6" t="s">
        <v>72</v>
      </c>
      <c r="F3043" s="6" t="s">
        <v>87</v>
      </c>
      <c r="G3043" s="6" t="s">
        <v>32</v>
      </c>
      <c r="H3043" s="6" t="s">
        <v>33</v>
      </c>
      <c r="I3043" s="6" t="s">
        <v>767</v>
      </c>
      <c r="J3043" s="6" t="s">
        <v>767</v>
      </c>
      <c r="K3043" s="7">
        <v>6058918</v>
      </c>
      <c r="L3043" s="7">
        <v>281815</v>
      </c>
      <c r="M3043" s="7">
        <v>19</v>
      </c>
      <c r="N3043" s="7">
        <v>1</v>
      </c>
      <c r="O3043" s="7">
        <v>10</v>
      </c>
    </row>
    <row r="3044" spans="1:15" x14ac:dyDescent="0.25">
      <c r="A3044" s="6" t="s">
        <v>14</v>
      </c>
      <c r="B3044" s="6" t="s">
        <v>382</v>
      </c>
      <c r="C3044" s="7">
        <v>30704</v>
      </c>
      <c r="D3044" s="6" t="s">
        <v>39</v>
      </c>
      <c r="E3044" s="6" t="s">
        <v>72</v>
      </c>
      <c r="F3044" s="6" t="s">
        <v>87</v>
      </c>
      <c r="G3044" s="6" t="s">
        <v>32</v>
      </c>
      <c r="H3044" s="6" t="s">
        <v>33</v>
      </c>
      <c r="I3044" s="6" t="s">
        <v>767</v>
      </c>
      <c r="J3044" s="6" t="s">
        <v>767</v>
      </c>
      <c r="K3044" s="7">
        <v>6058941</v>
      </c>
      <c r="L3044" s="7">
        <v>282153</v>
      </c>
      <c r="M3044" s="7">
        <v>19</v>
      </c>
      <c r="N3044" s="7">
        <v>1</v>
      </c>
      <c r="O3044" s="7">
        <v>10</v>
      </c>
    </row>
    <row r="3045" spans="1:15" x14ac:dyDescent="0.25">
      <c r="A3045" s="6" t="s">
        <v>14</v>
      </c>
      <c r="B3045" s="6" t="s">
        <v>382</v>
      </c>
      <c r="C3045" s="7">
        <v>30707</v>
      </c>
      <c r="D3045" s="6" t="s">
        <v>39</v>
      </c>
      <c r="E3045" s="6" t="s">
        <v>72</v>
      </c>
      <c r="F3045" s="6" t="s">
        <v>72</v>
      </c>
      <c r="G3045" s="6" t="s">
        <v>32</v>
      </c>
      <c r="H3045" s="6" t="s">
        <v>33</v>
      </c>
      <c r="I3045" s="6" t="s">
        <v>767</v>
      </c>
      <c r="J3045" s="6" t="s">
        <v>767</v>
      </c>
      <c r="K3045" s="7">
        <v>6058768</v>
      </c>
      <c r="L3045" s="7">
        <v>287076</v>
      </c>
      <c r="M3045" s="7">
        <v>19</v>
      </c>
      <c r="N3045" s="7">
        <v>4</v>
      </c>
      <c r="O3045" s="7">
        <v>13</v>
      </c>
    </row>
    <row r="3046" spans="1:15" x14ac:dyDescent="0.25">
      <c r="A3046" s="6" t="s">
        <v>28</v>
      </c>
      <c r="B3046" s="6" t="s">
        <v>382</v>
      </c>
      <c r="C3046" s="7">
        <v>30708</v>
      </c>
      <c r="D3046" s="6" t="s">
        <v>39</v>
      </c>
      <c r="E3046" s="6" t="s">
        <v>156</v>
      </c>
      <c r="F3046" s="6" t="s">
        <v>156</v>
      </c>
      <c r="G3046" s="6" t="s">
        <v>32</v>
      </c>
      <c r="H3046" s="6" t="s">
        <v>33</v>
      </c>
      <c r="I3046" s="6" t="s">
        <v>767</v>
      </c>
      <c r="J3046" s="6" t="s">
        <v>767</v>
      </c>
      <c r="K3046" s="7">
        <v>6044940</v>
      </c>
      <c r="L3046" s="7">
        <v>274492</v>
      </c>
      <c r="M3046" s="7">
        <v>19</v>
      </c>
      <c r="N3046" s="7">
        <v>4</v>
      </c>
      <c r="O3046" s="7">
        <v>23.3</v>
      </c>
    </row>
    <row r="3047" spans="1:15" x14ac:dyDescent="0.25">
      <c r="A3047" s="6" t="s">
        <v>14</v>
      </c>
      <c r="B3047" s="6" t="s">
        <v>382</v>
      </c>
      <c r="C3047" s="7">
        <v>30710</v>
      </c>
      <c r="D3047" s="6" t="s">
        <v>39</v>
      </c>
      <c r="E3047" s="6" t="s">
        <v>156</v>
      </c>
      <c r="F3047" s="6" t="s">
        <v>156</v>
      </c>
      <c r="G3047" s="6" t="s">
        <v>32</v>
      </c>
      <c r="H3047" s="6" t="s">
        <v>33</v>
      </c>
      <c r="I3047" s="6" t="s">
        <v>767</v>
      </c>
      <c r="J3047" s="6" t="s">
        <v>767</v>
      </c>
      <c r="K3047" s="7">
        <v>6026351</v>
      </c>
      <c r="L3047" s="7">
        <v>272491</v>
      </c>
      <c r="M3047" s="7">
        <v>19</v>
      </c>
      <c r="N3047" s="7">
        <v>3</v>
      </c>
      <c r="O3047" s="7">
        <v>19.75</v>
      </c>
    </row>
    <row r="3048" spans="1:15" x14ac:dyDescent="0.25">
      <c r="A3048" s="6" t="s">
        <v>14</v>
      </c>
      <c r="B3048" s="6" t="s">
        <v>382</v>
      </c>
      <c r="C3048" s="7">
        <v>30775</v>
      </c>
      <c r="D3048" s="6" t="s">
        <v>42</v>
      </c>
      <c r="E3048" s="6" t="s">
        <v>167</v>
      </c>
      <c r="F3048" s="6" t="s">
        <v>382</v>
      </c>
      <c r="G3048" s="6" t="s">
        <v>32</v>
      </c>
      <c r="H3048" s="6" t="s">
        <v>33</v>
      </c>
      <c r="I3048" s="6" t="s">
        <v>767</v>
      </c>
      <c r="J3048" s="6" t="s">
        <v>767</v>
      </c>
      <c r="K3048" s="7">
        <v>6225518</v>
      </c>
      <c r="L3048" s="7">
        <v>337662</v>
      </c>
      <c r="M3048" s="7">
        <v>19</v>
      </c>
      <c r="N3048" s="7">
        <v>13</v>
      </c>
      <c r="O3048" s="7">
        <v>116.14</v>
      </c>
    </row>
    <row r="3049" spans="1:15" x14ac:dyDescent="0.25">
      <c r="A3049" s="6" t="s">
        <v>14</v>
      </c>
      <c r="B3049" s="6" t="s">
        <v>382</v>
      </c>
      <c r="C3049" s="7">
        <v>30779</v>
      </c>
      <c r="D3049" s="6" t="s">
        <v>24</v>
      </c>
      <c r="E3049" s="6" t="s">
        <v>49</v>
      </c>
      <c r="F3049" s="6" t="s">
        <v>49</v>
      </c>
      <c r="G3049" s="6" t="s">
        <v>32</v>
      </c>
      <c r="H3049" s="6" t="s">
        <v>33</v>
      </c>
      <c r="I3049" s="6" t="s">
        <v>767</v>
      </c>
      <c r="J3049" s="6" t="s">
        <v>764</v>
      </c>
      <c r="K3049" s="7">
        <v>6273417</v>
      </c>
      <c r="L3049" s="7">
        <v>357751</v>
      </c>
      <c r="M3049" s="7">
        <v>19</v>
      </c>
      <c r="N3049" s="7">
        <v>3</v>
      </c>
      <c r="O3049" s="7">
        <v>24.51</v>
      </c>
    </row>
    <row r="3050" spans="1:15" x14ac:dyDescent="0.25">
      <c r="A3050" s="6" t="s">
        <v>14</v>
      </c>
      <c r="B3050" s="6" t="s">
        <v>382</v>
      </c>
      <c r="C3050" s="7">
        <v>30780</v>
      </c>
      <c r="D3050" s="6" t="s">
        <v>39</v>
      </c>
      <c r="E3050" s="6" t="s">
        <v>87</v>
      </c>
      <c r="F3050" s="6" t="s">
        <v>87</v>
      </c>
      <c r="G3050" s="6" t="s">
        <v>32</v>
      </c>
      <c r="H3050" s="6" t="s">
        <v>33</v>
      </c>
      <c r="I3050" s="6" t="s">
        <v>767</v>
      </c>
      <c r="J3050" s="6" t="s">
        <v>767</v>
      </c>
      <c r="K3050" s="7">
        <v>6097798</v>
      </c>
      <c r="L3050" s="7">
        <v>298411</v>
      </c>
      <c r="M3050" s="7">
        <v>19</v>
      </c>
      <c r="N3050" s="7">
        <v>1</v>
      </c>
      <c r="O3050" s="7">
        <v>14</v>
      </c>
    </row>
    <row r="3051" spans="1:15" x14ac:dyDescent="0.25">
      <c r="A3051" s="6" t="s">
        <v>28</v>
      </c>
      <c r="B3051" s="6" t="s">
        <v>382</v>
      </c>
      <c r="C3051" s="7">
        <v>30781</v>
      </c>
      <c r="D3051" s="6" t="s">
        <v>42</v>
      </c>
      <c r="E3051" s="6" t="s">
        <v>448</v>
      </c>
      <c r="F3051" s="6" t="s">
        <v>448</v>
      </c>
      <c r="G3051" s="6" t="s">
        <v>32</v>
      </c>
      <c r="H3051" s="6" t="s">
        <v>33</v>
      </c>
      <c r="I3051" s="6" t="s">
        <v>767</v>
      </c>
      <c r="J3051" s="6" t="s">
        <v>764</v>
      </c>
      <c r="K3051" s="7">
        <v>6165434</v>
      </c>
      <c r="L3051" s="7">
        <v>286431</v>
      </c>
      <c r="M3051" s="7">
        <v>19</v>
      </c>
      <c r="N3051" s="7">
        <v>2</v>
      </c>
      <c r="O3051" s="7">
        <v>21</v>
      </c>
    </row>
    <row r="3052" spans="1:15" x14ac:dyDescent="0.25">
      <c r="A3052" s="6" t="s">
        <v>14</v>
      </c>
      <c r="B3052" s="6" t="s">
        <v>382</v>
      </c>
      <c r="C3052" s="7">
        <v>30798</v>
      </c>
      <c r="D3052" s="6" t="s">
        <v>42</v>
      </c>
      <c r="E3052" s="6" t="s">
        <v>225</v>
      </c>
      <c r="F3052" s="6" t="s">
        <v>63</v>
      </c>
      <c r="G3052" s="6" t="s">
        <v>32</v>
      </c>
      <c r="H3052" s="6" t="s">
        <v>33</v>
      </c>
      <c r="I3052" s="6" t="s">
        <v>767</v>
      </c>
      <c r="J3052" s="6" t="s">
        <v>767</v>
      </c>
      <c r="K3052" s="7">
        <v>6179949</v>
      </c>
      <c r="L3052" s="7">
        <v>278280</v>
      </c>
      <c r="M3052" s="7">
        <v>19</v>
      </c>
      <c r="N3052" s="7">
        <v>1</v>
      </c>
      <c r="O3052" s="7">
        <v>6</v>
      </c>
    </row>
    <row r="3053" spans="1:15" x14ac:dyDescent="0.25">
      <c r="A3053" s="6" t="s">
        <v>28</v>
      </c>
      <c r="B3053" s="6" t="s">
        <v>382</v>
      </c>
      <c r="C3053" s="7">
        <v>30862</v>
      </c>
      <c r="D3053" s="6" t="s">
        <v>16</v>
      </c>
      <c r="E3053" s="6" t="s">
        <v>332</v>
      </c>
      <c r="F3053" s="6" t="s">
        <v>677</v>
      </c>
      <c r="G3053" s="6" t="s">
        <v>32</v>
      </c>
      <c r="H3053" s="6" t="s">
        <v>153</v>
      </c>
      <c r="I3053" s="6" t="s">
        <v>767</v>
      </c>
      <c r="J3053" s="6" t="s">
        <v>764</v>
      </c>
      <c r="K3053" s="7">
        <v>6364580</v>
      </c>
      <c r="L3053" s="7">
        <v>314263</v>
      </c>
      <c r="M3053" s="7">
        <v>19</v>
      </c>
      <c r="N3053" s="7">
        <v>1</v>
      </c>
      <c r="O3053" s="7">
        <v>1.6</v>
      </c>
    </row>
    <row r="3054" spans="1:15" x14ac:dyDescent="0.25">
      <c r="A3054" s="6" t="s">
        <v>28</v>
      </c>
      <c r="B3054" s="6" t="s">
        <v>382</v>
      </c>
      <c r="C3054" s="7">
        <v>30863</v>
      </c>
      <c r="D3054" s="6" t="s">
        <v>16</v>
      </c>
      <c r="E3054" s="6" t="s">
        <v>332</v>
      </c>
      <c r="F3054" s="6" t="s">
        <v>677</v>
      </c>
      <c r="G3054" s="6" t="s">
        <v>32</v>
      </c>
      <c r="H3054" s="6" t="s">
        <v>19</v>
      </c>
      <c r="I3054" s="6" t="s">
        <v>767</v>
      </c>
      <c r="J3054" s="6" t="s">
        <v>767</v>
      </c>
      <c r="K3054" s="7">
        <v>6364580</v>
      </c>
      <c r="L3054" s="7">
        <v>314263</v>
      </c>
      <c r="M3054" s="7">
        <v>19</v>
      </c>
      <c r="N3054" s="7">
        <v>1</v>
      </c>
      <c r="O3054" s="7">
        <v>0.8</v>
      </c>
    </row>
    <row r="3055" spans="1:15" x14ac:dyDescent="0.25">
      <c r="A3055" s="6" t="s">
        <v>28</v>
      </c>
      <c r="B3055" s="6" t="s">
        <v>382</v>
      </c>
      <c r="C3055" s="7">
        <v>30864</v>
      </c>
      <c r="D3055" s="6" t="s">
        <v>24</v>
      </c>
      <c r="E3055" s="6" t="s">
        <v>37</v>
      </c>
      <c r="F3055" s="6" t="s">
        <v>678</v>
      </c>
      <c r="G3055" s="6" t="s">
        <v>32</v>
      </c>
      <c r="H3055" s="6" t="s">
        <v>19</v>
      </c>
      <c r="I3055" s="6" t="s">
        <v>767</v>
      </c>
      <c r="J3055" s="6" t="s">
        <v>767</v>
      </c>
      <c r="K3055" s="7">
        <v>6275587</v>
      </c>
      <c r="L3055" s="7">
        <v>323940</v>
      </c>
      <c r="M3055" s="7">
        <v>19</v>
      </c>
      <c r="N3055" s="7">
        <v>1</v>
      </c>
      <c r="O3055" s="7">
        <v>0.5</v>
      </c>
    </row>
    <row r="3056" spans="1:15" x14ac:dyDescent="0.25">
      <c r="A3056" s="6" t="s">
        <v>14</v>
      </c>
      <c r="B3056" s="6" t="s">
        <v>382</v>
      </c>
      <c r="C3056" s="7">
        <v>30867</v>
      </c>
      <c r="D3056" s="6" t="s">
        <v>16</v>
      </c>
      <c r="E3056" s="6" t="s">
        <v>330</v>
      </c>
      <c r="F3056" s="6" t="s">
        <v>179</v>
      </c>
      <c r="G3056" s="6" t="s">
        <v>32</v>
      </c>
      <c r="H3056" s="6" t="s">
        <v>19</v>
      </c>
      <c r="I3056" s="6" t="s">
        <v>767</v>
      </c>
      <c r="J3056" s="6" t="s">
        <v>767</v>
      </c>
      <c r="K3056" s="7">
        <v>6368393</v>
      </c>
      <c r="L3056" s="7">
        <v>307300</v>
      </c>
      <c r="M3056" s="7">
        <v>19</v>
      </c>
      <c r="N3056" s="7">
        <v>1</v>
      </c>
      <c r="O3056" s="7">
        <v>1.2</v>
      </c>
    </row>
    <row r="3057" spans="1:15" x14ac:dyDescent="0.25">
      <c r="A3057" s="6" t="s">
        <v>14</v>
      </c>
      <c r="B3057" s="6" t="s">
        <v>382</v>
      </c>
      <c r="C3057" s="7">
        <v>30911</v>
      </c>
      <c r="D3057" s="6" t="s">
        <v>42</v>
      </c>
      <c r="E3057" s="6" t="s">
        <v>167</v>
      </c>
      <c r="F3057" s="6" t="s">
        <v>167</v>
      </c>
      <c r="G3057" s="6" t="s">
        <v>32</v>
      </c>
      <c r="H3057" s="6" t="s">
        <v>33</v>
      </c>
      <c r="I3057" s="6" t="s">
        <v>767</v>
      </c>
      <c r="J3057" s="6" t="s">
        <v>767</v>
      </c>
      <c r="K3057" s="7">
        <v>6224901</v>
      </c>
      <c r="L3057" s="7">
        <v>336955</v>
      </c>
      <c r="M3057" s="7">
        <v>19</v>
      </c>
      <c r="N3057" s="7">
        <v>1</v>
      </c>
      <c r="O3057" s="7">
        <v>3</v>
      </c>
    </row>
    <row r="3058" spans="1:15" x14ac:dyDescent="0.25">
      <c r="A3058" s="6" t="s">
        <v>14</v>
      </c>
      <c r="B3058" s="6" t="s">
        <v>382</v>
      </c>
      <c r="C3058" s="7">
        <v>30930</v>
      </c>
      <c r="D3058" s="6" t="s">
        <v>39</v>
      </c>
      <c r="E3058" s="6" t="s">
        <v>179</v>
      </c>
      <c r="F3058" s="6" t="s">
        <v>679</v>
      </c>
      <c r="G3058" s="6" t="s">
        <v>32</v>
      </c>
      <c r="H3058" s="6" t="s">
        <v>33</v>
      </c>
      <c r="I3058" s="6" t="s">
        <v>767</v>
      </c>
      <c r="J3058" s="6" t="s">
        <v>764</v>
      </c>
      <c r="K3058" s="7">
        <v>6123987</v>
      </c>
      <c r="L3058" s="7">
        <v>310211</v>
      </c>
      <c r="M3058" s="7">
        <v>19</v>
      </c>
      <c r="N3058" s="7">
        <v>1</v>
      </c>
      <c r="O3058" s="7">
        <v>20</v>
      </c>
    </row>
    <row r="3059" spans="1:15" x14ac:dyDescent="0.25">
      <c r="A3059" s="6" t="s">
        <v>28</v>
      </c>
      <c r="B3059" s="6" t="s">
        <v>382</v>
      </c>
      <c r="C3059" s="7">
        <v>30942</v>
      </c>
      <c r="D3059" s="6" t="s">
        <v>39</v>
      </c>
      <c r="E3059" s="6" t="s">
        <v>72</v>
      </c>
      <c r="F3059" s="6" t="s">
        <v>72</v>
      </c>
      <c r="G3059" s="6" t="s">
        <v>32</v>
      </c>
      <c r="H3059" s="6" t="s">
        <v>33</v>
      </c>
      <c r="I3059" s="6" t="s">
        <v>767</v>
      </c>
      <c r="J3059" s="6" t="s">
        <v>767</v>
      </c>
      <c r="K3059" s="7">
        <v>6067818</v>
      </c>
      <c r="L3059" s="7">
        <v>269169</v>
      </c>
      <c r="M3059" s="7">
        <v>19</v>
      </c>
      <c r="N3059" s="7">
        <v>4</v>
      </c>
      <c r="O3059" s="7">
        <v>10</v>
      </c>
    </row>
    <row r="3060" spans="1:15" x14ac:dyDescent="0.25">
      <c r="A3060" s="6" t="s">
        <v>14</v>
      </c>
      <c r="B3060" s="6" t="s">
        <v>382</v>
      </c>
      <c r="C3060" s="7">
        <v>30944</v>
      </c>
      <c r="D3060" s="6" t="s">
        <v>39</v>
      </c>
      <c r="E3060" s="6" t="s">
        <v>206</v>
      </c>
      <c r="F3060" s="6" t="s">
        <v>536</v>
      </c>
      <c r="G3060" s="6" t="s">
        <v>32</v>
      </c>
      <c r="H3060" s="6" t="s">
        <v>33</v>
      </c>
      <c r="I3060" s="6" t="s">
        <v>767</v>
      </c>
      <c r="J3060" s="6" t="s">
        <v>764</v>
      </c>
      <c r="K3060" s="7">
        <v>6009795</v>
      </c>
      <c r="L3060" s="7">
        <v>246354</v>
      </c>
      <c r="M3060" s="7">
        <v>19</v>
      </c>
      <c r="N3060" s="7">
        <v>1</v>
      </c>
      <c r="O3060" s="7">
        <v>18</v>
      </c>
    </row>
    <row r="3061" spans="1:15" x14ac:dyDescent="0.25">
      <c r="A3061" s="6" t="s">
        <v>14</v>
      </c>
      <c r="B3061" s="6" t="s">
        <v>382</v>
      </c>
      <c r="C3061" s="7">
        <v>30945</v>
      </c>
      <c r="D3061" s="6" t="s">
        <v>39</v>
      </c>
      <c r="E3061" s="6" t="s">
        <v>72</v>
      </c>
      <c r="F3061" s="6" t="s">
        <v>72</v>
      </c>
      <c r="G3061" s="6" t="s">
        <v>32</v>
      </c>
      <c r="H3061" s="6" t="s">
        <v>33</v>
      </c>
      <c r="I3061" s="6" t="s">
        <v>767</v>
      </c>
      <c r="J3061" s="6" t="s">
        <v>767</v>
      </c>
      <c r="K3061" s="7">
        <v>60601720</v>
      </c>
      <c r="L3061" s="7">
        <v>276989</v>
      </c>
      <c r="M3061" s="7">
        <v>19</v>
      </c>
      <c r="N3061" s="7">
        <v>1</v>
      </c>
      <c r="O3061" s="7">
        <v>7</v>
      </c>
    </row>
    <row r="3062" spans="1:15" x14ac:dyDescent="0.25">
      <c r="A3062" s="6" t="s">
        <v>14</v>
      </c>
      <c r="B3062" s="6" t="s">
        <v>382</v>
      </c>
      <c r="C3062" s="7">
        <v>30948</v>
      </c>
      <c r="D3062" s="6" t="s">
        <v>39</v>
      </c>
      <c r="E3062" s="6" t="s">
        <v>72</v>
      </c>
      <c r="F3062" s="6" t="s">
        <v>72</v>
      </c>
      <c r="G3062" s="6" t="s">
        <v>32</v>
      </c>
      <c r="H3062" s="6" t="s">
        <v>33</v>
      </c>
      <c r="I3062" s="6" t="s">
        <v>767</v>
      </c>
      <c r="J3062" s="6" t="s">
        <v>767</v>
      </c>
      <c r="K3062" s="7">
        <v>6060021</v>
      </c>
      <c r="L3062" s="7">
        <v>276838</v>
      </c>
      <c r="M3062" s="7">
        <v>19</v>
      </c>
      <c r="N3062" s="7">
        <v>1</v>
      </c>
      <c r="O3062" s="7">
        <v>9</v>
      </c>
    </row>
    <row r="3063" spans="1:15" x14ac:dyDescent="0.25">
      <c r="A3063" s="6" t="s">
        <v>28</v>
      </c>
      <c r="B3063" s="6" t="s">
        <v>382</v>
      </c>
      <c r="C3063" s="7">
        <v>31018</v>
      </c>
      <c r="D3063" s="6" t="s">
        <v>16</v>
      </c>
      <c r="E3063" s="6" t="s">
        <v>392</v>
      </c>
      <c r="F3063" s="6" t="s">
        <v>392</v>
      </c>
      <c r="G3063" s="6" t="s">
        <v>32</v>
      </c>
      <c r="H3063" s="6" t="s">
        <v>153</v>
      </c>
      <c r="I3063" s="6" t="s">
        <v>767</v>
      </c>
      <c r="J3063" s="6" t="s">
        <v>764</v>
      </c>
      <c r="K3063" s="7">
        <v>6372037</v>
      </c>
      <c r="L3063" s="7">
        <v>323544</v>
      </c>
      <c r="M3063" s="7">
        <v>19</v>
      </c>
      <c r="N3063" s="7">
        <v>1</v>
      </c>
      <c r="O3063" s="7">
        <v>3</v>
      </c>
    </row>
    <row r="3064" spans="1:15" x14ac:dyDescent="0.25">
      <c r="A3064" s="6" t="s">
        <v>28</v>
      </c>
      <c r="B3064" s="6" t="s">
        <v>382</v>
      </c>
      <c r="C3064" s="7">
        <v>31044</v>
      </c>
      <c r="D3064" s="6" t="s">
        <v>16</v>
      </c>
      <c r="E3064" s="6" t="s">
        <v>392</v>
      </c>
      <c r="F3064" s="6" t="s">
        <v>392</v>
      </c>
      <c r="G3064" s="6" t="s">
        <v>32</v>
      </c>
      <c r="H3064" s="6" t="s">
        <v>19</v>
      </c>
      <c r="I3064" s="6" t="s">
        <v>767</v>
      </c>
      <c r="J3064" s="6" t="s">
        <v>767</v>
      </c>
      <c r="K3064" s="7">
        <v>6372037</v>
      </c>
      <c r="L3064" s="7">
        <v>323544</v>
      </c>
      <c r="M3064" s="7">
        <v>19</v>
      </c>
      <c r="N3064" s="7">
        <v>1</v>
      </c>
      <c r="O3064" s="7">
        <v>0.6</v>
      </c>
    </row>
    <row r="3065" spans="1:15" x14ac:dyDescent="0.25">
      <c r="A3065" s="6" t="s">
        <v>28</v>
      </c>
      <c r="B3065" s="6" t="s">
        <v>382</v>
      </c>
      <c r="C3065" s="7">
        <v>31108</v>
      </c>
      <c r="D3065" s="6" t="s">
        <v>39</v>
      </c>
      <c r="E3065" s="6" t="s">
        <v>107</v>
      </c>
      <c r="F3065" s="6" t="s">
        <v>107</v>
      </c>
      <c r="G3065" s="6" t="s">
        <v>32</v>
      </c>
      <c r="H3065" s="6" t="s">
        <v>33</v>
      </c>
      <c r="I3065" s="6" t="s">
        <v>767</v>
      </c>
      <c r="J3065" s="6" t="s">
        <v>767</v>
      </c>
      <c r="K3065" s="7">
        <v>6089085</v>
      </c>
      <c r="L3065" s="7">
        <v>248548</v>
      </c>
      <c r="M3065" s="7">
        <v>19</v>
      </c>
      <c r="N3065" s="7">
        <v>6</v>
      </c>
      <c r="O3065" s="7">
        <v>95.21</v>
      </c>
    </row>
    <row r="3066" spans="1:15" x14ac:dyDescent="0.25">
      <c r="A3066" s="6" t="s">
        <v>28</v>
      </c>
      <c r="B3066" s="6" t="s">
        <v>382</v>
      </c>
      <c r="C3066" s="7">
        <v>31139</v>
      </c>
      <c r="D3066" s="6" t="s">
        <v>39</v>
      </c>
      <c r="E3066" s="6" t="s">
        <v>72</v>
      </c>
      <c r="F3066" s="6" t="s">
        <v>72</v>
      </c>
      <c r="G3066" s="6" t="s">
        <v>32</v>
      </c>
      <c r="H3066" s="6" t="s">
        <v>33</v>
      </c>
      <c r="I3066" s="6" t="s">
        <v>767</v>
      </c>
      <c r="J3066" s="6" t="s">
        <v>767</v>
      </c>
      <c r="K3066" s="7">
        <v>6070547</v>
      </c>
      <c r="L3066" s="7">
        <v>268965</v>
      </c>
      <c r="M3066" s="7">
        <v>19</v>
      </c>
      <c r="N3066" s="7">
        <v>1</v>
      </c>
      <c r="O3066" s="7">
        <v>6</v>
      </c>
    </row>
    <row r="3067" spans="1:15" x14ac:dyDescent="0.25">
      <c r="A3067" s="6" t="s">
        <v>28</v>
      </c>
      <c r="B3067" s="6" t="s">
        <v>382</v>
      </c>
      <c r="C3067" s="7">
        <v>31140</v>
      </c>
      <c r="D3067" s="6" t="s">
        <v>39</v>
      </c>
      <c r="E3067" s="6" t="s">
        <v>72</v>
      </c>
      <c r="F3067" s="6" t="s">
        <v>72</v>
      </c>
      <c r="G3067" s="6" t="s">
        <v>32</v>
      </c>
      <c r="H3067" s="6" t="s">
        <v>33</v>
      </c>
      <c r="I3067" s="6" t="s">
        <v>767</v>
      </c>
      <c r="J3067" s="6" t="s">
        <v>767</v>
      </c>
      <c r="K3067" s="7">
        <v>6062659</v>
      </c>
      <c r="L3067" s="7">
        <v>262020</v>
      </c>
      <c r="M3067" s="7">
        <v>19</v>
      </c>
      <c r="N3067" s="7">
        <v>3</v>
      </c>
      <c r="O3067" s="7">
        <v>9</v>
      </c>
    </row>
    <row r="3068" spans="1:15" x14ac:dyDescent="0.25">
      <c r="A3068" s="6" t="s">
        <v>28</v>
      </c>
      <c r="B3068" s="6" t="s">
        <v>382</v>
      </c>
      <c r="C3068" s="7">
        <v>31177</v>
      </c>
      <c r="D3068" s="6" t="s">
        <v>39</v>
      </c>
      <c r="E3068" s="6" t="s">
        <v>72</v>
      </c>
      <c r="F3068" s="6" t="s">
        <v>72</v>
      </c>
      <c r="G3068" s="6" t="s">
        <v>32</v>
      </c>
      <c r="H3068" s="6" t="s">
        <v>33</v>
      </c>
      <c r="I3068" s="6" t="s">
        <v>767</v>
      </c>
      <c r="J3068" s="6" t="s">
        <v>767</v>
      </c>
      <c r="K3068" s="7">
        <v>6070312</v>
      </c>
      <c r="L3068" s="7">
        <v>269259</v>
      </c>
      <c r="M3068" s="7">
        <v>19</v>
      </c>
      <c r="N3068" s="7">
        <v>2</v>
      </c>
      <c r="O3068" s="7">
        <v>4.5</v>
      </c>
    </row>
    <row r="3069" spans="1:15" x14ac:dyDescent="0.25">
      <c r="A3069" s="6" t="s">
        <v>14</v>
      </c>
      <c r="B3069" s="6" t="s">
        <v>382</v>
      </c>
      <c r="C3069" s="7">
        <v>31321</v>
      </c>
      <c r="D3069" s="6" t="s">
        <v>42</v>
      </c>
      <c r="E3069" s="6" t="s">
        <v>51</v>
      </c>
      <c r="F3069" s="6" t="s">
        <v>51</v>
      </c>
      <c r="G3069" s="6" t="s">
        <v>32</v>
      </c>
      <c r="H3069" s="6" t="s">
        <v>33</v>
      </c>
      <c r="I3069" s="6" t="s">
        <v>767</v>
      </c>
      <c r="J3069" s="6" t="s">
        <v>767</v>
      </c>
      <c r="K3069" s="7">
        <v>6151700</v>
      </c>
      <c r="L3069" s="7">
        <v>322839</v>
      </c>
      <c r="M3069" s="7">
        <v>19</v>
      </c>
      <c r="N3069" s="7">
        <v>11</v>
      </c>
      <c r="O3069" s="7">
        <v>93.7</v>
      </c>
    </row>
    <row r="3070" spans="1:15" x14ac:dyDescent="0.25">
      <c r="A3070" s="6" t="s">
        <v>28</v>
      </c>
      <c r="B3070" s="6" t="s">
        <v>382</v>
      </c>
      <c r="C3070" s="7">
        <v>31366</v>
      </c>
      <c r="D3070" s="6" t="s">
        <v>39</v>
      </c>
      <c r="E3070" s="6" t="s">
        <v>53</v>
      </c>
      <c r="F3070" s="6" t="s">
        <v>40</v>
      </c>
      <c r="G3070" s="6" t="s">
        <v>32</v>
      </c>
      <c r="H3070" s="6" t="s">
        <v>19</v>
      </c>
      <c r="I3070" s="6" t="s">
        <v>767</v>
      </c>
      <c r="J3070" s="6" t="s">
        <v>767</v>
      </c>
      <c r="K3070" s="7">
        <v>6142853</v>
      </c>
      <c r="L3070" s="7">
        <v>313777</v>
      </c>
      <c r="M3070" s="7">
        <v>19</v>
      </c>
      <c r="N3070" s="7">
        <v>1</v>
      </c>
      <c r="O3070" s="7">
        <v>2</v>
      </c>
    </row>
    <row r="3071" spans="1:15" x14ac:dyDescent="0.25">
      <c r="A3071" s="6" t="s">
        <v>22</v>
      </c>
      <c r="B3071" s="6" t="s">
        <v>382</v>
      </c>
      <c r="C3071" s="7">
        <v>31436</v>
      </c>
      <c r="D3071" s="6" t="s">
        <v>42</v>
      </c>
      <c r="E3071" s="6" t="s">
        <v>167</v>
      </c>
      <c r="F3071" s="6" t="s">
        <v>382</v>
      </c>
      <c r="G3071" s="6" t="s">
        <v>32</v>
      </c>
      <c r="H3071" s="6" t="s">
        <v>765</v>
      </c>
      <c r="I3071" s="6" t="s">
        <v>767</v>
      </c>
      <c r="J3071" s="6" t="s">
        <v>767</v>
      </c>
      <c r="K3071" s="7">
        <v>6225010</v>
      </c>
      <c r="L3071" s="7">
        <v>339646</v>
      </c>
      <c r="M3071" s="7">
        <v>19</v>
      </c>
      <c r="N3071" s="7">
        <v>1</v>
      </c>
      <c r="O3071" s="7">
        <v>0.01</v>
      </c>
    </row>
    <row r="3072" spans="1:15" x14ac:dyDescent="0.25">
      <c r="A3072" s="6" t="s">
        <v>22</v>
      </c>
      <c r="B3072" s="6" t="s">
        <v>382</v>
      </c>
      <c r="C3072" s="7">
        <v>31442</v>
      </c>
      <c r="D3072" s="6" t="s">
        <v>42</v>
      </c>
      <c r="E3072" s="6" t="s">
        <v>167</v>
      </c>
      <c r="F3072" s="6" t="s">
        <v>382</v>
      </c>
      <c r="G3072" s="6" t="s">
        <v>32</v>
      </c>
      <c r="H3072" s="6" t="s">
        <v>765</v>
      </c>
      <c r="I3072" s="6" t="s">
        <v>767</v>
      </c>
      <c r="J3072" s="6" t="s">
        <v>767</v>
      </c>
      <c r="K3072" s="7">
        <v>6225010</v>
      </c>
      <c r="L3072" s="7">
        <v>339646</v>
      </c>
      <c r="M3072" s="7">
        <v>19</v>
      </c>
      <c r="N3072" s="7">
        <v>1</v>
      </c>
      <c r="O3072" s="7">
        <v>0.01</v>
      </c>
    </row>
    <row r="3073" spans="1:15" x14ac:dyDescent="0.25">
      <c r="A3073" s="6" t="s">
        <v>22</v>
      </c>
      <c r="B3073" s="6" t="s">
        <v>382</v>
      </c>
      <c r="C3073" s="7">
        <v>31450</v>
      </c>
      <c r="D3073" s="6" t="s">
        <v>42</v>
      </c>
      <c r="E3073" s="6" t="s">
        <v>167</v>
      </c>
      <c r="F3073" s="6" t="s">
        <v>382</v>
      </c>
      <c r="G3073" s="6" t="s">
        <v>32</v>
      </c>
      <c r="H3073" s="6" t="s">
        <v>765</v>
      </c>
      <c r="I3073" s="6" t="s">
        <v>767</v>
      </c>
      <c r="J3073" s="6" t="s">
        <v>767</v>
      </c>
      <c r="K3073" s="7">
        <v>6225010</v>
      </c>
      <c r="L3073" s="7">
        <v>339646</v>
      </c>
      <c r="M3073" s="7">
        <v>19</v>
      </c>
      <c r="N3073" s="7">
        <v>1</v>
      </c>
      <c r="O3073" s="7">
        <v>0.01</v>
      </c>
    </row>
    <row r="3074" spans="1:15" x14ac:dyDescent="0.25">
      <c r="A3074" s="6" t="s">
        <v>28</v>
      </c>
      <c r="B3074" s="6" t="s">
        <v>382</v>
      </c>
      <c r="C3074" s="7">
        <v>31463</v>
      </c>
      <c r="D3074" s="6" t="s">
        <v>42</v>
      </c>
      <c r="E3074" s="6" t="s">
        <v>45</v>
      </c>
      <c r="F3074" s="6" t="s">
        <v>195</v>
      </c>
      <c r="G3074" s="6" t="s">
        <v>32</v>
      </c>
      <c r="H3074" s="6" t="s">
        <v>33</v>
      </c>
      <c r="I3074" s="6" t="s">
        <v>767</v>
      </c>
      <c r="J3074" s="6" t="s">
        <v>767</v>
      </c>
      <c r="K3074" s="7">
        <v>6167402</v>
      </c>
      <c r="L3074" s="7">
        <v>327110</v>
      </c>
      <c r="M3074" s="7">
        <v>19</v>
      </c>
      <c r="N3074" s="7">
        <v>10</v>
      </c>
      <c r="O3074" s="7">
        <v>50.8</v>
      </c>
    </row>
    <row r="3075" spans="1:15" x14ac:dyDescent="0.25">
      <c r="A3075" s="6" t="s">
        <v>28</v>
      </c>
      <c r="B3075" s="6" t="s">
        <v>382</v>
      </c>
      <c r="C3075" s="7">
        <v>31482</v>
      </c>
      <c r="D3075" s="6" t="s">
        <v>39</v>
      </c>
      <c r="E3075" s="6" t="s">
        <v>156</v>
      </c>
      <c r="F3075" s="6" t="s">
        <v>108</v>
      </c>
      <c r="G3075" s="6" t="s">
        <v>32</v>
      </c>
      <c r="H3075" s="6" t="s">
        <v>33</v>
      </c>
      <c r="I3075" s="6" t="s">
        <v>767</v>
      </c>
      <c r="J3075" s="6" t="s">
        <v>767</v>
      </c>
      <c r="K3075" s="7">
        <v>6010243</v>
      </c>
      <c r="L3075" s="7">
        <v>269985</v>
      </c>
      <c r="M3075" s="7">
        <v>19</v>
      </c>
      <c r="N3075" s="7">
        <v>6</v>
      </c>
      <c r="O3075" s="7">
        <v>68</v>
      </c>
    </row>
    <row r="3076" spans="1:15" x14ac:dyDescent="0.25">
      <c r="A3076" s="6" t="s">
        <v>28</v>
      </c>
      <c r="B3076" s="6" t="s">
        <v>382</v>
      </c>
      <c r="C3076" s="7">
        <v>31535</v>
      </c>
      <c r="D3076" s="6" t="s">
        <v>24</v>
      </c>
      <c r="E3076" s="6" t="s">
        <v>38</v>
      </c>
      <c r="F3076" s="6" t="s">
        <v>37</v>
      </c>
      <c r="G3076" s="6" t="s">
        <v>32</v>
      </c>
      <c r="H3076" s="6" t="s">
        <v>19</v>
      </c>
      <c r="I3076" s="6" t="s">
        <v>767</v>
      </c>
      <c r="J3076" s="6" t="s">
        <v>767</v>
      </c>
      <c r="K3076" s="7">
        <v>6268549</v>
      </c>
      <c r="L3076" s="7">
        <v>314756</v>
      </c>
      <c r="M3076" s="7">
        <v>19</v>
      </c>
      <c r="N3076" s="7">
        <v>1</v>
      </c>
      <c r="O3076" s="7">
        <v>1.5</v>
      </c>
    </row>
    <row r="3077" spans="1:15" x14ac:dyDescent="0.25">
      <c r="A3077" s="6" t="s">
        <v>22</v>
      </c>
      <c r="B3077" s="6" t="s">
        <v>382</v>
      </c>
      <c r="C3077" s="7">
        <v>31548</v>
      </c>
      <c r="D3077" s="6" t="s">
        <v>42</v>
      </c>
      <c r="E3077" s="6" t="s">
        <v>192</v>
      </c>
      <c r="F3077" s="6" t="s">
        <v>680</v>
      </c>
      <c r="G3077" s="6" t="s">
        <v>32</v>
      </c>
      <c r="H3077" s="6" t="s">
        <v>765</v>
      </c>
      <c r="I3077" s="6" t="s">
        <v>767</v>
      </c>
      <c r="J3077" s="6" t="s">
        <v>767</v>
      </c>
      <c r="K3077" s="7">
        <v>6235299</v>
      </c>
      <c r="L3077" s="7">
        <v>344576</v>
      </c>
      <c r="M3077" s="7">
        <v>19</v>
      </c>
      <c r="N3077" s="7">
        <v>1</v>
      </c>
      <c r="O3077" s="7">
        <v>0.25</v>
      </c>
    </row>
    <row r="3078" spans="1:15" x14ac:dyDescent="0.25">
      <c r="A3078" s="6" t="s">
        <v>28</v>
      </c>
      <c r="B3078" s="6" t="s">
        <v>382</v>
      </c>
      <c r="C3078" s="7">
        <v>31557</v>
      </c>
      <c r="D3078" s="6" t="s">
        <v>42</v>
      </c>
      <c r="E3078" s="6" t="s">
        <v>51</v>
      </c>
      <c r="F3078" s="6" t="s">
        <v>681</v>
      </c>
      <c r="G3078" s="6" t="s">
        <v>32</v>
      </c>
      <c r="H3078" s="6" t="s">
        <v>33</v>
      </c>
      <c r="I3078" s="6" t="s">
        <v>767</v>
      </c>
      <c r="J3078" s="6" t="s">
        <v>764</v>
      </c>
      <c r="K3078" s="7">
        <v>6152696</v>
      </c>
      <c r="L3078" s="7">
        <v>322025</v>
      </c>
      <c r="M3078" s="7">
        <v>19</v>
      </c>
      <c r="N3078" s="7">
        <v>2</v>
      </c>
      <c r="O3078" s="7">
        <v>8</v>
      </c>
    </row>
    <row r="3079" spans="1:15" x14ac:dyDescent="0.25">
      <c r="A3079" s="6" t="s">
        <v>28</v>
      </c>
      <c r="B3079" s="6" t="s">
        <v>382</v>
      </c>
      <c r="C3079" s="7">
        <v>31563</v>
      </c>
      <c r="D3079" s="6" t="s">
        <v>39</v>
      </c>
      <c r="E3079" s="6" t="s">
        <v>53</v>
      </c>
      <c r="F3079" s="6" t="s">
        <v>676</v>
      </c>
      <c r="G3079" s="6" t="s">
        <v>32</v>
      </c>
      <c r="H3079" s="6" t="s">
        <v>19</v>
      </c>
      <c r="I3079" s="6" t="s">
        <v>767</v>
      </c>
      <c r="J3079" s="6" t="s">
        <v>767</v>
      </c>
      <c r="K3079" s="7">
        <v>6137791</v>
      </c>
      <c r="L3079" s="7">
        <v>316032</v>
      </c>
      <c r="M3079" s="7">
        <v>19</v>
      </c>
      <c r="N3079" s="7">
        <v>1</v>
      </c>
      <c r="O3079" s="7">
        <v>1</v>
      </c>
    </row>
    <row r="3080" spans="1:15" x14ac:dyDescent="0.25">
      <c r="A3080" s="6" t="s">
        <v>28</v>
      </c>
      <c r="B3080" s="6" t="s">
        <v>382</v>
      </c>
      <c r="C3080" s="7">
        <v>31567</v>
      </c>
      <c r="D3080" s="6" t="s">
        <v>39</v>
      </c>
      <c r="E3080" s="6" t="s">
        <v>72</v>
      </c>
      <c r="F3080" s="6" t="s">
        <v>72</v>
      </c>
      <c r="G3080" s="6" t="s">
        <v>32</v>
      </c>
      <c r="H3080" s="6" t="s">
        <v>33</v>
      </c>
      <c r="I3080" s="6" t="s">
        <v>767</v>
      </c>
      <c r="J3080" s="6" t="s">
        <v>767</v>
      </c>
      <c r="K3080" s="7">
        <v>6073092</v>
      </c>
      <c r="L3080" s="7">
        <v>288606</v>
      </c>
      <c r="M3080" s="7">
        <v>19</v>
      </c>
      <c r="N3080" s="7">
        <v>6</v>
      </c>
      <c r="O3080" s="7">
        <v>53</v>
      </c>
    </row>
    <row r="3081" spans="1:15" x14ac:dyDescent="0.25">
      <c r="A3081" s="6" t="s">
        <v>14</v>
      </c>
      <c r="B3081" s="6" t="s">
        <v>382</v>
      </c>
      <c r="C3081" s="7">
        <v>31575</v>
      </c>
      <c r="D3081" s="6" t="s">
        <v>39</v>
      </c>
      <c r="E3081" s="6" t="s">
        <v>72</v>
      </c>
      <c r="F3081" s="6" t="s">
        <v>682</v>
      </c>
      <c r="G3081" s="6" t="s">
        <v>32</v>
      </c>
      <c r="H3081" s="6" t="s">
        <v>33</v>
      </c>
      <c r="I3081" s="6" t="s">
        <v>767</v>
      </c>
      <c r="J3081" s="6" t="s">
        <v>767</v>
      </c>
      <c r="K3081" s="7">
        <v>6058526</v>
      </c>
      <c r="L3081" s="7">
        <v>281874</v>
      </c>
      <c r="M3081" s="7">
        <v>19</v>
      </c>
      <c r="N3081" s="7">
        <v>4</v>
      </c>
      <c r="O3081" s="7">
        <v>6</v>
      </c>
    </row>
    <row r="3082" spans="1:15" x14ac:dyDescent="0.25">
      <c r="A3082" s="6" t="s">
        <v>28</v>
      </c>
      <c r="B3082" s="6" t="s">
        <v>382</v>
      </c>
      <c r="C3082" s="7">
        <v>31593</v>
      </c>
      <c r="D3082" s="6" t="s">
        <v>42</v>
      </c>
      <c r="E3082" s="6" t="s">
        <v>196</v>
      </c>
      <c r="F3082" s="6" t="s">
        <v>683</v>
      </c>
      <c r="G3082" s="6" t="s">
        <v>32</v>
      </c>
      <c r="H3082" s="6" t="s">
        <v>33</v>
      </c>
      <c r="I3082" s="6" t="s">
        <v>767</v>
      </c>
      <c r="J3082" s="6" t="s">
        <v>767</v>
      </c>
      <c r="K3082" s="7">
        <v>6218281</v>
      </c>
      <c r="L3082" s="7">
        <v>333635</v>
      </c>
      <c r="M3082" s="7">
        <v>19</v>
      </c>
      <c r="N3082" s="7">
        <v>2</v>
      </c>
      <c r="O3082" s="7">
        <v>47</v>
      </c>
    </row>
    <row r="3083" spans="1:15" x14ac:dyDescent="0.25">
      <c r="A3083" s="6" t="s">
        <v>22</v>
      </c>
      <c r="B3083" s="6" t="s">
        <v>382</v>
      </c>
      <c r="C3083" s="7">
        <v>31685</v>
      </c>
      <c r="D3083" s="6" t="s">
        <v>42</v>
      </c>
      <c r="E3083" s="6" t="s">
        <v>449</v>
      </c>
      <c r="F3083" s="6" t="s">
        <v>684</v>
      </c>
      <c r="G3083" s="6" t="s">
        <v>32</v>
      </c>
      <c r="H3083" s="6" t="s">
        <v>765</v>
      </c>
      <c r="I3083" s="6" t="s">
        <v>767</v>
      </c>
      <c r="J3083" s="6" t="s">
        <v>767</v>
      </c>
      <c r="K3083" s="7">
        <v>6166047</v>
      </c>
      <c r="L3083" s="7">
        <v>313354</v>
      </c>
      <c r="M3083" s="7">
        <v>19</v>
      </c>
      <c r="N3083" s="7">
        <v>1</v>
      </c>
      <c r="O3083" s="7">
        <v>0.5</v>
      </c>
    </row>
    <row r="3084" spans="1:15" x14ac:dyDescent="0.25">
      <c r="A3084" s="6" t="s">
        <v>14</v>
      </c>
      <c r="B3084" s="6" t="s">
        <v>382</v>
      </c>
      <c r="C3084" s="7">
        <v>31686</v>
      </c>
      <c r="D3084" s="6" t="s">
        <v>39</v>
      </c>
      <c r="E3084" s="6" t="s">
        <v>87</v>
      </c>
      <c r="F3084" s="6" t="s">
        <v>70</v>
      </c>
      <c r="G3084" s="6" t="s">
        <v>32</v>
      </c>
      <c r="H3084" s="6" t="s">
        <v>33</v>
      </c>
      <c r="I3084" s="6" t="s">
        <v>767</v>
      </c>
      <c r="J3084" s="6" t="s">
        <v>764</v>
      </c>
      <c r="K3084" s="7">
        <v>6109600</v>
      </c>
      <c r="L3084" s="7">
        <v>288592</v>
      </c>
      <c r="M3084" s="7">
        <v>19</v>
      </c>
      <c r="N3084" s="7">
        <v>2</v>
      </c>
      <c r="O3084" s="7">
        <v>17</v>
      </c>
    </row>
    <row r="3085" spans="1:15" x14ac:dyDescent="0.25">
      <c r="A3085" s="6" t="s">
        <v>14</v>
      </c>
      <c r="B3085" s="6" t="s">
        <v>382</v>
      </c>
      <c r="C3085" s="7">
        <v>31687</v>
      </c>
      <c r="D3085" s="6" t="s">
        <v>42</v>
      </c>
      <c r="E3085" s="6" t="s">
        <v>51</v>
      </c>
      <c r="F3085" s="6" t="s">
        <v>45</v>
      </c>
      <c r="G3085" s="6" t="s">
        <v>32</v>
      </c>
      <c r="H3085" s="6" t="s">
        <v>33</v>
      </c>
      <c r="I3085" s="6" t="s">
        <v>767</v>
      </c>
      <c r="J3085" s="6" t="s">
        <v>764</v>
      </c>
      <c r="K3085" s="7">
        <v>6150681</v>
      </c>
      <c r="L3085" s="7">
        <v>317615</v>
      </c>
      <c r="M3085" s="7">
        <v>19</v>
      </c>
      <c r="N3085" s="7">
        <v>5</v>
      </c>
      <c r="O3085" s="7">
        <v>30</v>
      </c>
    </row>
    <row r="3086" spans="1:15" x14ac:dyDescent="0.25">
      <c r="A3086" s="6" t="s">
        <v>28</v>
      </c>
      <c r="B3086" s="6" t="s">
        <v>382</v>
      </c>
      <c r="C3086" s="7">
        <v>31691</v>
      </c>
      <c r="D3086" s="6" t="s">
        <v>39</v>
      </c>
      <c r="E3086" s="6" t="s">
        <v>72</v>
      </c>
      <c r="F3086" s="6" t="s">
        <v>109</v>
      </c>
      <c r="G3086" s="6" t="s">
        <v>32</v>
      </c>
      <c r="H3086" s="6" t="s">
        <v>33</v>
      </c>
      <c r="I3086" s="6" t="s">
        <v>767</v>
      </c>
      <c r="J3086" s="6" t="s">
        <v>767</v>
      </c>
      <c r="K3086" s="7">
        <v>6072792</v>
      </c>
      <c r="L3086" s="7">
        <v>269023</v>
      </c>
      <c r="M3086" s="7">
        <v>19</v>
      </c>
      <c r="N3086" s="7">
        <v>7</v>
      </c>
      <c r="O3086" s="7">
        <v>56</v>
      </c>
    </row>
    <row r="3087" spans="1:15" x14ac:dyDescent="0.25">
      <c r="A3087" s="6" t="s">
        <v>14</v>
      </c>
      <c r="B3087" s="6" t="s">
        <v>382</v>
      </c>
      <c r="C3087" s="7">
        <v>31694</v>
      </c>
      <c r="D3087" s="6" t="s">
        <v>42</v>
      </c>
      <c r="E3087" s="6" t="s">
        <v>448</v>
      </c>
      <c r="F3087" s="6" t="s">
        <v>448</v>
      </c>
      <c r="G3087" s="6" t="s">
        <v>32</v>
      </c>
      <c r="H3087" s="6" t="s">
        <v>33</v>
      </c>
      <c r="I3087" s="6" t="s">
        <v>767</v>
      </c>
      <c r="J3087" s="6" t="s">
        <v>764</v>
      </c>
      <c r="K3087" s="7">
        <v>6161318</v>
      </c>
      <c r="L3087" s="7">
        <v>294441</v>
      </c>
      <c r="M3087" s="7">
        <v>19</v>
      </c>
      <c r="N3087" s="7">
        <v>1</v>
      </c>
      <c r="O3087" s="7">
        <v>6</v>
      </c>
    </row>
    <row r="3088" spans="1:15" x14ac:dyDescent="0.25">
      <c r="A3088" s="6" t="s">
        <v>28</v>
      </c>
      <c r="B3088" s="6" t="s">
        <v>382</v>
      </c>
      <c r="C3088" s="7">
        <v>31695</v>
      </c>
      <c r="D3088" s="6" t="s">
        <v>39</v>
      </c>
      <c r="E3088" s="6" t="s">
        <v>72</v>
      </c>
      <c r="F3088" s="6" t="s">
        <v>70</v>
      </c>
      <c r="G3088" s="6" t="s">
        <v>32</v>
      </c>
      <c r="H3088" s="6" t="s">
        <v>33</v>
      </c>
      <c r="I3088" s="6" t="s">
        <v>767</v>
      </c>
      <c r="J3088" s="6" t="s">
        <v>767</v>
      </c>
      <c r="K3088" s="7">
        <v>6067252</v>
      </c>
      <c r="L3088" s="7">
        <v>280777</v>
      </c>
      <c r="M3088" s="7">
        <v>19</v>
      </c>
      <c r="N3088" s="7">
        <v>2</v>
      </c>
      <c r="O3088" s="7">
        <v>6</v>
      </c>
    </row>
    <row r="3089" spans="1:15" x14ac:dyDescent="0.25">
      <c r="A3089" s="6" t="s">
        <v>22</v>
      </c>
      <c r="B3089" s="6" t="s">
        <v>382</v>
      </c>
      <c r="C3089" s="7">
        <v>31728</v>
      </c>
      <c r="D3089" s="6" t="s">
        <v>42</v>
      </c>
      <c r="E3089" s="6" t="s">
        <v>449</v>
      </c>
      <c r="F3089" s="6" t="s">
        <v>684</v>
      </c>
      <c r="G3089" s="6" t="s">
        <v>32</v>
      </c>
      <c r="H3089" s="6" t="s">
        <v>765</v>
      </c>
      <c r="I3089" s="6" t="s">
        <v>767</v>
      </c>
      <c r="J3089" s="6" t="s">
        <v>767</v>
      </c>
      <c r="K3089" s="7">
        <v>6166047</v>
      </c>
      <c r="L3089" s="7">
        <v>313354</v>
      </c>
      <c r="M3089" s="7">
        <v>19</v>
      </c>
      <c r="N3089" s="7">
        <v>1</v>
      </c>
      <c r="O3089" s="7">
        <v>1.51</v>
      </c>
    </row>
    <row r="3090" spans="1:15" x14ac:dyDescent="0.25">
      <c r="A3090" s="6" t="s">
        <v>22</v>
      </c>
      <c r="B3090" s="6" t="s">
        <v>382</v>
      </c>
      <c r="C3090" s="7">
        <v>31761</v>
      </c>
      <c r="D3090" s="6" t="s">
        <v>42</v>
      </c>
      <c r="E3090" s="6" t="s">
        <v>167</v>
      </c>
      <c r="F3090" s="6" t="s">
        <v>167</v>
      </c>
      <c r="G3090" s="6" t="s">
        <v>32</v>
      </c>
      <c r="H3090" s="6" t="s">
        <v>765</v>
      </c>
      <c r="I3090" s="6" t="s">
        <v>767</v>
      </c>
      <c r="J3090" s="6" t="s">
        <v>767</v>
      </c>
      <c r="K3090" s="7">
        <v>6225010</v>
      </c>
      <c r="L3090" s="7">
        <v>339646</v>
      </c>
      <c r="M3090" s="7">
        <v>19</v>
      </c>
      <c r="N3090" s="7">
        <v>1</v>
      </c>
      <c r="O3090" s="7">
        <v>0.03</v>
      </c>
    </row>
    <row r="3091" spans="1:15" x14ac:dyDescent="0.25">
      <c r="A3091" s="6" t="s">
        <v>22</v>
      </c>
      <c r="B3091" s="6" t="s">
        <v>382</v>
      </c>
      <c r="C3091" s="7">
        <v>31774</v>
      </c>
      <c r="D3091" s="6" t="s">
        <v>42</v>
      </c>
      <c r="E3091" s="6" t="s">
        <v>167</v>
      </c>
      <c r="F3091" s="6" t="s">
        <v>167</v>
      </c>
      <c r="G3091" s="6" t="s">
        <v>32</v>
      </c>
      <c r="H3091" s="6" t="s">
        <v>765</v>
      </c>
      <c r="I3091" s="6" t="s">
        <v>767</v>
      </c>
      <c r="J3091" s="6" t="s">
        <v>767</v>
      </c>
      <c r="K3091" s="7">
        <v>6224892</v>
      </c>
      <c r="L3091" s="7">
        <v>339564</v>
      </c>
      <c r="M3091" s="7">
        <v>19</v>
      </c>
      <c r="N3091" s="7">
        <v>1</v>
      </c>
      <c r="O3091" s="7">
        <v>0.03</v>
      </c>
    </row>
    <row r="3092" spans="1:15" x14ac:dyDescent="0.25">
      <c r="A3092" s="6" t="s">
        <v>22</v>
      </c>
      <c r="B3092" s="6" t="s">
        <v>382</v>
      </c>
      <c r="C3092" s="7">
        <v>31793</v>
      </c>
      <c r="D3092" s="6" t="s">
        <v>42</v>
      </c>
      <c r="E3092" s="6" t="s">
        <v>167</v>
      </c>
      <c r="F3092" s="6" t="s">
        <v>167</v>
      </c>
      <c r="G3092" s="6" t="s">
        <v>50</v>
      </c>
      <c r="H3092" s="6" t="s">
        <v>765</v>
      </c>
      <c r="I3092" s="6" t="s">
        <v>767</v>
      </c>
      <c r="J3092" s="6" t="s">
        <v>767</v>
      </c>
      <c r="K3092" s="7">
        <v>6216908</v>
      </c>
      <c r="L3092" s="7">
        <v>333622</v>
      </c>
      <c r="M3092" s="7">
        <v>19</v>
      </c>
      <c r="N3092" s="7">
        <v>1</v>
      </c>
      <c r="O3092" s="7">
        <v>0.22</v>
      </c>
    </row>
    <row r="3093" spans="1:15" x14ac:dyDescent="0.25">
      <c r="A3093" s="6" t="s">
        <v>22</v>
      </c>
      <c r="B3093" s="6" t="s">
        <v>382</v>
      </c>
      <c r="C3093" s="7">
        <v>31800</v>
      </c>
      <c r="D3093" s="6" t="s">
        <v>42</v>
      </c>
      <c r="E3093" s="6" t="s">
        <v>167</v>
      </c>
      <c r="F3093" s="6" t="s">
        <v>685</v>
      </c>
      <c r="G3093" s="6" t="s">
        <v>32</v>
      </c>
      <c r="H3093" s="6" t="s">
        <v>765</v>
      </c>
      <c r="I3093" s="6" t="s">
        <v>767</v>
      </c>
      <c r="J3093" s="6" t="s">
        <v>767</v>
      </c>
      <c r="K3093" s="7">
        <v>6224564</v>
      </c>
      <c r="L3093" s="7">
        <v>338112</v>
      </c>
      <c r="M3093" s="7">
        <v>19</v>
      </c>
      <c r="N3093" s="7">
        <v>1</v>
      </c>
      <c r="O3093" s="7">
        <v>2.5299999999999998</v>
      </c>
    </row>
    <row r="3094" spans="1:15" x14ac:dyDescent="0.25">
      <c r="A3094" s="6" t="s">
        <v>14</v>
      </c>
      <c r="B3094" s="6" t="s">
        <v>382</v>
      </c>
      <c r="C3094" s="7">
        <v>31804</v>
      </c>
      <c r="D3094" s="6" t="s">
        <v>24</v>
      </c>
      <c r="E3094" s="6" t="s">
        <v>31</v>
      </c>
      <c r="F3094" s="6" t="s">
        <v>31</v>
      </c>
      <c r="G3094" s="6" t="s">
        <v>32</v>
      </c>
      <c r="H3094" s="6" t="s">
        <v>33</v>
      </c>
      <c r="I3094" s="6" t="s">
        <v>767</v>
      </c>
      <c r="J3094" s="6" t="s">
        <v>764</v>
      </c>
      <c r="K3094" s="7">
        <v>6260300</v>
      </c>
      <c r="L3094" s="7">
        <v>307487</v>
      </c>
      <c r="M3094" s="7">
        <v>19</v>
      </c>
      <c r="N3094" s="7">
        <v>2</v>
      </c>
      <c r="O3094" s="7">
        <v>28</v>
      </c>
    </row>
    <row r="3095" spans="1:15" x14ac:dyDescent="0.25">
      <c r="A3095" s="6" t="s">
        <v>28</v>
      </c>
      <c r="B3095" s="6" t="s">
        <v>382</v>
      </c>
      <c r="C3095" s="7">
        <v>31806</v>
      </c>
      <c r="D3095" s="6" t="s">
        <v>39</v>
      </c>
      <c r="E3095" s="6" t="s">
        <v>72</v>
      </c>
      <c r="F3095" s="6" t="s">
        <v>70</v>
      </c>
      <c r="G3095" s="6" t="s">
        <v>32</v>
      </c>
      <c r="H3095" s="6" t="s">
        <v>33</v>
      </c>
      <c r="I3095" s="6" t="s">
        <v>767</v>
      </c>
      <c r="J3095" s="6" t="s">
        <v>767</v>
      </c>
      <c r="K3095" s="7">
        <v>6067005</v>
      </c>
      <c r="L3095" s="7">
        <v>280629</v>
      </c>
      <c r="M3095" s="7">
        <v>19</v>
      </c>
      <c r="N3095" s="7">
        <v>2</v>
      </c>
      <c r="O3095" s="7">
        <v>5.5</v>
      </c>
    </row>
    <row r="3096" spans="1:15" x14ac:dyDescent="0.25">
      <c r="A3096" s="6" t="s">
        <v>28</v>
      </c>
      <c r="B3096" s="6" t="s">
        <v>382</v>
      </c>
      <c r="C3096" s="7">
        <v>31808</v>
      </c>
      <c r="D3096" s="6" t="s">
        <v>16</v>
      </c>
      <c r="E3096" s="6" t="s">
        <v>330</v>
      </c>
      <c r="F3096" s="6" t="s">
        <v>330</v>
      </c>
      <c r="G3096" s="6" t="s">
        <v>32</v>
      </c>
      <c r="H3096" s="6" t="s">
        <v>19</v>
      </c>
      <c r="I3096" s="6" t="s">
        <v>767</v>
      </c>
      <c r="J3096" s="6" t="s">
        <v>767</v>
      </c>
      <c r="K3096" s="7">
        <v>6361117</v>
      </c>
      <c r="L3096" s="7">
        <v>303211</v>
      </c>
      <c r="M3096" s="7">
        <v>19</v>
      </c>
      <c r="N3096" s="7">
        <v>1</v>
      </c>
      <c r="O3096" s="7">
        <v>1</v>
      </c>
    </row>
    <row r="3097" spans="1:15" x14ac:dyDescent="0.25">
      <c r="A3097" s="6" t="s">
        <v>28</v>
      </c>
      <c r="B3097" s="6" t="s">
        <v>382</v>
      </c>
      <c r="C3097" s="7">
        <v>31809</v>
      </c>
      <c r="D3097" s="6" t="s">
        <v>16</v>
      </c>
      <c r="E3097" s="6" t="s">
        <v>330</v>
      </c>
      <c r="F3097" s="6" t="s">
        <v>330</v>
      </c>
      <c r="G3097" s="6" t="s">
        <v>32</v>
      </c>
      <c r="H3097" s="6" t="s">
        <v>19</v>
      </c>
      <c r="I3097" s="6" t="s">
        <v>767</v>
      </c>
      <c r="J3097" s="6" t="s">
        <v>767</v>
      </c>
      <c r="K3097" s="7">
        <v>6366280</v>
      </c>
      <c r="L3097" s="7">
        <v>304994</v>
      </c>
      <c r="M3097" s="7">
        <v>19</v>
      </c>
      <c r="N3097" s="7">
        <v>1</v>
      </c>
      <c r="O3097" s="7">
        <v>1.5</v>
      </c>
    </row>
    <row r="3098" spans="1:15" x14ac:dyDescent="0.25">
      <c r="A3098" s="6" t="s">
        <v>28</v>
      </c>
      <c r="B3098" s="6" t="s">
        <v>382</v>
      </c>
      <c r="C3098" s="7">
        <v>31816</v>
      </c>
      <c r="D3098" s="6" t="s">
        <v>39</v>
      </c>
      <c r="E3098" s="6" t="s">
        <v>72</v>
      </c>
      <c r="F3098" s="6" t="s">
        <v>72</v>
      </c>
      <c r="G3098" s="6" t="s">
        <v>32</v>
      </c>
      <c r="H3098" s="6" t="s">
        <v>33</v>
      </c>
      <c r="I3098" s="6" t="s">
        <v>767</v>
      </c>
      <c r="J3098" s="6" t="s">
        <v>767</v>
      </c>
      <c r="K3098" s="7">
        <v>6066570</v>
      </c>
      <c r="L3098" s="7">
        <v>274718</v>
      </c>
      <c r="M3098" s="7">
        <v>19</v>
      </c>
      <c r="N3098" s="7">
        <v>5</v>
      </c>
      <c r="O3098" s="7">
        <v>13.5</v>
      </c>
    </row>
    <row r="3099" spans="1:15" x14ac:dyDescent="0.25">
      <c r="A3099" s="6" t="s">
        <v>28</v>
      </c>
      <c r="B3099" s="6" t="s">
        <v>382</v>
      </c>
      <c r="C3099" s="7">
        <v>31875</v>
      </c>
      <c r="D3099" s="6" t="s">
        <v>39</v>
      </c>
      <c r="E3099" s="6" t="s">
        <v>83</v>
      </c>
      <c r="F3099" s="6" t="s">
        <v>330</v>
      </c>
      <c r="G3099" s="6" t="s">
        <v>32</v>
      </c>
      <c r="H3099" s="6" t="s">
        <v>33</v>
      </c>
      <c r="I3099" s="6" t="s">
        <v>767</v>
      </c>
      <c r="J3099" s="6" t="s">
        <v>764</v>
      </c>
      <c r="K3099" s="7">
        <v>6077504</v>
      </c>
      <c r="L3099" s="7">
        <v>275957</v>
      </c>
      <c r="M3099" s="7">
        <v>19</v>
      </c>
      <c r="N3099" s="7">
        <v>6</v>
      </c>
      <c r="O3099" s="7">
        <v>31</v>
      </c>
    </row>
    <row r="3100" spans="1:15" x14ac:dyDescent="0.25">
      <c r="A3100" s="6" t="s">
        <v>14</v>
      </c>
      <c r="B3100" s="6" t="s">
        <v>382</v>
      </c>
      <c r="C3100" s="7">
        <v>31891</v>
      </c>
      <c r="D3100" s="6" t="s">
        <v>42</v>
      </c>
      <c r="E3100" s="6" t="s">
        <v>448</v>
      </c>
      <c r="F3100" s="6" t="s">
        <v>448</v>
      </c>
      <c r="G3100" s="6" t="s">
        <v>32</v>
      </c>
      <c r="H3100" s="6" t="s">
        <v>33</v>
      </c>
      <c r="I3100" s="6" t="s">
        <v>767</v>
      </c>
      <c r="J3100" s="6" t="s">
        <v>764</v>
      </c>
      <c r="K3100" s="7">
        <v>6161744</v>
      </c>
      <c r="L3100" s="7">
        <v>293841</v>
      </c>
      <c r="M3100" s="7">
        <v>19</v>
      </c>
      <c r="N3100" s="7">
        <v>1</v>
      </c>
      <c r="O3100" s="7">
        <v>14</v>
      </c>
    </row>
    <row r="3101" spans="1:15" x14ac:dyDescent="0.25">
      <c r="A3101" s="6" t="s">
        <v>28</v>
      </c>
      <c r="B3101" s="6" t="s">
        <v>382</v>
      </c>
      <c r="C3101" s="7">
        <v>31965</v>
      </c>
      <c r="D3101" s="6" t="s">
        <v>42</v>
      </c>
      <c r="E3101" s="6" t="s">
        <v>51</v>
      </c>
      <c r="F3101" s="6" t="s">
        <v>45</v>
      </c>
      <c r="G3101" s="6" t="s">
        <v>32</v>
      </c>
      <c r="H3101" s="6" t="s">
        <v>33</v>
      </c>
      <c r="I3101" s="6" t="s">
        <v>767</v>
      </c>
      <c r="J3101" s="6" t="s">
        <v>767</v>
      </c>
      <c r="K3101" s="7">
        <v>6154328</v>
      </c>
      <c r="L3101" s="7">
        <v>308856</v>
      </c>
      <c r="M3101" s="7">
        <v>19</v>
      </c>
      <c r="N3101" s="7">
        <v>3</v>
      </c>
      <c r="O3101" s="7">
        <v>46.1</v>
      </c>
    </row>
    <row r="3102" spans="1:15" x14ac:dyDescent="0.25">
      <c r="A3102" s="6" t="s">
        <v>28</v>
      </c>
      <c r="B3102" s="6" t="s">
        <v>382</v>
      </c>
      <c r="C3102" s="7">
        <v>31980</v>
      </c>
      <c r="D3102" s="6" t="s">
        <v>24</v>
      </c>
      <c r="E3102" s="6" t="s">
        <v>37</v>
      </c>
      <c r="F3102" s="6" t="s">
        <v>38</v>
      </c>
      <c r="G3102" s="6" t="s">
        <v>32</v>
      </c>
      <c r="H3102" s="6" t="s">
        <v>162</v>
      </c>
      <c r="I3102" s="6" t="s">
        <v>767</v>
      </c>
      <c r="J3102" s="6" t="s">
        <v>767</v>
      </c>
      <c r="K3102" s="7">
        <v>6269084</v>
      </c>
      <c r="L3102" s="7">
        <v>314239</v>
      </c>
      <c r="M3102" s="7">
        <v>19</v>
      </c>
      <c r="N3102" s="7">
        <v>1</v>
      </c>
      <c r="O3102" s="7">
        <v>0.8</v>
      </c>
    </row>
    <row r="3103" spans="1:15" x14ac:dyDescent="0.25">
      <c r="A3103" s="6" t="s">
        <v>28</v>
      </c>
      <c r="B3103" s="6" t="s">
        <v>382</v>
      </c>
      <c r="C3103" s="7">
        <v>31986</v>
      </c>
      <c r="D3103" s="6" t="s">
        <v>16</v>
      </c>
      <c r="E3103" s="6" t="s">
        <v>332</v>
      </c>
      <c r="F3103" s="6" t="s">
        <v>344</v>
      </c>
      <c r="G3103" s="6" t="s">
        <v>32</v>
      </c>
      <c r="H3103" s="6" t="s">
        <v>153</v>
      </c>
      <c r="I3103" s="6" t="s">
        <v>767</v>
      </c>
      <c r="J3103" s="6" t="s">
        <v>764</v>
      </c>
      <c r="K3103" s="7">
        <v>6364230</v>
      </c>
      <c r="L3103" s="7">
        <v>314966</v>
      </c>
      <c r="M3103" s="7">
        <v>19</v>
      </c>
      <c r="N3103" s="7">
        <v>1</v>
      </c>
      <c r="O3103" s="7">
        <v>1.92</v>
      </c>
    </row>
    <row r="3104" spans="1:15" x14ac:dyDescent="0.25">
      <c r="A3104" s="6" t="s">
        <v>28</v>
      </c>
      <c r="B3104" s="6" t="s">
        <v>382</v>
      </c>
      <c r="C3104" s="7">
        <v>31987</v>
      </c>
      <c r="D3104" s="6" t="s">
        <v>16</v>
      </c>
      <c r="E3104" s="6" t="s">
        <v>332</v>
      </c>
      <c r="F3104" s="6" t="s">
        <v>632</v>
      </c>
      <c r="G3104" s="6" t="s">
        <v>32</v>
      </c>
      <c r="H3104" s="6" t="s">
        <v>19</v>
      </c>
      <c r="I3104" s="6" t="s">
        <v>767</v>
      </c>
      <c r="J3104" s="6" t="s">
        <v>767</v>
      </c>
      <c r="K3104" s="7">
        <v>6364230</v>
      </c>
      <c r="L3104" s="7">
        <v>314966</v>
      </c>
      <c r="M3104" s="7">
        <v>19</v>
      </c>
      <c r="N3104" s="7">
        <v>1</v>
      </c>
      <c r="O3104" s="7">
        <v>0.48</v>
      </c>
    </row>
    <row r="3105" spans="1:15" x14ac:dyDescent="0.25">
      <c r="A3105" s="6" t="s">
        <v>14</v>
      </c>
      <c r="B3105" s="6" t="s">
        <v>382</v>
      </c>
      <c r="C3105" s="7">
        <v>32011</v>
      </c>
      <c r="D3105" s="6" t="s">
        <v>42</v>
      </c>
      <c r="E3105" s="6" t="s">
        <v>184</v>
      </c>
      <c r="F3105" s="6" t="s">
        <v>494</v>
      </c>
      <c r="G3105" s="6" t="s">
        <v>32</v>
      </c>
      <c r="H3105" s="6" t="s">
        <v>33</v>
      </c>
      <c r="I3105" s="6" t="s">
        <v>767</v>
      </c>
      <c r="J3105" s="6" t="s">
        <v>767</v>
      </c>
      <c r="K3105" s="7">
        <v>6198660</v>
      </c>
      <c r="L3105" s="7">
        <v>336382</v>
      </c>
      <c r="M3105" s="7">
        <v>19</v>
      </c>
      <c r="N3105" s="7">
        <v>2</v>
      </c>
      <c r="O3105" s="7">
        <v>48</v>
      </c>
    </row>
    <row r="3106" spans="1:15" x14ac:dyDescent="0.25">
      <c r="A3106" s="6" t="s">
        <v>28</v>
      </c>
      <c r="B3106" s="6" t="s">
        <v>382</v>
      </c>
      <c r="C3106" s="7">
        <v>32041</v>
      </c>
      <c r="D3106" s="6" t="s">
        <v>42</v>
      </c>
      <c r="E3106" s="6" t="s">
        <v>51</v>
      </c>
      <c r="F3106" s="6" t="s">
        <v>51</v>
      </c>
      <c r="G3106" s="6" t="s">
        <v>32</v>
      </c>
      <c r="H3106" s="6" t="s">
        <v>33</v>
      </c>
      <c r="I3106" s="6" t="s">
        <v>767</v>
      </c>
      <c r="J3106" s="6" t="s">
        <v>767</v>
      </c>
      <c r="K3106" s="7">
        <v>6157380</v>
      </c>
      <c r="L3106" s="7">
        <v>318347</v>
      </c>
      <c r="M3106" s="7">
        <v>19</v>
      </c>
      <c r="N3106" s="7">
        <v>2</v>
      </c>
      <c r="O3106" s="7">
        <v>11</v>
      </c>
    </row>
    <row r="3107" spans="1:15" x14ac:dyDescent="0.25">
      <c r="A3107" s="6" t="s">
        <v>14</v>
      </c>
      <c r="B3107" s="6" t="s">
        <v>382</v>
      </c>
      <c r="C3107" s="7">
        <v>32045</v>
      </c>
      <c r="D3107" s="6" t="s">
        <v>39</v>
      </c>
      <c r="E3107" s="6" t="s">
        <v>40</v>
      </c>
      <c r="F3107" s="6" t="s">
        <v>310</v>
      </c>
      <c r="G3107" s="6" t="s">
        <v>32</v>
      </c>
      <c r="H3107" s="6" t="s">
        <v>33</v>
      </c>
      <c r="I3107" s="6" t="s">
        <v>767</v>
      </c>
      <c r="J3107" s="6" t="s">
        <v>764</v>
      </c>
      <c r="K3107" s="7">
        <v>6118181</v>
      </c>
      <c r="L3107" s="7">
        <v>292039</v>
      </c>
      <c r="M3107" s="7">
        <v>19</v>
      </c>
      <c r="N3107" s="7">
        <v>3</v>
      </c>
      <c r="O3107" s="7">
        <v>17.100000000000001</v>
      </c>
    </row>
    <row r="3108" spans="1:15" x14ac:dyDescent="0.25">
      <c r="A3108" s="6" t="s">
        <v>14</v>
      </c>
      <c r="B3108" s="6" t="s">
        <v>382</v>
      </c>
      <c r="C3108" s="7">
        <v>32051</v>
      </c>
      <c r="D3108" s="6" t="s">
        <v>42</v>
      </c>
      <c r="E3108" s="6" t="s">
        <v>448</v>
      </c>
      <c r="F3108" s="6" t="s">
        <v>448</v>
      </c>
      <c r="G3108" s="6" t="s">
        <v>32</v>
      </c>
      <c r="H3108" s="6" t="s">
        <v>33</v>
      </c>
      <c r="I3108" s="6" t="s">
        <v>767</v>
      </c>
      <c r="J3108" s="6" t="s">
        <v>764</v>
      </c>
      <c r="K3108" s="7">
        <v>6161094</v>
      </c>
      <c r="L3108" s="7">
        <v>294201</v>
      </c>
      <c r="M3108" s="7">
        <v>19</v>
      </c>
      <c r="N3108" s="7">
        <v>1</v>
      </c>
      <c r="O3108" s="7">
        <v>5.29</v>
      </c>
    </row>
    <row r="3109" spans="1:15" x14ac:dyDescent="0.25">
      <c r="A3109" s="6" t="s">
        <v>14</v>
      </c>
      <c r="B3109" s="6" t="s">
        <v>382</v>
      </c>
      <c r="C3109" s="7">
        <v>32053</v>
      </c>
      <c r="D3109" s="6" t="s">
        <v>39</v>
      </c>
      <c r="E3109" s="6" t="s">
        <v>179</v>
      </c>
      <c r="F3109" s="6" t="s">
        <v>179</v>
      </c>
      <c r="G3109" s="6" t="s">
        <v>32</v>
      </c>
      <c r="H3109" s="6" t="s">
        <v>33</v>
      </c>
      <c r="I3109" s="6" t="s">
        <v>767</v>
      </c>
      <c r="J3109" s="6" t="s">
        <v>767</v>
      </c>
      <c r="K3109" s="7">
        <v>6126778</v>
      </c>
      <c r="L3109" s="7">
        <v>317857</v>
      </c>
      <c r="M3109" s="7">
        <v>19</v>
      </c>
      <c r="N3109" s="7">
        <v>1</v>
      </c>
      <c r="O3109" s="7">
        <v>10</v>
      </c>
    </row>
    <row r="3110" spans="1:15" x14ac:dyDescent="0.25">
      <c r="A3110" s="6" t="s">
        <v>28</v>
      </c>
      <c r="B3110" s="6" t="s">
        <v>382</v>
      </c>
      <c r="C3110" s="7">
        <v>32054</v>
      </c>
      <c r="D3110" s="6" t="s">
        <v>39</v>
      </c>
      <c r="E3110" s="6" t="s">
        <v>53</v>
      </c>
      <c r="F3110" s="6" t="s">
        <v>40</v>
      </c>
      <c r="G3110" s="6" t="s">
        <v>32</v>
      </c>
      <c r="H3110" s="6" t="s">
        <v>19</v>
      </c>
      <c r="I3110" s="6" t="s">
        <v>767</v>
      </c>
      <c r="J3110" s="6" t="s">
        <v>767</v>
      </c>
      <c r="K3110" s="7">
        <v>6128835</v>
      </c>
      <c r="L3110" s="7">
        <v>321374</v>
      </c>
      <c r="M3110" s="7">
        <v>19</v>
      </c>
      <c r="N3110" s="7">
        <v>1</v>
      </c>
      <c r="O3110" s="7">
        <v>4</v>
      </c>
    </row>
    <row r="3111" spans="1:15" x14ac:dyDescent="0.25">
      <c r="A3111" s="6" t="s">
        <v>14</v>
      </c>
      <c r="B3111" s="6" t="s">
        <v>382</v>
      </c>
      <c r="C3111" s="7">
        <v>32058</v>
      </c>
      <c r="D3111" s="6" t="s">
        <v>42</v>
      </c>
      <c r="E3111" s="6" t="s">
        <v>448</v>
      </c>
      <c r="F3111" s="6" t="s">
        <v>149</v>
      </c>
      <c r="G3111" s="6" t="s">
        <v>32</v>
      </c>
      <c r="H3111" s="6" t="s">
        <v>33</v>
      </c>
      <c r="I3111" s="6" t="s">
        <v>767</v>
      </c>
      <c r="J3111" s="6" t="s">
        <v>764</v>
      </c>
      <c r="K3111" s="7">
        <v>6161431</v>
      </c>
      <c r="L3111" s="7">
        <v>293856</v>
      </c>
      <c r="M3111" s="7">
        <v>19</v>
      </c>
      <c r="N3111" s="7">
        <v>1</v>
      </c>
      <c r="O3111" s="7">
        <v>18</v>
      </c>
    </row>
    <row r="3112" spans="1:15" x14ac:dyDescent="0.25">
      <c r="A3112" s="6" t="s">
        <v>28</v>
      </c>
      <c r="B3112" s="6" t="s">
        <v>382</v>
      </c>
      <c r="C3112" s="7">
        <v>32060</v>
      </c>
      <c r="D3112" s="6" t="s">
        <v>39</v>
      </c>
      <c r="E3112" s="6" t="s">
        <v>40</v>
      </c>
      <c r="F3112" s="6" t="s">
        <v>686</v>
      </c>
      <c r="G3112" s="6" t="s">
        <v>32</v>
      </c>
      <c r="H3112" s="6" t="s">
        <v>19</v>
      </c>
      <c r="I3112" s="6" t="s">
        <v>767</v>
      </c>
      <c r="J3112" s="6" t="s">
        <v>767</v>
      </c>
      <c r="K3112" s="7">
        <v>6112584</v>
      </c>
      <c r="L3112" s="7">
        <v>304687</v>
      </c>
      <c r="M3112" s="7">
        <v>19</v>
      </c>
      <c r="N3112" s="7">
        <v>2</v>
      </c>
      <c r="O3112" s="7">
        <v>2.1</v>
      </c>
    </row>
    <row r="3113" spans="1:15" x14ac:dyDescent="0.25">
      <c r="A3113" s="6" t="s">
        <v>14</v>
      </c>
      <c r="B3113" s="6" t="s">
        <v>382</v>
      </c>
      <c r="C3113" s="7">
        <v>32062</v>
      </c>
      <c r="D3113" s="6" t="s">
        <v>39</v>
      </c>
      <c r="E3113" s="6" t="s">
        <v>87</v>
      </c>
      <c r="F3113" s="6" t="s">
        <v>87</v>
      </c>
      <c r="G3113" s="6" t="s">
        <v>32</v>
      </c>
      <c r="H3113" s="6" t="s">
        <v>33</v>
      </c>
      <c r="I3113" s="6" t="s">
        <v>767</v>
      </c>
      <c r="J3113" s="6" t="s">
        <v>767</v>
      </c>
      <c r="K3113" s="7">
        <v>6096843</v>
      </c>
      <c r="L3113" s="7">
        <v>295030</v>
      </c>
      <c r="M3113" s="7">
        <v>19</v>
      </c>
      <c r="N3113" s="7">
        <v>2</v>
      </c>
      <c r="O3113" s="7">
        <v>9.5</v>
      </c>
    </row>
    <row r="3114" spans="1:15" x14ac:dyDescent="0.25">
      <c r="A3114" s="6" t="s">
        <v>22</v>
      </c>
      <c r="B3114" s="6" t="s">
        <v>382</v>
      </c>
      <c r="C3114" s="7">
        <v>32156</v>
      </c>
      <c r="D3114" s="6" t="s">
        <v>297</v>
      </c>
      <c r="E3114" s="6" t="s">
        <v>298</v>
      </c>
      <c r="F3114" s="6" t="s">
        <v>523</v>
      </c>
      <c r="G3114" s="6" t="s">
        <v>32</v>
      </c>
      <c r="H3114" s="6" t="s">
        <v>765</v>
      </c>
      <c r="I3114" s="6" t="s">
        <v>767</v>
      </c>
      <c r="J3114" s="6" t="s">
        <v>767</v>
      </c>
      <c r="K3114" s="7">
        <v>7952452</v>
      </c>
      <c r="L3114" s="7">
        <v>375184</v>
      </c>
      <c r="M3114" s="7">
        <v>19</v>
      </c>
      <c r="N3114" s="7">
        <v>1</v>
      </c>
      <c r="O3114" s="7">
        <v>0.2</v>
      </c>
    </row>
    <row r="3115" spans="1:15" x14ac:dyDescent="0.25">
      <c r="A3115" s="6" t="s">
        <v>22</v>
      </c>
      <c r="B3115" s="6" t="s">
        <v>382</v>
      </c>
      <c r="C3115" s="7">
        <v>32186</v>
      </c>
      <c r="D3115" s="6" t="s">
        <v>42</v>
      </c>
      <c r="E3115" s="6" t="s">
        <v>51</v>
      </c>
      <c r="F3115" s="6" t="s">
        <v>687</v>
      </c>
      <c r="G3115" s="6" t="s">
        <v>32</v>
      </c>
      <c r="H3115" s="6" t="s">
        <v>765</v>
      </c>
      <c r="I3115" s="6" t="s">
        <v>767</v>
      </c>
      <c r="J3115" s="6" t="s">
        <v>767</v>
      </c>
      <c r="K3115" s="7">
        <v>6143894</v>
      </c>
      <c r="L3115" s="7">
        <v>321121</v>
      </c>
      <c r="M3115" s="7">
        <v>19</v>
      </c>
      <c r="N3115" s="7">
        <v>1</v>
      </c>
      <c r="O3115" s="7">
        <v>0.39</v>
      </c>
    </row>
    <row r="3116" spans="1:15" x14ac:dyDescent="0.25">
      <c r="A3116" s="6" t="s">
        <v>28</v>
      </c>
      <c r="B3116" s="6" t="s">
        <v>382</v>
      </c>
      <c r="C3116" s="7">
        <v>32197</v>
      </c>
      <c r="D3116" s="6" t="s">
        <v>39</v>
      </c>
      <c r="E3116" s="6" t="s">
        <v>72</v>
      </c>
      <c r="F3116" s="6" t="s">
        <v>70</v>
      </c>
      <c r="G3116" s="6" t="s">
        <v>32</v>
      </c>
      <c r="H3116" s="6" t="s">
        <v>33</v>
      </c>
      <c r="I3116" s="6" t="s">
        <v>767</v>
      </c>
      <c r="J3116" s="6" t="s">
        <v>764</v>
      </c>
      <c r="K3116" s="7">
        <v>6066750</v>
      </c>
      <c r="L3116" s="7">
        <v>279160</v>
      </c>
      <c r="M3116" s="7">
        <v>19</v>
      </c>
      <c r="N3116" s="7">
        <v>4</v>
      </c>
      <c r="O3116" s="7">
        <v>15.5</v>
      </c>
    </row>
    <row r="3117" spans="1:15" x14ac:dyDescent="0.25">
      <c r="A3117" s="6" t="s">
        <v>28</v>
      </c>
      <c r="B3117" s="6" t="s">
        <v>382</v>
      </c>
      <c r="C3117" s="7">
        <v>32205</v>
      </c>
      <c r="D3117" s="6" t="s">
        <v>39</v>
      </c>
      <c r="E3117" s="6" t="s">
        <v>72</v>
      </c>
      <c r="F3117" s="6" t="s">
        <v>72</v>
      </c>
      <c r="G3117" s="6" t="s">
        <v>32</v>
      </c>
      <c r="H3117" s="6" t="s">
        <v>33</v>
      </c>
      <c r="I3117" s="6" t="s">
        <v>767</v>
      </c>
      <c r="J3117" s="6" t="s">
        <v>764</v>
      </c>
      <c r="K3117" s="7">
        <v>6066471</v>
      </c>
      <c r="L3117" s="7">
        <v>279287</v>
      </c>
      <c r="M3117" s="7">
        <v>19</v>
      </c>
      <c r="N3117" s="7">
        <v>1</v>
      </c>
      <c r="O3117" s="7">
        <v>3</v>
      </c>
    </row>
    <row r="3118" spans="1:15" x14ac:dyDescent="0.25">
      <c r="A3118" s="6" t="s">
        <v>22</v>
      </c>
      <c r="B3118" s="6" t="s">
        <v>382</v>
      </c>
      <c r="C3118" s="7">
        <v>32206</v>
      </c>
      <c r="D3118" s="6" t="s">
        <v>42</v>
      </c>
      <c r="E3118" s="6" t="s">
        <v>448</v>
      </c>
      <c r="F3118" s="6" t="s">
        <v>149</v>
      </c>
      <c r="G3118" s="6" t="s">
        <v>32</v>
      </c>
      <c r="H3118" s="6" t="s">
        <v>765</v>
      </c>
      <c r="I3118" s="6" t="s">
        <v>767</v>
      </c>
      <c r="J3118" s="6" t="s">
        <v>767</v>
      </c>
      <c r="K3118" s="7">
        <v>6162073</v>
      </c>
      <c r="L3118" s="7">
        <v>295643</v>
      </c>
      <c r="M3118" s="7">
        <v>19</v>
      </c>
      <c r="N3118" s="7">
        <v>1</v>
      </c>
      <c r="O3118" s="7">
        <v>1.86</v>
      </c>
    </row>
    <row r="3119" spans="1:15" x14ac:dyDescent="0.25">
      <c r="A3119" s="6" t="s">
        <v>28</v>
      </c>
      <c r="B3119" s="6" t="s">
        <v>382</v>
      </c>
      <c r="C3119" s="7">
        <v>32209</v>
      </c>
      <c r="D3119" s="6" t="s">
        <v>39</v>
      </c>
      <c r="E3119" s="6" t="s">
        <v>87</v>
      </c>
      <c r="F3119" s="6" t="s">
        <v>87</v>
      </c>
      <c r="G3119" s="6" t="s">
        <v>32</v>
      </c>
      <c r="H3119" s="6" t="s">
        <v>33</v>
      </c>
      <c r="I3119" s="6" t="s">
        <v>767</v>
      </c>
      <c r="J3119" s="6" t="s">
        <v>764</v>
      </c>
      <c r="K3119" s="7">
        <v>6103250</v>
      </c>
      <c r="L3119" s="7">
        <v>296647</v>
      </c>
      <c r="M3119" s="7">
        <v>19</v>
      </c>
      <c r="N3119" s="7">
        <v>4</v>
      </c>
      <c r="O3119" s="7">
        <v>11</v>
      </c>
    </row>
    <row r="3120" spans="1:15" x14ac:dyDescent="0.25">
      <c r="A3120" s="6" t="s">
        <v>14</v>
      </c>
      <c r="B3120" s="6" t="s">
        <v>382</v>
      </c>
      <c r="C3120" s="7">
        <v>32211</v>
      </c>
      <c r="D3120" s="6" t="s">
        <v>42</v>
      </c>
      <c r="E3120" s="6" t="s">
        <v>51</v>
      </c>
      <c r="F3120" s="6" t="s">
        <v>179</v>
      </c>
      <c r="G3120" s="6" t="s">
        <v>32</v>
      </c>
      <c r="H3120" s="6" t="s">
        <v>33</v>
      </c>
      <c r="I3120" s="6" t="s">
        <v>767</v>
      </c>
      <c r="J3120" s="6" t="s">
        <v>767</v>
      </c>
      <c r="K3120" s="7">
        <v>6152839</v>
      </c>
      <c r="L3120" s="7">
        <v>322807</v>
      </c>
      <c r="M3120" s="7">
        <v>19</v>
      </c>
      <c r="N3120" s="7">
        <v>2</v>
      </c>
      <c r="O3120" s="7">
        <v>24</v>
      </c>
    </row>
    <row r="3121" spans="1:15" x14ac:dyDescent="0.25">
      <c r="A3121" s="6" t="s">
        <v>28</v>
      </c>
      <c r="B3121" s="6" t="s">
        <v>382</v>
      </c>
      <c r="C3121" s="7">
        <v>32214</v>
      </c>
      <c r="D3121" s="6" t="s">
        <v>39</v>
      </c>
      <c r="E3121" s="6" t="s">
        <v>41</v>
      </c>
      <c r="F3121" s="6" t="s">
        <v>40</v>
      </c>
      <c r="G3121" s="6" t="s">
        <v>32</v>
      </c>
      <c r="H3121" s="6" t="s">
        <v>33</v>
      </c>
      <c r="I3121" s="6" t="s">
        <v>767</v>
      </c>
      <c r="J3121" s="6" t="s">
        <v>764</v>
      </c>
      <c r="K3121" s="7">
        <v>6124572</v>
      </c>
      <c r="L3121" s="7">
        <v>290530</v>
      </c>
      <c r="M3121" s="7">
        <v>19</v>
      </c>
      <c r="N3121" s="7">
        <v>2</v>
      </c>
      <c r="O3121" s="7">
        <v>9.6</v>
      </c>
    </row>
    <row r="3122" spans="1:15" x14ac:dyDescent="0.25">
      <c r="A3122" s="6" t="s">
        <v>14</v>
      </c>
      <c r="B3122" s="6" t="s">
        <v>382</v>
      </c>
      <c r="C3122" s="7">
        <v>32223</v>
      </c>
      <c r="D3122" s="6" t="s">
        <v>24</v>
      </c>
      <c r="E3122" s="6" t="s">
        <v>436</v>
      </c>
      <c r="F3122" s="6" t="s">
        <v>436</v>
      </c>
      <c r="G3122" s="6" t="s">
        <v>32</v>
      </c>
      <c r="H3122" s="6" t="s">
        <v>33</v>
      </c>
      <c r="I3122" s="6" t="s">
        <v>764</v>
      </c>
      <c r="J3122" s="6" t="s">
        <v>767</v>
      </c>
      <c r="K3122" s="7">
        <v>6276644</v>
      </c>
      <c r="L3122" s="7">
        <v>332128</v>
      </c>
      <c r="M3122" s="7">
        <v>19</v>
      </c>
      <c r="N3122" s="7">
        <v>1</v>
      </c>
      <c r="O3122" s="7">
        <v>0.6</v>
      </c>
    </row>
    <row r="3123" spans="1:15" x14ac:dyDescent="0.25">
      <c r="A3123" s="6" t="s">
        <v>28</v>
      </c>
      <c r="B3123" s="6" t="s">
        <v>382</v>
      </c>
      <c r="C3123" s="7">
        <v>32227</v>
      </c>
      <c r="D3123" s="6" t="s">
        <v>39</v>
      </c>
      <c r="E3123" s="6" t="s">
        <v>72</v>
      </c>
      <c r="F3123" s="6" t="s">
        <v>70</v>
      </c>
      <c r="G3123" s="6" t="s">
        <v>32</v>
      </c>
      <c r="H3123" s="6" t="s">
        <v>33</v>
      </c>
      <c r="I3123" s="6" t="s">
        <v>767</v>
      </c>
      <c r="J3123" s="6" t="s">
        <v>767</v>
      </c>
      <c r="K3123" s="7">
        <v>6072677</v>
      </c>
      <c r="L3123" s="7">
        <v>289210</v>
      </c>
      <c r="M3123" s="7">
        <v>19</v>
      </c>
      <c r="N3123" s="7">
        <v>3</v>
      </c>
      <c r="O3123" s="7">
        <v>15.5</v>
      </c>
    </row>
    <row r="3124" spans="1:15" x14ac:dyDescent="0.25">
      <c r="A3124" s="6" t="s">
        <v>28</v>
      </c>
      <c r="B3124" s="6" t="s">
        <v>382</v>
      </c>
      <c r="C3124" s="7">
        <v>32230</v>
      </c>
      <c r="D3124" s="6" t="s">
        <v>42</v>
      </c>
      <c r="E3124" s="6" t="s">
        <v>51</v>
      </c>
      <c r="F3124" s="6" t="s">
        <v>688</v>
      </c>
      <c r="G3124" s="6" t="s">
        <v>32</v>
      </c>
      <c r="H3124" s="6" t="s">
        <v>19</v>
      </c>
      <c r="I3124" s="6" t="s">
        <v>767</v>
      </c>
      <c r="J3124" s="6" t="s">
        <v>767</v>
      </c>
      <c r="K3124" s="7">
        <v>6151311</v>
      </c>
      <c r="L3124" s="7">
        <v>319652</v>
      </c>
      <c r="M3124" s="7">
        <v>19</v>
      </c>
      <c r="N3124" s="7">
        <v>1</v>
      </c>
      <c r="O3124" s="7">
        <v>2.4</v>
      </c>
    </row>
    <row r="3125" spans="1:15" x14ac:dyDescent="0.25">
      <c r="A3125" s="6" t="s">
        <v>28</v>
      </c>
      <c r="B3125" s="6" t="s">
        <v>382</v>
      </c>
      <c r="C3125" s="7">
        <v>32244</v>
      </c>
      <c r="D3125" s="6" t="s">
        <v>42</v>
      </c>
      <c r="E3125" s="6" t="s">
        <v>448</v>
      </c>
      <c r="F3125" s="6" t="s">
        <v>448</v>
      </c>
      <c r="G3125" s="6" t="s">
        <v>32</v>
      </c>
      <c r="H3125" s="6" t="s">
        <v>33</v>
      </c>
      <c r="I3125" s="6" t="s">
        <v>767</v>
      </c>
      <c r="J3125" s="6" t="s">
        <v>764</v>
      </c>
      <c r="K3125" s="7">
        <v>6161144</v>
      </c>
      <c r="L3125" s="7">
        <v>294958</v>
      </c>
      <c r="M3125" s="7">
        <v>19</v>
      </c>
      <c r="N3125" s="7">
        <v>1</v>
      </c>
      <c r="O3125" s="7">
        <v>5.48</v>
      </c>
    </row>
    <row r="3126" spans="1:15" x14ac:dyDescent="0.25">
      <c r="A3126" s="6" t="s">
        <v>28</v>
      </c>
      <c r="B3126" s="6" t="s">
        <v>382</v>
      </c>
      <c r="C3126" s="7">
        <v>32258</v>
      </c>
      <c r="D3126" s="6" t="s">
        <v>39</v>
      </c>
      <c r="E3126" s="6" t="s">
        <v>53</v>
      </c>
      <c r="F3126" s="6" t="s">
        <v>40</v>
      </c>
      <c r="G3126" s="6" t="s">
        <v>32</v>
      </c>
      <c r="H3126" s="6" t="s">
        <v>33</v>
      </c>
      <c r="I3126" s="6" t="s">
        <v>767</v>
      </c>
      <c r="J3126" s="6" t="s">
        <v>767</v>
      </c>
      <c r="K3126" s="7">
        <v>6139039</v>
      </c>
      <c r="L3126" s="7">
        <v>319645</v>
      </c>
      <c r="M3126" s="7">
        <v>19</v>
      </c>
      <c r="N3126" s="7">
        <v>4</v>
      </c>
      <c r="O3126" s="7">
        <v>37</v>
      </c>
    </row>
    <row r="3127" spans="1:15" x14ac:dyDescent="0.25">
      <c r="A3127" s="6" t="s">
        <v>28</v>
      </c>
      <c r="B3127" s="6" t="s">
        <v>382</v>
      </c>
      <c r="C3127" s="7">
        <v>32260</v>
      </c>
      <c r="D3127" s="6" t="s">
        <v>39</v>
      </c>
      <c r="E3127" s="6" t="s">
        <v>40</v>
      </c>
      <c r="F3127" s="6" t="s">
        <v>40</v>
      </c>
      <c r="G3127" s="6" t="s">
        <v>32</v>
      </c>
      <c r="H3127" s="6" t="s">
        <v>33</v>
      </c>
      <c r="I3127" s="6" t="s">
        <v>767</v>
      </c>
      <c r="J3127" s="6" t="s">
        <v>764</v>
      </c>
      <c r="K3127" s="7">
        <v>6125128</v>
      </c>
      <c r="L3127" s="7">
        <v>301927</v>
      </c>
      <c r="M3127" s="7">
        <v>19</v>
      </c>
      <c r="N3127" s="7">
        <v>4</v>
      </c>
      <c r="O3127" s="7">
        <v>10.8</v>
      </c>
    </row>
    <row r="3128" spans="1:15" x14ac:dyDescent="0.25">
      <c r="A3128" s="6" t="s">
        <v>28</v>
      </c>
      <c r="B3128" s="6" t="s">
        <v>382</v>
      </c>
      <c r="C3128" s="7">
        <v>32261</v>
      </c>
      <c r="D3128" s="6" t="s">
        <v>24</v>
      </c>
      <c r="E3128" s="6" t="s">
        <v>37</v>
      </c>
      <c r="F3128" s="6" t="s">
        <v>443</v>
      </c>
      <c r="G3128" s="6" t="s">
        <v>32</v>
      </c>
      <c r="H3128" s="6" t="s">
        <v>19</v>
      </c>
      <c r="I3128" s="6" t="s">
        <v>767</v>
      </c>
      <c r="J3128" s="6" t="s">
        <v>767</v>
      </c>
      <c r="K3128" s="7">
        <v>6270482</v>
      </c>
      <c r="L3128" s="7">
        <v>328784</v>
      </c>
      <c r="M3128" s="7">
        <v>19</v>
      </c>
      <c r="N3128" s="7">
        <v>1</v>
      </c>
      <c r="O3128" s="7">
        <v>1.3</v>
      </c>
    </row>
    <row r="3129" spans="1:15" x14ac:dyDescent="0.25">
      <c r="A3129" s="6" t="s">
        <v>28</v>
      </c>
      <c r="B3129" s="6" t="s">
        <v>382</v>
      </c>
      <c r="C3129" s="7">
        <v>32279</v>
      </c>
      <c r="D3129" s="6" t="s">
        <v>39</v>
      </c>
      <c r="E3129" s="6" t="s">
        <v>206</v>
      </c>
      <c r="F3129" s="6" t="s">
        <v>536</v>
      </c>
      <c r="G3129" s="6" t="s">
        <v>32</v>
      </c>
      <c r="H3129" s="6" t="s">
        <v>33</v>
      </c>
      <c r="I3129" s="6" t="s">
        <v>767</v>
      </c>
      <c r="J3129" s="6" t="s">
        <v>764</v>
      </c>
      <c r="K3129" s="7">
        <v>6009562</v>
      </c>
      <c r="L3129" s="7">
        <v>246474</v>
      </c>
      <c r="M3129" s="7">
        <v>19</v>
      </c>
      <c r="N3129" s="7">
        <v>2</v>
      </c>
      <c r="O3129" s="7">
        <v>24</v>
      </c>
    </row>
    <row r="3130" spans="1:15" x14ac:dyDescent="0.25">
      <c r="A3130" s="6" t="s">
        <v>28</v>
      </c>
      <c r="B3130" s="6" t="s">
        <v>382</v>
      </c>
      <c r="C3130" s="7">
        <v>32280</v>
      </c>
      <c r="D3130" s="6" t="s">
        <v>42</v>
      </c>
      <c r="E3130" s="6" t="s">
        <v>51</v>
      </c>
      <c r="F3130" s="6" t="s">
        <v>344</v>
      </c>
      <c r="G3130" s="6" t="s">
        <v>32</v>
      </c>
      <c r="H3130" s="6" t="s">
        <v>33</v>
      </c>
      <c r="I3130" s="6" t="s">
        <v>767</v>
      </c>
      <c r="J3130" s="6" t="s">
        <v>767</v>
      </c>
      <c r="K3130" s="7">
        <v>6156736</v>
      </c>
      <c r="L3130" s="7">
        <v>318277</v>
      </c>
      <c r="M3130" s="7">
        <v>19</v>
      </c>
      <c r="N3130" s="7">
        <v>1</v>
      </c>
      <c r="O3130" s="7">
        <v>6</v>
      </c>
    </row>
    <row r="3131" spans="1:15" x14ac:dyDescent="0.25">
      <c r="A3131" s="6" t="s">
        <v>28</v>
      </c>
      <c r="B3131" s="6" t="s">
        <v>382</v>
      </c>
      <c r="C3131" s="7">
        <v>32281</v>
      </c>
      <c r="D3131" s="6" t="s">
        <v>39</v>
      </c>
      <c r="E3131" s="6" t="s">
        <v>87</v>
      </c>
      <c r="F3131" s="6" t="s">
        <v>70</v>
      </c>
      <c r="G3131" s="6" t="s">
        <v>32</v>
      </c>
      <c r="H3131" s="6" t="s">
        <v>33</v>
      </c>
      <c r="I3131" s="6" t="s">
        <v>767</v>
      </c>
      <c r="J3131" s="6" t="s">
        <v>764</v>
      </c>
      <c r="K3131" s="7">
        <v>6103151</v>
      </c>
      <c r="L3131" s="7">
        <v>296506</v>
      </c>
      <c r="M3131" s="7">
        <v>19</v>
      </c>
      <c r="N3131" s="7">
        <v>1</v>
      </c>
      <c r="O3131" s="7">
        <v>11.5</v>
      </c>
    </row>
    <row r="3132" spans="1:15" x14ac:dyDescent="0.25">
      <c r="A3132" s="6" t="s">
        <v>14</v>
      </c>
      <c r="B3132" s="6" t="s">
        <v>382</v>
      </c>
      <c r="C3132" s="7">
        <v>32340</v>
      </c>
      <c r="D3132" s="6" t="s">
        <v>39</v>
      </c>
      <c r="E3132" s="6" t="s">
        <v>53</v>
      </c>
      <c r="F3132" s="6" t="s">
        <v>689</v>
      </c>
      <c r="G3132" s="6" t="s">
        <v>32</v>
      </c>
      <c r="H3132" s="6" t="s">
        <v>33</v>
      </c>
      <c r="I3132" s="6" t="s">
        <v>764</v>
      </c>
      <c r="J3132" s="6" t="s">
        <v>767</v>
      </c>
      <c r="K3132" s="7">
        <v>6128348</v>
      </c>
      <c r="L3132" s="7">
        <v>329005</v>
      </c>
      <c r="M3132" s="7">
        <v>19</v>
      </c>
      <c r="N3132" s="7">
        <v>1</v>
      </c>
      <c r="O3132" s="7">
        <v>1.4</v>
      </c>
    </row>
    <row r="3133" spans="1:15" x14ac:dyDescent="0.25">
      <c r="A3133" s="6" t="s">
        <v>28</v>
      </c>
      <c r="B3133" s="6" t="s">
        <v>382</v>
      </c>
      <c r="C3133" s="7">
        <v>32400</v>
      </c>
      <c r="D3133" s="6" t="s">
        <v>39</v>
      </c>
      <c r="E3133" s="6" t="s">
        <v>72</v>
      </c>
      <c r="F3133" s="6" t="s">
        <v>198</v>
      </c>
      <c r="G3133" s="6" t="s">
        <v>32</v>
      </c>
      <c r="H3133" s="6" t="s">
        <v>33</v>
      </c>
      <c r="I3133" s="6" t="s">
        <v>767</v>
      </c>
      <c r="J3133" s="6" t="s">
        <v>764</v>
      </c>
      <c r="K3133" s="7">
        <v>6065178</v>
      </c>
      <c r="L3133" s="7">
        <v>286395</v>
      </c>
      <c r="M3133" s="7">
        <v>19</v>
      </c>
      <c r="N3133" s="7">
        <v>4</v>
      </c>
      <c r="O3133" s="7">
        <v>15.5</v>
      </c>
    </row>
    <row r="3134" spans="1:15" x14ac:dyDescent="0.25">
      <c r="A3134" s="6" t="s">
        <v>28</v>
      </c>
      <c r="B3134" s="6" t="s">
        <v>382</v>
      </c>
      <c r="C3134" s="7">
        <v>32408</v>
      </c>
      <c r="D3134" s="6" t="s">
        <v>39</v>
      </c>
      <c r="E3134" s="6" t="s">
        <v>72</v>
      </c>
      <c r="F3134" s="6" t="s">
        <v>72</v>
      </c>
      <c r="G3134" s="6" t="s">
        <v>32</v>
      </c>
      <c r="H3134" s="6" t="s">
        <v>33</v>
      </c>
      <c r="I3134" s="6" t="s">
        <v>767</v>
      </c>
      <c r="J3134" s="6" t="s">
        <v>764</v>
      </c>
      <c r="K3134" s="7">
        <v>6064701</v>
      </c>
      <c r="L3134" s="7">
        <v>286489</v>
      </c>
      <c r="M3134" s="7">
        <v>19</v>
      </c>
      <c r="N3134" s="7">
        <v>1</v>
      </c>
      <c r="O3134" s="7">
        <v>4</v>
      </c>
    </row>
    <row r="3135" spans="1:15" x14ac:dyDescent="0.25">
      <c r="A3135" s="6" t="s">
        <v>28</v>
      </c>
      <c r="B3135" s="6" t="s">
        <v>382</v>
      </c>
      <c r="C3135" s="7">
        <v>32412</v>
      </c>
      <c r="D3135" s="6" t="s">
        <v>42</v>
      </c>
      <c r="E3135" s="6" t="s">
        <v>51</v>
      </c>
      <c r="F3135" s="6" t="s">
        <v>179</v>
      </c>
      <c r="G3135" s="6" t="s">
        <v>32</v>
      </c>
      <c r="H3135" s="6" t="s">
        <v>33</v>
      </c>
      <c r="I3135" s="6" t="s">
        <v>767</v>
      </c>
      <c r="J3135" s="6" t="s">
        <v>767</v>
      </c>
      <c r="K3135" s="7">
        <v>6156891</v>
      </c>
      <c r="L3135" s="7">
        <v>318247</v>
      </c>
      <c r="M3135" s="7">
        <v>19</v>
      </c>
      <c r="N3135" s="7">
        <v>1</v>
      </c>
      <c r="O3135" s="7">
        <v>4</v>
      </c>
    </row>
    <row r="3136" spans="1:15" x14ac:dyDescent="0.25">
      <c r="A3136" s="6" t="s">
        <v>28</v>
      </c>
      <c r="B3136" s="6" t="s">
        <v>382</v>
      </c>
      <c r="C3136" s="7">
        <v>32415</v>
      </c>
      <c r="D3136" s="6" t="s">
        <v>39</v>
      </c>
      <c r="E3136" s="6" t="s">
        <v>87</v>
      </c>
      <c r="F3136" s="6" t="s">
        <v>390</v>
      </c>
      <c r="G3136" s="6" t="s">
        <v>32</v>
      </c>
      <c r="H3136" s="6" t="s">
        <v>33</v>
      </c>
      <c r="I3136" s="6" t="s">
        <v>767</v>
      </c>
      <c r="J3136" s="6" t="s">
        <v>764</v>
      </c>
      <c r="K3136" s="7">
        <v>6102114</v>
      </c>
      <c r="L3136" s="7">
        <v>297419</v>
      </c>
      <c r="M3136" s="7">
        <v>19</v>
      </c>
      <c r="N3136" s="7">
        <v>1</v>
      </c>
      <c r="O3136" s="7">
        <v>9.5</v>
      </c>
    </row>
    <row r="3137" spans="1:15" x14ac:dyDescent="0.25">
      <c r="A3137" s="6" t="s">
        <v>28</v>
      </c>
      <c r="B3137" s="6" t="s">
        <v>382</v>
      </c>
      <c r="C3137" s="7">
        <v>32460</v>
      </c>
      <c r="D3137" s="6" t="s">
        <v>42</v>
      </c>
      <c r="E3137" s="6" t="s">
        <v>63</v>
      </c>
      <c r="F3137" s="6" t="s">
        <v>45</v>
      </c>
      <c r="G3137" s="6" t="s">
        <v>32</v>
      </c>
      <c r="H3137" s="6" t="s">
        <v>33</v>
      </c>
      <c r="I3137" s="6" t="s">
        <v>767</v>
      </c>
      <c r="J3137" s="6" t="s">
        <v>764</v>
      </c>
      <c r="K3137" s="7">
        <v>6165674</v>
      </c>
      <c r="L3137" s="7">
        <v>286074</v>
      </c>
      <c r="M3137" s="7">
        <v>19</v>
      </c>
      <c r="N3137" s="7">
        <v>2</v>
      </c>
      <c r="O3137" s="7">
        <v>25</v>
      </c>
    </row>
    <row r="3138" spans="1:15" x14ac:dyDescent="0.25">
      <c r="A3138" s="6" t="s">
        <v>14</v>
      </c>
      <c r="B3138" s="6" t="s">
        <v>382</v>
      </c>
      <c r="C3138" s="7">
        <v>32488</v>
      </c>
      <c r="D3138" s="6" t="s">
        <v>39</v>
      </c>
      <c r="E3138" s="6" t="s">
        <v>72</v>
      </c>
      <c r="F3138" s="6" t="s">
        <v>70</v>
      </c>
      <c r="G3138" s="6" t="s">
        <v>32</v>
      </c>
      <c r="H3138" s="6" t="s">
        <v>33</v>
      </c>
      <c r="I3138" s="6" t="s">
        <v>767</v>
      </c>
      <c r="J3138" s="6" t="s">
        <v>764</v>
      </c>
      <c r="K3138" s="7">
        <v>6063532</v>
      </c>
      <c r="L3138" s="7">
        <v>282541</v>
      </c>
      <c r="M3138" s="7">
        <v>19</v>
      </c>
      <c r="N3138" s="7">
        <v>1</v>
      </c>
      <c r="O3138" s="7">
        <v>3</v>
      </c>
    </row>
    <row r="3139" spans="1:15" x14ac:dyDescent="0.25">
      <c r="A3139" s="6" t="s">
        <v>14</v>
      </c>
      <c r="B3139" s="6" t="s">
        <v>382</v>
      </c>
      <c r="C3139" s="7">
        <v>32493</v>
      </c>
      <c r="D3139" s="6" t="s">
        <v>39</v>
      </c>
      <c r="E3139" s="6" t="s">
        <v>72</v>
      </c>
      <c r="F3139" s="6" t="s">
        <v>72</v>
      </c>
      <c r="G3139" s="6" t="s">
        <v>32</v>
      </c>
      <c r="H3139" s="6" t="s">
        <v>33</v>
      </c>
      <c r="I3139" s="6" t="s">
        <v>767</v>
      </c>
      <c r="J3139" s="6" t="s">
        <v>764</v>
      </c>
      <c r="K3139" s="7">
        <v>6063658</v>
      </c>
      <c r="L3139" s="7">
        <v>282408</v>
      </c>
      <c r="M3139" s="7">
        <v>19</v>
      </c>
      <c r="N3139" s="7">
        <v>2</v>
      </c>
      <c r="O3139" s="7">
        <v>11</v>
      </c>
    </row>
    <row r="3140" spans="1:15" x14ac:dyDescent="0.25">
      <c r="A3140" s="6" t="s">
        <v>28</v>
      </c>
      <c r="B3140" s="6" t="s">
        <v>382</v>
      </c>
      <c r="C3140" s="7">
        <v>32497</v>
      </c>
      <c r="D3140" s="6" t="s">
        <v>39</v>
      </c>
      <c r="E3140" s="6" t="s">
        <v>72</v>
      </c>
      <c r="F3140" s="6" t="s">
        <v>500</v>
      </c>
      <c r="G3140" s="6" t="s">
        <v>32</v>
      </c>
      <c r="H3140" s="6" t="s">
        <v>33</v>
      </c>
      <c r="I3140" s="6" t="s">
        <v>767</v>
      </c>
      <c r="J3140" s="6" t="s">
        <v>764</v>
      </c>
      <c r="K3140" s="7">
        <v>6064982</v>
      </c>
      <c r="L3140" s="7">
        <v>286700</v>
      </c>
      <c r="M3140" s="7">
        <v>19</v>
      </c>
      <c r="N3140" s="7">
        <v>1</v>
      </c>
      <c r="O3140" s="7">
        <v>6.5</v>
      </c>
    </row>
    <row r="3141" spans="1:15" x14ac:dyDescent="0.25">
      <c r="A3141" s="6" t="s">
        <v>28</v>
      </c>
      <c r="B3141" s="6" t="s">
        <v>382</v>
      </c>
      <c r="C3141" s="7">
        <v>32508</v>
      </c>
      <c r="D3141" s="6" t="s">
        <v>39</v>
      </c>
      <c r="E3141" s="6" t="s">
        <v>83</v>
      </c>
      <c r="F3141" s="6" t="s">
        <v>330</v>
      </c>
      <c r="G3141" s="6" t="s">
        <v>32</v>
      </c>
      <c r="H3141" s="6" t="s">
        <v>33</v>
      </c>
      <c r="I3141" s="6" t="s">
        <v>767</v>
      </c>
      <c r="J3141" s="6" t="s">
        <v>767</v>
      </c>
      <c r="K3141" s="7">
        <v>6088576</v>
      </c>
      <c r="L3141" s="7">
        <v>271744</v>
      </c>
      <c r="M3141" s="7">
        <v>19</v>
      </c>
      <c r="N3141" s="7">
        <v>6</v>
      </c>
      <c r="O3141" s="7">
        <v>35</v>
      </c>
    </row>
    <row r="3142" spans="1:15" x14ac:dyDescent="0.25">
      <c r="A3142" s="6" t="s">
        <v>22</v>
      </c>
      <c r="B3142" s="6" t="s">
        <v>382</v>
      </c>
      <c r="C3142" s="7">
        <v>32520</v>
      </c>
      <c r="D3142" s="6" t="s">
        <v>297</v>
      </c>
      <c r="E3142" s="6" t="s">
        <v>298</v>
      </c>
      <c r="F3142" s="6" t="s">
        <v>523</v>
      </c>
      <c r="G3142" s="6" t="s">
        <v>32</v>
      </c>
      <c r="H3142" s="6" t="s">
        <v>765</v>
      </c>
      <c r="I3142" s="6" t="s">
        <v>767</v>
      </c>
      <c r="J3142" s="6" t="s">
        <v>767</v>
      </c>
      <c r="K3142" s="7">
        <v>7953396</v>
      </c>
      <c r="L3142" s="7">
        <v>371993</v>
      </c>
      <c r="M3142" s="7">
        <v>19</v>
      </c>
      <c r="N3142" s="7">
        <v>1</v>
      </c>
      <c r="O3142" s="7">
        <v>0.36</v>
      </c>
    </row>
    <row r="3143" spans="1:15" x14ac:dyDescent="0.25">
      <c r="A3143" s="6" t="s">
        <v>14</v>
      </c>
      <c r="B3143" s="6" t="s">
        <v>382</v>
      </c>
      <c r="C3143" s="7">
        <v>32523</v>
      </c>
      <c r="D3143" s="6" t="s">
        <v>39</v>
      </c>
      <c r="E3143" s="6" t="s">
        <v>179</v>
      </c>
      <c r="F3143" s="6" t="s">
        <v>179</v>
      </c>
      <c r="G3143" s="6" t="s">
        <v>32</v>
      </c>
      <c r="H3143" s="6" t="s">
        <v>33</v>
      </c>
      <c r="I3143" s="6" t="s">
        <v>767</v>
      </c>
      <c r="J3143" s="6" t="s">
        <v>767</v>
      </c>
      <c r="K3143" s="7">
        <v>6126860</v>
      </c>
      <c r="L3143" s="7">
        <v>317696</v>
      </c>
      <c r="M3143" s="7">
        <v>19</v>
      </c>
      <c r="N3143" s="7">
        <v>2</v>
      </c>
      <c r="O3143" s="7">
        <v>4.5999999999999996</v>
      </c>
    </row>
    <row r="3144" spans="1:15" x14ac:dyDescent="0.25">
      <c r="A3144" s="6" t="s">
        <v>14</v>
      </c>
      <c r="B3144" s="6" t="s">
        <v>382</v>
      </c>
      <c r="C3144" s="7">
        <v>32526</v>
      </c>
      <c r="D3144" s="6" t="s">
        <v>42</v>
      </c>
      <c r="E3144" s="6" t="s">
        <v>51</v>
      </c>
      <c r="F3144" s="6" t="s">
        <v>51</v>
      </c>
      <c r="G3144" s="6" t="s">
        <v>32</v>
      </c>
      <c r="H3144" s="6" t="s">
        <v>33</v>
      </c>
      <c r="I3144" s="6" t="s">
        <v>767</v>
      </c>
      <c r="J3144" s="6" t="s">
        <v>767</v>
      </c>
      <c r="K3144" s="7">
        <v>6149165</v>
      </c>
      <c r="L3144" s="7">
        <v>319049</v>
      </c>
      <c r="M3144" s="7">
        <v>19</v>
      </c>
      <c r="N3144" s="7">
        <v>1</v>
      </c>
      <c r="O3144" s="7">
        <v>3.5</v>
      </c>
    </row>
    <row r="3145" spans="1:15" x14ac:dyDescent="0.25">
      <c r="A3145" s="6" t="s">
        <v>14</v>
      </c>
      <c r="B3145" s="6" t="s">
        <v>382</v>
      </c>
      <c r="C3145" s="7">
        <v>32538</v>
      </c>
      <c r="D3145" s="6" t="s">
        <v>39</v>
      </c>
      <c r="E3145" s="6" t="s">
        <v>72</v>
      </c>
      <c r="F3145" s="6" t="s">
        <v>682</v>
      </c>
      <c r="G3145" s="6" t="s">
        <v>32</v>
      </c>
      <c r="H3145" s="6" t="s">
        <v>33</v>
      </c>
      <c r="I3145" s="6" t="s">
        <v>767</v>
      </c>
      <c r="J3145" s="6" t="s">
        <v>767</v>
      </c>
      <c r="K3145" s="7">
        <v>6057893</v>
      </c>
      <c r="L3145" s="7">
        <v>283509</v>
      </c>
      <c r="M3145" s="7">
        <v>19</v>
      </c>
      <c r="N3145" s="7">
        <v>1</v>
      </c>
      <c r="O3145" s="7">
        <v>3.5</v>
      </c>
    </row>
    <row r="3146" spans="1:15" x14ac:dyDescent="0.25">
      <c r="A3146" s="6" t="s">
        <v>14</v>
      </c>
      <c r="B3146" s="6" t="s">
        <v>382</v>
      </c>
      <c r="C3146" s="7">
        <v>32542</v>
      </c>
      <c r="D3146" s="6" t="s">
        <v>42</v>
      </c>
      <c r="E3146" s="6" t="s">
        <v>672</v>
      </c>
      <c r="F3146" s="6" t="s">
        <v>673</v>
      </c>
      <c r="G3146" s="6" t="s">
        <v>32</v>
      </c>
      <c r="H3146" s="6" t="s">
        <v>33</v>
      </c>
      <c r="I3146" s="6" t="s">
        <v>767</v>
      </c>
      <c r="J3146" s="6" t="s">
        <v>767</v>
      </c>
      <c r="K3146" s="7">
        <v>6188839</v>
      </c>
      <c r="L3146" s="7">
        <v>279518</v>
      </c>
      <c r="M3146" s="7">
        <v>19</v>
      </c>
      <c r="N3146" s="7">
        <v>2</v>
      </c>
      <c r="O3146" s="7">
        <v>15</v>
      </c>
    </row>
    <row r="3147" spans="1:15" x14ac:dyDescent="0.25">
      <c r="A3147" s="6" t="s">
        <v>14</v>
      </c>
      <c r="B3147" s="6" t="s">
        <v>382</v>
      </c>
      <c r="C3147" s="7">
        <v>32645</v>
      </c>
      <c r="D3147" s="6" t="s">
        <v>39</v>
      </c>
      <c r="E3147" s="6" t="s">
        <v>72</v>
      </c>
      <c r="F3147" s="6" t="s">
        <v>72</v>
      </c>
      <c r="G3147" s="6" t="s">
        <v>32</v>
      </c>
      <c r="H3147" s="6" t="s">
        <v>33</v>
      </c>
      <c r="I3147" s="6" t="s">
        <v>767</v>
      </c>
      <c r="J3147" s="6" t="s">
        <v>767</v>
      </c>
      <c r="K3147" s="7">
        <v>6069095</v>
      </c>
      <c r="L3147" s="7">
        <v>278511</v>
      </c>
      <c r="M3147" s="7">
        <v>19</v>
      </c>
      <c r="N3147" s="7">
        <v>2</v>
      </c>
      <c r="O3147" s="7">
        <v>5</v>
      </c>
    </row>
    <row r="3148" spans="1:15" x14ac:dyDescent="0.25">
      <c r="A3148" s="6" t="s">
        <v>28</v>
      </c>
      <c r="B3148" s="6" t="s">
        <v>382</v>
      </c>
      <c r="C3148" s="7">
        <v>32647</v>
      </c>
      <c r="D3148" s="6" t="s">
        <v>39</v>
      </c>
      <c r="E3148" s="6" t="s">
        <v>87</v>
      </c>
      <c r="F3148" s="6" t="s">
        <v>70</v>
      </c>
      <c r="G3148" s="6" t="s">
        <v>32</v>
      </c>
      <c r="H3148" s="6" t="s">
        <v>33</v>
      </c>
      <c r="I3148" s="6" t="s">
        <v>767</v>
      </c>
      <c r="J3148" s="6" t="s">
        <v>767</v>
      </c>
      <c r="K3148" s="7">
        <v>6108820</v>
      </c>
      <c r="L3148" s="7">
        <v>289031</v>
      </c>
      <c r="M3148" s="7">
        <v>19</v>
      </c>
      <c r="N3148" s="7">
        <v>6</v>
      </c>
      <c r="O3148" s="7">
        <v>35.6</v>
      </c>
    </row>
    <row r="3149" spans="1:15" x14ac:dyDescent="0.25">
      <c r="A3149" s="6" t="s">
        <v>28</v>
      </c>
      <c r="B3149" s="6" t="s">
        <v>382</v>
      </c>
      <c r="C3149" s="7">
        <v>32648</v>
      </c>
      <c r="D3149" s="6" t="s">
        <v>39</v>
      </c>
      <c r="E3149" s="6" t="s">
        <v>310</v>
      </c>
      <c r="F3149" s="6" t="s">
        <v>40</v>
      </c>
      <c r="G3149" s="6" t="s">
        <v>32</v>
      </c>
      <c r="H3149" s="6" t="s">
        <v>33</v>
      </c>
      <c r="I3149" s="6" t="s">
        <v>767</v>
      </c>
      <c r="J3149" s="6" t="s">
        <v>764</v>
      </c>
      <c r="K3149" s="7">
        <v>6101832</v>
      </c>
      <c r="L3149" s="7">
        <v>307041</v>
      </c>
      <c r="M3149" s="7">
        <v>19</v>
      </c>
      <c r="N3149" s="7">
        <v>2</v>
      </c>
      <c r="O3149" s="7">
        <v>12</v>
      </c>
    </row>
    <row r="3150" spans="1:15" x14ac:dyDescent="0.25">
      <c r="A3150" s="6" t="s">
        <v>28</v>
      </c>
      <c r="B3150" s="6" t="s">
        <v>382</v>
      </c>
      <c r="C3150" s="7">
        <v>32654</v>
      </c>
      <c r="D3150" s="6" t="s">
        <v>39</v>
      </c>
      <c r="E3150" s="6" t="s">
        <v>53</v>
      </c>
      <c r="F3150" s="6" t="s">
        <v>690</v>
      </c>
      <c r="G3150" s="6" t="s">
        <v>32</v>
      </c>
      <c r="H3150" s="6" t="s">
        <v>33</v>
      </c>
      <c r="I3150" s="6" t="s">
        <v>767</v>
      </c>
      <c r="J3150" s="6" t="s">
        <v>767</v>
      </c>
      <c r="K3150" s="7">
        <v>6139012</v>
      </c>
      <c r="L3150" s="7">
        <v>319085</v>
      </c>
      <c r="M3150" s="7">
        <v>19</v>
      </c>
      <c r="N3150" s="7">
        <v>1</v>
      </c>
      <c r="O3150" s="7">
        <v>21</v>
      </c>
    </row>
    <row r="3151" spans="1:15" x14ac:dyDescent="0.25">
      <c r="A3151" s="6" t="s">
        <v>14</v>
      </c>
      <c r="B3151" s="6" t="s">
        <v>382</v>
      </c>
      <c r="C3151" s="7">
        <v>32662</v>
      </c>
      <c r="D3151" s="6" t="s">
        <v>42</v>
      </c>
      <c r="E3151" s="6" t="s">
        <v>691</v>
      </c>
      <c r="F3151" s="6" t="s">
        <v>692</v>
      </c>
      <c r="G3151" s="6" t="s">
        <v>32</v>
      </c>
      <c r="H3151" s="6" t="s">
        <v>33</v>
      </c>
      <c r="I3151" s="6" t="s">
        <v>767</v>
      </c>
      <c r="J3151" s="6" t="s">
        <v>767</v>
      </c>
      <c r="K3151" s="7">
        <v>6154265</v>
      </c>
      <c r="L3151" s="7">
        <v>300480</v>
      </c>
      <c r="M3151" s="7">
        <v>19</v>
      </c>
      <c r="N3151" s="7">
        <v>9</v>
      </c>
      <c r="O3151" s="7">
        <v>70.099999999999994</v>
      </c>
    </row>
    <row r="3152" spans="1:15" x14ac:dyDescent="0.25">
      <c r="A3152" s="6" t="s">
        <v>14</v>
      </c>
      <c r="B3152" s="6" t="s">
        <v>382</v>
      </c>
      <c r="C3152" s="7">
        <v>32665</v>
      </c>
      <c r="D3152" s="6" t="s">
        <v>39</v>
      </c>
      <c r="E3152" s="6" t="s">
        <v>179</v>
      </c>
      <c r="F3152" s="6" t="s">
        <v>679</v>
      </c>
      <c r="G3152" s="6" t="s">
        <v>32</v>
      </c>
      <c r="H3152" s="6" t="s">
        <v>33</v>
      </c>
      <c r="I3152" s="6" t="s">
        <v>767</v>
      </c>
      <c r="J3152" s="6" t="s">
        <v>764</v>
      </c>
      <c r="K3152" s="7">
        <v>6123201</v>
      </c>
      <c r="L3152" s="7">
        <v>311981</v>
      </c>
      <c r="M3152" s="7">
        <v>19</v>
      </c>
      <c r="N3152" s="7">
        <v>1</v>
      </c>
      <c r="O3152" s="7">
        <v>13</v>
      </c>
    </row>
    <row r="3153" spans="1:15" x14ac:dyDescent="0.25">
      <c r="A3153" s="6" t="s">
        <v>14</v>
      </c>
      <c r="B3153" s="6" t="s">
        <v>382</v>
      </c>
      <c r="C3153" s="7">
        <v>32666</v>
      </c>
      <c r="D3153" s="6" t="s">
        <v>39</v>
      </c>
      <c r="E3153" s="6" t="s">
        <v>179</v>
      </c>
      <c r="F3153" s="6" t="s">
        <v>679</v>
      </c>
      <c r="G3153" s="6" t="s">
        <v>32</v>
      </c>
      <c r="H3153" s="6" t="s">
        <v>33</v>
      </c>
      <c r="I3153" s="6" t="s">
        <v>767</v>
      </c>
      <c r="J3153" s="6" t="s">
        <v>767</v>
      </c>
      <c r="K3153" s="7">
        <v>6125600</v>
      </c>
      <c r="L3153" s="7">
        <v>311647</v>
      </c>
      <c r="M3153" s="7">
        <v>19</v>
      </c>
      <c r="N3153" s="7">
        <v>1</v>
      </c>
      <c r="O3153" s="7">
        <v>28</v>
      </c>
    </row>
    <row r="3154" spans="1:15" x14ac:dyDescent="0.25">
      <c r="A3154" s="6" t="s">
        <v>28</v>
      </c>
      <c r="B3154" s="6" t="s">
        <v>382</v>
      </c>
      <c r="C3154" s="7">
        <v>32668</v>
      </c>
      <c r="D3154" s="6" t="s">
        <v>39</v>
      </c>
      <c r="E3154" s="6" t="s">
        <v>179</v>
      </c>
      <c r="F3154" s="6" t="s">
        <v>679</v>
      </c>
      <c r="G3154" s="6" t="s">
        <v>32</v>
      </c>
      <c r="H3154" s="6" t="s">
        <v>33</v>
      </c>
      <c r="I3154" s="6" t="s">
        <v>767</v>
      </c>
      <c r="J3154" s="6" t="s">
        <v>767</v>
      </c>
      <c r="K3154" s="7">
        <v>6130106</v>
      </c>
      <c r="L3154" s="7">
        <v>311683</v>
      </c>
      <c r="M3154" s="7">
        <v>19</v>
      </c>
      <c r="N3154" s="7">
        <v>1</v>
      </c>
      <c r="O3154" s="7">
        <v>14</v>
      </c>
    </row>
    <row r="3155" spans="1:15" x14ac:dyDescent="0.25">
      <c r="A3155" s="6" t="s">
        <v>28</v>
      </c>
      <c r="B3155" s="6" t="s">
        <v>382</v>
      </c>
      <c r="C3155" s="7">
        <v>32717</v>
      </c>
      <c r="D3155" s="6" t="s">
        <v>39</v>
      </c>
      <c r="E3155" s="6" t="s">
        <v>72</v>
      </c>
      <c r="F3155" s="6" t="s">
        <v>72</v>
      </c>
      <c r="G3155" s="6" t="s">
        <v>32</v>
      </c>
      <c r="H3155" s="6" t="s">
        <v>33</v>
      </c>
      <c r="I3155" s="6" t="s">
        <v>767</v>
      </c>
      <c r="J3155" s="6" t="s">
        <v>767</v>
      </c>
      <c r="K3155" s="7">
        <v>6066570</v>
      </c>
      <c r="L3155" s="7">
        <v>275114</v>
      </c>
      <c r="M3155" s="7">
        <v>19</v>
      </c>
      <c r="N3155" s="7">
        <v>3</v>
      </c>
      <c r="O3155" s="7">
        <v>68</v>
      </c>
    </row>
    <row r="3156" spans="1:15" x14ac:dyDescent="0.25">
      <c r="A3156" s="6" t="s">
        <v>22</v>
      </c>
      <c r="B3156" s="6" t="s">
        <v>382</v>
      </c>
      <c r="C3156" s="7">
        <v>32718</v>
      </c>
      <c r="D3156" s="6" t="s">
        <v>297</v>
      </c>
      <c r="E3156" s="6" t="s">
        <v>298</v>
      </c>
      <c r="F3156" s="6" t="s">
        <v>523</v>
      </c>
      <c r="G3156" s="6" t="s">
        <v>32</v>
      </c>
      <c r="H3156" s="6" t="s">
        <v>765</v>
      </c>
      <c r="I3156" s="6" t="s">
        <v>767</v>
      </c>
      <c r="J3156" s="6" t="s">
        <v>767</v>
      </c>
      <c r="K3156" s="7">
        <v>7953396</v>
      </c>
      <c r="L3156" s="7">
        <v>371993</v>
      </c>
      <c r="M3156" s="7">
        <v>19</v>
      </c>
      <c r="N3156" s="7">
        <v>1</v>
      </c>
      <c r="O3156" s="7">
        <v>0.4</v>
      </c>
    </row>
    <row r="3157" spans="1:15" x14ac:dyDescent="0.25">
      <c r="A3157" s="6" t="s">
        <v>22</v>
      </c>
      <c r="B3157" s="6" t="s">
        <v>382</v>
      </c>
      <c r="C3157" s="7">
        <v>32722</v>
      </c>
      <c r="D3157" s="6" t="s">
        <v>297</v>
      </c>
      <c r="E3157" s="6" t="s">
        <v>298</v>
      </c>
      <c r="F3157" s="6" t="s">
        <v>523</v>
      </c>
      <c r="G3157" s="6" t="s">
        <v>32</v>
      </c>
      <c r="H3157" s="6" t="s">
        <v>765</v>
      </c>
      <c r="I3157" s="6" t="s">
        <v>767</v>
      </c>
      <c r="J3157" s="6" t="s">
        <v>767</v>
      </c>
      <c r="K3157" s="7">
        <v>7953396</v>
      </c>
      <c r="L3157" s="7">
        <v>371993</v>
      </c>
      <c r="M3157" s="7">
        <v>19</v>
      </c>
      <c r="N3157" s="7">
        <v>1</v>
      </c>
      <c r="O3157" s="7">
        <v>0.5</v>
      </c>
    </row>
    <row r="3158" spans="1:15" x14ac:dyDescent="0.25">
      <c r="A3158" s="6" t="s">
        <v>14</v>
      </c>
      <c r="B3158" s="6" t="s">
        <v>382</v>
      </c>
      <c r="C3158" s="7">
        <v>32760</v>
      </c>
      <c r="D3158" s="6" t="s">
        <v>39</v>
      </c>
      <c r="E3158" s="6" t="s">
        <v>87</v>
      </c>
      <c r="F3158" s="6" t="s">
        <v>87</v>
      </c>
      <c r="G3158" s="6" t="s">
        <v>32</v>
      </c>
      <c r="H3158" s="6" t="s">
        <v>33</v>
      </c>
      <c r="I3158" s="6" t="s">
        <v>767</v>
      </c>
      <c r="J3158" s="6" t="s">
        <v>764</v>
      </c>
      <c r="K3158" s="7">
        <v>6096253</v>
      </c>
      <c r="L3158" s="7">
        <v>293248</v>
      </c>
      <c r="M3158" s="7">
        <v>19</v>
      </c>
      <c r="N3158" s="7">
        <v>1</v>
      </c>
      <c r="O3158" s="7">
        <v>11</v>
      </c>
    </row>
    <row r="3159" spans="1:15" x14ac:dyDescent="0.25">
      <c r="A3159" s="6" t="s">
        <v>28</v>
      </c>
      <c r="B3159" s="6" t="s">
        <v>382</v>
      </c>
      <c r="C3159" s="7">
        <v>32783</v>
      </c>
      <c r="D3159" s="6" t="s">
        <v>42</v>
      </c>
      <c r="E3159" s="6" t="s">
        <v>51</v>
      </c>
      <c r="F3159" s="6" t="s">
        <v>51</v>
      </c>
      <c r="G3159" s="6" t="s">
        <v>32</v>
      </c>
      <c r="H3159" s="6" t="s">
        <v>33</v>
      </c>
      <c r="I3159" s="6" t="s">
        <v>767</v>
      </c>
      <c r="J3159" s="6" t="s">
        <v>764</v>
      </c>
      <c r="K3159" s="7">
        <v>6148526</v>
      </c>
      <c r="L3159" s="7">
        <v>310993</v>
      </c>
      <c r="M3159" s="7">
        <v>19</v>
      </c>
      <c r="N3159" s="7">
        <v>2</v>
      </c>
      <c r="O3159" s="7">
        <v>25</v>
      </c>
    </row>
    <row r="3160" spans="1:15" x14ac:dyDescent="0.25">
      <c r="A3160" s="6" t="s">
        <v>28</v>
      </c>
      <c r="B3160" s="6" t="s">
        <v>382</v>
      </c>
      <c r="C3160" s="7">
        <v>32785</v>
      </c>
      <c r="D3160" s="6" t="s">
        <v>42</v>
      </c>
      <c r="E3160" s="6" t="s">
        <v>51</v>
      </c>
      <c r="F3160" s="6" t="s">
        <v>51</v>
      </c>
      <c r="G3160" s="6" t="s">
        <v>32</v>
      </c>
      <c r="H3160" s="6" t="s">
        <v>33</v>
      </c>
      <c r="I3160" s="6" t="s">
        <v>767</v>
      </c>
      <c r="J3160" s="6" t="s">
        <v>767</v>
      </c>
      <c r="K3160" s="7">
        <v>6149655</v>
      </c>
      <c r="L3160" s="7">
        <v>318639</v>
      </c>
      <c r="M3160" s="7">
        <v>19</v>
      </c>
      <c r="N3160" s="7">
        <v>1</v>
      </c>
      <c r="O3160" s="7">
        <v>4.5</v>
      </c>
    </row>
    <row r="3161" spans="1:15" x14ac:dyDescent="0.25">
      <c r="A3161" s="6" t="s">
        <v>28</v>
      </c>
      <c r="B3161" s="6" t="s">
        <v>382</v>
      </c>
      <c r="C3161" s="7">
        <v>32805</v>
      </c>
      <c r="D3161" s="6" t="s">
        <v>39</v>
      </c>
      <c r="E3161" s="6" t="s">
        <v>40</v>
      </c>
      <c r="F3161" s="6" t="s">
        <v>381</v>
      </c>
      <c r="G3161" s="6" t="s">
        <v>32</v>
      </c>
      <c r="H3161" s="6" t="s">
        <v>19</v>
      </c>
      <c r="I3161" s="6" t="s">
        <v>767</v>
      </c>
      <c r="J3161" s="6" t="s">
        <v>767</v>
      </c>
      <c r="K3161" s="7">
        <v>6112514</v>
      </c>
      <c r="L3161" s="7">
        <v>305632</v>
      </c>
      <c r="M3161" s="7">
        <v>19</v>
      </c>
      <c r="N3161" s="7">
        <v>1</v>
      </c>
      <c r="O3161" s="7">
        <v>4</v>
      </c>
    </row>
    <row r="3162" spans="1:15" x14ac:dyDescent="0.25">
      <c r="A3162" s="6" t="s">
        <v>28</v>
      </c>
      <c r="B3162" s="6" t="s">
        <v>382</v>
      </c>
      <c r="C3162" s="7">
        <v>32815</v>
      </c>
      <c r="D3162" s="6" t="s">
        <v>39</v>
      </c>
      <c r="E3162" s="6" t="s">
        <v>179</v>
      </c>
      <c r="F3162" s="6" t="s">
        <v>679</v>
      </c>
      <c r="G3162" s="6" t="s">
        <v>32</v>
      </c>
      <c r="H3162" s="6" t="s">
        <v>33</v>
      </c>
      <c r="I3162" s="6" t="s">
        <v>767</v>
      </c>
      <c r="J3162" s="6" t="s">
        <v>767</v>
      </c>
      <c r="K3162" s="7">
        <v>6125995</v>
      </c>
      <c r="L3162" s="7">
        <v>312140</v>
      </c>
      <c r="M3162" s="7">
        <v>19</v>
      </c>
      <c r="N3162" s="7">
        <v>10</v>
      </c>
      <c r="O3162" s="7">
        <v>50.33</v>
      </c>
    </row>
    <row r="3163" spans="1:15" x14ac:dyDescent="0.25">
      <c r="A3163" s="6" t="s">
        <v>14</v>
      </c>
      <c r="B3163" s="6" t="s">
        <v>382</v>
      </c>
      <c r="C3163" s="7">
        <v>32899</v>
      </c>
      <c r="D3163" s="6" t="s">
        <v>42</v>
      </c>
      <c r="E3163" s="6" t="s">
        <v>51</v>
      </c>
      <c r="F3163" s="6" t="s">
        <v>51</v>
      </c>
      <c r="G3163" s="6" t="s">
        <v>32</v>
      </c>
      <c r="H3163" s="6" t="s">
        <v>33</v>
      </c>
      <c r="I3163" s="6" t="s">
        <v>767</v>
      </c>
      <c r="J3163" s="6" t="s">
        <v>767</v>
      </c>
      <c r="K3163" s="7">
        <v>6149876</v>
      </c>
      <c r="L3163" s="7">
        <v>319121</v>
      </c>
      <c r="M3163" s="7">
        <v>19</v>
      </c>
      <c r="N3163" s="7">
        <v>1</v>
      </c>
      <c r="O3163" s="7">
        <v>7</v>
      </c>
    </row>
    <row r="3164" spans="1:15" x14ac:dyDescent="0.25">
      <c r="A3164" s="6" t="s">
        <v>14</v>
      </c>
      <c r="B3164" s="6" t="s">
        <v>382</v>
      </c>
      <c r="C3164" s="7">
        <v>32902</v>
      </c>
      <c r="D3164" s="6" t="s">
        <v>39</v>
      </c>
      <c r="E3164" s="6" t="s">
        <v>72</v>
      </c>
      <c r="F3164" s="6" t="s">
        <v>72</v>
      </c>
      <c r="G3164" s="6" t="s">
        <v>32</v>
      </c>
      <c r="H3164" s="6" t="s">
        <v>33</v>
      </c>
      <c r="I3164" s="6" t="s">
        <v>767</v>
      </c>
      <c r="J3164" s="6" t="s">
        <v>764</v>
      </c>
      <c r="K3164" s="7">
        <v>6072829</v>
      </c>
      <c r="L3164" s="7">
        <v>277092</v>
      </c>
      <c r="M3164" s="7">
        <v>19</v>
      </c>
      <c r="N3164" s="7">
        <v>2</v>
      </c>
      <c r="O3164" s="7">
        <v>10</v>
      </c>
    </row>
    <row r="3165" spans="1:15" x14ac:dyDescent="0.25">
      <c r="A3165" s="6" t="s">
        <v>28</v>
      </c>
      <c r="B3165" s="6" t="s">
        <v>382</v>
      </c>
      <c r="C3165" s="7">
        <v>32903</v>
      </c>
      <c r="D3165" s="6" t="s">
        <v>39</v>
      </c>
      <c r="E3165" s="6" t="s">
        <v>40</v>
      </c>
      <c r="F3165" s="6" t="s">
        <v>181</v>
      </c>
      <c r="G3165" s="6" t="s">
        <v>32</v>
      </c>
      <c r="H3165" s="6" t="s">
        <v>33</v>
      </c>
      <c r="I3165" s="6" t="s">
        <v>767</v>
      </c>
      <c r="J3165" s="6" t="s">
        <v>767</v>
      </c>
      <c r="K3165" s="7">
        <v>6122280</v>
      </c>
      <c r="L3165" s="7">
        <v>301893</v>
      </c>
      <c r="M3165" s="7">
        <v>19</v>
      </c>
      <c r="N3165" s="7">
        <v>1</v>
      </c>
      <c r="O3165" s="7">
        <v>10</v>
      </c>
    </row>
    <row r="3166" spans="1:15" x14ac:dyDescent="0.25">
      <c r="A3166" s="6" t="s">
        <v>28</v>
      </c>
      <c r="B3166" s="6" t="s">
        <v>382</v>
      </c>
      <c r="C3166" s="7">
        <v>32905</v>
      </c>
      <c r="D3166" s="6" t="s">
        <v>42</v>
      </c>
      <c r="E3166" s="6" t="s">
        <v>51</v>
      </c>
      <c r="F3166" s="6" t="s">
        <v>51</v>
      </c>
      <c r="G3166" s="6" t="s">
        <v>32</v>
      </c>
      <c r="H3166" s="6" t="s">
        <v>33</v>
      </c>
      <c r="I3166" s="6" t="s">
        <v>767</v>
      </c>
      <c r="J3166" s="6" t="s">
        <v>767</v>
      </c>
      <c r="K3166" s="7">
        <v>6149731</v>
      </c>
      <c r="L3166" s="7">
        <v>318982</v>
      </c>
      <c r="M3166" s="7">
        <v>19</v>
      </c>
      <c r="N3166" s="7">
        <v>1</v>
      </c>
      <c r="O3166" s="7">
        <v>5</v>
      </c>
    </row>
    <row r="3167" spans="1:15" x14ac:dyDescent="0.25">
      <c r="A3167" s="6" t="s">
        <v>14</v>
      </c>
      <c r="B3167" s="6" t="s">
        <v>382</v>
      </c>
      <c r="C3167" s="7">
        <v>32917</v>
      </c>
      <c r="D3167" s="6" t="s">
        <v>39</v>
      </c>
      <c r="E3167" s="6" t="s">
        <v>177</v>
      </c>
      <c r="F3167" s="6" t="s">
        <v>156</v>
      </c>
      <c r="G3167" s="6" t="s">
        <v>32</v>
      </c>
      <c r="H3167" s="6" t="s">
        <v>33</v>
      </c>
      <c r="I3167" s="6" t="s">
        <v>767</v>
      </c>
      <c r="J3167" s="6" t="s">
        <v>767</v>
      </c>
      <c r="K3167" s="7">
        <v>6031767</v>
      </c>
      <c r="L3167" s="7">
        <v>282268</v>
      </c>
      <c r="M3167" s="7">
        <v>19</v>
      </c>
      <c r="N3167" s="7">
        <v>2</v>
      </c>
      <c r="O3167" s="7">
        <v>55</v>
      </c>
    </row>
    <row r="3168" spans="1:15" x14ac:dyDescent="0.25">
      <c r="A3168" s="6" t="s">
        <v>28</v>
      </c>
      <c r="B3168" s="6" t="s">
        <v>382</v>
      </c>
      <c r="C3168" s="7">
        <v>32920</v>
      </c>
      <c r="D3168" s="6" t="s">
        <v>39</v>
      </c>
      <c r="E3168" s="6" t="s">
        <v>72</v>
      </c>
      <c r="F3168" s="6" t="s">
        <v>72</v>
      </c>
      <c r="G3168" s="6" t="s">
        <v>32</v>
      </c>
      <c r="H3168" s="6" t="s">
        <v>33</v>
      </c>
      <c r="I3168" s="6" t="s">
        <v>767</v>
      </c>
      <c r="J3168" s="6" t="s">
        <v>764</v>
      </c>
      <c r="K3168" s="7">
        <v>6077897</v>
      </c>
      <c r="L3168" s="7">
        <v>283727</v>
      </c>
      <c r="M3168" s="7">
        <v>19</v>
      </c>
      <c r="N3168" s="7">
        <v>2</v>
      </c>
      <c r="O3168" s="7">
        <v>13</v>
      </c>
    </row>
    <row r="3169" spans="1:15" x14ac:dyDescent="0.25">
      <c r="A3169" s="6" t="s">
        <v>14</v>
      </c>
      <c r="B3169" s="6" t="s">
        <v>382</v>
      </c>
      <c r="C3169" s="7">
        <v>32921</v>
      </c>
      <c r="D3169" s="6" t="s">
        <v>39</v>
      </c>
      <c r="E3169" s="6" t="s">
        <v>72</v>
      </c>
      <c r="F3169" s="6" t="s">
        <v>70</v>
      </c>
      <c r="G3169" s="6" t="s">
        <v>32</v>
      </c>
      <c r="H3169" s="6" t="s">
        <v>33</v>
      </c>
      <c r="I3169" s="6" t="s">
        <v>767</v>
      </c>
      <c r="J3169" s="6" t="s">
        <v>767</v>
      </c>
      <c r="K3169" s="7">
        <v>6057280</v>
      </c>
      <c r="L3169" s="7">
        <v>284474</v>
      </c>
      <c r="M3169" s="7">
        <v>19</v>
      </c>
      <c r="N3169" s="7">
        <v>2</v>
      </c>
      <c r="O3169" s="7">
        <v>5.5</v>
      </c>
    </row>
    <row r="3170" spans="1:15" x14ac:dyDescent="0.25">
      <c r="A3170" s="6" t="s">
        <v>28</v>
      </c>
      <c r="B3170" s="6" t="s">
        <v>382</v>
      </c>
      <c r="C3170" s="7">
        <v>32924</v>
      </c>
      <c r="D3170" s="6" t="s">
        <v>39</v>
      </c>
      <c r="E3170" s="6" t="s">
        <v>72</v>
      </c>
      <c r="F3170" s="6" t="s">
        <v>72</v>
      </c>
      <c r="G3170" s="6" t="s">
        <v>32</v>
      </c>
      <c r="H3170" s="6" t="s">
        <v>33</v>
      </c>
      <c r="I3170" s="6" t="s">
        <v>767</v>
      </c>
      <c r="J3170" s="6" t="s">
        <v>767</v>
      </c>
      <c r="K3170" s="7">
        <v>6066336</v>
      </c>
      <c r="L3170" s="7">
        <v>275252</v>
      </c>
      <c r="M3170" s="7">
        <v>19</v>
      </c>
      <c r="N3170" s="7">
        <v>2</v>
      </c>
      <c r="O3170" s="7">
        <v>12.5</v>
      </c>
    </row>
    <row r="3171" spans="1:15" x14ac:dyDescent="0.25">
      <c r="A3171" s="6" t="s">
        <v>22</v>
      </c>
      <c r="B3171" s="6" t="s">
        <v>382</v>
      </c>
      <c r="C3171" s="7">
        <v>32930</v>
      </c>
      <c r="D3171" s="6" t="s">
        <v>42</v>
      </c>
      <c r="E3171" s="6" t="s">
        <v>448</v>
      </c>
      <c r="F3171" s="6" t="s">
        <v>149</v>
      </c>
      <c r="G3171" s="6" t="s">
        <v>32</v>
      </c>
      <c r="H3171" s="6" t="s">
        <v>765</v>
      </c>
      <c r="I3171" s="6" t="s">
        <v>767</v>
      </c>
      <c r="J3171" s="6" t="s">
        <v>767</v>
      </c>
      <c r="K3171" s="7">
        <v>6162461</v>
      </c>
      <c r="L3171" s="7">
        <v>295405</v>
      </c>
      <c r="M3171" s="7">
        <v>19</v>
      </c>
      <c r="N3171" s="7">
        <v>1</v>
      </c>
      <c r="O3171" s="7">
        <v>0.8</v>
      </c>
    </row>
    <row r="3172" spans="1:15" x14ac:dyDescent="0.25">
      <c r="A3172" s="6" t="s">
        <v>28</v>
      </c>
      <c r="B3172" s="6" t="s">
        <v>382</v>
      </c>
      <c r="C3172" s="7">
        <v>32937</v>
      </c>
      <c r="D3172" s="6" t="s">
        <v>39</v>
      </c>
      <c r="E3172" s="6" t="s">
        <v>72</v>
      </c>
      <c r="F3172" s="6" t="s">
        <v>70</v>
      </c>
      <c r="G3172" s="6" t="s">
        <v>32</v>
      </c>
      <c r="H3172" s="6" t="s">
        <v>33</v>
      </c>
      <c r="I3172" s="6" t="s">
        <v>767</v>
      </c>
      <c r="J3172" s="6" t="s">
        <v>764</v>
      </c>
      <c r="K3172" s="7">
        <v>6071192</v>
      </c>
      <c r="L3172" s="7">
        <v>287981</v>
      </c>
      <c r="M3172" s="7">
        <v>19</v>
      </c>
      <c r="N3172" s="7">
        <v>9</v>
      </c>
      <c r="O3172" s="7">
        <v>53</v>
      </c>
    </row>
    <row r="3173" spans="1:15" x14ac:dyDescent="0.25">
      <c r="A3173" s="6" t="s">
        <v>14</v>
      </c>
      <c r="B3173" s="6" t="s">
        <v>382</v>
      </c>
      <c r="C3173" s="7">
        <v>33006</v>
      </c>
      <c r="D3173" s="6" t="s">
        <v>42</v>
      </c>
      <c r="E3173" s="6" t="s">
        <v>51</v>
      </c>
      <c r="F3173" s="6" t="s">
        <v>51</v>
      </c>
      <c r="G3173" s="6" t="s">
        <v>32</v>
      </c>
      <c r="H3173" s="6" t="s">
        <v>33</v>
      </c>
      <c r="I3173" s="6" t="s">
        <v>767</v>
      </c>
      <c r="J3173" s="6" t="s">
        <v>767</v>
      </c>
      <c r="K3173" s="7">
        <v>6149618</v>
      </c>
      <c r="L3173" s="7">
        <v>319191</v>
      </c>
      <c r="M3173" s="7">
        <v>19</v>
      </c>
      <c r="N3173" s="7">
        <v>1</v>
      </c>
      <c r="O3173" s="7">
        <v>15</v>
      </c>
    </row>
    <row r="3174" spans="1:15" x14ac:dyDescent="0.25">
      <c r="A3174" s="6" t="s">
        <v>14</v>
      </c>
      <c r="B3174" s="6" t="s">
        <v>382</v>
      </c>
      <c r="C3174" s="7">
        <v>33012</v>
      </c>
      <c r="D3174" s="6" t="s">
        <v>42</v>
      </c>
      <c r="E3174" s="6" t="s">
        <v>45</v>
      </c>
      <c r="F3174" s="6" t="s">
        <v>45</v>
      </c>
      <c r="G3174" s="6" t="s">
        <v>32</v>
      </c>
      <c r="H3174" s="6" t="s">
        <v>33</v>
      </c>
      <c r="I3174" s="6" t="s">
        <v>767</v>
      </c>
      <c r="J3174" s="6" t="s">
        <v>767</v>
      </c>
      <c r="K3174" s="7">
        <v>6171516</v>
      </c>
      <c r="L3174" s="7">
        <v>314811</v>
      </c>
      <c r="M3174" s="7">
        <v>19</v>
      </c>
      <c r="N3174" s="7">
        <v>2</v>
      </c>
      <c r="O3174" s="7">
        <v>10</v>
      </c>
    </row>
    <row r="3175" spans="1:15" x14ac:dyDescent="0.25">
      <c r="A3175" s="6" t="s">
        <v>14</v>
      </c>
      <c r="B3175" s="6" t="s">
        <v>382</v>
      </c>
      <c r="C3175" s="7">
        <v>33015</v>
      </c>
      <c r="D3175" s="6" t="s">
        <v>42</v>
      </c>
      <c r="E3175" s="6" t="s">
        <v>225</v>
      </c>
      <c r="F3175" s="6" t="s">
        <v>225</v>
      </c>
      <c r="G3175" s="6" t="s">
        <v>32</v>
      </c>
      <c r="H3175" s="6" t="s">
        <v>33</v>
      </c>
      <c r="I3175" s="6" t="s">
        <v>767</v>
      </c>
      <c r="J3175" s="6" t="s">
        <v>764</v>
      </c>
      <c r="K3175" s="7">
        <v>6179671</v>
      </c>
      <c r="L3175" s="7">
        <v>277104</v>
      </c>
      <c r="M3175" s="7">
        <v>19</v>
      </c>
      <c r="N3175" s="7">
        <v>1</v>
      </c>
      <c r="O3175" s="7">
        <v>8</v>
      </c>
    </row>
    <row r="3176" spans="1:15" x14ac:dyDescent="0.25">
      <c r="A3176" s="6" t="s">
        <v>14</v>
      </c>
      <c r="B3176" s="6" t="s">
        <v>382</v>
      </c>
      <c r="C3176" s="7">
        <v>33021</v>
      </c>
      <c r="D3176" s="6" t="s">
        <v>24</v>
      </c>
      <c r="E3176" s="6" t="s">
        <v>37</v>
      </c>
      <c r="F3176" s="6" t="s">
        <v>37</v>
      </c>
      <c r="G3176" s="6" t="s">
        <v>32</v>
      </c>
      <c r="H3176" s="6" t="s">
        <v>33</v>
      </c>
      <c r="I3176" s="6" t="s">
        <v>767</v>
      </c>
      <c r="J3176" s="6" t="s">
        <v>764</v>
      </c>
      <c r="K3176" s="7">
        <v>6269579</v>
      </c>
      <c r="L3176" s="7">
        <v>330340</v>
      </c>
      <c r="M3176" s="7">
        <v>19</v>
      </c>
      <c r="N3176" s="7">
        <v>1</v>
      </c>
      <c r="O3176" s="7">
        <v>2.4</v>
      </c>
    </row>
    <row r="3177" spans="1:15" x14ac:dyDescent="0.25">
      <c r="A3177" s="6" t="s">
        <v>14</v>
      </c>
      <c r="B3177" s="6" t="s">
        <v>382</v>
      </c>
      <c r="C3177" s="7">
        <v>33030</v>
      </c>
      <c r="D3177" s="6" t="s">
        <v>24</v>
      </c>
      <c r="E3177" s="6" t="s">
        <v>37</v>
      </c>
      <c r="F3177" s="6" t="s">
        <v>38</v>
      </c>
      <c r="G3177" s="6" t="s">
        <v>32</v>
      </c>
      <c r="H3177" s="6" t="s">
        <v>33</v>
      </c>
      <c r="I3177" s="6" t="s">
        <v>767</v>
      </c>
      <c r="J3177" s="6" t="s">
        <v>767</v>
      </c>
      <c r="K3177" s="7">
        <v>6269336</v>
      </c>
      <c r="L3177" s="7">
        <v>314670</v>
      </c>
      <c r="M3177" s="7">
        <v>19</v>
      </c>
      <c r="N3177" s="7">
        <v>1</v>
      </c>
      <c r="O3177" s="7">
        <v>0.5</v>
      </c>
    </row>
    <row r="3178" spans="1:15" x14ac:dyDescent="0.25">
      <c r="A3178" s="6" t="s">
        <v>28</v>
      </c>
      <c r="B3178" s="6" t="s">
        <v>382</v>
      </c>
      <c r="C3178" s="7">
        <v>33040</v>
      </c>
      <c r="D3178" s="6" t="s">
        <v>42</v>
      </c>
      <c r="E3178" s="6" t="s">
        <v>51</v>
      </c>
      <c r="F3178" s="6" t="s">
        <v>51</v>
      </c>
      <c r="G3178" s="6" t="s">
        <v>32</v>
      </c>
      <c r="H3178" s="6" t="s">
        <v>33</v>
      </c>
      <c r="I3178" s="6" t="s">
        <v>767</v>
      </c>
      <c r="J3178" s="6" t="s">
        <v>767</v>
      </c>
      <c r="K3178" s="7">
        <v>6142723</v>
      </c>
      <c r="L3178" s="7">
        <v>319305</v>
      </c>
      <c r="M3178" s="7">
        <v>19</v>
      </c>
      <c r="N3178" s="7">
        <v>2</v>
      </c>
      <c r="O3178" s="7">
        <v>18</v>
      </c>
    </row>
    <row r="3179" spans="1:15" x14ac:dyDescent="0.25">
      <c r="A3179" s="6" t="s">
        <v>28</v>
      </c>
      <c r="B3179" s="6" t="s">
        <v>382</v>
      </c>
      <c r="C3179" s="7">
        <v>33047</v>
      </c>
      <c r="D3179" s="6" t="s">
        <v>24</v>
      </c>
      <c r="E3179" s="6" t="s">
        <v>580</v>
      </c>
      <c r="F3179" s="6" t="s">
        <v>580</v>
      </c>
      <c r="G3179" s="6" t="s">
        <v>32</v>
      </c>
      <c r="H3179" s="6" t="s">
        <v>19</v>
      </c>
      <c r="I3179" s="6" t="s">
        <v>767</v>
      </c>
      <c r="J3179" s="6" t="s">
        <v>767</v>
      </c>
      <c r="K3179" s="7">
        <v>6320393</v>
      </c>
      <c r="L3179" s="7">
        <v>339032</v>
      </c>
      <c r="M3179" s="7">
        <v>19</v>
      </c>
      <c r="N3179" s="7">
        <v>1</v>
      </c>
      <c r="O3179" s="7">
        <v>1</v>
      </c>
    </row>
    <row r="3180" spans="1:15" x14ac:dyDescent="0.25">
      <c r="A3180" s="6" t="s">
        <v>28</v>
      </c>
      <c r="B3180" s="6" t="s">
        <v>382</v>
      </c>
      <c r="C3180" s="7">
        <v>33048</v>
      </c>
      <c r="D3180" s="6" t="s">
        <v>39</v>
      </c>
      <c r="E3180" s="6" t="s">
        <v>72</v>
      </c>
      <c r="F3180" s="6" t="s">
        <v>500</v>
      </c>
      <c r="G3180" s="6" t="s">
        <v>32</v>
      </c>
      <c r="H3180" s="6" t="s">
        <v>33</v>
      </c>
      <c r="I3180" s="6" t="s">
        <v>767</v>
      </c>
      <c r="J3180" s="6" t="s">
        <v>764</v>
      </c>
      <c r="K3180" s="7">
        <v>6063241</v>
      </c>
      <c r="L3180" s="7">
        <v>286360</v>
      </c>
      <c r="M3180" s="7">
        <v>19</v>
      </c>
      <c r="N3180" s="7">
        <v>1</v>
      </c>
      <c r="O3180" s="7">
        <v>8.5</v>
      </c>
    </row>
    <row r="3181" spans="1:15" x14ac:dyDescent="0.25">
      <c r="A3181" s="6" t="s">
        <v>22</v>
      </c>
      <c r="B3181" s="6" t="s">
        <v>382</v>
      </c>
      <c r="C3181" s="7">
        <v>33091</v>
      </c>
      <c r="D3181" s="6" t="s">
        <v>297</v>
      </c>
      <c r="E3181" s="6" t="s">
        <v>298</v>
      </c>
      <c r="F3181" s="6" t="s">
        <v>693</v>
      </c>
      <c r="G3181" s="6" t="s">
        <v>50</v>
      </c>
      <c r="H3181" s="6" t="s">
        <v>765</v>
      </c>
      <c r="I3181" s="6" t="s">
        <v>767</v>
      </c>
      <c r="J3181" s="6" t="s">
        <v>767</v>
      </c>
      <c r="K3181" s="7">
        <v>7953937</v>
      </c>
      <c r="L3181" s="7">
        <v>371158</v>
      </c>
      <c r="M3181" s="7">
        <v>19</v>
      </c>
      <c r="N3181" s="7">
        <v>1</v>
      </c>
      <c r="O3181" s="7">
        <v>0.1</v>
      </c>
    </row>
    <row r="3182" spans="1:15" x14ac:dyDescent="0.25">
      <c r="A3182" s="6" t="s">
        <v>22</v>
      </c>
      <c r="B3182" s="6" t="s">
        <v>382</v>
      </c>
      <c r="C3182" s="7">
        <v>33095</v>
      </c>
      <c r="D3182" s="6" t="s">
        <v>42</v>
      </c>
      <c r="E3182" s="6" t="s">
        <v>167</v>
      </c>
      <c r="F3182" s="6" t="s">
        <v>167</v>
      </c>
      <c r="G3182" s="6" t="s">
        <v>89</v>
      </c>
      <c r="H3182" s="6" t="s">
        <v>765</v>
      </c>
      <c r="I3182" s="6" t="s">
        <v>767</v>
      </c>
      <c r="J3182" s="6" t="s">
        <v>767</v>
      </c>
      <c r="K3182" s="7">
        <v>6225010</v>
      </c>
      <c r="L3182" s="7">
        <v>339646</v>
      </c>
      <c r="M3182" s="7">
        <v>19</v>
      </c>
      <c r="N3182" s="7">
        <v>1</v>
      </c>
      <c r="O3182" s="7">
        <v>0.4</v>
      </c>
    </row>
    <row r="3183" spans="1:15" x14ac:dyDescent="0.25">
      <c r="A3183" s="6" t="s">
        <v>22</v>
      </c>
      <c r="B3183" s="6" t="s">
        <v>382</v>
      </c>
      <c r="C3183" s="7">
        <v>33100</v>
      </c>
      <c r="D3183" s="6" t="s">
        <v>42</v>
      </c>
      <c r="E3183" s="6" t="s">
        <v>448</v>
      </c>
      <c r="F3183" s="6" t="s">
        <v>325</v>
      </c>
      <c r="G3183" s="6" t="s">
        <v>89</v>
      </c>
      <c r="H3183" s="6" t="s">
        <v>765</v>
      </c>
      <c r="I3183" s="6" t="s">
        <v>767</v>
      </c>
      <c r="J3183" s="6" t="s">
        <v>767</v>
      </c>
      <c r="K3183" s="7">
        <v>6161938</v>
      </c>
      <c r="L3183" s="7">
        <v>291614</v>
      </c>
      <c r="M3183" s="7">
        <v>19</v>
      </c>
      <c r="N3183" s="7">
        <v>1</v>
      </c>
      <c r="O3183" s="7">
        <v>0.5</v>
      </c>
    </row>
    <row r="3184" spans="1:15" x14ac:dyDescent="0.25">
      <c r="A3184" s="6" t="s">
        <v>22</v>
      </c>
      <c r="B3184" s="6" t="s">
        <v>382</v>
      </c>
      <c r="C3184" s="7">
        <v>33103</v>
      </c>
      <c r="D3184" s="6" t="s">
        <v>42</v>
      </c>
      <c r="E3184" s="6" t="s">
        <v>490</v>
      </c>
      <c r="F3184" s="6" t="s">
        <v>490</v>
      </c>
      <c r="G3184" s="6" t="s">
        <v>89</v>
      </c>
      <c r="H3184" s="6" t="s">
        <v>765</v>
      </c>
      <c r="I3184" s="6" t="s">
        <v>767</v>
      </c>
      <c r="J3184" s="6" t="s">
        <v>767</v>
      </c>
      <c r="K3184" s="7">
        <v>6192685</v>
      </c>
      <c r="L3184" s="7">
        <v>299427</v>
      </c>
      <c r="M3184" s="7">
        <v>19</v>
      </c>
      <c r="N3184" s="7">
        <v>1</v>
      </c>
      <c r="O3184" s="7">
        <v>0.5</v>
      </c>
    </row>
    <row r="3185" spans="1:15" x14ac:dyDescent="0.25">
      <c r="A3185" s="6" t="s">
        <v>22</v>
      </c>
      <c r="B3185" s="6" t="s">
        <v>382</v>
      </c>
      <c r="C3185" s="7">
        <v>33112</v>
      </c>
      <c r="D3185" s="6" t="s">
        <v>42</v>
      </c>
      <c r="E3185" s="6" t="s">
        <v>167</v>
      </c>
      <c r="F3185" s="6" t="s">
        <v>167</v>
      </c>
      <c r="G3185" s="6" t="s">
        <v>89</v>
      </c>
      <c r="H3185" s="6" t="s">
        <v>765</v>
      </c>
      <c r="I3185" s="6" t="s">
        <v>767</v>
      </c>
      <c r="J3185" s="6" t="s">
        <v>767</v>
      </c>
      <c r="K3185" s="7">
        <v>6225010</v>
      </c>
      <c r="L3185" s="7">
        <v>339646</v>
      </c>
      <c r="M3185" s="7">
        <v>19</v>
      </c>
      <c r="N3185" s="7">
        <v>1</v>
      </c>
      <c r="O3185" s="7">
        <v>0.5</v>
      </c>
    </row>
    <row r="3186" spans="1:15" x14ac:dyDescent="0.25">
      <c r="A3186" s="6" t="s">
        <v>22</v>
      </c>
      <c r="B3186" s="6" t="s">
        <v>382</v>
      </c>
      <c r="C3186" s="7">
        <v>33114</v>
      </c>
      <c r="D3186" s="6" t="s">
        <v>42</v>
      </c>
      <c r="E3186" s="6" t="s">
        <v>43</v>
      </c>
      <c r="F3186" s="6" t="s">
        <v>43</v>
      </c>
      <c r="G3186" s="6" t="s">
        <v>89</v>
      </c>
      <c r="H3186" s="6" t="s">
        <v>765</v>
      </c>
      <c r="I3186" s="6" t="s">
        <v>767</v>
      </c>
      <c r="J3186" s="6" t="s">
        <v>767</v>
      </c>
      <c r="K3186" s="7">
        <v>6190754</v>
      </c>
      <c r="L3186" s="7">
        <v>327738</v>
      </c>
      <c r="M3186" s="7">
        <v>19</v>
      </c>
      <c r="N3186" s="7">
        <v>1</v>
      </c>
      <c r="O3186" s="7">
        <v>0.4</v>
      </c>
    </row>
    <row r="3187" spans="1:15" x14ac:dyDescent="0.25">
      <c r="A3187" s="6" t="s">
        <v>28</v>
      </c>
      <c r="B3187" s="6" t="s">
        <v>382</v>
      </c>
      <c r="C3187" s="7">
        <v>33158</v>
      </c>
      <c r="D3187" s="6" t="s">
        <v>39</v>
      </c>
      <c r="E3187" s="6" t="s">
        <v>72</v>
      </c>
      <c r="F3187" s="6" t="s">
        <v>72</v>
      </c>
      <c r="G3187" s="6" t="s">
        <v>32</v>
      </c>
      <c r="H3187" s="6" t="s">
        <v>33</v>
      </c>
      <c r="I3187" s="6" t="s">
        <v>767</v>
      </c>
      <c r="J3187" s="6" t="s">
        <v>767</v>
      </c>
      <c r="K3187" s="7">
        <v>6077469</v>
      </c>
      <c r="L3187" s="7">
        <v>283789</v>
      </c>
      <c r="M3187" s="7">
        <v>19</v>
      </c>
      <c r="N3187" s="7">
        <v>3</v>
      </c>
      <c r="O3187" s="7">
        <v>18</v>
      </c>
    </row>
    <row r="3188" spans="1:15" x14ac:dyDescent="0.25">
      <c r="A3188" s="6" t="s">
        <v>28</v>
      </c>
      <c r="B3188" s="6" t="s">
        <v>382</v>
      </c>
      <c r="C3188" s="7">
        <v>33160</v>
      </c>
      <c r="D3188" s="6" t="s">
        <v>39</v>
      </c>
      <c r="E3188" s="6" t="s">
        <v>53</v>
      </c>
      <c r="F3188" s="6" t="s">
        <v>51</v>
      </c>
      <c r="G3188" s="6" t="s">
        <v>32</v>
      </c>
      <c r="H3188" s="6" t="s">
        <v>33</v>
      </c>
      <c r="I3188" s="6" t="s">
        <v>767</v>
      </c>
      <c r="J3188" s="6" t="s">
        <v>767</v>
      </c>
      <c r="K3188" s="7">
        <v>6138164</v>
      </c>
      <c r="L3188" s="7">
        <v>319939</v>
      </c>
      <c r="M3188" s="7">
        <v>19</v>
      </c>
      <c r="N3188" s="7">
        <v>1</v>
      </c>
      <c r="O3188" s="7">
        <v>2.5</v>
      </c>
    </row>
    <row r="3189" spans="1:15" x14ac:dyDescent="0.25">
      <c r="A3189" s="6" t="s">
        <v>28</v>
      </c>
      <c r="B3189" s="6" t="s">
        <v>382</v>
      </c>
      <c r="C3189" s="7">
        <v>33169</v>
      </c>
      <c r="D3189" s="6" t="s">
        <v>39</v>
      </c>
      <c r="E3189" s="6" t="s">
        <v>72</v>
      </c>
      <c r="F3189" s="6" t="s">
        <v>72</v>
      </c>
      <c r="G3189" s="6" t="s">
        <v>32</v>
      </c>
      <c r="H3189" s="6" t="s">
        <v>33</v>
      </c>
      <c r="I3189" s="6" t="s">
        <v>767</v>
      </c>
      <c r="J3189" s="6" t="s">
        <v>764</v>
      </c>
      <c r="K3189" s="7">
        <v>6072152</v>
      </c>
      <c r="L3189" s="7">
        <v>288461</v>
      </c>
      <c r="M3189" s="7">
        <v>19</v>
      </c>
      <c r="N3189" s="7">
        <v>1</v>
      </c>
      <c r="O3189" s="7">
        <v>6</v>
      </c>
    </row>
    <row r="3190" spans="1:15" x14ac:dyDescent="0.25">
      <c r="A3190" s="6" t="s">
        <v>28</v>
      </c>
      <c r="B3190" s="6" t="s">
        <v>382</v>
      </c>
      <c r="C3190" s="7">
        <v>33173</v>
      </c>
      <c r="D3190" s="6" t="s">
        <v>39</v>
      </c>
      <c r="E3190" s="6" t="s">
        <v>156</v>
      </c>
      <c r="F3190" s="6" t="s">
        <v>156</v>
      </c>
      <c r="G3190" s="6" t="s">
        <v>32</v>
      </c>
      <c r="H3190" s="6" t="s">
        <v>33</v>
      </c>
      <c r="I3190" s="6" t="s">
        <v>767</v>
      </c>
      <c r="J3190" s="6" t="s">
        <v>764</v>
      </c>
      <c r="K3190" s="7">
        <v>6024953</v>
      </c>
      <c r="L3190" s="7">
        <v>273825</v>
      </c>
      <c r="M3190" s="7">
        <v>19</v>
      </c>
      <c r="N3190" s="7">
        <v>5</v>
      </c>
      <c r="O3190" s="7">
        <v>17.600000000000001</v>
      </c>
    </row>
    <row r="3191" spans="1:15" x14ac:dyDescent="0.25">
      <c r="A3191" s="6" t="s">
        <v>28</v>
      </c>
      <c r="B3191" s="6" t="s">
        <v>382</v>
      </c>
      <c r="C3191" s="7">
        <v>33180</v>
      </c>
      <c r="D3191" s="6" t="s">
        <v>39</v>
      </c>
      <c r="E3191" s="6" t="s">
        <v>53</v>
      </c>
      <c r="F3191" s="6" t="s">
        <v>390</v>
      </c>
      <c r="G3191" s="6" t="s">
        <v>32</v>
      </c>
      <c r="H3191" s="6" t="s">
        <v>33</v>
      </c>
      <c r="I3191" s="6" t="s">
        <v>767</v>
      </c>
      <c r="J3191" s="6" t="s">
        <v>767</v>
      </c>
      <c r="K3191" s="7">
        <v>6137034</v>
      </c>
      <c r="L3191" s="7">
        <v>311268</v>
      </c>
      <c r="M3191" s="7">
        <v>19</v>
      </c>
      <c r="N3191" s="7">
        <v>5</v>
      </c>
      <c r="O3191" s="7">
        <v>22</v>
      </c>
    </row>
    <row r="3192" spans="1:15" x14ac:dyDescent="0.25">
      <c r="A3192" s="6" t="s">
        <v>28</v>
      </c>
      <c r="B3192" s="6" t="s">
        <v>382</v>
      </c>
      <c r="C3192" s="7">
        <v>33184</v>
      </c>
      <c r="D3192" s="6" t="s">
        <v>39</v>
      </c>
      <c r="E3192" s="6" t="s">
        <v>156</v>
      </c>
      <c r="F3192" s="6" t="s">
        <v>156</v>
      </c>
      <c r="G3192" s="6" t="s">
        <v>32</v>
      </c>
      <c r="H3192" s="6" t="s">
        <v>33</v>
      </c>
      <c r="I3192" s="6" t="s">
        <v>767</v>
      </c>
      <c r="J3192" s="6" t="s">
        <v>767</v>
      </c>
      <c r="K3192" s="7">
        <v>6024031</v>
      </c>
      <c r="L3192" s="7">
        <v>273940</v>
      </c>
      <c r="M3192" s="7">
        <v>19</v>
      </c>
      <c r="N3192" s="7">
        <v>2</v>
      </c>
      <c r="O3192" s="7">
        <v>6</v>
      </c>
    </row>
    <row r="3193" spans="1:15" x14ac:dyDescent="0.25">
      <c r="A3193" s="6" t="s">
        <v>28</v>
      </c>
      <c r="B3193" s="6" t="s">
        <v>382</v>
      </c>
      <c r="C3193" s="7">
        <v>33186</v>
      </c>
      <c r="D3193" s="6" t="s">
        <v>39</v>
      </c>
      <c r="E3193" s="6" t="s">
        <v>53</v>
      </c>
      <c r="F3193" s="6" t="s">
        <v>40</v>
      </c>
      <c r="G3193" s="6" t="s">
        <v>32</v>
      </c>
      <c r="H3193" s="6" t="s">
        <v>33</v>
      </c>
      <c r="I3193" s="6" t="s">
        <v>767</v>
      </c>
      <c r="J3193" s="6" t="s">
        <v>767</v>
      </c>
      <c r="K3193" s="7">
        <v>6138526</v>
      </c>
      <c r="L3193" s="7">
        <v>319144</v>
      </c>
      <c r="M3193" s="7">
        <v>19</v>
      </c>
      <c r="N3193" s="7">
        <v>1</v>
      </c>
      <c r="O3193" s="7">
        <v>18</v>
      </c>
    </row>
    <row r="3194" spans="1:15" x14ac:dyDescent="0.25">
      <c r="A3194" s="6" t="s">
        <v>28</v>
      </c>
      <c r="B3194" s="6" t="s">
        <v>382</v>
      </c>
      <c r="C3194" s="7">
        <v>33188</v>
      </c>
      <c r="D3194" s="6" t="s">
        <v>39</v>
      </c>
      <c r="E3194" s="6" t="s">
        <v>53</v>
      </c>
      <c r="F3194" s="6" t="s">
        <v>40</v>
      </c>
      <c r="G3194" s="6" t="s">
        <v>32</v>
      </c>
      <c r="H3194" s="6" t="s">
        <v>33</v>
      </c>
      <c r="I3194" s="6" t="s">
        <v>767</v>
      </c>
      <c r="J3194" s="6" t="s">
        <v>764</v>
      </c>
      <c r="K3194" s="7">
        <v>6122146</v>
      </c>
      <c r="L3194" s="7">
        <v>301456</v>
      </c>
      <c r="M3194" s="7">
        <v>19</v>
      </c>
      <c r="N3194" s="7">
        <v>4</v>
      </c>
      <c r="O3194" s="7">
        <v>22.8</v>
      </c>
    </row>
    <row r="3195" spans="1:15" x14ac:dyDescent="0.25">
      <c r="A3195" s="6" t="s">
        <v>14</v>
      </c>
      <c r="B3195" s="6" t="s">
        <v>382</v>
      </c>
      <c r="C3195" s="7">
        <v>33325</v>
      </c>
      <c r="D3195" s="6" t="s">
        <v>39</v>
      </c>
      <c r="E3195" s="6" t="s">
        <v>80</v>
      </c>
      <c r="F3195" s="6" t="s">
        <v>80</v>
      </c>
      <c r="G3195" s="6" t="s">
        <v>32</v>
      </c>
      <c r="H3195" s="6" t="s">
        <v>33</v>
      </c>
      <c r="I3195" s="6" t="s">
        <v>767</v>
      </c>
      <c r="J3195" s="6" t="s">
        <v>764</v>
      </c>
      <c r="K3195" s="7">
        <v>6077188</v>
      </c>
      <c r="L3195" s="7">
        <v>285046</v>
      </c>
      <c r="M3195" s="7">
        <v>19</v>
      </c>
      <c r="N3195" s="7">
        <v>1</v>
      </c>
      <c r="O3195" s="7">
        <v>5</v>
      </c>
    </row>
    <row r="3196" spans="1:15" x14ac:dyDescent="0.25">
      <c r="A3196" s="6" t="s">
        <v>14</v>
      </c>
      <c r="B3196" s="6" t="s">
        <v>382</v>
      </c>
      <c r="C3196" s="7">
        <v>33329</v>
      </c>
      <c r="D3196" s="6" t="s">
        <v>39</v>
      </c>
      <c r="E3196" s="6" t="s">
        <v>70</v>
      </c>
      <c r="F3196" s="6" t="s">
        <v>70</v>
      </c>
      <c r="G3196" s="6" t="s">
        <v>32</v>
      </c>
      <c r="H3196" s="6" t="s">
        <v>33</v>
      </c>
      <c r="I3196" s="6" t="s">
        <v>767</v>
      </c>
      <c r="J3196" s="6" t="s">
        <v>767</v>
      </c>
      <c r="K3196" s="7">
        <v>6072919</v>
      </c>
      <c r="L3196" s="7">
        <v>270716</v>
      </c>
      <c r="M3196" s="7">
        <v>19</v>
      </c>
      <c r="N3196" s="7">
        <v>3</v>
      </c>
      <c r="O3196" s="7">
        <v>5.8</v>
      </c>
    </row>
    <row r="3197" spans="1:15" x14ac:dyDescent="0.25">
      <c r="A3197" s="6" t="s">
        <v>14</v>
      </c>
      <c r="B3197" s="6" t="s">
        <v>382</v>
      </c>
      <c r="C3197" s="7">
        <v>33333</v>
      </c>
      <c r="D3197" s="6" t="s">
        <v>39</v>
      </c>
      <c r="E3197" s="6" t="s">
        <v>72</v>
      </c>
      <c r="F3197" s="6" t="s">
        <v>72</v>
      </c>
      <c r="G3197" s="6" t="s">
        <v>32</v>
      </c>
      <c r="H3197" s="6" t="s">
        <v>33</v>
      </c>
      <c r="I3197" s="6" t="s">
        <v>767</v>
      </c>
      <c r="J3197" s="6" t="s">
        <v>767</v>
      </c>
      <c r="K3197" s="7">
        <v>6072480</v>
      </c>
      <c r="L3197" s="7">
        <v>270489</v>
      </c>
      <c r="M3197" s="7">
        <v>19</v>
      </c>
      <c r="N3197" s="7">
        <v>3</v>
      </c>
      <c r="O3197" s="7">
        <v>9</v>
      </c>
    </row>
    <row r="3198" spans="1:15" x14ac:dyDescent="0.25">
      <c r="A3198" s="6" t="s">
        <v>28</v>
      </c>
      <c r="B3198" s="6" t="s">
        <v>382</v>
      </c>
      <c r="C3198" s="7">
        <v>33336</v>
      </c>
      <c r="D3198" s="6" t="s">
        <v>39</v>
      </c>
      <c r="E3198" s="6" t="s">
        <v>72</v>
      </c>
      <c r="F3198" s="6" t="s">
        <v>72</v>
      </c>
      <c r="G3198" s="6" t="s">
        <v>32</v>
      </c>
      <c r="H3198" s="6" t="s">
        <v>33</v>
      </c>
      <c r="I3198" s="6" t="s">
        <v>767</v>
      </c>
      <c r="J3198" s="6" t="s">
        <v>764</v>
      </c>
      <c r="K3198" s="7">
        <v>6069799</v>
      </c>
      <c r="L3198" s="7">
        <v>282396</v>
      </c>
      <c r="M3198" s="7">
        <v>19</v>
      </c>
      <c r="N3198" s="7">
        <v>4</v>
      </c>
      <c r="O3198" s="7">
        <v>14</v>
      </c>
    </row>
    <row r="3199" spans="1:15" x14ac:dyDescent="0.25">
      <c r="A3199" s="6" t="s">
        <v>22</v>
      </c>
      <c r="B3199" s="6" t="s">
        <v>382</v>
      </c>
      <c r="C3199" s="7">
        <v>33397</v>
      </c>
      <c r="D3199" s="6" t="s">
        <v>39</v>
      </c>
      <c r="E3199" s="6" t="s">
        <v>40</v>
      </c>
      <c r="F3199" s="6" t="s">
        <v>179</v>
      </c>
      <c r="G3199" s="6" t="s">
        <v>50</v>
      </c>
      <c r="H3199" s="6" t="s">
        <v>765</v>
      </c>
      <c r="I3199" s="6" t="s">
        <v>767</v>
      </c>
      <c r="J3199" s="6" t="s">
        <v>767</v>
      </c>
      <c r="K3199" s="7">
        <v>6122992</v>
      </c>
      <c r="L3199" s="7">
        <v>311892</v>
      </c>
      <c r="M3199" s="7">
        <v>19</v>
      </c>
      <c r="N3199" s="7">
        <v>1</v>
      </c>
      <c r="O3199" s="7">
        <v>1.3</v>
      </c>
    </row>
    <row r="3200" spans="1:15" x14ac:dyDescent="0.25">
      <c r="A3200" s="6" t="s">
        <v>14</v>
      </c>
      <c r="B3200" s="6" t="s">
        <v>382</v>
      </c>
      <c r="C3200" s="7">
        <v>33399</v>
      </c>
      <c r="D3200" s="6" t="s">
        <v>39</v>
      </c>
      <c r="E3200" s="6" t="s">
        <v>72</v>
      </c>
      <c r="F3200" s="6" t="s">
        <v>109</v>
      </c>
      <c r="G3200" s="6" t="s">
        <v>32</v>
      </c>
      <c r="H3200" s="6" t="s">
        <v>33</v>
      </c>
      <c r="I3200" s="6" t="s">
        <v>767</v>
      </c>
      <c r="J3200" s="6" t="s">
        <v>767</v>
      </c>
      <c r="K3200" s="7">
        <v>6072909</v>
      </c>
      <c r="L3200" s="7">
        <v>270121</v>
      </c>
      <c r="M3200" s="7">
        <v>19</v>
      </c>
      <c r="N3200" s="7">
        <v>6</v>
      </c>
      <c r="O3200" s="7">
        <v>42.5</v>
      </c>
    </row>
    <row r="3201" spans="1:15" x14ac:dyDescent="0.25">
      <c r="A3201" s="6" t="s">
        <v>28</v>
      </c>
      <c r="B3201" s="6" t="s">
        <v>382</v>
      </c>
      <c r="C3201" s="7">
        <v>33408</v>
      </c>
      <c r="D3201" s="6" t="s">
        <v>16</v>
      </c>
      <c r="E3201" s="6" t="s">
        <v>392</v>
      </c>
      <c r="F3201" s="6" t="s">
        <v>392</v>
      </c>
      <c r="G3201" s="6" t="s">
        <v>32</v>
      </c>
      <c r="H3201" s="6" t="s">
        <v>19</v>
      </c>
      <c r="I3201" s="6" t="s">
        <v>767</v>
      </c>
      <c r="J3201" s="6" t="s">
        <v>767</v>
      </c>
      <c r="K3201" s="7">
        <v>6371379</v>
      </c>
      <c r="L3201" s="7">
        <v>322837</v>
      </c>
      <c r="M3201" s="7">
        <v>19</v>
      </c>
      <c r="N3201" s="7">
        <v>1</v>
      </c>
      <c r="O3201" s="7">
        <v>2</v>
      </c>
    </row>
    <row r="3202" spans="1:15" x14ac:dyDescent="0.25">
      <c r="A3202" s="6" t="s">
        <v>28</v>
      </c>
      <c r="B3202" s="6" t="s">
        <v>382</v>
      </c>
      <c r="C3202" s="7">
        <v>33417</v>
      </c>
      <c r="D3202" s="6" t="s">
        <v>39</v>
      </c>
      <c r="E3202" s="6" t="s">
        <v>53</v>
      </c>
      <c r="F3202" s="6" t="s">
        <v>40</v>
      </c>
      <c r="G3202" s="6" t="s">
        <v>32</v>
      </c>
      <c r="H3202" s="6" t="s">
        <v>33</v>
      </c>
      <c r="I3202" s="6" t="s">
        <v>767</v>
      </c>
      <c r="J3202" s="6" t="s">
        <v>767</v>
      </c>
      <c r="K3202" s="7">
        <v>6138245</v>
      </c>
      <c r="L3202" s="7">
        <v>319711</v>
      </c>
      <c r="M3202" s="7">
        <v>19</v>
      </c>
      <c r="N3202" s="7">
        <v>1</v>
      </c>
      <c r="O3202" s="7">
        <v>8</v>
      </c>
    </row>
    <row r="3203" spans="1:15" x14ac:dyDescent="0.25">
      <c r="A3203" s="6" t="s">
        <v>28</v>
      </c>
      <c r="B3203" s="6" t="s">
        <v>382</v>
      </c>
      <c r="C3203" s="7">
        <v>33428</v>
      </c>
      <c r="D3203" s="6" t="s">
        <v>39</v>
      </c>
      <c r="E3203" s="6" t="s">
        <v>53</v>
      </c>
      <c r="F3203" s="6" t="s">
        <v>40</v>
      </c>
      <c r="G3203" s="6" t="s">
        <v>32</v>
      </c>
      <c r="H3203" s="6" t="s">
        <v>33</v>
      </c>
      <c r="I3203" s="6" t="s">
        <v>767</v>
      </c>
      <c r="J3203" s="6" t="s">
        <v>767</v>
      </c>
      <c r="K3203" s="7">
        <v>6137222</v>
      </c>
      <c r="L3203" s="7">
        <v>311736</v>
      </c>
      <c r="M3203" s="7">
        <v>19</v>
      </c>
      <c r="N3203" s="7">
        <v>2</v>
      </c>
      <c r="O3203" s="7">
        <v>6</v>
      </c>
    </row>
    <row r="3204" spans="1:15" x14ac:dyDescent="0.25">
      <c r="A3204" s="6" t="s">
        <v>28</v>
      </c>
      <c r="B3204" s="6" t="s">
        <v>382</v>
      </c>
      <c r="C3204" s="7">
        <v>33432</v>
      </c>
      <c r="D3204" s="6" t="s">
        <v>42</v>
      </c>
      <c r="E3204" s="6" t="s">
        <v>51</v>
      </c>
      <c r="F3204" s="6" t="s">
        <v>51</v>
      </c>
      <c r="G3204" s="6" t="s">
        <v>32</v>
      </c>
      <c r="H3204" s="6" t="s">
        <v>33</v>
      </c>
      <c r="I3204" s="6" t="s">
        <v>767</v>
      </c>
      <c r="J3204" s="6" t="s">
        <v>767</v>
      </c>
      <c r="K3204" s="7">
        <v>6149446</v>
      </c>
      <c r="L3204" s="7">
        <v>318919</v>
      </c>
      <c r="M3204" s="7">
        <v>19</v>
      </c>
      <c r="N3204" s="7">
        <v>1</v>
      </c>
      <c r="O3204" s="7">
        <v>9</v>
      </c>
    </row>
    <row r="3205" spans="1:15" x14ac:dyDescent="0.25">
      <c r="A3205" s="6" t="s">
        <v>28</v>
      </c>
      <c r="B3205" s="6" t="s">
        <v>382</v>
      </c>
      <c r="C3205" s="7">
        <v>33593</v>
      </c>
      <c r="D3205" s="6" t="s">
        <v>24</v>
      </c>
      <c r="E3205" s="6" t="s">
        <v>37</v>
      </c>
      <c r="F3205" s="6" t="s">
        <v>38</v>
      </c>
      <c r="G3205" s="6" t="s">
        <v>32</v>
      </c>
      <c r="H3205" s="6" t="s">
        <v>19</v>
      </c>
      <c r="I3205" s="6" t="s">
        <v>767</v>
      </c>
      <c r="J3205" s="6" t="s">
        <v>767</v>
      </c>
      <c r="K3205" s="7">
        <v>6268666</v>
      </c>
      <c r="L3205" s="7">
        <v>314201</v>
      </c>
      <c r="M3205" s="7">
        <v>19</v>
      </c>
      <c r="N3205" s="7">
        <v>1</v>
      </c>
      <c r="O3205" s="7">
        <v>0.5</v>
      </c>
    </row>
    <row r="3206" spans="1:15" x14ac:dyDescent="0.25">
      <c r="A3206" s="6" t="s">
        <v>28</v>
      </c>
      <c r="B3206" s="6" t="s">
        <v>382</v>
      </c>
      <c r="C3206" s="7">
        <v>33594</v>
      </c>
      <c r="D3206" s="6" t="s">
        <v>39</v>
      </c>
      <c r="E3206" s="6" t="s">
        <v>53</v>
      </c>
      <c r="F3206" s="6" t="s">
        <v>40</v>
      </c>
      <c r="G3206" s="6" t="s">
        <v>32</v>
      </c>
      <c r="H3206" s="6" t="s">
        <v>33</v>
      </c>
      <c r="I3206" s="6" t="s">
        <v>767</v>
      </c>
      <c r="J3206" s="6" t="s">
        <v>767</v>
      </c>
      <c r="K3206" s="7">
        <v>6137706</v>
      </c>
      <c r="L3206" s="7">
        <v>311721</v>
      </c>
      <c r="M3206" s="7">
        <v>19</v>
      </c>
      <c r="N3206" s="7">
        <v>2</v>
      </c>
      <c r="O3206" s="7">
        <v>4</v>
      </c>
    </row>
    <row r="3207" spans="1:15" x14ac:dyDescent="0.25">
      <c r="A3207" s="6" t="s">
        <v>28</v>
      </c>
      <c r="B3207" s="6" t="s">
        <v>382</v>
      </c>
      <c r="C3207" s="7">
        <v>33597</v>
      </c>
      <c r="D3207" s="6" t="s">
        <v>39</v>
      </c>
      <c r="E3207" s="6" t="s">
        <v>156</v>
      </c>
      <c r="F3207" s="6" t="s">
        <v>108</v>
      </c>
      <c r="G3207" s="6" t="s">
        <v>32</v>
      </c>
      <c r="H3207" s="6" t="s">
        <v>33</v>
      </c>
      <c r="I3207" s="6" t="s">
        <v>767</v>
      </c>
      <c r="J3207" s="6" t="s">
        <v>764</v>
      </c>
      <c r="K3207" s="7">
        <v>6018201</v>
      </c>
      <c r="L3207" s="7">
        <v>259691</v>
      </c>
      <c r="M3207" s="7">
        <v>19</v>
      </c>
      <c r="N3207" s="7">
        <v>7</v>
      </c>
      <c r="O3207" s="7">
        <v>14.96</v>
      </c>
    </row>
    <row r="3208" spans="1:15" x14ac:dyDescent="0.25">
      <c r="A3208" s="6" t="s">
        <v>28</v>
      </c>
      <c r="B3208" s="6" t="s">
        <v>382</v>
      </c>
      <c r="C3208" s="7">
        <v>33598</v>
      </c>
      <c r="D3208" s="6" t="s">
        <v>42</v>
      </c>
      <c r="E3208" s="6" t="s">
        <v>51</v>
      </c>
      <c r="F3208" s="6" t="s">
        <v>51</v>
      </c>
      <c r="G3208" s="6" t="s">
        <v>32</v>
      </c>
      <c r="H3208" s="6" t="s">
        <v>33</v>
      </c>
      <c r="I3208" s="6" t="s">
        <v>767</v>
      </c>
      <c r="J3208" s="6" t="s">
        <v>767</v>
      </c>
      <c r="K3208" s="7">
        <v>6143383</v>
      </c>
      <c r="L3208" s="7">
        <v>319305</v>
      </c>
      <c r="M3208" s="7">
        <v>19</v>
      </c>
      <c r="N3208" s="7">
        <v>3</v>
      </c>
      <c r="O3208" s="7">
        <v>15</v>
      </c>
    </row>
    <row r="3209" spans="1:15" x14ac:dyDescent="0.25">
      <c r="A3209" s="6" t="s">
        <v>28</v>
      </c>
      <c r="B3209" s="6" t="s">
        <v>382</v>
      </c>
      <c r="C3209" s="7">
        <v>33678</v>
      </c>
      <c r="D3209" s="6" t="s">
        <v>42</v>
      </c>
      <c r="E3209" s="6" t="s">
        <v>225</v>
      </c>
      <c r="F3209" s="6" t="s">
        <v>225</v>
      </c>
      <c r="G3209" s="6" t="s">
        <v>32</v>
      </c>
      <c r="H3209" s="6" t="s">
        <v>33</v>
      </c>
      <c r="I3209" s="6" t="s">
        <v>767</v>
      </c>
      <c r="J3209" s="6" t="s">
        <v>764</v>
      </c>
      <c r="K3209" s="7">
        <v>6179890</v>
      </c>
      <c r="L3209" s="7">
        <v>276824</v>
      </c>
      <c r="M3209" s="7">
        <v>19</v>
      </c>
      <c r="N3209" s="7">
        <v>1</v>
      </c>
      <c r="O3209" s="7">
        <v>6</v>
      </c>
    </row>
    <row r="3210" spans="1:15" x14ac:dyDescent="0.25">
      <c r="A3210" s="6" t="s">
        <v>28</v>
      </c>
      <c r="B3210" s="6" t="s">
        <v>382</v>
      </c>
      <c r="C3210" s="7">
        <v>33684</v>
      </c>
      <c r="D3210" s="6" t="s">
        <v>39</v>
      </c>
      <c r="E3210" s="6" t="s">
        <v>386</v>
      </c>
      <c r="F3210" s="6" t="s">
        <v>40</v>
      </c>
      <c r="G3210" s="6" t="s">
        <v>32</v>
      </c>
      <c r="H3210" s="6" t="s">
        <v>19</v>
      </c>
      <c r="I3210" s="6" t="s">
        <v>767</v>
      </c>
      <c r="J3210" s="6" t="s">
        <v>767</v>
      </c>
      <c r="K3210" s="7">
        <v>6131294</v>
      </c>
      <c r="L3210" s="7">
        <v>288585</v>
      </c>
      <c r="M3210" s="7">
        <v>19</v>
      </c>
      <c r="N3210" s="7">
        <v>1</v>
      </c>
      <c r="O3210" s="7">
        <v>1</v>
      </c>
    </row>
    <row r="3211" spans="1:15" x14ac:dyDescent="0.25">
      <c r="A3211" s="6" t="s">
        <v>22</v>
      </c>
      <c r="B3211" s="6" t="s">
        <v>382</v>
      </c>
      <c r="C3211" s="7">
        <v>33776</v>
      </c>
      <c r="D3211" s="6" t="s">
        <v>42</v>
      </c>
      <c r="E3211" s="6" t="s">
        <v>167</v>
      </c>
      <c r="F3211" s="6" t="s">
        <v>382</v>
      </c>
      <c r="G3211" s="6" t="s">
        <v>32</v>
      </c>
      <c r="H3211" s="6" t="s">
        <v>765</v>
      </c>
      <c r="I3211" s="6" t="s">
        <v>767</v>
      </c>
      <c r="J3211" s="6" t="s">
        <v>767</v>
      </c>
      <c r="K3211" s="7">
        <v>6225010</v>
      </c>
      <c r="L3211" s="7">
        <v>339646</v>
      </c>
      <c r="M3211" s="7">
        <v>19</v>
      </c>
      <c r="N3211" s="7">
        <v>1</v>
      </c>
      <c r="O3211" s="7">
        <v>0.01</v>
      </c>
    </row>
    <row r="3212" spans="1:15" x14ac:dyDescent="0.25">
      <c r="A3212" s="6" t="s">
        <v>28</v>
      </c>
      <c r="B3212" s="6" t="s">
        <v>382</v>
      </c>
      <c r="C3212" s="7">
        <v>33779</v>
      </c>
      <c r="D3212" s="6" t="s">
        <v>39</v>
      </c>
      <c r="E3212" s="6" t="s">
        <v>156</v>
      </c>
      <c r="F3212" s="6" t="s">
        <v>156</v>
      </c>
      <c r="G3212" s="6" t="s">
        <v>32</v>
      </c>
      <c r="H3212" s="6" t="s">
        <v>33</v>
      </c>
      <c r="I3212" s="6" t="s">
        <v>767</v>
      </c>
      <c r="J3212" s="6" t="s">
        <v>767</v>
      </c>
      <c r="K3212" s="7">
        <v>6026097</v>
      </c>
      <c r="L3212" s="7">
        <v>273085</v>
      </c>
      <c r="M3212" s="7">
        <v>19</v>
      </c>
      <c r="N3212" s="7">
        <v>1</v>
      </c>
      <c r="O3212" s="7">
        <v>9</v>
      </c>
    </row>
    <row r="3213" spans="1:15" x14ac:dyDescent="0.25">
      <c r="A3213" s="6" t="s">
        <v>28</v>
      </c>
      <c r="B3213" s="6" t="s">
        <v>382</v>
      </c>
      <c r="C3213" s="7">
        <v>33785</v>
      </c>
      <c r="D3213" s="6" t="s">
        <v>39</v>
      </c>
      <c r="E3213" s="6" t="s">
        <v>72</v>
      </c>
      <c r="F3213" s="6" t="s">
        <v>458</v>
      </c>
      <c r="G3213" s="6" t="s">
        <v>32</v>
      </c>
      <c r="H3213" s="6" t="s">
        <v>33</v>
      </c>
      <c r="I3213" s="6" t="s">
        <v>767</v>
      </c>
      <c r="J3213" s="6" t="s">
        <v>767</v>
      </c>
      <c r="K3213" s="7">
        <v>6063878</v>
      </c>
      <c r="L3213" s="7">
        <v>266397</v>
      </c>
      <c r="M3213" s="7">
        <v>19</v>
      </c>
      <c r="N3213" s="7">
        <v>3</v>
      </c>
      <c r="O3213" s="7">
        <v>20</v>
      </c>
    </row>
    <row r="3214" spans="1:15" x14ac:dyDescent="0.25">
      <c r="A3214" s="6" t="s">
        <v>22</v>
      </c>
      <c r="B3214" s="6" t="s">
        <v>382</v>
      </c>
      <c r="C3214" s="7">
        <v>33794</v>
      </c>
      <c r="D3214" s="6" t="s">
        <v>39</v>
      </c>
      <c r="E3214" s="6" t="s">
        <v>53</v>
      </c>
      <c r="F3214" s="6" t="s">
        <v>54</v>
      </c>
      <c r="G3214" s="6" t="s">
        <v>32</v>
      </c>
      <c r="H3214" s="6" t="s">
        <v>765</v>
      </c>
      <c r="I3214" s="6" t="s">
        <v>767</v>
      </c>
      <c r="J3214" s="6" t="s">
        <v>767</v>
      </c>
      <c r="K3214" s="7">
        <v>6146733</v>
      </c>
      <c r="L3214" s="7">
        <v>313590</v>
      </c>
      <c r="M3214" s="7">
        <v>19</v>
      </c>
      <c r="N3214" s="7">
        <v>1</v>
      </c>
      <c r="O3214" s="7">
        <v>1.3</v>
      </c>
    </row>
    <row r="3215" spans="1:15" x14ac:dyDescent="0.25">
      <c r="A3215" s="6" t="s">
        <v>22</v>
      </c>
      <c r="B3215" s="6" t="s">
        <v>382</v>
      </c>
      <c r="C3215" s="7">
        <v>33803</v>
      </c>
      <c r="D3215" s="6" t="s">
        <v>42</v>
      </c>
      <c r="E3215" s="6" t="s">
        <v>51</v>
      </c>
      <c r="F3215" s="6" t="s">
        <v>694</v>
      </c>
      <c r="G3215" s="6" t="s">
        <v>32</v>
      </c>
      <c r="H3215" s="6" t="s">
        <v>765</v>
      </c>
      <c r="I3215" s="6" t="s">
        <v>767</v>
      </c>
      <c r="J3215" s="6" t="s">
        <v>767</v>
      </c>
      <c r="K3215" s="7">
        <v>6146250</v>
      </c>
      <c r="L3215" s="7">
        <v>315398</v>
      </c>
      <c r="M3215" s="7">
        <v>19</v>
      </c>
      <c r="N3215" s="7">
        <v>1</v>
      </c>
      <c r="O3215" s="7">
        <v>1.63</v>
      </c>
    </row>
    <row r="3216" spans="1:15" x14ac:dyDescent="0.25">
      <c r="A3216" s="6" t="s">
        <v>22</v>
      </c>
      <c r="B3216" s="6" t="s">
        <v>382</v>
      </c>
      <c r="C3216" s="7">
        <v>33847</v>
      </c>
      <c r="D3216" s="6" t="s">
        <v>42</v>
      </c>
      <c r="E3216" s="6" t="s">
        <v>167</v>
      </c>
      <c r="F3216" s="6" t="s">
        <v>382</v>
      </c>
      <c r="G3216" s="6" t="s">
        <v>32</v>
      </c>
      <c r="H3216" s="6" t="s">
        <v>765</v>
      </c>
      <c r="I3216" s="6" t="s">
        <v>767</v>
      </c>
      <c r="J3216" s="6" t="s">
        <v>767</v>
      </c>
      <c r="K3216" s="7">
        <v>6225010</v>
      </c>
      <c r="L3216" s="7">
        <v>339646</v>
      </c>
      <c r="M3216" s="7">
        <v>19</v>
      </c>
      <c r="N3216" s="7">
        <v>1</v>
      </c>
      <c r="O3216" s="7">
        <v>0.01</v>
      </c>
    </row>
    <row r="3217" spans="1:15" x14ac:dyDescent="0.25">
      <c r="A3217" s="6" t="s">
        <v>22</v>
      </c>
      <c r="B3217" s="6" t="s">
        <v>382</v>
      </c>
      <c r="C3217" s="7">
        <v>33893</v>
      </c>
      <c r="D3217" s="6" t="s">
        <v>297</v>
      </c>
      <c r="E3217" s="6" t="s">
        <v>298</v>
      </c>
      <c r="F3217" s="6" t="s">
        <v>523</v>
      </c>
      <c r="G3217" s="6" t="s">
        <v>32</v>
      </c>
      <c r="H3217" s="6" t="s">
        <v>765</v>
      </c>
      <c r="I3217" s="6" t="s">
        <v>767</v>
      </c>
      <c r="J3217" s="6" t="s">
        <v>767</v>
      </c>
      <c r="K3217" s="7">
        <v>7953396</v>
      </c>
      <c r="L3217" s="7">
        <v>371993</v>
      </c>
      <c r="M3217" s="7">
        <v>19</v>
      </c>
      <c r="N3217" s="7">
        <v>1</v>
      </c>
      <c r="O3217" s="7">
        <v>0.4</v>
      </c>
    </row>
    <row r="3218" spans="1:15" x14ac:dyDescent="0.25">
      <c r="A3218" s="6" t="s">
        <v>22</v>
      </c>
      <c r="B3218" s="6" t="s">
        <v>382</v>
      </c>
      <c r="C3218" s="7">
        <v>33950</v>
      </c>
      <c r="D3218" s="6" t="s">
        <v>297</v>
      </c>
      <c r="E3218" s="6" t="s">
        <v>298</v>
      </c>
      <c r="F3218" s="6" t="s">
        <v>523</v>
      </c>
      <c r="G3218" s="6" t="s">
        <v>32</v>
      </c>
      <c r="H3218" s="6" t="s">
        <v>765</v>
      </c>
      <c r="I3218" s="6" t="s">
        <v>767</v>
      </c>
      <c r="J3218" s="6" t="s">
        <v>767</v>
      </c>
      <c r="K3218" s="7">
        <v>7953545</v>
      </c>
      <c r="L3218" s="7">
        <v>369331</v>
      </c>
      <c r="M3218" s="7">
        <v>19</v>
      </c>
      <c r="N3218" s="7">
        <v>1</v>
      </c>
      <c r="O3218" s="7">
        <v>0.5</v>
      </c>
    </row>
    <row r="3219" spans="1:15" x14ac:dyDescent="0.25">
      <c r="A3219" s="6" t="s">
        <v>22</v>
      </c>
      <c r="B3219" s="6" t="s">
        <v>382</v>
      </c>
      <c r="C3219" s="7">
        <v>33953</v>
      </c>
      <c r="D3219" s="6" t="s">
        <v>297</v>
      </c>
      <c r="E3219" s="6" t="s">
        <v>298</v>
      </c>
      <c r="F3219" s="6" t="s">
        <v>523</v>
      </c>
      <c r="G3219" s="6" t="s">
        <v>32</v>
      </c>
      <c r="H3219" s="6" t="s">
        <v>765</v>
      </c>
      <c r="I3219" s="6" t="s">
        <v>767</v>
      </c>
      <c r="J3219" s="6" t="s">
        <v>767</v>
      </c>
      <c r="K3219" s="7">
        <v>7953545</v>
      </c>
      <c r="L3219" s="7">
        <v>369331</v>
      </c>
      <c r="M3219" s="7">
        <v>19</v>
      </c>
      <c r="N3219" s="7">
        <v>1</v>
      </c>
      <c r="O3219" s="7">
        <v>0.3</v>
      </c>
    </row>
    <row r="3220" spans="1:15" x14ac:dyDescent="0.25">
      <c r="A3220" s="6" t="s">
        <v>22</v>
      </c>
      <c r="B3220" s="6" t="s">
        <v>382</v>
      </c>
      <c r="C3220" s="7">
        <v>33958</v>
      </c>
      <c r="D3220" s="6" t="s">
        <v>42</v>
      </c>
      <c r="E3220" s="6" t="s">
        <v>167</v>
      </c>
      <c r="F3220" s="6" t="s">
        <v>167</v>
      </c>
      <c r="G3220" s="6" t="s">
        <v>32</v>
      </c>
      <c r="H3220" s="6" t="s">
        <v>765</v>
      </c>
      <c r="I3220" s="6" t="s">
        <v>767</v>
      </c>
      <c r="J3220" s="6" t="s">
        <v>767</v>
      </c>
      <c r="K3220" s="7">
        <v>6224682</v>
      </c>
      <c r="L3220" s="7">
        <v>339048</v>
      </c>
      <c r="M3220" s="7">
        <v>19</v>
      </c>
      <c r="N3220" s="7">
        <v>1</v>
      </c>
      <c r="O3220" s="7">
        <v>7.0000000000000007E-2</v>
      </c>
    </row>
    <row r="3221" spans="1:15" x14ac:dyDescent="0.25">
      <c r="A3221" s="6" t="s">
        <v>22</v>
      </c>
      <c r="B3221" s="6" t="s">
        <v>382</v>
      </c>
      <c r="C3221" s="7">
        <v>33960</v>
      </c>
      <c r="D3221" s="6" t="s">
        <v>297</v>
      </c>
      <c r="E3221" s="6" t="s">
        <v>298</v>
      </c>
      <c r="F3221" s="6" t="s">
        <v>523</v>
      </c>
      <c r="G3221" s="6" t="s">
        <v>32</v>
      </c>
      <c r="H3221" s="6" t="s">
        <v>765</v>
      </c>
      <c r="I3221" s="6" t="s">
        <v>767</v>
      </c>
      <c r="J3221" s="6" t="s">
        <v>767</v>
      </c>
      <c r="K3221" s="7">
        <v>7953545</v>
      </c>
      <c r="L3221" s="7">
        <v>369331</v>
      </c>
      <c r="M3221" s="7">
        <v>19</v>
      </c>
      <c r="N3221" s="7">
        <v>1</v>
      </c>
      <c r="O3221" s="7">
        <v>0.46</v>
      </c>
    </row>
    <row r="3222" spans="1:15" x14ac:dyDescent="0.25">
      <c r="A3222" s="6" t="s">
        <v>22</v>
      </c>
      <c r="B3222" s="6" t="s">
        <v>382</v>
      </c>
      <c r="C3222" s="7">
        <v>33962</v>
      </c>
      <c r="D3222" s="6" t="s">
        <v>297</v>
      </c>
      <c r="E3222" s="6" t="s">
        <v>298</v>
      </c>
      <c r="F3222" s="6" t="s">
        <v>523</v>
      </c>
      <c r="G3222" s="6" t="s">
        <v>32</v>
      </c>
      <c r="H3222" s="6" t="s">
        <v>765</v>
      </c>
      <c r="I3222" s="6" t="s">
        <v>767</v>
      </c>
      <c r="J3222" s="6" t="s">
        <v>767</v>
      </c>
      <c r="K3222" s="7">
        <v>7953545</v>
      </c>
      <c r="L3222" s="7">
        <v>369331</v>
      </c>
      <c r="M3222" s="7">
        <v>19</v>
      </c>
      <c r="N3222" s="7">
        <v>1</v>
      </c>
      <c r="O3222" s="7">
        <v>0.43</v>
      </c>
    </row>
    <row r="3223" spans="1:15" x14ac:dyDescent="0.25">
      <c r="A3223" s="6" t="s">
        <v>22</v>
      </c>
      <c r="B3223" s="6" t="s">
        <v>382</v>
      </c>
      <c r="C3223" s="7">
        <v>33964</v>
      </c>
      <c r="D3223" s="6" t="s">
        <v>297</v>
      </c>
      <c r="E3223" s="6" t="s">
        <v>298</v>
      </c>
      <c r="F3223" s="6" t="s">
        <v>523</v>
      </c>
      <c r="G3223" s="6" t="s">
        <v>32</v>
      </c>
      <c r="H3223" s="6" t="s">
        <v>765</v>
      </c>
      <c r="I3223" s="6" t="s">
        <v>767</v>
      </c>
      <c r="J3223" s="6" t="s">
        <v>767</v>
      </c>
      <c r="K3223" s="7">
        <v>7953545</v>
      </c>
      <c r="L3223" s="7">
        <v>369331</v>
      </c>
      <c r="M3223" s="7">
        <v>19</v>
      </c>
      <c r="N3223" s="7">
        <v>1</v>
      </c>
      <c r="O3223" s="7">
        <v>0.34</v>
      </c>
    </row>
    <row r="3224" spans="1:15" x14ac:dyDescent="0.25">
      <c r="A3224" s="6" t="s">
        <v>22</v>
      </c>
      <c r="B3224" s="6" t="s">
        <v>382</v>
      </c>
      <c r="C3224" s="7">
        <v>33972</v>
      </c>
      <c r="D3224" s="6" t="s">
        <v>42</v>
      </c>
      <c r="E3224" s="6" t="s">
        <v>225</v>
      </c>
      <c r="F3224" s="6" t="s">
        <v>695</v>
      </c>
      <c r="G3224" s="6" t="s">
        <v>32</v>
      </c>
      <c r="H3224" s="6" t="s">
        <v>765</v>
      </c>
      <c r="I3224" s="6" t="s">
        <v>767</v>
      </c>
      <c r="J3224" s="6" t="s">
        <v>767</v>
      </c>
      <c r="K3224" s="7">
        <v>6181621</v>
      </c>
      <c r="L3224" s="7">
        <v>281816</v>
      </c>
      <c r="M3224" s="7">
        <v>19</v>
      </c>
      <c r="N3224" s="7">
        <v>1</v>
      </c>
      <c r="O3224" s="7">
        <v>3.28</v>
      </c>
    </row>
    <row r="3225" spans="1:15" x14ac:dyDescent="0.25">
      <c r="A3225" s="6" t="s">
        <v>22</v>
      </c>
      <c r="B3225" s="6" t="s">
        <v>382</v>
      </c>
      <c r="C3225" s="7">
        <v>33999</v>
      </c>
      <c r="D3225" s="6" t="s">
        <v>42</v>
      </c>
      <c r="E3225" s="6" t="s">
        <v>192</v>
      </c>
      <c r="F3225" s="6" t="s">
        <v>680</v>
      </c>
      <c r="G3225" s="6" t="s">
        <v>32</v>
      </c>
      <c r="H3225" s="6" t="s">
        <v>765</v>
      </c>
      <c r="I3225" s="6" t="s">
        <v>767</v>
      </c>
      <c r="J3225" s="6" t="s">
        <v>767</v>
      </c>
      <c r="K3225" s="7">
        <v>6235299</v>
      </c>
      <c r="L3225" s="7">
        <v>344576</v>
      </c>
      <c r="M3225" s="7">
        <v>19</v>
      </c>
      <c r="N3225" s="7">
        <v>1</v>
      </c>
      <c r="O3225" s="7">
        <v>0.6</v>
      </c>
    </row>
    <row r="3226" spans="1:15" x14ac:dyDescent="0.25">
      <c r="A3226" s="6" t="s">
        <v>22</v>
      </c>
      <c r="B3226" s="6" t="s">
        <v>382</v>
      </c>
      <c r="C3226" s="7">
        <v>34115</v>
      </c>
      <c r="D3226" s="6" t="s">
        <v>42</v>
      </c>
      <c r="E3226" s="6" t="s">
        <v>45</v>
      </c>
      <c r="F3226" s="6" t="s">
        <v>696</v>
      </c>
      <c r="G3226" s="6" t="s">
        <v>89</v>
      </c>
      <c r="H3226" s="6" t="s">
        <v>765</v>
      </c>
      <c r="I3226" s="6" t="s">
        <v>767</v>
      </c>
      <c r="J3226" s="6" t="s">
        <v>767</v>
      </c>
      <c r="K3226" s="7">
        <v>6167921</v>
      </c>
      <c r="L3226" s="7">
        <v>320203</v>
      </c>
      <c r="M3226" s="7">
        <v>19</v>
      </c>
      <c r="N3226" s="7">
        <v>1</v>
      </c>
      <c r="O3226" s="7">
        <v>0.5</v>
      </c>
    </row>
    <row r="3227" spans="1:15" x14ac:dyDescent="0.25">
      <c r="A3227" s="6" t="s">
        <v>22</v>
      </c>
      <c r="B3227" s="6" t="s">
        <v>382</v>
      </c>
      <c r="C3227" s="7">
        <v>34153</v>
      </c>
      <c r="D3227" s="6" t="s">
        <v>297</v>
      </c>
      <c r="E3227" s="6" t="s">
        <v>298</v>
      </c>
      <c r="F3227" s="6" t="s">
        <v>523</v>
      </c>
      <c r="G3227" s="6" t="s">
        <v>32</v>
      </c>
      <c r="H3227" s="6" t="s">
        <v>765</v>
      </c>
      <c r="I3227" s="6" t="s">
        <v>767</v>
      </c>
      <c r="J3227" s="6" t="s">
        <v>767</v>
      </c>
      <c r="K3227" s="7">
        <v>7945251</v>
      </c>
      <c r="L3227" s="7">
        <v>389924</v>
      </c>
      <c r="M3227" s="7">
        <v>19</v>
      </c>
      <c r="N3227" s="7">
        <v>1</v>
      </c>
      <c r="O3227" s="7">
        <v>0.85</v>
      </c>
    </row>
    <row r="3228" spans="1:15" x14ac:dyDescent="0.25">
      <c r="A3228" s="6" t="s">
        <v>22</v>
      </c>
      <c r="B3228" s="6" t="s">
        <v>382</v>
      </c>
      <c r="C3228" s="7">
        <v>34159</v>
      </c>
      <c r="D3228" s="6" t="s">
        <v>297</v>
      </c>
      <c r="E3228" s="6" t="s">
        <v>298</v>
      </c>
      <c r="F3228" s="6" t="s">
        <v>523</v>
      </c>
      <c r="G3228" s="6" t="s">
        <v>32</v>
      </c>
      <c r="H3228" s="6" t="s">
        <v>765</v>
      </c>
      <c r="I3228" s="6" t="s">
        <v>767</v>
      </c>
      <c r="J3228" s="6" t="s">
        <v>767</v>
      </c>
      <c r="K3228" s="7">
        <v>7953396</v>
      </c>
      <c r="L3228" s="7">
        <v>371993</v>
      </c>
      <c r="M3228" s="7">
        <v>19</v>
      </c>
      <c r="N3228" s="7">
        <v>1</v>
      </c>
      <c r="O3228" s="7">
        <v>0.3</v>
      </c>
    </row>
    <row r="3229" spans="1:15" x14ac:dyDescent="0.25">
      <c r="A3229" s="6" t="s">
        <v>22</v>
      </c>
      <c r="B3229" s="6" t="s">
        <v>382</v>
      </c>
      <c r="C3229" s="7">
        <v>34162</v>
      </c>
      <c r="D3229" s="6" t="s">
        <v>297</v>
      </c>
      <c r="E3229" s="6" t="s">
        <v>298</v>
      </c>
      <c r="F3229" s="6" t="s">
        <v>523</v>
      </c>
      <c r="G3229" s="6" t="s">
        <v>32</v>
      </c>
      <c r="H3229" s="6" t="s">
        <v>765</v>
      </c>
      <c r="I3229" s="6" t="s">
        <v>767</v>
      </c>
      <c r="J3229" s="6" t="s">
        <v>767</v>
      </c>
      <c r="K3229" s="7">
        <v>7953545</v>
      </c>
      <c r="L3229" s="7">
        <v>369331</v>
      </c>
      <c r="M3229" s="7">
        <v>19</v>
      </c>
      <c r="N3229" s="7">
        <v>1</v>
      </c>
      <c r="O3229" s="7">
        <v>0.17</v>
      </c>
    </row>
    <row r="3230" spans="1:15" x14ac:dyDescent="0.25">
      <c r="A3230" s="6" t="s">
        <v>22</v>
      </c>
      <c r="B3230" s="6" t="s">
        <v>382</v>
      </c>
      <c r="C3230" s="7">
        <v>34223</v>
      </c>
      <c r="D3230" s="6" t="s">
        <v>42</v>
      </c>
      <c r="E3230" s="6" t="s">
        <v>45</v>
      </c>
      <c r="F3230" s="6" t="s">
        <v>697</v>
      </c>
      <c r="G3230" s="6" t="s">
        <v>50</v>
      </c>
      <c r="H3230" s="6" t="s">
        <v>765</v>
      </c>
      <c r="I3230" s="6" t="s">
        <v>767</v>
      </c>
      <c r="J3230" s="6" t="s">
        <v>767</v>
      </c>
      <c r="K3230" s="7">
        <v>6168437</v>
      </c>
      <c r="L3230" s="7">
        <v>320336</v>
      </c>
      <c r="M3230" s="7">
        <v>19</v>
      </c>
      <c r="N3230" s="7">
        <v>1</v>
      </c>
      <c r="O3230" s="7">
        <v>1</v>
      </c>
    </row>
    <row r="3231" spans="1:15" x14ac:dyDescent="0.25">
      <c r="A3231" s="6" t="s">
        <v>22</v>
      </c>
      <c r="B3231" s="6" t="s">
        <v>382</v>
      </c>
      <c r="C3231" s="7">
        <v>34225</v>
      </c>
      <c r="D3231" s="6" t="s">
        <v>42</v>
      </c>
      <c r="E3231" s="6" t="s">
        <v>64</v>
      </c>
      <c r="F3231" s="6" t="s">
        <v>551</v>
      </c>
      <c r="G3231" s="6" t="s">
        <v>50</v>
      </c>
      <c r="H3231" s="6" t="s">
        <v>765</v>
      </c>
      <c r="I3231" s="6" t="s">
        <v>767</v>
      </c>
      <c r="J3231" s="6" t="s">
        <v>767</v>
      </c>
      <c r="K3231" s="7">
        <v>6180662</v>
      </c>
      <c r="L3231" s="7">
        <v>281769</v>
      </c>
      <c r="M3231" s="7">
        <v>19</v>
      </c>
      <c r="N3231" s="7">
        <v>1</v>
      </c>
      <c r="O3231" s="7">
        <v>1</v>
      </c>
    </row>
    <row r="3232" spans="1:15" x14ac:dyDescent="0.25">
      <c r="A3232" s="6" t="s">
        <v>22</v>
      </c>
      <c r="B3232" s="6" t="s">
        <v>382</v>
      </c>
      <c r="C3232" s="7">
        <v>34306</v>
      </c>
      <c r="D3232" s="6" t="s">
        <v>42</v>
      </c>
      <c r="E3232" s="6" t="s">
        <v>167</v>
      </c>
      <c r="F3232" s="6" t="s">
        <v>167</v>
      </c>
      <c r="G3232" s="6" t="s">
        <v>32</v>
      </c>
      <c r="H3232" s="6" t="s">
        <v>765</v>
      </c>
      <c r="I3232" s="6" t="s">
        <v>767</v>
      </c>
      <c r="J3232" s="6" t="s">
        <v>767</v>
      </c>
      <c r="K3232" s="7">
        <v>6224892</v>
      </c>
      <c r="L3232" s="7">
        <v>339564</v>
      </c>
      <c r="M3232" s="7">
        <v>19</v>
      </c>
      <c r="N3232" s="7">
        <v>1</v>
      </c>
      <c r="O3232" s="7">
        <v>0.13</v>
      </c>
    </row>
    <row r="3233" spans="1:15" x14ac:dyDescent="0.25">
      <c r="A3233" s="6" t="s">
        <v>22</v>
      </c>
      <c r="B3233" s="6" t="s">
        <v>382</v>
      </c>
      <c r="C3233" s="7">
        <v>34429</v>
      </c>
      <c r="D3233" s="6" t="s">
        <v>42</v>
      </c>
      <c r="E3233" s="6" t="s">
        <v>167</v>
      </c>
      <c r="F3233" s="6" t="s">
        <v>167</v>
      </c>
      <c r="G3233" s="6" t="s">
        <v>32</v>
      </c>
      <c r="H3233" s="6" t="s">
        <v>765</v>
      </c>
      <c r="I3233" s="6" t="s">
        <v>767</v>
      </c>
      <c r="J3233" s="6" t="s">
        <v>767</v>
      </c>
      <c r="K3233" s="7">
        <v>6225010</v>
      </c>
      <c r="L3233" s="7">
        <v>339646</v>
      </c>
      <c r="M3233" s="7">
        <v>19</v>
      </c>
      <c r="N3233" s="7">
        <v>1</v>
      </c>
      <c r="O3233" s="7">
        <v>0.14000000000000001</v>
      </c>
    </row>
    <row r="3234" spans="1:15" x14ac:dyDescent="0.25">
      <c r="A3234" s="6" t="s">
        <v>22</v>
      </c>
      <c r="B3234" s="6" t="s">
        <v>382</v>
      </c>
      <c r="C3234" s="7">
        <v>34430</v>
      </c>
      <c r="D3234" s="6" t="s">
        <v>42</v>
      </c>
      <c r="E3234" s="6" t="s">
        <v>167</v>
      </c>
      <c r="F3234" s="6" t="s">
        <v>167</v>
      </c>
      <c r="G3234" s="6" t="s">
        <v>32</v>
      </c>
      <c r="H3234" s="6" t="s">
        <v>765</v>
      </c>
      <c r="I3234" s="6" t="s">
        <v>767</v>
      </c>
      <c r="J3234" s="6" t="s">
        <v>767</v>
      </c>
      <c r="K3234" s="7">
        <v>6225010</v>
      </c>
      <c r="L3234" s="7">
        <v>339646</v>
      </c>
      <c r="M3234" s="7">
        <v>19</v>
      </c>
      <c r="N3234" s="7">
        <v>1</v>
      </c>
      <c r="O3234" s="7">
        <v>0.02</v>
      </c>
    </row>
    <row r="3235" spans="1:15" x14ac:dyDescent="0.25">
      <c r="A3235" s="6" t="s">
        <v>22</v>
      </c>
      <c r="B3235" s="6" t="s">
        <v>382</v>
      </c>
      <c r="C3235" s="7">
        <v>34431</v>
      </c>
      <c r="D3235" s="6" t="s">
        <v>42</v>
      </c>
      <c r="E3235" s="6" t="s">
        <v>167</v>
      </c>
      <c r="F3235" s="6" t="s">
        <v>167</v>
      </c>
      <c r="G3235" s="6" t="s">
        <v>32</v>
      </c>
      <c r="H3235" s="6" t="s">
        <v>765</v>
      </c>
      <c r="I3235" s="6" t="s">
        <v>767</v>
      </c>
      <c r="J3235" s="6" t="s">
        <v>767</v>
      </c>
      <c r="K3235" s="7">
        <v>6224892</v>
      </c>
      <c r="L3235" s="7">
        <v>339564</v>
      </c>
      <c r="M3235" s="7">
        <v>19</v>
      </c>
      <c r="N3235" s="7">
        <v>1</v>
      </c>
      <c r="O3235" s="7">
        <v>0.6</v>
      </c>
    </row>
    <row r="3236" spans="1:15" x14ac:dyDescent="0.25">
      <c r="A3236" s="6" t="s">
        <v>22</v>
      </c>
      <c r="B3236" s="6" t="s">
        <v>382</v>
      </c>
      <c r="C3236" s="7">
        <v>34451</v>
      </c>
      <c r="D3236" s="6" t="s">
        <v>42</v>
      </c>
      <c r="E3236" s="6" t="s">
        <v>167</v>
      </c>
      <c r="F3236" s="6" t="s">
        <v>167</v>
      </c>
      <c r="G3236" s="6" t="s">
        <v>32</v>
      </c>
      <c r="H3236" s="6" t="s">
        <v>765</v>
      </c>
      <c r="I3236" s="6" t="s">
        <v>767</v>
      </c>
      <c r="J3236" s="6" t="s">
        <v>767</v>
      </c>
      <c r="K3236" s="7">
        <v>6225010</v>
      </c>
      <c r="L3236" s="7">
        <v>339646</v>
      </c>
      <c r="M3236" s="7">
        <v>19</v>
      </c>
      <c r="N3236" s="7">
        <v>1</v>
      </c>
      <c r="O3236" s="7">
        <v>0.01</v>
      </c>
    </row>
    <row r="3237" spans="1:15" x14ac:dyDescent="0.25">
      <c r="A3237" s="6" t="s">
        <v>22</v>
      </c>
      <c r="B3237" s="6" t="s">
        <v>382</v>
      </c>
      <c r="C3237" s="7">
        <v>34532</v>
      </c>
      <c r="D3237" s="6" t="s">
        <v>42</v>
      </c>
      <c r="E3237" s="6" t="s">
        <v>45</v>
      </c>
      <c r="F3237" s="6" t="s">
        <v>697</v>
      </c>
      <c r="G3237" s="6" t="s">
        <v>32</v>
      </c>
      <c r="H3237" s="6" t="s">
        <v>765</v>
      </c>
      <c r="I3237" s="6" t="s">
        <v>767</v>
      </c>
      <c r="J3237" s="6" t="s">
        <v>767</v>
      </c>
      <c r="K3237" s="7">
        <v>6167921</v>
      </c>
      <c r="L3237" s="7">
        <v>320203</v>
      </c>
      <c r="M3237" s="7">
        <v>19</v>
      </c>
      <c r="N3237" s="7">
        <v>1</v>
      </c>
      <c r="O3237" s="7">
        <v>0.1</v>
      </c>
    </row>
    <row r="3238" spans="1:15" x14ac:dyDescent="0.25">
      <c r="A3238" s="6" t="s">
        <v>22</v>
      </c>
      <c r="B3238" s="6" t="s">
        <v>382</v>
      </c>
      <c r="C3238" s="7">
        <v>34535</v>
      </c>
      <c r="D3238" s="6" t="s">
        <v>42</v>
      </c>
      <c r="E3238" s="6" t="s">
        <v>64</v>
      </c>
      <c r="F3238" s="6" t="s">
        <v>551</v>
      </c>
      <c r="G3238" s="6" t="s">
        <v>32</v>
      </c>
      <c r="H3238" s="6" t="s">
        <v>765</v>
      </c>
      <c r="I3238" s="6" t="s">
        <v>767</v>
      </c>
      <c r="J3238" s="6" t="s">
        <v>767</v>
      </c>
      <c r="K3238" s="7">
        <v>6179850</v>
      </c>
      <c r="L3238" s="7">
        <v>281717</v>
      </c>
      <c r="M3238" s="7">
        <v>19</v>
      </c>
      <c r="N3238" s="7">
        <v>1</v>
      </c>
      <c r="O3238" s="7">
        <v>0.1</v>
      </c>
    </row>
    <row r="3239" spans="1:15" x14ac:dyDescent="0.25">
      <c r="A3239" s="6" t="s">
        <v>22</v>
      </c>
      <c r="B3239" s="6" t="s">
        <v>382</v>
      </c>
      <c r="C3239" s="7">
        <v>34585</v>
      </c>
      <c r="D3239" s="6" t="s">
        <v>42</v>
      </c>
      <c r="E3239" s="6" t="s">
        <v>167</v>
      </c>
      <c r="F3239" s="6" t="s">
        <v>685</v>
      </c>
      <c r="G3239" s="6" t="s">
        <v>32</v>
      </c>
      <c r="H3239" s="6" t="s">
        <v>765</v>
      </c>
      <c r="I3239" s="6" t="s">
        <v>767</v>
      </c>
      <c r="J3239" s="6" t="s">
        <v>767</v>
      </c>
      <c r="K3239" s="7">
        <v>6224564</v>
      </c>
      <c r="L3239" s="7">
        <v>338112</v>
      </c>
      <c r="M3239" s="7">
        <v>19</v>
      </c>
      <c r="N3239" s="7">
        <v>1</v>
      </c>
      <c r="O3239" s="7">
        <v>2</v>
      </c>
    </row>
    <row r="3240" spans="1:15" x14ac:dyDescent="0.25">
      <c r="A3240" s="6" t="s">
        <v>22</v>
      </c>
      <c r="B3240" s="6" t="s">
        <v>382</v>
      </c>
      <c r="C3240" s="7">
        <v>34714</v>
      </c>
      <c r="D3240" s="6" t="s">
        <v>39</v>
      </c>
      <c r="E3240" s="6" t="s">
        <v>40</v>
      </c>
      <c r="F3240" s="6" t="s">
        <v>698</v>
      </c>
      <c r="G3240" s="6" t="s">
        <v>50</v>
      </c>
      <c r="H3240" s="6" t="s">
        <v>765</v>
      </c>
      <c r="I3240" s="6" t="s">
        <v>767</v>
      </c>
      <c r="J3240" s="6" t="s">
        <v>767</v>
      </c>
      <c r="K3240" s="7">
        <v>6122992</v>
      </c>
      <c r="L3240" s="7">
        <v>311892</v>
      </c>
      <c r="M3240" s="7">
        <v>19</v>
      </c>
      <c r="N3240" s="7">
        <v>1</v>
      </c>
      <c r="O3240" s="7">
        <v>0.7</v>
      </c>
    </row>
    <row r="3241" spans="1:15" x14ac:dyDescent="0.25">
      <c r="A3241" s="6" t="s">
        <v>14</v>
      </c>
      <c r="B3241" s="6" t="s">
        <v>382</v>
      </c>
      <c r="C3241" s="7">
        <v>34735</v>
      </c>
      <c r="D3241" s="6" t="s">
        <v>42</v>
      </c>
      <c r="E3241" s="6" t="s">
        <v>167</v>
      </c>
      <c r="F3241" s="6" t="s">
        <v>382</v>
      </c>
      <c r="G3241" s="6" t="s">
        <v>89</v>
      </c>
      <c r="H3241" s="6" t="s">
        <v>101</v>
      </c>
      <c r="I3241" s="6" t="s">
        <v>767</v>
      </c>
      <c r="J3241" s="6" t="s">
        <v>767</v>
      </c>
      <c r="K3241" s="7">
        <v>6225797</v>
      </c>
      <c r="L3241" s="7">
        <v>336958</v>
      </c>
      <c r="M3241" s="7">
        <v>19</v>
      </c>
      <c r="N3241" s="7">
        <v>2</v>
      </c>
      <c r="O3241" s="7">
        <v>20.100000000000001</v>
      </c>
    </row>
    <row r="3242" spans="1:15" x14ac:dyDescent="0.25">
      <c r="A3242" s="6" t="s">
        <v>14</v>
      </c>
      <c r="B3242" s="6" t="s">
        <v>382</v>
      </c>
      <c r="C3242" s="7">
        <v>34751</v>
      </c>
      <c r="D3242" s="6" t="s">
        <v>42</v>
      </c>
      <c r="E3242" s="6" t="s">
        <v>167</v>
      </c>
      <c r="F3242" s="6" t="s">
        <v>382</v>
      </c>
      <c r="G3242" s="6" t="s">
        <v>89</v>
      </c>
      <c r="H3242" s="6" t="s">
        <v>101</v>
      </c>
      <c r="I3242" s="6" t="s">
        <v>767</v>
      </c>
      <c r="J3242" s="6" t="s">
        <v>767</v>
      </c>
      <c r="K3242" s="7">
        <v>6225531</v>
      </c>
      <c r="L3242" s="7">
        <v>338270</v>
      </c>
      <c r="M3242" s="7">
        <v>19</v>
      </c>
      <c r="N3242" s="7">
        <v>1</v>
      </c>
      <c r="O3242" s="7">
        <v>0.82</v>
      </c>
    </row>
    <row r="3243" spans="1:15" x14ac:dyDescent="0.25">
      <c r="A3243" s="6" t="s">
        <v>14</v>
      </c>
      <c r="B3243" s="6" t="s">
        <v>382</v>
      </c>
      <c r="C3243" s="7">
        <v>34753</v>
      </c>
      <c r="D3243" s="6" t="s">
        <v>42</v>
      </c>
      <c r="E3243" s="6" t="s">
        <v>167</v>
      </c>
      <c r="F3243" s="6" t="s">
        <v>382</v>
      </c>
      <c r="G3243" s="6" t="s">
        <v>89</v>
      </c>
      <c r="H3243" s="6" t="s">
        <v>101</v>
      </c>
      <c r="I3243" s="6" t="s">
        <v>767</v>
      </c>
      <c r="J3243" s="6" t="s">
        <v>767</v>
      </c>
      <c r="K3243" s="7">
        <v>6225531</v>
      </c>
      <c r="L3243" s="7">
        <v>338270</v>
      </c>
      <c r="M3243" s="7">
        <v>19</v>
      </c>
      <c r="N3243" s="7">
        <v>1</v>
      </c>
      <c r="O3243" s="7">
        <v>0.63</v>
      </c>
    </row>
    <row r="3244" spans="1:15" x14ac:dyDescent="0.25">
      <c r="A3244" s="6" t="s">
        <v>14</v>
      </c>
      <c r="B3244" s="6" t="s">
        <v>382</v>
      </c>
      <c r="C3244" s="7">
        <v>34754</v>
      </c>
      <c r="D3244" s="6" t="s">
        <v>42</v>
      </c>
      <c r="E3244" s="6" t="s">
        <v>167</v>
      </c>
      <c r="F3244" s="6" t="s">
        <v>382</v>
      </c>
      <c r="G3244" s="6" t="s">
        <v>89</v>
      </c>
      <c r="H3244" s="6" t="s">
        <v>101</v>
      </c>
      <c r="I3244" s="6" t="s">
        <v>767</v>
      </c>
      <c r="J3244" s="6" t="s">
        <v>767</v>
      </c>
      <c r="K3244" s="7">
        <v>6225531</v>
      </c>
      <c r="L3244" s="7">
        <v>338270</v>
      </c>
      <c r="M3244" s="7">
        <v>19</v>
      </c>
      <c r="N3244" s="7">
        <v>1</v>
      </c>
      <c r="O3244" s="7">
        <v>0.15</v>
      </c>
    </row>
    <row r="3245" spans="1:15" x14ac:dyDescent="0.25">
      <c r="A3245" s="6" t="s">
        <v>14</v>
      </c>
      <c r="B3245" s="6" t="s">
        <v>382</v>
      </c>
      <c r="C3245" s="7">
        <v>34761</v>
      </c>
      <c r="D3245" s="6" t="s">
        <v>42</v>
      </c>
      <c r="E3245" s="6" t="s">
        <v>167</v>
      </c>
      <c r="F3245" s="6" t="s">
        <v>382</v>
      </c>
      <c r="G3245" s="6" t="s">
        <v>89</v>
      </c>
      <c r="H3245" s="6" t="s">
        <v>101</v>
      </c>
      <c r="I3245" s="6" t="s">
        <v>767</v>
      </c>
      <c r="J3245" s="6" t="s">
        <v>767</v>
      </c>
      <c r="K3245" s="7">
        <v>6225531</v>
      </c>
      <c r="L3245" s="7">
        <v>338270</v>
      </c>
      <c r="M3245" s="7">
        <v>19</v>
      </c>
      <c r="N3245" s="7">
        <v>1</v>
      </c>
      <c r="O3245" s="7">
        <v>0.8</v>
      </c>
    </row>
    <row r="3246" spans="1:15" x14ac:dyDescent="0.25">
      <c r="A3246" s="6" t="s">
        <v>28</v>
      </c>
      <c r="B3246" s="6" t="s">
        <v>382</v>
      </c>
      <c r="C3246" s="7">
        <v>34762</v>
      </c>
      <c r="D3246" s="6" t="s">
        <v>42</v>
      </c>
      <c r="E3246" s="6" t="s">
        <v>196</v>
      </c>
      <c r="F3246" s="6" t="s">
        <v>382</v>
      </c>
      <c r="G3246" s="6" t="s">
        <v>89</v>
      </c>
      <c r="H3246" s="6" t="s">
        <v>101</v>
      </c>
      <c r="I3246" s="6" t="s">
        <v>767</v>
      </c>
      <c r="J3246" s="6" t="s">
        <v>767</v>
      </c>
      <c r="K3246" s="7">
        <v>6224190</v>
      </c>
      <c r="L3246" s="7">
        <v>336835</v>
      </c>
      <c r="M3246" s="7">
        <v>19</v>
      </c>
      <c r="N3246" s="7">
        <v>2</v>
      </c>
      <c r="O3246" s="7">
        <v>17</v>
      </c>
    </row>
    <row r="3247" spans="1:15" x14ac:dyDescent="0.25">
      <c r="A3247" s="6" t="s">
        <v>28</v>
      </c>
      <c r="B3247" s="6" t="s">
        <v>382</v>
      </c>
      <c r="C3247" s="7">
        <v>34763</v>
      </c>
      <c r="D3247" s="6" t="s">
        <v>42</v>
      </c>
      <c r="E3247" s="6" t="s">
        <v>167</v>
      </c>
      <c r="F3247" s="6" t="s">
        <v>382</v>
      </c>
      <c r="G3247" s="6" t="s">
        <v>89</v>
      </c>
      <c r="H3247" s="6" t="s">
        <v>101</v>
      </c>
      <c r="I3247" s="6" t="s">
        <v>767</v>
      </c>
      <c r="J3247" s="6" t="s">
        <v>767</v>
      </c>
      <c r="K3247" s="7">
        <v>6224630</v>
      </c>
      <c r="L3247" s="7">
        <v>333877</v>
      </c>
      <c r="M3247" s="7">
        <v>19</v>
      </c>
      <c r="N3247" s="7">
        <v>1</v>
      </c>
      <c r="O3247" s="7">
        <v>4.3</v>
      </c>
    </row>
    <row r="3248" spans="1:15" x14ac:dyDescent="0.25">
      <c r="A3248" s="6" t="s">
        <v>28</v>
      </c>
      <c r="B3248" s="6" t="s">
        <v>382</v>
      </c>
      <c r="C3248" s="7">
        <v>34764</v>
      </c>
      <c r="D3248" s="6" t="s">
        <v>42</v>
      </c>
      <c r="E3248" s="6" t="s">
        <v>167</v>
      </c>
      <c r="F3248" s="6" t="s">
        <v>382</v>
      </c>
      <c r="G3248" s="6" t="s">
        <v>89</v>
      </c>
      <c r="H3248" s="6" t="s">
        <v>101</v>
      </c>
      <c r="I3248" s="6" t="s">
        <v>767</v>
      </c>
      <c r="J3248" s="6" t="s">
        <v>767</v>
      </c>
      <c r="K3248" s="7">
        <v>6214273</v>
      </c>
      <c r="L3248" s="7">
        <v>338654</v>
      </c>
      <c r="M3248" s="7">
        <v>19</v>
      </c>
      <c r="N3248" s="7">
        <v>1</v>
      </c>
      <c r="O3248" s="7">
        <v>0.8</v>
      </c>
    </row>
    <row r="3249" spans="1:15" x14ac:dyDescent="0.25">
      <c r="A3249" s="6" t="s">
        <v>28</v>
      </c>
      <c r="B3249" s="6" t="s">
        <v>382</v>
      </c>
      <c r="C3249" s="7">
        <v>34777</v>
      </c>
      <c r="D3249" s="6" t="s">
        <v>42</v>
      </c>
      <c r="E3249" s="6" t="s">
        <v>51</v>
      </c>
      <c r="F3249" s="6" t="s">
        <v>681</v>
      </c>
      <c r="G3249" s="6" t="s">
        <v>32</v>
      </c>
      <c r="H3249" s="6" t="s">
        <v>33</v>
      </c>
      <c r="I3249" s="6" t="s">
        <v>767</v>
      </c>
      <c r="J3249" s="6" t="s">
        <v>764</v>
      </c>
      <c r="K3249" s="7">
        <v>6152588</v>
      </c>
      <c r="L3249" s="7">
        <v>321845</v>
      </c>
      <c r="M3249" s="7">
        <v>19</v>
      </c>
      <c r="N3249" s="7">
        <v>1</v>
      </c>
      <c r="O3249" s="7">
        <v>7</v>
      </c>
    </row>
    <row r="3250" spans="1:15" x14ac:dyDescent="0.25">
      <c r="A3250" s="6" t="s">
        <v>28</v>
      </c>
      <c r="B3250" s="6" t="s">
        <v>382</v>
      </c>
      <c r="C3250" s="7">
        <v>34778</v>
      </c>
      <c r="D3250" s="6" t="s">
        <v>42</v>
      </c>
      <c r="E3250" s="6" t="s">
        <v>51</v>
      </c>
      <c r="F3250" s="6" t="s">
        <v>681</v>
      </c>
      <c r="G3250" s="6" t="s">
        <v>32</v>
      </c>
      <c r="H3250" s="6" t="s">
        <v>33</v>
      </c>
      <c r="I3250" s="6" t="s">
        <v>767</v>
      </c>
      <c r="J3250" s="6" t="s">
        <v>764</v>
      </c>
      <c r="K3250" s="7">
        <v>6152945</v>
      </c>
      <c r="L3250" s="7">
        <v>321854</v>
      </c>
      <c r="M3250" s="7">
        <v>19</v>
      </c>
      <c r="N3250" s="7">
        <v>1</v>
      </c>
      <c r="O3250" s="7">
        <v>5.8</v>
      </c>
    </row>
    <row r="3251" spans="1:15" x14ac:dyDescent="0.25">
      <c r="A3251" s="6" t="s">
        <v>28</v>
      </c>
      <c r="B3251" s="6" t="s">
        <v>382</v>
      </c>
      <c r="C3251" s="7">
        <v>34779</v>
      </c>
      <c r="D3251" s="6" t="s">
        <v>42</v>
      </c>
      <c r="E3251" s="6" t="s">
        <v>51</v>
      </c>
      <c r="F3251" s="6" t="s">
        <v>681</v>
      </c>
      <c r="G3251" s="6" t="s">
        <v>32</v>
      </c>
      <c r="H3251" s="6" t="s">
        <v>33</v>
      </c>
      <c r="I3251" s="6" t="s">
        <v>767</v>
      </c>
      <c r="J3251" s="6" t="s">
        <v>764</v>
      </c>
      <c r="K3251" s="7">
        <v>6152751</v>
      </c>
      <c r="L3251" s="7">
        <v>321836</v>
      </c>
      <c r="M3251" s="7">
        <v>19</v>
      </c>
      <c r="N3251" s="7">
        <v>1</v>
      </c>
      <c r="O3251" s="7">
        <v>4</v>
      </c>
    </row>
    <row r="3252" spans="1:15" x14ac:dyDescent="0.25">
      <c r="A3252" s="6" t="s">
        <v>28</v>
      </c>
      <c r="B3252" s="6" t="s">
        <v>382</v>
      </c>
      <c r="C3252" s="7">
        <v>34780</v>
      </c>
      <c r="D3252" s="6" t="s">
        <v>42</v>
      </c>
      <c r="E3252" s="6" t="s">
        <v>51</v>
      </c>
      <c r="F3252" s="6" t="s">
        <v>681</v>
      </c>
      <c r="G3252" s="6" t="s">
        <v>32</v>
      </c>
      <c r="H3252" s="6" t="s">
        <v>33</v>
      </c>
      <c r="I3252" s="6" t="s">
        <v>767</v>
      </c>
      <c r="J3252" s="6" t="s">
        <v>764</v>
      </c>
      <c r="K3252" s="7">
        <v>6152764</v>
      </c>
      <c r="L3252" s="7">
        <v>322329</v>
      </c>
      <c r="M3252" s="7">
        <v>19</v>
      </c>
      <c r="N3252" s="7">
        <v>1</v>
      </c>
      <c r="O3252" s="7">
        <v>5</v>
      </c>
    </row>
    <row r="3253" spans="1:15" x14ac:dyDescent="0.25">
      <c r="A3253" s="6" t="s">
        <v>14</v>
      </c>
      <c r="B3253" s="6" t="s">
        <v>382</v>
      </c>
      <c r="C3253" s="7">
        <v>34887</v>
      </c>
      <c r="D3253" s="6" t="s">
        <v>39</v>
      </c>
      <c r="E3253" s="6" t="s">
        <v>51</v>
      </c>
      <c r="F3253" s="6" t="s">
        <v>51</v>
      </c>
      <c r="G3253" s="6" t="s">
        <v>32</v>
      </c>
      <c r="H3253" s="6" t="s">
        <v>33</v>
      </c>
      <c r="I3253" s="6" t="s">
        <v>767</v>
      </c>
      <c r="J3253" s="6" t="s">
        <v>764</v>
      </c>
      <c r="K3253" s="7">
        <v>6026718</v>
      </c>
      <c r="L3253" s="7">
        <v>269831</v>
      </c>
      <c r="M3253" s="7">
        <v>19</v>
      </c>
      <c r="N3253" s="7">
        <v>1</v>
      </c>
      <c r="O3253" s="7">
        <v>4.05</v>
      </c>
    </row>
    <row r="3254" spans="1:15" x14ac:dyDescent="0.25">
      <c r="A3254" s="6" t="s">
        <v>14</v>
      </c>
      <c r="B3254" s="6" t="s">
        <v>382</v>
      </c>
      <c r="C3254" s="7">
        <v>34893</v>
      </c>
      <c r="D3254" s="6" t="s">
        <v>39</v>
      </c>
      <c r="E3254" s="6" t="s">
        <v>156</v>
      </c>
      <c r="F3254" s="6" t="s">
        <v>699</v>
      </c>
      <c r="G3254" s="6" t="s">
        <v>32</v>
      </c>
      <c r="H3254" s="6" t="s">
        <v>33</v>
      </c>
      <c r="I3254" s="6" t="s">
        <v>767</v>
      </c>
      <c r="J3254" s="6" t="s">
        <v>764</v>
      </c>
      <c r="K3254" s="7">
        <v>6025610</v>
      </c>
      <c r="L3254" s="7">
        <v>264823</v>
      </c>
      <c r="M3254" s="7">
        <v>19</v>
      </c>
      <c r="N3254" s="7">
        <v>1</v>
      </c>
      <c r="O3254" s="7">
        <v>6.27</v>
      </c>
    </row>
    <row r="3255" spans="1:15" x14ac:dyDescent="0.25">
      <c r="A3255" s="6" t="s">
        <v>14</v>
      </c>
      <c r="B3255" s="6" t="s">
        <v>382</v>
      </c>
      <c r="C3255" s="7">
        <v>34896</v>
      </c>
      <c r="D3255" s="6" t="s">
        <v>39</v>
      </c>
      <c r="E3255" s="6" t="s">
        <v>156</v>
      </c>
      <c r="F3255" s="6" t="s">
        <v>699</v>
      </c>
      <c r="G3255" s="6" t="s">
        <v>32</v>
      </c>
      <c r="H3255" s="6" t="s">
        <v>33</v>
      </c>
      <c r="I3255" s="6" t="s">
        <v>767</v>
      </c>
      <c r="J3255" s="6" t="s">
        <v>764</v>
      </c>
      <c r="K3255" s="7">
        <v>6025514</v>
      </c>
      <c r="L3255" s="7">
        <v>265339</v>
      </c>
      <c r="M3255" s="7">
        <v>19</v>
      </c>
      <c r="N3255" s="7">
        <v>1</v>
      </c>
      <c r="O3255" s="7">
        <v>9.4</v>
      </c>
    </row>
    <row r="3256" spans="1:15" x14ac:dyDescent="0.25">
      <c r="A3256" s="6" t="s">
        <v>28</v>
      </c>
      <c r="B3256" s="6" t="s">
        <v>382</v>
      </c>
      <c r="C3256" s="7">
        <v>34914</v>
      </c>
      <c r="D3256" s="6" t="s">
        <v>42</v>
      </c>
      <c r="E3256" s="6" t="s">
        <v>167</v>
      </c>
      <c r="F3256" s="6" t="s">
        <v>382</v>
      </c>
      <c r="G3256" s="6" t="s">
        <v>89</v>
      </c>
      <c r="H3256" s="6" t="s">
        <v>101</v>
      </c>
      <c r="I3256" s="6" t="s">
        <v>767</v>
      </c>
      <c r="J3256" s="6" t="s">
        <v>767</v>
      </c>
      <c r="K3256" s="7">
        <v>6223163</v>
      </c>
      <c r="L3256" s="7">
        <v>335131</v>
      </c>
      <c r="M3256" s="7">
        <v>19</v>
      </c>
      <c r="N3256" s="7">
        <v>1</v>
      </c>
      <c r="O3256" s="7">
        <v>2.8</v>
      </c>
    </row>
    <row r="3257" spans="1:15" x14ac:dyDescent="0.25">
      <c r="A3257" s="6" t="s">
        <v>28</v>
      </c>
      <c r="B3257" s="6" t="s">
        <v>382</v>
      </c>
      <c r="C3257" s="7">
        <v>34924</v>
      </c>
      <c r="D3257" s="6" t="s">
        <v>42</v>
      </c>
      <c r="E3257" s="6" t="s">
        <v>167</v>
      </c>
      <c r="F3257" s="6" t="s">
        <v>382</v>
      </c>
      <c r="G3257" s="6" t="s">
        <v>89</v>
      </c>
      <c r="H3257" s="6" t="s">
        <v>101</v>
      </c>
      <c r="I3257" s="6" t="s">
        <v>767</v>
      </c>
      <c r="J3257" s="6" t="s">
        <v>767</v>
      </c>
      <c r="K3257" s="7">
        <v>6223163</v>
      </c>
      <c r="L3257" s="7">
        <v>335131</v>
      </c>
      <c r="M3257" s="7">
        <v>19</v>
      </c>
      <c r="N3257" s="7">
        <v>1</v>
      </c>
      <c r="O3257" s="7">
        <v>4</v>
      </c>
    </row>
    <row r="3258" spans="1:15" x14ac:dyDescent="0.25">
      <c r="A3258" s="6" t="s">
        <v>28</v>
      </c>
      <c r="B3258" s="6" t="s">
        <v>382</v>
      </c>
      <c r="C3258" s="7">
        <v>34927</v>
      </c>
      <c r="D3258" s="6" t="s">
        <v>42</v>
      </c>
      <c r="E3258" s="6" t="s">
        <v>167</v>
      </c>
      <c r="F3258" s="6" t="s">
        <v>382</v>
      </c>
      <c r="G3258" s="6" t="s">
        <v>89</v>
      </c>
      <c r="H3258" s="6" t="s">
        <v>101</v>
      </c>
      <c r="I3258" s="6" t="s">
        <v>767</v>
      </c>
      <c r="J3258" s="6" t="s">
        <v>767</v>
      </c>
      <c r="K3258" s="7">
        <v>6223163</v>
      </c>
      <c r="L3258" s="7">
        <v>335131</v>
      </c>
      <c r="M3258" s="7">
        <v>19</v>
      </c>
      <c r="N3258" s="7">
        <v>1</v>
      </c>
      <c r="O3258" s="7">
        <v>0.8</v>
      </c>
    </row>
    <row r="3259" spans="1:15" x14ac:dyDescent="0.25">
      <c r="A3259" s="6" t="s">
        <v>14</v>
      </c>
      <c r="B3259" s="6" t="s">
        <v>382</v>
      </c>
      <c r="C3259" s="7">
        <v>34936</v>
      </c>
      <c r="D3259" s="6" t="s">
        <v>39</v>
      </c>
      <c r="E3259" s="6" t="s">
        <v>310</v>
      </c>
      <c r="F3259" s="6" t="s">
        <v>700</v>
      </c>
      <c r="G3259" s="6" t="s">
        <v>32</v>
      </c>
      <c r="H3259" s="6" t="s">
        <v>19</v>
      </c>
      <c r="I3259" s="6" t="s">
        <v>767</v>
      </c>
      <c r="J3259" s="6" t="s">
        <v>767</v>
      </c>
      <c r="K3259" s="7">
        <v>6108120</v>
      </c>
      <c r="L3259" s="7">
        <v>302453</v>
      </c>
      <c r="M3259" s="7">
        <v>19</v>
      </c>
      <c r="N3259" s="7">
        <v>1</v>
      </c>
      <c r="O3259" s="7">
        <v>0.3</v>
      </c>
    </row>
    <row r="3260" spans="1:15" x14ac:dyDescent="0.25">
      <c r="A3260" s="6" t="s">
        <v>28</v>
      </c>
      <c r="B3260" s="6" t="s">
        <v>382</v>
      </c>
      <c r="C3260" s="7">
        <v>34938</v>
      </c>
      <c r="D3260" s="6" t="s">
        <v>42</v>
      </c>
      <c r="E3260" s="6" t="s">
        <v>167</v>
      </c>
      <c r="F3260" s="6" t="s">
        <v>382</v>
      </c>
      <c r="G3260" s="6" t="s">
        <v>89</v>
      </c>
      <c r="H3260" s="6" t="s">
        <v>101</v>
      </c>
      <c r="I3260" s="6" t="s">
        <v>767</v>
      </c>
      <c r="J3260" s="6" t="s">
        <v>767</v>
      </c>
      <c r="K3260" s="7">
        <v>6223163</v>
      </c>
      <c r="L3260" s="7">
        <v>335131</v>
      </c>
      <c r="M3260" s="7">
        <v>19</v>
      </c>
      <c r="N3260" s="7">
        <v>1</v>
      </c>
      <c r="O3260" s="7">
        <v>0.8</v>
      </c>
    </row>
    <row r="3261" spans="1:15" x14ac:dyDescent="0.25">
      <c r="A3261" s="6" t="s">
        <v>14</v>
      </c>
      <c r="B3261" s="6" t="s">
        <v>382</v>
      </c>
      <c r="C3261" s="7">
        <v>34939</v>
      </c>
      <c r="D3261" s="6" t="s">
        <v>39</v>
      </c>
      <c r="E3261" s="6" t="s">
        <v>40</v>
      </c>
      <c r="F3261" s="6" t="s">
        <v>701</v>
      </c>
      <c r="G3261" s="6" t="s">
        <v>32</v>
      </c>
      <c r="H3261" s="6" t="s">
        <v>19</v>
      </c>
      <c r="I3261" s="6" t="s">
        <v>767</v>
      </c>
      <c r="J3261" s="6" t="s">
        <v>767</v>
      </c>
      <c r="K3261" s="7">
        <v>6115429</v>
      </c>
      <c r="L3261" s="7">
        <v>310156</v>
      </c>
      <c r="M3261" s="7">
        <v>19</v>
      </c>
      <c r="N3261" s="7">
        <v>1</v>
      </c>
      <c r="O3261" s="7">
        <v>1</v>
      </c>
    </row>
    <row r="3262" spans="1:15" x14ac:dyDescent="0.25">
      <c r="A3262" s="6" t="s">
        <v>14</v>
      </c>
      <c r="B3262" s="6" t="s">
        <v>382</v>
      </c>
      <c r="C3262" s="7">
        <v>34940</v>
      </c>
      <c r="D3262" s="6" t="s">
        <v>39</v>
      </c>
      <c r="E3262" s="6" t="s">
        <v>40</v>
      </c>
      <c r="F3262" s="6" t="s">
        <v>702</v>
      </c>
      <c r="G3262" s="6" t="s">
        <v>32</v>
      </c>
      <c r="H3262" s="6" t="s">
        <v>19</v>
      </c>
      <c r="I3262" s="6" t="s">
        <v>767</v>
      </c>
      <c r="J3262" s="6" t="s">
        <v>767</v>
      </c>
      <c r="K3262" s="7">
        <v>6102240</v>
      </c>
      <c r="L3262" s="7">
        <v>311036</v>
      </c>
      <c r="M3262" s="7">
        <v>19</v>
      </c>
      <c r="N3262" s="7">
        <v>1</v>
      </c>
      <c r="O3262" s="7">
        <v>0.2</v>
      </c>
    </row>
    <row r="3263" spans="1:15" x14ac:dyDescent="0.25">
      <c r="A3263" s="6" t="s">
        <v>14</v>
      </c>
      <c r="B3263" s="6" t="s">
        <v>382</v>
      </c>
      <c r="C3263" s="7">
        <v>34945</v>
      </c>
      <c r="D3263" s="6" t="s">
        <v>42</v>
      </c>
      <c r="E3263" s="6" t="s">
        <v>167</v>
      </c>
      <c r="F3263" s="6" t="s">
        <v>167</v>
      </c>
      <c r="G3263" s="6" t="s">
        <v>89</v>
      </c>
      <c r="H3263" s="6" t="s">
        <v>101</v>
      </c>
      <c r="I3263" s="6" t="s">
        <v>767</v>
      </c>
      <c r="J3263" s="6" t="s">
        <v>767</v>
      </c>
      <c r="K3263" s="7">
        <v>6224240</v>
      </c>
      <c r="L3263" s="7">
        <v>338337</v>
      </c>
      <c r="M3263" s="7">
        <v>19</v>
      </c>
      <c r="N3263" s="7">
        <v>1</v>
      </c>
      <c r="O3263" s="7">
        <v>2.5</v>
      </c>
    </row>
    <row r="3264" spans="1:15" x14ac:dyDescent="0.25">
      <c r="A3264" s="6" t="s">
        <v>28</v>
      </c>
      <c r="B3264" s="6" t="s">
        <v>382</v>
      </c>
      <c r="C3264" s="7">
        <v>34949</v>
      </c>
      <c r="D3264" s="6" t="s">
        <v>42</v>
      </c>
      <c r="E3264" s="6" t="s">
        <v>63</v>
      </c>
      <c r="F3264" s="6" t="s">
        <v>63</v>
      </c>
      <c r="G3264" s="6" t="s">
        <v>89</v>
      </c>
      <c r="H3264" s="6" t="s">
        <v>101</v>
      </c>
      <c r="I3264" s="6" t="s">
        <v>767</v>
      </c>
      <c r="J3264" s="6" t="s">
        <v>767</v>
      </c>
      <c r="K3264" s="7">
        <v>6166022</v>
      </c>
      <c r="L3264" s="7">
        <v>285609</v>
      </c>
      <c r="M3264" s="7">
        <v>19</v>
      </c>
      <c r="N3264" s="7">
        <v>1</v>
      </c>
      <c r="O3264" s="7">
        <v>12</v>
      </c>
    </row>
    <row r="3265" spans="1:15" x14ac:dyDescent="0.25">
      <c r="A3265" s="6" t="s">
        <v>14</v>
      </c>
      <c r="B3265" s="6" t="s">
        <v>382</v>
      </c>
      <c r="C3265" s="7">
        <v>34956</v>
      </c>
      <c r="D3265" s="6" t="s">
        <v>24</v>
      </c>
      <c r="E3265" s="6" t="s">
        <v>37</v>
      </c>
      <c r="F3265" s="6" t="s">
        <v>38</v>
      </c>
      <c r="G3265" s="6" t="s">
        <v>32</v>
      </c>
      <c r="H3265" s="6" t="s">
        <v>33</v>
      </c>
      <c r="I3265" s="6" t="s">
        <v>767</v>
      </c>
      <c r="J3265" s="6" t="s">
        <v>767</v>
      </c>
      <c r="K3265" s="7">
        <v>6269336</v>
      </c>
      <c r="L3265" s="7">
        <v>314670</v>
      </c>
      <c r="M3265" s="7">
        <v>19</v>
      </c>
      <c r="N3265" s="7">
        <v>1</v>
      </c>
      <c r="O3265" s="7">
        <v>0.5</v>
      </c>
    </row>
    <row r="3266" spans="1:15" x14ac:dyDescent="0.25">
      <c r="A3266" s="6" t="s">
        <v>28</v>
      </c>
      <c r="B3266" s="6" t="s">
        <v>382</v>
      </c>
      <c r="C3266" s="7">
        <v>34959</v>
      </c>
      <c r="D3266" s="6" t="s">
        <v>42</v>
      </c>
      <c r="E3266" s="6" t="s">
        <v>167</v>
      </c>
      <c r="F3266" s="6" t="s">
        <v>382</v>
      </c>
      <c r="G3266" s="6" t="s">
        <v>89</v>
      </c>
      <c r="H3266" s="6" t="s">
        <v>101</v>
      </c>
      <c r="I3266" s="6" t="s">
        <v>767</v>
      </c>
      <c r="J3266" s="6" t="s">
        <v>767</v>
      </c>
      <c r="K3266" s="7">
        <v>6223655</v>
      </c>
      <c r="L3266" s="7">
        <v>339483</v>
      </c>
      <c r="M3266" s="7">
        <v>19</v>
      </c>
      <c r="N3266" s="7">
        <v>2</v>
      </c>
      <c r="O3266" s="7">
        <v>11.7</v>
      </c>
    </row>
    <row r="3267" spans="1:15" x14ac:dyDescent="0.25">
      <c r="A3267" s="6" t="s">
        <v>14</v>
      </c>
      <c r="B3267" s="6" t="s">
        <v>382</v>
      </c>
      <c r="C3267" s="7">
        <v>34962</v>
      </c>
      <c r="D3267" s="6" t="s">
        <v>39</v>
      </c>
      <c r="E3267" s="6" t="s">
        <v>40</v>
      </c>
      <c r="F3267" s="6" t="s">
        <v>702</v>
      </c>
      <c r="G3267" s="6" t="s">
        <v>32</v>
      </c>
      <c r="H3267" s="6" t="s">
        <v>19</v>
      </c>
      <c r="I3267" s="6" t="s">
        <v>767</v>
      </c>
      <c r="J3267" s="6" t="s">
        <v>767</v>
      </c>
      <c r="K3267" s="7">
        <v>6103571</v>
      </c>
      <c r="L3267" s="7">
        <v>310300</v>
      </c>
      <c r="M3267" s="7">
        <v>19</v>
      </c>
      <c r="N3267" s="7">
        <v>1</v>
      </c>
      <c r="O3267" s="7">
        <v>0.89</v>
      </c>
    </row>
    <row r="3268" spans="1:15" x14ac:dyDescent="0.25">
      <c r="A3268" s="6" t="s">
        <v>14</v>
      </c>
      <c r="B3268" s="6" t="s">
        <v>382</v>
      </c>
      <c r="C3268" s="7">
        <v>34968</v>
      </c>
      <c r="D3268" s="6" t="s">
        <v>39</v>
      </c>
      <c r="E3268" s="6" t="s">
        <v>40</v>
      </c>
      <c r="F3268" s="6" t="s">
        <v>82</v>
      </c>
      <c r="G3268" s="6" t="s">
        <v>32</v>
      </c>
      <c r="H3268" s="6" t="s">
        <v>33</v>
      </c>
      <c r="I3268" s="6" t="s">
        <v>767</v>
      </c>
      <c r="J3268" s="6" t="s">
        <v>764</v>
      </c>
      <c r="K3268" s="7">
        <v>6102034</v>
      </c>
      <c r="L3268" s="7">
        <v>308636</v>
      </c>
      <c r="M3268" s="7">
        <v>19</v>
      </c>
      <c r="N3268" s="7">
        <v>1</v>
      </c>
      <c r="O3268" s="7">
        <v>1.3</v>
      </c>
    </row>
    <row r="3269" spans="1:15" x14ac:dyDescent="0.25">
      <c r="A3269" s="6" t="s">
        <v>14</v>
      </c>
      <c r="B3269" s="6" t="s">
        <v>382</v>
      </c>
      <c r="C3269" s="7">
        <v>34971</v>
      </c>
      <c r="D3269" s="6" t="s">
        <v>39</v>
      </c>
      <c r="E3269" s="6" t="s">
        <v>169</v>
      </c>
      <c r="F3269" s="6" t="s">
        <v>703</v>
      </c>
      <c r="G3269" s="6" t="s">
        <v>32</v>
      </c>
      <c r="H3269" s="6" t="s">
        <v>33</v>
      </c>
      <c r="I3269" s="6" t="s">
        <v>767</v>
      </c>
      <c r="J3269" s="6" t="s">
        <v>764</v>
      </c>
      <c r="K3269" s="7">
        <v>6069079</v>
      </c>
      <c r="L3269" s="7">
        <v>259018</v>
      </c>
      <c r="M3269" s="7">
        <v>19</v>
      </c>
      <c r="N3269" s="7">
        <v>1</v>
      </c>
      <c r="O3269" s="7">
        <v>3.59</v>
      </c>
    </row>
    <row r="3270" spans="1:15" x14ac:dyDescent="0.25">
      <c r="A3270" s="6" t="s">
        <v>22</v>
      </c>
      <c r="B3270" s="6" t="s">
        <v>382</v>
      </c>
      <c r="C3270" s="7">
        <v>34992</v>
      </c>
      <c r="D3270" s="6" t="s">
        <v>42</v>
      </c>
      <c r="E3270" s="6" t="s">
        <v>167</v>
      </c>
      <c r="F3270" s="6" t="s">
        <v>685</v>
      </c>
      <c r="G3270" s="6" t="s">
        <v>32</v>
      </c>
      <c r="H3270" s="6" t="s">
        <v>765</v>
      </c>
      <c r="I3270" s="6" t="s">
        <v>767</v>
      </c>
      <c r="J3270" s="6" t="s">
        <v>767</v>
      </c>
      <c r="K3270" s="7">
        <v>6224564</v>
      </c>
      <c r="L3270" s="7">
        <v>338112</v>
      </c>
      <c r="M3270" s="7">
        <v>19</v>
      </c>
      <c r="N3270" s="7">
        <v>1</v>
      </c>
      <c r="O3270" s="7">
        <v>1.4</v>
      </c>
    </row>
    <row r="3271" spans="1:15" x14ac:dyDescent="0.25">
      <c r="A3271" s="6" t="s">
        <v>22</v>
      </c>
      <c r="B3271" s="6" t="s">
        <v>382</v>
      </c>
      <c r="C3271" s="7">
        <v>34995</v>
      </c>
      <c r="D3271" s="6" t="s">
        <v>42</v>
      </c>
      <c r="E3271" s="6" t="s">
        <v>196</v>
      </c>
      <c r="F3271" s="6" t="s">
        <v>303</v>
      </c>
      <c r="G3271" s="6" t="s">
        <v>50</v>
      </c>
      <c r="H3271" s="6" t="s">
        <v>765</v>
      </c>
      <c r="I3271" s="6" t="s">
        <v>767</v>
      </c>
      <c r="J3271" s="6" t="s">
        <v>767</v>
      </c>
      <c r="K3271" s="7">
        <v>6224785</v>
      </c>
      <c r="L3271" s="7">
        <v>334089</v>
      </c>
      <c r="M3271" s="7">
        <v>19</v>
      </c>
      <c r="N3271" s="7">
        <v>15</v>
      </c>
      <c r="O3271" s="7">
        <v>0.15</v>
      </c>
    </row>
    <row r="3272" spans="1:15" x14ac:dyDescent="0.25">
      <c r="A3272" s="6" t="s">
        <v>14</v>
      </c>
      <c r="B3272" s="6" t="s">
        <v>382</v>
      </c>
      <c r="C3272" s="7">
        <v>34997</v>
      </c>
      <c r="D3272" s="6" t="s">
        <v>42</v>
      </c>
      <c r="E3272" s="6" t="s">
        <v>167</v>
      </c>
      <c r="F3272" s="6" t="s">
        <v>382</v>
      </c>
      <c r="G3272" s="6" t="s">
        <v>89</v>
      </c>
      <c r="H3272" s="6" t="s">
        <v>101</v>
      </c>
      <c r="I3272" s="6" t="s">
        <v>767</v>
      </c>
      <c r="J3272" s="6" t="s">
        <v>767</v>
      </c>
      <c r="K3272" s="7">
        <v>6225237</v>
      </c>
      <c r="L3272" s="7">
        <v>337896</v>
      </c>
      <c r="M3272" s="7">
        <v>19</v>
      </c>
      <c r="N3272" s="7">
        <v>1</v>
      </c>
      <c r="O3272" s="7">
        <v>0.36</v>
      </c>
    </row>
    <row r="3273" spans="1:15" x14ac:dyDescent="0.25">
      <c r="A3273" s="6" t="s">
        <v>14</v>
      </c>
      <c r="B3273" s="6" t="s">
        <v>382</v>
      </c>
      <c r="C3273" s="7">
        <v>34998</v>
      </c>
      <c r="D3273" s="6" t="s">
        <v>42</v>
      </c>
      <c r="E3273" s="6" t="s">
        <v>167</v>
      </c>
      <c r="F3273" s="6" t="s">
        <v>382</v>
      </c>
      <c r="G3273" s="6" t="s">
        <v>89</v>
      </c>
      <c r="H3273" s="6" t="s">
        <v>101</v>
      </c>
      <c r="I3273" s="6" t="s">
        <v>767</v>
      </c>
      <c r="J3273" s="6" t="s">
        <v>767</v>
      </c>
      <c r="K3273" s="7">
        <v>6225237</v>
      </c>
      <c r="L3273" s="7">
        <v>337896</v>
      </c>
      <c r="M3273" s="7">
        <v>19</v>
      </c>
      <c r="N3273" s="7">
        <v>1</v>
      </c>
      <c r="O3273" s="7">
        <v>0.18</v>
      </c>
    </row>
    <row r="3274" spans="1:15" x14ac:dyDescent="0.25">
      <c r="A3274" s="6" t="s">
        <v>14</v>
      </c>
      <c r="B3274" s="6" t="s">
        <v>382</v>
      </c>
      <c r="C3274" s="7">
        <v>34999</v>
      </c>
      <c r="D3274" s="6" t="s">
        <v>42</v>
      </c>
      <c r="E3274" s="6" t="s">
        <v>167</v>
      </c>
      <c r="F3274" s="6" t="s">
        <v>382</v>
      </c>
      <c r="G3274" s="6" t="s">
        <v>89</v>
      </c>
      <c r="H3274" s="6" t="s">
        <v>101</v>
      </c>
      <c r="I3274" s="6" t="s">
        <v>767</v>
      </c>
      <c r="J3274" s="6" t="s">
        <v>767</v>
      </c>
      <c r="K3274" s="7">
        <v>6225237</v>
      </c>
      <c r="L3274" s="7">
        <v>337896</v>
      </c>
      <c r="M3274" s="7">
        <v>19</v>
      </c>
      <c r="N3274" s="7">
        <v>1</v>
      </c>
      <c r="O3274" s="7">
        <v>0.37</v>
      </c>
    </row>
    <row r="3275" spans="1:15" x14ac:dyDescent="0.25">
      <c r="A3275" s="6" t="s">
        <v>14</v>
      </c>
      <c r="B3275" s="6" t="s">
        <v>382</v>
      </c>
      <c r="C3275" s="7">
        <v>35000</v>
      </c>
      <c r="D3275" s="6" t="s">
        <v>42</v>
      </c>
      <c r="E3275" s="6" t="s">
        <v>167</v>
      </c>
      <c r="F3275" s="6" t="s">
        <v>382</v>
      </c>
      <c r="G3275" s="6" t="s">
        <v>89</v>
      </c>
      <c r="H3275" s="6" t="s">
        <v>101</v>
      </c>
      <c r="I3275" s="6" t="s">
        <v>767</v>
      </c>
      <c r="J3275" s="6" t="s">
        <v>767</v>
      </c>
      <c r="K3275" s="7">
        <v>6225237</v>
      </c>
      <c r="L3275" s="7">
        <v>337896</v>
      </c>
      <c r="M3275" s="7">
        <v>19</v>
      </c>
      <c r="N3275" s="7">
        <v>1</v>
      </c>
      <c r="O3275" s="7">
        <v>0.33</v>
      </c>
    </row>
    <row r="3276" spans="1:15" x14ac:dyDescent="0.25">
      <c r="A3276" s="6" t="s">
        <v>14</v>
      </c>
      <c r="B3276" s="6" t="s">
        <v>382</v>
      </c>
      <c r="C3276" s="7">
        <v>35001</v>
      </c>
      <c r="D3276" s="6" t="s">
        <v>42</v>
      </c>
      <c r="E3276" s="6" t="s">
        <v>167</v>
      </c>
      <c r="F3276" s="6" t="s">
        <v>382</v>
      </c>
      <c r="G3276" s="6" t="s">
        <v>89</v>
      </c>
      <c r="H3276" s="6" t="s">
        <v>101</v>
      </c>
      <c r="I3276" s="6" t="s">
        <v>767</v>
      </c>
      <c r="J3276" s="6" t="s">
        <v>767</v>
      </c>
      <c r="K3276" s="7">
        <v>6225237</v>
      </c>
      <c r="L3276" s="7">
        <v>337896</v>
      </c>
      <c r="M3276" s="7">
        <v>19</v>
      </c>
      <c r="N3276" s="7">
        <v>1</v>
      </c>
      <c r="O3276" s="7">
        <v>0.33</v>
      </c>
    </row>
    <row r="3277" spans="1:15" x14ac:dyDescent="0.25">
      <c r="A3277" s="6" t="s">
        <v>14</v>
      </c>
      <c r="B3277" s="6" t="s">
        <v>382</v>
      </c>
      <c r="C3277" s="7">
        <v>35002</v>
      </c>
      <c r="D3277" s="6" t="s">
        <v>42</v>
      </c>
      <c r="E3277" s="6" t="s">
        <v>167</v>
      </c>
      <c r="F3277" s="6" t="s">
        <v>382</v>
      </c>
      <c r="G3277" s="6" t="s">
        <v>89</v>
      </c>
      <c r="H3277" s="6" t="s">
        <v>101</v>
      </c>
      <c r="I3277" s="6" t="s">
        <v>767</v>
      </c>
      <c r="J3277" s="6" t="s">
        <v>767</v>
      </c>
      <c r="K3277" s="7">
        <v>6225237</v>
      </c>
      <c r="L3277" s="7">
        <v>337896</v>
      </c>
      <c r="M3277" s="7">
        <v>19</v>
      </c>
      <c r="N3277" s="7">
        <v>1</v>
      </c>
      <c r="O3277" s="7">
        <v>0.41</v>
      </c>
    </row>
    <row r="3278" spans="1:15" x14ac:dyDescent="0.25">
      <c r="A3278" s="6" t="s">
        <v>14</v>
      </c>
      <c r="B3278" s="6" t="s">
        <v>382</v>
      </c>
      <c r="C3278" s="7">
        <v>35003</v>
      </c>
      <c r="D3278" s="6" t="s">
        <v>39</v>
      </c>
      <c r="E3278" s="6" t="s">
        <v>40</v>
      </c>
      <c r="F3278" s="6" t="s">
        <v>702</v>
      </c>
      <c r="G3278" s="6" t="s">
        <v>32</v>
      </c>
      <c r="H3278" s="6" t="s">
        <v>19</v>
      </c>
      <c r="I3278" s="6" t="s">
        <v>767</v>
      </c>
      <c r="J3278" s="6" t="s">
        <v>767</v>
      </c>
      <c r="K3278" s="7">
        <v>6104461</v>
      </c>
      <c r="L3278" s="7">
        <v>309579</v>
      </c>
      <c r="M3278" s="7">
        <v>19</v>
      </c>
      <c r="N3278" s="7">
        <v>1</v>
      </c>
      <c r="O3278" s="7">
        <v>0.5</v>
      </c>
    </row>
    <row r="3279" spans="1:15" x14ac:dyDescent="0.25">
      <c r="A3279" s="6" t="s">
        <v>14</v>
      </c>
      <c r="B3279" s="6" t="s">
        <v>382</v>
      </c>
      <c r="C3279" s="7">
        <v>35005</v>
      </c>
      <c r="D3279" s="6" t="s">
        <v>42</v>
      </c>
      <c r="E3279" s="6" t="s">
        <v>167</v>
      </c>
      <c r="F3279" s="6" t="s">
        <v>382</v>
      </c>
      <c r="G3279" s="6" t="s">
        <v>89</v>
      </c>
      <c r="H3279" s="6" t="s">
        <v>101</v>
      </c>
      <c r="I3279" s="6" t="s">
        <v>767</v>
      </c>
      <c r="J3279" s="6" t="s">
        <v>767</v>
      </c>
      <c r="K3279" s="7">
        <v>6225237</v>
      </c>
      <c r="L3279" s="7">
        <v>337896</v>
      </c>
      <c r="M3279" s="7">
        <v>19</v>
      </c>
      <c r="N3279" s="7">
        <v>1</v>
      </c>
      <c r="O3279" s="7">
        <v>0.39</v>
      </c>
    </row>
    <row r="3280" spans="1:15" x14ac:dyDescent="0.25">
      <c r="A3280" s="6" t="s">
        <v>14</v>
      </c>
      <c r="B3280" s="6" t="s">
        <v>382</v>
      </c>
      <c r="C3280" s="7">
        <v>35006</v>
      </c>
      <c r="D3280" s="6" t="s">
        <v>39</v>
      </c>
      <c r="E3280" s="6" t="s">
        <v>72</v>
      </c>
      <c r="F3280" s="6" t="s">
        <v>131</v>
      </c>
      <c r="G3280" s="6" t="s">
        <v>32</v>
      </c>
      <c r="H3280" s="6" t="s">
        <v>19</v>
      </c>
      <c r="I3280" s="6" t="s">
        <v>767</v>
      </c>
      <c r="J3280" s="6" t="s">
        <v>767</v>
      </c>
      <c r="K3280" s="7">
        <v>6062772</v>
      </c>
      <c r="L3280" s="7">
        <v>284249</v>
      </c>
      <c r="M3280" s="7">
        <v>19</v>
      </c>
      <c r="N3280" s="7">
        <v>1</v>
      </c>
      <c r="O3280" s="7">
        <v>0.25</v>
      </c>
    </row>
    <row r="3281" spans="1:15" x14ac:dyDescent="0.25">
      <c r="A3281" s="6" t="s">
        <v>14</v>
      </c>
      <c r="B3281" s="6" t="s">
        <v>382</v>
      </c>
      <c r="C3281" s="7">
        <v>35017</v>
      </c>
      <c r="D3281" s="6" t="s">
        <v>39</v>
      </c>
      <c r="E3281" s="6" t="s">
        <v>40</v>
      </c>
      <c r="F3281" s="6" t="s">
        <v>179</v>
      </c>
      <c r="G3281" s="6" t="s">
        <v>32</v>
      </c>
      <c r="H3281" s="6" t="s">
        <v>33</v>
      </c>
      <c r="I3281" s="6" t="s">
        <v>764</v>
      </c>
      <c r="J3281" s="6" t="s">
        <v>767</v>
      </c>
      <c r="K3281" s="7">
        <v>6124019</v>
      </c>
      <c r="L3281" s="7">
        <v>309834</v>
      </c>
      <c r="M3281" s="7">
        <v>19</v>
      </c>
      <c r="N3281" s="7">
        <v>1</v>
      </c>
      <c r="O3281" s="7">
        <v>0.26</v>
      </c>
    </row>
    <row r="3282" spans="1:15" x14ac:dyDescent="0.25">
      <c r="A3282" s="6" t="s">
        <v>14</v>
      </c>
      <c r="B3282" s="6" t="s">
        <v>382</v>
      </c>
      <c r="C3282" s="7">
        <v>35019</v>
      </c>
      <c r="D3282" s="6" t="s">
        <v>39</v>
      </c>
      <c r="E3282" s="6" t="s">
        <v>40</v>
      </c>
      <c r="F3282" s="6" t="s">
        <v>179</v>
      </c>
      <c r="G3282" s="6" t="s">
        <v>32</v>
      </c>
      <c r="H3282" s="6" t="s">
        <v>33</v>
      </c>
      <c r="I3282" s="6" t="s">
        <v>764</v>
      </c>
      <c r="J3282" s="6" t="s">
        <v>767</v>
      </c>
      <c r="K3282" s="7">
        <v>6124019</v>
      </c>
      <c r="L3282" s="7">
        <v>309834</v>
      </c>
      <c r="M3282" s="7">
        <v>19</v>
      </c>
      <c r="N3282" s="7">
        <v>1</v>
      </c>
      <c r="O3282" s="7">
        <v>0.26</v>
      </c>
    </row>
    <row r="3283" spans="1:15" x14ac:dyDescent="0.25">
      <c r="A3283" s="6" t="s">
        <v>14</v>
      </c>
      <c r="B3283" s="6" t="s">
        <v>382</v>
      </c>
      <c r="C3283" s="7">
        <v>35021</v>
      </c>
      <c r="D3283" s="6" t="s">
        <v>39</v>
      </c>
      <c r="E3283" s="6" t="s">
        <v>40</v>
      </c>
      <c r="F3283" s="6" t="s">
        <v>179</v>
      </c>
      <c r="G3283" s="6" t="s">
        <v>32</v>
      </c>
      <c r="H3283" s="6" t="s">
        <v>33</v>
      </c>
      <c r="I3283" s="6" t="s">
        <v>764</v>
      </c>
      <c r="J3283" s="6" t="s">
        <v>767</v>
      </c>
      <c r="K3283" s="7">
        <v>6124019</v>
      </c>
      <c r="L3283" s="7">
        <v>309834</v>
      </c>
      <c r="M3283" s="7">
        <v>19</v>
      </c>
      <c r="N3283" s="7">
        <v>1</v>
      </c>
      <c r="O3283" s="7">
        <v>0.26</v>
      </c>
    </row>
    <row r="3284" spans="1:15" x14ac:dyDescent="0.25">
      <c r="A3284" s="6" t="s">
        <v>22</v>
      </c>
      <c r="B3284" s="6" t="s">
        <v>382</v>
      </c>
      <c r="C3284" s="7">
        <v>35022</v>
      </c>
      <c r="D3284" s="6" t="s">
        <v>42</v>
      </c>
      <c r="E3284" s="6" t="s">
        <v>167</v>
      </c>
      <c r="F3284" s="6" t="s">
        <v>382</v>
      </c>
      <c r="G3284" s="6" t="s">
        <v>89</v>
      </c>
      <c r="H3284" s="6" t="s">
        <v>765</v>
      </c>
      <c r="I3284" s="6" t="s">
        <v>767</v>
      </c>
      <c r="J3284" s="6" t="s">
        <v>767</v>
      </c>
      <c r="K3284" s="7">
        <v>6225296</v>
      </c>
      <c r="L3284" s="7">
        <v>337896</v>
      </c>
      <c r="M3284" s="7">
        <v>19</v>
      </c>
      <c r="N3284" s="7">
        <v>4</v>
      </c>
      <c r="O3284" s="7">
        <v>1.6</v>
      </c>
    </row>
    <row r="3285" spans="1:15" x14ac:dyDescent="0.25">
      <c r="A3285" s="6" t="s">
        <v>22</v>
      </c>
      <c r="B3285" s="6" t="s">
        <v>382</v>
      </c>
      <c r="C3285" s="7">
        <v>35023</v>
      </c>
      <c r="D3285" s="6" t="s">
        <v>42</v>
      </c>
      <c r="E3285" s="6" t="s">
        <v>167</v>
      </c>
      <c r="F3285" s="6" t="s">
        <v>382</v>
      </c>
      <c r="G3285" s="6" t="s">
        <v>89</v>
      </c>
      <c r="H3285" s="6" t="s">
        <v>765</v>
      </c>
      <c r="I3285" s="6" t="s">
        <v>767</v>
      </c>
      <c r="J3285" s="6" t="s">
        <v>767</v>
      </c>
      <c r="K3285" s="7">
        <v>6225296</v>
      </c>
      <c r="L3285" s="7">
        <v>337896</v>
      </c>
      <c r="M3285" s="7">
        <v>19</v>
      </c>
      <c r="N3285" s="7">
        <v>8</v>
      </c>
      <c r="O3285" s="7">
        <v>3.2</v>
      </c>
    </row>
    <row r="3286" spans="1:15" x14ac:dyDescent="0.25">
      <c r="A3286" s="6" t="s">
        <v>22</v>
      </c>
      <c r="B3286" s="6" t="s">
        <v>382</v>
      </c>
      <c r="C3286" s="7">
        <v>35025</v>
      </c>
      <c r="D3286" s="6" t="s">
        <v>42</v>
      </c>
      <c r="E3286" s="6" t="s">
        <v>167</v>
      </c>
      <c r="F3286" s="6" t="s">
        <v>382</v>
      </c>
      <c r="G3286" s="6" t="s">
        <v>89</v>
      </c>
      <c r="H3286" s="6" t="s">
        <v>765</v>
      </c>
      <c r="I3286" s="6" t="s">
        <v>767</v>
      </c>
      <c r="J3286" s="6" t="s">
        <v>767</v>
      </c>
      <c r="K3286" s="7">
        <v>6224524</v>
      </c>
      <c r="L3286" s="7">
        <v>336473</v>
      </c>
      <c r="M3286" s="7">
        <v>19</v>
      </c>
      <c r="N3286" s="7">
        <v>5</v>
      </c>
      <c r="O3286" s="7">
        <v>2</v>
      </c>
    </row>
    <row r="3287" spans="1:15" x14ac:dyDescent="0.25">
      <c r="A3287" s="6" t="s">
        <v>22</v>
      </c>
      <c r="B3287" s="6" t="s">
        <v>382</v>
      </c>
      <c r="C3287" s="7">
        <v>35028</v>
      </c>
      <c r="D3287" s="6" t="s">
        <v>42</v>
      </c>
      <c r="E3287" s="6" t="s">
        <v>167</v>
      </c>
      <c r="F3287" s="6" t="s">
        <v>382</v>
      </c>
      <c r="G3287" s="6" t="s">
        <v>89</v>
      </c>
      <c r="H3287" s="6" t="s">
        <v>765</v>
      </c>
      <c r="I3287" s="6" t="s">
        <v>767</v>
      </c>
      <c r="J3287" s="6" t="s">
        <v>767</v>
      </c>
      <c r="K3287" s="7">
        <v>6224524</v>
      </c>
      <c r="L3287" s="7">
        <v>336473</v>
      </c>
      <c r="M3287" s="7">
        <v>19</v>
      </c>
      <c r="N3287" s="7">
        <v>6</v>
      </c>
      <c r="O3287" s="7">
        <v>2.4</v>
      </c>
    </row>
    <row r="3288" spans="1:15" x14ac:dyDescent="0.25">
      <c r="A3288" s="6" t="s">
        <v>14</v>
      </c>
      <c r="B3288" s="6" t="s">
        <v>382</v>
      </c>
      <c r="C3288" s="7">
        <v>35033</v>
      </c>
      <c r="D3288" s="6" t="s">
        <v>42</v>
      </c>
      <c r="E3288" s="6" t="s">
        <v>167</v>
      </c>
      <c r="F3288" s="6" t="s">
        <v>167</v>
      </c>
      <c r="G3288" s="6" t="s">
        <v>89</v>
      </c>
      <c r="H3288" s="6" t="s">
        <v>101</v>
      </c>
      <c r="I3288" s="6" t="s">
        <v>767</v>
      </c>
      <c r="J3288" s="6" t="s">
        <v>767</v>
      </c>
      <c r="K3288" s="7">
        <v>6224949</v>
      </c>
      <c r="L3288" s="7">
        <v>338065</v>
      </c>
      <c r="M3288" s="7">
        <v>19</v>
      </c>
      <c r="N3288" s="7">
        <v>1</v>
      </c>
      <c r="O3288" s="7">
        <v>0.8</v>
      </c>
    </row>
    <row r="3289" spans="1:15" x14ac:dyDescent="0.25">
      <c r="A3289" s="6" t="s">
        <v>14</v>
      </c>
      <c r="B3289" s="6" t="s">
        <v>382</v>
      </c>
      <c r="C3289" s="7">
        <v>35035</v>
      </c>
      <c r="D3289" s="6" t="s">
        <v>42</v>
      </c>
      <c r="E3289" s="6" t="s">
        <v>167</v>
      </c>
      <c r="F3289" s="6" t="s">
        <v>167</v>
      </c>
      <c r="G3289" s="6" t="s">
        <v>89</v>
      </c>
      <c r="H3289" s="6" t="s">
        <v>101</v>
      </c>
      <c r="I3289" s="6" t="s">
        <v>767</v>
      </c>
      <c r="J3289" s="6" t="s">
        <v>767</v>
      </c>
      <c r="K3289" s="7">
        <v>6224940</v>
      </c>
      <c r="L3289" s="7">
        <v>337993</v>
      </c>
      <c r="M3289" s="7">
        <v>19</v>
      </c>
      <c r="N3289" s="7">
        <v>1</v>
      </c>
      <c r="O3289" s="7">
        <v>0.4</v>
      </c>
    </row>
    <row r="3290" spans="1:15" x14ac:dyDescent="0.25">
      <c r="A3290" s="6" t="s">
        <v>14</v>
      </c>
      <c r="B3290" s="6" t="s">
        <v>382</v>
      </c>
      <c r="C3290" s="7">
        <v>35037</v>
      </c>
      <c r="D3290" s="6" t="s">
        <v>42</v>
      </c>
      <c r="E3290" s="6" t="s">
        <v>167</v>
      </c>
      <c r="F3290" s="6" t="s">
        <v>167</v>
      </c>
      <c r="G3290" s="6" t="s">
        <v>89</v>
      </c>
      <c r="H3290" s="6" t="s">
        <v>101</v>
      </c>
      <c r="I3290" s="6" t="s">
        <v>767</v>
      </c>
      <c r="J3290" s="6" t="s">
        <v>767</v>
      </c>
      <c r="K3290" s="7">
        <v>6224949</v>
      </c>
      <c r="L3290" s="7">
        <v>338037</v>
      </c>
      <c r="M3290" s="7">
        <v>19</v>
      </c>
      <c r="N3290" s="7">
        <v>1</v>
      </c>
      <c r="O3290" s="7">
        <v>0.7</v>
      </c>
    </row>
    <row r="3291" spans="1:15" x14ac:dyDescent="0.25">
      <c r="A3291" s="6" t="s">
        <v>22</v>
      </c>
      <c r="B3291" s="6" t="s">
        <v>382</v>
      </c>
      <c r="C3291" s="7">
        <v>35214</v>
      </c>
      <c r="D3291" s="6" t="s">
        <v>297</v>
      </c>
      <c r="E3291" s="6" t="s">
        <v>298</v>
      </c>
      <c r="F3291" s="6" t="s">
        <v>693</v>
      </c>
      <c r="G3291" s="6" t="s">
        <v>50</v>
      </c>
      <c r="H3291" s="6" t="s">
        <v>765</v>
      </c>
      <c r="I3291" s="6" t="s">
        <v>767</v>
      </c>
      <c r="J3291" s="6" t="s">
        <v>767</v>
      </c>
      <c r="K3291" s="7">
        <v>7953937</v>
      </c>
      <c r="L3291" s="7">
        <v>371158</v>
      </c>
      <c r="M3291" s="7">
        <v>19</v>
      </c>
      <c r="N3291" s="7">
        <v>1</v>
      </c>
      <c r="O3291" s="7">
        <v>0.01</v>
      </c>
    </row>
    <row r="3292" spans="1:15" x14ac:dyDescent="0.25">
      <c r="A3292" s="6" t="s">
        <v>22</v>
      </c>
      <c r="B3292" s="6" t="s">
        <v>382</v>
      </c>
      <c r="C3292" s="7">
        <v>35284</v>
      </c>
      <c r="D3292" s="6" t="s">
        <v>297</v>
      </c>
      <c r="E3292" s="6" t="s">
        <v>298</v>
      </c>
      <c r="F3292" s="6" t="s">
        <v>693</v>
      </c>
      <c r="G3292" s="6" t="s">
        <v>50</v>
      </c>
      <c r="H3292" s="6" t="s">
        <v>765</v>
      </c>
      <c r="I3292" s="6" t="s">
        <v>767</v>
      </c>
      <c r="J3292" s="6" t="s">
        <v>767</v>
      </c>
      <c r="K3292" s="7">
        <v>7953937</v>
      </c>
      <c r="L3292" s="7">
        <v>371158</v>
      </c>
      <c r="M3292" s="7">
        <v>19</v>
      </c>
      <c r="N3292" s="7">
        <v>1</v>
      </c>
      <c r="O3292" s="7">
        <v>0.2</v>
      </c>
    </row>
    <row r="3293" spans="1:15" x14ac:dyDescent="0.25">
      <c r="A3293" s="6" t="s">
        <v>28</v>
      </c>
      <c r="B3293" s="6" t="s">
        <v>704</v>
      </c>
      <c r="C3293" s="7">
        <v>30152</v>
      </c>
      <c r="D3293" s="6" t="s">
        <v>42</v>
      </c>
      <c r="E3293" s="6" t="s">
        <v>167</v>
      </c>
      <c r="F3293" s="6" t="s">
        <v>705</v>
      </c>
      <c r="G3293" s="6" t="s">
        <v>32</v>
      </c>
      <c r="H3293" s="6" t="s">
        <v>33</v>
      </c>
      <c r="I3293" s="6" t="s">
        <v>764</v>
      </c>
      <c r="J3293" s="6" t="s">
        <v>767</v>
      </c>
      <c r="K3293" s="7">
        <v>6226628</v>
      </c>
      <c r="L3293" s="7">
        <v>338569</v>
      </c>
      <c r="M3293" s="7">
        <v>19</v>
      </c>
      <c r="N3293" s="7">
        <v>1</v>
      </c>
      <c r="O3293" s="7">
        <v>14.5</v>
      </c>
    </row>
    <row r="3294" spans="1:15" x14ac:dyDescent="0.25">
      <c r="A3294" s="6" t="s">
        <v>28</v>
      </c>
      <c r="B3294" s="6" t="s">
        <v>704</v>
      </c>
      <c r="C3294" s="7">
        <v>30265</v>
      </c>
      <c r="D3294" s="6" t="s">
        <v>42</v>
      </c>
      <c r="E3294" s="6" t="s">
        <v>66</v>
      </c>
      <c r="F3294" s="6" t="s">
        <v>706</v>
      </c>
      <c r="G3294" s="6" t="s">
        <v>32</v>
      </c>
      <c r="H3294" s="6" t="s">
        <v>33</v>
      </c>
      <c r="I3294" s="6" t="s">
        <v>767</v>
      </c>
      <c r="J3294" s="6" t="s">
        <v>764</v>
      </c>
      <c r="K3294" s="7">
        <v>6233126</v>
      </c>
      <c r="L3294" s="7">
        <v>341910</v>
      </c>
      <c r="M3294" s="7">
        <v>19</v>
      </c>
      <c r="N3294" s="7">
        <v>1</v>
      </c>
      <c r="O3294" s="7">
        <v>9</v>
      </c>
    </row>
    <row r="3295" spans="1:15" x14ac:dyDescent="0.25">
      <c r="A3295" s="6" t="s">
        <v>28</v>
      </c>
      <c r="B3295" s="6" t="s">
        <v>704</v>
      </c>
      <c r="C3295" s="7">
        <v>30352</v>
      </c>
      <c r="D3295" s="6" t="s">
        <v>42</v>
      </c>
      <c r="E3295" s="6" t="s">
        <v>167</v>
      </c>
      <c r="F3295" s="6" t="s">
        <v>707</v>
      </c>
      <c r="G3295" s="6" t="s">
        <v>32</v>
      </c>
      <c r="H3295" s="6" t="s">
        <v>33</v>
      </c>
      <c r="I3295" s="6" t="s">
        <v>767</v>
      </c>
      <c r="J3295" s="6" t="s">
        <v>764</v>
      </c>
      <c r="K3295" s="7">
        <v>6227210</v>
      </c>
      <c r="L3295" s="7">
        <v>335708</v>
      </c>
      <c r="M3295" s="7">
        <v>19</v>
      </c>
      <c r="N3295" s="7">
        <v>8</v>
      </c>
      <c r="O3295" s="7">
        <v>86.5</v>
      </c>
    </row>
    <row r="3296" spans="1:15" x14ac:dyDescent="0.25">
      <c r="A3296" s="6" t="s">
        <v>28</v>
      </c>
      <c r="B3296" s="6" t="s">
        <v>704</v>
      </c>
      <c r="C3296" s="7">
        <v>30353</v>
      </c>
      <c r="D3296" s="6" t="s">
        <v>42</v>
      </c>
      <c r="E3296" s="6" t="s">
        <v>301</v>
      </c>
      <c r="F3296" s="6" t="s">
        <v>708</v>
      </c>
      <c r="G3296" s="6" t="s">
        <v>32</v>
      </c>
      <c r="H3296" s="6" t="s">
        <v>33</v>
      </c>
      <c r="I3296" s="6" t="s">
        <v>767</v>
      </c>
      <c r="J3296" s="6" t="s">
        <v>764</v>
      </c>
      <c r="K3296" s="7">
        <v>6213895</v>
      </c>
      <c r="L3296" s="7">
        <v>343929</v>
      </c>
      <c r="M3296" s="7">
        <v>19</v>
      </c>
      <c r="N3296" s="7">
        <v>7</v>
      </c>
      <c r="O3296" s="7">
        <v>80</v>
      </c>
    </row>
    <row r="3297" spans="1:15" x14ac:dyDescent="0.25">
      <c r="A3297" s="6" t="s">
        <v>14</v>
      </c>
      <c r="B3297" s="6" t="s">
        <v>704</v>
      </c>
      <c r="C3297" s="7">
        <v>31201</v>
      </c>
      <c r="D3297" s="6" t="s">
        <v>39</v>
      </c>
      <c r="E3297" s="6" t="s">
        <v>72</v>
      </c>
      <c r="F3297" s="6" t="s">
        <v>709</v>
      </c>
      <c r="G3297" s="6" t="s">
        <v>32</v>
      </c>
      <c r="H3297" s="6" t="s">
        <v>33</v>
      </c>
      <c r="I3297" s="6" t="s">
        <v>767</v>
      </c>
      <c r="J3297" s="6" t="s">
        <v>764</v>
      </c>
      <c r="K3297" s="7">
        <v>6064200</v>
      </c>
      <c r="L3297" s="7">
        <v>279093</v>
      </c>
      <c r="M3297" s="7">
        <v>19</v>
      </c>
      <c r="N3297" s="7">
        <v>1</v>
      </c>
      <c r="O3297" s="7">
        <v>13</v>
      </c>
    </row>
    <row r="3298" spans="1:15" x14ac:dyDescent="0.25">
      <c r="A3298" s="6" t="s">
        <v>14</v>
      </c>
      <c r="B3298" s="6" t="s">
        <v>704</v>
      </c>
      <c r="C3298" s="7">
        <v>31231</v>
      </c>
      <c r="D3298" s="6" t="s">
        <v>39</v>
      </c>
      <c r="E3298" s="6" t="s">
        <v>72</v>
      </c>
      <c r="F3298" s="6" t="s">
        <v>131</v>
      </c>
      <c r="G3298" s="6" t="s">
        <v>32</v>
      </c>
      <c r="H3298" s="6" t="s">
        <v>33</v>
      </c>
      <c r="I3298" s="6" t="s">
        <v>767</v>
      </c>
      <c r="J3298" s="6" t="s">
        <v>764</v>
      </c>
      <c r="K3298" s="7">
        <v>6066231</v>
      </c>
      <c r="L3298" s="7">
        <v>280412</v>
      </c>
      <c r="M3298" s="7">
        <v>19</v>
      </c>
      <c r="N3298" s="7">
        <v>1</v>
      </c>
      <c r="O3298" s="7">
        <v>7</v>
      </c>
    </row>
    <row r="3299" spans="1:15" x14ac:dyDescent="0.25">
      <c r="A3299" s="6" t="s">
        <v>14</v>
      </c>
      <c r="B3299" s="6" t="s">
        <v>704</v>
      </c>
      <c r="C3299" s="7">
        <v>31274</v>
      </c>
      <c r="D3299" s="6" t="s">
        <v>39</v>
      </c>
      <c r="E3299" s="6" t="s">
        <v>72</v>
      </c>
      <c r="F3299" s="6" t="s">
        <v>131</v>
      </c>
      <c r="G3299" s="6" t="s">
        <v>32</v>
      </c>
      <c r="H3299" s="6" t="s">
        <v>33</v>
      </c>
      <c r="I3299" s="6" t="s">
        <v>767</v>
      </c>
      <c r="J3299" s="6" t="s">
        <v>764</v>
      </c>
      <c r="K3299" s="7">
        <v>6066199</v>
      </c>
      <c r="L3299" s="7">
        <v>280705</v>
      </c>
      <c r="M3299" s="7">
        <v>19</v>
      </c>
      <c r="N3299" s="7">
        <v>1</v>
      </c>
      <c r="O3299" s="7">
        <v>9</v>
      </c>
    </row>
    <row r="3300" spans="1:15" x14ac:dyDescent="0.25">
      <c r="A3300" s="6" t="s">
        <v>14</v>
      </c>
      <c r="B3300" s="6" t="s">
        <v>704</v>
      </c>
      <c r="C3300" s="7">
        <v>31277</v>
      </c>
      <c r="D3300" s="6" t="s">
        <v>39</v>
      </c>
      <c r="E3300" s="6" t="s">
        <v>72</v>
      </c>
      <c r="F3300" s="6" t="s">
        <v>131</v>
      </c>
      <c r="G3300" s="6" t="s">
        <v>32</v>
      </c>
      <c r="H3300" s="6" t="s">
        <v>33</v>
      </c>
      <c r="I3300" s="6" t="s">
        <v>764</v>
      </c>
      <c r="J3300" s="6" t="s">
        <v>767</v>
      </c>
      <c r="K3300" s="7">
        <v>6067081</v>
      </c>
      <c r="L3300" s="7">
        <v>279740</v>
      </c>
      <c r="M3300" s="7">
        <v>19</v>
      </c>
      <c r="N3300" s="7">
        <v>1</v>
      </c>
      <c r="O3300" s="7">
        <v>13</v>
      </c>
    </row>
    <row r="3301" spans="1:15" x14ac:dyDescent="0.25">
      <c r="A3301" s="6" t="s">
        <v>14</v>
      </c>
      <c r="B3301" s="6" t="s">
        <v>704</v>
      </c>
      <c r="C3301" s="7">
        <v>31278</v>
      </c>
      <c r="D3301" s="6" t="s">
        <v>39</v>
      </c>
      <c r="E3301" s="6" t="s">
        <v>72</v>
      </c>
      <c r="F3301" s="6" t="s">
        <v>710</v>
      </c>
      <c r="G3301" s="6" t="s">
        <v>32</v>
      </c>
      <c r="H3301" s="6" t="s">
        <v>33</v>
      </c>
      <c r="I3301" s="6" t="s">
        <v>767</v>
      </c>
      <c r="J3301" s="6" t="s">
        <v>764</v>
      </c>
      <c r="K3301" s="7">
        <v>6066199</v>
      </c>
      <c r="L3301" s="7">
        <v>280705</v>
      </c>
      <c r="M3301" s="7">
        <v>19</v>
      </c>
      <c r="N3301" s="7">
        <v>1</v>
      </c>
      <c r="O3301" s="7">
        <v>9</v>
      </c>
    </row>
    <row r="3302" spans="1:15" x14ac:dyDescent="0.25">
      <c r="A3302" s="6" t="s">
        <v>28</v>
      </c>
      <c r="B3302" s="6" t="s">
        <v>704</v>
      </c>
      <c r="C3302" s="7">
        <v>31420</v>
      </c>
      <c r="D3302" s="6" t="s">
        <v>42</v>
      </c>
      <c r="E3302" s="6" t="s">
        <v>196</v>
      </c>
      <c r="F3302" s="6" t="s">
        <v>203</v>
      </c>
      <c r="G3302" s="6" t="s">
        <v>32</v>
      </c>
      <c r="H3302" s="6" t="s">
        <v>33</v>
      </c>
      <c r="I3302" s="6" t="s">
        <v>767</v>
      </c>
      <c r="J3302" s="6" t="s">
        <v>764</v>
      </c>
      <c r="K3302" s="7">
        <v>6221504</v>
      </c>
      <c r="L3302" s="7">
        <v>332237</v>
      </c>
      <c r="M3302" s="7">
        <v>19</v>
      </c>
      <c r="N3302" s="7">
        <v>7</v>
      </c>
      <c r="O3302" s="7">
        <v>104.61</v>
      </c>
    </row>
    <row r="3303" spans="1:15" x14ac:dyDescent="0.25">
      <c r="A3303" s="6" t="s">
        <v>28</v>
      </c>
      <c r="B3303" s="6" t="s">
        <v>704</v>
      </c>
      <c r="C3303" s="7">
        <v>31492</v>
      </c>
      <c r="D3303" s="6" t="s">
        <v>42</v>
      </c>
      <c r="E3303" s="6" t="s">
        <v>196</v>
      </c>
      <c r="F3303" s="6" t="s">
        <v>203</v>
      </c>
      <c r="G3303" s="6" t="s">
        <v>32</v>
      </c>
      <c r="H3303" s="6" t="s">
        <v>33</v>
      </c>
      <c r="I3303" s="6" t="s">
        <v>767</v>
      </c>
      <c r="J3303" s="6" t="s">
        <v>764</v>
      </c>
      <c r="K3303" s="7">
        <v>6220551</v>
      </c>
      <c r="L3303" s="7">
        <v>332691</v>
      </c>
      <c r="M3303" s="7">
        <v>19</v>
      </c>
      <c r="N3303" s="7">
        <v>1</v>
      </c>
      <c r="O3303" s="7">
        <v>16.239999999999998</v>
      </c>
    </row>
    <row r="3304" spans="1:15" x14ac:dyDescent="0.25">
      <c r="A3304" s="6" t="s">
        <v>28</v>
      </c>
      <c r="B3304" s="6" t="s">
        <v>704</v>
      </c>
      <c r="C3304" s="7">
        <v>31507</v>
      </c>
      <c r="D3304" s="6" t="s">
        <v>39</v>
      </c>
      <c r="E3304" s="6" t="s">
        <v>72</v>
      </c>
      <c r="F3304" s="6" t="s">
        <v>630</v>
      </c>
      <c r="G3304" s="6" t="s">
        <v>32</v>
      </c>
      <c r="H3304" s="6" t="s">
        <v>33</v>
      </c>
      <c r="I3304" s="6" t="s">
        <v>767</v>
      </c>
      <c r="J3304" s="6" t="s">
        <v>767</v>
      </c>
      <c r="K3304" s="7">
        <v>6064241</v>
      </c>
      <c r="L3304" s="7">
        <v>276702</v>
      </c>
      <c r="M3304" s="7">
        <v>19</v>
      </c>
      <c r="N3304" s="7">
        <v>1</v>
      </c>
      <c r="O3304" s="7">
        <v>25</v>
      </c>
    </row>
    <row r="3305" spans="1:15" x14ac:dyDescent="0.25">
      <c r="A3305" s="6" t="s">
        <v>14</v>
      </c>
      <c r="B3305" s="6" t="s">
        <v>704</v>
      </c>
      <c r="C3305" s="7">
        <v>31517</v>
      </c>
      <c r="D3305" s="6" t="s">
        <v>39</v>
      </c>
      <c r="E3305" s="6" t="s">
        <v>72</v>
      </c>
      <c r="F3305" s="6" t="s">
        <v>488</v>
      </c>
      <c r="G3305" s="6" t="s">
        <v>32</v>
      </c>
      <c r="H3305" s="6" t="s">
        <v>33</v>
      </c>
      <c r="I3305" s="6" t="s">
        <v>767</v>
      </c>
      <c r="J3305" s="6" t="s">
        <v>764</v>
      </c>
      <c r="K3305" s="7">
        <v>6069394</v>
      </c>
      <c r="L3305" s="7">
        <v>272583</v>
      </c>
      <c r="M3305" s="7">
        <v>19</v>
      </c>
      <c r="N3305" s="7">
        <v>1</v>
      </c>
      <c r="O3305" s="7">
        <v>18</v>
      </c>
    </row>
    <row r="3306" spans="1:15" x14ac:dyDescent="0.25">
      <c r="A3306" s="6" t="s">
        <v>28</v>
      </c>
      <c r="B3306" s="6" t="s">
        <v>704</v>
      </c>
      <c r="C3306" s="7">
        <v>31528</v>
      </c>
      <c r="D3306" s="6" t="s">
        <v>42</v>
      </c>
      <c r="E3306" s="6" t="s">
        <v>196</v>
      </c>
      <c r="F3306" s="6" t="s">
        <v>712</v>
      </c>
      <c r="G3306" s="6" t="s">
        <v>32</v>
      </c>
      <c r="H3306" s="6" t="s">
        <v>33</v>
      </c>
      <c r="I3306" s="6" t="s">
        <v>767</v>
      </c>
      <c r="J3306" s="6" t="s">
        <v>764</v>
      </c>
      <c r="K3306" s="7">
        <v>6222162</v>
      </c>
      <c r="L3306" s="7">
        <v>340410</v>
      </c>
      <c r="M3306" s="7">
        <v>19</v>
      </c>
      <c r="N3306" s="7">
        <v>1</v>
      </c>
      <c r="O3306" s="7">
        <v>18</v>
      </c>
    </row>
    <row r="3307" spans="1:15" x14ac:dyDescent="0.25">
      <c r="A3307" s="6" t="s">
        <v>14</v>
      </c>
      <c r="B3307" s="6" t="s">
        <v>704</v>
      </c>
      <c r="C3307" s="7">
        <v>31531</v>
      </c>
      <c r="D3307" s="6" t="s">
        <v>39</v>
      </c>
      <c r="E3307" s="6" t="s">
        <v>72</v>
      </c>
      <c r="F3307" s="6" t="s">
        <v>131</v>
      </c>
      <c r="G3307" s="6" t="s">
        <v>32</v>
      </c>
      <c r="H3307" s="6" t="s">
        <v>33</v>
      </c>
      <c r="I3307" s="6" t="s">
        <v>767</v>
      </c>
      <c r="J3307" s="6" t="s">
        <v>764</v>
      </c>
      <c r="K3307" s="7">
        <v>6066140</v>
      </c>
      <c r="L3307" s="7">
        <v>280407</v>
      </c>
      <c r="M3307" s="7">
        <v>19</v>
      </c>
      <c r="N3307" s="7">
        <v>1</v>
      </c>
      <c r="O3307" s="7">
        <v>9</v>
      </c>
    </row>
    <row r="3308" spans="1:15" x14ac:dyDescent="0.25">
      <c r="A3308" s="6" t="s">
        <v>14</v>
      </c>
      <c r="B3308" s="6" t="s">
        <v>704</v>
      </c>
      <c r="C3308" s="7">
        <v>31555</v>
      </c>
      <c r="D3308" s="6" t="s">
        <v>42</v>
      </c>
      <c r="E3308" s="6" t="s">
        <v>167</v>
      </c>
      <c r="F3308" s="6" t="s">
        <v>713</v>
      </c>
      <c r="G3308" s="6" t="s">
        <v>32</v>
      </c>
      <c r="H3308" s="6" t="s">
        <v>33</v>
      </c>
      <c r="I3308" s="6" t="s">
        <v>767</v>
      </c>
      <c r="J3308" s="6" t="s">
        <v>764</v>
      </c>
      <c r="K3308" s="7">
        <v>6226707</v>
      </c>
      <c r="L3308" s="7">
        <v>345848</v>
      </c>
      <c r="M3308" s="7">
        <v>19</v>
      </c>
      <c r="N3308" s="7">
        <v>1</v>
      </c>
      <c r="O3308" s="7">
        <v>15</v>
      </c>
    </row>
    <row r="3309" spans="1:15" x14ac:dyDescent="0.25">
      <c r="A3309" s="6" t="s">
        <v>14</v>
      </c>
      <c r="B3309" s="6" t="s">
        <v>704</v>
      </c>
      <c r="C3309" s="7">
        <v>31559</v>
      </c>
      <c r="D3309" s="6" t="s">
        <v>42</v>
      </c>
      <c r="E3309" s="6" t="s">
        <v>66</v>
      </c>
      <c r="F3309" s="6" t="s">
        <v>126</v>
      </c>
      <c r="G3309" s="6" t="s">
        <v>32</v>
      </c>
      <c r="H3309" s="6" t="s">
        <v>33</v>
      </c>
      <c r="I3309" s="6" t="s">
        <v>767</v>
      </c>
      <c r="J3309" s="6" t="s">
        <v>764</v>
      </c>
      <c r="K3309" s="7">
        <v>6226707</v>
      </c>
      <c r="L3309" s="7">
        <v>345848</v>
      </c>
      <c r="M3309" s="7">
        <v>19</v>
      </c>
      <c r="N3309" s="7">
        <v>1</v>
      </c>
      <c r="O3309" s="7">
        <v>4</v>
      </c>
    </row>
    <row r="3310" spans="1:15" x14ac:dyDescent="0.25">
      <c r="A3310" s="6" t="s">
        <v>28</v>
      </c>
      <c r="B3310" s="6" t="s">
        <v>704</v>
      </c>
      <c r="C3310" s="7">
        <v>31564</v>
      </c>
      <c r="D3310" s="6" t="s">
        <v>42</v>
      </c>
      <c r="E3310" s="6" t="s">
        <v>66</v>
      </c>
      <c r="F3310" s="6" t="s">
        <v>157</v>
      </c>
      <c r="G3310" s="6" t="s">
        <v>32</v>
      </c>
      <c r="H3310" s="6" t="s">
        <v>33</v>
      </c>
      <c r="I3310" s="6" t="s">
        <v>767</v>
      </c>
      <c r="J3310" s="6" t="s">
        <v>767</v>
      </c>
      <c r="K3310" s="7">
        <v>6222171</v>
      </c>
      <c r="L3310" s="7">
        <v>345124</v>
      </c>
      <c r="M3310" s="7">
        <v>19</v>
      </c>
      <c r="N3310" s="7">
        <v>2</v>
      </c>
      <c r="O3310" s="7">
        <v>38</v>
      </c>
    </row>
    <row r="3311" spans="1:15" x14ac:dyDescent="0.25">
      <c r="A3311" s="6" t="s">
        <v>14</v>
      </c>
      <c r="B3311" s="6" t="s">
        <v>704</v>
      </c>
      <c r="C3311" s="7">
        <v>31576</v>
      </c>
      <c r="D3311" s="6" t="s">
        <v>42</v>
      </c>
      <c r="E3311" s="6" t="s">
        <v>167</v>
      </c>
      <c r="F3311" s="6" t="s">
        <v>705</v>
      </c>
      <c r="G3311" s="6" t="s">
        <v>32</v>
      </c>
      <c r="H3311" s="6" t="s">
        <v>33</v>
      </c>
      <c r="I3311" s="6" t="s">
        <v>767</v>
      </c>
      <c r="J3311" s="6" t="s">
        <v>764</v>
      </c>
      <c r="K3311" s="7">
        <v>6226084</v>
      </c>
      <c r="L3311" s="7">
        <v>336607</v>
      </c>
      <c r="M3311" s="7">
        <v>19</v>
      </c>
      <c r="N3311" s="7">
        <v>4</v>
      </c>
      <c r="O3311" s="7">
        <v>23</v>
      </c>
    </row>
    <row r="3312" spans="1:15" x14ac:dyDescent="0.25">
      <c r="A3312" s="6" t="s">
        <v>28</v>
      </c>
      <c r="B3312" s="6" t="s">
        <v>704</v>
      </c>
      <c r="C3312" s="7">
        <v>31587</v>
      </c>
      <c r="D3312" s="6" t="s">
        <v>42</v>
      </c>
      <c r="E3312" s="6" t="s">
        <v>66</v>
      </c>
      <c r="F3312" s="6" t="s">
        <v>157</v>
      </c>
      <c r="G3312" s="6" t="s">
        <v>32</v>
      </c>
      <c r="H3312" s="6" t="s">
        <v>33</v>
      </c>
      <c r="I3312" s="6" t="s">
        <v>767</v>
      </c>
      <c r="J3312" s="6" t="s">
        <v>767</v>
      </c>
      <c r="K3312" s="7">
        <v>6221544</v>
      </c>
      <c r="L3312" s="7">
        <v>347885</v>
      </c>
      <c r="M3312" s="7">
        <v>19</v>
      </c>
      <c r="N3312" s="7">
        <v>1</v>
      </c>
      <c r="O3312" s="7">
        <v>7</v>
      </c>
    </row>
    <row r="3313" spans="1:15" x14ac:dyDescent="0.25">
      <c r="A3313" s="6" t="s">
        <v>14</v>
      </c>
      <c r="B3313" s="6" t="s">
        <v>704</v>
      </c>
      <c r="C3313" s="7">
        <v>31591</v>
      </c>
      <c r="D3313" s="6" t="s">
        <v>42</v>
      </c>
      <c r="E3313" s="6" t="s">
        <v>66</v>
      </c>
      <c r="F3313" s="6" t="s">
        <v>208</v>
      </c>
      <c r="G3313" s="6" t="s">
        <v>32</v>
      </c>
      <c r="H3313" s="6" t="s">
        <v>33</v>
      </c>
      <c r="I3313" s="6" t="s">
        <v>764</v>
      </c>
      <c r="J3313" s="6" t="s">
        <v>767</v>
      </c>
      <c r="K3313" s="7">
        <v>6220468</v>
      </c>
      <c r="L3313" s="7">
        <v>347740</v>
      </c>
      <c r="M3313" s="7">
        <v>19</v>
      </c>
      <c r="N3313" s="7">
        <v>2</v>
      </c>
      <c r="O3313" s="7">
        <v>12</v>
      </c>
    </row>
    <row r="3314" spans="1:15" x14ac:dyDescent="0.25">
      <c r="A3314" s="6" t="s">
        <v>28</v>
      </c>
      <c r="B3314" s="6" t="s">
        <v>704</v>
      </c>
      <c r="C3314" s="7">
        <v>31596</v>
      </c>
      <c r="D3314" s="6" t="s">
        <v>42</v>
      </c>
      <c r="E3314" s="6" t="s">
        <v>66</v>
      </c>
      <c r="F3314" s="6" t="s">
        <v>208</v>
      </c>
      <c r="G3314" s="6" t="s">
        <v>32</v>
      </c>
      <c r="H3314" s="6" t="s">
        <v>33</v>
      </c>
      <c r="I3314" s="6" t="s">
        <v>764</v>
      </c>
      <c r="J3314" s="6" t="s">
        <v>767</v>
      </c>
      <c r="K3314" s="7">
        <v>6220508</v>
      </c>
      <c r="L3314" s="7">
        <v>347903</v>
      </c>
      <c r="M3314" s="7">
        <v>19</v>
      </c>
      <c r="N3314" s="7">
        <v>2</v>
      </c>
      <c r="O3314" s="7">
        <v>11.5</v>
      </c>
    </row>
    <row r="3315" spans="1:15" x14ac:dyDescent="0.25">
      <c r="A3315" s="6" t="s">
        <v>14</v>
      </c>
      <c r="B3315" s="6" t="s">
        <v>704</v>
      </c>
      <c r="C3315" s="7">
        <v>31603</v>
      </c>
      <c r="D3315" s="6" t="s">
        <v>39</v>
      </c>
      <c r="E3315" s="6" t="s">
        <v>72</v>
      </c>
      <c r="F3315" s="6" t="s">
        <v>709</v>
      </c>
      <c r="G3315" s="6" t="s">
        <v>32</v>
      </c>
      <c r="H3315" s="6" t="s">
        <v>33</v>
      </c>
      <c r="I3315" s="6" t="s">
        <v>767</v>
      </c>
      <c r="J3315" s="6" t="s">
        <v>764</v>
      </c>
      <c r="K3315" s="7">
        <v>6064586</v>
      </c>
      <c r="L3315" s="7">
        <v>278297</v>
      </c>
      <c r="M3315" s="7">
        <v>19</v>
      </c>
      <c r="N3315" s="7">
        <v>1</v>
      </c>
      <c r="O3315" s="7">
        <v>22</v>
      </c>
    </row>
    <row r="3316" spans="1:15" x14ac:dyDescent="0.25">
      <c r="A3316" s="6" t="s">
        <v>28</v>
      </c>
      <c r="B3316" s="6" t="s">
        <v>704</v>
      </c>
      <c r="C3316" s="7">
        <v>31607</v>
      </c>
      <c r="D3316" s="6" t="s">
        <v>39</v>
      </c>
      <c r="E3316" s="6" t="s">
        <v>72</v>
      </c>
      <c r="F3316" s="6" t="s">
        <v>714</v>
      </c>
      <c r="G3316" s="6" t="s">
        <v>32</v>
      </c>
      <c r="H3316" s="6" t="s">
        <v>33</v>
      </c>
      <c r="I3316" s="6" t="s">
        <v>767</v>
      </c>
      <c r="J3316" s="6" t="s">
        <v>767</v>
      </c>
      <c r="K3316" s="7">
        <v>6060098</v>
      </c>
      <c r="L3316" s="7">
        <v>279495</v>
      </c>
      <c r="M3316" s="7">
        <v>19</v>
      </c>
      <c r="N3316" s="7">
        <v>2</v>
      </c>
      <c r="O3316" s="7">
        <v>6</v>
      </c>
    </row>
    <row r="3317" spans="1:15" x14ac:dyDescent="0.25">
      <c r="A3317" s="6" t="s">
        <v>14</v>
      </c>
      <c r="B3317" s="6" t="s">
        <v>704</v>
      </c>
      <c r="C3317" s="7">
        <v>31608</v>
      </c>
      <c r="D3317" s="6" t="s">
        <v>39</v>
      </c>
      <c r="E3317" s="6" t="s">
        <v>72</v>
      </c>
      <c r="F3317" s="6" t="s">
        <v>637</v>
      </c>
      <c r="G3317" s="6" t="s">
        <v>32</v>
      </c>
      <c r="H3317" s="6" t="s">
        <v>33</v>
      </c>
      <c r="I3317" s="6" t="s">
        <v>767</v>
      </c>
      <c r="J3317" s="6" t="s">
        <v>764</v>
      </c>
      <c r="K3317" s="7">
        <v>6059959</v>
      </c>
      <c r="L3317" s="7">
        <v>279974</v>
      </c>
      <c r="M3317" s="7">
        <v>19</v>
      </c>
      <c r="N3317" s="7">
        <v>2</v>
      </c>
      <c r="O3317" s="7">
        <v>10</v>
      </c>
    </row>
    <row r="3318" spans="1:15" x14ac:dyDescent="0.25">
      <c r="A3318" s="6" t="s">
        <v>28</v>
      </c>
      <c r="B3318" s="6" t="s">
        <v>704</v>
      </c>
      <c r="C3318" s="7">
        <v>31610</v>
      </c>
      <c r="D3318" s="6" t="s">
        <v>39</v>
      </c>
      <c r="E3318" s="6" t="s">
        <v>72</v>
      </c>
      <c r="F3318" s="6" t="s">
        <v>630</v>
      </c>
      <c r="G3318" s="6" t="s">
        <v>32</v>
      </c>
      <c r="H3318" s="6" t="s">
        <v>33</v>
      </c>
      <c r="I3318" s="6" t="s">
        <v>767</v>
      </c>
      <c r="J3318" s="6" t="s">
        <v>767</v>
      </c>
      <c r="K3318" s="7">
        <v>6064057</v>
      </c>
      <c r="L3318" s="7">
        <v>275742</v>
      </c>
      <c r="M3318" s="7">
        <v>19</v>
      </c>
      <c r="N3318" s="7">
        <v>2</v>
      </c>
      <c r="O3318" s="7">
        <v>15</v>
      </c>
    </row>
    <row r="3319" spans="1:15" x14ac:dyDescent="0.25">
      <c r="A3319" s="6" t="s">
        <v>14</v>
      </c>
      <c r="B3319" s="6" t="s">
        <v>704</v>
      </c>
      <c r="C3319" s="7">
        <v>31613</v>
      </c>
      <c r="D3319" s="6" t="s">
        <v>39</v>
      </c>
      <c r="E3319" s="6" t="s">
        <v>72</v>
      </c>
      <c r="F3319" s="6" t="s">
        <v>637</v>
      </c>
      <c r="G3319" s="6" t="s">
        <v>32</v>
      </c>
      <c r="H3319" s="6" t="s">
        <v>33</v>
      </c>
      <c r="I3319" s="6" t="s">
        <v>767</v>
      </c>
      <c r="J3319" s="6" t="s">
        <v>764</v>
      </c>
      <c r="K3319" s="7">
        <v>6060117</v>
      </c>
      <c r="L3319" s="7">
        <v>280054</v>
      </c>
      <c r="M3319" s="7">
        <v>19</v>
      </c>
      <c r="N3319" s="7">
        <v>1</v>
      </c>
      <c r="O3319" s="7">
        <v>2.5</v>
      </c>
    </row>
    <row r="3320" spans="1:15" x14ac:dyDescent="0.25">
      <c r="A3320" s="6" t="s">
        <v>14</v>
      </c>
      <c r="B3320" s="6" t="s">
        <v>704</v>
      </c>
      <c r="C3320" s="7">
        <v>31614</v>
      </c>
      <c r="D3320" s="6" t="s">
        <v>39</v>
      </c>
      <c r="E3320" s="6" t="s">
        <v>72</v>
      </c>
      <c r="F3320" s="6" t="s">
        <v>637</v>
      </c>
      <c r="G3320" s="6" t="s">
        <v>32</v>
      </c>
      <c r="H3320" s="6" t="s">
        <v>33</v>
      </c>
      <c r="I3320" s="6" t="s">
        <v>767</v>
      </c>
      <c r="J3320" s="6" t="s">
        <v>764</v>
      </c>
      <c r="K3320" s="7">
        <v>6060188</v>
      </c>
      <c r="L3320" s="7">
        <v>280808</v>
      </c>
      <c r="M3320" s="7">
        <v>19</v>
      </c>
      <c r="N3320" s="7">
        <v>1</v>
      </c>
      <c r="O3320" s="7">
        <v>4.5</v>
      </c>
    </row>
    <row r="3321" spans="1:15" x14ac:dyDescent="0.25">
      <c r="A3321" s="6" t="s">
        <v>28</v>
      </c>
      <c r="B3321" s="6" t="s">
        <v>704</v>
      </c>
      <c r="C3321" s="7">
        <v>31810</v>
      </c>
      <c r="D3321" s="6" t="s">
        <v>39</v>
      </c>
      <c r="E3321" s="6" t="s">
        <v>72</v>
      </c>
      <c r="F3321" s="6" t="s">
        <v>636</v>
      </c>
      <c r="G3321" s="6" t="s">
        <v>32</v>
      </c>
      <c r="H3321" s="6" t="s">
        <v>33</v>
      </c>
      <c r="I3321" s="6" t="s">
        <v>767</v>
      </c>
      <c r="J3321" s="6" t="s">
        <v>767</v>
      </c>
      <c r="K3321" s="7">
        <v>6060960</v>
      </c>
      <c r="L3321" s="7">
        <v>278613</v>
      </c>
      <c r="M3321" s="7">
        <v>19</v>
      </c>
      <c r="N3321" s="7">
        <v>5</v>
      </c>
      <c r="O3321" s="7">
        <v>73</v>
      </c>
    </row>
    <row r="3322" spans="1:15" x14ac:dyDescent="0.25">
      <c r="A3322" s="6" t="s">
        <v>28</v>
      </c>
      <c r="B3322" s="6" t="s">
        <v>704</v>
      </c>
      <c r="C3322" s="7">
        <v>31822</v>
      </c>
      <c r="D3322" s="6" t="s">
        <v>39</v>
      </c>
      <c r="E3322" s="6" t="s">
        <v>72</v>
      </c>
      <c r="F3322" s="6" t="s">
        <v>72</v>
      </c>
      <c r="G3322" s="6" t="s">
        <v>32</v>
      </c>
      <c r="H3322" s="6" t="s">
        <v>33</v>
      </c>
      <c r="I3322" s="6" t="s">
        <v>767</v>
      </c>
      <c r="J3322" s="6" t="s">
        <v>767</v>
      </c>
      <c r="K3322" s="7">
        <v>6061516</v>
      </c>
      <c r="L3322" s="7">
        <v>277769</v>
      </c>
      <c r="M3322" s="7">
        <v>19</v>
      </c>
      <c r="N3322" s="7">
        <v>3</v>
      </c>
      <c r="O3322" s="7">
        <v>24</v>
      </c>
    </row>
    <row r="3323" spans="1:15" x14ac:dyDescent="0.25">
      <c r="A3323" s="6" t="s">
        <v>28</v>
      </c>
      <c r="B3323" s="6" t="s">
        <v>704</v>
      </c>
      <c r="C3323" s="7">
        <v>31829</v>
      </c>
      <c r="D3323" s="6" t="s">
        <v>39</v>
      </c>
      <c r="E3323" s="6" t="s">
        <v>72</v>
      </c>
      <c r="F3323" s="6" t="s">
        <v>72</v>
      </c>
      <c r="G3323" s="6" t="s">
        <v>32</v>
      </c>
      <c r="H3323" s="6" t="s">
        <v>33</v>
      </c>
      <c r="I3323" s="6" t="s">
        <v>767</v>
      </c>
      <c r="J3323" s="6" t="s">
        <v>767</v>
      </c>
      <c r="K3323" s="7">
        <v>6061845</v>
      </c>
      <c r="L3323" s="7">
        <v>277773</v>
      </c>
      <c r="M3323" s="7">
        <v>19</v>
      </c>
      <c r="N3323" s="7">
        <v>4</v>
      </c>
      <c r="O3323" s="7">
        <v>51</v>
      </c>
    </row>
    <row r="3324" spans="1:15" x14ac:dyDescent="0.25">
      <c r="A3324" s="6" t="s">
        <v>28</v>
      </c>
      <c r="B3324" s="6" t="s">
        <v>704</v>
      </c>
      <c r="C3324" s="7">
        <v>31847</v>
      </c>
      <c r="D3324" s="6" t="s">
        <v>39</v>
      </c>
      <c r="E3324" s="6" t="s">
        <v>72</v>
      </c>
      <c r="F3324" s="6" t="s">
        <v>72</v>
      </c>
      <c r="G3324" s="6" t="s">
        <v>32</v>
      </c>
      <c r="H3324" s="6" t="s">
        <v>33</v>
      </c>
      <c r="I3324" s="6" t="s">
        <v>767</v>
      </c>
      <c r="J3324" s="6" t="s">
        <v>767</v>
      </c>
      <c r="K3324" s="7">
        <v>6062424</v>
      </c>
      <c r="L3324" s="7">
        <v>278138</v>
      </c>
      <c r="M3324" s="7">
        <v>19</v>
      </c>
      <c r="N3324" s="7">
        <v>2</v>
      </c>
      <c r="O3324" s="7">
        <v>43</v>
      </c>
    </row>
    <row r="3325" spans="1:15" x14ac:dyDescent="0.25">
      <c r="A3325" s="6" t="s">
        <v>14</v>
      </c>
      <c r="B3325" s="6" t="s">
        <v>704</v>
      </c>
      <c r="C3325" s="7">
        <v>31922</v>
      </c>
      <c r="D3325" s="6" t="s">
        <v>39</v>
      </c>
      <c r="E3325" s="6" t="s">
        <v>58</v>
      </c>
      <c r="F3325" s="6" t="s">
        <v>108</v>
      </c>
      <c r="G3325" s="6" t="s">
        <v>32</v>
      </c>
      <c r="H3325" s="6" t="s">
        <v>33</v>
      </c>
      <c r="I3325" s="6" t="s">
        <v>767</v>
      </c>
      <c r="J3325" s="6" t="s">
        <v>764</v>
      </c>
      <c r="K3325" s="7">
        <v>6003781</v>
      </c>
      <c r="L3325" s="7">
        <v>274925</v>
      </c>
      <c r="M3325" s="7">
        <v>19</v>
      </c>
      <c r="N3325" s="7">
        <v>1</v>
      </c>
      <c r="O3325" s="7">
        <v>14</v>
      </c>
    </row>
    <row r="3326" spans="1:15" x14ac:dyDescent="0.25">
      <c r="A3326" s="6" t="s">
        <v>14</v>
      </c>
      <c r="B3326" s="6" t="s">
        <v>704</v>
      </c>
      <c r="C3326" s="7">
        <v>31925</v>
      </c>
      <c r="D3326" s="6" t="s">
        <v>39</v>
      </c>
      <c r="E3326" s="6" t="s">
        <v>58</v>
      </c>
      <c r="F3326" s="6" t="s">
        <v>108</v>
      </c>
      <c r="G3326" s="6" t="s">
        <v>32</v>
      </c>
      <c r="H3326" s="6" t="s">
        <v>33</v>
      </c>
      <c r="I3326" s="6" t="s">
        <v>767</v>
      </c>
      <c r="J3326" s="6" t="s">
        <v>764</v>
      </c>
      <c r="K3326" s="7">
        <v>6003298</v>
      </c>
      <c r="L3326" s="7">
        <v>275270</v>
      </c>
      <c r="M3326" s="7">
        <v>19</v>
      </c>
      <c r="N3326" s="7">
        <v>1</v>
      </c>
      <c r="O3326" s="7">
        <v>3</v>
      </c>
    </row>
    <row r="3327" spans="1:15" x14ac:dyDescent="0.25">
      <c r="A3327" s="6" t="s">
        <v>14</v>
      </c>
      <c r="B3327" s="6" t="s">
        <v>704</v>
      </c>
      <c r="C3327" s="7">
        <v>31929</v>
      </c>
      <c r="D3327" s="6" t="s">
        <v>39</v>
      </c>
      <c r="E3327" s="6" t="s">
        <v>58</v>
      </c>
      <c r="F3327" s="6" t="s">
        <v>108</v>
      </c>
      <c r="G3327" s="6" t="s">
        <v>32</v>
      </c>
      <c r="H3327" s="6" t="s">
        <v>33</v>
      </c>
      <c r="I3327" s="6" t="s">
        <v>767</v>
      </c>
      <c r="J3327" s="6" t="s">
        <v>764</v>
      </c>
      <c r="K3327" s="7">
        <v>6003214</v>
      </c>
      <c r="L3327" s="7">
        <v>274650</v>
      </c>
      <c r="M3327" s="7">
        <v>19</v>
      </c>
      <c r="N3327" s="7">
        <v>1</v>
      </c>
      <c r="O3327" s="7">
        <v>20</v>
      </c>
    </row>
    <row r="3328" spans="1:15" x14ac:dyDescent="0.25">
      <c r="A3328" s="6" t="s">
        <v>28</v>
      </c>
      <c r="B3328" s="6" t="s">
        <v>704</v>
      </c>
      <c r="C3328" s="7">
        <v>31933</v>
      </c>
      <c r="D3328" s="6" t="s">
        <v>39</v>
      </c>
      <c r="E3328" s="6" t="s">
        <v>58</v>
      </c>
      <c r="F3328" s="6" t="s">
        <v>108</v>
      </c>
      <c r="G3328" s="6" t="s">
        <v>32</v>
      </c>
      <c r="H3328" s="6" t="s">
        <v>33</v>
      </c>
      <c r="I3328" s="6" t="s">
        <v>767</v>
      </c>
      <c r="J3328" s="6" t="s">
        <v>767</v>
      </c>
      <c r="K3328" s="7">
        <v>6003290</v>
      </c>
      <c r="L3328" s="7">
        <v>274034</v>
      </c>
      <c r="M3328" s="7">
        <v>19</v>
      </c>
      <c r="N3328" s="7">
        <v>1</v>
      </c>
      <c r="O3328" s="7">
        <v>40</v>
      </c>
    </row>
    <row r="3329" spans="1:15" x14ac:dyDescent="0.25">
      <c r="A3329" s="6" t="s">
        <v>14</v>
      </c>
      <c r="B3329" s="6" t="s">
        <v>704</v>
      </c>
      <c r="C3329" s="7">
        <v>31937</v>
      </c>
      <c r="D3329" s="6" t="s">
        <v>39</v>
      </c>
      <c r="E3329" s="6" t="s">
        <v>58</v>
      </c>
      <c r="F3329" s="6" t="s">
        <v>108</v>
      </c>
      <c r="G3329" s="6" t="s">
        <v>32</v>
      </c>
      <c r="H3329" s="6" t="s">
        <v>33</v>
      </c>
      <c r="I3329" s="6" t="s">
        <v>767</v>
      </c>
      <c r="J3329" s="6" t="s">
        <v>764</v>
      </c>
      <c r="K3329" s="7">
        <v>6004532</v>
      </c>
      <c r="L3329" s="7">
        <v>273363</v>
      </c>
      <c r="M3329" s="7">
        <v>19</v>
      </c>
      <c r="N3329" s="7">
        <v>1</v>
      </c>
      <c r="O3329" s="7">
        <v>16</v>
      </c>
    </row>
    <row r="3330" spans="1:15" x14ac:dyDescent="0.25">
      <c r="A3330" s="6" t="s">
        <v>14</v>
      </c>
      <c r="B3330" s="6" t="s">
        <v>704</v>
      </c>
      <c r="C3330" s="7">
        <v>31944</v>
      </c>
      <c r="D3330" s="6" t="s">
        <v>39</v>
      </c>
      <c r="E3330" s="6" t="s">
        <v>58</v>
      </c>
      <c r="F3330" s="6" t="s">
        <v>108</v>
      </c>
      <c r="G3330" s="6" t="s">
        <v>32</v>
      </c>
      <c r="H3330" s="6" t="s">
        <v>33</v>
      </c>
      <c r="I3330" s="6" t="s">
        <v>767</v>
      </c>
      <c r="J3330" s="6" t="s">
        <v>764</v>
      </c>
      <c r="K3330" s="7">
        <v>6004192</v>
      </c>
      <c r="L3330" s="7">
        <v>273566</v>
      </c>
      <c r="M3330" s="7">
        <v>19</v>
      </c>
      <c r="N3330" s="7">
        <v>1</v>
      </c>
      <c r="O3330" s="7">
        <v>16</v>
      </c>
    </row>
    <row r="3331" spans="1:15" x14ac:dyDescent="0.25">
      <c r="A3331" s="6" t="s">
        <v>14</v>
      </c>
      <c r="B3331" s="6" t="s">
        <v>704</v>
      </c>
      <c r="C3331" s="7">
        <v>31953</v>
      </c>
      <c r="D3331" s="6" t="s">
        <v>39</v>
      </c>
      <c r="E3331" s="6" t="s">
        <v>58</v>
      </c>
      <c r="F3331" s="6" t="s">
        <v>108</v>
      </c>
      <c r="G3331" s="6" t="s">
        <v>32</v>
      </c>
      <c r="H3331" s="6" t="s">
        <v>33</v>
      </c>
      <c r="I3331" s="6" t="s">
        <v>767</v>
      </c>
      <c r="J3331" s="6" t="s">
        <v>767</v>
      </c>
      <c r="K3331" s="7">
        <v>6004595</v>
      </c>
      <c r="L3331" s="7">
        <v>274482</v>
      </c>
      <c r="M3331" s="7">
        <v>19</v>
      </c>
      <c r="N3331" s="7">
        <v>1</v>
      </c>
      <c r="O3331" s="7">
        <v>19</v>
      </c>
    </row>
    <row r="3332" spans="1:15" x14ac:dyDescent="0.25">
      <c r="A3332" s="6" t="s">
        <v>14</v>
      </c>
      <c r="B3332" s="6" t="s">
        <v>704</v>
      </c>
      <c r="C3332" s="7">
        <v>31955</v>
      </c>
      <c r="D3332" s="6" t="s">
        <v>39</v>
      </c>
      <c r="E3332" s="6" t="s">
        <v>58</v>
      </c>
      <c r="F3332" s="6" t="s">
        <v>108</v>
      </c>
      <c r="G3332" s="6" t="s">
        <v>32</v>
      </c>
      <c r="H3332" s="6" t="s">
        <v>33</v>
      </c>
      <c r="I3332" s="6" t="s">
        <v>767</v>
      </c>
      <c r="J3332" s="6" t="s">
        <v>764</v>
      </c>
      <c r="K3332" s="7">
        <v>6003271</v>
      </c>
      <c r="L3332" s="7">
        <v>274946</v>
      </c>
      <c r="M3332" s="7">
        <v>19</v>
      </c>
      <c r="N3332" s="7">
        <v>1</v>
      </c>
      <c r="O3332" s="7">
        <v>13</v>
      </c>
    </row>
    <row r="3333" spans="1:15" x14ac:dyDescent="0.25">
      <c r="A3333" s="6" t="s">
        <v>14</v>
      </c>
      <c r="B3333" s="6" t="s">
        <v>704</v>
      </c>
      <c r="C3333" s="7">
        <v>32429</v>
      </c>
      <c r="D3333" s="6" t="s">
        <v>42</v>
      </c>
      <c r="E3333" s="6" t="s">
        <v>167</v>
      </c>
      <c r="F3333" s="6" t="s">
        <v>705</v>
      </c>
      <c r="G3333" s="6" t="s">
        <v>32</v>
      </c>
      <c r="H3333" s="6" t="s">
        <v>33</v>
      </c>
      <c r="I3333" s="6" t="s">
        <v>767</v>
      </c>
      <c r="J3333" s="6" t="s">
        <v>767</v>
      </c>
      <c r="K3333" s="7">
        <v>6226546</v>
      </c>
      <c r="L3333" s="7">
        <v>335450</v>
      </c>
      <c r="M3333" s="7">
        <v>19</v>
      </c>
      <c r="N3333" s="7">
        <v>1</v>
      </c>
      <c r="O3333" s="7">
        <v>25</v>
      </c>
    </row>
    <row r="3334" spans="1:15" x14ac:dyDescent="0.25">
      <c r="A3334" s="6" t="s">
        <v>14</v>
      </c>
      <c r="B3334" s="6" t="s">
        <v>704</v>
      </c>
      <c r="C3334" s="7">
        <v>32430</v>
      </c>
      <c r="D3334" s="6" t="s">
        <v>42</v>
      </c>
      <c r="E3334" s="6" t="s">
        <v>196</v>
      </c>
      <c r="F3334" s="6" t="s">
        <v>411</v>
      </c>
      <c r="G3334" s="6" t="s">
        <v>32</v>
      </c>
      <c r="H3334" s="6" t="s">
        <v>33</v>
      </c>
      <c r="I3334" s="6" t="s">
        <v>767</v>
      </c>
      <c r="J3334" s="6" t="s">
        <v>764</v>
      </c>
      <c r="K3334" s="7">
        <v>6219635</v>
      </c>
      <c r="L3334" s="7">
        <v>331487</v>
      </c>
      <c r="M3334" s="7">
        <v>19</v>
      </c>
      <c r="N3334" s="7">
        <v>1</v>
      </c>
      <c r="O3334" s="7">
        <v>9</v>
      </c>
    </row>
    <row r="3335" spans="1:15" x14ac:dyDescent="0.25">
      <c r="A3335" s="6" t="s">
        <v>22</v>
      </c>
      <c r="B3335" s="6" t="s">
        <v>704</v>
      </c>
      <c r="C3335" s="7">
        <v>32492</v>
      </c>
      <c r="D3335" s="6" t="s">
        <v>42</v>
      </c>
      <c r="E3335" s="6" t="s">
        <v>192</v>
      </c>
      <c r="F3335" s="6" t="s">
        <v>193</v>
      </c>
      <c r="G3335" s="6" t="s">
        <v>32</v>
      </c>
      <c r="H3335" s="6" t="s">
        <v>765</v>
      </c>
      <c r="I3335" s="6" t="s">
        <v>767</v>
      </c>
      <c r="J3335" s="6" t="s">
        <v>767</v>
      </c>
      <c r="K3335" s="7">
        <v>6236084</v>
      </c>
      <c r="L3335" s="7">
        <v>343755</v>
      </c>
      <c r="M3335" s="7">
        <v>19</v>
      </c>
      <c r="N3335" s="7">
        <v>2</v>
      </c>
      <c r="O3335" s="7">
        <v>1.36</v>
      </c>
    </row>
    <row r="3336" spans="1:15" x14ac:dyDescent="0.25">
      <c r="A3336" s="6" t="s">
        <v>28</v>
      </c>
      <c r="B3336" s="6" t="s">
        <v>704</v>
      </c>
      <c r="C3336" s="7">
        <v>32733</v>
      </c>
      <c r="D3336" s="6" t="s">
        <v>39</v>
      </c>
      <c r="E3336" s="6" t="s">
        <v>72</v>
      </c>
      <c r="F3336" s="6" t="s">
        <v>72</v>
      </c>
      <c r="G3336" s="6" t="s">
        <v>32</v>
      </c>
      <c r="H3336" s="6" t="s">
        <v>33</v>
      </c>
      <c r="I3336" s="6" t="s">
        <v>767</v>
      </c>
      <c r="J3336" s="6" t="s">
        <v>767</v>
      </c>
      <c r="K3336" s="7">
        <v>6060587</v>
      </c>
      <c r="L3336" s="7">
        <v>279021</v>
      </c>
      <c r="M3336" s="7">
        <v>19</v>
      </c>
      <c r="N3336" s="7">
        <v>1</v>
      </c>
      <c r="O3336" s="7">
        <v>7</v>
      </c>
    </row>
    <row r="3337" spans="1:15" x14ac:dyDescent="0.25">
      <c r="A3337" s="6" t="s">
        <v>28</v>
      </c>
      <c r="B3337" s="6" t="s">
        <v>704</v>
      </c>
      <c r="C3337" s="7">
        <v>32737</v>
      </c>
      <c r="D3337" s="6" t="s">
        <v>39</v>
      </c>
      <c r="E3337" s="6" t="s">
        <v>72</v>
      </c>
      <c r="F3337" s="6" t="s">
        <v>72</v>
      </c>
      <c r="G3337" s="6" t="s">
        <v>32</v>
      </c>
      <c r="H3337" s="6" t="s">
        <v>33</v>
      </c>
      <c r="I3337" s="6" t="s">
        <v>767</v>
      </c>
      <c r="J3337" s="6" t="s">
        <v>767</v>
      </c>
      <c r="K3337" s="7">
        <v>6062430</v>
      </c>
      <c r="L3337" s="7">
        <v>278780</v>
      </c>
      <c r="M3337" s="7">
        <v>19</v>
      </c>
      <c r="N3337" s="7">
        <v>1</v>
      </c>
      <c r="O3337" s="7">
        <v>10</v>
      </c>
    </row>
    <row r="3338" spans="1:15" x14ac:dyDescent="0.25">
      <c r="A3338" s="6" t="s">
        <v>28</v>
      </c>
      <c r="B3338" s="6" t="s">
        <v>704</v>
      </c>
      <c r="C3338" s="7">
        <v>32745</v>
      </c>
      <c r="D3338" s="6" t="s">
        <v>39</v>
      </c>
      <c r="E3338" s="6" t="s">
        <v>72</v>
      </c>
      <c r="F3338" s="6" t="s">
        <v>72</v>
      </c>
      <c r="G3338" s="6" t="s">
        <v>32</v>
      </c>
      <c r="H3338" s="6" t="s">
        <v>33</v>
      </c>
      <c r="I3338" s="6" t="s">
        <v>767</v>
      </c>
      <c r="J3338" s="6" t="s">
        <v>764</v>
      </c>
      <c r="K3338" s="7">
        <v>6064938</v>
      </c>
      <c r="L3338" s="7">
        <v>269666</v>
      </c>
      <c r="M3338" s="7">
        <v>19</v>
      </c>
      <c r="N3338" s="7">
        <v>1</v>
      </c>
      <c r="O3338" s="7">
        <v>25</v>
      </c>
    </row>
    <row r="3339" spans="1:15" x14ac:dyDescent="0.25">
      <c r="A3339" s="6" t="s">
        <v>22</v>
      </c>
      <c r="B3339" s="6" t="s">
        <v>704</v>
      </c>
      <c r="C3339" s="7">
        <v>32757</v>
      </c>
      <c r="D3339" s="6" t="s">
        <v>42</v>
      </c>
      <c r="E3339" s="6" t="s">
        <v>192</v>
      </c>
      <c r="F3339" s="6" t="s">
        <v>193</v>
      </c>
      <c r="G3339" s="6" t="s">
        <v>89</v>
      </c>
      <c r="H3339" s="6" t="s">
        <v>765</v>
      </c>
      <c r="I3339" s="6" t="s">
        <v>767</v>
      </c>
      <c r="J3339" s="6" t="s">
        <v>767</v>
      </c>
      <c r="K3339" s="7">
        <v>6236084</v>
      </c>
      <c r="L3339" s="7">
        <v>343755</v>
      </c>
      <c r="M3339" s="7">
        <v>19</v>
      </c>
      <c r="N3339" s="7">
        <v>1</v>
      </c>
      <c r="O3339" s="7">
        <v>7.0000000000000007E-2</v>
      </c>
    </row>
    <row r="3340" spans="1:15" x14ac:dyDescent="0.25">
      <c r="A3340" s="6" t="s">
        <v>28</v>
      </c>
      <c r="B3340" s="6" t="s">
        <v>704</v>
      </c>
      <c r="C3340" s="7">
        <v>32762</v>
      </c>
      <c r="D3340" s="6" t="s">
        <v>39</v>
      </c>
      <c r="E3340" s="6" t="s">
        <v>72</v>
      </c>
      <c r="F3340" s="6" t="s">
        <v>72</v>
      </c>
      <c r="G3340" s="6" t="s">
        <v>32</v>
      </c>
      <c r="H3340" s="6" t="s">
        <v>33</v>
      </c>
      <c r="I3340" s="6" t="s">
        <v>767</v>
      </c>
      <c r="J3340" s="6" t="s">
        <v>767</v>
      </c>
      <c r="K3340" s="7">
        <v>6064381</v>
      </c>
      <c r="L3340" s="7">
        <v>276807</v>
      </c>
      <c r="M3340" s="7">
        <v>19</v>
      </c>
      <c r="N3340" s="7">
        <v>4</v>
      </c>
      <c r="O3340" s="7">
        <v>42</v>
      </c>
    </row>
    <row r="3341" spans="1:15" x14ac:dyDescent="0.25">
      <c r="A3341" s="6" t="s">
        <v>28</v>
      </c>
      <c r="B3341" s="6" t="s">
        <v>704</v>
      </c>
      <c r="C3341" s="7">
        <v>32784</v>
      </c>
      <c r="D3341" s="6" t="s">
        <v>39</v>
      </c>
      <c r="E3341" s="6" t="s">
        <v>72</v>
      </c>
      <c r="F3341" s="6" t="s">
        <v>630</v>
      </c>
      <c r="G3341" s="6" t="s">
        <v>32</v>
      </c>
      <c r="H3341" s="6" t="s">
        <v>33</v>
      </c>
      <c r="I3341" s="6" t="s">
        <v>767</v>
      </c>
      <c r="J3341" s="6" t="s">
        <v>767</v>
      </c>
      <c r="K3341" s="7">
        <v>6064580</v>
      </c>
      <c r="L3341" s="7">
        <v>277330</v>
      </c>
      <c r="M3341" s="7">
        <v>19</v>
      </c>
      <c r="N3341" s="7">
        <v>4</v>
      </c>
      <c r="O3341" s="7">
        <v>62</v>
      </c>
    </row>
    <row r="3342" spans="1:15" x14ac:dyDescent="0.25">
      <c r="A3342" s="6" t="s">
        <v>14</v>
      </c>
      <c r="B3342" s="6" t="s">
        <v>704</v>
      </c>
      <c r="C3342" s="7">
        <v>32804</v>
      </c>
      <c r="D3342" s="6" t="s">
        <v>39</v>
      </c>
      <c r="E3342" s="6" t="s">
        <v>72</v>
      </c>
      <c r="F3342" s="6" t="s">
        <v>72</v>
      </c>
      <c r="G3342" s="6" t="s">
        <v>32</v>
      </c>
      <c r="H3342" s="6" t="s">
        <v>33</v>
      </c>
      <c r="I3342" s="6" t="s">
        <v>767</v>
      </c>
      <c r="J3342" s="6" t="s">
        <v>764</v>
      </c>
      <c r="K3342" s="7">
        <v>6063936</v>
      </c>
      <c r="L3342" s="7">
        <v>279175</v>
      </c>
      <c r="M3342" s="7">
        <v>19</v>
      </c>
      <c r="N3342" s="7">
        <v>1</v>
      </c>
      <c r="O3342" s="7">
        <v>5</v>
      </c>
    </row>
    <row r="3343" spans="1:15" x14ac:dyDescent="0.25">
      <c r="A3343" s="6" t="s">
        <v>14</v>
      </c>
      <c r="B3343" s="6" t="s">
        <v>704</v>
      </c>
      <c r="C3343" s="7">
        <v>32806</v>
      </c>
      <c r="D3343" s="6" t="s">
        <v>39</v>
      </c>
      <c r="E3343" s="6" t="s">
        <v>72</v>
      </c>
      <c r="F3343" s="6" t="s">
        <v>72</v>
      </c>
      <c r="G3343" s="6" t="s">
        <v>32</v>
      </c>
      <c r="H3343" s="6" t="s">
        <v>33</v>
      </c>
      <c r="I3343" s="6" t="s">
        <v>767</v>
      </c>
      <c r="J3343" s="6" t="s">
        <v>764</v>
      </c>
      <c r="K3343" s="7">
        <v>6074656</v>
      </c>
      <c r="L3343" s="7">
        <v>283090</v>
      </c>
      <c r="M3343" s="7">
        <v>19</v>
      </c>
      <c r="N3343" s="7">
        <v>1</v>
      </c>
      <c r="O3343" s="7">
        <v>10</v>
      </c>
    </row>
    <row r="3344" spans="1:15" x14ac:dyDescent="0.25">
      <c r="A3344" s="6" t="s">
        <v>14</v>
      </c>
      <c r="B3344" s="6" t="s">
        <v>704</v>
      </c>
      <c r="C3344" s="7">
        <v>32813</v>
      </c>
      <c r="D3344" s="6" t="s">
        <v>39</v>
      </c>
      <c r="E3344" s="6" t="s">
        <v>72</v>
      </c>
      <c r="F3344" s="6" t="s">
        <v>72</v>
      </c>
      <c r="G3344" s="6" t="s">
        <v>32</v>
      </c>
      <c r="H3344" s="6" t="s">
        <v>33</v>
      </c>
      <c r="I3344" s="6" t="s">
        <v>767</v>
      </c>
      <c r="J3344" s="6" t="s">
        <v>764</v>
      </c>
      <c r="K3344" s="7">
        <v>6071151</v>
      </c>
      <c r="L3344" s="7">
        <v>279724</v>
      </c>
      <c r="M3344" s="7">
        <v>19</v>
      </c>
      <c r="N3344" s="7">
        <v>1</v>
      </c>
      <c r="O3344" s="7">
        <v>12</v>
      </c>
    </row>
    <row r="3345" spans="1:15" x14ac:dyDescent="0.25">
      <c r="A3345" s="6" t="s">
        <v>28</v>
      </c>
      <c r="B3345" s="6" t="s">
        <v>704</v>
      </c>
      <c r="C3345" s="7">
        <v>32910</v>
      </c>
      <c r="D3345" s="6" t="s">
        <v>39</v>
      </c>
      <c r="E3345" s="6" t="s">
        <v>72</v>
      </c>
      <c r="F3345" s="6" t="s">
        <v>72</v>
      </c>
      <c r="G3345" s="6" t="s">
        <v>32</v>
      </c>
      <c r="H3345" s="6" t="s">
        <v>33</v>
      </c>
      <c r="I3345" s="6" t="s">
        <v>767</v>
      </c>
      <c r="J3345" s="6" t="s">
        <v>767</v>
      </c>
      <c r="K3345" s="7">
        <v>6060387</v>
      </c>
      <c r="L3345" s="7">
        <v>278906</v>
      </c>
      <c r="M3345" s="7">
        <v>19</v>
      </c>
      <c r="N3345" s="7">
        <v>10</v>
      </c>
      <c r="O3345" s="7">
        <v>86.41</v>
      </c>
    </row>
    <row r="3346" spans="1:15" x14ac:dyDescent="0.25">
      <c r="A3346" s="6" t="s">
        <v>28</v>
      </c>
      <c r="B3346" s="6" t="s">
        <v>704</v>
      </c>
      <c r="C3346" s="7">
        <v>32919</v>
      </c>
      <c r="D3346" s="6" t="s">
        <v>39</v>
      </c>
      <c r="E3346" s="6" t="s">
        <v>80</v>
      </c>
      <c r="F3346" s="6" t="s">
        <v>716</v>
      </c>
      <c r="G3346" s="6" t="s">
        <v>32</v>
      </c>
      <c r="H3346" s="6" t="s">
        <v>33</v>
      </c>
      <c r="I3346" s="6" t="s">
        <v>767</v>
      </c>
      <c r="J3346" s="6" t="s">
        <v>767</v>
      </c>
      <c r="K3346" s="7">
        <v>6078493</v>
      </c>
      <c r="L3346" s="7">
        <v>281438</v>
      </c>
      <c r="M3346" s="7">
        <v>19</v>
      </c>
      <c r="N3346" s="7">
        <v>2</v>
      </c>
      <c r="O3346" s="7">
        <v>150</v>
      </c>
    </row>
    <row r="3347" spans="1:15" x14ac:dyDescent="0.25">
      <c r="A3347" s="6" t="s">
        <v>28</v>
      </c>
      <c r="B3347" s="6" t="s">
        <v>704</v>
      </c>
      <c r="C3347" s="7">
        <v>33138</v>
      </c>
      <c r="D3347" s="6" t="s">
        <v>42</v>
      </c>
      <c r="E3347" s="6" t="s">
        <v>196</v>
      </c>
      <c r="F3347" s="6" t="s">
        <v>384</v>
      </c>
      <c r="G3347" s="6" t="s">
        <v>32</v>
      </c>
      <c r="H3347" s="6" t="s">
        <v>33</v>
      </c>
      <c r="I3347" s="6" t="s">
        <v>764</v>
      </c>
      <c r="J3347" s="6" t="s">
        <v>767</v>
      </c>
      <c r="K3347" s="7">
        <v>6221056</v>
      </c>
      <c r="L3347" s="7">
        <v>338609</v>
      </c>
      <c r="M3347" s="7">
        <v>19</v>
      </c>
      <c r="N3347" s="7">
        <v>4</v>
      </c>
      <c r="O3347" s="7">
        <v>34</v>
      </c>
    </row>
    <row r="3348" spans="1:15" x14ac:dyDescent="0.25">
      <c r="A3348" s="6" t="s">
        <v>14</v>
      </c>
      <c r="B3348" s="6" t="s">
        <v>704</v>
      </c>
      <c r="C3348" s="7">
        <v>33193</v>
      </c>
      <c r="D3348" s="6" t="s">
        <v>42</v>
      </c>
      <c r="E3348" s="6" t="s">
        <v>66</v>
      </c>
      <c r="F3348" s="6" t="s">
        <v>208</v>
      </c>
      <c r="G3348" s="6" t="s">
        <v>32</v>
      </c>
      <c r="H3348" s="6" t="s">
        <v>33</v>
      </c>
      <c r="I3348" s="6" t="s">
        <v>767</v>
      </c>
      <c r="J3348" s="6" t="s">
        <v>764</v>
      </c>
      <c r="K3348" s="7">
        <v>6220954</v>
      </c>
      <c r="L3348" s="7">
        <v>348477</v>
      </c>
      <c r="M3348" s="7">
        <v>19</v>
      </c>
      <c r="N3348" s="7">
        <v>1</v>
      </c>
      <c r="O3348" s="7">
        <v>17</v>
      </c>
    </row>
    <row r="3349" spans="1:15" x14ac:dyDescent="0.25">
      <c r="A3349" s="6" t="s">
        <v>28</v>
      </c>
      <c r="B3349" s="6" t="s">
        <v>704</v>
      </c>
      <c r="C3349" s="7">
        <v>33923</v>
      </c>
      <c r="D3349" s="6" t="s">
        <v>42</v>
      </c>
      <c r="E3349" s="6" t="s">
        <v>66</v>
      </c>
      <c r="F3349" s="6" t="s">
        <v>208</v>
      </c>
      <c r="G3349" s="6" t="s">
        <v>32</v>
      </c>
      <c r="H3349" s="6" t="s">
        <v>19</v>
      </c>
      <c r="I3349" s="6" t="s">
        <v>767</v>
      </c>
      <c r="J3349" s="6" t="s">
        <v>767</v>
      </c>
      <c r="K3349" s="7">
        <v>6220820</v>
      </c>
      <c r="L3349" s="7">
        <v>346707</v>
      </c>
      <c r="M3349" s="7">
        <v>19</v>
      </c>
      <c r="N3349" s="7">
        <v>1</v>
      </c>
      <c r="O3349" s="7">
        <v>1</v>
      </c>
    </row>
    <row r="3350" spans="1:15" x14ac:dyDescent="0.25">
      <c r="A3350" s="6" t="s">
        <v>14</v>
      </c>
      <c r="B3350" s="6" t="s">
        <v>704</v>
      </c>
      <c r="C3350" s="7">
        <v>34350</v>
      </c>
      <c r="D3350" s="6" t="s">
        <v>39</v>
      </c>
      <c r="E3350" s="6" t="s">
        <v>72</v>
      </c>
      <c r="F3350" s="6" t="s">
        <v>72</v>
      </c>
      <c r="G3350" s="6" t="s">
        <v>89</v>
      </c>
      <c r="H3350" s="6" t="s">
        <v>101</v>
      </c>
      <c r="I3350" s="6" t="s">
        <v>767</v>
      </c>
      <c r="J3350" s="6" t="s">
        <v>767</v>
      </c>
      <c r="K3350" s="7">
        <v>6063922</v>
      </c>
      <c r="L3350" s="7">
        <v>279507</v>
      </c>
      <c r="M3350" s="7">
        <v>19</v>
      </c>
      <c r="N3350" s="7">
        <v>1</v>
      </c>
      <c r="O3350" s="7">
        <v>7</v>
      </c>
    </row>
    <row r="3351" spans="1:15" x14ac:dyDescent="0.25">
      <c r="A3351" s="6" t="s">
        <v>14</v>
      </c>
      <c r="B3351" s="6" t="s">
        <v>704</v>
      </c>
      <c r="C3351" s="7">
        <v>34353</v>
      </c>
      <c r="D3351" s="6" t="s">
        <v>39</v>
      </c>
      <c r="E3351" s="6" t="s">
        <v>72</v>
      </c>
      <c r="F3351" s="6" t="s">
        <v>72</v>
      </c>
      <c r="G3351" s="6" t="s">
        <v>89</v>
      </c>
      <c r="H3351" s="6" t="s">
        <v>101</v>
      </c>
      <c r="I3351" s="6" t="s">
        <v>767</v>
      </c>
      <c r="J3351" s="6" t="s">
        <v>767</v>
      </c>
      <c r="K3351" s="7">
        <v>6059646</v>
      </c>
      <c r="L3351" s="7">
        <v>279453</v>
      </c>
      <c r="M3351" s="7">
        <v>19</v>
      </c>
      <c r="N3351" s="7">
        <v>1</v>
      </c>
      <c r="O3351" s="7">
        <v>10</v>
      </c>
    </row>
    <row r="3352" spans="1:15" x14ac:dyDescent="0.25">
      <c r="A3352" s="6" t="s">
        <v>14</v>
      </c>
      <c r="B3352" s="6" t="s">
        <v>704</v>
      </c>
      <c r="C3352" s="7">
        <v>34359</v>
      </c>
      <c r="D3352" s="6" t="s">
        <v>39</v>
      </c>
      <c r="E3352" s="6" t="s">
        <v>72</v>
      </c>
      <c r="F3352" s="6" t="s">
        <v>72</v>
      </c>
      <c r="G3352" s="6" t="s">
        <v>89</v>
      </c>
      <c r="H3352" s="6" t="s">
        <v>101</v>
      </c>
      <c r="I3352" s="6" t="s">
        <v>767</v>
      </c>
      <c r="J3352" s="6" t="s">
        <v>767</v>
      </c>
      <c r="K3352" s="7">
        <v>6063770</v>
      </c>
      <c r="L3352" s="7">
        <v>279112</v>
      </c>
      <c r="M3352" s="7">
        <v>19</v>
      </c>
      <c r="N3352" s="7">
        <v>1</v>
      </c>
      <c r="O3352" s="7">
        <v>7</v>
      </c>
    </row>
    <row r="3353" spans="1:15" x14ac:dyDescent="0.25">
      <c r="A3353" s="6" t="s">
        <v>14</v>
      </c>
      <c r="B3353" s="6" t="s">
        <v>704</v>
      </c>
      <c r="C3353" s="7">
        <v>34370</v>
      </c>
      <c r="D3353" s="6" t="s">
        <v>39</v>
      </c>
      <c r="E3353" s="6" t="s">
        <v>72</v>
      </c>
      <c r="F3353" s="6" t="s">
        <v>709</v>
      </c>
      <c r="G3353" s="6" t="s">
        <v>89</v>
      </c>
      <c r="H3353" s="6" t="s">
        <v>101</v>
      </c>
      <c r="I3353" s="6" t="s">
        <v>767</v>
      </c>
      <c r="J3353" s="6" t="s">
        <v>767</v>
      </c>
      <c r="K3353" s="7">
        <v>6064681</v>
      </c>
      <c r="L3353" s="7">
        <v>278617</v>
      </c>
      <c r="M3353" s="7">
        <v>19</v>
      </c>
      <c r="N3353" s="7">
        <v>2</v>
      </c>
      <c r="O3353" s="7">
        <v>4.5</v>
      </c>
    </row>
    <row r="3354" spans="1:15" x14ac:dyDescent="0.25">
      <c r="A3354" s="6" t="s">
        <v>14</v>
      </c>
      <c r="B3354" s="6" t="s">
        <v>704</v>
      </c>
      <c r="C3354" s="7">
        <v>34403</v>
      </c>
      <c r="D3354" s="6" t="s">
        <v>39</v>
      </c>
      <c r="E3354" s="6" t="s">
        <v>72</v>
      </c>
      <c r="F3354" s="6" t="s">
        <v>72</v>
      </c>
      <c r="G3354" s="6" t="s">
        <v>89</v>
      </c>
      <c r="H3354" s="6" t="s">
        <v>101</v>
      </c>
      <c r="I3354" s="6" t="s">
        <v>767</v>
      </c>
      <c r="J3354" s="6" t="s">
        <v>767</v>
      </c>
      <c r="K3354" s="7">
        <v>6062506</v>
      </c>
      <c r="L3354" s="7">
        <v>278978</v>
      </c>
      <c r="M3354" s="7">
        <v>19</v>
      </c>
      <c r="N3354" s="7">
        <v>1</v>
      </c>
      <c r="O3354" s="7">
        <v>4</v>
      </c>
    </row>
    <row r="3355" spans="1:15" x14ac:dyDescent="0.25">
      <c r="A3355" s="6" t="s">
        <v>14</v>
      </c>
      <c r="B3355" s="6" t="s">
        <v>704</v>
      </c>
      <c r="C3355" s="7">
        <v>34407</v>
      </c>
      <c r="D3355" s="6" t="s">
        <v>39</v>
      </c>
      <c r="E3355" s="6" t="s">
        <v>72</v>
      </c>
      <c r="F3355" s="6" t="s">
        <v>72</v>
      </c>
      <c r="G3355" s="6" t="s">
        <v>89</v>
      </c>
      <c r="H3355" s="6" t="s">
        <v>101</v>
      </c>
      <c r="I3355" s="6" t="s">
        <v>767</v>
      </c>
      <c r="J3355" s="6" t="s">
        <v>767</v>
      </c>
      <c r="K3355" s="7">
        <v>6064681</v>
      </c>
      <c r="L3355" s="7">
        <v>278617</v>
      </c>
      <c r="M3355" s="7">
        <v>19</v>
      </c>
      <c r="N3355" s="7">
        <v>2</v>
      </c>
      <c r="O3355" s="7">
        <v>10</v>
      </c>
    </row>
    <row r="3356" spans="1:15" x14ac:dyDescent="0.25">
      <c r="A3356" s="6" t="s">
        <v>14</v>
      </c>
      <c r="B3356" s="6" t="s">
        <v>704</v>
      </c>
      <c r="C3356" s="7">
        <v>34409</v>
      </c>
      <c r="D3356" s="6" t="s">
        <v>39</v>
      </c>
      <c r="E3356" s="6" t="s">
        <v>72</v>
      </c>
      <c r="F3356" s="6" t="s">
        <v>72</v>
      </c>
      <c r="G3356" s="6" t="s">
        <v>89</v>
      </c>
      <c r="H3356" s="6" t="s">
        <v>101</v>
      </c>
      <c r="I3356" s="6" t="s">
        <v>767</v>
      </c>
      <c r="J3356" s="6" t="s">
        <v>767</v>
      </c>
      <c r="K3356" s="7">
        <v>6063908</v>
      </c>
      <c r="L3356" s="7">
        <v>276688</v>
      </c>
      <c r="M3356" s="7">
        <v>19</v>
      </c>
      <c r="N3356" s="7">
        <v>1</v>
      </c>
      <c r="O3356" s="7">
        <v>10</v>
      </c>
    </row>
    <row r="3357" spans="1:15" x14ac:dyDescent="0.25">
      <c r="A3357" s="6" t="s">
        <v>14</v>
      </c>
      <c r="B3357" s="6" t="s">
        <v>704</v>
      </c>
      <c r="C3357" s="7">
        <v>34410</v>
      </c>
      <c r="D3357" s="6" t="s">
        <v>39</v>
      </c>
      <c r="E3357" s="6" t="s">
        <v>72</v>
      </c>
      <c r="F3357" s="6" t="s">
        <v>131</v>
      </c>
      <c r="G3357" s="6" t="s">
        <v>89</v>
      </c>
      <c r="H3357" s="6" t="s">
        <v>101</v>
      </c>
      <c r="I3357" s="6" t="s">
        <v>767</v>
      </c>
      <c r="J3357" s="6" t="s">
        <v>767</v>
      </c>
      <c r="K3357" s="7">
        <v>6066156</v>
      </c>
      <c r="L3357" s="7">
        <v>280841</v>
      </c>
      <c r="M3357" s="7">
        <v>19</v>
      </c>
      <c r="N3357" s="7">
        <v>1</v>
      </c>
      <c r="O3357" s="7">
        <v>12</v>
      </c>
    </row>
    <row r="3358" spans="1:15" x14ac:dyDescent="0.25">
      <c r="A3358" s="6" t="s">
        <v>14</v>
      </c>
      <c r="B3358" s="6" t="s">
        <v>704</v>
      </c>
      <c r="C3358" s="7">
        <v>34511</v>
      </c>
      <c r="D3358" s="6" t="s">
        <v>39</v>
      </c>
      <c r="E3358" s="6" t="s">
        <v>72</v>
      </c>
      <c r="F3358" s="6" t="s">
        <v>72</v>
      </c>
      <c r="G3358" s="6" t="s">
        <v>89</v>
      </c>
      <c r="H3358" s="6" t="s">
        <v>101</v>
      </c>
      <c r="I3358" s="6" t="s">
        <v>767</v>
      </c>
      <c r="J3358" s="6" t="s">
        <v>767</v>
      </c>
      <c r="K3358" s="7">
        <v>6066851</v>
      </c>
      <c r="L3358" s="7">
        <v>279890</v>
      </c>
      <c r="M3358" s="7">
        <v>19</v>
      </c>
      <c r="N3358" s="7">
        <v>1</v>
      </c>
      <c r="O3358" s="7">
        <v>8</v>
      </c>
    </row>
    <row r="3359" spans="1:15" x14ac:dyDescent="0.25">
      <c r="A3359" s="6" t="s">
        <v>14</v>
      </c>
      <c r="B3359" s="6" t="s">
        <v>704</v>
      </c>
      <c r="C3359" s="7">
        <v>34512</v>
      </c>
      <c r="D3359" s="6" t="s">
        <v>39</v>
      </c>
      <c r="E3359" s="6" t="s">
        <v>159</v>
      </c>
      <c r="F3359" s="6" t="s">
        <v>256</v>
      </c>
      <c r="G3359" s="6" t="s">
        <v>89</v>
      </c>
      <c r="H3359" s="6" t="s">
        <v>101</v>
      </c>
      <c r="I3359" s="6" t="s">
        <v>767</v>
      </c>
      <c r="J3359" s="6" t="s">
        <v>767</v>
      </c>
      <c r="K3359" s="7">
        <v>6012532</v>
      </c>
      <c r="L3359" s="7">
        <v>770063</v>
      </c>
      <c r="M3359" s="7">
        <v>18</v>
      </c>
      <c r="N3359" s="7">
        <v>1</v>
      </c>
      <c r="O3359" s="7">
        <v>15</v>
      </c>
    </row>
    <row r="3360" spans="1:15" x14ac:dyDescent="0.25">
      <c r="A3360" s="6" t="s">
        <v>14</v>
      </c>
      <c r="B3360" s="6" t="s">
        <v>704</v>
      </c>
      <c r="C3360" s="7">
        <v>34591</v>
      </c>
      <c r="D3360" s="6" t="s">
        <v>39</v>
      </c>
      <c r="E3360" s="6" t="s">
        <v>72</v>
      </c>
      <c r="F3360" s="6" t="s">
        <v>72</v>
      </c>
      <c r="G3360" s="6" t="s">
        <v>89</v>
      </c>
      <c r="H3360" s="6" t="s">
        <v>101</v>
      </c>
      <c r="I3360" s="6" t="s">
        <v>767</v>
      </c>
      <c r="J3360" s="6" t="s">
        <v>767</v>
      </c>
      <c r="K3360" s="7">
        <v>6074175</v>
      </c>
      <c r="L3360" s="7">
        <v>283795</v>
      </c>
      <c r="M3360" s="7">
        <v>19</v>
      </c>
      <c r="N3360" s="7">
        <v>2</v>
      </c>
      <c r="O3360" s="7">
        <v>16</v>
      </c>
    </row>
    <row r="3361" spans="1:15" x14ac:dyDescent="0.25">
      <c r="A3361" s="6" t="s">
        <v>22</v>
      </c>
      <c r="B3361" s="6" t="s">
        <v>704</v>
      </c>
      <c r="C3361" s="7">
        <v>34713</v>
      </c>
      <c r="D3361" s="6" t="s">
        <v>42</v>
      </c>
      <c r="E3361" s="6" t="s">
        <v>167</v>
      </c>
      <c r="F3361" s="6" t="s">
        <v>705</v>
      </c>
      <c r="G3361" s="6" t="s">
        <v>32</v>
      </c>
      <c r="H3361" s="6" t="s">
        <v>765</v>
      </c>
      <c r="I3361" s="6" t="s">
        <v>767</v>
      </c>
      <c r="J3361" s="6" t="s">
        <v>767</v>
      </c>
      <c r="K3361" s="7">
        <v>6226683</v>
      </c>
      <c r="L3361" s="7">
        <v>335650</v>
      </c>
      <c r="M3361" s="7">
        <v>19</v>
      </c>
      <c r="N3361" s="7">
        <v>1</v>
      </c>
      <c r="O3361" s="7">
        <v>1.1299999999999999</v>
      </c>
    </row>
    <row r="3362" spans="1:15" x14ac:dyDescent="0.25">
      <c r="A3362" s="6" t="s">
        <v>22</v>
      </c>
      <c r="B3362" s="6" t="s">
        <v>704</v>
      </c>
      <c r="C3362" s="7">
        <v>34717</v>
      </c>
      <c r="D3362" s="6" t="s">
        <v>42</v>
      </c>
      <c r="E3362" s="6" t="s">
        <v>167</v>
      </c>
      <c r="F3362" s="6" t="s">
        <v>705</v>
      </c>
      <c r="G3362" s="6" t="s">
        <v>32</v>
      </c>
      <c r="H3362" s="6" t="s">
        <v>765</v>
      </c>
      <c r="I3362" s="6" t="s">
        <v>767</v>
      </c>
      <c r="J3362" s="6" t="s">
        <v>767</v>
      </c>
      <c r="K3362" s="7">
        <v>6226205</v>
      </c>
      <c r="L3362" s="7">
        <v>335559</v>
      </c>
      <c r="M3362" s="7">
        <v>19</v>
      </c>
      <c r="N3362" s="7">
        <v>1</v>
      </c>
      <c r="O3362" s="7">
        <v>0.8</v>
      </c>
    </row>
    <row r="3363" spans="1:15" x14ac:dyDescent="0.25">
      <c r="A3363" s="6" t="s">
        <v>22</v>
      </c>
      <c r="B3363" s="6" t="s">
        <v>704</v>
      </c>
      <c r="C3363" s="7">
        <v>34720</v>
      </c>
      <c r="D3363" s="6" t="s">
        <v>42</v>
      </c>
      <c r="E3363" s="6" t="s">
        <v>167</v>
      </c>
      <c r="F3363" s="6" t="s">
        <v>705</v>
      </c>
      <c r="G3363" s="6" t="s">
        <v>32</v>
      </c>
      <c r="H3363" s="6" t="s">
        <v>765</v>
      </c>
      <c r="I3363" s="6" t="s">
        <v>767</v>
      </c>
      <c r="J3363" s="6" t="s">
        <v>767</v>
      </c>
      <c r="K3363" s="7">
        <v>6226816</v>
      </c>
      <c r="L3363" s="7">
        <v>335181</v>
      </c>
      <c r="M3363" s="7">
        <v>19</v>
      </c>
      <c r="N3363" s="7">
        <v>1</v>
      </c>
      <c r="O3363" s="7">
        <v>0.8</v>
      </c>
    </row>
    <row r="3364" spans="1:15" x14ac:dyDescent="0.25">
      <c r="A3364" s="6" t="s">
        <v>22</v>
      </c>
      <c r="B3364" s="6" t="s">
        <v>704</v>
      </c>
      <c r="C3364" s="7">
        <v>34722</v>
      </c>
      <c r="D3364" s="6" t="s">
        <v>42</v>
      </c>
      <c r="E3364" s="6" t="s">
        <v>167</v>
      </c>
      <c r="F3364" s="6" t="s">
        <v>705</v>
      </c>
      <c r="G3364" s="6" t="s">
        <v>32</v>
      </c>
      <c r="H3364" s="6" t="s">
        <v>765</v>
      </c>
      <c r="I3364" s="6" t="s">
        <v>767</v>
      </c>
      <c r="J3364" s="6" t="s">
        <v>767</v>
      </c>
      <c r="K3364" s="7">
        <v>6236084</v>
      </c>
      <c r="L3364" s="7">
        <v>343755</v>
      </c>
      <c r="M3364" s="7">
        <v>19</v>
      </c>
      <c r="N3364" s="7">
        <v>1</v>
      </c>
      <c r="O3364" s="7">
        <v>0.06</v>
      </c>
    </row>
    <row r="3365" spans="1:15" x14ac:dyDescent="0.25">
      <c r="A3365" s="6" t="s">
        <v>14</v>
      </c>
      <c r="B3365" s="6" t="s">
        <v>704</v>
      </c>
      <c r="C3365" s="7">
        <v>35049</v>
      </c>
      <c r="D3365" s="6" t="s">
        <v>39</v>
      </c>
      <c r="E3365" s="6" t="s">
        <v>58</v>
      </c>
      <c r="F3365" s="6" t="s">
        <v>108</v>
      </c>
      <c r="G3365" s="6" t="s">
        <v>89</v>
      </c>
      <c r="H3365" s="6" t="s">
        <v>101</v>
      </c>
      <c r="I3365" s="6" t="s">
        <v>767</v>
      </c>
      <c r="J3365" s="6" t="s">
        <v>767</v>
      </c>
      <c r="K3365" s="7">
        <v>6002553</v>
      </c>
      <c r="L3365" s="7">
        <v>274152</v>
      </c>
      <c r="M3365" s="7">
        <v>19</v>
      </c>
      <c r="N3365" s="7">
        <v>2</v>
      </c>
      <c r="O3365" s="7">
        <v>8</v>
      </c>
    </row>
    <row r="3366" spans="1:15" x14ac:dyDescent="0.25">
      <c r="A3366" s="6" t="s">
        <v>14</v>
      </c>
      <c r="B3366" s="6" t="s">
        <v>704</v>
      </c>
      <c r="C3366" s="7">
        <v>35051</v>
      </c>
      <c r="D3366" s="6" t="s">
        <v>39</v>
      </c>
      <c r="E3366" s="6" t="s">
        <v>72</v>
      </c>
      <c r="F3366" s="6" t="s">
        <v>72</v>
      </c>
      <c r="G3366" s="6" t="s">
        <v>89</v>
      </c>
      <c r="H3366" s="6" t="s">
        <v>101</v>
      </c>
      <c r="I3366" s="6" t="s">
        <v>767</v>
      </c>
      <c r="J3366" s="6" t="s">
        <v>767</v>
      </c>
      <c r="K3366" s="7">
        <v>6061731</v>
      </c>
      <c r="L3366" s="7">
        <v>277202</v>
      </c>
      <c r="M3366" s="7">
        <v>19</v>
      </c>
      <c r="N3366" s="7">
        <v>2</v>
      </c>
      <c r="O3366" s="7">
        <v>8</v>
      </c>
    </row>
    <row r="3367" spans="1:15" x14ac:dyDescent="0.25">
      <c r="A3367" s="6" t="s">
        <v>14</v>
      </c>
      <c r="B3367" s="6" t="s">
        <v>704</v>
      </c>
      <c r="C3367" s="7">
        <v>35052</v>
      </c>
      <c r="D3367" s="6" t="s">
        <v>39</v>
      </c>
      <c r="E3367" s="6" t="s">
        <v>72</v>
      </c>
      <c r="F3367" s="6" t="s">
        <v>630</v>
      </c>
      <c r="G3367" s="6" t="s">
        <v>89</v>
      </c>
      <c r="H3367" s="6" t="s">
        <v>101</v>
      </c>
      <c r="I3367" s="6" t="s">
        <v>767</v>
      </c>
      <c r="J3367" s="6" t="s">
        <v>767</v>
      </c>
      <c r="K3367" s="7">
        <v>6063677</v>
      </c>
      <c r="L3367" s="7">
        <v>277408</v>
      </c>
      <c r="M3367" s="7">
        <v>19</v>
      </c>
      <c r="N3367" s="7">
        <v>1</v>
      </c>
      <c r="O3367" s="7">
        <v>12</v>
      </c>
    </row>
    <row r="3368" spans="1:15" x14ac:dyDescent="0.25">
      <c r="A3368" s="6" t="s">
        <v>28</v>
      </c>
      <c r="B3368" s="6" t="s">
        <v>704</v>
      </c>
      <c r="C3368" s="7">
        <v>35053</v>
      </c>
      <c r="D3368" s="6" t="s">
        <v>39</v>
      </c>
      <c r="E3368" s="6" t="s">
        <v>72</v>
      </c>
      <c r="F3368" s="6" t="s">
        <v>488</v>
      </c>
      <c r="G3368" s="6" t="s">
        <v>89</v>
      </c>
      <c r="H3368" s="6" t="s">
        <v>101</v>
      </c>
      <c r="I3368" s="6" t="s">
        <v>767</v>
      </c>
      <c r="J3368" s="6" t="s">
        <v>767</v>
      </c>
      <c r="K3368" s="7">
        <v>6068978</v>
      </c>
      <c r="L3368" s="7">
        <v>272407</v>
      </c>
      <c r="M3368" s="7">
        <v>19</v>
      </c>
      <c r="N3368" s="7">
        <v>1</v>
      </c>
      <c r="O3368" s="7">
        <v>4</v>
      </c>
    </row>
    <row r="3369" spans="1:15" x14ac:dyDescent="0.25">
      <c r="A3369" s="6" t="s">
        <v>14</v>
      </c>
      <c r="B3369" s="6" t="s">
        <v>704</v>
      </c>
      <c r="C3369" s="7">
        <v>35054</v>
      </c>
      <c r="D3369" s="6" t="s">
        <v>39</v>
      </c>
      <c r="E3369" s="6" t="s">
        <v>80</v>
      </c>
      <c r="F3369" s="6" t="s">
        <v>716</v>
      </c>
      <c r="G3369" s="6" t="s">
        <v>89</v>
      </c>
      <c r="H3369" s="6" t="s">
        <v>101</v>
      </c>
      <c r="I3369" s="6" t="s">
        <v>767</v>
      </c>
      <c r="J3369" s="6" t="s">
        <v>767</v>
      </c>
      <c r="K3369" s="7">
        <v>6079632</v>
      </c>
      <c r="L3369" s="7">
        <v>281850</v>
      </c>
      <c r="M3369" s="7">
        <v>19</v>
      </c>
      <c r="N3369" s="7">
        <v>2</v>
      </c>
      <c r="O3369" s="7">
        <v>10</v>
      </c>
    </row>
    <row r="3370" spans="1:15" x14ac:dyDescent="0.25">
      <c r="A3370" s="6" t="s">
        <v>28</v>
      </c>
      <c r="B3370" s="6" t="s">
        <v>704</v>
      </c>
      <c r="C3370" s="7">
        <v>35055</v>
      </c>
      <c r="D3370" s="6" t="s">
        <v>39</v>
      </c>
      <c r="E3370" s="6" t="s">
        <v>159</v>
      </c>
      <c r="F3370" s="6" t="s">
        <v>159</v>
      </c>
      <c r="G3370" s="6" t="s">
        <v>89</v>
      </c>
      <c r="H3370" s="6" t="s">
        <v>101</v>
      </c>
      <c r="I3370" s="6" t="s">
        <v>767</v>
      </c>
      <c r="J3370" s="6" t="s">
        <v>767</v>
      </c>
      <c r="K3370" s="7">
        <v>6013236</v>
      </c>
      <c r="L3370" s="7">
        <v>768700</v>
      </c>
      <c r="M3370" s="7">
        <v>18</v>
      </c>
      <c r="N3370" s="7">
        <v>3</v>
      </c>
      <c r="O3370" s="7">
        <v>50.5</v>
      </c>
    </row>
    <row r="3371" spans="1:15" x14ac:dyDescent="0.25">
      <c r="A3371" s="6" t="s">
        <v>14</v>
      </c>
      <c r="B3371" s="6" t="s">
        <v>704</v>
      </c>
      <c r="C3371" s="7">
        <v>35057</v>
      </c>
      <c r="D3371" s="6" t="s">
        <v>42</v>
      </c>
      <c r="E3371" s="6" t="s">
        <v>301</v>
      </c>
      <c r="F3371" s="6" t="s">
        <v>302</v>
      </c>
      <c r="G3371" s="6" t="s">
        <v>89</v>
      </c>
      <c r="H3371" s="6" t="s">
        <v>101</v>
      </c>
      <c r="I3371" s="6" t="s">
        <v>767</v>
      </c>
      <c r="J3371" s="6" t="s">
        <v>767</v>
      </c>
      <c r="K3371" s="7">
        <v>6213378</v>
      </c>
      <c r="L3371" s="7">
        <v>343023</v>
      </c>
      <c r="M3371" s="7">
        <v>19</v>
      </c>
      <c r="N3371" s="7">
        <v>1</v>
      </c>
      <c r="O3371" s="7">
        <v>6</v>
      </c>
    </row>
    <row r="3372" spans="1:15" x14ac:dyDescent="0.25">
      <c r="A3372" s="6" t="s">
        <v>28</v>
      </c>
      <c r="B3372" s="6" t="s">
        <v>704</v>
      </c>
      <c r="C3372" s="7">
        <v>35058</v>
      </c>
      <c r="D3372" s="6" t="s">
        <v>39</v>
      </c>
      <c r="E3372" s="6" t="s">
        <v>58</v>
      </c>
      <c r="F3372" s="6" t="s">
        <v>108</v>
      </c>
      <c r="G3372" s="6" t="s">
        <v>89</v>
      </c>
      <c r="H3372" s="6" t="s">
        <v>101</v>
      </c>
      <c r="I3372" s="6" t="s">
        <v>767</v>
      </c>
      <c r="J3372" s="6" t="s">
        <v>767</v>
      </c>
      <c r="K3372" s="7">
        <v>6002595</v>
      </c>
      <c r="L3372" s="7">
        <v>274320</v>
      </c>
      <c r="M3372" s="7">
        <v>19</v>
      </c>
      <c r="N3372" s="7">
        <v>1</v>
      </c>
      <c r="O3372" s="7">
        <v>4</v>
      </c>
    </row>
    <row r="3373" spans="1:15" x14ac:dyDescent="0.25">
      <c r="A3373" s="6" t="s">
        <v>14</v>
      </c>
      <c r="B3373" s="6" t="s">
        <v>704</v>
      </c>
      <c r="C3373" s="7">
        <v>35062</v>
      </c>
      <c r="D3373" s="6" t="s">
        <v>39</v>
      </c>
      <c r="E3373" s="6" t="s">
        <v>58</v>
      </c>
      <c r="F3373" s="6" t="s">
        <v>108</v>
      </c>
      <c r="G3373" s="6" t="s">
        <v>89</v>
      </c>
      <c r="H3373" s="6" t="s">
        <v>101</v>
      </c>
      <c r="I3373" s="6" t="s">
        <v>767</v>
      </c>
      <c r="J3373" s="6" t="s">
        <v>767</v>
      </c>
      <c r="K3373" s="7">
        <v>6003889</v>
      </c>
      <c r="L3373" s="7">
        <v>273802</v>
      </c>
      <c r="M3373" s="7">
        <v>19</v>
      </c>
      <c r="N3373" s="7">
        <v>1</v>
      </c>
      <c r="O3373" s="7">
        <v>8</v>
      </c>
    </row>
    <row r="3374" spans="1:15" x14ac:dyDescent="0.25">
      <c r="A3374" s="6" t="s">
        <v>14</v>
      </c>
      <c r="B3374" s="6" t="s">
        <v>704</v>
      </c>
      <c r="C3374" s="7">
        <v>35064</v>
      </c>
      <c r="D3374" s="6" t="s">
        <v>39</v>
      </c>
      <c r="E3374" s="6" t="s">
        <v>58</v>
      </c>
      <c r="F3374" s="6" t="s">
        <v>108</v>
      </c>
      <c r="G3374" s="6" t="s">
        <v>89</v>
      </c>
      <c r="H3374" s="6" t="s">
        <v>101</v>
      </c>
      <c r="I3374" s="6" t="s">
        <v>767</v>
      </c>
      <c r="J3374" s="6" t="s">
        <v>767</v>
      </c>
      <c r="K3374" s="7">
        <v>6004193</v>
      </c>
      <c r="L3374" s="7">
        <v>274181</v>
      </c>
      <c r="M3374" s="7">
        <v>19</v>
      </c>
      <c r="N3374" s="7">
        <v>1</v>
      </c>
      <c r="O3374" s="7">
        <v>8.5</v>
      </c>
    </row>
    <row r="3375" spans="1:15" x14ac:dyDescent="0.25">
      <c r="A3375" s="6" t="s">
        <v>28</v>
      </c>
      <c r="B3375" s="6" t="s">
        <v>704</v>
      </c>
      <c r="C3375" s="7">
        <v>35066</v>
      </c>
      <c r="D3375" s="6" t="s">
        <v>39</v>
      </c>
      <c r="E3375" s="6" t="s">
        <v>58</v>
      </c>
      <c r="F3375" s="6" t="s">
        <v>108</v>
      </c>
      <c r="G3375" s="6" t="s">
        <v>89</v>
      </c>
      <c r="H3375" s="6" t="s">
        <v>101</v>
      </c>
      <c r="I3375" s="6" t="s">
        <v>767</v>
      </c>
      <c r="J3375" s="6" t="s">
        <v>767</v>
      </c>
      <c r="K3375" s="7">
        <v>6003668</v>
      </c>
      <c r="L3375" s="7">
        <v>274840</v>
      </c>
      <c r="M3375" s="7">
        <v>19</v>
      </c>
      <c r="N3375" s="7">
        <v>2</v>
      </c>
      <c r="O3375" s="7">
        <v>4</v>
      </c>
    </row>
    <row r="3376" spans="1:15" x14ac:dyDescent="0.25">
      <c r="A3376" s="6" t="s">
        <v>14</v>
      </c>
      <c r="B3376" s="6" t="s">
        <v>704</v>
      </c>
      <c r="C3376" s="7">
        <v>35067</v>
      </c>
      <c r="D3376" s="6" t="s">
        <v>42</v>
      </c>
      <c r="E3376" s="6" t="s">
        <v>301</v>
      </c>
      <c r="F3376" s="6" t="s">
        <v>708</v>
      </c>
      <c r="G3376" s="6" t="s">
        <v>89</v>
      </c>
      <c r="H3376" s="6" t="s">
        <v>101</v>
      </c>
      <c r="I3376" s="6" t="s">
        <v>767</v>
      </c>
      <c r="J3376" s="6" t="s">
        <v>767</v>
      </c>
      <c r="K3376" s="7">
        <v>6214060</v>
      </c>
      <c r="L3376" s="7">
        <v>344151</v>
      </c>
      <c r="M3376" s="7">
        <v>19</v>
      </c>
      <c r="N3376" s="7">
        <v>1</v>
      </c>
      <c r="O3376" s="7">
        <v>12</v>
      </c>
    </row>
    <row r="3377" spans="1:15" x14ac:dyDescent="0.25">
      <c r="A3377" s="6" t="s">
        <v>14</v>
      </c>
      <c r="B3377" s="6" t="s">
        <v>704</v>
      </c>
      <c r="C3377" s="7">
        <v>35068</v>
      </c>
      <c r="D3377" s="6" t="s">
        <v>39</v>
      </c>
      <c r="E3377" s="6" t="s">
        <v>58</v>
      </c>
      <c r="F3377" s="6" t="s">
        <v>108</v>
      </c>
      <c r="G3377" s="6" t="s">
        <v>89</v>
      </c>
      <c r="H3377" s="6" t="s">
        <v>101</v>
      </c>
      <c r="I3377" s="6" t="s">
        <v>767</v>
      </c>
      <c r="J3377" s="6" t="s">
        <v>767</v>
      </c>
      <c r="K3377" s="7">
        <v>6004406</v>
      </c>
      <c r="L3377" s="7">
        <v>273989</v>
      </c>
      <c r="M3377" s="7">
        <v>19</v>
      </c>
      <c r="N3377" s="7">
        <v>1</v>
      </c>
      <c r="O3377" s="7">
        <v>5</v>
      </c>
    </row>
    <row r="3378" spans="1:15" x14ac:dyDescent="0.25">
      <c r="A3378" s="6" t="s">
        <v>14</v>
      </c>
      <c r="B3378" s="6" t="s">
        <v>704</v>
      </c>
      <c r="C3378" s="7">
        <v>35069</v>
      </c>
      <c r="D3378" s="6" t="s">
        <v>42</v>
      </c>
      <c r="E3378" s="6" t="s">
        <v>301</v>
      </c>
      <c r="F3378" s="6" t="s">
        <v>708</v>
      </c>
      <c r="G3378" s="6" t="s">
        <v>89</v>
      </c>
      <c r="H3378" s="6" t="s">
        <v>101</v>
      </c>
      <c r="I3378" s="6" t="s">
        <v>767</v>
      </c>
      <c r="J3378" s="6" t="s">
        <v>767</v>
      </c>
      <c r="K3378" s="7">
        <v>6213789</v>
      </c>
      <c r="L3378" s="7">
        <v>344592</v>
      </c>
      <c r="M3378" s="7">
        <v>19</v>
      </c>
      <c r="N3378" s="7">
        <v>1</v>
      </c>
      <c r="O3378" s="7">
        <v>3</v>
      </c>
    </row>
    <row r="3379" spans="1:15" x14ac:dyDescent="0.25">
      <c r="A3379" s="6" t="s">
        <v>14</v>
      </c>
      <c r="B3379" s="6" t="s">
        <v>704</v>
      </c>
      <c r="C3379" s="7">
        <v>35071</v>
      </c>
      <c r="D3379" s="6" t="s">
        <v>42</v>
      </c>
      <c r="E3379" s="6" t="s">
        <v>66</v>
      </c>
      <c r="F3379" s="6" t="s">
        <v>157</v>
      </c>
      <c r="G3379" s="6" t="s">
        <v>89</v>
      </c>
      <c r="H3379" s="6" t="s">
        <v>101</v>
      </c>
      <c r="I3379" s="6" t="s">
        <v>767</v>
      </c>
      <c r="J3379" s="6" t="s">
        <v>767</v>
      </c>
      <c r="K3379" s="7">
        <v>6221207</v>
      </c>
      <c r="L3379" s="7">
        <v>347981</v>
      </c>
      <c r="M3379" s="7">
        <v>19</v>
      </c>
      <c r="N3379" s="7">
        <v>1</v>
      </c>
      <c r="O3379" s="7">
        <v>3</v>
      </c>
    </row>
    <row r="3380" spans="1:15" x14ac:dyDescent="0.25">
      <c r="A3380" s="6" t="s">
        <v>14</v>
      </c>
      <c r="B3380" s="6" t="s">
        <v>704</v>
      </c>
      <c r="C3380" s="7">
        <v>35072</v>
      </c>
      <c r="D3380" s="6" t="s">
        <v>42</v>
      </c>
      <c r="E3380" s="6" t="s">
        <v>196</v>
      </c>
      <c r="F3380" s="6" t="s">
        <v>384</v>
      </c>
      <c r="G3380" s="6" t="s">
        <v>89</v>
      </c>
      <c r="H3380" s="6" t="s">
        <v>101</v>
      </c>
      <c r="I3380" s="6" t="s">
        <v>767</v>
      </c>
      <c r="J3380" s="6" t="s">
        <v>767</v>
      </c>
      <c r="K3380" s="7">
        <v>6221935</v>
      </c>
      <c r="L3380" s="7">
        <v>338626</v>
      </c>
      <c r="M3380" s="7">
        <v>19</v>
      </c>
      <c r="N3380" s="7">
        <v>1</v>
      </c>
      <c r="O3380" s="7">
        <v>4</v>
      </c>
    </row>
    <row r="3381" spans="1:15" x14ac:dyDescent="0.25">
      <c r="A3381" s="6" t="s">
        <v>28</v>
      </c>
      <c r="B3381" s="6" t="s">
        <v>704</v>
      </c>
      <c r="C3381" s="7">
        <v>35073</v>
      </c>
      <c r="D3381" s="6" t="s">
        <v>39</v>
      </c>
      <c r="E3381" s="6" t="s">
        <v>58</v>
      </c>
      <c r="F3381" s="6" t="s">
        <v>108</v>
      </c>
      <c r="G3381" s="6" t="s">
        <v>89</v>
      </c>
      <c r="H3381" s="6" t="s">
        <v>101</v>
      </c>
      <c r="I3381" s="6" t="s">
        <v>767</v>
      </c>
      <c r="J3381" s="6" t="s">
        <v>767</v>
      </c>
      <c r="K3381" s="7">
        <v>6003156</v>
      </c>
      <c r="L3381" s="7">
        <v>274391</v>
      </c>
      <c r="M3381" s="7">
        <v>19</v>
      </c>
      <c r="N3381" s="7">
        <v>1</v>
      </c>
      <c r="O3381" s="7">
        <v>4.5</v>
      </c>
    </row>
    <row r="3382" spans="1:15" x14ac:dyDescent="0.25">
      <c r="A3382" s="6" t="s">
        <v>22</v>
      </c>
      <c r="B3382" s="6" t="s">
        <v>755</v>
      </c>
      <c r="C3382" s="7">
        <v>39900</v>
      </c>
      <c r="D3382" s="6" t="s">
        <v>24</v>
      </c>
      <c r="E3382" s="6" t="s">
        <v>463</v>
      </c>
      <c r="F3382" s="6" t="s">
        <v>85</v>
      </c>
      <c r="G3382" s="6" t="s">
        <v>756</v>
      </c>
      <c r="H3382" s="6" t="s">
        <v>757</v>
      </c>
      <c r="I3382" s="6" t="s">
        <v>758</v>
      </c>
      <c r="J3382" s="6" t="s">
        <v>758</v>
      </c>
      <c r="K3382" s="7">
        <v>6284107</v>
      </c>
      <c r="L3382" s="7">
        <v>349529</v>
      </c>
      <c r="M3382" s="7">
        <v>19</v>
      </c>
      <c r="N3382" s="7">
        <v>1</v>
      </c>
      <c r="O3382" s="7">
        <v>1</v>
      </c>
    </row>
  </sheetData>
  <autoFilter ref="A6:O3382"/>
  <pageMargins left="0.75" right="0.75" top="1" bottom="1" header="0.5" footer="0.5"/>
  <customProperties>
    <customPr name="DVSECTIONID" r:id="rId1"/>
  </customProperties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9:G118"/>
  <sheetViews>
    <sheetView topLeftCell="A40" workbookViewId="0">
      <selection activeCell="D4" sqref="D4"/>
    </sheetView>
  </sheetViews>
  <sheetFormatPr baseColWidth="10" defaultRowHeight="15" x14ac:dyDescent="0.25"/>
  <cols>
    <col min="1" max="1" width="12" bestFit="1" customWidth="1"/>
    <col min="2" max="2" width="12.140625" bestFit="1" customWidth="1"/>
    <col min="3" max="3" width="12.28515625" bestFit="1" customWidth="1"/>
    <col min="4" max="4" width="57.5703125" bestFit="1" customWidth="1"/>
    <col min="5" max="5" width="21.28515625" bestFit="1" customWidth="1"/>
    <col min="6" max="6" width="28.42578125" bestFit="1" customWidth="1"/>
    <col min="7" max="7" width="67.85546875" bestFit="1" customWidth="1"/>
  </cols>
  <sheetData>
    <row r="9" spans="1:7" x14ac:dyDescent="0.25">
      <c r="A9" s="3" t="s">
        <v>717</v>
      </c>
      <c r="B9" s="3" t="s">
        <v>718</v>
      </c>
      <c r="C9" s="3" t="s">
        <v>748</v>
      </c>
      <c r="D9" s="3" t="s">
        <v>749</v>
      </c>
      <c r="E9" s="3" t="s">
        <v>719</v>
      </c>
      <c r="F9" s="3" t="s">
        <v>720</v>
      </c>
      <c r="G9" s="3" t="s">
        <v>721</v>
      </c>
    </row>
    <row r="10" spans="1:7" x14ac:dyDescent="0.25">
      <c r="A10" s="4">
        <v>35207</v>
      </c>
      <c r="B10" t="s">
        <v>89</v>
      </c>
      <c r="C10" t="s">
        <v>722</v>
      </c>
      <c r="D10" t="s">
        <v>750</v>
      </c>
      <c r="E10" t="s">
        <v>724</v>
      </c>
      <c r="F10" t="s">
        <v>295</v>
      </c>
      <c r="G10" t="s">
        <v>102</v>
      </c>
    </row>
    <row r="11" spans="1:7" x14ac:dyDescent="0.25">
      <c r="A11" s="4">
        <v>34994</v>
      </c>
      <c r="B11" t="s">
        <v>89</v>
      </c>
      <c r="C11" t="s">
        <v>722</v>
      </c>
      <c r="D11" t="s">
        <v>750</v>
      </c>
      <c r="E11" t="s">
        <v>724</v>
      </c>
      <c r="F11" t="s">
        <v>295</v>
      </c>
      <c r="G11" t="s">
        <v>102</v>
      </c>
    </row>
    <row r="12" spans="1:7" x14ac:dyDescent="0.25">
      <c r="A12" s="4">
        <v>34985</v>
      </c>
      <c r="B12" t="s">
        <v>50</v>
      </c>
      <c r="C12" t="s">
        <v>722</v>
      </c>
      <c r="D12" t="s">
        <v>239</v>
      </c>
      <c r="E12" t="s">
        <v>727</v>
      </c>
      <c r="F12" t="s">
        <v>218</v>
      </c>
      <c r="G12" t="s">
        <v>112</v>
      </c>
    </row>
    <row r="13" spans="1:7" x14ac:dyDescent="0.25">
      <c r="A13" s="4">
        <v>34944</v>
      </c>
      <c r="B13" t="s">
        <v>50</v>
      </c>
      <c r="C13" t="s">
        <v>722</v>
      </c>
      <c r="D13" t="s">
        <v>751</v>
      </c>
      <c r="E13" t="s">
        <v>727</v>
      </c>
      <c r="F13" t="s">
        <v>218</v>
      </c>
      <c r="G13" t="s">
        <v>112</v>
      </c>
    </row>
    <row r="14" spans="1:7" x14ac:dyDescent="0.25">
      <c r="A14" s="4">
        <v>34943</v>
      </c>
      <c r="B14" t="s">
        <v>50</v>
      </c>
      <c r="C14" t="s">
        <v>722</v>
      </c>
      <c r="D14" t="s">
        <v>751</v>
      </c>
      <c r="E14" t="s">
        <v>727</v>
      </c>
      <c r="F14" t="s">
        <v>218</v>
      </c>
      <c r="G14" t="s">
        <v>112</v>
      </c>
    </row>
    <row r="15" spans="1:7" x14ac:dyDescent="0.25">
      <c r="A15" s="4">
        <v>34731</v>
      </c>
      <c r="B15" t="s">
        <v>32</v>
      </c>
      <c r="C15" t="s">
        <v>722</v>
      </c>
      <c r="D15" t="s">
        <v>750</v>
      </c>
      <c r="E15" t="s">
        <v>724</v>
      </c>
      <c r="F15" t="s">
        <v>293</v>
      </c>
      <c r="G15" t="s">
        <v>36</v>
      </c>
    </row>
    <row r="16" spans="1:7" x14ac:dyDescent="0.25">
      <c r="A16" s="4">
        <v>34731</v>
      </c>
      <c r="B16" t="s">
        <v>32</v>
      </c>
      <c r="C16" t="s">
        <v>722</v>
      </c>
      <c r="D16" t="s">
        <v>750</v>
      </c>
      <c r="E16" t="s">
        <v>724</v>
      </c>
      <c r="F16" t="s">
        <v>293</v>
      </c>
      <c r="G16" t="s">
        <v>618</v>
      </c>
    </row>
    <row r="17" spans="1:7" x14ac:dyDescent="0.25">
      <c r="A17" s="4">
        <v>34731</v>
      </c>
      <c r="B17" t="s">
        <v>32</v>
      </c>
      <c r="C17" t="s">
        <v>722</v>
      </c>
      <c r="D17" t="s">
        <v>750</v>
      </c>
      <c r="E17" t="s">
        <v>724</v>
      </c>
      <c r="F17" t="s">
        <v>293</v>
      </c>
      <c r="G17" t="s">
        <v>35</v>
      </c>
    </row>
    <row r="18" spans="1:7" x14ac:dyDescent="0.25">
      <c r="A18" s="4">
        <v>34731</v>
      </c>
      <c r="B18" t="s">
        <v>32</v>
      </c>
      <c r="C18" t="s">
        <v>722</v>
      </c>
      <c r="D18" t="s">
        <v>750</v>
      </c>
      <c r="E18" t="s">
        <v>724</v>
      </c>
      <c r="F18" t="s">
        <v>293</v>
      </c>
      <c r="G18" t="s">
        <v>186</v>
      </c>
    </row>
    <row r="19" spans="1:7" x14ac:dyDescent="0.25">
      <c r="A19" s="4">
        <v>34730</v>
      </c>
      <c r="B19" t="s">
        <v>89</v>
      </c>
      <c r="C19" t="s">
        <v>722</v>
      </c>
      <c r="D19" t="s">
        <v>750</v>
      </c>
      <c r="E19" t="s">
        <v>724</v>
      </c>
      <c r="F19" t="s">
        <v>293</v>
      </c>
      <c r="G19" t="s">
        <v>728</v>
      </c>
    </row>
    <row r="20" spans="1:7" x14ac:dyDescent="0.25">
      <c r="A20" s="4">
        <v>34726</v>
      </c>
      <c r="B20" t="s">
        <v>32</v>
      </c>
      <c r="C20" t="s">
        <v>722</v>
      </c>
      <c r="D20" t="s">
        <v>750</v>
      </c>
      <c r="E20" t="s">
        <v>724</v>
      </c>
      <c r="F20" t="s">
        <v>293</v>
      </c>
      <c r="G20" t="s">
        <v>172</v>
      </c>
    </row>
    <row r="21" spans="1:7" x14ac:dyDescent="0.25">
      <c r="A21" s="4">
        <v>34726</v>
      </c>
      <c r="B21" t="s">
        <v>32</v>
      </c>
      <c r="C21" t="s">
        <v>722</v>
      </c>
      <c r="D21" t="s">
        <v>750</v>
      </c>
      <c r="E21" t="s">
        <v>724</v>
      </c>
      <c r="F21" t="s">
        <v>293</v>
      </c>
      <c r="G21" t="s">
        <v>191</v>
      </c>
    </row>
    <row r="22" spans="1:7" x14ac:dyDescent="0.25">
      <c r="A22" s="4">
        <v>34726</v>
      </c>
      <c r="B22" t="s">
        <v>32</v>
      </c>
      <c r="C22" t="s">
        <v>722</v>
      </c>
      <c r="D22" t="s">
        <v>750</v>
      </c>
      <c r="E22" t="s">
        <v>724</v>
      </c>
      <c r="F22" t="s">
        <v>293</v>
      </c>
      <c r="G22" t="s">
        <v>155</v>
      </c>
    </row>
    <row r="23" spans="1:7" x14ac:dyDescent="0.25">
      <c r="A23" s="4">
        <v>34726</v>
      </c>
      <c r="B23" t="s">
        <v>32</v>
      </c>
      <c r="C23" t="s">
        <v>722</v>
      </c>
      <c r="D23" t="s">
        <v>750</v>
      </c>
      <c r="E23" t="s">
        <v>724</v>
      </c>
      <c r="F23" t="s">
        <v>293</v>
      </c>
      <c r="G23" t="s">
        <v>711</v>
      </c>
    </row>
    <row r="24" spans="1:7" x14ac:dyDescent="0.25">
      <c r="A24" s="4">
        <v>34726</v>
      </c>
      <c r="B24" t="s">
        <v>32</v>
      </c>
      <c r="C24" t="s">
        <v>722</v>
      </c>
      <c r="D24" t="s">
        <v>750</v>
      </c>
      <c r="E24" t="s">
        <v>724</v>
      </c>
      <c r="F24" t="s">
        <v>293</v>
      </c>
      <c r="G24" t="s">
        <v>189</v>
      </c>
    </row>
    <row r="25" spans="1:7" x14ac:dyDescent="0.25">
      <c r="A25" s="4">
        <v>34726</v>
      </c>
      <c r="B25" t="s">
        <v>32</v>
      </c>
      <c r="C25" t="s">
        <v>722</v>
      </c>
      <c r="D25" t="s">
        <v>750</v>
      </c>
      <c r="E25" t="s">
        <v>724</v>
      </c>
      <c r="F25" t="s">
        <v>293</v>
      </c>
      <c r="G25" t="s">
        <v>158</v>
      </c>
    </row>
    <row r="26" spans="1:7" x14ac:dyDescent="0.25">
      <c r="A26" s="4">
        <v>34582</v>
      </c>
      <c r="B26" t="s">
        <v>50</v>
      </c>
      <c r="C26" t="s">
        <v>722</v>
      </c>
      <c r="D26" t="s">
        <v>752</v>
      </c>
      <c r="E26" t="s">
        <v>727</v>
      </c>
      <c r="F26" t="s">
        <v>508</v>
      </c>
      <c r="G26" t="s">
        <v>112</v>
      </c>
    </row>
    <row r="27" spans="1:7" x14ac:dyDescent="0.25">
      <c r="A27" s="4">
        <v>34581</v>
      </c>
      <c r="B27" t="s">
        <v>50</v>
      </c>
      <c r="C27" t="s">
        <v>722</v>
      </c>
      <c r="D27" t="s">
        <v>752</v>
      </c>
      <c r="E27" t="s">
        <v>727</v>
      </c>
      <c r="F27" t="s">
        <v>508</v>
      </c>
      <c r="G27" t="s">
        <v>112</v>
      </c>
    </row>
    <row r="28" spans="1:7" x14ac:dyDescent="0.25">
      <c r="A28" s="4">
        <v>34574</v>
      </c>
      <c r="B28" t="s">
        <v>50</v>
      </c>
      <c r="C28" t="s">
        <v>722</v>
      </c>
      <c r="D28" t="s">
        <v>239</v>
      </c>
      <c r="E28" t="s">
        <v>727</v>
      </c>
      <c r="F28" t="s">
        <v>258</v>
      </c>
      <c r="G28" t="s">
        <v>112</v>
      </c>
    </row>
    <row r="29" spans="1:7" x14ac:dyDescent="0.25">
      <c r="A29" s="4">
        <v>34573</v>
      </c>
      <c r="B29" t="s">
        <v>50</v>
      </c>
      <c r="C29" t="s">
        <v>722</v>
      </c>
      <c r="D29" t="s">
        <v>239</v>
      </c>
      <c r="E29" t="s">
        <v>727</v>
      </c>
      <c r="F29" t="s">
        <v>258</v>
      </c>
      <c r="G29" t="s">
        <v>112</v>
      </c>
    </row>
    <row r="30" spans="1:7" x14ac:dyDescent="0.25">
      <c r="A30" s="4">
        <v>34571</v>
      </c>
      <c r="B30" t="s">
        <v>50</v>
      </c>
      <c r="C30" t="s">
        <v>722</v>
      </c>
      <c r="D30" t="s">
        <v>239</v>
      </c>
      <c r="E30" t="s">
        <v>727</v>
      </c>
      <c r="F30" t="s">
        <v>258</v>
      </c>
      <c r="G30" t="s">
        <v>112</v>
      </c>
    </row>
    <row r="31" spans="1:7" x14ac:dyDescent="0.25">
      <c r="A31" s="4">
        <v>34292</v>
      </c>
      <c r="B31" t="s">
        <v>32</v>
      </c>
      <c r="C31" t="s">
        <v>722</v>
      </c>
      <c r="D31" t="s">
        <v>750</v>
      </c>
      <c r="E31" t="s">
        <v>724</v>
      </c>
      <c r="F31" t="s">
        <v>291</v>
      </c>
      <c r="G31" t="s">
        <v>207</v>
      </c>
    </row>
    <row r="32" spans="1:7" x14ac:dyDescent="0.25">
      <c r="A32" s="4">
        <v>34292</v>
      </c>
      <c r="B32" t="s">
        <v>32</v>
      </c>
      <c r="C32" t="s">
        <v>722</v>
      </c>
      <c r="D32" t="s">
        <v>750</v>
      </c>
      <c r="E32" t="s">
        <v>724</v>
      </c>
      <c r="F32" t="s">
        <v>291</v>
      </c>
      <c r="G32" t="s">
        <v>172</v>
      </c>
    </row>
    <row r="33" spans="1:7" x14ac:dyDescent="0.25">
      <c r="A33" s="4">
        <v>34292</v>
      </c>
      <c r="B33" t="s">
        <v>32</v>
      </c>
      <c r="C33" t="s">
        <v>722</v>
      </c>
      <c r="D33" t="s">
        <v>750</v>
      </c>
      <c r="E33" t="s">
        <v>724</v>
      </c>
      <c r="F33" t="s">
        <v>291</v>
      </c>
      <c r="G33" t="s">
        <v>147</v>
      </c>
    </row>
    <row r="34" spans="1:7" x14ac:dyDescent="0.25">
      <c r="A34" s="4">
        <v>34292</v>
      </c>
      <c r="B34" t="s">
        <v>32</v>
      </c>
      <c r="C34" t="s">
        <v>722</v>
      </c>
      <c r="D34" t="s">
        <v>750</v>
      </c>
      <c r="E34" t="s">
        <v>724</v>
      </c>
      <c r="F34" t="s">
        <v>291</v>
      </c>
      <c r="G34" t="s">
        <v>186</v>
      </c>
    </row>
    <row r="35" spans="1:7" x14ac:dyDescent="0.25">
      <c r="A35" s="4">
        <v>34292</v>
      </c>
      <c r="B35" t="s">
        <v>32</v>
      </c>
      <c r="C35" t="s">
        <v>722</v>
      </c>
      <c r="D35" t="s">
        <v>750</v>
      </c>
      <c r="E35" t="s">
        <v>724</v>
      </c>
      <c r="F35" t="s">
        <v>291</v>
      </c>
      <c r="G35" t="s">
        <v>725</v>
      </c>
    </row>
    <row r="36" spans="1:7" x14ac:dyDescent="0.25">
      <c r="A36" s="4">
        <v>34292</v>
      </c>
      <c r="B36" t="s">
        <v>32</v>
      </c>
      <c r="C36" t="s">
        <v>722</v>
      </c>
      <c r="D36" t="s">
        <v>750</v>
      </c>
      <c r="E36" t="s">
        <v>724</v>
      </c>
      <c r="F36" t="s">
        <v>291</v>
      </c>
      <c r="G36" t="s">
        <v>541</v>
      </c>
    </row>
    <row r="37" spans="1:7" x14ac:dyDescent="0.25">
      <c r="A37" s="4">
        <v>34292</v>
      </c>
      <c r="B37" t="s">
        <v>32</v>
      </c>
      <c r="C37" t="s">
        <v>722</v>
      </c>
      <c r="D37" t="s">
        <v>750</v>
      </c>
      <c r="E37" t="s">
        <v>724</v>
      </c>
      <c r="F37" t="s">
        <v>291</v>
      </c>
      <c r="G37" t="s">
        <v>729</v>
      </c>
    </row>
    <row r="38" spans="1:7" x14ac:dyDescent="0.25">
      <c r="A38" s="4">
        <v>34292</v>
      </c>
      <c r="B38" t="s">
        <v>32</v>
      </c>
      <c r="C38" t="s">
        <v>722</v>
      </c>
      <c r="D38" t="s">
        <v>750</v>
      </c>
      <c r="E38" t="s">
        <v>724</v>
      </c>
      <c r="F38" t="s">
        <v>291</v>
      </c>
      <c r="G38" t="s">
        <v>730</v>
      </c>
    </row>
    <row r="39" spans="1:7" x14ac:dyDescent="0.25">
      <c r="A39" s="4">
        <v>34292</v>
      </c>
      <c r="B39" t="s">
        <v>32</v>
      </c>
      <c r="C39" t="s">
        <v>722</v>
      </c>
      <c r="D39" t="s">
        <v>750</v>
      </c>
      <c r="E39" t="s">
        <v>724</v>
      </c>
      <c r="F39" t="s">
        <v>291</v>
      </c>
      <c r="G39" t="s">
        <v>731</v>
      </c>
    </row>
    <row r="40" spans="1:7" x14ac:dyDescent="0.25">
      <c r="A40" s="4">
        <v>34292</v>
      </c>
      <c r="B40" t="s">
        <v>32</v>
      </c>
      <c r="C40" t="s">
        <v>722</v>
      </c>
      <c r="D40" t="s">
        <v>750</v>
      </c>
      <c r="E40" t="s">
        <v>724</v>
      </c>
      <c r="F40" t="s">
        <v>291</v>
      </c>
      <c r="G40" t="s">
        <v>732</v>
      </c>
    </row>
    <row r="41" spans="1:7" x14ac:dyDescent="0.25">
      <c r="A41" s="4">
        <v>34292</v>
      </c>
      <c r="B41" t="s">
        <v>32</v>
      </c>
      <c r="C41" t="s">
        <v>722</v>
      </c>
      <c r="D41" t="s">
        <v>750</v>
      </c>
      <c r="E41" t="s">
        <v>724</v>
      </c>
      <c r="F41" t="s">
        <v>291</v>
      </c>
      <c r="G41" t="s">
        <v>733</v>
      </c>
    </row>
    <row r="42" spans="1:7" x14ac:dyDescent="0.25">
      <c r="A42" s="4">
        <v>34292</v>
      </c>
      <c r="B42" t="s">
        <v>32</v>
      </c>
      <c r="C42" t="s">
        <v>722</v>
      </c>
      <c r="D42" t="s">
        <v>750</v>
      </c>
      <c r="E42" t="s">
        <v>724</v>
      </c>
      <c r="F42" t="s">
        <v>291</v>
      </c>
      <c r="G42" t="s">
        <v>734</v>
      </c>
    </row>
    <row r="43" spans="1:7" x14ac:dyDescent="0.25">
      <c r="A43" s="4">
        <v>34292</v>
      </c>
      <c r="B43" t="s">
        <v>32</v>
      </c>
      <c r="C43" t="s">
        <v>722</v>
      </c>
      <c r="D43" t="s">
        <v>750</v>
      </c>
      <c r="E43" t="s">
        <v>724</v>
      </c>
      <c r="F43" t="s">
        <v>291</v>
      </c>
      <c r="G43" t="s">
        <v>735</v>
      </c>
    </row>
    <row r="44" spans="1:7" x14ac:dyDescent="0.25">
      <c r="A44" s="4">
        <v>34292</v>
      </c>
      <c r="B44" t="s">
        <v>32</v>
      </c>
      <c r="C44" t="s">
        <v>722</v>
      </c>
      <c r="D44" t="s">
        <v>750</v>
      </c>
      <c r="E44" t="s">
        <v>724</v>
      </c>
      <c r="F44" t="s">
        <v>291</v>
      </c>
      <c r="G44" t="s">
        <v>736</v>
      </c>
    </row>
    <row r="45" spans="1:7" x14ac:dyDescent="0.25">
      <c r="A45" s="4">
        <v>34292</v>
      </c>
      <c r="B45" t="s">
        <v>32</v>
      </c>
      <c r="C45" t="s">
        <v>722</v>
      </c>
      <c r="D45" t="s">
        <v>750</v>
      </c>
      <c r="E45" t="s">
        <v>724</v>
      </c>
      <c r="F45" t="s">
        <v>291</v>
      </c>
      <c r="G45" t="s">
        <v>737</v>
      </c>
    </row>
    <row r="46" spans="1:7" x14ac:dyDescent="0.25">
      <c r="A46" s="4">
        <v>34292</v>
      </c>
      <c r="B46" t="s">
        <v>32</v>
      </c>
      <c r="C46" t="s">
        <v>722</v>
      </c>
      <c r="D46" t="s">
        <v>750</v>
      </c>
      <c r="E46" t="s">
        <v>724</v>
      </c>
      <c r="F46" t="s">
        <v>291</v>
      </c>
      <c r="G46" t="s">
        <v>738</v>
      </c>
    </row>
    <row r="47" spans="1:7" x14ac:dyDescent="0.25">
      <c r="A47" s="4">
        <v>34292</v>
      </c>
      <c r="B47" t="s">
        <v>32</v>
      </c>
      <c r="C47" t="s">
        <v>722</v>
      </c>
      <c r="D47" t="s">
        <v>750</v>
      </c>
      <c r="E47" t="s">
        <v>724</v>
      </c>
      <c r="F47" t="s">
        <v>291</v>
      </c>
      <c r="G47" t="s">
        <v>739</v>
      </c>
    </row>
    <row r="48" spans="1:7" x14ac:dyDescent="0.25">
      <c r="A48" s="4">
        <v>34292</v>
      </c>
      <c r="B48" t="s">
        <v>32</v>
      </c>
      <c r="C48" t="s">
        <v>722</v>
      </c>
      <c r="D48" t="s">
        <v>750</v>
      </c>
      <c r="E48" t="s">
        <v>724</v>
      </c>
      <c r="F48" t="s">
        <v>291</v>
      </c>
      <c r="G48" t="s">
        <v>740</v>
      </c>
    </row>
    <row r="49" spans="1:7" x14ac:dyDescent="0.25">
      <c r="A49" s="4">
        <v>34292</v>
      </c>
      <c r="B49" t="s">
        <v>32</v>
      </c>
      <c r="C49" t="s">
        <v>722</v>
      </c>
      <c r="D49" t="s">
        <v>750</v>
      </c>
      <c r="E49" t="s">
        <v>724</v>
      </c>
      <c r="F49" t="s">
        <v>291</v>
      </c>
      <c r="G49" t="s">
        <v>741</v>
      </c>
    </row>
    <row r="50" spans="1:7" x14ac:dyDescent="0.25">
      <c r="A50" s="4">
        <v>34292</v>
      </c>
      <c r="B50" t="s">
        <v>32</v>
      </c>
      <c r="C50" t="s">
        <v>722</v>
      </c>
      <c r="D50" t="s">
        <v>750</v>
      </c>
      <c r="E50" t="s">
        <v>724</v>
      </c>
      <c r="F50" t="s">
        <v>291</v>
      </c>
      <c r="G50" t="s">
        <v>742</v>
      </c>
    </row>
    <row r="51" spans="1:7" x14ac:dyDescent="0.25">
      <c r="A51" s="4">
        <v>34292</v>
      </c>
      <c r="B51" t="s">
        <v>32</v>
      </c>
      <c r="C51" t="s">
        <v>722</v>
      </c>
      <c r="D51" t="s">
        <v>750</v>
      </c>
      <c r="E51" t="s">
        <v>724</v>
      </c>
      <c r="F51" t="s">
        <v>291</v>
      </c>
      <c r="G51" t="s">
        <v>743</v>
      </c>
    </row>
    <row r="52" spans="1:7" x14ac:dyDescent="0.25">
      <c r="A52" s="4">
        <v>34292</v>
      </c>
      <c r="B52" t="s">
        <v>32</v>
      </c>
      <c r="C52" t="s">
        <v>722</v>
      </c>
      <c r="D52" t="s">
        <v>750</v>
      </c>
      <c r="E52" t="s">
        <v>724</v>
      </c>
      <c r="F52" t="s">
        <v>291</v>
      </c>
      <c r="G52" t="s">
        <v>744</v>
      </c>
    </row>
    <row r="53" spans="1:7" x14ac:dyDescent="0.25">
      <c r="A53" s="4">
        <v>34292</v>
      </c>
      <c r="B53" t="s">
        <v>32</v>
      </c>
      <c r="C53" t="s">
        <v>722</v>
      </c>
      <c r="D53" t="s">
        <v>750</v>
      </c>
      <c r="E53" t="s">
        <v>724</v>
      </c>
      <c r="F53" t="s">
        <v>291</v>
      </c>
      <c r="G53" t="s">
        <v>745</v>
      </c>
    </row>
    <row r="54" spans="1:7" x14ac:dyDescent="0.25">
      <c r="A54" s="4">
        <v>34150</v>
      </c>
      <c r="B54" t="s">
        <v>50</v>
      </c>
      <c r="C54" t="s">
        <v>722</v>
      </c>
      <c r="D54" t="s">
        <v>239</v>
      </c>
      <c r="E54" t="s">
        <v>746</v>
      </c>
      <c r="F54" t="s">
        <v>283</v>
      </c>
      <c r="G54" t="s">
        <v>112</v>
      </c>
    </row>
    <row r="55" spans="1:7" x14ac:dyDescent="0.25">
      <c r="A55" s="4">
        <v>33561</v>
      </c>
      <c r="B55" t="s">
        <v>50</v>
      </c>
      <c r="C55" t="s">
        <v>722</v>
      </c>
      <c r="D55" t="s">
        <v>239</v>
      </c>
      <c r="E55" t="s">
        <v>727</v>
      </c>
      <c r="F55" t="s">
        <v>235</v>
      </c>
      <c r="G55" t="s">
        <v>112</v>
      </c>
    </row>
    <row r="56" spans="1:7" x14ac:dyDescent="0.25">
      <c r="A56" s="4">
        <v>33546</v>
      </c>
      <c r="B56" t="s">
        <v>50</v>
      </c>
      <c r="C56" t="s">
        <v>722</v>
      </c>
      <c r="D56" t="s">
        <v>239</v>
      </c>
      <c r="E56" t="s">
        <v>727</v>
      </c>
      <c r="F56" t="s">
        <v>221</v>
      </c>
      <c r="G56" t="s">
        <v>112</v>
      </c>
    </row>
    <row r="57" spans="1:7" x14ac:dyDescent="0.25">
      <c r="A57" s="4">
        <v>33542</v>
      </c>
      <c r="B57" t="s">
        <v>50</v>
      </c>
      <c r="C57" t="s">
        <v>722</v>
      </c>
      <c r="D57" t="s">
        <v>239</v>
      </c>
      <c r="E57" t="s">
        <v>727</v>
      </c>
      <c r="F57" t="s">
        <v>235</v>
      </c>
      <c r="G57" t="s">
        <v>112</v>
      </c>
    </row>
    <row r="58" spans="1:7" x14ac:dyDescent="0.25">
      <c r="A58" s="4">
        <v>33530</v>
      </c>
      <c r="B58" t="s">
        <v>50</v>
      </c>
      <c r="C58" t="s">
        <v>722</v>
      </c>
      <c r="D58" t="s">
        <v>239</v>
      </c>
      <c r="E58" t="s">
        <v>727</v>
      </c>
      <c r="F58" t="s">
        <v>270</v>
      </c>
      <c r="G58" t="s">
        <v>112</v>
      </c>
    </row>
    <row r="59" spans="1:7" x14ac:dyDescent="0.25">
      <c r="A59" s="4">
        <v>33518</v>
      </c>
      <c r="B59" t="s">
        <v>50</v>
      </c>
      <c r="C59" t="s">
        <v>722</v>
      </c>
      <c r="D59" t="s">
        <v>239</v>
      </c>
      <c r="E59" t="s">
        <v>727</v>
      </c>
      <c r="F59" t="s">
        <v>277</v>
      </c>
      <c r="G59" t="s">
        <v>112</v>
      </c>
    </row>
    <row r="60" spans="1:7" x14ac:dyDescent="0.25">
      <c r="A60" s="4">
        <v>33517</v>
      </c>
      <c r="B60" t="s">
        <v>50</v>
      </c>
      <c r="C60" t="s">
        <v>722</v>
      </c>
      <c r="D60" t="s">
        <v>239</v>
      </c>
      <c r="E60" t="s">
        <v>727</v>
      </c>
      <c r="F60" t="s">
        <v>258</v>
      </c>
      <c r="G60" t="s">
        <v>112</v>
      </c>
    </row>
    <row r="61" spans="1:7" x14ac:dyDescent="0.25">
      <c r="A61" s="4">
        <v>33312</v>
      </c>
      <c r="B61" t="s">
        <v>50</v>
      </c>
      <c r="C61" t="s">
        <v>722</v>
      </c>
      <c r="D61" t="s">
        <v>239</v>
      </c>
      <c r="E61" t="s">
        <v>727</v>
      </c>
      <c r="F61" t="s">
        <v>270</v>
      </c>
      <c r="G61" t="s">
        <v>112</v>
      </c>
    </row>
    <row r="62" spans="1:7" x14ac:dyDescent="0.25">
      <c r="A62" s="4">
        <v>33261</v>
      </c>
      <c r="B62" t="s">
        <v>50</v>
      </c>
      <c r="C62" t="s">
        <v>722</v>
      </c>
      <c r="D62" t="s">
        <v>239</v>
      </c>
      <c r="E62" t="s">
        <v>727</v>
      </c>
      <c r="F62" t="s">
        <v>258</v>
      </c>
      <c r="G62" t="s">
        <v>112</v>
      </c>
    </row>
    <row r="63" spans="1:7" x14ac:dyDescent="0.25">
      <c r="A63" s="4">
        <v>33260</v>
      </c>
      <c r="B63" t="s">
        <v>50</v>
      </c>
      <c r="C63" t="s">
        <v>722</v>
      </c>
      <c r="D63" t="s">
        <v>239</v>
      </c>
      <c r="E63" t="s">
        <v>727</v>
      </c>
      <c r="F63" t="s">
        <v>227</v>
      </c>
      <c r="G63" t="s">
        <v>112</v>
      </c>
    </row>
    <row r="64" spans="1:7" x14ac:dyDescent="0.25">
      <c r="A64" s="4">
        <v>33167</v>
      </c>
      <c r="B64" t="s">
        <v>50</v>
      </c>
      <c r="C64" t="s">
        <v>722</v>
      </c>
      <c r="D64" t="s">
        <v>239</v>
      </c>
      <c r="E64" t="s">
        <v>727</v>
      </c>
      <c r="F64" t="s">
        <v>266</v>
      </c>
      <c r="G64" t="s">
        <v>112</v>
      </c>
    </row>
    <row r="65" spans="1:7" x14ac:dyDescent="0.25">
      <c r="A65" s="4">
        <v>33164</v>
      </c>
      <c r="B65" t="s">
        <v>50</v>
      </c>
      <c r="C65" t="s">
        <v>722</v>
      </c>
      <c r="D65" t="s">
        <v>239</v>
      </c>
      <c r="E65" t="s">
        <v>727</v>
      </c>
      <c r="F65" t="s">
        <v>258</v>
      </c>
      <c r="G65" t="s">
        <v>112</v>
      </c>
    </row>
    <row r="66" spans="1:7" x14ac:dyDescent="0.25">
      <c r="A66" s="4">
        <v>33161</v>
      </c>
      <c r="B66" t="s">
        <v>50</v>
      </c>
      <c r="C66" t="s">
        <v>722</v>
      </c>
      <c r="D66" t="s">
        <v>239</v>
      </c>
      <c r="E66" t="s">
        <v>727</v>
      </c>
      <c r="F66" t="s">
        <v>263</v>
      </c>
      <c r="G66" t="s">
        <v>112</v>
      </c>
    </row>
    <row r="67" spans="1:7" x14ac:dyDescent="0.25">
      <c r="A67" s="4">
        <v>33133</v>
      </c>
      <c r="B67" t="s">
        <v>50</v>
      </c>
      <c r="C67" t="s">
        <v>722</v>
      </c>
      <c r="D67" t="s">
        <v>239</v>
      </c>
      <c r="E67" t="s">
        <v>727</v>
      </c>
      <c r="F67" t="s">
        <v>235</v>
      </c>
      <c r="G67" t="s">
        <v>112</v>
      </c>
    </row>
    <row r="68" spans="1:7" x14ac:dyDescent="0.25">
      <c r="A68" s="4">
        <v>33131</v>
      </c>
      <c r="B68" t="s">
        <v>50</v>
      </c>
      <c r="C68" t="s">
        <v>722</v>
      </c>
      <c r="D68" t="s">
        <v>239</v>
      </c>
      <c r="E68" t="s">
        <v>727</v>
      </c>
      <c r="F68" t="s">
        <v>258</v>
      </c>
      <c r="G68" t="s">
        <v>112</v>
      </c>
    </row>
    <row r="69" spans="1:7" x14ac:dyDescent="0.25">
      <c r="A69" s="4">
        <v>32916</v>
      </c>
      <c r="B69" t="s">
        <v>27</v>
      </c>
      <c r="C69" t="s">
        <v>722</v>
      </c>
      <c r="D69" t="s">
        <v>753</v>
      </c>
      <c r="E69" t="s">
        <v>723</v>
      </c>
      <c r="F69" t="s">
        <v>25</v>
      </c>
      <c r="G69" t="s">
        <v>747</v>
      </c>
    </row>
    <row r="70" spans="1:7" x14ac:dyDescent="0.25">
      <c r="A70" s="4">
        <v>32900</v>
      </c>
      <c r="B70" t="s">
        <v>50</v>
      </c>
      <c r="C70" t="s">
        <v>722</v>
      </c>
      <c r="D70" t="s">
        <v>239</v>
      </c>
      <c r="E70" t="s">
        <v>727</v>
      </c>
      <c r="F70" t="s">
        <v>258</v>
      </c>
      <c r="G70" t="s">
        <v>112</v>
      </c>
    </row>
    <row r="71" spans="1:7" x14ac:dyDescent="0.25">
      <c r="A71" s="4">
        <v>32889</v>
      </c>
      <c r="B71" t="s">
        <v>50</v>
      </c>
      <c r="C71" t="s">
        <v>722</v>
      </c>
      <c r="D71" t="s">
        <v>239</v>
      </c>
      <c r="E71" t="s">
        <v>727</v>
      </c>
      <c r="F71" t="s">
        <v>227</v>
      </c>
      <c r="G71" t="s">
        <v>112</v>
      </c>
    </row>
    <row r="72" spans="1:7" x14ac:dyDescent="0.25">
      <c r="A72" s="4">
        <v>32674</v>
      </c>
      <c r="B72" t="s">
        <v>50</v>
      </c>
      <c r="C72" t="s">
        <v>722</v>
      </c>
      <c r="D72" t="s">
        <v>644</v>
      </c>
      <c r="E72" t="s">
        <v>727</v>
      </c>
      <c r="F72" t="s">
        <v>647</v>
      </c>
      <c r="G72" t="s">
        <v>112</v>
      </c>
    </row>
    <row r="73" spans="1:7" x14ac:dyDescent="0.25">
      <c r="A73" s="4">
        <v>32669</v>
      </c>
      <c r="B73" t="s">
        <v>50</v>
      </c>
      <c r="C73" t="s">
        <v>722</v>
      </c>
      <c r="D73" t="s">
        <v>644</v>
      </c>
      <c r="E73" t="s">
        <v>727</v>
      </c>
      <c r="F73" t="s">
        <v>647</v>
      </c>
      <c r="G73" t="s">
        <v>112</v>
      </c>
    </row>
    <row r="74" spans="1:7" x14ac:dyDescent="0.25">
      <c r="A74" s="4">
        <v>32667</v>
      </c>
      <c r="B74" t="s">
        <v>50</v>
      </c>
      <c r="C74" t="s">
        <v>722</v>
      </c>
      <c r="D74" t="s">
        <v>239</v>
      </c>
      <c r="E74" t="s">
        <v>727</v>
      </c>
      <c r="F74" t="s">
        <v>254</v>
      </c>
      <c r="G74" t="s">
        <v>112</v>
      </c>
    </row>
    <row r="75" spans="1:7" x14ac:dyDescent="0.25">
      <c r="A75" s="4">
        <v>32661</v>
      </c>
      <c r="B75" t="s">
        <v>50</v>
      </c>
      <c r="C75" t="s">
        <v>722</v>
      </c>
      <c r="D75" t="s">
        <v>239</v>
      </c>
      <c r="E75" t="s">
        <v>727</v>
      </c>
      <c r="F75" t="s">
        <v>235</v>
      </c>
      <c r="G75" t="s">
        <v>112</v>
      </c>
    </row>
    <row r="76" spans="1:7" x14ac:dyDescent="0.25">
      <c r="A76" s="4">
        <v>32659</v>
      </c>
      <c r="B76" t="s">
        <v>50</v>
      </c>
      <c r="C76" t="s">
        <v>722</v>
      </c>
      <c r="D76" t="s">
        <v>239</v>
      </c>
      <c r="E76" t="s">
        <v>727</v>
      </c>
      <c r="F76" t="s">
        <v>243</v>
      </c>
      <c r="G76" t="s">
        <v>112</v>
      </c>
    </row>
    <row r="77" spans="1:7" x14ac:dyDescent="0.25">
      <c r="A77" s="4">
        <v>32656</v>
      </c>
      <c r="B77" t="s">
        <v>50</v>
      </c>
      <c r="C77" t="s">
        <v>722</v>
      </c>
      <c r="D77" t="s">
        <v>239</v>
      </c>
      <c r="E77" t="s">
        <v>727</v>
      </c>
      <c r="F77" t="s">
        <v>243</v>
      </c>
      <c r="G77" t="s">
        <v>112</v>
      </c>
    </row>
    <row r="78" spans="1:7" x14ac:dyDescent="0.25">
      <c r="A78" s="4">
        <v>32653</v>
      </c>
      <c r="B78" t="s">
        <v>50</v>
      </c>
      <c r="C78" t="s">
        <v>722</v>
      </c>
      <c r="D78" t="s">
        <v>239</v>
      </c>
      <c r="E78" t="s">
        <v>727</v>
      </c>
      <c r="F78" t="s">
        <v>249</v>
      </c>
      <c r="G78" t="s">
        <v>112</v>
      </c>
    </row>
    <row r="79" spans="1:7" x14ac:dyDescent="0.25">
      <c r="A79" s="4">
        <v>32652</v>
      </c>
      <c r="B79" t="s">
        <v>50</v>
      </c>
      <c r="C79" t="s">
        <v>722</v>
      </c>
      <c r="D79" t="s">
        <v>644</v>
      </c>
      <c r="E79" t="s">
        <v>727</v>
      </c>
      <c r="F79" t="s">
        <v>218</v>
      </c>
      <c r="G79" t="s">
        <v>112</v>
      </c>
    </row>
    <row r="80" spans="1:7" x14ac:dyDescent="0.25">
      <c r="A80" s="4">
        <v>32646</v>
      </c>
      <c r="B80" t="s">
        <v>50</v>
      </c>
      <c r="C80" t="s">
        <v>722</v>
      </c>
      <c r="D80" t="s">
        <v>644</v>
      </c>
      <c r="E80" t="s">
        <v>727</v>
      </c>
      <c r="F80" t="s">
        <v>218</v>
      </c>
      <c r="G80" t="s">
        <v>112</v>
      </c>
    </row>
    <row r="81" spans="1:7" x14ac:dyDescent="0.25">
      <c r="A81" s="4">
        <v>32642</v>
      </c>
      <c r="B81" t="s">
        <v>50</v>
      </c>
      <c r="C81" t="s">
        <v>722</v>
      </c>
      <c r="D81" t="s">
        <v>644</v>
      </c>
      <c r="E81" t="s">
        <v>727</v>
      </c>
      <c r="F81" t="s">
        <v>218</v>
      </c>
      <c r="G81" t="s">
        <v>112</v>
      </c>
    </row>
    <row r="82" spans="1:7" x14ac:dyDescent="0.25">
      <c r="A82" s="4">
        <v>32522</v>
      </c>
      <c r="B82" t="s">
        <v>50</v>
      </c>
      <c r="C82" t="s">
        <v>722</v>
      </c>
      <c r="D82" t="s">
        <v>644</v>
      </c>
      <c r="E82" t="s">
        <v>727</v>
      </c>
      <c r="F82" t="s">
        <v>221</v>
      </c>
      <c r="G82" t="s">
        <v>117</v>
      </c>
    </row>
    <row r="83" spans="1:7" x14ac:dyDescent="0.25">
      <c r="A83" s="4">
        <v>32522</v>
      </c>
      <c r="B83" t="s">
        <v>50</v>
      </c>
      <c r="C83" t="s">
        <v>722</v>
      </c>
      <c r="D83" t="s">
        <v>644</v>
      </c>
      <c r="E83" t="s">
        <v>727</v>
      </c>
      <c r="F83" t="s">
        <v>221</v>
      </c>
      <c r="G83" t="s">
        <v>116</v>
      </c>
    </row>
    <row r="84" spans="1:7" x14ac:dyDescent="0.25">
      <c r="A84" s="4">
        <v>32522</v>
      </c>
      <c r="B84" t="s">
        <v>50</v>
      </c>
      <c r="C84" t="s">
        <v>722</v>
      </c>
      <c r="D84" t="s">
        <v>644</v>
      </c>
      <c r="E84" t="s">
        <v>727</v>
      </c>
      <c r="F84" t="s">
        <v>221</v>
      </c>
      <c r="G84" t="s">
        <v>112</v>
      </c>
    </row>
    <row r="85" spans="1:7" x14ac:dyDescent="0.25">
      <c r="A85" s="4">
        <v>32268</v>
      </c>
      <c r="B85" t="s">
        <v>50</v>
      </c>
      <c r="C85" t="s">
        <v>722</v>
      </c>
      <c r="D85" t="s">
        <v>751</v>
      </c>
      <c r="E85" t="s">
        <v>727</v>
      </c>
      <c r="F85" t="s">
        <v>221</v>
      </c>
      <c r="G85" t="s">
        <v>117</v>
      </c>
    </row>
    <row r="86" spans="1:7" x14ac:dyDescent="0.25">
      <c r="A86" s="4">
        <v>32267</v>
      </c>
      <c r="B86" t="s">
        <v>50</v>
      </c>
      <c r="C86" t="s">
        <v>722</v>
      </c>
      <c r="D86" t="s">
        <v>751</v>
      </c>
      <c r="E86" t="s">
        <v>727</v>
      </c>
      <c r="F86" t="s">
        <v>218</v>
      </c>
      <c r="G86" t="s">
        <v>112</v>
      </c>
    </row>
    <row r="87" spans="1:7" x14ac:dyDescent="0.25">
      <c r="A87" s="4">
        <v>32266</v>
      </c>
      <c r="B87" t="s">
        <v>50</v>
      </c>
      <c r="C87" t="s">
        <v>722</v>
      </c>
      <c r="D87" t="s">
        <v>751</v>
      </c>
      <c r="E87" t="s">
        <v>727</v>
      </c>
      <c r="F87" t="s">
        <v>218</v>
      </c>
      <c r="G87" t="s">
        <v>112</v>
      </c>
    </row>
    <row r="88" spans="1:7" x14ac:dyDescent="0.25">
      <c r="A88" s="4">
        <v>32265</v>
      </c>
      <c r="B88" t="s">
        <v>50</v>
      </c>
      <c r="C88" t="s">
        <v>722</v>
      </c>
      <c r="D88" t="s">
        <v>751</v>
      </c>
      <c r="E88" t="s">
        <v>727</v>
      </c>
      <c r="F88" t="s">
        <v>218</v>
      </c>
      <c r="G88" t="s">
        <v>112</v>
      </c>
    </row>
    <row r="89" spans="1:7" x14ac:dyDescent="0.25">
      <c r="A89" s="4">
        <v>32170</v>
      </c>
      <c r="B89" t="s">
        <v>32</v>
      </c>
      <c r="C89" t="s">
        <v>722</v>
      </c>
      <c r="D89" t="s">
        <v>754</v>
      </c>
      <c r="E89" t="s">
        <v>726</v>
      </c>
      <c r="F89" t="s">
        <v>167</v>
      </c>
      <c r="G89" t="s">
        <v>36</v>
      </c>
    </row>
    <row r="90" spans="1:7" x14ac:dyDescent="0.25">
      <c r="A90" s="4">
        <v>32170</v>
      </c>
      <c r="B90" t="s">
        <v>32</v>
      </c>
      <c r="C90" t="s">
        <v>722</v>
      </c>
      <c r="D90" t="s">
        <v>754</v>
      </c>
      <c r="E90" t="s">
        <v>726</v>
      </c>
      <c r="F90" t="s">
        <v>167</v>
      </c>
      <c r="G90" t="s">
        <v>35</v>
      </c>
    </row>
    <row r="91" spans="1:7" x14ac:dyDescent="0.25">
      <c r="A91" s="4">
        <v>32170</v>
      </c>
      <c r="B91" t="s">
        <v>32</v>
      </c>
      <c r="C91" t="s">
        <v>722</v>
      </c>
      <c r="D91" t="s">
        <v>754</v>
      </c>
      <c r="E91" t="s">
        <v>726</v>
      </c>
      <c r="F91" t="s">
        <v>167</v>
      </c>
      <c r="G91" t="s">
        <v>34</v>
      </c>
    </row>
    <row r="92" spans="1:7" x14ac:dyDescent="0.25">
      <c r="A92" s="4">
        <v>31996</v>
      </c>
      <c r="B92" t="s">
        <v>50</v>
      </c>
      <c r="C92" t="s">
        <v>722</v>
      </c>
      <c r="D92" t="s">
        <v>644</v>
      </c>
      <c r="E92" t="s">
        <v>727</v>
      </c>
      <c r="F92" t="s">
        <v>652</v>
      </c>
      <c r="G92" t="s">
        <v>112</v>
      </c>
    </row>
    <row r="93" spans="1:7" x14ac:dyDescent="0.25">
      <c r="A93" s="4">
        <v>31709</v>
      </c>
      <c r="B93" t="s">
        <v>50</v>
      </c>
      <c r="C93" t="s">
        <v>722</v>
      </c>
      <c r="D93" t="s">
        <v>239</v>
      </c>
      <c r="E93" t="s">
        <v>727</v>
      </c>
      <c r="F93" t="s">
        <v>243</v>
      </c>
      <c r="G93" t="s">
        <v>112</v>
      </c>
    </row>
    <row r="94" spans="1:7" x14ac:dyDescent="0.25">
      <c r="A94" s="4">
        <v>31431</v>
      </c>
      <c r="B94" t="s">
        <v>50</v>
      </c>
      <c r="C94" t="s">
        <v>722</v>
      </c>
      <c r="D94" t="s">
        <v>752</v>
      </c>
      <c r="E94" t="s">
        <v>727</v>
      </c>
      <c r="F94" t="s">
        <v>508</v>
      </c>
      <c r="G94" t="s">
        <v>112</v>
      </c>
    </row>
    <row r="95" spans="1:7" x14ac:dyDescent="0.25">
      <c r="A95" s="4">
        <v>31430</v>
      </c>
      <c r="B95" t="s">
        <v>50</v>
      </c>
      <c r="C95" t="s">
        <v>722</v>
      </c>
      <c r="D95" t="s">
        <v>752</v>
      </c>
      <c r="E95" t="s">
        <v>727</v>
      </c>
      <c r="F95" t="s">
        <v>508</v>
      </c>
      <c r="G95" t="s">
        <v>112</v>
      </c>
    </row>
    <row r="96" spans="1:7" x14ac:dyDescent="0.25">
      <c r="A96" s="4">
        <v>31428</v>
      </c>
      <c r="B96" t="s">
        <v>50</v>
      </c>
      <c r="C96" t="s">
        <v>722</v>
      </c>
      <c r="D96" t="s">
        <v>752</v>
      </c>
      <c r="E96" t="s">
        <v>727</v>
      </c>
      <c r="F96" t="s">
        <v>508</v>
      </c>
      <c r="G96" t="s">
        <v>112</v>
      </c>
    </row>
    <row r="97" spans="1:7" x14ac:dyDescent="0.25">
      <c r="A97" s="4">
        <v>31427</v>
      </c>
      <c r="B97" t="s">
        <v>50</v>
      </c>
      <c r="C97" t="s">
        <v>722</v>
      </c>
      <c r="D97" t="s">
        <v>752</v>
      </c>
      <c r="E97" t="s">
        <v>727</v>
      </c>
      <c r="F97" t="s">
        <v>508</v>
      </c>
      <c r="G97" t="s">
        <v>112</v>
      </c>
    </row>
    <row r="98" spans="1:7" x14ac:dyDescent="0.25">
      <c r="A98" s="4">
        <v>31129</v>
      </c>
      <c r="B98" t="s">
        <v>50</v>
      </c>
      <c r="C98" t="s">
        <v>722</v>
      </c>
      <c r="D98" t="s">
        <v>239</v>
      </c>
      <c r="E98" t="s">
        <v>727</v>
      </c>
      <c r="F98" t="s">
        <v>221</v>
      </c>
      <c r="G98" t="s">
        <v>112</v>
      </c>
    </row>
    <row r="99" spans="1:7" x14ac:dyDescent="0.25">
      <c r="A99" s="4">
        <v>30673</v>
      </c>
      <c r="B99" t="s">
        <v>50</v>
      </c>
      <c r="C99" t="s">
        <v>722</v>
      </c>
      <c r="D99" t="s">
        <v>644</v>
      </c>
      <c r="E99" t="s">
        <v>727</v>
      </c>
      <c r="F99" t="s">
        <v>645</v>
      </c>
      <c r="G99" t="s">
        <v>112</v>
      </c>
    </row>
    <row r="100" spans="1:7" x14ac:dyDescent="0.25">
      <c r="A100" s="4">
        <v>30497</v>
      </c>
      <c r="B100" t="s">
        <v>32</v>
      </c>
      <c r="C100" t="s">
        <v>722</v>
      </c>
      <c r="D100" t="s">
        <v>750</v>
      </c>
      <c r="E100" t="s">
        <v>724</v>
      </c>
      <c r="F100" t="s">
        <v>291</v>
      </c>
      <c r="G100" t="s">
        <v>150</v>
      </c>
    </row>
    <row r="101" spans="1:7" x14ac:dyDescent="0.25">
      <c r="A101" s="4">
        <v>30497</v>
      </c>
      <c r="B101" t="s">
        <v>32</v>
      </c>
      <c r="C101" t="s">
        <v>722</v>
      </c>
      <c r="D101" t="s">
        <v>750</v>
      </c>
      <c r="E101" t="s">
        <v>724</v>
      </c>
      <c r="F101" t="s">
        <v>291</v>
      </c>
      <c r="G101" t="s">
        <v>172</v>
      </c>
    </row>
    <row r="102" spans="1:7" x14ac:dyDescent="0.25">
      <c r="A102" s="4">
        <v>30497</v>
      </c>
      <c r="B102" t="s">
        <v>32</v>
      </c>
      <c r="C102" t="s">
        <v>722</v>
      </c>
      <c r="D102" t="s">
        <v>750</v>
      </c>
      <c r="E102" t="s">
        <v>724</v>
      </c>
      <c r="F102" t="s">
        <v>291</v>
      </c>
      <c r="G102" t="s">
        <v>191</v>
      </c>
    </row>
    <row r="103" spans="1:7" x14ac:dyDescent="0.25">
      <c r="A103" s="4">
        <v>30497</v>
      </c>
      <c r="B103" t="s">
        <v>32</v>
      </c>
      <c r="C103" t="s">
        <v>722</v>
      </c>
      <c r="D103" t="s">
        <v>750</v>
      </c>
      <c r="E103" t="s">
        <v>724</v>
      </c>
      <c r="F103" t="s">
        <v>291</v>
      </c>
      <c r="G103" t="s">
        <v>155</v>
      </c>
    </row>
    <row r="104" spans="1:7" x14ac:dyDescent="0.25">
      <c r="A104" s="4">
        <v>30497</v>
      </c>
      <c r="B104" t="s">
        <v>32</v>
      </c>
      <c r="C104" t="s">
        <v>722</v>
      </c>
      <c r="D104" t="s">
        <v>750</v>
      </c>
      <c r="E104" t="s">
        <v>724</v>
      </c>
      <c r="F104" t="s">
        <v>291</v>
      </c>
      <c r="G104" t="s">
        <v>147</v>
      </c>
    </row>
    <row r="105" spans="1:7" x14ac:dyDescent="0.25">
      <c r="A105" s="4">
        <v>30497</v>
      </c>
      <c r="B105" t="s">
        <v>32</v>
      </c>
      <c r="C105" t="s">
        <v>722</v>
      </c>
      <c r="D105" t="s">
        <v>750</v>
      </c>
      <c r="E105" t="s">
        <v>724</v>
      </c>
      <c r="F105" t="s">
        <v>291</v>
      </c>
      <c r="G105" t="s">
        <v>711</v>
      </c>
    </row>
    <row r="106" spans="1:7" x14ac:dyDescent="0.25">
      <c r="A106" s="4">
        <v>30497</v>
      </c>
      <c r="B106" t="s">
        <v>32</v>
      </c>
      <c r="C106" t="s">
        <v>722</v>
      </c>
      <c r="D106" t="s">
        <v>750</v>
      </c>
      <c r="E106" t="s">
        <v>724</v>
      </c>
      <c r="F106" t="s">
        <v>291</v>
      </c>
      <c r="G106" t="s">
        <v>715</v>
      </c>
    </row>
    <row r="107" spans="1:7" x14ac:dyDescent="0.25">
      <c r="A107" s="4">
        <v>30497</v>
      </c>
      <c r="B107" t="s">
        <v>32</v>
      </c>
      <c r="C107" t="s">
        <v>722</v>
      </c>
      <c r="D107" t="s">
        <v>750</v>
      </c>
      <c r="E107" t="s">
        <v>724</v>
      </c>
      <c r="F107" t="s">
        <v>291</v>
      </c>
      <c r="G107" t="s">
        <v>186</v>
      </c>
    </row>
    <row r="108" spans="1:7" x14ac:dyDescent="0.25">
      <c r="A108" s="4">
        <v>30497</v>
      </c>
      <c r="B108" t="s">
        <v>32</v>
      </c>
      <c r="C108" t="s">
        <v>722</v>
      </c>
      <c r="D108" t="s">
        <v>750</v>
      </c>
      <c r="E108" t="s">
        <v>724</v>
      </c>
      <c r="F108" t="s">
        <v>291</v>
      </c>
      <c r="G108" t="s">
        <v>189</v>
      </c>
    </row>
    <row r="109" spans="1:7" x14ac:dyDescent="0.25">
      <c r="A109" s="4">
        <v>30497</v>
      </c>
      <c r="B109" t="s">
        <v>32</v>
      </c>
      <c r="C109" t="s">
        <v>722</v>
      </c>
      <c r="D109" t="s">
        <v>750</v>
      </c>
      <c r="E109" t="s">
        <v>724</v>
      </c>
      <c r="F109" t="s">
        <v>291</v>
      </c>
      <c r="G109" t="s">
        <v>158</v>
      </c>
    </row>
    <row r="110" spans="1:7" x14ac:dyDescent="0.25">
      <c r="A110" s="4">
        <v>30497</v>
      </c>
      <c r="B110" t="s">
        <v>32</v>
      </c>
      <c r="C110" t="s">
        <v>722</v>
      </c>
      <c r="D110" t="s">
        <v>750</v>
      </c>
      <c r="E110" t="s">
        <v>724</v>
      </c>
      <c r="F110" t="s">
        <v>291</v>
      </c>
      <c r="G110" t="s">
        <v>151</v>
      </c>
    </row>
    <row r="111" spans="1:7" x14ac:dyDescent="0.25">
      <c r="A111" s="4">
        <v>30497</v>
      </c>
      <c r="B111" t="s">
        <v>32</v>
      </c>
      <c r="C111" t="s">
        <v>722</v>
      </c>
      <c r="D111" t="s">
        <v>750</v>
      </c>
      <c r="E111" t="s">
        <v>724</v>
      </c>
      <c r="F111" t="s">
        <v>291</v>
      </c>
      <c r="G111" t="s">
        <v>725</v>
      </c>
    </row>
    <row r="112" spans="1:7" x14ac:dyDescent="0.25">
      <c r="A112" s="4">
        <v>30446</v>
      </c>
      <c r="B112" t="s">
        <v>50</v>
      </c>
      <c r="C112" t="s">
        <v>722</v>
      </c>
      <c r="D112" t="s">
        <v>644</v>
      </c>
      <c r="E112" t="s">
        <v>727</v>
      </c>
      <c r="F112" t="s">
        <v>422</v>
      </c>
      <c r="G112" t="s">
        <v>112</v>
      </c>
    </row>
    <row r="113" spans="1:7" x14ac:dyDescent="0.25">
      <c r="A113" s="4">
        <v>29680</v>
      </c>
      <c r="B113" t="s">
        <v>50</v>
      </c>
      <c r="C113" t="s">
        <v>722</v>
      </c>
      <c r="D113" t="s">
        <v>644</v>
      </c>
      <c r="E113" t="s">
        <v>727</v>
      </c>
      <c r="F113" t="s">
        <v>645</v>
      </c>
      <c r="G113" t="s">
        <v>112</v>
      </c>
    </row>
    <row r="114" spans="1:7" x14ac:dyDescent="0.25">
      <c r="A114" s="4">
        <v>29668</v>
      </c>
      <c r="B114" t="s">
        <v>50</v>
      </c>
      <c r="C114" t="s">
        <v>722</v>
      </c>
      <c r="D114" t="s">
        <v>239</v>
      </c>
      <c r="E114" t="s">
        <v>726</v>
      </c>
      <c r="F114" t="s">
        <v>225</v>
      </c>
      <c r="G114" t="s">
        <v>112</v>
      </c>
    </row>
    <row r="115" spans="1:7" x14ac:dyDescent="0.25">
      <c r="A115" s="4">
        <v>39900</v>
      </c>
      <c r="B115" t="s">
        <v>756</v>
      </c>
      <c r="C115" t="s">
        <v>759</v>
      </c>
      <c r="D115" t="s">
        <v>755</v>
      </c>
      <c r="E115" t="s">
        <v>723</v>
      </c>
      <c r="F115" t="s">
        <v>463</v>
      </c>
      <c r="G115" t="s">
        <v>760</v>
      </c>
    </row>
    <row r="116" spans="1:7" x14ac:dyDescent="0.25">
      <c r="A116" s="4">
        <v>39900</v>
      </c>
      <c r="B116" t="s">
        <v>756</v>
      </c>
      <c r="C116" t="s">
        <v>759</v>
      </c>
      <c r="D116" t="s">
        <v>755</v>
      </c>
      <c r="E116" t="s">
        <v>723</v>
      </c>
      <c r="F116" t="s">
        <v>463</v>
      </c>
      <c r="G116" t="s">
        <v>761</v>
      </c>
    </row>
    <row r="117" spans="1:7" x14ac:dyDescent="0.25">
      <c r="A117" s="4">
        <v>39900</v>
      </c>
      <c r="B117" t="s">
        <v>756</v>
      </c>
      <c r="C117" t="s">
        <v>759</v>
      </c>
      <c r="D117" t="s">
        <v>755</v>
      </c>
      <c r="E117" t="s">
        <v>723</v>
      </c>
      <c r="F117" t="s">
        <v>463</v>
      </c>
      <c r="G117" t="s">
        <v>762</v>
      </c>
    </row>
    <row r="118" spans="1:7" x14ac:dyDescent="0.25">
      <c r="A118" s="4">
        <v>39900</v>
      </c>
      <c r="B118" t="s">
        <v>756</v>
      </c>
      <c r="C118" t="s">
        <v>759</v>
      </c>
      <c r="D118" t="s">
        <v>755</v>
      </c>
      <c r="E118" t="s">
        <v>723</v>
      </c>
      <c r="F118" t="s">
        <v>463</v>
      </c>
      <c r="G118" t="s">
        <v>763</v>
      </c>
    </row>
  </sheetData>
  <pageMargins left="0.7" right="0.7" top="0.75" bottom="0.75" header="0.3" footer="0.3"/>
  <customProperties>
    <customPr name="DVSECTIONID" r:id="rId1"/>
  </customProperti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IV216"/>
  <sheetViews>
    <sheetView workbookViewId="0">
      <selection activeCell="AM216" sqref="AM216"/>
    </sheetView>
  </sheetViews>
  <sheetFormatPr baseColWidth="10" defaultRowHeight="15" x14ac:dyDescent="0.25"/>
  <sheetData>
    <row r="1" spans="1:256" x14ac:dyDescent="0.25">
      <c r="A1">
        <f>IF('Planilla_General_03-12-2012_9_3'!1:1,"AAAAAH8OrgA=",0)</f>
        <v>0</v>
      </c>
      <c r="B1" t="e">
        <f>AND('Planilla_General_03-12-2012_9_3'!A1,"AAAAAH8OrgE=")</f>
        <v>#VALUE!</v>
      </c>
      <c r="C1" t="e">
        <f>AND('Planilla_General_03-12-2012_9_3'!B1,"AAAAAH8OrgI=")</f>
        <v>#VALUE!</v>
      </c>
      <c r="D1" t="e">
        <f>AND('Planilla_General_03-12-2012_9_3'!C1,"AAAAAH8OrgM=")</f>
        <v>#VALUE!</v>
      </c>
      <c r="E1" t="e">
        <f>AND('Planilla_General_03-12-2012_9_3'!D1,"AAAAAH8OrgQ=")</f>
        <v>#VALUE!</v>
      </c>
      <c r="F1" t="e">
        <f>AND('Planilla_General_03-12-2012_9_3'!E1,"AAAAAH8OrgU=")</f>
        <v>#VALUE!</v>
      </c>
      <c r="G1" t="e">
        <f>AND('Planilla_General_03-12-2012_9_3'!F1,"AAAAAH8OrgY=")</f>
        <v>#VALUE!</v>
      </c>
      <c r="H1" t="e">
        <f>AND('Planilla_General_03-12-2012_9_3'!G1,"AAAAAH8Orgc=")</f>
        <v>#VALUE!</v>
      </c>
      <c r="I1" t="e">
        <f>AND('Planilla_General_03-12-2012_9_3'!H1,"AAAAAH8Orgg=")</f>
        <v>#VALUE!</v>
      </c>
      <c r="J1" t="e">
        <f>AND('Planilla_General_03-12-2012_9_3'!I1,"AAAAAH8Orgk=")</f>
        <v>#VALUE!</v>
      </c>
      <c r="K1" t="e">
        <f>AND('Planilla_General_03-12-2012_9_3'!J1,"AAAAAH8Orgo=")</f>
        <v>#VALUE!</v>
      </c>
      <c r="L1" t="e">
        <f>AND('Planilla_General_03-12-2012_9_3'!K1,"AAAAAH8Orgs=")</f>
        <v>#VALUE!</v>
      </c>
      <c r="M1" t="e">
        <f>AND('Planilla_General_03-12-2012_9_3'!L1,"AAAAAH8Orgw=")</f>
        <v>#VALUE!</v>
      </c>
      <c r="N1" t="e">
        <f>AND('Planilla_General_03-12-2012_9_3'!M1,"AAAAAH8Org0=")</f>
        <v>#VALUE!</v>
      </c>
      <c r="O1" t="e">
        <f>AND('Planilla_General_03-12-2012_9_3'!N1,"AAAAAH8Org4=")</f>
        <v>#VALUE!</v>
      </c>
      <c r="P1" t="e">
        <f>AND('Planilla_General_03-12-2012_9_3'!O1,"AAAAAH8Org8=")</f>
        <v>#VALUE!</v>
      </c>
      <c r="Q1">
        <f>IF('Planilla_General_03-12-2012_9_3'!2:2,"AAAAAH8OrhA=",0)</f>
        <v>0</v>
      </c>
      <c r="R1" t="e">
        <f>AND('Planilla_General_03-12-2012_9_3'!A2,"AAAAAH8OrhE=")</f>
        <v>#VALUE!</v>
      </c>
      <c r="S1" t="e">
        <f>AND('Planilla_General_03-12-2012_9_3'!B2,"AAAAAH8OrhI=")</f>
        <v>#VALUE!</v>
      </c>
      <c r="T1" t="e">
        <f>AND('Planilla_General_03-12-2012_9_3'!C2,"AAAAAH8OrhM=")</f>
        <v>#VALUE!</v>
      </c>
      <c r="U1" t="e">
        <f>AND('Planilla_General_03-12-2012_9_3'!D2,"AAAAAH8OrhQ=")</f>
        <v>#VALUE!</v>
      </c>
      <c r="V1" t="e">
        <f>AND('Planilla_General_03-12-2012_9_3'!E2,"AAAAAH8OrhU=")</f>
        <v>#VALUE!</v>
      </c>
      <c r="W1" t="e">
        <f>AND('Planilla_General_03-12-2012_9_3'!F2,"AAAAAH8OrhY=")</f>
        <v>#VALUE!</v>
      </c>
      <c r="X1" t="e">
        <f>AND('Planilla_General_03-12-2012_9_3'!G2,"AAAAAH8Orhc=")</f>
        <v>#VALUE!</v>
      </c>
      <c r="Y1" t="e">
        <f>AND('Planilla_General_03-12-2012_9_3'!H2,"AAAAAH8Orhg=")</f>
        <v>#VALUE!</v>
      </c>
      <c r="Z1" t="e">
        <f>AND('Planilla_General_03-12-2012_9_3'!I2,"AAAAAH8Orhk=")</f>
        <v>#VALUE!</v>
      </c>
      <c r="AA1" t="e">
        <f>AND('Planilla_General_03-12-2012_9_3'!J2,"AAAAAH8Orho=")</f>
        <v>#VALUE!</v>
      </c>
      <c r="AB1" t="e">
        <f>AND('Planilla_General_03-12-2012_9_3'!K2,"AAAAAH8Orhs=")</f>
        <v>#VALUE!</v>
      </c>
      <c r="AC1" t="e">
        <f>AND('Planilla_General_03-12-2012_9_3'!L2,"AAAAAH8Orhw=")</f>
        <v>#VALUE!</v>
      </c>
      <c r="AD1" t="e">
        <f>AND('Planilla_General_03-12-2012_9_3'!M2,"AAAAAH8Orh0=")</f>
        <v>#VALUE!</v>
      </c>
      <c r="AE1" t="e">
        <f>AND('Planilla_General_03-12-2012_9_3'!N2,"AAAAAH8Orh4=")</f>
        <v>#VALUE!</v>
      </c>
      <c r="AF1" t="e">
        <f>AND('Planilla_General_03-12-2012_9_3'!O2,"AAAAAH8Orh8=")</f>
        <v>#VALUE!</v>
      </c>
      <c r="AG1">
        <f>IF('Planilla_General_03-12-2012_9_3'!3:3,"AAAAAH8OriA=",0)</f>
        <v>0</v>
      </c>
      <c r="AH1" t="e">
        <f>AND('Planilla_General_03-12-2012_9_3'!A3,"AAAAAH8OriE=")</f>
        <v>#VALUE!</v>
      </c>
      <c r="AI1" t="e">
        <f>AND('Planilla_General_03-12-2012_9_3'!B3,"AAAAAH8OriI=")</f>
        <v>#VALUE!</v>
      </c>
      <c r="AJ1" t="e">
        <f>AND('Planilla_General_03-12-2012_9_3'!C3,"AAAAAH8OriM=")</f>
        <v>#VALUE!</v>
      </c>
      <c r="AK1" t="e">
        <f>AND('Planilla_General_03-12-2012_9_3'!D3,"AAAAAH8OriQ=")</f>
        <v>#VALUE!</v>
      </c>
      <c r="AL1" t="e">
        <f>AND('Planilla_General_03-12-2012_9_3'!E3,"AAAAAH8OriU=")</f>
        <v>#VALUE!</v>
      </c>
      <c r="AM1" t="e">
        <f>AND('Planilla_General_03-12-2012_9_3'!F3,"AAAAAH8OriY=")</f>
        <v>#VALUE!</v>
      </c>
      <c r="AN1" t="e">
        <f>AND('Planilla_General_03-12-2012_9_3'!G3,"AAAAAH8Oric=")</f>
        <v>#VALUE!</v>
      </c>
      <c r="AO1" t="e">
        <f>AND('Planilla_General_03-12-2012_9_3'!H3,"AAAAAH8Orig=")</f>
        <v>#VALUE!</v>
      </c>
      <c r="AP1" t="e">
        <f>AND('Planilla_General_03-12-2012_9_3'!I3,"AAAAAH8Orik=")</f>
        <v>#VALUE!</v>
      </c>
      <c r="AQ1" t="e">
        <f>AND('Planilla_General_03-12-2012_9_3'!J3,"AAAAAH8Orio=")</f>
        <v>#VALUE!</v>
      </c>
      <c r="AR1" t="e">
        <f>AND('Planilla_General_03-12-2012_9_3'!K3,"AAAAAH8Oris=")</f>
        <v>#VALUE!</v>
      </c>
      <c r="AS1" t="e">
        <f>AND('Planilla_General_03-12-2012_9_3'!L3,"AAAAAH8Oriw=")</f>
        <v>#VALUE!</v>
      </c>
      <c r="AT1" t="e">
        <f>AND('Planilla_General_03-12-2012_9_3'!M3,"AAAAAH8Ori0=")</f>
        <v>#VALUE!</v>
      </c>
      <c r="AU1" t="e">
        <f>AND('Planilla_General_03-12-2012_9_3'!N3,"AAAAAH8Ori4=")</f>
        <v>#VALUE!</v>
      </c>
      <c r="AV1" t="e">
        <f>AND('Planilla_General_03-12-2012_9_3'!O3,"AAAAAH8Ori8=")</f>
        <v>#VALUE!</v>
      </c>
      <c r="AW1">
        <f>IF('Planilla_General_03-12-2012_9_3'!4:4,"AAAAAH8OrjA=",0)</f>
        <v>0</v>
      </c>
      <c r="AX1" t="e">
        <f>AND('Planilla_General_03-12-2012_9_3'!A4,"AAAAAH8OrjE=")</f>
        <v>#VALUE!</v>
      </c>
      <c r="AY1" t="e">
        <f>AND('Planilla_General_03-12-2012_9_3'!B4,"AAAAAH8OrjI=")</f>
        <v>#VALUE!</v>
      </c>
      <c r="AZ1" t="e">
        <f>AND('Planilla_General_03-12-2012_9_3'!C4,"AAAAAH8OrjM=")</f>
        <v>#VALUE!</v>
      </c>
      <c r="BA1" t="e">
        <f>AND('Planilla_General_03-12-2012_9_3'!D4,"AAAAAH8OrjQ=")</f>
        <v>#VALUE!</v>
      </c>
      <c r="BB1" t="e">
        <f>AND('Planilla_General_03-12-2012_9_3'!E4,"AAAAAH8OrjU=")</f>
        <v>#VALUE!</v>
      </c>
      <c r="BC1" t="e">
        <f>AND('Planilla_General_03-12-2012_9_3'!F4,"AAAAAH8OrjY=")</f>
        <v>#VALUE!</v>
      </c>
      <c r="BD1" t="e">
        <f>AND('Planilla_General_03-12-2012_9_3'!G4,"AAAAAH8Orjc=")</f>
        <v>#VALUE!</v>
      </c>
      <c r="BE1" t="e">
        <f>AND('Planilla_General_03-12-2012_9_3'!H4,"AAAAAH8Orjg=")</f>
        <v>#VALUE!</v>
      </c>
      <c r="BF1" t="e">
        <f>AND('Planilla_General_03-12-2012_9_3'!I4,"AAAAAH8Orjk=")</f>
        <v>#VALUE!</v>
      </c>
      <c r="BG1" t="e">
        <f>AND('Planilla_General_03-12-2012_9_3'!J4,"AAAAAH8Orjo=")</f>
        <v>#VALUE!</v>
      </c>
      <c r="BH1" t="e">
        <f>AND('Planilla_General_03-12-2012_9_3'!K4,"AAAAAH8Orjs=")</f>
        <v>#VALUE!</v>
      </c>
      <c r="BI1" t="e">
        <f>AND('Planilla_General_03-12-2012_9_3'!L4,"AAAAAH8Orjw=")</f>
        <v>#VALUE!</v>
      </c>
      <c r="BJ1" t="e">
        <f>AND('Planilla_General_03-12-2012_9_3'!M4,"AAAAAH8Orj0=")</f>
        <v>#VALUE!</v>
      </c>
      <c r="BK1" t="e">
        <f>AND('Planilla_General_03-12-2012_9_3'!N4,"AAAAAH8Orj4=")</f>
        <v>#VALUE!</v>
      </c>
      <c r="BL1" t="e">
        <f>AND('Planilla_General_03-12-2012_9_3'!O4,"AAAAAH8Orj8=")</f>
        <v>#VALUE!</v>
      </c>
      <c r="BM1">
        <f>IF('Planilla_General_03-12-2012_9_3'!5:5,"AAAAAH8OrkA=",0)</f>
        <v>0</v>
      </c>
      <c r="BN1" t="e">
        <f>AND('Planilla_General_03-12-2012_9_3'!A5,"AAAAAH8OrkE=")</f>
        <v>#VALUE!</v>
      </c>
      <c r="BO1" t="e">
        <f>AND('Planilla_General_03-12-2012_9_3'!B5,"AAAAAH8OrkI=")</f>
        <v>#VALUE!</v>
      </c>
      <c r="BP1" t="e">
        <f>AND('Planilla_General_03-12-2012_9_3'!C5,"AAAAAH8OrkM=")</f>
        <v>#VALUE!</v>
      </c>
      <c r="BQ1" t="e">
        <f>AND('Planilla_General_03-12-2012_9_3'!D5,"AAAAAH8OrkQ=")</f>
        <v>#VALUE!</v>
      </c>
      <c r="BR1" t="e">
        <f>AND('Planilla_General_03-12-2012_9_3'!E5,"AAAAAH8OrkU=")</f>
        <v>#VALUE!</v>
      </c>
      <c r="BS1" t="e">
        <f>AND('Planilla_General_03-12-2012_9_3'!F5,"AAAAAH8OrkY=")</f>
        <v>#VALUE!</v>
      </c>
      <c r="BT1" t="e">
        <f>AND('Planilla_General_03-12-2012_9_3'!G5,"AAAAAH8Orkc=")</f>
        <v>#VALUE!</v>
      </c>
      <c r="BU1" t="e">
        <f>AND('Planilla_General_03-12-2012_9_3'!H5,"AAAAAH8Orkg=")</f>
        <v>#VALUE!</v>
      </c>
      <c r="BV1" t="e">
        <f>AND('Planilla_General_03-12-2012_9_3'!I5,"AAAAAH8Orkk=")</f>
        <v>#VALUE!</v>
      </c>
      <c r="BW1" t="e">
        <f>AND('Planilla_General_03-12-2012_9_3'!J5,"AAAAAH8Orko=")</f>
        <v>#VALUE!</v>
      </c>
      <c r="BX1" t="e">
        <f>AND('Planilla_General_03-12-2012_9_3'!K5,"AAAAAH8Orks=")</f>
        <v>#VALUE!</v>
      </c>
      <c r="BY1" t="e">
        <f>AND('Planilla_General_03-12-2012_9_3'!L5,"AAAAAH8Orkw=")</f>
        <v>#VALUE!</v>
      </c>
      <c r="BZ1" t="e">
        <f>AND('Planilla_General_03-12-2012_9_3'!M5,"AAAAAH8Ork0=")</f>
        <v>#VALUE!</v>
      </c>
      <c r="CA1" t="e">
        <f>AND('Planilla_General_03-12-2012_9_3'!N5,"AAAAAH8Ork4=")</f>
        <v>#VALUE!</v>
      </c>
      <c r="CB1" t="e">
        <f>AND('Planilla_General_03-12-2012_9_3'!O5,"AAAAAH8Ork8=")</f>
        <v>#VALUE!</v>
      </c>
      <c r="CC1">
        <f>IF('Planilla_General_03-12-2012_9_3'!6:6,"AAAAAH8OrlA=",0)</f>
        <v>0</v>
      </c>
      <c r="CD1" t="e">
        <f>AND('Planilla_General_03-12-2012_9_3'!A6,"AAAAAH8OrlE=")</f>
        <v>#VALUE!</v>
      </c>
      <c r="CE1" t="e">
        <f>AND('Planilla_General_03-12-2012_9_3'!B6,"AAAAAH8OrlI=")</f>
        <v>#VALUE!</v>
      </c>
      <c r="CF1" t="e">
        <f>AND('Planilla_General_03-12-2012_9_3'!C6,"AAAAAH8OrlM=")</f>
        <v>#VALUE!</v>
      </c>
      <c r="CG1" t="e">
        <f>AND('Planilla_General_03-12-2012_9_3'!D6,"AAAAAH8OrlQ=")</f>
        <v>#VALUE!</v>
      </c>
      <c r="CH1" t="e">
        <f>AND('Planilla_General_03-12-2012_9_3'!E6,"AAAAAH8OrlU=")</f>
        <v>#VALUE!</v>
      </c>
      <c r="CI1" t="e">
        <f>AND('Planilla_General_03-12-2012_9_3'!F6,"AAAAAH8OrlY=")</f>
        <v>#VALUE!</v>
      </c>
      <c r="CJ1" t="e">
        <f>AND('Planilla_General_03-12-2012_9_3'!G6,"AAAAAH8Orlc=")</f>
        <v>#VALUE!</v>
      </c>
      <c r="CK1" t="e">
        <f>AND('Planilla_General_03-12-2012_9_3'!H6,"AAAAAH8Orlg=")</f>
        <v>#VALUE!</v>
      </c>
      <c r="CL1" t="e">
        <f>AND('Planilla_General_03-12-2012_9_3'!I6,"AAAAAH8Orlk=")</f>
        <v>#VALUE!</v>
      </c>
      <c r="CM1" t="e">
        <f>AND('Planilla_General_03-12-2012_9_3'!J6,"AAAAAH8Orlo=")</f>
        <v>#VALUE!</v>
      </c>
      <c r="CN1" t="e">
        <f>AND('Planilla_General_03-12-2012_9_3'!K6,"AAAAAH8Orls=")</f>
        <v>#VALUE!</v>
      </c>
      <c r="CO1" t="e">
        <f>AND('Planilla_General_03-12-2012_9_3'!L6,"AAAAAH8Orlw=")</f>
        <v>#VALUE!</v>
      </c>
      <c r="CP1" t="e">
        <f>AND('Planilla_General_03-12-2012_9_3'!M6,"AAAAAH8Orl0=")</f>
        <v>#VALUE!</v>
      </c>
      <c r="CQ1" t="e">
        <f>AND('Planilla_General_03-12-2012_9_3'!N6,"AAAAAH8Orl4=")</f>
        <v>#VALUE!</v>
      </c>
      <c r="CR1" t="e">
        <f>AND('Planilla_General_03-12-2012_9_3'!O6,"AAAAAH8Orl8=")</f>
        <v>#VALUE!</v>
      </c>
      <c r="CS1">
        <f>IF('Planilla_General_03-12-2012_9_3'!7:7,"AAAAAH8OrmA=",0)</f>
        <v>0</v>
      </c>
      <c r="CT1" t="e">
        <f>AND('Planilla_General_03-12-2012_9_3'!A7,"AAAAAH8OrmE=")</f>
        <v>#VALUE!</v>
      </c>
      <c r="CU1" t="e">
        <f>AND('Planilla_General_03-12-2012_9_3'!B7,"AAAAAH8OrmI=")</f>
        <v>#VALUE!</v>
      </c>
      <c r="CV1" t="e">
        <f>AND('Planilla_General_03-12-2012_9_3'!C7,"AAAAAH8OrmM=")</f>
        <v>#VALUE!</v>
      </c>
      <c r="CW1" t="e">
        <f>AND('Planilla_General_03-12-2012_9_3'!D7,"AAAAAH8OrmQ=")</f>
        <v>#VALUE!</v>
      </c>
      <c r="CX1" t="e">
        <f>AND('Planilla_General_03-12-2012_9_3'!E7,"AAAAAH8OrmU=")</f>
        <v>#VALUE!</v>
      </c>
      <c r="CY1" t="e">
        <f>AND('Planilla_General_03-12-2012_9_3'!F7,"AAAAAH8OrmY=")</f>
        <v>#VALUE!</v>
      </c>
      <c r="CZ1" t="e">
        <f>AND('Planilla_General_03-12-2012_9_3'!G7,"AAAAAH8Ormc=")</f>
        <v>#VALUE!</v>
      </c>
      <c r="DA1" t="e">
        <f>AND('Planilla_General_03-12-2012_9_3'!H7,"AAAAAH8Ormg=")</f>
        <v>#VALUE!</v>
      </c>
      <c r="DB1" t="e">
        <f>AND('Planilla_General_03-12-2012_9_3'!I7,"AAAAAH8Ormk=")</f>
        <v>#VALUE!</v>
      </c>
      <c r="DC1" t="e">
        <f>AND('Planilla_General_03-12-2012_9_3'!J7,"AAAAAH8Ormo=")</f>
        <v>#VALUE!</v>
      </c>
      <c r="DD1" t="e">
        <f>AND('Planilla_General_03-12-2012_9_3'!K7,"AAAAAH8Orms=")</f>
        <v>#VALUE!</v>
      </c>
      <c r="DE1" t="e">
        <f>AND('Planilla_General_03-12-2012_9_3'!L7,"AAAAAH8Ormw=")</f>
        <v>#VALUE!</v>
      </c>
      <c r="DF1" t="e">
        <f>AND('Planilla_General_03-12-2012_9_3'!M7,"AAAAAH8Orm0=")</f>
        <v>#VALUE!</v>
      </c>
      <c r="DG1" t="e">
        <f>AND('Planilla_General_03-12-2012_9_3'!N7,"AAAAAH8Orm4=")</f>
        <v>#VALUE!</v>
      </c>
      <c r="DH1" t="e">
        <f>AND('Planilla_General_03-12-2012_9_3'!O7,"AAAAAH8Orm8=")</f>
        <v>#VALUE!</v>
      </c>
      <c r="DI1">
        <f>IF('Planilla_General_03-12-2012_9_3'!8:8,"AAAAAH8OrnA=",0)</f>
        <v>0</v>
      </c>
      <c r="DJ1" t="e">
        <f>AND('Planilla_General_03-12-2012_9_3'!A8,"AAAAAH8OrnE=")</f>
        <v>#VALUE!</v>
      </c>
      <c r="DK1" t="e">
        <f>AND('Planilla_General_03-12-2012_9_3'!B8,"AAAAAH8OrnI=")</f>
        <v>#VALUE!</v>
      </c>
      <c r="DL1" t="e">
        <f>AND('Planilla_General_03-12-2012_9_3'!C8,"AAAAAH8OrnM=")</f>
        <v>#VALUE!</v>
      </c>
      <c r="DM1" t="e">
        <f>AND('Planilla_General_03-12-2012_9_3'!D8,"AAAAAH8OrnQ=")</f>
        <v>#VALUE!</v>
      </c>
      <c r="DN1" t="e">
        <f>AND('Planilla_General_03-12-2012_9_3'!E8,"AAAAAH8OrnU=")</f>
        <v>#VALUE!</v>
      </c>
      <c r="DO1" t="e">
        <f>AND('Planilla_General_03-12-2012_9_3'!F8,"AAAAAH8OrnY=")</f>
        <v>#VALUE!</v>
      </c>
      <c r="DP1" t="e">
        <f>AND('Planilla_General_03-12-2012_9_3'!G8,"AAAAAH8Ornc=")</f>
        <v>#VALUE!</v>
      </c>
      <c r="DQ1" t="e">
        <f>AND('Planilla_General_03-12-2012_9_3'!H8,"AAAAAH8Orng=")</f>
        <v>#VALUE!</v>
      </c>
      <c r="DR1" t="e">
        <f>AND('Planilla_General_03-12-2012_9_3'!I8,"AAAAAH8Ornk=")</f>
        <v>#VALUE!</v>
      </c>
      <c r="DS1" t="e">
        <f>AND('Planilla_General_03-12-2012_9_3'!J8,"AAAAAH8Orno=")</f>
        <v>#VALUE!</v>
      </c>
      <c r="DT1" t="e">
        <f>AND('Planilla_General_03-12-2012_9_3'!K8,"AAAAAH8Orns=")</f>
        <v>#VALUE!</v>
      </c>
      <c r="DU1" t="e">
        <f>AND('Planilla_General_03-12-2012_9_3'!L8,"AAAAAH8Ornw=")</f>
        <v>#VALUE!</v>
      </c>
      <c r="DV1" t="e">
        <f>AND('Planilla_General_03-12-2012_9_3'!M8,"AAAAAH8Orn0=")</f>
        <v>#VALUE!</v>
      </c>
      <c r="DW1" t="e">
        <f>AND('Planilla_General_03-12-2012_9_3'!N8,"AAAAAH8Orn4=")</f>
        <v>#VALUE!</v>
      </c>
      <c r="DX1" t="e">
        <f>AND('Planilla_General_03-12-2012_9_3'!O8,"AAAAAH8Orn8=")</f>
        <v>#VALUE!</v>
      </c>
      <c r="DY1">
        <f>IF('Planilla_General_03-12-2012_9_3'!9:9,"AAAAAH8OroA=",0)</f>
        <v>0</v>
      </c>
      <c r="DZ1" t="e">
        <f>AND('Planilla_General_03-12-2012_9_3'!A9,"AAAAAH8OroE=")</f>
        <v>#VALUE!</v>
      </c>
      <c r="EA1" t="e">
        <f>AND('Planilla_General_03-12-2012_9_3'!B9,"AAAAAH8OroI=")</f>
        <v>#VALUE!</v>
      </c>
      <c r="EB1" t="e">
        <f>AND('Planilla_General_03-12-2012_9_3'!C9,"AAAAAH8OroM=")</f>
        <v>#VALUE!</v>
      </c>
      <c r="EC1" t="e">
        <f>AND('Planilla_General_03-12-2012_9_3'!D9,"AAAAAH8OroQ=")</f>
        <v>#VALUE!</v>
      </c>
      <c r="ED1" t="e">
        <f>AND('Planilla_General_03-12-2012_9_3'!E9,"AAAAAH8OroU=")</f>
        <v>#VALUE!</v>
      </c>
      <c r="EE1" t="e">
        <f>AND('Planilla_General_03-12-2012_9_3'!F9,"AAAAAH8OroY=")</f>
        <v>#VALUE!</v>
      </c>
      <c r="EF1" t="e">
        <f>AND('Planilla_General_03-12-2012_9_3'!G9,"AAAAAH8Oroc=")</f>
        <v>#VALUE!</v>
      </c>
      <c r="EG1" t="e">
        <f>AND('Planilla_General_03-12-2012_9_3'!H9,"AAAAAH8Orog=")</f>
        <v>#VALUE!</v>
      </c>
      <c r="EH1" t="e">
        <f>AND('Planilla_General_03-12-2012_9_3'!I9,"AAAAAH8Orok=")</f>
        <v>#VALUE!</v>
      </c>
      <c r="EI1" t="e">
        <f>AND('Planilla_General_03-12-2012_9_3'!J9,"AAAAAH8Oroo=")</f>
        <v>#VALUE!</v>
      </c>
      <c r="EJ1" t="e">
        <f>AND('Planilla_General_03-12-2012_9_3'!K9,"AAAAAH8Oros=")</f>
        <v>#VALUE!</v>
      </c>
      <c r="EK1" t="e">
        <f>AND('Planilla_General_03-12-2012_9_3'!L9,"AAAAAH8Orow=")</f>
        <v>#VALUE!</v>
      </c>
      <c r="EL1" t="e">
        <f>AND('Planilla_General_03-12-2012_9_3'!M9,"AAAAAH8Oro0=")</f>
        <v>#VALUE!</v>
      </c>
      <c r="EM1" t="e">
        <f>AND('Planilla_General_03-12-2012_9_3'!N9,"AAAAAH8Oro4=")</f>
        <v>#VALUE!</v>
      </c>
      <c r="EN1" t="e">
        <f>AND('Planilla_General_03-12-2012_9_3'!O9,"AAAAAH8Oro8=")</f>
        <v>#VALUE!</v>
      </c>
      <c r="EO1">
        <f>IF('Planilla_General_03-12-2012_9_3'!10:10,"AAAAAH8OrpA=",0)</f>
        <v>0</v>
      </c>
      <c r="EP1" t="e">
        <f>AND('Planilla_General_03-12-2012_9_3'!A10,"AAAAAH8OrpE=")</f>
        <v>#VALUE!</v>
      </c>
      <c r="EQ1" t="e">
        <f>AND('Planilla_General_03-12-2012_9_3'!B10,"AAAAAH8OrpI=")</f>
        <v>#VALUE!</v>
      </c>
      <c r="ER1" t="e">
        <f>AND('Planilla_General_03-12-2012_9_3'!C10,"AAAAAH8OrpM=")</f>
        <v>#VALUE!</v>
      </c>
      <c r="ES1" t="e">
        <f>AND('Planilla_General_03-12-2012_9_3'!D10,"AAAAAH8OrpQ=")</f>
        <v>#VALUE!</v>
      </c>
      <c r="ET1" t="e">
        <f>AND('Planilla_General_03-12-2012_9_3'!E10,"AAAAAH8OrpU=")</f>
        <v>#VALUE!</v>
      </c>
      <c r="EU1" t="e">
        <f>AND('Planilla_General_03-12-2012_9_3'!F10,"AAAAAH8OrpY=")</f>
        <v>#VALUE!</v>
      </c>
      <c r="EV1" t="e">
        <f>AND('Planilla_General_03-12-2012_9_3'!G10,"AAAAAH8Orpc=")</f>
        <v>#VALUE!</v>
      </c>
      <c r="EW1" t="e">
        <f>AND('Planilla_General_03-12-2012_9_3'!H10,"AAAAAH8Orpg=")</f>
        <v>#VALUE!</v>
      </c>
      <c r="EX1" t="e">
        <f>AND('Planilla_General_03-12-2012_9_3'!I10,"AAAAAH8Orpk=")</f>
        <v>#VALUE!</v>
      </c>
      <c r="EY1" t="e">
        <f>AND('Planilla_General_03-12-2012_9_3'!J10,"AAAAAH8Orpo=")</f>
        <v>#VALUE!</v>
      </c>
      <c r="EZ1" t="e">
        <f>AND('Planilla_General_03-12-2012_9_3'!K10,"AAAAAH8Orps=")</f>
        <v>#VALUE!</v>
      </c>
      <c r="FA1" t="e">
        <f>AND('Planilla_General_03-12-2012_9_3'!L10,"AAAAAH8Orpw=")</f>
        <v>#VALUE!</v>
      </c>
      <c r="FB1" t="e">
        <f>AND('Planilla_General_03-12-2012_9_3'!M10,"AAAAAH8Orp0=")</f>
        <v>#VALUE!</v>
      </c>
      <c r="FC1" t="e">
        <f>AND('Planilla_General_03-12-2012_9_3'!N10,"AAAAAH8Orp4=")</f>
        <v>#VALUE!</v>
      </c>
      <c r="FD1" t="e">
        <f>AND('Planilla_General_03-12-2012_9_3'!O10,"AAAAAH8Orp8=")</f>
        <v>#VALUE!</v>
      </c>
      <c r="FE1">
        <f>IF('Planilla_General_03-12-2012_9_3'!11:11,"AAAAAH8OrqA=",0)</f>
        <v>0</v>
      </c>
      <c r="FF1" t="e">
        <f>AND('Planilla_General_03-12-2012_9_3'!A11,"AAAAAH8OrqE=")</f>
        <v>#VALUE!</v>
      </c>
      <c r="FG1" t="e">
        <f>AND('Planilla_General_03-12-2012_9_3'!B11,"AAAAAH8OrqI=")</f>
        <v>#VALUE!</v>
      </c>
      <c r="FH1" t="e">
        <f>AND('Planilla_General_03-12-2012_9_3'!C11,"AAAAAH8OrqM=")</f>
        <v>#VALUE!</v>
      </c>
      <c r="FI1" t="e">
        <f>AND('Planilla_General_03-12-2012_9_3'!D11,"AAAAAH8OrqQ=")</f>
        <v>#VALUE!</v>
      </c>
      <c r="FJ1" t="e">
        <f>AND('Planilla_General_03-12-2012_9_3'!E11,"AAAAAH8OrqU=")</f>
        <v>#VALUE!</v>
      </c>
      <c r="FK1" t="e">
        <f>AND('Planilla_General_03-12-2012_9_3'!F11,"AAAAAH8OrqY=")</f>
        <v>#VALUE!</v>
      </c>
      <c r="FL1" t="e">
        <f>AND('Planilla_General_03-12-2012_9_3'!G11,"AAAAAH8Orqc=")</f>
        <v>#VALUE!</v>
      </c>
      <c r="FM1" t="e">
        <f>AND('Planilla_General_03-12-2012_9_3'!H11,"AAAAAH8Orqg=")</f>
        <v>#VALUE!</v>
      </c>
      <c r="FN1" t="e">
        <f>AND('Planilla_General_03-12-2012_9_3'!I11,"AAAAAH8Orqk=")</f>
        <v>#VALUE!</v>
      </c>
      <c r="FO1" t="e">
        <f>AND('Planilla_General_03-12-2012_9_3'!J11,"AAAAAH8Orqo=")</f>
        <v>#VALUE!</v>
      </c>
      <c r="FP1" t="e">
        <f>AND('Planilla_General_03-12-2012_9_3'!K11,"AAAAAH8Orqs=")</f>
        <v>#VALUE!</v>
      </c>
      <c r="FQ1" t="e">
        <f>AND('Planilla_General_03-12-2012_9_3'!L11,"AAAAAH8Orqw=")</f>
        <v>#VALUE!</v>
      </c>
      <c r="FR1" t="e">
        <f>AND('Planilla_General_03-12-2012_9_3'!M11,"AAAAAH8Orq0=")</f>
        <v>#VALUE!</v>
      </c>
      <c r="FS1" t="e">
        <f>AND('Planilla_General_03-12-2012_9_3'!N11,"AAAAAH8Orq4=")</f>
        <v>#VALUE!</v>
      </c>
      <c r="FT1" t="e">
        <f>AND('Planilla_General_03-12-2012_9_3'!O11,"AAAAAH8Orq8=")</f>
        <v>#VALUE!</v>
      </c>
      <c r="FU1">
        <f>IF('Planilla_General_03-12-2012_9_3'!12:12,"AAAAAH8OrrA=",0)</f>
        <v>0</v>
      </c>
      <c r="FV1" t="e">
        <f>AND('Planilla_General_03-12-2012_9_3'!A12,"AAAAAH8OrrE=")</f>
        <v>#VALUE!</v>
      </c>
      <c r="FW1" t="e">
        <f>AND('Planilla_General_03-12-2012_9_3'!B12,"AAAAAH8OrrI=")</f>
        <v>#VALUE!</v>
      </c>
      <c r="FX1" t="e">
        <f>AND('Planilla_General_03-12-2012_9_3'!C12,"AAAAAH8OrrM=")</f>
        <v>#VALUE!</v>
      </c>
      <c r="FY1" t="e">
        <f>AND('Planilla_General_03-12-2012_9_3'!D12,"AAAAAH8OrrQ=")</f>
        <v>#VALUE!</v>
      </c>
      <c r="FZ1" t="e">
        <f>AND('Planilla_General_03-12-2012_9_3'!E12,"AAAAAH8OrrU=")</f>
        <v>#VALUE!</v>
      </c>
      <c r="GA1" t="e">
        <f>AND('Planilla_General_03-12-2012_9_3'!F12,"AAAAAH8OrrY=")</f>
        <v>#VALUE!</v>
      </c>
      <c r="GB1" t="e">
        <f>AND('Planilla_General_03-12-2012_9_3'!G12,"AAAAAH8Orrc=")</f>
        <v>#VALUE!</v>
      </c>
      <c r="GC1" t="e">
        <f>AND('Planilla_General_03-12-2012_9_3'!H12,"AAAAAH8Orrg=")</f>
        <v>#VALUE!</v>
      </c>
      <c r="GD1" t="e">
        <f>AND('Planilla_General_03-12-2012_9_3'!I12,"AAAAAH8Orrk=")</f>
        <v>#VALUE!</v>
      </c>
      <c r="GE1" t="e">
        <f>AND('Planilla_General_03-12-2012_9_3'!J12,"AAAAAH8Orro=")</f>
        <v>#VALUE!</v>
      </c>
      <c r="GF1" t="e">
        <f>AND('Planilla_General_03-12-2012_9_3'!K12,"AAAAAH8Orrs=")</f>
        <v>#VALUE!</v>
      </c>
      <c r="GG1" t="e">
        <f>AND('Planilla_General_03-12-2012_9_3'!L12,"AAAAAH8Orrw=")</f>
        <v>#VALUE!</v>
      </c>
      <c r="GH1" t="e">
        <f>AND('Planilla_General_03-12-2012_9_3'!M12,"AAAAAH8Orr0=")</f>
        <v>#VALUE!</v>
      </c>
      <c r="GI1" t="e">
        <f>AND('Planilla_General_03-12-2012_9_3'!N12,"AAAAAH8Orr4=")</f>
        <v>#VALUE!</v>
      </c>
      <c r="GJ1" t="e">
        <f>AND('Planilla_General_03-12-2012_9_3'!O12,"AAAAAH8Orr8=")</f>
        <v>#VALUE!</v>
      </c>
      <c r="GK1">
        <f>IF('Planilla_General_03-12-2012_9_3'!13:13,"AAAAAH8OrsA=",0)</f>
        <v>0</v>
      </c>
      <c r="GL1" t="e">
        <f>AND('Planilla_General_03-12-2012_9_3'!A13,"AAAAAH8OrsE=")</f>
        <v>#VALUE!</v>
      </c>
      <c r="GM1" t="e">
        <f>AND('Planilla_General_03-12-2012_9_3'!B13,"AAAAAH8OrsI=")</f>
        <v>#VALUE!</v>
      </c>
      <c r="GN1" t="e">
        <f>AND('Planilla_General_03-12-2012_9_3'!C13,"AAAAAH8OrsM=")</f>
        <v>#VALUE!</v>
      </c>
      <c r="GO1" t="e">
        <f>AND('Planilla_General_03-12-2012_9_3'!D13,"AAAAAH8OrsQ=")</f>
        <v>#VALUE!</v>
      </c>
      <c r="GP1" t="e">
        <f>AND('Planilla_General_03-12-2012_9_3'!E13,"AAAAAH8OrsU=")</f>
        <v>#VALUE!</v>
      </c>
      <c r="GQ1" t="e">
        <f>AND('Planilla_General_03-12-2012_9_3'!F13,"AAAAAH8OrsY=")</f>
        <v>#VALUE!</v>
      </c>
      <c r="GR1" t="e">
        <f>AND('Planilla_General_03-12-2012_9_3'!G13,"AAAAAH8Orsc=")</f>
        <v>#VALUE!</v>
      </c>
      <c r="GS1" t="e">
        <f>AND('Planilla_General_03-12-2012_9_3'!H13,"AAAAAH8Orsg=")</f>
        <v>#VALUE!</v>
      </c>
      <c r="GT1" t="e">
        <f>AND('Planilla_General_03-12-2012_9_3'!I13,"AAAAAH8Orsk=")</f>
        <v>#VALUE!</v>
      </c>
      <c r="GU1" t="e">
        <f>AND('Planilla_General_03-12-2012_9_3'!J13,"AAAAAH8Orso=")</f>
        <v>#VALUE!</v>
      </c>
      <c r="GV1" t="e">
        <f>AND('Planilla_General_03-12-2012_9_3'!K13,"AAAAAH8Orss=")</f>
        <v>#VALUE!</v>
      </c>
      <c r="GW1" t="e">
        <f>AND('Planilla_General_03-12-2012_9_3'!L13,"AAAAAH8Orsw=")</f>
        <v>#VALUE!</v>
      </c>
      <c r="GX1" t="e">
        <f>AND('Planilla_General_03-12-2012_9_3'!M13,"AAAAAH8Ors0=")</f>
        <v>#VALUE!</v>
      </c>
      <c r="GY1" t="e">
        <f>AND('Planilla_General_03-12-2012_9_3'!N13,"AAAAAH8Ors4=")</f>
        <v>#VALUE!</v>
      </c>
      <c r="GZ1" t="e">
        <f>AND('Planilla_General_03-12-2012_9_3'!O13,"AAAAAH8Ors8=")</f>
        <v>#VALUE!</v>
      </c>
      <c r="HA1">
        <f>IF('Planilla_General_03-12-2012_9_3'!14:14,"AAAAAH8OrtA=",0)</f>
        <v>0</v>
      </c>
      <c r="HB1" t="e">
        <f>AND('Planilla_General_03-12-2012_9_3'!A14,"AAAAAH8OrtE=")</f>
        <v>#VALUE!</v>
      </c>
      <c r="HC1" t="e">
        <f>AND('Planilla_General_03-12-2012_9_3'!B14,"AAAAAH8OrtI=")</f>
        <v>#VALUE!</v>
      </c>
      <c r="HD1" t="e">
        <f>AND('Planilla_General_03-12-2012_9_3'!C14,"AAAAAH8OrtM=")</f>
        <v>#VALUE!</v>
      </c>
      <c r="HE1" t="e">
        <f>AND('Planilla_General_03-12-2012_9_3'!D14,"AAAAAH8OrtQ=")</f>
        <v>#VALUE!</v>
      </c>
      <c r="HF1" t="e">
        <f>AND('Planilla_General_03-12-2012_9_3'!E14,"AAAAAH8OrtU=")</f>
        <v>#VALUE!</v>
      </c>
      <c r="HG1" t="e">
        <f>AND('Planilla_General_03-12-2012_9_3'!F14,"AAAAAH8OrtY=")</f>
        <v>#VALUE!</v>
      </c>
      <c r="HH1" t="e">
        <f>AND('Planilla_General_03-12-2012_9_3'!G14,"AAAAAH8Ortc=")</f>
        <v>#VALUE!</v>
      </c>
      <c r="HI1" t="e">
        <f>AND('Planilla_General_03-12-2012_9_3'!H14,"AAAAAH8Ortg=")</f>
        <v>#VALUE!</v>
      </c>
      <c r="HJ1" t="e">
        <f>AND('Planilla_General_03-12-2012_9_3'!I14,"AAAAAH8Ortk=")</f>
        <v>#VALUE!</v>
      </c>
      <c r="HK1" t="e">
        <f>AND('Planilla_General_03-12-2012_9_3'!J14,"AAAAAH8Orto=")</f>
        <v>#VALUE!</v>
      </c>
      <c r="HL1" t="e">
        <f>AND('Planilla_General_03-12-2012_9_3'!K14,"AAAAAH8Orts=")</f>
        <v>#VALUE!</v>
      </c>
      <c r="HM1" t="e">
        <f>AND('Planilla_General_03-12-2012_9_3'!L14,"AAAAAH8Ortw=")</f>
        <v>#VALUE!</v>
      </c>
      <c r="HN1" t="e">
        <f>AND('Planilla_General_03-12-2012_9_3'!M14,"AAAAAH8Ort0=")</f>
        <v>#VALUE!</v>
      </c>
      <c r="HO1" t="e">
        <f>AND('Planilla_General_03-12-2012_9_3'!N14,"AAAAAH8Ort4=")</f>
        <v>#VALUE!</v>
      </c>
      <c r="HP1" t="e">
        <f>AND('Planilla_General_03-12-2012_9_3'!O14,"AAAAAH8Ort8=")</f>
        <v>#VALUE!</v>
      </c>
      <c r="HQ1">
        <f>IF('Planilla_General_03-12-2012_9_3'!15:15,"AAAAAH8OruA=",0)</f>
        <v>0</v>
      </c>
      <c r="HR1" t="e">
        <f>AND('Planilla_General_03-12-2012_9_3'!A15,"AAAAAH8OruE=")</f>
        <v>#VALUE!</v>
      </c>
      <c r="HS1" t="e">
        <f>AND('Planilla_General_03-12-2012_9_3'!B15,"AAAAAH8OruI=")</f>
        <v>#VALUE!</v>
      </c>
      <c r="HT1" t="e">
        <f>AND('Planilla_General_03-12-2012_9_3'!C15,"AAAAAH8OruM=")</f>
        <v>#VALUE!</v>
      </c>
      <c r="HU1" t="e">
        <f>AND('Planilla_General_03-12-2012_9_3'!D15,"AAAAAH8OruQ=")</f>
        <v>#VALUE!</v>
      </c>
      <c r="HV1" t="e">
        <f>AND('Planilla_General_03-12-2012_9_3'!E15,"AAAAAH8OruU=")</f>
        <v>#VALUE!</v>
      </c>
      <c r="HW1" t="e">
        <f>AND('Planilla_General_03-12-2012_9_3'!F15,"AAAAAH8OruY=")</f>
        <v>#VALUE!</v>
      </c>
      <c r="HX1" t="e">
        <f>AND('Planilla_General_03-12-2012_9_3'!G15,"AAAAAH8Oruc=")</f>
        <v>#VALUE!</v>
      </c>
      <c r="HY1" t="e">
        <f>AND('Planilla_General_03-12-2012_9_3'!H15,"AAAAAH8Orug=")</f>
        <v>#VALUE!</v>
      </c>
      <c r="HZ1" t="e">
        <f>AND('Planilla_General_03-12-2012_9_3'!I15,"AAAAAH8Oruk=")</f>
        <v>#VALUE!</v>
      </c>
      <c r="IA1" t="e">
        <f>AND('Planilla_General_03-12-2012_9_3'!J15,"AAAAAH8Oruo=")</f>
        <v>#VALUE!</v>
      </c>
      <c r="IB1" t="e">
        <f>AND('Planilla_General_03-12-2012_9_3'!K15,"AAAAAH8Orus=")</f>
        <v>#VALUE!</v>
      </c>
      <c r="IC1" t="e">
        <f>AND('Planilla_General_03-12-2012_9_3'!L15,"AAAAAH8Oruw=")</f>
        <v>#VALUE!</v>
      </c>
      <c r="ID1" t="e">
        <f>AND('Planilla_General_03-12-2012_9_3'!M15,"AAAAAH8Oru0=")</f>
        <v>#VALUE!</v>
      </c>
      <c r="IE1" t="e">
        <f>AND('Planilla_General_03-12-2012_9_3'!N15,"AAAAAH8Oru4=")</f>
        <v>#VALUE!</v>
      </c>
      <c r="IF1" t="e">
        <f>AND('Planilla_General_03-12-2012_9_3'!O15,"AAAAAH8Oru8=")</f>
        <v>#VALUE!</v>
      </c>
      <c r="IG1">
        <f>IF('Planilla_General_03-12-2012_9_3'!16:16,"AAAAAH8OrvA=",0)</f>
        <v>0</v>
      </c>
      <c r="IH1" t="e">
        <f>AND('Planilla_General_03-12-2012_9_3'!A16,"AAAAAH8OrvE=")</f>
        <v>#VALUE!</v>
      </c>
      <c r="II1" t="e">
        <f>AND('Planilla_General_03-12-2012_9_3'!B16,"AAAAAH8OrvI=")</f>
        <v>#VALUE!</v>
      </c>
      <c r="IJ1" t="e">
        <f>AND('Planilla_General_03-12-2012_9_3'!C16,"AAAAAH8OrvM=")</f>
        <v>#VALUE!</v>
      </c>
      <c r="IK1" t="e">
        <f>AND('Planilla_General_03-12-2012_9_3'!D16,"AAAAAH8OrvQ=")</f>
        <v>#VALUE!</v>
      </c>
      <c r="IL1" t="e">
        <f>AND('Planilla_General_03-12-2012_9_3'!E16,"AAAAAH8OrvU=")</f>
        <v>#VALUE!</v>
      </c>
      <c r="IM1" t="e">
        <f>AND('Planilla_General_03-12-2012_9_3'!F16,"AAAAAH8OrvY=")</f>
        <v>#VALUE!</v>
      </c>
      <c r="IN1" t="e">
        <f>AND('Planilla_General_03-12-2012_9_3'!G16,"AAAAAH8Orvc=")</f>
        <v>#VALUE!</v>
      </c>
      <c r="IO1" t="e">
        <f>AND('Planilla_General_03-12-2012_9_3'!H16,"AAAAAH8Orvg=")</f>
        <v>#VALUE!</v>
      </c>
      <c r="IP1" t="e">
        <f>AND('Planilla_General_03-12-2012_9_3'!I16,"AAAAAH8Orvk=")</f>
        <v>#VALUE!</v>
      </c>
      <c r="IQ1" t="e">
        <f>AND('Planilla_General_03-12-2012_9_3'!J16,"AAAAAH8Orvo=")</f>
        <v>#VALUE!</v>
      </c>
      <c r="IR1" t="e">
        <f>AND('Planilla_General_03-12-2012_9_3'!K16,"AAAAAH8Orvs=")</f>
        <v>#VALUE!</v>
      </c>
      <c r="IS1" t="e">
        <f>AND('Planilla_General_03-12-2012_9_3'!L16,"AAAAAH8Orvw=")</f>
        <v>#VALUE!</v>
      </c>
      <c r="IT1" t="e">
        <f>AND('Planilla_General_03-12-2012_9_3'!M16,"AAAAAH8Orv0=")</f>
        <v>#VALUE!</v>
      </c>
      <c r="IU1" t="e">
        <f>AND('Planilla_General_03-12-2012_9_3'!N16,"AAAAAH8Orv4=")</f>
        <v>#VALUE!</v>
      </c>
      <c r="IV1" t="e">
        <f>AND('Planilla_General_03-12-2012_9_3'!O16,"AAAAAH8Orv8=")</f>
        <v>#VALUE!</v>
      </c>
    </row>
    <row r="2" spans="1:256" x14ac:dyDescent="0.25">
      <c r="A2" t="e">
        <f>IF('Planilla_General_03-12-2012_9_3'!17:17,"AAAAAGt9nwA=",0)</f>
        <v>#VALUE!</v>
      </c>
      <c r="B2" t="e">
        <f>AND('Planilla_General_03-12-2012_9_3'!A17,"AAAAAGt9nwE=")</f>
        <v>#VALUE!</v>
      </c>
      <c r="C2" t="e">
        <f>AND('Planilla_General_03-12-2012_9_3'!B17,"AAAAAGt9nwI=")</f>
        <v>#VALUE!</v>
      </c>
      <c r="D2" t="e">
        <f>AND('Planilla_General_03-12-2012_9_3'!C17,"AAAAAGt9nwM=")</f>
        <v>#VALUE!</v>
      </c>
      <c r="E2" t="e">
        <f>AND('Planilla_General_03-12-2012_9_3'!D17,"AAAAAGt9nwQ=")</f>
        <v>#VALUE!</v>
      </c>
      <c r="F2" t="e">
        <f>AND('Planilla_General_03-12-2012_9_3'!E17,"AAAAAGt9nwU=")</f>
        <v>#VALUE!</v>
      </c>
      <c r="G2" t="e">
        <f>AND('Planilla_General_03-12-2012_9_3'!F17,"AAAAAGt9nwY=")</f>
        <v>#VALUE!</v>
      </c>
      <c r="H2" t="e">
        <f>AND('Planilla_General_03-12-2012_9_3'!G17,"AAAAAGt9nwc=")</f>
        <v>#VALUE!</v>
      </c>
      <c r="I2" t="e">
        <f>AND('Planilla_General_03-12-2012_9_3'!H17,"AAAAAGt9nwg=")</f>
        <v>#VALUE!</v>
      </c>
      <c r="J2" t="e">
        <f>AND('Planilla_General_03-12-2012_9_3'!I17,"AAAAAGt9nwk=")</f>
        <v>#VALUE!</v>
      </c>
      <c r="K2" t="e">
        <f>AND('Planilla_General_03-12-2012_9_3'!J17,"AAAAAGt9nwo=")</f>
        <v>#VALUE!</v>
      </c>
      <c r="L2" t="e">
        <f>AND('Planilla_General_03-12-2012_9_3'!K17,"AAAAAGt9nws=")</f>
        <v>#VALUE!</v>
      </c>
      <c r="M2" t="e">
        <f>AND('Planilla_General_03-12-2012_9_3'!L17,"AAAAAGt9nww=")</f>
        <v>#VALUE!</v>
      </c>
      <c r="N2" t="e">
        <f>AND('Planilla_General_03-12-2012_9_3'!M17,"AAAAAGt9nw0=")</f>
        <v>#VALUE!</v>
      </c>
      <c r="O2" t="e">
        <f>AND('Planilla_General_03-12-2012_9_3'!N17,"AAAAAGt9nw4=")</f>
        <v>#VALUE!</v>
      </c>
      <c r="P2" t="e">
        <f>AND('Planilla_General_03-12-2012_9_3'!O17,"AAAAAGt9nw8=")</f>
        <v>#VALUE!</v>
      </c>
      <c r="Q2">
        <f>IF('Planilla_General_03-12-2012_9_3'!18:18,"AAAAAGt9nxA=",0)</f>
        <v>0</v>
      </c>
      <c r="R2" t="e">
        <f>AND('Planilla_General_03-12-2012_9_3'!A18,"AAAAAGt9nxE=")</f>
        <v>#VALUE!</v>
      </c>
      <c r="S2" t="e">
        <f>AND('Planilla_General_03-12-2012_9_3'!B18,"AAAAAGt9nxI=")</f>
        <v>#VALUE!</v>
      </c>
      <c r="T2" t="e">
        <f>AND('Planilla_General_03-12-2012_9_3'!C18,"AAAAAGt9nxM=")</f>
        <v>#VALUE!</v>
      </c>
      <c r="U2" t="e">
        <f>AND('Planilla_General_03-12-2012_9_3'!D18,"AAAAAGt9nxQ=")</f>
        <v>#VALUE!</v>
      </c>
      <c r="V2" t="e">
        <f>AND('Planilla_General_03-12-2012_9_3'!E18,"AAAAAGt9nxU=")</f>
        <v>#VALUE!</v>
      </c>
      <c r="W2" t="e">
        <f>AND('Planilla_General_03-12-2012_9_3'!F18,"AAAAAGt9nxY=")</f>
        <v>#VALUE!</v>
      </c>
      <c r="X2" t="e">
        <f>AND('Planilla_General_03-12-2012_9_3'!G18,"AAAAAGt9nxc=")</f>
        <v>#VALUE!</v>
      </c>
      <c r="Y2" t="e">
        <f>AND('Planilla_General_03-12-2012_9_3'!H18,"AAAAAGt9nxg=")</f>
        <v>#VALUE!</v>
      </c>
      <c r="Z2" t="e">
        <f>AND('Planilla_General_03-12-2012_9_3'!I18,"AAAAAGt9nxk=")</f>
        <v>#VALUE!</v>
      </c>
      <c r="AA2" t="e">
        <f>AND('Planilla_General_03-12-2012_9_3'!J18,"AAAAAGt9nxo=")</f>
        <v>#VALUE!</v>
      </c>
      <c r="AB2" t="e">
        <f>AND('Planilla_General_03-12-2012_9_3'!K18,"AAAAAGt9nxs=")</f>
        <v>#VALUE!</v>
      </c>
      <c r="AC2" t="e">
        <f>AND('Planilla_General_03-12-2012_9_3'!L18,"AAAAAGt9nxw=")</f>
        <v>#VALUE!</v>
      </c>
      <c r="AD2" t="e">
        <f>AND('Planilla_General_03-12-2012_9_3'!M18,"AAAAAGt9nx0=")</f>
        <v>#VALUE!</v>
      </c>
      <c r="AE2" t="e">
        <f>AND('Planilla_General_03-12-2012_9_3'!N18,"AAAAAGt9nx4=")</f>
        <v>#VALUE!</v>
      </c>
      <c r="AF2" t="e">
        <f>AND('Planilla_General_03-12-2012_9_3'!O18,"AAAAAGt9nx8=")</f>
        <v>#VALUE!</v>
      </c>
      <c r="AG2">
        <f>IF('Planilla_General_03-12-2012_9_3'!19:19,"AAAAAGt9nyA=",0)</f>
        <v>0</v>
      </c>
      <c r="AH2" t="e">
        <f>AND('Planilla_General_03-12-2012_9_3'!A19,"AAAAAGt9nyE=")</f>
        <v>#VALUE!</v>
      </c>
      <c r="AI2" t="e">
        <f>AND('Planilla_General_03-12-2012_9_3'!B19,"AAAAAGt9nyI=")</f>
        <v>#VALUE!</v>
      </c>
      <c r="AJ2" t="e">
        <f>AND('Planilla_General_03-12-2012_9_3'!C19,"AAAAAGt9nyM=")</f>
        <v>#VALUE!</v>
      </c>
      <c r="AK2" t="e">
        <f>AND('Planilla_General_03-12-2012_9_3'!D19,"AAAAAGt9nyQ=")</f>
        <v>#VALUE!</v>
      </c>
      <c r="AL2" t="e">
        <f>AND('Planilla_General_03-12-2012_9_3'!E19,"AAAAAGt9nyU=")</f>
        <v>#VALUE!</v>
      </c>
      <c r="AM2" t="e">
        <f>AND('Planilla_General_03-12-2012_9_3'!F19,"AAAAAGt9nyY=")</f>
        <v>#VALUE!</v>
      </c>
      <c r="AN2" t="e">
        <f>AND('Planilla_General_03-12-2012_9_3'!G19,"AAAAAGt9nyc=")</f>
        <v>#VALUE!</v>
      </c>
      <c r="AO2" t="e">
        <f>AND('Planilla_General_03-12-2012_9_3'!H19,"AAAAAGt9nyg=")</f>
        <v>#VALUE!</v>
      </c>
      <c r="AP2" t="e">
        <f>AND('Planilla_General_03-12-2012_9_3'!I19,"AAAAAGt9nyk=")</f>
        <v>#VALUE!</v>
      </c>
      <c r="AQ2" t="e">
        <f>AND('Planilla_General_03-12-2012_9_3'!J19,"AAAAAGt9nyo=")</f>
        <v>#VALUE!</v>
      </c>
      <c r="AR2" t="e">
        <f>AND('Planilla_General_03-12-2012_9_3'!K19,"AAAAAGt9nys=")</f>
        <v>#VALUE!</v>
      </c>
      <c r="AS2" t="e">
        <f>AND('Planilla_General_03-12-2012_9_3'!L19,"AAAAAGt9nyw=")</f>
        <v>#VALUE!</v>
      </c>
      <c r="AT2" t="e">
        <f>AND('Planilla_General_03-12-2012_9_3'!M19,"AAAAAGt9ny0=")</f>
        <v>#VALUE!</v>
      </c>
      <c r="AU2" t="e">
        <f>AND('Planilla_General_03-12-2012_9_3'!N19,"AAAAAGt9ny4=")</f>
        <v>#VALUE!</v>
      </c>
      <c r="AV2" t="e">
        <f>AND('Planilla_General_03-12-2012_9_3'!O19,"AAAAAGt9ny8=")</f>
        <v>#VALUE!</v>
      </c>
      <c r="AW2">
        <f>IF('Planilla_General_03-12-2012_9_3'!20:20,"AAAAAGt9nzA=",0)</f>
        <v>0</v>
      </c>
      <c r="AX2" t="e">
        <f>AND('Planilla_General_03-12-2012_9_3'!A20,"AAAAAGt9nzE=")</f>
        <v>#VALUE!</v>
      </c>
      <c r="AY2" t="e">
        <f>AND('Planilla_General_03-12-2012_9_3'!B20,"AAAAAGt9nzI=")</f>
        <v>#VALUE!</v>
      </c>
      <c r="AZ2" t="e">
        <f>AND('Planilla_General_03-12-2012_9_3'!C20,"AAAAAGt9nzM=")</f>
        <v>#VALUE!</v>
      </c>
      <c r="BA2" t="e">
        <f>AND('Planilla_General_03-12-2012_9_3'!D20,"AAAAAGt9nzQ=")</f>
        <v>#VALUE!</v>
      </c>
      <c r="BB2" t="e">
        <f>AND('Planilla_General_03-12-2012_9_3'!E20,"AAAAAGt9nzU=")</f>
        <v>#VALUE!</v>
      </c>
      <c r="BC2" t="e">
        <f>AND('Planilla_General_03-12-2012_9_3'!F20,"AAAAAGt9nzY=")</f>
        <v>#VALUE!</v>
      </c>
      <c r="BD2" t="e">
        <f>AND('Planilla_General_03-12-2012_9_3'!G20,"AAAAAGt9nzc=")</f>
        <v>#VALUE!</v>
      </c>
      <c r="BE2" t="e">
        <f>AND('Planilla_General_03-12-2012_9_3'!H20,"AAAAAGt9nzg=")</f>
        <v>#VALUE!</v>
      </c>
      <c r="BF2" t="e">
        <f>AND('Planilla_General_03-12-2012_9_3'!I20,"AAAAAGt9nzk=")</f>
        <v>#VALUE!</v>
      </c>
      <c r="BG2" t="e">
        <f>AND('Planilla_General_03-12-2012_9_3'!J20,"AAAAAGt9nzo=")</f>
        <v>#VALUE!</v>
      </c>
      <c r="BH2" t="e">
        <f>AND('Planilla_General_03-12-2012_9_3'!K20,"AAAAAGt9nzs=")</f>
        <v>#VALUE!</v>
      </c>
      <c r="BI2" t="e">
        <f>AND('Planilla_General_03-12-2012_9_3'!L20,"AAAAAGt9nzw=")</f>
        <v>#VALUE!</v>
      </c>
      <c r="BJ2" t="e">
        <f>AND('Planilla_General_03-12-2012_9_3'!M20,"AAAAAGt9nz0=")</f>
        <v>#VALUE!</v>
      </c>
      <c r="BK2" t="e">
        <f>AND('Planilla_General_03-12-2012_9_3'!N20,"AAAAAGt9nz4=")</f>
        <v>#VALUE!</v>
      </c>
      <c r="BL2" t="e">
        <f>AND('Planilla_General_03-12-2012_9_3'!O20,"AAAAAGt9nz8=")</f>
        <v>#VALUE!</v>
      </c>
      <c r="BM2">
        <f>IF('Planilla_General_03-12-2012_9_3'!21:21,"AAAAAGt9n0A=",0)</f>
        <v>0</v>
      </c>
      <c r="BN2" t="e">
        <f>AND('Planilla_General_03-12-2012_9_3'!A21,"AAAAAGt9n0E=")</f>
        <v>#VALUE!</v>
      </c>
      <c r="BO2" t="e">
        <f>AND('Planilla_General_03-12-2012_9_3'!B21,"AAAAAGt9n0I=")</f>
        <v>#VALUE!</v>
      </c>
      <c r="BP2" t="e">
        <f>AND('Planilla_General_03-12-2012_9_3'!C21,"AAAAAGt9n0M=")</f>
        <v>#VALUE!</v>
      </c>
      <c r="BQ2" t="e">
        <f>AND('Planilla_General_03-12-2012_9_3'!D21,"AAAAAGt9n0Q=")</f>
        <v>#VALUE!</v>
      </c>
      <c r="BR2" t="e">
        <f>AND('Planilla_General_03-12-2012_9_3'!E21,"AAAAAGt9n0U=")</f>
        <v>#VALUE!</v>
      </c>
      <c r="BS2" t="e">
        <f>AND('Planilla_General_03-12-2012_9_3'!F21,"AAAAAGt9n0Y=")</f>
        <v>#VALUE!</v>
      </c>
      <c r="BT2" t="e">
        <f>AND('Planilla_General_03-12-2012_9_3'!G21,"AAAAAGt9n0c=")</f>
        <v>#VALUE!</v>
      </c>
      <c r="BU2" t="e">
        <f>AND('Planilla_General_03-12-2012_9_3'!H21,"AAAAAGt9n0g=")</f>
        <v>#VALUE!</v>
      </c>
      <c r="BV2" t="e">
        <f>AND('Planilla_General_03-12-2012_9_3'!I21,"AAAAAGt9n0k=")</f>
        <v>#VALUE!</v>
      </c>
      <c r="BW2" t="e">
        <f>AND('Planilla_General_03-12-2012_9_3'!J21,"AAAAAGt9n0o=")</f>
        <v>#VALUE!</v>
      </c>
      <c r="BX2" t="e">
        <f>AND('Planilla_General_03-12-2012_9_3'!K21,"AAAAAGt9n0s=")</f>
        <v>#VALUE!</v>
      </c>
      <c r="BY2" t="e">
        <f>AND('Planilla_General_03-12-2012_9_3'!L21,"AAAAAGt9n0w=")</f>
        <v>#VALUE!</v>
      </c>
      <c r="BZ2" t="e">
        <f>AND('Planilla_General_03-12-2012_9_3'!M21,"AAAAAGt9n00=")</f>
        <v>#VALUE!</v>
      </c>
      <c r="CA2" t="e">
        <f>AND('Planilla_General_03-12-2012_9_3'!N21,"AAAAAGt9n04=")</f>
        <v>#VALUE!</v>
      </c>
      <c r="CB2" t="e">
        <f>AND('Planilla_General_03-12-2012_9_3'!O21,"AAAAAGt9n08=")</f>
        <v>#VALUE!</v>
      </c>
      <c r="CC2">
        <f>IF('Planilla_General_03-12-2012_9_3'!22:22,"AAAAAGt9n1A=",0)</f>
        <v>0</v>
      </c>
      <c r="CD2" t="e">
        <f>AND('Planilla_General_03-12-2012_9_3'!A22,"AAAAAGt9n1E=")</f>
        <v>#VALUE!</v>
      </c>
      <c r="CE2" t="e">
        <f>AND('Planilla_General_03-12-2012_9_3'!B22,"AAAAAGt9n1I=")</f>
        <v>#VALUE!</v>
      </c>
      <c r="CF2" t="e">
        <f>AND('Planilla_General_03-12-2012_9_3'!C22,"AAAAAGt9n1M=")</f>
        <v>#VALUE!</v>
      </c>
      <c r="CG2" t="e">
        <f>AND('Planilla_General_03-12-2012_9_3'!D22,"AAAAAGt9n1Q=")</f>
        <v>#VALUE!</v>
      </c>
      <c r="CH2" t="e">
        <f>AND('Planilla_General_03-12-2012_9_3'!E22,"AAAAAGt9n1U=")</f>
        <v>#VALUE!</v>
      </c>
      <c r="CI2" t="e">
        <f>AND('Planilla_General_03-12-2012_9_3'!F22,"AAAAAGt9n1Y=")</f>
        <v>#VALUE!</v>
      </c>
      <c r="CJ2" t="e">
        <f>AND('Planilla_General_03-12-2012_9_3'!G22,"AAAAAGt9n1c=")</f>
        <v>#VALUE!</v>
      </c>
      <c r="CK2" t="e">
        <f>AND('Planilla_General_03-12-2012_9_3'!H22,"AAAAAGt9n1g=")</f>
        <v>#VALUE!</v>
      </c>
      <c r="CL2" t="e">
        <f>AND('Planilla_General_03-12-2012_9_3'!I22,"AAAAAGt9n1k=")</f>
        <v>#VALUE!</v>
      </c>
      <c r="CM2" t="e">
        <f>AND('Planilla_General_03-12-2012_9_3'!J22,"AAAAAGt9n1o=")</f>
        <v>#VALUE!</v>
      </c>
      <c r="CN2" t="e">
        <f>AND('Planilla_General_03-12-2012_9_3'!K22,"AAAAAGt9n1s=")</f>
        <v>#VALUE!</v>
      </c>
      <c r="CO2" t="e">
        <f>AND('Planilla_General_03-12-2012_9_3'!L22,"AAAAAGt9n1w=")</f>
        <v>#VALUE!</v>
      </c>
      <c r="CP2" t="e">
        <f>AND('Planilla_General_03-12-2012_9_3'!M22,"AAAAAGt9n10=")</f>
        <v>#VALUE!</v>
      </c>
      <c r="CQ2" t="e">
        <f>AND('Planilla_General_03-12-2012_9_3'!N22,"AAAAAGt9n14=")</f>
        <v>#VALUE!</v>
      </c>
      <c r="CR2" t="e">
        <f>AND('Planilla_General_03-12-2012_9_3'!O22,"AAAAAGt9n18=")</f>
        <v>#VALUE!</v>
      </c>
      <c r="CS2">
        <f>IF('Planilla_General_03-12-2012_9_3'!23:23,"AAAAAGt9n2A=",0)</f>
        <v>0</v>
      </c>
      <c r="CT2" t="e">
        <f>AND('Planilla_General_03-12-2012_9_3'!A23,"AAAAAGt9n2E=")</f>
        <v>#VALUE!</v>
      </c>
      <c r="CU2" t="e">
        <f>AND('Planilla_General_03-12-2012_9_3'!B23,"AAAAAGt9n2I=")</f>
        <v>#VALUE!</v>
      </c>
      <c r="CV2" t="e">
        <f>AND('Planilla_General_03-12-2012_9_3'!C23,"AAAAAGt9n2M=")</f>
        <v>#VALUE!</v>
      </c>
      <c r="CW2" t="e">
        <f>AND('Planilla_General_03-12-2012_9_3'!D23,"AAAAAGt9n2Q=")</f>
        <v>#VALUE!</v>
      </c>
      <c r="CX2" t="e">
        <f>AND('Planilla_General_03-12-2012_9_3'!E23,"AAAAAGt9n2U=")</f>
        <v>#VALUE!</v>
      </c>
      <c r="CY2" t="e">
        <f>AND('Planilla_General_03-12-2012_9_3'!F23,"AAAAAGt9n2Y=")</f>
        <v>#VALUE!</v>
      </c>
      <c r="CZ2" t="e">
        <f>AND('Planilla_General_03-12-2012_9_3'!G23,"AAAAAGt9n2c=")</f>
        <v>#VALUE!</v>
      </c>
      <c r="DA2" t="e">
        <f>AND('Planilla_General_03-12-2012_9_3'!H23,"AAAAAGt9n2g=")</f>
        <v>#VALUE!</v>
      </c>
      <c r="DB2" t="e">
        <f>AND('Planilla_General_03-12-2012_9_3'!I23,"AAAAAGt9n2k=")</f>
        <v>#VALUE!</v>
      </c>
      <c r="DC2" t="e">
        <f>AND('Planilla_General_03-12-2012_9_3'!J23,"AAAAAGt9n2o=")</f>
        <v>#VALUE!</v>
      </c>
      <c r="DD2" t="e">
        <f>AND('Planilla_General_03-12-2012_9_3'!K23,"AAAAAGt9n2s=")</f>
        <v>#VALUE!</v>
      </c>
      <c r="DE2" t="e">
        <f>AND('Planilla_General_03-12-2012_9_3'!L23,"AAAAAGt9n2w=")</f>
        <v>#VALUE!</v>
      </c>
      <c r="DF2" t="e">
        <f>AND('Planilla_General_03-12-2012_9_3'!M23,"AAAAAGt9n20=")</f>
        <v>#VALUE!</v>
      </c>
      <c r="DG2" t="e">
        <f>AND('Planilla_General_03-12-2012_9_3'!N23,"AAAAAGt9n24=")</f>
        <v>#VALUE!</v>
      </c>
      <c r="DH2" t="e">
        <f>AND('Planilla_General_03-12-2012_9_3'!O23,"AAAAAGt9n28=")</f>
        <v>#VALUE!</v>
      </c>
      <c r="DI2">
        <f>IF('Planilla_General_03-12-2012_9_3'!24:24,"AAAAAGt9n3A=",0)</f>
        <v>0</v>
      </c>
      <c r="DJ2" t="e">
        <f>AND('Planilla_General_03-12-2012_9_3'!A24,"AAAAAGt9n3E=")</f>
        <v>#VALUE!</v>
      </c>
      <c r="DK2" t="e">
        <f>AND('Planilla_General_03-12-2012_9_3'!B24,"AAAAAGt9n3I=")</f>
        <v>#VALUE!</v>
      </c>
      <c r="DL2" t="e">
        <f>AND('Planilla_General_03-12-2012_9_3'!C24,"AAAAAGt9n3M=")</f>
        <v>#VALUE!</v>
      </c>
      <c r="DM2" t="e">
        <f>AND('Planilla_General_03-12-2012_9_3'!D24,"AAAAAGt9n3Q=")</f>
        <v>#VALUE!</v>
      </c>
      <c r="DN2" t="e">
        <f>AND('Planilla_General_03-12-2012_9_3'!E24,"AAAAAGt9n3U=")</f>
        <v>#VALUE!</v>
      </c>
      <c r="DO2" t="e">
        <f>AND('Planilla_General_03-12-2012_9_3'!F24,"AAAAAGt9n3Y=")</f>
        <v>#VALUE!</v>
      </c>
      <c r="DP2" t="e">
        <f>AND('Planilla_General_03-12-2012_9_3'!G24,"AAAAAGt9n3c=")</f>
        <v>#VALUE!</v>
      </c>
      <c r="DQ2" t="e">
        <f>AND('Planilla_General_03-12-2012_9_3'!H24,"AAAAAGt9n3g=")</f>
        <v>#VALUE!</v>
      </c>
      <c r="DR2" t="e">
        <f>AND('Planilla_General_03-12-2012_9_3'!I24,"AAAAAGt9n3k=")</f>
        <v>#VALUE!</v>
      </c>
      <c r="DS2" t="e">
        <f>AND('Planilla_General_03-12-2012_9_3'!J24,"AAAAAGt9n3o=")</f>
        <v>#VALUE!</v>
      </c>
      <c r="DT2" t="e">
        <f>AND('Planilla_General_03-12-2012_9_3'!K24,"AAAAAGt9n3s=")</f>
        <v>#VALUE!</v>
      </c>
      <c r="DU2" t="e">
        <f>AND('Planilla_General_03-12-2012_9_3'!L24,"AAAAAGt9n3w=")</f>
        <v>#VALUE!</v>
      </c>
      <c r="DV2" t="e">
        <f>AND('Planilla_General_03-12-2012_9_3'!M24,"AAAAAGt9n30=")</f>
        <v>#VALUE!</v>
      </c>
      <c r="DW2" t="e">
        <f>AND('Planilla_General_03-12-2012_9_3'!N24,"AAAAAGt9n34=")</f>
        <v>#VALUE!</v>
      </c>
      <c r="DX2" t="e">
        <f>AND('Planilla_General_03-12-2012_9_3'!O24,"AAAAAGt9n38=")</f>
        <v>#VALUE!</v>
      </c>
      <c r="DY2">
        <f>IF('Planilla_General_03-12-2012_9_3'!25:25,"AAAAAGt9n4A=",0)</f>
        <v>0</v>
      </c>
      <c r="DZ2" t="e">
        <f>AND('Planilla_General_03-12-2012_9_3'!A25,"AAAAAGt9n4E=")</f>
        <v>#VALUE!</v>
      </c>
      <c r="EA2" t="e">
        <f>AND('Planilla_General_03-12-2012_9_3'!B25,"AAAAAGt9n4I=")</f>
        <v>#VALUE!</v>
      </c>
      <c r="EB2" t="e">
        <f>AND('Planilla_General_03-12-2012_9_3'!C25,"AAAAAGt9n4M=")</f>
        <v>#VALUE!</v>
      </c>
      <c r="EC2" t="e">
        <f>AND('Planilla_General_03-12-2012_9_3'!D25,"AAAAAGt9n4Q=")</f>
        <v>#VALUE!</v>
      </c>
      <c r="ED2" t="e">
        <f>AND('Planilla_General_03-12-2012_9_3'!E25,"AAAAAGt9n4U=")</f>
        <v>#VALUE!</v>
      </c>
      <c r="EE2" t="e">
        <f>AND('Planilla_General_03-12-2012_9_3'!F25,"AAAAAGt9n4Y=")</f>
        <v>#VALUE!</v>
      </c>
      <c r="EF2" t="e">
        <f>AND('Planilla_General_03-12-2012_9_3'!G25,"AAAAAGt9n4c=")</f>
        <v>#VALUE!</v>
      </c>
      <c r="EG2" t="e">
        <f>AND('Planilla_General_03-12-2012_9_3'!H25,"AAAAAGt9n4g=")</f>
        <v>#VALUE!</v>
      </c>
      <c r="EH2" t="e">
        <f>AND('Planilla_General_03-12-2012_9_3'!I25,"AAAAAGt9n4k=")</f>
        <v>#VALUE!</v>
      </c>
      <c r="EI2" t="e">
        <f>AND('Planilla_General_03-12-2012_9_3'!J25,"AAAAAGt9n4o=")</f>
        <v>#VALUE!</v>
      </c>
      <c r="EJ2" t="e">
        <f>AND('Planilla_General_03-12-2012_9_3'!K25,"AAAAAGt9n4s=")</f>
        <v>#VALUE!</v>
      </c>
      <c r="EK2" t="e">
        <f>AND('Planilla_General_03-12-2012_9_3'!L25,"AAAAAGt9n4w=")</f>
        <v>#VALUE!</v>
      </c>
      <c r="EL2" t="e">
        <f>AND('Planilla_General_03-12-2012_9_3'!M25,"AAAAAGt9n40=")</f>
        <v>#VALUE!</v>
      </c>
      <c r="EM2" t="e">
        <f>AND('Planilla_General_03-12-2012_9_3'!N25,"AAAAAGt9n44=")</f>
        <v>#VALUE!</v>
      </c>
      <c r="EN2" t="e">
        <f>AND('Planilla_General_03-12-2012_9_3'!O25,"AAAAAGt9n48=")</f>
        <v>#VALUE!</v>
      </c>
      <c r="EO2">
        <f>IF('Planilla_General_03-12-2012_9_3'!26:26,"AAAAAGt9n5A=",0)</f>
        <v>0</v>
      </c>
      <c r="EP2" t="e">
        <f>AND('Planilla_General_03-12-2012_9_3'!A26,"AAAAAGt9n5E=")</f>
        <v>#VALUE!</v>
      </c>
      <c r="EQ2" t="e">
        <f>AND('Planilla_General_03-12-2012_9_3'!B26,"AAAAAGt9n5I=")</f>
        <v>#VALUE!</v>
      </c>
      <c r="ER2" t="e">
        <f>AND('Planilla_General_03-12-2012_9_3'!C26,"AAAAAGt9n5M=")</f>
        <v>#VALUE!</v>
      </c>
      <c r="ES2" t="e">
        <f>AND('Planilla_General_03-12-2012_9_3'!D26,"AAAAAGt9n5Q=")</f>
        <v>#VALUE!</v>
      </c>
      <c r="ET2" t="e">
        <f>AND('Planilla_General_03-12-2012_9_3'!E26,"AAAAAGt9n5U=")</f>
        <v>#VALUE!</v>
      </c>
      <c r="EU2" t="e">
        <f>AND('Planilla_General_03-12-2012_9_3'!F26,"AAAAAGt9n5Y=")</f>
        <v>#VALUE!</v>
      </c>
      <c r="EV2" t="e">
        <f>AND('Planilla_General_03-12-2012_9_3'!G26,"AAAAAGt9n5c=")</f>
        <v>#VALUE!</v>
      </c>
      <c r="EW2" t="e">
        <f>AND('Planilla_General_03-12-2012_9_3'!H26,"AAAAAGt9n5g=")</f>
        <v>#VALUE!</v>
      </c>
      <c r="EX2" t="e">
        <f>AND('Planilla_General_03-12-2012_9_3'!I26,"AAAAAGt9n5k=")</f>
        <v>#VALUE!</v>
      </c>
      <c r="EY2" t="e">
        <f>AND('Planilla_General_03-12-2012_9_3'!J26,"AAAAAGt9n5o=")</f>
        <v>#VALUE!</v>
      </c>
      <c r="EZ2" t="e">
        <f>AND('Planilla_General_03-12-2012_9_3'!K26,"AAAAAGt9n5s=")</f>
        <v>#VALUE!</v>
      </c>
      <c r="FA2" t="e">
        <f>AND('Planilla_General_03-12-2012_9_3'!L26,"AAAAAGt9n5w=")</f>
        <v>#VALUE!</v>
      </c>
      <c r="FB2" t="e">
        <f>AND('Planilla_General_03-12-2012_9_3'!M26,"AAAAAGt9n50=")</f>
        <v>#VALUE!</v>
      </c>
      <c r="FC2" t="e">
        <f>AND('Planilla_General_03-12-2012_9_3'!N26,"AAAAAGt9n54=")</f>
        <v>#VALUE!</v>
      </c>
      <c r="FD2" t="e">
        <f>AND('Planilla_General_03-12-2012_9_3'!O26,"AAAAAGt9n58=")</f>
        <v>#VALUE!</v>
      </c>
      <c r="FE2">
        <f>IF('Planilla_General_03-12-2012_9_3'!27:27,"AAAAAGt9n6A=",0)</f>
        <v>0</v>
      </c>
      <c r="FF2" t="e">
        <f>AND('Planilla_General_03-12-2012_9_3'!A27,"AAAAAGt9n6E=")</f>
        <v>#VALUE!</v>
      </c>
      <c r="FG2" t="e">
        <f>AND('Planilla_General_03-12-2012_9_3'!B27,"AAAAAGt9n6I=")</f>
        <v>#VALUE!</v>
      </c>
      <c r="FH2" t="e">
        <f>AND('Planilla_General_03-12-2012_9_3'!C27,"AAAAAGt9n6M=")</f>
        <v>#VALUE!</v>
      </c>
      <c r="FI2" t="e">
        <f>AND('Planilla_General_03-12-2012_9_3'!D27,"AAAAAGt9n6Q=")</f>
        <v>#VALUE!</v>
      </c>
      <c r="FJ2" t="e">
        <f>AND('Planilla_General_03-12-2012_9_3'!E27,"AAAAAGt9n6U=")</f>
        <v>#VALUE!</v>
      </c>
      <c r="FK2" t="e">
        <f>AND('Planilla_General_03-12-2012_9_3'!F27,"AAAAAGt9n6Y=")</f>
        <v>#VALUE!</v>
      </c>
      <c r="FL2" t="e">
        <f>AND('Planilla_General_03-12-2012_9_3'!G27,"AAAAAGt9n6c=")</f>
        <v>#VALUE!</v>
      </c>
      <c r="FM2" t="e">
        <f>AND('Planilla_General_03-12-2012_9_3'!H27,"AAAAAGt9n6g=")</f>
        <v>#VALUE!</v>
      </c>
      <c r="FN2" t="e">
        <f>AND('Planilla_General_03-12-2012_9_3'!I27,"AAAAAGt9n6k=")</f>
        <v>#VALUE!</v>
      </c>
      <c r="FO2" t="e">
        <f>AND('Planilla_General_03-12-2012_9_3'!J27,"AAAAAGt9n6o=")</f>
        <v>#VALUE!</v>
      </c>
      <c r="FP2" t="e">
        <f>AND('Planilla_General_03-12-2012_9_3'!K27,"AAAAAGt9n6s=")</f>
        <v>#VALUE!</v>
      </c>
      <c r="FQ2" t="e">
        <f>AND('Planilla_General_03-12-2012_9_3'!L27,"AAAAAGt9n6w=")</f>
        <v>#VALUE!</v>
      </c>
      <c r="FR2" t="e">
        <f>AND('Planilla_General_03-12-2012_9_3'!M27,"AAAAAGt9n60=")</f>
        <v>#VALUE!</v>
      </c>
      <c r="FS2" t="e">
        <f>AND('Planilla_General_03-12-2012_9_3'!N27,"AAAAAGt9n64=")</f>
        <v>#VALUE!</v>
      </c>
      <c r="FT2" t="e">
        <f>AND('Planilla_General_03-12-2012_9_3'!O27,"AAAAAGt9n68=")</f>
        <v>#VALUE!</v>
      </c>
      <c r="FU2">
        <f>IF('Planilla_General_03-12-2012_9_3'!28:28,"AAAAAGt9n7A=",0)</f>
        <v>0</v>
      </c>
      <c r="FV2" t="e">
        <f>AND('Planilla_General_03-12-2012_9_3'!A28,"AAAAAGt9n7E=")</f>
        <v>#VALUE!</v>
      </c>
      <c r="FW2" t="e">
        <f>AND('Planilla_General_03-12-2012_9_3'!B28,"AAAAAGt9n7I=")</f>
        <v>#VALUE!</v>
      </c>
      <c r="FX2" t="e">
        <f>AND('Planilla_General_03-12-2012_9_3'!C28,"AAAAAGt9n7M=")</f>
        <v>#VALUE!</v>
      </c>
      <c r="FY2" t="e">
        <f>AND('Planilla_General_03-12-2012_9_3'!D28,"AAAAAGt9n7Q=")</f>
        <v>#VALUE!</v>
      </c>
      <c r="FZ2" t="e">
        <f>AND('Planilla_General_03-12-2012_9_3'!E28,"AAAAAGt9n7U=")</f>
        <v>#VALUE!</v>
      </c>
      <c r="GA2" t="e">
        <f>AND('Planilla_General_03-12-2012_9_3'!F28,"AAAAAGt9n7Y=")</f>
        <v>#VALUE!</v>
      </c>
      <c r="GB2" t="e">
        <f>AND('Planilla_General_03-12-2012_9_3'!G28,"AAAAAGt9n7c=")</f>
        <v>#VALUE!</v>
      </c>
      <c r="GC2" t="e">
        <f>AND('Planilla_General_03-12-2012_9_3'!H28,"AAAAAGt9n7g=")</f>
        <v>#VALUE!</v>
      </c>
      <c r="GD2" t="e">
        <f>AND('Planilla_General_03-12-2012_9_3'!I28,"AAAAAGt9n7k=")</f>
        <v>#VALUE!</v>
      </c>
      <c r="GE2" t="e">
        <f>AND('Planilla_General_03-12-2012_9_3'!J28,"AAAAAGt9n7o=")</f>
        <v>#VALUE!</v>
      </c>
      <c r="GF2" t="e">
        <f>AND('Planilla_General_03-12-2012_9_3'!K28,"AAAAAGt9n7s=")</f>
        <v>#VALUE!</v>
      </c>
      <c r="GG2" t="e">
        <f>AND('Planilla_General_03-12-2012_9_3'!L28,"AAAAAGt9n7w=")</f>
        <v>#VALUE!</v>
      </c>
      <c r="GH2" t="e">
        <f>AND('Planilla_General_03-12-2012_9_3'!M28,"AAAAAGt9n70=")</f>
        <v>#VALUE!</v>
      </c>
      <c r="GI2" t="e">
        <f>AND('Planilla_General_03-12-2012_9_3'!N28,"AAAAAGt9n74=")</f>
        <v>#VALUE!</v>
      </c>
      <c r="GJ2" t="e">
        <f>AND('Planilla_General_03-12-2012_9_3'!O28,"AAAAAGt9n78=")</f>
        <v>#VALUE!</v>
      </c>
      <c r="GK2">
        <f>IF('Planilla_General_03-12-2012_9_3'!29:29,"AAAAAGt9n8A=",0)</f>
        <v>0</v>
      </c>
      <c r="GL2" t="e">
        <f>AND('Planilla_General_03-12-2012_9_3'!A29,"AAAAAGt9n8E=")</f>
        <v>#VALUE!</v>
      </c>
      <c r="GM2" t="e">
        <f>AND('Planilla_General_03-12-2012_9_3'!B29,"AAAAAGt9n8I=")</f>
        <v>#VALUE!</v>
      </c>
      <c r="GN2" t="e">
        <f>AND('Planilla_General_03-12-2012_9_3'!C29,"AAAAAGt9n8M=")</f>
        <v>#VALUE!</v>
      </c>
      <c r="GO2" t="e">
        <f>AND('Planilla_General_03-12-2012_9_3'!D29,"AAAAAGt9n8Q=")</f>
        <v>#VALUE!</v>
      </c>
      <c r="GP2" t="e">
        <f>AND('Planilla_General_03-12-2012_9_3'!E29,"AAAAAGt9n8U=")</f>
        <v>#VALUE!</v>
      </c>
      <c r="GQ2" t="e">
        <f>AND('Planilla_General_03-12-2012_9_3'!F29,"AAAAAGt9n8Y=")</f>
        <v>#VALUE!</v>
      </c>
      <c r="GR2" t="e">
        <f>AND('Planilla_General_03-12-2012_9_3'!G29,"AAAAAGt9n8c=")</f>
        <v>#VALUE!</v>
      </c>
      <c r="GS2" t="e">
        <f>AND('Planilla_General_03-12-2012_9_3'!H29,"AAAAAGt9n8g=")</f>
        <v>#VALUE!</v>
      </c>
      <c r="GT2" t="e">
        <f>AND('Planilla_General_03-12-2012_9_3'!I29,"AAAAAGt9n8k=")</f>
        <v>#VALUE!</v>
      </c>
      <c r="GU2" t="e">
        <f>AND('Planilla_General_03-12-2012_9_3'!J29,"AAAAAGt9n8o=")</f>
        <v>#VALUE!</v>
      </c>
      <c r="GV2" t="e">
        <f>AND('Planilla_General_03-12-2012_9_3'!K29,"AAAAAGt9n8s=")</f>
        <v>#VALUE!</v>
      </c>
      <c r="GW2" t="e">
        <f>AND('Planilla_General_03-12-2012_9_3'!L29,"AAAAAGt9n8w=")</f>
        <v>#VALUE!</v>
      </c>
      <c r="GX2" t="e">
        <f>AND('Planilla_General_03-12-2012_9_3'!M29,"AAAAAGt9n80=")</f>
        <v>#VALUE!</v>
      </c>
      <c r="GY2" t="e">
        <f>AND('Planilla_General_03-12-2012_9_3'!N29,"AAAAAGt9n84=")</f>
        <v>#VALUE!</v>
      </c>
      <c r="GZ2" t="e">
        <f>AND('Planilla_General_03-12-2012_9_3'!O29,"AAAAAGt9n88=")</f>
        <v>#VALUE!</v>
      </c>
      <c r="HA2">
        <f>IF('Planilla_General_03-12-2012_9_3'!30:30,"AAAAAGt9n9A=",0)</f>
        <v>0</v>
      </c>
      <c r="HB2" t="e">
        <f>AND('Planilla_General_03-12-2012_9_3'!A30,"AAAAAGt9n9E=")</f>
        <v>#VALUE!</v>
      </c>
      <c r="HC2" t="e">
        <f>AND('Planilla_General_03-12-2012_9_3'!B30,"AAAAAGt9n9I=")</f>
        <v>#VALUE!</v>
      </c>
      <c r="HD2" t="e">
        <f>AND('Planilla_General_03-12-2012_9_3'!C30,"AAAAAGt9n9M=")</f>
        <v>#VALUE!</v>
      </c>
      <c r="HE2" t="e">
        <f>AND('Planilla_General_03-12-2012_9_3'!D30,"AAAAAGt9n9Q=")</f>
        <v>#VALUE!</v>
      </c>
      <c r="HF2" t="e">
        <f>AND('Planilla_General_03-12-2012_9_3'!E30,"AAAAAGt9n9U=")</f>
        <v>#VALUE!</v>
      </c>
      <c r="HG2" t="e">
        <f>AND('Planilla_General_03-12-2012_9_3'!F30,"AAAAAGt9n9Y=")</f>
        <v>#VALUE!</v>
      </c>
      <c r="HH2" t="e">
        <f>AND('Planilla_General_03-12-2012_9_3'!G30,"AAAAAGt9n9c=")</f>
        <v>#VALUE!</v>
      </c>
      <c r="HI2" t="e">
        <f>AND('Planilla_General_03-12-2012_9_3'!H30,"AAAAAGt9n9g=")</f>
        <v>#VALUE!</v>
      </c>
      <c r="HJ2" t="e">
        <f>AND('Planilla_General_03-12-2012_9_3'!I30,"AAAAAGt9n9k=")</f>
        <v>#VALUE!</v>
      </c>
      <c r="HK2" t="e">
        <f>AND('Planilla_General_03-12-2012_9_3'!J30,"AAAAAGt9n9o=")</f>
        <v>#VALUE!</v>
      </c>
      <c r="HL2" t="e">
        <f>AND('Planilla_General_03-12-2012_9_3'!K30,"AAAAAGt9n9s=")</f>
        <v>#VALUE!</v>
      </c>
      <c r="HM2" t="e">
        <f>AND('Planilla_General_03-12-2012_9_3'!L30,"AAAAAGt9n9w=")</f>
        <v>#VALUE!</v>
      </c>
      <c r="HN2" t="e">
        <f>AND('Planilla_General_03-12-2012_9_3'!M30,"AAAAAGt9n90=")</f>
        <v>#VALUE!</v>
      </c>
      <c r="HO2" t="e">
        <f>AND('Planilla_General_03-12-2012_9_3'!N30,"AAAAAGt9n94=")</f>
        <v>#VALUE!</v>
      </c>
      <c r="HP2" t="e">
        <f>AND('Planilla_General_03-12-2012_9_3'!O30,"AAAAAGt9n98=")</f>
        <v>#VALUE!</v>
      </c>
      <c r="HQ2">
        <f>IF('Planilla_General_03-12-2012_9_3'!31:31,"AAAAAGt9n+A=",0)</f>
        <v>0</v>
      </c>
      <c r="HR2" t="e">
        <f>AND('Planilla_General_03-12-2012_9_3'!A31,"AAAAAGt9n+E=")</f>
        <v>#VALUE!</v>
      </c>
      <c r="HS2" t="e">
        <f>AND('Planilla_General_03-12-2012_9_3'!B31,"AAAAAGt9n+I=")</f>
        <v>#VALUE!</v>
      </c>
      <c r="HT2" t="e">
        <f>AND('Planilla_General_03-12-2012_9_3'!C31,"AAAAAGt9n+M=")</f>
        <v>#VALUE!</v>
      </c>
      <c r="HU2" t="e">
        <f>AND('Planilla_General_03-12-2012_9_3'!D31,"AAAAAGt9n+Q=")</f>
        <v>#VALUE!</v>
      </c>
      <c r="HV2" t="e">
        <f>AND('Planilla_General_03-12-2012_9_3'!E31,"AAAAAGt9n+U=")</f>
        <v>#VALUE!</v>
      </c>
      <c r="HW2" t="e">
        <f>AND('Planilla_General_03-12-2012_9_3'!F31,"AAAAAGt9n+Y=")</f>
        <v>#VALUE!</v>
      </c>
      <c r="HX2" t="e">
        <f>AND('Planilla_General_03-12-2012_9_3'!G31,"AAAAAGt9n+c=")</f>
        <v>#VALUE!</v>
      </c>
      <c r="HY2" t="e">
        <f>AND('Planilla_General_03-12-2012_9_3'!H31,"AAAAAGt9n+g=")</f>
        <v>#VALUE!</v>
      </c>
      <c r="HZ2" t="e">
        <f>AND('Planilla_General_03-12-2012_9_3'!I31,"AAAAAGt9n+k=")</f>
        <v>#VALUE!</v>
      </c>
      <c r="IA2" t="e">
        <f>AND('Planilla_General_03-12-2012_9_3'!J31,"AAAAAGt9n+o=")</f>
        <v>#VALUE!</v>
      </c>
      <c r="IB2" t="e">
        <f>AND('Planilla_General_03-12-2012_9_3'!K31,"AAAAAGt9n+s=")</f>
        <v>#VALUE!</v>
      </c>
      <c r="IC2" t="e">
        <f>AND('Planilla_General_03-12-2012_9_3'!L31,"AAAAAGt9n+w=")</f>
        <v>#VALUE!</v>
      </c>
      <c r="ID2" t="e">
        <f>AND('Planilla_General_03-12-2012_9_3'!M31,"AAAAAGt9n+0=")</f>
        <v>#VALUE!</v>
      </c>
      <c r="IE2" t="e">
        <f>AND('Planilla_General_03-12-2012_9_3'!N31,"AAAAAGt9n+4=")</f>
        <v>#VALUE!</v>
      </c>
      <c r="IF2" t="e">
        <f>AND('Planilla_General_03-12-2012_9_3'!O31,"AAAAAGt9n+8=")</f>
        <v>#VALUE!</v>
      </c>
      <c r="IG2">
        <f>IF('Planilla_General_03-12-2012_9_3'!32:32,"AAAAAGt9n/A=",0)</f>
        <v>0</v>
      </c>
      <c r="IH2" t="e">
        <f>AND('Planilla_General_03-12-2012_9_3'!A32,"AAAAAGt9n/E=")</f>
        <v>#VALUE!</v>
      </c>
      <c r="II2" t="e">
        <f>AND('Planilla_General_03-12-2012_9_3'!B32,"AAAAAGt9n/I=")</f>
        <v>#VALUE!</v>
      </c>
      <c r="IJ2" t="e">
        <f>AND('Planilla_General_03-12-2012_9_3'!C32,"AAAAAGt9n/M=")</f>
        <v>#VALUE!</v>
      </c>
      <c r="IK2" t="e">
        <f>AND('Planilla_General_03-12-2012_9_3'!D32,"AAAAAGt9n/Q=")</f>
        <v>#VALUE!</v>
      </c>
      <c r="IL2" t="e">
        <f>AND('Planilla_General_03-12-2012_9_3'!E32,"AAAAAGt9n/U=")</f>
        <v>#VALUE!</v>
      </c>
      <c r="IM2" t="e">
        <f>AND('Planilla_General_03-12-2012_9_3'!F32,"AAAAAGt9n/Y=")</f>
        <v>#VALUE!</v>
      </c>
      <c r="IN2" t="e">
        <f>AND('Planilla_General_03-12-2012_9_3'!G32,"AAAAAGt9n/c=")</f>
        <v>#VALUE!</v>
      </c>
      <c r="IO2" t="e">
        <f>AND('Planilla_General_03-12-2012_9_3'!H32,"AAAAAGt9n/g=")</f>
        <v>#VALUE!</v>
      </c>
      <c r="IP2" t="e">
        <f>AND('Planilla_General_03-12-2012_9_3'!I32,"AAAAAGt9n/k=")</f>
        <v>#VALUE!</v>
      </c>
      <c r="IQ2" t="e">
        <f>AND('Planilla_General_03-12-2012_9_3'!J32,"AAAAAGt9n/o=")</f>
        <v>#VALUE!</v>
      </c>
      <c r="IR2" t="e">
        <f>AND('Planilla_General_03-12-2012_9_3'!K32,"AAAAAGt9n/s=")</f>
        <v>#VALUE!</v>
      </c>
      <c r="IS2" t="e">
        <f>AND('Planilla_General_03-12-2012_9_3'!L32,"AAAAAGt9n/w=")</f>
        <v>#VALUE!</v>
      </c>
      <c r="IT2" t="e">
        <f>AND('Planilla_General_03-12-2012_9_3'!M32,"AAAAAGt9n/0=")</f>
        <v>#VALUE!</v>
      </c>
      <c r="IU2" t="e">
        <f>AND('Planilla_General_03-12-2012_9_3'!N32,"AAAAAGt9n/4=")</f>
        <v>#VALUE!</v>
      </c>
      <c r="IV2" t="e">
        <f>AND('Planilla_General_03-12-2012_9_3'!O32,"AAAAAGt9n/8=")</f>
        <v>#VALUE!</v>
      </c>
    </row>
    <row r="3" spans="1:256" x14ac:dyDescent="0.25">
      <c r="A3" t="e">
        <f>IF('Planilla_General_03-12-2012_9_3'!33:33,"AAAAAH/18wA=",0)</f>
        <v>#VALUE!</v>
      </c>
      <c r="B3" t="e">
        <f>AND('Planilla_General_03-12-2012_9_3'!A33,"AAAAAH/18wE=")</f>
        <v>#VALUE!</v>
      </c>
      <c r="C3" t="e">
        <f>AND('Planilla_General_03-12-2012_9_3'!B33,"AAAAAH/18wI=")</f>
        <v>#VALUE!</v>
      </c>
      <c r="D3" t="e">
        <f>AND('Planilla_General_03-12-2012_9_3'!C33,"AAAAAH/18wM=")</f>
        <v>#VALUE!</v>
      </c>
      <c r="E3" t="e">
        <f>AND('Planilla_General_03-12-2012_9_3'!D33,"AAAAAH/18wQ=")</f>
        <v>#VALUE!</v>
      </c>
      <c r="F3" t="e">
        <f>AND('Planilla_General_03-12-2012_9_3'!E33,"AAAAAH/18wU=")</f>
        <v>#VALUE!</v>
      </c>
      <c r="G3" t="e">
        <f>AND('Planilla_General_03-12-2012_9_3'!F33,"AAAAAH/18wY=")</f>
        <v>#VALUE!</v>
      </c>
      <c r="H3" t="e">
        <f>AND('Planilla_General_03-12-2012_9_3'!G33,"AAAAAH/18wc=")</f>
        <v>#VALUE!</v>
      </c>
      <c r="I3" t="e">
        <f>AND('Planilla_General_03-12-2012_9_3'!H33,"AAAAAH/18wg=")</f>
        <v>#VALUE!</v>
      </c>
      <c r="J3" t="e">
        <f>AND('Planilla_General_03-12-2012_9_3'!I33,"AAAAAH/18wk=")</f>
        <v>#VALUE!</v>
      </c>
      <c r="K3" t="e">
        <f>AND('Planilla_General_03-12-2012_9_3'!J33,"AAAAAH/18wo=")</f>
        <v>#VALUE!</v>
      </c>
      <c r="L3" t="e">
        <f>AND('Planilla_General_03-12-2012_9_3'!K33,"AAAAAH/18ws=")</f>
        <v>#VALUE!</v>
      </c>
      <c r="M3" t="e">
        <f>AND('Planilla_General_03-12-2012_9_3'!L33,"AAAAAH/18ww=")</f>
        <v>#VALUE!</v>
      </c>
      <c r="N3" t="e">
        <f>AND('Planilla_General_03-12-2012_9_3'!M33,"AAAAAH/18w0=")</f>
        <v>#VALUE!</v>
      </c>
      <c r="O3" t="e">
        <f>AND('Planilla_General_03-12-2012_9_3'!N33,"AAAAAH/18w4=")</f>
        <v>#VALUE!</v>
      </c>
      <c r="P3" t="e">
        <f>AND('Planilla_General_03-12-2012_9_3'!O33,"AAAAAH/18w8=")</f>
        <v>#VALUE!</v>
      </c>
      <c r="Q3">
        <f>IF('Planilla_General_03-12-2012_9_3'!34:34,"AAAAAH/18xA=",0)</f>
        <v>0</v>
      </c>
      <c r="R3" t="e">
        <f>AND('Planilla_General_03-12-2012_9_3'!A34,"AAAAAH/18xE=")</f>
        <v>#VALUE!</v>
      </c>
      <c r="S3" t="e">
        <f>AND('Planilla_General_03-12-2012_9_3'!B34,"AAAAAH/18xI=")</f>
        <v>#VALUE!</v>
      </c>
      <c r="T3" t="e">
        <f>AND('Planilla_General_03-12-2012_9_3'!C34,"AAAAAH/18xM=")</f>
        <v>#VALUE!</v>
      </c>
      <c r="U3" t="e">
        <f>AND('Planilla_General_03-12-2012_9_3'!D34,"AAAAAH/18xQ=")</f>
        <v>#VALUE!</v>
      </c>
      <c r="V3" t="e">
        <f>AND('Planilla_General_03-12-2012_9_3'!E34,"AAAAAH/18xU=")</f>
        <v>#VALUE!</v>
      </c>
      <c r="W3" t="e">
        <f>AND('Planilla_General_03-12-2012_9_3'!F34,"AAAAAH/18xY=")</f>
        <v>#VALUE!</v>
      </c>
      <c r="X3" t="e">
        <f>AND('Planilla_General_03-12-2012_9_3'!G34,"AAAAAH/18xc=")</f>
        <v>#VALUE!</v>
      </c>
      <c r="Y3" t="e">
        <f>AND('Planilla_General_03-12-2012_9_3'!H34,"AAAAAH/18xg=")</f>
        <v>#VALUE!</v>
      </c>
      <c r="Z3" t="e">
        <f>AND('Planilla_General_03-12-2012_9_3'!I34,"AAAAAH/18xk=")</f>
        <v>#VALUE!</v>
      </c>
      <c r="AA3" t="e">
        <f>AND('Planilla_General_03-12-2012_9_3'!J34,"AAAAAH/18xo=")</f>
        <v>#VALUE!</v>
      </c>
      <c r="AB3" t="e">
        <f>AND('Planilla_General_03-12-2012_9_3'!K34,"AAAAAH/18xs=")</f>
        <v>#VALUE!</v>
      </c>
      <c r="AC3" t="e">
        <f>AND('Planilla_General_03-12-2012_9_3'!L34,"AAAAAH/18xw=")</f>
        <v>#VALUE!</v>
      </c>
      <c r="AD3" t="e">
        <f>AND('Planilla_General_03-12-2012_9_3'!M34,"AAAAAH/18x0=")</f>
        <v>#VALUE!</v>
      </c>
      <c r="AE3" t="e">
        <f>AND('Planilla_General_03-12-2012_9_3'!N34,"AAAAAH/18x4=")</f>
        <v>#VALUE!</v>
      </c>
      <c r="AF3" t="e">
        <f>AND('Planilla_General_03-12-2012_9_3'!O34,"AAAAAH/18x8=")</f>
        <v>#VALUE!</v>
      </c>
      <c r="AG3">
        <f>IF('Planilla_General_03-12-2012_9_3'!35:35,"AAAAAH/18yA=",0)</f>
        <v>0</v>
      </c>
      <c r="AH3" t="e">
        <f>AND('Planilla_General_03-12-2012_9_3'!A35,"AAAAAH/18yE=")</f>
        <v>#VALUE!</v>
      </c>
      <c r="AI3" t="e">
        <f>AND('Planilla_General_03-12-2012_9_3'!B35,"AAAAAH/18yI=")</f>
        <v>#VALUE!</v>
      </c>
      <c r="AJ3" t="e">
        <f>AND('Planilla_General_03-12-2012_9_3'!C35,"AAAAAH/18yM=")</f>
        <v>#VALUE!</v>
      </c>
      <c r="AK3" t="e">
        <f>AND('Planilla_General_03-12-2012_9_3'!D35,"AAAAAH/18yQ=")</f>
        <v>#VALUE!</v>
      </c>
      <c r="AL3" t="e">
        <f>AND('Planilla_General_03-12-2012_9_3'!E35,"AAAAAH/18yU=")</f>
        <v>#VALUE!</v>
      </c>
      <c r="AM3" t="e">
        <f>AND('Planilla_General_03-12-2012_9_3'!F35,"AAAAAH/18yY=")</f>
        <v>#VALUE!</v>
      </c>
      <c r="AN3" t="e">
        <f>AND('Planilla_General_03-12-2012_9_3'!G35,"AAAAAH/18yc=")</f>
        <v>#VALUE!</v>
      </c>
      <c r="AO3" t="e">
        <f>AND('Planilla_General_03-12-2012_9_3'!H35,"AAAAAH/18yg=")</f>
        <v>#VALUE!</v>
      </c>
      <c r="AP3" t="e">
        <f>AND('Planilla_General_03-12-2012_9_3'!I35,"AAAAAH/18yk=")</f>
        <v>#VALUE!</v>
      </c>
      <c r="AQ3" t="e">
        <f>AND('Planilla_General_03-12-2012_9_3'!J35,"AAAAAH/18yo=")</f>
        <v>#VALUE!</v>
      </c>
      <c r="AR3" t="e">
        <f>AND('Planilla_General_03-12-2012_9_3'!K35,"AAAAAH/18ys=")</f>
        <v>#VALUE!</v>
      </c>
      <c r="AS3" t="e">
        <f>AND('Planilla_General_03-12-2012_9_3'!L35,"AAAAAH/18yw=")</f>
        <v>#VALUE!</v>
      </c>
      <c r="AT3" t="e">
        <f>AND('Planilla_General_03-12-2012_9_3'!M35,"AAAAAH/18y0=")</f>
        <v>#VALUE!</v>
      </c>
      <c r="AU3" t="e">
        <f>AND('Planilla_General_03-12-2012_9_3'!N35,"AAAAAH/18y4=")</f>
        <v>#VALUE!</v>
      </c>
      <c r="AV3" t="e">
        <f>AND('Planilla_General_03-12-2012_9_3'!O35,"AAAAAH/18y8=")</f>
        <v>#VALUE!</v>
      </c>
      <c r="AW3">
        <f>IF('Planilla_General_03-12-2012_9_3'!36:36,"AAAAAH/18zA=",0)</f>
        <v>0</v>
      </c>
      <c r="AX3" t="e">
        <f>AND('Planilla_General_03-12-2012_9_3'!A36,"AAAAAH/18zE=")</f>
        <v>#VALUE!</v>
      </c>
      <c r="AY3" t="e">
        <f>AND('Planilla_General_03-12-2012_9_3'!B36,"AAAAAH/18zI=")</f>
        <v>#VALUE!</v>
      </c>
      <c r="AZ3" t="e">
        <f>AND('Planilla_General_03-12-2012_9_3'!C36,"AAAAAH/18zM=")</f>
        <v>#VALUE!</v>
      </c>
      <c r="BA3" t="e">
        <f>AND('Planilla_General_03-12-2012_9_3'!D36,"AAAAAH/18zQ=")</f>
        <v>#VALUE!</v>
      </c>
      <c r="BB3" t="e">
        <f>AND('Planilla_General_03-12-2012_9_3'!E36,"AAAAAH/18zU=")</f>
        <v>#VALUE!</v>
      </c>
      <c r="BC3" t="e">
        <f>AND('Planilla_General_03-12-2012_9_3'!F36,"AAAAAH/18zY=")</f>
        <v>#VALUE!</v>
      </c>
      <c r="BD3" t="e">
        <f>AND('Planilla_General_03-12-2012_9_3'!G36,"AAAAAH/18zc=")</f>
        <v>#VALUE!</v>
      </c>
      <c r="BE3" t="e">
        <f>AND('Planilla_General_03-12-2012_9_3'!H36,"AAAAAH/18zg=")</f>
        <v>#VALUE!</v>
      </c>
      <c r="BF3" t="e">
        <f>AND('Planilla_General_03-12-2012_9_3'!I36,"AAAAAH/18zk=")</f>
        <v>#VALUE!</v>
      </c>
      <c r="BG3" t="e">
        <f>AND('Planilla_General_03-12-2012_9_3'!J36,"AAAAAH/18zo=")</f>
        <v>#VALUE!</v>
      </c>
      <c r="BH3" t="e">
        <f>AND('Planilla_General_03-12-2012_9_3'!K36,"AAAAAH/18zs=")</f>
        <v>#VALUE!</v>
      </c>
      <c r="BI3" t="e">
        <f>AND('Planilla_General_03-12-2012_9_3'!L36,"AAAAAH/18zw=")</f>
        <v>#VALUE!</v>
      </c>
      <c r="BJ3" t="e">
        <f>AND('Planilla_General_03-12-2012_9_3'!M36,"AAAAAH/18z0=")</f>
        <v>#VALUE!</v>
      </c>
      <c r="BK3" t="e">
        <f>AND('Planilla_General_03-12-2012_9_3'!N36,"AAAAAH/18z4=")</f>
        <v>#VALUE!</v>
      </c>
      <c r="BL3" t="e">
        <f>AND('Planilla_General_03-12-2012_9_3'!O36,"AAAAAH/18z8=")</f>
        <v>#VALUE!</v>
      </c>
      <c r="BM3">
        <f>IF('Planilla_General_03-12-2012_9_3'!37:37,"AAAAAH/180A=",0)</f>
        <v>0</v>
      </c>
      <c r="BN3" t="e">
        <f>AND('Planilla_General_03-12-2012_9_3'!A37,"AAAAAH/180E=")</f>
        <v>#VALUE!</v>
      </c>
      <c r="BO3" t="e">
        <f>AND('Planilla_General_03-12-2012_9_3'!B37,"AAAAAH/180I=")</f>
        <v>#VALUE!</v>
      </c>
      <c r="BP3" t="e">
        <f>AND('Planilla_General_03-12-2012_9_3'!C37,"AAAAAH/180M=")</f>
        <v>#VALUE!</v>
      </c>
      <c r="BQ3" t="e">
        <f>AND('Planilla_General_03-12-2012_9_3'!D37,"AAAAAH/180Q=")</f>
        <v>#VALUE!</v>
      </c>
      <c r="BR3" t="e">
        <f>AND('Planilla_General_03-12-2012_9_3'!E37,"AAAAAH/180U=")</f>
        <v>#VALUE!</v>
      </c>
      <c r="BS3" t="e">
        <f>AND('Planilla_General_03-12-2012_9_3'!F37,"AAAAAH/180Y=")</f>
        <v>#VALUE!</v>
      </c>
      <c r="BT3" t="e">
        <f>AND('Planilla_General_03-12-2012_9_3'!G37,"AAAAAH/180c=")</f>
        <v>#VALUE!</v>
      </c>
      <c r="BU3" t="e">
        <f>AND('Planilla_General_03-12-2012_9_3'!H37,"AAAAAH/180g=")</f>
        <v>#VALUE!</v>
      </c>
      <c r="BV3" t="e">
        <f>AND('Planilla_General_03-12-2012_9_3'!I37,"AAAAAH/180k=")</f>
        <v>#VALUE!</v>
      </c>
      <c r="BW3" t="e">
        <f>AND('Planilla_General_03-12-2012_9_3'!J37,"AAAAAH/180o=")</f>
        <v>#VALUE!</v>
      </c>
      <c r="BX3" t="e">
        <f>AND('Planilla_General_03-12-2012_9_3'!K37,"AAAAAH/180s=")</f>
        <v>#VALUE!</v>
      </c>
      <c r="BY3" t="e">
        <f>AND('Planilla_General_03-12-2012_9_3'!L37,"AAAAAH/180w=")</f>
        <v>#VALUE!</v>
      </c>
      <c r="BZ3" t="e">
        <f>AND('Planilla_General_03-12-2012_9_3'!M37,"AAAAAH/1800=")</f>
        <v>#VALUE!</v>
      </c>
      <c r="CA3" t="e">
        <f>AND('Planilla_General_03-12-2012_9_3'!N37,"AAAAAH/1804=")</f>
        <v>#VALUE!</v>
      </c>
      <c r="CB3" t="e">
        <f>AND('Planilla_General_03-12-2012_9_3'!O37,"AAAAAH/1808=")</f>
        <v>#VALUE!</v>
      </c>
      <c r="CC3">
        <f>IF('Planilla_General_03-12-2012_9_3'!38:38,"AAAAAH/181A=",0)</f>
        <v>0</v>
      </c>
      <c r="CD3" t="e">
        <f>AND('Planilla_General_03-12-2012_9_3'!A38,"AAAAAH/181E=")</f>
        <v>#VALUE!</v>
      </c>
      <c r="CE3" t="e">
        <f>AND('Planilla_General_03-12-2012_9_3'!B38,"AAAAAH/181I=")</f>
        <v>#VALUE!</v>
      </c>
      <c r="CF3" t="e">
        <f>AND('Planilla_General_03-12-2012_9_3'!C38,"AAAAAH/181M=")</f>
        <v>#VALUE!</v>
      </c>
      <c r="CG3" t="e">
        <f>AND('Planilla_General_03-12-2012_9_3'!D38,"AAAAAH/181Q=")</f>
        <v>#VALUE!</v>
      </c>
      <c r="CH3" t="e">
        <f>AND('Planilla_General_03-12-2012_9_3'!E38,"AAAAAH/181U=")</f>
        <v>#VALUE!</v>
      </c>
      <c r="CI3" t="e">
        <f>AND('Planilla_General_03-12-2012_9_3'!F38,"AAAAAH/181Y=")</f>
        <v>#VALUE!</v>
      </c>
      <c r="CJ3" t="e">
        <f>AND('Planilla_General_03-12-2012_9_3'!G38,"AAAAAH/181c=")</f>
        <v>#VALUE!</v>
      </c>
      <c r="CK3" t="e">
        <f>AND('Planilla_General_03-12-2012_9_3'!H38,"AAAAAH/181g=")</f>
        <v>#VALUE!</v>
      </c>
      <c r="CL3" t="e">
        <f>AND('Planilla_General_03-12-2012_9_3'!I38,"AAAAAH/181k=")</f>
        <v>#VALUE!</v>
      </c>
      <c r="CM3" t="e">
        <f>AND('Planilla_General_03-12-2012_9_3'!J38,"AAAAAH/181o=")</f>
        <v>#VALUE!</v>
      </c>
      <c r="CN3" t="e">
        <f>AND('Planilla_General_03-12-2012_9_3'!K38,"AAAAAH/181s=")</f>
        <v>#VALUE!</v>
      </c>
      <c r="CO3" t="e">
        <f>AND('Planilla_General_03-12-2012_9_3'!L38,"AAAAAH/181w=")</f>
        <v>#VALUE!</v>
      </c>
      <c r="CP3" t="e">
        <f>AND('Planilla_General_03-12-2012_9_3'!M38,"AAAAAH/1810=")</f>
        <v>#VALUE!</v>
      </c>
      <c r="CQ3" t="e">
        <f>AND('Planilla_General_03-12-2012_9_3'!N38,"AAAAAH/1814=")</f>
        <v>#VALUE!</v>
      </c>
      <c r="CR3" t="e">
        <f>AND('Planilla_General_03-12-2012_9_3'!O38,"AAAAAH/1818=")</f>
        <v>#VALUE!</v>
      </c>
      <c r="CS3">
        <f>IF('Planilla_General_03-12-2012_9_3'!39:39,"AAAAAH/182A=",0)</f>
        <v>0</v>
      </c>
      <c r="CT3" t="e">
        <f>AND('Planilla_General_03-12-2012_9_3'!A39,"AAAAAH/182E=")</f>
        <v>#VALUE!</v>
      </c>
      <c r="CU3" t="e">
        <f>AND('Planilla_General_03-12-2012_9_3'!B39,"AAAAAH/182I=")</f>
        <v>#VALUE!</v>
      </c>
      <c r="CV3" t="e">
        <f>AND('Planilla_General_03-12-2012_9_3'!C39,"AAAAAH/182M=")</f>
        <v>#VALUE!</v>
      </c>
      <c r="CW3" t="e">
        <f>AND('Planilla_General_03-12-2012_9_3'!D39,"AAAAAH/182Q=")</f>
        <v>#VALUE!</v>
      </c>
      <c r="CX3" t="e">
        <f>AND('Planilla_General_03-12-2012_9_3'!E39,"AAAAAH/182U=")</f>
        <v>#VALUE!</v>
      </c>
      <c r="CY3" t="e">
        <f>AND('Planilla_General_03-12-2012_9_3'!F39,"AAAAAH/182Y=")</f>
        <v>#VALUE!</v>
      </c>
      <c r="CZ3" t="e">
        <f>AND('Planilla_General_03-12-2012_9_3'!G39,"AAAAAH/182c=")</f>
        <v>#VALUE!</v>
      </c>
      <c r="DA3" t="e">
        <f>AND('Planilla_General_03-12-2012_9_3'!H39,"AAAAAH/182g=")</f>
        <v>#VALUE!</v>
      </c>
      <c r="DB3" t="e">
        <f>AND('Planilla_General_03-12-2012_9_3'!I39,"AAAAAH/182k=")</f>
        <v>#VALUE!</v>
      </c>
      <c r="DC3" t="e">
        <f>AND('Planilla_General_03-12-2012_9_3'!J39,"AAAAAH/182o=")</f>
        <v>#VALUE!</v>
      </c>
      <c r="DD3" t="e">
        <f>AND('Planilla_General_03-12-2012_9_3'!K39,"AAAAAH/182s=")</f>
        <v>#VALUE!</v>
      </c>
      <c r="DE3" t="e">
        <f>AND('Planilla_General_03-12-2012_9_3'!L39,"AAAAAH/182w=")</f>
        <v>#VALUE!</v>
      </c>
      <c r="DF3" t="e">
        <f>AND('Planilla_General_03-12-2012_9_3'!M39,"AAAAAH/1820=")</f>
        <v>#VALUE!</v>
      </c>
      <c r="DG3" t="e">
        <f>AND('Planilla_General_03-12-2012_9_3'!N39,"AAAAAH/1824=")</f>
        <v>#VALUE!</v>
      </c>
      <c r="DH3" t="e">
        <f>AND('Planilla_General_03-12-2012_9_3'!O39,"AAAAAH/1828=")</f>
        <v>#VALUE!</v>
      </c>
      <c r="DI3">
        <f>IF('Planilla_General_03-12-2012_9_3'!40:40,"AAAAAH/183A=",0)</f>
        <v>0</v>
      </c>
      <c r="DJ3" t="e">
        <f>AND('Planilla_General_03-12-2012_9_3'!A40,"AAAAAH/183E=")</f>
        <v>#VALUE!</v>
      </c>
      <c r="DK3" t="e">
        <f>AND('Planilla_General_03-12-2012_9_3'!B40,"AAAAAH/183I=")</f>
        <v>#VALUE!</v>
      </c>
      <c r="DL3" t="e">
        <f>AND('Planilla_General_03-12-2012_9_3'!C40,"AAAAAH/183M=")</f>
        <v>#VALUE!</v>
      </c>
      <c r="DM3" t="e">
        <f>AND('Planilla_General_03-12-2012_9_3'!D40,"AAAAAH/183Q=")</f>
        <v>#VALUE!</v>
      </c>
      <c r="DN3" t="e">
        <f>AND('Planilla_General_03-12-2012_9_3'!E40,"AAAAAH/183U=")</f>
        <v>#VALUE!</v>
      </c>
      <c r="DO3" t="e">
        <f>AND('Planilla_General_03-12-2012_9_3'!F40,"AAAAAH/183Y=")</f>
        <v>#VALUE!</v>
      </c>
      <c r="DP3" t="e">
        <f>AND('Planilla_General_03-12-2012_9_3'!G40,"AAAAAH/183c=")</f>
        <v>#VALUE!</v>
      </c>
      <c r="DQ3" t="e">
        <f>AND('Planilla_General_03-12-2012_9_3'!H40,"AAAAAH/183g=")</f>
        <v>#VALUE!</v>
      </c>
      <c r="DR3" t="e">
        <f>AND('Planilla_General_03-12-2012_9_3'!I40,"AAAAAH/183k=")</f>
        <v>#VALUE!</v>
      </c>
      <c r="DS3" t="e">
        <f>AND('Planilla_General_03-12-2012_9_3'!J40,"AAAAAH/183o=")</f>
        <v>#VALUE!</v>
      </c>
      <c r="DT3" t="e">
        <f>AND('Planilla_General_03-12-2012_9_3'!K40,"AAAAAH/183s=")</f>
        <v>#VALUE!</v>
      </c>
      <c r="DU3" t="e">
        <f>AND('Planilla_General_03-12-2012_9_3'!L40,"AAAAAH/183w=")</f>
        <v>#VALUE!</v>
      </c>
      <c r="DV3" t="e">
        <f>AND('Planilla_General_03-12-2012_9_3'!M40,"AAAAAH/1830=")</f>
        <v>#VALUE!</v>
      </c>
      <c r="DW3" t="e">
        <f>AND('Planilla_General_03-12-2012_9_3'!N40,"AAAAAH/1834=")</f>
        <v>#VALUE!</v>
      </c>
      <c r="DX3" t="e">
        <f>AND('Planilla_General_03-12-2012_9_3'!O40,"AAAAAH/1838=")</f>
        <v>#VALUE!</v>
      </c>
      <c r="DY3">
        <f>IF('Planilla_General_03-12-2012_9_3'!41:41,"AAAAAH/184A=",0)</f>
        <v>0</v>
      </c>
      <c r="DZ3" t="e">
        <f>AND('Planilla_General_03-12-2012_9_3'!A41,"AAAAAH/184E=")</f>
        <v>#VALUE!</v>
      </c>
      <c r="EA3" t="e">
        <f>AND('Planilla_General_03-12-2012_9_3'!B41,"AAAAAH/184I=")</f>
        <v>#VALUE!</v>
      </c>
      <c r="EB3" t="e">
        <f>AND('Planilla_General_03-12-2012_9_3'!C41,"AAAAAH/184M=")</f>
        <v>#VALUE!</v>
      </c>
      <c r="EC3" t="e">
        <f>AND('Planilla_General_03-12-2012_9_3'!D41,"AAAAAH/184Q=")</f>
        <v>#VALUE!</v>
      </c>
      <c r="ED3" t="e">
        <f>AND('Planilla_General_03-12-2012_9_3'!E41,"AAAAAH/184U=")</f>
        <v>#VALUE!</v>
      </c>
      <c r="EE3" t="e">
        <f>AND('Planilla_General_03-12-2012_9_3'!F41,"AAAAAH/184Y=")</f>
        <v>#VALUE!</v>
      </c>
      <c r="EF3" t="e">
        <f>AND('Planilla_General_03-12-2012_9_3'!G41,"AAAAAH/184c=")</f>
        <v>#VALUE!</v>
      </c>
      <c r="EG3" t="e">
        <f>AND('Planilla_General_03-12-2012_9_3'!H41,"AAAAAH/184g=")</f>
        <v>#VALUE!</v>
      </c>
      <c r="EH3" t="e">
        <f>AND('Planilla_General_03-12-2012_9_3'!I41,"AAAAAH/184k=")</f>
        <v>#VALUE!</v>
      </c>
      <c r="EI3" t="e">
        <f>AND('Planilla_General_03-12-2012_9_3'!J41,"AAAAAH/184o=")</f>
        <v>#VALUE!</v>
      </c>
      <c r="EJ3" t="e">
        <f>AND('Planilla_General_03-12-2012_9_3'!K41,"AAAAAH/184s=")</f>
        <v>#VALUE!</v>
      </c>
      <c r="EK3" t="e">
        <f>AND('Planilla_General_03-12-2012_9_3'!L41,"AAAAAH/184w=")</f>
        <v>#VALUE!</v>
      </c>
      <c r="EL3" t="e">
        <f>AND('Planilla_General_03-12-2012_9_3'!M41,"AAAAAH/1840=")</f>
        <v>#VALUE!</v>
      </c>
      <c r="EM3" t="e">
        <f>AND('Planilla_General_03-12-2012_9_3'!N41,"AAAAAH/1844=")</f>
        <v>#VALUE!</v>
      </c>
      <c r="EN3" t="e">
        <f>AND('Planilla_General_03-12-2012_9_3'!O41,"AAAAAH/1848=")</f>
        <v>#VALUE!</v>
      </c>
      <c r="EO3">
        <f>IF('Planilla_General_03-12-2012_9_3'!42:42,"AAAAAH/185A=",0)</f>
        <v>0</v>
      </c>
      <c r="EP3" t="e">
        <f>AND('Planilla_General_03-12-2012_9_3'!A42,"AAAAAH/185E=")</f>
        <v>#VALUE!</v>
      </c>
      <c r="EQ3" t="e">
        <f>AND('Planilla_General_03-12-2012_9_3'!B42,"AAAAAH/185I=")</f>
        <v>#VALUE!</v>
      </c>
      <c r="ER3" t="e">
        <f>AND('Planilla_General_03-12-2012_9_3'!C42,"AAAAAH/185M=")</f>
        <v>#VALUE!</v>
      </c>
      <c r="ES3" t="e">
        <f>AND('Planilla_General_03-12-2012_9_3'!D42,"AAAAAH/185Q=")</f>
        <v>#VALUE!</v>
      </c>
      <c r="ET3" t="e">
        <f>AND('Planilla_General_03-12-2012_9_3'!E42,"AAAAAH/185U=")</f>
        <v>#VALUE!</v>
      </c>
      <c r="EU3" t="e">
        <f>AND('Planilla_General_03-12-2012_9_3'!F42,"AAAAAH/185Y=")</f>
        <v>#VALUE!</v>
      </c>
      <c r="EV3" t="e">
        <f>AND('Planilla_General_03-12-2012_9_3'!G42,"AAAAAH/185c=")</f>
        <v>#VALUE!</v>
      </c>
      <c r="EW3" t="e">
        <f>AND('Planilla_General_03-12-2012_9_3'!H42,"AAAAAH/185g=")</f>
        <v>#VALUE!</v>
      </c>
      <c r="EX3" t="e">
        <f>AND('Planilla_General_03-12-2012_9_3'!I42,"AAAAAH/185k=")</f>
        <v>#VALUE!</v>
      </c>
      <c r="EY3" t="e">
        <f>AND('Planilla_General_03-12-2012_9_3'!J42,"AAAAAH/185o=")</f>
        <v>#VALUE!</v>
      </c>
      <c r="EZ3" t="e">
        <f>AND('Planilla_General_03-12-2012_9_3'!K42,"AAAAAH/185s=")</f>
        <v>#VALUE!</v>
      </c>
      <c r="FA3" t="e">
        <f>AND('Planilla_General_03-12-2012_9_3'!L42,"AAAAAH/185w=")</f>
        <v>#VALUE!</v>
      </c>
      <c r="FB3" t="e">
        <f>AND('Planilla_General_03-12-2012_9_3'!M42,"AAAAAH/1850=")</f>
        <v>#VALUE!</v>
      </c>
      <c r="FC3" t="e">
        <f>AND('Planilla_General_03-12-2012_9_3'!N42,"AAAAAH/1854=")</f>
        <v>#VALUE!</v>
      </c>
      <c r="FD3" t="e">
        <f>AND('Planilla_General_03-12-2012_9_3'!O42,"AAAAAH/1858=")</f>
        <v>#VALUE!</v>
      </c>
      <c r="FE3">
        <f>IF('Planilla_General_03-12-2012_9_3'!43:43,"AAAAAH/186A=",0)</f>
        <v>0</v>
      </c>
      <c r="FF3" t="e">
        <f>AND('Planilla_General_03-12-2012_9_3'!A43,"AAAAAH/186E=")</f>
        <v>#VALUE!</v>
      </c>
      <c r="FG3" t="e">
        <f>AND('Planilla_General_03-12-2012_9_3'!B43,"AAAAAH/186I=")</f>
        <v>#VALUE!</v>
      </c>
      <c r="FH3" t="e">
        <f>AND('Planilla_General_03-12-2012_9_3'!C43,"AAAAAH/186M=")</f>
        <v>#VALUE!</v>
      </c>
      <c r="FI3" t="e">
        <f>AND('Planilla_General_03-12-2012_9_3'!D43,"AAAAAH/186Q=")</f>
        <v>#VALUE!</v>
      </c>
      <c r="FJ3" t="e">
        <f>AND('Planilla_General_03-12-2012_9_3'!E43,"AAAAAH/186U=")</f>
        <v>#VALUE!</v>
      </c>
      <c r="FK3" t="e">
        <f>AND('Planilla_General_03-12-2012_9_3'!F43,"AAAAAH/186Y=")</f>
        <v>#VALUE!</v>
      </c>
      <c r="FL3" t="e">
        <f>AND('Planilla_General_03-12-2012_9_3'!G43,"AAAAAH/186c=")</f>
        <v>#VALUE!</v>
      </c>
      <c r="FM3" t="e">
        <f>AND('Planilla_General_03-12-2012_9_3'!H43,"AAAAAH/186g=")</f>
        <v>#VALUE!</v>
      </c>
      <c r="FN3" t="e">
        <f>AND('Planilla_General_03-12-2012_9_3'!I43,"AAAAAH/186k=")</f>
        <v>#VALUE!</v>
      </c>
      <c r="FO3" t="e">
        <f>AND('Planilla_General_03-12-2012_9_3'!J43,"AAAAAH/186o=")</f>
        <v>#VALUE!</v>
      </c>
      <c r="FP3" t="e">
        <f>AND('Planilla_General_03-12-2012_9_3'!K43,"AAAAAH/186s=")</f>
        <v>#VALUE!</v>
      </c>
      <c r="FQ3" t="e">
        <f>AND('Planilla_General_03-12-2012_9_3'!L43,"AAAAAH/186w=")</f>
        <v>#VALUE!</v>
      </c>
      <c r="FR3" t="e">
        <f>AND('Planilla_General_03-12-2012_9_3'!M43,"AAAAAH/1860=")</f>
        <v>#VALUE!</v>
      </c>
      <c r="FS3" t="e">
        <f>AND('Planilla_General_03-12-2012_9_3'!N43,"AAAAAH/1864=")</f>
        <v>#VALUE!</v>
      </c>
      <c r="FT3" t="e">
        <f>AND('Planilla_General_03-12-2012_9_3'!O43,"AAAAAH/1868=")</f>
        <v>#VALUE!</v>
      </c>
      <c r="FU3">
        <f>IF('Planilla_General_03-12-2012_9_3'!44:44,"AAAAAH/187A=",0)</f>
        <v>0</v>
      </c>
      <c r="FV3" t="e">
        <f>AND('Planilla_General_03-12-2012_9_3'!A44,"AAAAAH/187E=")</f>
        <v>#VALUE!</v>
      </c>
      <c r="FW3" t="e">
        <f>AND('Planilla_General_03-12-2012_9_3'!B44,"AAAAAH/187I=")</f>
        <v>#VALUE!</v>
      </c>
      <c r="FX3" t="e">
        <f>AND('Planilla_General_03-12-2012_9_3'!C44,"AAAAAH/187M=")</f>
        <v>#VALUE!</v>
      </c>
      <c r="FY3" t="e">
        <f>AND('Planilla_General_03-12-2012_9_3'!D44,"AAAAAH/187Q=")</f>
        <v>#VALUE!</v>
      </c>
      <c r="FZ3" t="e">
        <f>AND('Planilla_General_03-12-2012_9_3'!E44,"AAAAAH/187U=")</f>
        <v>#VALUE!</v>
      </c>
      <c r="GA3" t="e">
        <f>AND('Planilla_General_03-12-2012_9_3'!F44,"AAAAAH/187Y=")</f>
        <v>#VALUE!</v>
      </c>
      <c r="GB3" t="e">
        <f>AND('Planilla_General_03-12-2012_9_3'!G44,"AAAAAH/187c=")</f>
        <v>#VALUE!</v>
      </c>
      <c r="GC3" t="e">
        <f>AND('Planilla_General_03-12-2012_9_3'!H44,"AAAAAH/187g=")</f>
        <v>#VALUE!</v>
      </c>
      <c r="GD3" t="e">
        <f>AND('Planilla_General_03-12-2012_9_3'!I44,"AAAAAH/187k=")</f>
        <v>#VALUE!</v>
      </c>
      <c r="GE3" t="e">
        <f>AND('Planilla_General_03-12-2012_9_3'!J44,"AAAAAH/187o=")</f>
        <v>#VALUE!</v>
      </c>
      <c r="GF3" t="e">
        <f>AND('Planilla_General_03-12-2012_9_3'!K44,"AAAAAH/187s=")</f>
        <v>#VALUE!</v>
      </c>
      <c r="GG3" t="e">
        <f>AND('Planilla_General_03-12-2012_9_3'!L44,"AAAAAH/187w=")</f>
        <v>#VALUE!</v>
      </c>
      <c r="GH3" t="e">
        <f>AND('Planilla_General_03-12-2012_9_3'!M44,"AAAAAH/1870=")</f>
        <v>#VALUE!</v>
      </c>
      <c r="GI3" t="e">
        <f>AND('Planilla_General_03-12-2012_9_3'!N44,"AAAAAH/1874=")</f>
        <v>#VALUE!</v>
      </c>
      <c r="GJ3" t="e">
        <f>AND('Planilla_General_03-12-2012_9_3'!O44,"AAAAAH/1878=")</f>
        <v>#VALUE!</v>
      </c>
      <c r="GK3">
        <f>IF('Planilla_General_03-12-2012_9_3'!45:45,"AAAAAH/188A=",0)</f>
        <v>0</v>
      </c>
      <c r="GL3" t="e">
        <f>AND('Planilla_General_03-12-2012_9_3'!A45,"AAAAAH/188E=")</f>
        <v>#VALUE!</v>
      </c>
      <c r="GM3" t="e">
        <f>AND('Planilla_General_03-12-2012_9_3'!B45,"AAAAAH/188I=")</f>
        <v>#VALUE!</v>
      </c>
      <c r="GN3" t="e">
        <f>AND('Planilla_General_03-12-2012_9_3'!C45,"AAAAAH/188M=")</f>
        <v>#VALUE!</v>
      </c>
      <c r="GO3" t="e">
        <f>AND('Planilla_General_03-12-2012_9_3'!D45,"AAAAAH/188Q=")</f>
        <v>#VALUE!</v>
      </c>
      <c r="GP3" t="e">
        <f>AND('Planilla_General_03-12-2012_9_3'!E45,"AAAAAH/188U=")</f>
        <v>#VALUE!</v>
      </c>
      <c r="GQ3" t="e">
        <f>AND('Planilla_General_03-12-2012_9_3'!F45,"AAAAAH/188Y=")</f>
        <v>#VALUE!</v>
      </c>
      <c r="GR3" t="e">
        <f>AND('Planilla_General_03-12-2012_9_3'!G45,"AAAAAH/188c=")</f>
        <v>#VALUE!</v>
      </c>
      <c r="GS3" t="e">
        <f>AND('Planilla_General_03-12-2012_9_3'!H45,"AAAAAH/188g=")</f>
        <v>#VALUE!</v>
      </c>
      <c r="GT3" t="e">
        <f>AND('Planilla_General_03-12-2012_9_3'!I45,"AAAAAH/188k=")</f>
        <v>#VALUE!</v>
      </c>
      <c r="GU3" t="e">
        <f>AND('Planilla_General_03-12-2012_9_3'!J45,"AAAAAH/188o=")</f>
        <v>#VALUE!</v>
      </c>
      <c r="GV3" t="e">
        <f>AND('Planilla_General_03-12-2012_9_3'!K45,"AAAAAH/188s=")</f>
        <v>#VALUE!</v>
      </c>
      <c r="GW3" t="e">
        <f>AND('Planilla_General_03-12-2012_9_3'!L45,"AAAAAH/188w=")</f>
        <v>#VALUE!</v>
      </c>
      <c r="GX3" t="e">
        <f>AND('Planilla_General_03-12-2012_9_3'!M45,"AAAAAH/1880=")</f>
        <v>#VALUE!</v>
      </c>
      <c r="GY3" t="e">
        <f>AND('Planilla_General_03-12-2012_9_3'!N45,"AAAAAH/1884=")</f>
        <v>#VALUE!</v>
      </c>
      <c r="GZ3" t="e">
        <f>AND('Planilla_General_03-12-2012_9_3'!O45,"AAAAAH/1888=")</f>
        <v>#VALUE!</v>
      </c>
      <c r="HA3">
        <f>IF('Planilla_General_03-12-2012_9_3'!46:46,"AAAAAH/189A=",0)</f>
        <v>0</v>
      </c>
      <c r="HB3" t="e">
        <f>AND('Planilla_General_03-12-2012_9_3'!A46,"AAAAAH/189E=")</f>
        <v>#VALUE!</v>
      </c>
      <c r="HC3" t="e">
        <f>AND('Planilla_General_03-12-2012_9_3'!B46,"AAAAAH/189I=")</f>
        <v>#VALUE!</v>
      </c>
      <c r="HD3" t="e">
        <f>AND('Planilla_General_03-12-2012_9_3'!C46,"AAAAAH/189M=")</f>
        <v>#VALUE!</v>
      </c>
      <c r="HE3" t="e">
        <f>AND('Planilla_General_03-12-2012_9_3'!D46,"AAAAAH/189Q=")</f>
        <v>#VALUE!</v>
      </c>
      <c r="HF3" t="e">
        <f>AND('Planilla_General_03-12-2012_9_3'!E46,"AAAAAH/189U=")</f>
        <v>#VALUE!</v>
      </c>
      <c r="HG3" t="e">
        <f>AND('Planilla_General_03-12-2012_9_3'!F46,"AAAAAH/189Y=")</f>
        <v>#VALUE!</v>
      </c>
      <c r="HH3" t="e">
        <f>AND('Planilla_General_03-12-2012_9_3'!G46,"AAAAAH/189c=")</f>
        <v>#VALUE!</v>
      </c>
      <c r="HI3" t="e">
        <f>AND('Planilla_General_03-12-2012_9_3'!H46,"AAAAAH/189g=")</f>
        <v>#VALUE!</v>
      </c>
      <c r="HJ3" t="e">
        <f>AND('Planilla_General_03-12-2012_9_3'!I46,"AAAAAH/189k=")</f>
        <v>#VALUE!</v>
      </c>
      <c r="HK3" t="e">
        <f>AND('Planilla_General_03-12-2012_9_3'!J46,"AAAAAH/189o=")</f>
        <v>#VALUE!</v>
      </c>
      <c r="HL3" t="e">
        <f>AND('Planilla_General_03-12-2012_9_3'!K46,"AAAAAH/189s=")</f>
        <v>#VALUE!</v>
      </c>
      <c r="HM3" t="e">
        <f>AND('Planilla_General_03-12-2012_9_3'!L46,"AAAAAH/189w=")</f>
        <v>#VALUE!</v>
      </c>
      <c r="HN3" t="e">
        <f>AND('Planilla_General_03-12-2012_9_3'!M46,"AAAAAH/1890=")</f>
        <v>#VALUE!</v>
      </c>
      <c r="HO3" t="e">
        <f>AND('Planilla_General_03-12-2012_9_3'!N46,"AAAAAH/1894=")</f>
        <v>#VALUE!</v>
      </c>
      <c r="HP3" t="e">
        <f>AND('Planilla_General_03-12-2012_9_3'!O46,"AAAAAH/1898=")</f>
        <v>#VALUE!</v>
      </c>
      <c r="HQ3">
        <f>IF('Planilla_General_03-12-2012_9_3'!47:47,"AAAAAH/18+A=",0)</f>
        <v>0</v>
      </c>
      <c r="HR3" t="e">
        <f>AND('Planilla_General_03-12-2012_9_3'!A47,"AAAAAH/18+E=")</f>
        <v>#VALUE!</v>
      </c>
      <c r="HS3" t="e">
        <f>AND('Planilla_General_03-12-2012_9_3'!B47,"AAAAAH/18+I=")</f>
        <v>#VALUE!</v>
      </c>
      <c r="HT3" t="e">
        <f>AND('Planilla_General_03-12-2012_9_3'!C47,"AAAAAH/18+M=")</f>
        <v>#VALUE!</v>
      </c>
      <c r="HU3" t="e">
        <f>AND('Planilla_General_03-12-2012_9_3'!D47,"AAAAAH/18+Q=")</f>
        <v>#VALUE!</v>
      </c>
      <c r="HV3" t="e">
        <f>AND('Planilla_General_03-12-2012_9_3'!E47,"AAAAAH/18+U=")</f>
        <v>#VALUE!</v>
      </c>
      <c r="HW3" t="e">
        <f>AND('Planilla_General_03-12-2012_9_3'!F47,"AAAAAH/18+Y=")</f>
        <v>#VALUE!</v>
      </c>
      <c r="HX3" t="e">
        <f>AND('Planilla_General_03-12-2012_9_3'!G47,"AAAAAH/18+c=")</f>
        <v>#VALUE!</v>
      </c>
      <c r="HY3" t="e">
        <f>AND('Planilla_General_03-12-2012_9_3'!H47,"AAAAAH/18+g=")</f>
        <v>#VALUE!</v>
      </c>
      <c r="HZ3" t="e">
        <f>AND('Planilla_General_03-12-2012_9_3'!I47,"AAAAAH/18+k=")</f>
        <v>#VALUE!</v>
      </c>
      <c r="IA3" t="e">
        <f>AND('Planilla_General_03-12-2012_9_3'!J47,"AAAAAH/18+o=")</f>
        <v>#VALUE!</v>
      </c>
      <c r="IB3" t="e">
        <f>AND('Planilla_General_03-12-2012_9_3'!K47,"AAAAAH/18+s=")</f>
        <v>#VALUE!</v>
      </c>
      <c r="IC3" t="e">
        <f>AND('Planilla_General_03-12-2012_9_3'!L47,"AAAAAH/18+w=")</f>
        <v>#VALUE!</v>
      </c>
      <c r="ID3" t="e">
        <f>AND('Planilla_General_03-12-2012_9_3'!M47,"AAAAAH/18+0=")</f>
        <v>#VALUE!</v>
      </c>
      <c r="IE3" t="e">
        <f>AND('Planilla_General_03-12-2012_9_3'!N47,"AAAAAH/18+4=")</f>
        <v>#VALUE!</v>
      </c>
      <c r="IF3" t="e">
        <f>AND('Planilla_General_03-12-2012_9_3'!O47,"AAAAAH/18+8=")</f>
        <v>#VALUE!</v>
      </c>
      <c r="IG3">
        <f>IF('Planilla_General_03-12-2012_9_3'!48:48,"AAAAAH/18/A=",0)</f>
        <v>0</v>
      </c>
      <c r="IH3" t="e">
        <f>AND('Planilla_General_03-12-2012_9_3'!A48,"AAAAAH/18/E=")</f>
        <v>#VALUE!</v>
      </c>
      <c r="II3" t="e">
        <f>AND('Planilla_General_03-12-2012_9_3'!B48,"AAAAAH/18/I=")</f>
        <v>#VALUE!</v>
      </c>
      <c r="IJ3" t="e">
        <f>AND('Planilla_General_03-12-2012_9_3'!C48,"AAAAAH/18/M=")</f>
        <v>#VALUE!</v>
      </c>
      <c r="IK3" t="e">
        <f>AND('Planilla_General_03-12-2012_9_3'!D48,"AAAAAH/18/Q=")</f>
        <v>#VALUE!</v>
      </c>
      <c r="IL3" t="e">
        <f>AND('Planilla_General_03-12-2012_9_3'!E48,"AAAAAH/18/U=")</f>
        <v>#VALUE!</v>
      </c>
      <c r="IM3" t="e">
        <f>AND('Planilla_General_03-12-2012_9_3'!F48,"AAAAAH/18/Y=")</f>
        <v>#VALUE!</v>
      </c>
      <c r="IN3" t="e">
        <f>AND('Planilla_General_03-12-2012_9_3'!G48,"AAAAAH/18/c=")</f>
        <v>#VALUE!</v>
      </c>
      <c r="IO3" t="e">
        <f>AND('Planilla_General_03-12-2012_9_3'!H48,"AAAAAH/18/g=")</f>
        <v>#VALUE!</v>
      </c>
      <c r="IP3" t="e">
        <f>AND('Planilla_General_03-12-2012_9_3'!I48,"AAAAAH/18/k=")</f>
        <v>#VALUE!</v>
      </c>
      <c r="IQ3" t="e">
        <f>AND('Planilla_General_03-12-2012_9_3'!J48,"AAAAAH/18/o=")</f>
        <v>#VALUE!</v>
      </c>
      <c r="IR3" t="e">
        <f>AND('Planilla_General_03-12-2012_9_3'!K48,"AAAAAH/18/s=")</f>
        <v>#VALUE!</v>
      </c>
      <c r="IS3" t="e">
        <f>AND('Planilla_General_03-12-2012_9_3'!L48,"AAAAAH/18/w=")</f>
        <v>#VALUE!</v>
      </c>
      <c r="IT3" t="e">
        <f>AND('Planilla_General_03-12-2012_9_3'!M48,"AAAAAH/18/0=")</f>
        <v>#VALUE!</v>
      </c>
      <c r="IU3" t="e">
        <f>AND('Planilla_General_03-12-2012_9_3'!N48,"AAAAAH/18/4=")</f>
        <v>#VALUE!</v>
      </c>
      <c r="IV3" t="e">
        <f>AND('Planilla_General_03-12-2012_9_3'!O48,"AAAAAH/18/8=")</f>
        <v>#VALUE!</v>
      </c>
    </row>
    <row r="4" spans="1:256" x14ac:dyDescent="0.25">
      <c r="A4" t="e">
        <f>IF('Planilla_General_03-12-2012_9_3'!49:49,"AAAAAFv//AA=",0)</f>
        <v>#VALUE!</v>
      </c>
      <c r="B4" t="e">
        <f>AND('Planilla_General_03-12-2012_9_3'!A49,"AAAAAFv//AE=")</f>
        <v>#VALUE!</v>
      </c>
      <c r="C4" t="e">
        <f>AND('Planilla_General_03-12-2012_9_3'!B49,"AAAAAFv//AI=")</f>
        <v>#VALUE!</v>
      </c>
      <c r="D4" t="e">
        <f>AND('Planilla_General_03-12-2012_9_3'!C49,"AAAAAFv//AM=")</f>
        <v>#VALUE!</v>
      </c>
      <c r="E4" t="e">
        <f>AND('Planilla_General_03-12-2012_9_3'!D49,"AAAAAFv//AQ=")</f>
        <v>#VALUE!</v>
      </c>
      <c r="F4" t="e">
        <f>AND('Planilla_General_03-12-2012_9_3'!E49,"AAAAAFv//AU=")</f>
        <v>#VALUE!</v>
      </c>
      <c r="G4" t="e">
        <f>AND('Planilla_General_03-12-2012_9_3'!F49,"AAAAAFv//AY=")</f>
        <v>#VALUE!</v>
      </c>
      <c r="H4" t="e">
        <f>AND('Planilla_General_03-12-2012_9_3'!G49,"AAAAAFv//Ac=")</f>
        <v>#VALUE!</v>
      </c>
      <c r="I4" t="e">
        <f>AND('Planilla_General_03-12-2012_9_3'!H49,"AAAAAFv//Ag=")</f>
        <v>#VALUE!</v>
      </c>
      <c r="J4" t="e">
        <f>AND('Planilla_General_03-12-2012_9_3'!I49,"AAAAAFv//Ak=")</f>
        <v>#VALUE!</v>
      </c>
      <c r="K4" t="e">
        <f>AND('Planilla_General_03-12-2012_9_3'!J49,"AAAAAFv//Ao=")</f>
        <v>#VALUE!</v>
      </c>
      <c r="L4" t="e">
        <f>AND('Planilla_General_03-12-2012_9_3'!K49,"AAAAAFv//As=")</f>
        <v>#VALUE!</v>
      </c>
      <c r="M4" t="e">
        <f>AND('Planilla_General_03-12-2012_9_3'!L49,"AAAAAFv//Aw=")</f>
        <v>#VALUE!</v>
      </c>
      <c r="N4" t="e">
        <f>AND('Planilla_General_03-12-2012_9_3'!M49,"AAAAAFv//A0=")</f>
        <v>#VALUE!</v>
      </c>
      <c r="O4" t="e">
        <f>AND('Planilla_General_03-12-2012_9_3'!N49,"AAAAAFv//A4=")</f>
        <v>#VALUE!</v>
      </c>
      <c r="P4" t="e">
        <f>AND('Planilla_General_03-12-2012_9_3'!O49,"AAAAAFv//A8=")</f>
        <v>#VALUE!</v>
      </c>
      <c r="Q4">
        <f>IF('Planilla_General_03-12-2012_9_3'!50:50,"AAAAAFv//BA=",0)</f>
        <v>0</v>
      </c>
      <c r="R4" t="e">
        <f>AND('Planilla_General_03-12-2012_9_3'!A50,"AAAAAFv//BE=")</f>
        <v>#VALUE!</v>
      </c>
      <c r="S4" t="e">
        <f>AND('Planilla_General_03-12-2012_9_3'!B50,"AAAAAFv//BI=")</f>
        <v>#VALUE!</v>
      </c>
      <c r="T4" t="e">
        <f>AND('Planilla_General_03-12-2012_9_3'!C50,"AAAAAFv//BM=")</f>
        <v>#VALUE!</v>
      </c>
      <c r="U4" t="e">
        <f>AND('Planilla_General_03-12-2012_9_3'!D50,"AAAAAFv//BQ=")</f>
        <v>#VALUE!</v>
      </c>
      <c r="V4" t="e">
        <f>AND('Planilla_General_03-12-2012_9_3'!E50,"AAAAAFv//BU=")</f>
        <v>#VALUE!</v>
      </c>
      <c r="W4" t="e">
        <f>AND('Planilla_General_03-12-2012_9_3'!F50,"AAAAAFv//BY=")</f>
        <v>#VALUE!</v>
      </c>
      <c r="X4" t="e">
        <f>AND('Planilla_General_03-12-2012_9_3'!G50,"AAAAAFv//Bc=")</f>
        <v>#VALUE!</v>
      </c>
      <c r="Y4" t="e">
        <f>AND('Planilla_General_03-12-2012_9_3'!H50,"AAAAAFv//Bg=")</f>
        <v>#VALUE!</v>
      </c>
      <c r="Z4" t="e">
        <f>AND('Planilla_General_03-12-2012_9_3'!I50,"AAAAAFv//Bk=")</f>
        <v>#VALUE!</v>
      </c>
      <c r="AA4" t="e">
        <f>AND('Planilla_General_03-12-2012_9_3'!J50,"AAAAAFv//Bo=")</f>
        <v>#VALUE!</v>
      </c>
      <c r="AB4" t="e">
        <f>AND('Planilla_General_03-12-2012_9_3'!K50,"AAAAAFv//Bs=")</f>
        <v>#VALUE!</v>
      </c>
      <c r="AC4" t="e">
        <f>AND('Planilla_General_03-12-2012_9_3'!L50,"AAAAAFv//Bw=")</f>
        <v>#VALUE!</v>
      </c>
      <c r="AD4" t="e">
        <f>AND('Planilla_General_03-12-2012_9_3'!M50,"AAAAAFv//B0=")</f>
        <v>#VALUE!</v>
      </c>
      <c r="AE4" t="e">
        <f>AND('Planilla_General_03-12-2012_9_3'!N50,"AAAAAFv//B4=")</f>
        <v>#VALUE!</v>
      </c>
      <c r="AF4" t="e">
        <f>AND('Planilla_General_03-12-2012_9_3'!O50,"AAAAAFv//B8=")</f>
        <v>#VALUE!</v>
      </c>
      <c r="AG4">
        <f>IF('Planilla_General_03-12-2012_9_3'!51:51,"AAAAAFv//CA=",0)</f>
        <v>0</v>
      </c>
      <c r="AH4" t="e">
        <f>AND('Planilla_General_03-12-2012_9_3'!A51,"AAAAAFv//CE=")</f>
        <v>#VALUE!</v>
      </c>
      <c r="AI4" t="e">
        <f>AND('Planilla_General_03-12-2012_9_3'!B51,"AAAAAFv//CI=")</f>
        <v>#VALUE!</v>
      </c>
      <c r="AJ4" t="e">
        <f>AND('Planilla_General_03-12-2012_9_3'!C51,"AAAAAFv//CM=")</f>
        <v>#VALUE!</v>
      </c>
      <c r="AK4" t="e">
        <f>AND('Planilla_General_03-12-2012_9_3'!D51,"AAAAAFv//CQ=")</f>
        <v>#VALUE!</v>
      </c>
      <c r="AL4" t="e">
        <f>AND('Planilla_General_03-12-2012_9_3'!E51,"AAAAAFv//CU=")</f>
        <v>#VALUE!</v>
      </c>
      <c r="AM4" t="e">
        <f>AND('Planilla_General_03-12-2012_9_3'!F51,"AAAAAFv//CY=")</f>
        <v>#VALUE!</v>
      </c>
      <c r="AN4" t="e">
        <f>AND('Planilla_General_03-12-2012_9_3'!G51,"AAAAAFv//Cc=")</f>
        <v>#VALUE!</v>
      </c>
      <c r="AO4" t="e">
        <f>AND('Planilla_General_03-12-2012_9_3'!H51,"AAAAAFv//Cg=")</f>
        <v>#VALUE!</v>
      </c>
      <c r="AP4" t="e">
        <f>AND('Planilla_General_03-12-2012_9_3'!I51,"AAAAAFv//Ck=")</f>
        <v>#VALUE!</v>
      </c>
      <c r="AQ4" t="e">
        <f>AND('Planilla_General_03-12-2012_9_3'!J51,"AAAAAFv//Co=")</f>
        <v>#VALUE!</v>
      </c>
      <c r="AR4" t="e">
        <f>AND('Planilla_General_03-12-2012_9_3'!K51,"AAAAAFv//Cs=")</f>
        <v>#VALUE!</v>
      </c>
      <c r="AS4" t="e">
        <f>AND('Planilla_General_03-12-2012_9_3'!L51,"AAAAAFv//Cw=")</f>
        <v>#VALUE!</v>
      </c>
      <c r="AT4" t="e">
        <f>AND('Planilla_General_03-12-2012_9_3'!M51,"AAAAAFv//C0=")</f>
        <v>#VALUE!</v>
      </c>
      <c r="AU4" t="e">
        <f>AND('Planilla_General_03-12-2012_9_3'!N51,"AAAAAFv//C4=")</f>
        <v>#VALUE!</v>
      </c>
      <c r="AV4" t="e">
        <f>AND('Planilla_General_03-12-2012_9_3'!O51,"AAAAAFv//C8=")</f>
        <v>#VALUE!</v>
      </c>
      <c r="AW4">
        <f>IF('Planilla_General_03-12-2012_9_3'!52:52,"AAAAAFv//DA=",0)</f>
        <v>0</v>
      </c>
      <c r="AX4" t="e">
        <f>AND('Planilla_General_03-12-2012_9_3'!A52,"AAAAAFv//DE=")</f>
        <v>#VALUE!</v>
      </c>
      <c r="AY4" t="e">
        <f>AND('Planilla_General_03-12-2012_9_3'!B52,"AAAAAFv//DI=")</f>
        <v>#VALUE!</v>
      </c>
      <c r="AZ4" t="e">
        <f>AND('Planilla_General_03-12-2012_9_3'!C52,"AAAAAFv//DM=")</f>
        <v>#VALUE!</v>
      </c>
      <c r="BA4" t="e">
        <f>AND('Planilla_General_03-12-2012_9_3'!D52,"AAAAAFv//DQ=")</f>
        <v>#VALUE!</v>
      </c>
      <c r="BB4" t="e">
        <f>AND('Planilla_General_03-12-2012_9_3'!E52,"AAAAAFv//DU=")</f>
        <v>#VALUE!</v>
      </c>
      <c r="BC4" t="e">
        <f>AND('Planilla_General_03-12-2012_9_3'!F52,"AAAAAFv//DY=")</f>
        <v>#VALUE!</v>
      </c>
      <c r="BD4" t="e">
        <f>AND('Planilla_General_03-12-2012_9_3'!G52,"AAAAAFv//Dc=")</f>
        <v>#VALUE!</v>
      </c>
      <c r="BE4" t="e">
        <f>AND('Planilla_General_03-12-2012_9_3'!H52,"AAAAAFv//Dg=")</f>
        <v>#VALUE!</v>
      </c>
      <c r="BF4" t="e">
        <f>AND('Planilla_General_03-12-2012_9_3'!I52,"AAAAAFv//Dk=")</f>
        <v>#VALUE!</v>
      </c>
      <c r="BG4" t="e">
        <f>AND('Planilla_General_03-12-2012_9_3'!J52,"AAAAAFv//Do=")</f>
        <v>#VALUE!</v>
      </c>
      <c r="BH4" t="e">
        <f>AND('Planilla_General_03-12-2012_9_3'!K52,"AAAAAFv//Ds=")</f>
        <v>#VALUE!</v>
      </c>
      <c r="BI4" t="e">
        <f>AND('Planilla_General_03-12-2012_9_3'!L52,"AAAAAFv//Dw=")</f>
        <v>#VALUE!</v>
      </c>
      <c r="BJ4" t="e">
        <f>AND('Planilla_General_03-12-2012_9_3'!M52,"AAAAAFv//D0=")</f>
        <v>#VALUE!</v>
      </c>
      <c r="BK4" t="e">
        <f>AND('Planilla_General_03-12-2012_9_3'!N52,"AAAAAFv//D4=")</f>
        <v>#VALUE!</v>
      </c>
      <c r="BL4" t="e">
        <f>AND('Planilla_General_03-12-2012_9_3'!O52,"AAAAAFv//D8=")</f>
        <v>#VALUE!</v>
      </c>
      <c r="BM4">
        <f>IF('Planilla_General_03-12-2012_9_3'!53:53,"AAAAAFv//EA=",0)</f>
        <v>0</v>
      </c>
      <c r="BN4" t="e">
        <f>AND('Planilla_General_03-12-2012_9_3'!A53,"AAAAAFv//EE=")</f>
        <v>#VALUE!</v>
      </c>
      <c r="BO4" t="e">
        <f>AND('Planilla_General_03-12-2012_9_3'!B53,"AAAAAFv//EI=")</f>
        <v>#VALUE!</v>
      </c>
      <c r="BP4" t="e">
        <f>AND('Planilla_General_03-12-2012_9_3'!C53,"AAAAAFv//EM=")</f>
        <v>#VALUE!</v>
      </c>
      <c r="BQ4" t="e">
        <f>AND('Planilla_General_03-12-2012_9_3'!D53,"AAAAAFv//EQ=")</f>
        <v>#VALUE!</v>
      </c>
      <c r="BR4" t="e">
        <f>AND('Planilla_General_03-12-2012_9_3'!E53,"AAAAAFv//EU=")</f>
        <v>#VALUE!</v>
      </c>
      <c r="BS4" t="e">
        <f>AND('Planilla_General_03-12-2012_9_3'!F53,"AAAAAFv//EY=")</f>
        <v>#VALUE!</v>
      </c>
      <c r="BT4" t="e">
        <f>AND('Planilla_General_03-12-2012_9_3'!G53,"AAAAAFv//Ec=")</f>
        <v>#VALUE!</v>
      </c>
      <c r="BU4" t="e">
        <f>AND('Planilla_General_03-12-2012_9_3'!H53,"AAAAAFv//Eg=")</f>
        <v>#VALUE!</v>
      </c>
      <c r="BV4" t="e">
        <f>AND('Planilla_General_03-12-2012_9_3'!I53,"AAAAAFv//Ek=")</f>
        <v>#VALUE!</v>
      </c>
      <c r="BW4" t="e">
        <f>AND('Planilla_General_03-12-2012_9_3'!J53,"AAAAAFv//Eo=")</f>
        <v>#VALUE!</v>
      </c>
      <c r="BX4" t="e">
        <f>AND('Planilla_General_03-12-2012_9_3'!K53,"AAAAAFv//Es=")</f>
        <v>#VALUE!</v>
      </c>
      <c r="BY4" t="e">
        <f>AND('Planilla_General_03-12-2012_9_3'!L53,"AAAAAFv//Ew=")</f>
        <v>#VALUE!</v>
      </c>
      <c r="BZ4" t="e">
        <f>AND('Planilla_General_03-12-2012_9_3'!M53,"AAAAAFv//E0=")</f>
        <v>#VALUE!</v>
      </c>
      <c r="CA4" t="e">
        <f>AND('Planilla_General_03-12-2012_9_3'!N53,"AAAAAFv//E4=")</f>
        <v>#VALUE!</v>
      </c>
      <c r="CB4" t="e">
        <f>AND('Planilla_General_03-12-2012_9_3'!O53,"AAAAAFv//E8=")</f>
        <v>#VALUE!</v>
      </c>
      <c r="CC4">
        <f>IF('Planilla_General_03-12-2012_9_3'!54:54,"AAAAAFv//FA=",0)</f>
        <v>0</v>
      </c>
      <c r="CD4" t="e">
        <f>AND('Planilla_General_03-12-2012_9_3'!A54,"AAAAAFv//FE=")</f>
        <v>#VALUE!</v>
      </c>
      <c r="CE4" t="e">
        <f>AND('Planilla_General_03-12-2012_9_3'!B54,"AAAAAFv//FI=")</f>
        <v>#VALUE!</v>
      </c>
      <c r="CF4" t="e">
        <f>AND('Planilla_General_03-12-2012_9_3'!C54,"AAAAAFv//FM=")</f>
        <v>#VALUE!</v>
      </c>
      <c r="CG4" t="e">
        <f>AND('Planilla_General_03-12-2012_9_3'!D54,"AAAAAFv//FQ=")</f>
        <v>#VALUE!</v>
      </c>
      <c r="CH4" t="e">
        <f>AND('Planilla_General_03-12-2012_9_3'!E54,"AAAAAFv//FU=")</f>
        <v>#VALUE!</v>
      </c>
      <c r="CI4" t="e">
        <f>AND('Planilla_General_03-12-2012_9_3'!F54,"AAAAAFv//FY=")</f>
        <v>#VALUE!</v>
      </c>
      <c r="CJ4" t="e">
        <f>AND('Planilla_General_03-12-2012_9_3'!G54,"AAAAAFv//Fc=")</f>
        <v>#VALUE!</v>
      </c>
      <c r="CK4" t="e">
        <f>AND('Planilla_General_03-12-2012_9_3'!H54,"AAAAAFv//Fg=")</f>
        <v>#VALUE!</v>
      </c>
      <c r="CL4" t="e">
        <f>AND('Planilla_General_03-12-2012_9_3'!I54,"AAAAAFv//Fk=")</f>
        <v>#VALUE!</v>
      </c>
      <c r="CM4" t="e">
        <f>AND('Planilla_General_03-12-2012_9_3'!J54,"AAAAAFv//Fo=")</f>
        <v>#VALUE!</v>
      </c>
      <c r="CN4" t="e">
        <f>AND('Planilla_General_03-12-2012_9_3'!K54,"AAAAAFv//Fs=")</f>
        <v>#VALUE!</v>
      </c>
      <c r="CO4" t="e">
        <f>AND('Planilla_General_03-12-2012_9_3'!L54,"AAAAAFv//Fw=")</f>
        <v>#VALUE!</v>
      </c>
      <c r="CP4" t="e">
        <f>AND('Planilla_General_03-12-2012_9_3'!M54,"AAAAAFv//F0=")</f>
        <v>#VALUE!</v>
      </c>
      <c r="CQ4" t="e">
        <f>AND('Planilla_General_03-12-2012_9_3'!N54,"AAAAAFv//F4=")</f>
        <v>#VALUE!</v>
      </c>
      <c r="CR4" t="e">
        <f>AND('Planilla_General_03-12-2012_9_3'!O54,"AAAAAFv//F8=")</f>
        <v>#VALUE!</v>
      </c>
      <c r="CS4">
        <f>IF('Planilla_General_03-12-2012_9_3'!55:55,"AAAAAFv//GA=",0)</f>
        <v>0</v>
      </c>
      <c r="CT4" t="e">
        <f>AND('Planilla_General_03-12-2012_9_3'!A55,"AAAAAFv//GE=")</f>
        <v>#VALUE!</v>
      </c>
      <c r="CU4" t="e">
        <f>AND('Planilla_General_03-12-2012_9_3'!B55,"AAAAAFv//GI=")</f>
        <v>#VALUE!</v>
      </c>
      <c r="CV4" t="e">
        <f>AND('Planilla_General_03-12-2012_9_3'!C55,"AAAAAFv//GM=")</f>
        <v>#VALUE!</v>
      </c>
      <c r="CW4" t="e">
        <f>AND('Planilla_General_03-12-2012_9_3'!D55,"AAAAAFv//GQ=")</f>
        <v>#VALUE!</v>
      </c>
      <c r="CX4" t="e">
        <f>AND('Planilla_General_03-12-2012_9_3'!E55,"AAAAAFv//GU=")</f>
        <v>#VALUE!</v>
      </c>
      <c r="CY4" t="e">
        <f>AND('Planilla_General_03-12-2012_9_3'!F55,"AAAAAFv//GY=")</f>
        <v>#VALUE!</v>
      </c>
      <c r="CZ4" t="e">
        <f>AND('Planilla_General_03-12-2012_9_3'!G55,"AAAAAFv//Gc=")</f>
        <v>#VALUE!</v>
      </c>
      <c r="DA4" t="e">
        <f>AND('Planilla_General_03-12-2012_9_3'!H55,"AAAAAFv//Gg=")</f>
        <v>#VALUE!</v>
      </c>
      <c r="DB4" t="e">
        <f>AND('Planilla_General_03-12-2012_9_3'!I55,"AAAAAFv//Gk=")</f>
        <v>#VALUE!</v>
      </c>
      <c r="DC4" t="e">
        <f>AND('Planilla_General_03-12-2012_9_3'!J55,"AAAAAFv//Go=")</f>
        <v>#VALUE!</v>
      </c>
      <c r="DD4" t="e">
        <f>AND('Planilla_General_03-12-2012_9_3'!K55,"AAAAAFv//Gs=")</f>
        <v>#VALUE!</v>
      </c>
      <c r="DE4" t="e">
        <f>AND('Planilla_General_03-12-2012_9_3'!L55,"AAAAAFv//Gw=")</f>
        <v>#VALUE!</v>
      </c>
      <c r="DF4" t="e">
        <f>AND('Planilla_General_03-12-2012_9_3'!M55,"AAAAAFv//G0=")</f>
        <v>#VALUE!</v>
      </c>
      <c r="DG4" t="e">
        <f>AND('Planilla_General_03-12-2012_9_3'!N55,"AAAAAFv//G4=")</f>
        <v>#VALUE!</v>
      </c>
      <c r="DH4" t="e">
        <f>AND('Planilla_General_03-12-2012_9_3'!O55,"AAAAAFv//G8=")</f>
        <v>#VALUE!</v>
      </c>
      <c r="DI4">
        <f>IF('Planilla_General_03-12-2012_9_3'!56:56,"AAAAAFv//HA=",0)</f>
        <v>0</v>
      </c>
      <c r="DJ4" t="e">
        <f>AND('Planilla_General_03-12-2012_9_3'!A56,"AAAAAFv//HE=")</f>
        <v>#VALUE!</v>
      </c>
      <c r="DK4" t="e">
        <f>AND('Planilla_General_03-12-2012_9_3'!B56,"AAAAAFv//HI=")</f>
        <v>#VALUE!</v>
      </c>
      <c r="DL4" t="e">
        <f>AND('Planilla_General_03-12-2012_9_3'!C56,"AAAAAFv//HM=")</f>
        <v>#VALUE!</v>
      </c>
      <c r="DM4" t="e">
        <f>AND('Planilla_General_03-12-2012_9_3'!D56,"AAAAAFv//HQ=")</f>
        <v>#VALUE!</v>
      </c>
      <c r="DN4" t="e">
        <f>AND('Planilla_General_03-12-2012_9_3'!E56,"AAAAAFv//HU=")</f>
        <v>#VALUE!</v>
      </c>
      <c r="DO4" t="e">
        <f>AND('Planilla_General_03-12-2012_9_3'!F56,"AAAAAFv//HY=")</f>
        <v>#VALUE!</v>
      </c>
      <c r="DP4" t="e">
        <f>AND('Planilla_General_03-12-2012_9_3'!G56,"AAAAAFv//Hc=")</f>
        <v>#VALUE!</v>
      </c>
      <c r="DQ4" t="e">
        <f>AND('Planilla_General_03-12-2012_9_3'!H56,"AAAAAFv//Hg=")</f>
        <v>#VALUE!</v>
      </c>
      <c r="DR4" t="e">
        <f>AND('Planilla_General_03-12-2012_9_3'!I56,"AAAAAFv//Hk=")</f>
        <v>#VALUE!</v>
      </c>
      <c r="DS4" t="e">
        <f>AND('Planilla_General_03-12-2012_9_3'!J56,"AAAAAFv//Ho=")</f>
        <v>#VALUE!</v>
      </c>
      <c r="DT4" t="e">
        <f>AND('Planilla_General_03-12-2012_9_3'!K56,"AAAAAFv//Hs=")</f>
        <v>#VALUE!</v>
      </c>
      <c r="DU4" t="e">
        <f>AND('Planilla_General_03-12-2012_9_3'!L56,"AAAAAFv//Hw=")</f>
        <v>#VALUE!</v>
      </c>
      <c r="DV4" t="e">
        <f>AND('Planilla_General_03-12-2012_9_3'!M56,"AAAAAFv//H0=")</f>
        <v>#VALUE!</v>
      </c>
      <c r="DW4" t="e">
        <f>AND('Planilla_General_03-12-2012_9_3'!N56,"AAAAAFv//H4=")</f>
        <v>#VALUE!</v>
      </c>
      <c r="DX4" t="e">
        <f>AND('Planilla_General_03-12-2012_9_3'!O56,"AAAAAFv//H8=")</f>
        <v>#VALUE!</v>
      </c>
      <c r="DY4">
        <f>IF('Planilla_General_03-12-2012_9_3'!57:57,"AAAAAFv//IA=",0)</f>
        <v>0</v>
      </c>
      <c r="DZ4" t="e">
        <f>AND('Planilla_General_03-12-2012_9_3'!A57,"AAAAAFv//IE=")</f>
        <v>#VALUE!</v>
      </c>
      <c r="EA4" t="e">
        <f>AND('Planilla_General_03-12-2012_9_3'!B57,"AAAAAFv//II=")</f>
        <v>#VALUE!</v>
      </c>
      <c r="EB4" t="e">
        <f>AND('Planilla_General_03-12-2012_9_3'!C57,"AAAAAFv//IM=")</f>
        <v>#VALUE!</v>
      </c>
      <c r="EC4" t="e">
        <f>AND('Planilla_General_03-12-2012_9_3'!D57,"AAAAAFv//IQ=")</f>
        <v>#VALUE!</v>
      </c>
      <c r="ED4" t="e">
        <f>AND('Planilla_General_03-12-2012_9_3'!E57,"AAAAAFv//IU=")</f>
        <v>#VALUE!</v>
      </c>
      <c r="EE4" t="e">
        <f>AND('Planilla_General_03-12-2012_9_3'!F57,"AAAAAFv//IY=")</f>
        <v>#VALUE!</v>
      </c>
      <c r="EF4" t="e">
        <f>AND('Planilla_General_03-12-2012_9_3'!G57,"AAAAAFv//Ic=")</f>
        <v>#VALUE!</v>
      </c>
      <c r="EG4" t="e">
        <f>AND('Planilla_General_03-12-2012_9_3'!H57,"AAAAAFv//Ig=")</f>
        <v>#VALUE!</v>
      </c>
      <c r="EH4" t="e">
        <f>AND('Planilla_General_03-12-2012_9_3'!I57,"AAAAAFv//Ik=")</f>
        <v>#VALUE!</v>
      </c>
      <c r="EI4" t="e">
        <f>AND('Planilla_General_03-12-2012_9_3'!J57,"AAAAAFv//Io=")</f>
        <v>#VALUE!</v>
      </c>
      <c r="EJ4" t="e">
        <f>AND('Planilla_General_03-12-2012_9_3'!K57,"AAAAAFv//Is=")</f>
        <v>#VALUE!</v>
      </c>
      <c r="EK4" t="e">
        <f>AND('Planilla_General_03-12-2012_9_3'!L57,"AAAAAFv//Iw=")</f>
        <v>#VALUE!</v>
      </c>
      <c r="EL4" t="e">
        <f>AND('Planilla_General_03-12-2012_9_3'!M57,"AAAAAFv//I0=")</f>
        <v>#VALUE!</v>
      </c>
      <c r="EM4" t="e">
        <f>AND('Planilla_General_03-12-2012_9_3'!N57,"AAAAAFv//I4=")</f>
        <v>#VALUE!</v>
      </c>
      <c r="EN4" t="e">
        <f>AND('Planilla_General_03-12-2012_9_3'!O57,"AAAAAFv//I8=")</f>
        <v>#VALUE!</v>
      </c>
      <c r="EO4">
        <f>IF('Planilla_General_03-12-2012_9_3'!58:58,"AAAAAFv//JA=",0)</f>
        <v>0</v>
      </c>
      <c r="EP4" t="e">
        <f>AND('Planilla_General_03-12-2012_9_3'!A58,"AAAAAFv//JE=")</f>
        <v>#VALUE!</v>
      </c>
      <c r="EQ4" t="e">
        <f>AND('Planilla_General_03-12-2012_9_3'!B58,"AAAAAFv//JI=")</f>
        <v>#VALUE!</v>
      </c>
      <c r="ER4" t="e">
        <f>AND('Planilla_General_03-12-2012_9_3'!C58,"AAAAAFv//JM=")</f>
        <v>#VALUE!</v>
      </c>
      <c r="ES4" t="e">
        <f>AND('Planilla_General_03-12-2012_9_3'!D58,"AAAAAFv//JQ=")</f>
        <v>#VALUE!</v>
      </c>
      <c r="ET4" t="e">
        <f>AND('Planilla_General_03-12-2012_9_3'!E58,"AAAAAFv//JU=")</f>
        <v>#VALUE!</v>
      </c>
      <c r="EU4" t="e">
        <f>AND('Planilla_General_03-12-2012_9_3'!F58,"AAAAAFv//JY=")</f>
        <v>#VALUE!</v>
      </c>
      <c r="EV4" t="e">
        <f>AND('Planilla_General_03-12-2012_9_3'!G58,"AAAAAFv//Jc=")</f>
        <v>#VALUE!</v>
      </c>
      <c r="EW4" t="e">
        <f>AND('Planilla_General_03-12-2012_9_3'!H58,"AAAAAFv//Jg=")</f>
        <v>#VALUE!</v>
      </c>
      <c r="EX4" t="e">
        <f>AND('Planilla_General_03-12-2012_9_3'!I58,"AAAAAFv//Jk=")</f>
        <v>#VALUE!</v>
      </c>
      <c r="EY4" t="e">
        <f>AND('Planilla_General_03-12-2012_9_3'!J58,"AAAAAFv//Jo=")</f>
        <v>#VALUE!</v>
      </c>
      <c r="EZ4" t="e">
        <f>AND('Planilla_General_03-12-2012_9_3'!K58,"AAAAAFv//Js=")</f>
        <v>#VALUE!</v>
      </c>
      <c r="FA4" t="e">
        <f>AND('Planilla_General_03-12-2012_9_3'!L58,"AAAAAFv//Jw=")</f>
        <v>#VALUE!</v>
      </c>
      <c r="FB4" t="e">
        <f>AND('Planilla_General_03-12-2012_9_3'!M58,"AAAAAFv//J0=")</f>
        <v>#VALUE!</v>
      </c>
      <c r="FC4" t="e">
        <f>AND('Planilla_General_03-12-2012_9_3'!N58,"AAAAAFv//J4=")</f>
        <v>#VALUE!</v>
      </c>
      <c r="FD4" t="e">
        <f>AND('Planilla_General_03-12-2012_9_3'!O58,"AAAAAFv//J8=")</f>
        <v>#VALUE!</v>
      </c>
      <c r="FE4">
        <f>IF('Planilla_General_03-12-2012_9_3'!59:59,"AAAAAFv//KA=",0)</f>
        <v>0</v>
      </c>
      <c r="FF4" t="e">
        <f>AND('Planilla_General_03-12-2012_9_3'!A59,"AAAAAFv//KE=")</f>
        <v>#VALUE!</v>
      </c>
      <c r="FG4" t="e">
        <f>AND('Planilla_General_03-12-2012_9_3'!B59,"AAAAAFv//KI=")</f>
        <v>#VALUE!</v>
      </c>
      <c r="FH4" t="e">
        <f>AND('Planilla_General_03-12-2012_9_3'!C59,"AAAAAFv//KM=")</f>
        <v>#VALUE!</v>
      </c>
      <c r="FI4" t="e">
        <f>AND('Planilla_General_03-12-2012_9_3'!D59,"AAAAAFv//KQ=")</f>
        <v>#VALUE!</v>
      </c>
      <c r="FJ4" t="e">
        <f>AND('Planilla_General_03-12-2012_9_3'!E59,"AAAAAFv//KU=")</f>
        <v>#VALUE!</v>
      </c>
      <c r="FK4" t="e">
        <f>AND('Planilla_General_03-12-2012_9_3'!F59,"AAAAAFv//KY=")</f>
        <v>#VALUE!</v>
      </c>
      <c r="FL4" t="e">
        <f>AND('Planilla_General_03-12-2012_9_3'!G59,"AAAAAFv//Kc=")</f>
        <v>#VALUE!</v>
      </c>
      <c r="FM4" t="e">
        <f>AND('Planilla_General_03-12-2012_9_3'!H59,"AAAAAFv//Kg=")</f>
        <v>#VALUE!</v>
      </c>
      <c r="FN4" t="e">
        <f>AND('Planilla_General_03-12-2012_9_3'!I59,"AAAAAFv//Kk=")</f>
        <v>#VALUE!</v>
      </c>
      <c r="FO4" t="e">
        <f>AND('Planilla_General_03-12-2012_9_3'!J59,"AAAAAFv//Ko=")</f>
        <v>#VALUE!</v>
      </c>
      <c r="FP4" t="e">
        <f>AND('Planilla_General_03-12-2012_9_3'!K59,"AAAAAFv//Ks=")</f>
        <v>#VALUE!</v>
      </c>
      <c r="FQ4" t="e">
        <f>AND('Planilla_General_03-12-2012_9_3'!L59,"AAAAAFv//Kw=")</f>
        <v>#VALUE!</v>
      </c>
      <c r="FR4" t="e">
        <f>AND('Planilla_General_03-12-2012_9_3'!M59,"AAAAAFv//K0=")</f>
        <v>#VALUE!</v>
      </c>
      <c r="FS4" t="e">
        <f>AND('Planilla_General_03-12-2012_9_3'!N59,"AAAAAFv//K4=")</f>
        <v>#VALUE!</v>
      </c>
      <c r="FT4" t="e">
        <f>AND('Planilla_General_03-12-2012_9_3'!O59,"AAAAAFv//K8=")</f>
        <v>#VALUE!</v>
      </c>
      <c r="FU4">
        <f>IF('Planilla_General_03-12-2012_9_3'!60:60,"AAAAAFv//LA=",0)</f>
        <v>0</v>
      </c>
      <c r="FV4" t="e">
        <f>AND('Planilla_General_03-12-2012_9_3'!A60,"AAAAAFv//LE=")</f>
        <v>#VALUE!</v>
      </c>
      <c r="FW4" t="e">
        <f>AND('Planilla_General_03-12-2012_9_3'!B60,"AAAAAFv//LI=")</f>
        <v>#VALUE!</v>
      </c>
      <c r="FX4" t="e">
        <f>AND('Planilla_General_03-12-2012_9_3'!C60,"AAAAAFv//LM=")</f>
        <v>#VALUE!</v>
      </c>
      <c r="FY4" t="e">
        <f>AND('Planilla_General_03-12-2012_9_3'!D60,"AAAAAFv//LQ=")</f>
        <v>#VALUE!</v>
      </c>
      <c r="FZ4" t="e">
        <f>AND('Planilla_General_03-12-2012_9_3'!E60,"AAAAAFv//LU=")</f>
        <v>#VALUE!</v>
      </c>
      <c r="GA4" t="e">
        <f>AND('Planilla_General_03-12-2012_9_3'!F60,"AAAAAFv//LY=")</f>
        <v>#VALUE!</v>
      </c>
      <c r="GB4" t="e">
        <f>AND('Planilla_General_03-12-2012_9_3'!G60,"AAAAAFv//Lc=")</f>
        <v>#VALUE!</v>
      </c>
      <c r="GC4" t="e">
        <f>AND('Planilla_General_03-12-2012_9_3'!H60,"AAAAAFv//Lg=")</f>
        <v>#VALUE!</v>
      </c>
      <c r="GD4" t="e">
        <f>AND('Planilla_General_03-12-2012_9_3'!I60,"AAAAAFv//Lk=")</f>
        <v>#VALUE!</v>
      </c>
      <c r="GE4" t="e">
        <f>AND('Planilla_General_03-12-2012_9_3'!J60,"AAAAAFv//Lo=")</f>
        <v>#VALUE!</v>
      </c>
      <c r="GF4" t="e">
        <f>AND('Planilla_General_03-12-2012_9_3'!K60,"AAAAAFv//Ls=")</f>
        <v>#VALUE!</v>
      </c>
      <c r="GG4" t="e">
        <f>AND('Planilla_General_03-12-2012_9_3'!L60,"AAAAAFv//Lw=")</f>
        <v>#VALUE!</v>
      </c>
      <c r="GH4" t="e">
        <f>AND('Planilla_General_03-12-2012_9_3'!M60,"AAAAAFv//L0=")</f>
        <v>#VALUE!</v>
      </c>
      <c r="GI4" t="e">
        <f>AND('Planilla_General_03-12-2012_9_3'!N60,"AAAAAFv//L4=")</f>
        <v>#VALUE!</v>
      </c>
      <c r="GJ4" t="e">
        <f>AND('Planilla_General_03-12-2012_9_3'!O60,"AAAAAFv//L8=")</f>
        <v>#VALUE!</v>
      </c>
      <c r="GK4">
        <f>IF('Planilla_General_03-12-2012_9_3'!61:61,"AAAAAFv//MA=",0)</f>
        <v>0</v>
      </c>
      <c r="GL4" t="e">
        <f>AND('Planilla_General_03-12-2012_9_3'!A61,"AAAAAFv//ME=")</f>
        <v>#VALUE!</v>
      </c>
      <c r="GM4" t="e">
        <f>AND('Planilla_General_03-12-2012_9_3'!B61,"AAAAAFv//MI=")</f>
        <v>#VALUE!</v>
      </c>
      <c r="GN4" t="e">
        <f>AND('Planilla_General_03-12-2012_9_3'!C61,"AAAAAFv//MM=")</f>
        <v>#VALUE!</v>
      </c>
      <c r="GO4" t="e">
        <f>AND('Planilla_General_03-12-2012_9_3'!D61,"AAAAAFv//MQ=")</f>
        <v>#VALUE!</v>
      </c>
      <c r="GP4" t="e">
        <f>AND('Planilla_General_03-12-2012_9_3'!E61,"AAAAAFv//MU=")</f>
        <v>#VALUE!</v>
      </c>
      <c r="GQ4" t="e">
        <f>AND('Planilla_General_03-12-2012_9_3'!F61,"AAAAAFv//MY=")</f>
        <v>#VALUE!</v>
      </c>
      <c r="GR4" t="e">
        <f>AND('Planilla_General_03-12-2012_9_3'!G61,"AAAAAFv//Mc=")</f>
        <v>#VALUE!</v>
      </c>
      <c r="GS4" t="e">
        <f>AND('Planilla_General_03-12-2012_9_3'!H61,"AAAAAFv//Mg=")</f>
        <v>#VALUE!</v>
      </c>
      <c r="GT4" t="e">
        <f>AND('Planilla_General_03-12-2012_9_3'!I61,"AAAAAFv//Mk=")</f>
        <v>#VALUE!</v>
      </c>
      <c r="GU4" t="e">
        <f>AND('Planilla_General_03-12-2012_9_3'!J61,"AAAAAFv//Mo=")</f>
        <v>#VALUE!</v>
      </c>
      <c r="GV4" t="e">
        <f>AND('Planilla_General_03-12-2012_9_3'!K61,"AAAAAFv//Ms=")</f>
        <v>#VALUE!</v>
      </c>
      <c r="GW4" t="e">
        <f>AND('Planilla_General_03-12-2012_9_3'!L61,"AAAAAFv//Mw=")</f>
        <v>#VALUE!</v>
      </c>
      <c r="GX4" t="e">
        <f>AND('Planilla_General_03-12-2012_9_3'!M61,"AAAAAFv//M0=")</f>
        <v>#VALUE!</v>
      </c>
      <c r="GY4" t="e">
        <f>AND('Planilla_General_03-12-2012_9_3'!N61,"AAAAAFv//M4=")</f>
        <v>#VALUE!</v>
      </c>
      <c r="GZ4" t="e">
        <f>AND('Planilla_General_03-12-2012_9_3'!O61,"AAAAAFv//M8=")</f>
        <v>#VALUE!</v>
      </c>
      <c r="HA4">
        <f>IF('Planilla_General_03-12-2012_9_3'!62:62,"AAAAAFv//NA=",0)</f>
        <v>0</v>
      </c>
      <c r="HB4" t="e">
        <f>AND('Planilla_General_03-12-2012_9_3'!A62,"AAAAAFv//NE=")</f>
        <v>#VALUE!</v>
      </c>
      <c r="HC4" t="e">
        <f>AND('Planilla_General_03-12-2012_9_3'!B62,"AAAAAFv//NI=")</f>
        <v>#VALUE!</v>
      </c>
      <c r="HD4" t="e">
        <f>AND('Planilla_General_03-12-2012_9_3'!C62,"AAAAAFv//NM=")</f>
        <v>#VALUE!</v>
      </c>
      <c r="HE4" t="e">
        <f>AND('Planilla_General_03-12-2012_9_3'!D62,"AAAAAFv//NQ=")</f>
        <v>#VALUE!</v>
      </c>
      <c r="HF4" t="e">
        <f>AND('Planilla_General_03-12-2012_9_3'!E62,"AAAAAFv//NU=")</f>
        <v>#VALUE!</v>
      </c>
      <c r="HG4" t="e">
        <f>AND('Planilla_General_03-12-2012_9_3'!F62,"AAAAAFv//NY=")</f>
        <v>#VALUE!</v>
      </c>
      <c r="HH4" t="e">
        <f>AND('Planilla_General_03-12-2012_9_3'!G62,"AAAAAFv//Nc=")</f>
        <v>#VALUE!</v>
      </c>
      <c r="HI4" t="e">
        <f>AND('Planilla_General_03-12-2012_9_3'!H62,"AAAAAFv//Ng=")</f>
        <v>#VALUE!</v>
      </c>
      <c r="HJ4" t="e">
        <f>AND('Planilla_General_03-12-2012_9_3'!I62,"AAAAAFv//Nk=")</f>
        <v>#VALUE!</v>
      </c>
      <c r="HK4" t="e">
        <f>AND('Planilla_General_03-12-2012_9_3'!J62,"AAAAAFv//No=")</f>
        <v>#VALUE!</v>
      </c>
      <c r="HL4" t="e">
        <f>AND('Planilla_General_03-12-2012_9_3'!K62,"AAAAAFv//Ns=")</f>
        <v>#VALUE!</v>
      </c>
      <c r="HM4" t="e">
        <f>AND('Planilla_General_03-12-2012_9_3'!L62,"AAAAAFv//Nw=")</f>
        <v>#VALUE!</v>
      </c>
      <c r="HN4" t="e">
        <f>AND('Planilla_General_03-12-2012_9_3'!M62,"AAAAAFv//N0=")</f>
        <v>#VALUE!</v>
      </c>
      <c r="HO4" t="e">
        <f>AND('Planilla_General_03-12-2012_9_3'!N62,"AAAAAFv//N4=")</f>
        <v>#VALUE!</v>
      </c>
      <c r="HP4" t="e">
        <f>AND('Planilla_General_03-12-2012_9_3'!O62,"AAAAAFv//N8=")</f>
        <v>#VALUE!</v>
      </c>
      <c r="HQ4">
        <f>IF('Planilla_General_03-12-2012_9_3'!63:63,"AAAAAFv//OA=",0)</f>
        <v>0</v>
      </c>
      <c r="HR4" t="e">
        <f>AND('Planilla_General_03-12-2012_9_3'!A63,"AAAAAFv//OE=")</f>
        <v>#VALUE!</v>
      </c>
      <c r="HS4" t="e">
        <f>AND('Planilla_General_03-12-2012_9_3'!B63,"AAAAAFv//OI=")</f>
        <v>#VALUE!</v>
      </c>
      <c r="HT4" t="e">
        <f>AND('Planilla_General_03-12-2012_9_3'!C63,"AAAAAFv//OM=")</f>
        <v>#VALUE!</v>
      </c>
      <c r="HU4" t="e">
        <f>AND('Planilla_General_03-12-2012_9_3'!D63,"AAAAAFv//OQ=")</f>
        <v>#VALUE!</v>
      </c>
      <c r="HV4" t="e">
        <f>AND('Planilla_General_03-12-2012_9_3'!E63,"AAAAAFv//OU=")</f>
        <v>#VALUE!</v>
      </c>
      <c r="HW4" t="e">
        <f>AND('Planilla_General_03-12-2012_9_3'!F63,"AAAAAFv//OY=")</f>
        <v>#VALUE!</v>
      </c>
      <c r="HX4" t="e">
        <f>AND('Planilla_General_03-12-2012_9_3'!G63,"AAAAAFv//Oc=")</f>
        <v>#VALUE!</v>
      </c>
      <c r="HY4" t="e">
        <f>AND('Planilla_General_03-12-2012_9_3'!H63,"AAAAAFv//Og=")</f>
        <v>#VALUE!</v>
      </c>
      <c r="HZ4" t="e">
        <f>AND('Planilla_General_03-12-2012_9_3'!I63,"AAAAAFv//Ok=")</f>
        <v>#VALUE!</v>
      </c>
      <c r="IA4" t="e">
        <f>AND('Planilla_General_03-12-2012_9_3'!J63,"AAAAAFv//Oo=")</f>
        <v>#VALUE!</v>
      </c>
      <c r="IB4" t="e">
        <f>AND('Planilla_General_03-12-2012_9_3'!K63,"AAAAAFv//Os=")</f>
        <v>#VALUE!</v>
      </c>
      <c r="IC4" t="e">
        <f>AND('Planilla_General_03-12-2012_9_3'!L63,"AAAAAFv//Ow=")</f>
        <v>#VALUE!</v>
      </c>
      <c r="ID4" t="e">
        <f>AND('Planilla_General_03-12-2012_9_3'!M63,"AAAAAFv//O0=")</f>
        <v>#VALUE!</v>
      </c>
      <c r="IE4" t="e">
        <f>AND('Planilla_General_03-12-2012_9_3'!N63,"AAAAAFv//O4=")</f>
        <v>#VALUE!</v>
      </c>
      <c r="IF4" t="e">
        <f>AND('Planilla_General_03-12-2012_9_3'!O63,"AAAAAFv//O8=")</f>
        <v>#VALUE!</v>
      </c>
      <c r="IG4">
        <f>IF('Planilla_General_03-12-2012_9_3'!64:64,"AAAAAFv//PA=",0)</f>
        <v>0</v>
      </c>
      <c r="IH4" t="e">
        <f>AND('Planilla_General_03-12-2012_9_3'!A64,"AAAAAFv//PE=")</f>
        <v>#VALUE!</v>
      </c>
      <c r="II4" t="e">
        <f>AND('Planilla_General_03-12-2012_9_3'!B64,"AAAAAFv//PI=")</f>
        <v>#VALUE!</v>
      </c>
      <c r="IJ4" t="e">
        <f>AND('Planilla_General_03-12-2012_9_3'!C64,"AAAAAFv//PM=")</f>
        <v>#VALUE!</v>
      </c>
      <c r="IK4" t="e">
        <f>AND('Planilla_General_03-12-2012_9_3'!D64,"AAAAAFv//PQ=")</f>
        <v>#VALUE!</v>
      </c>
      <c r="IL4" t="e">
        <f>AND('Planilla_General_03-12-2012_9_3'!E64,"AAAAAFv//PU=")</f>
        <v>#VALUE!</v>
      </c>
      <c r="IM4" t="e">
        <f>AND('Planilla_General_03-12-2012_9_3'!F64,"AAAAAFv//PY=")</f>
        <v>#VALUE!</v>
      </c>
      <c r="IN4" t="e">
        <f>AND('Planilla_General_03-12-2012_9_3'!G64,"AAAAAFv//Pc=")</f>
        <v>#VALUE!</v>
      </c>
      <c r="IO4" t="e">
        <f>AND('Planilla_General_03-12-2012_9_3'!H64,"AAAAAFv//Pg=")</f>
        <v>#VALUE!</v>
      </c>
      <c r="IP4" t="e">
        <f>AND('Planilla_General_03-12-2012_9_3'!I64,"AAAAAFv//Pk=")</f>
        <v>#VALUE!</v>
      </c>
      <c r="IQ4" t="e">
        <f>AND('Planilla_General_03-12-2012_9_3'!J64,"AAAAAFv//Po=")</f>
        <v>#VALUE!</v>
      </c>
      <c r="IR4" t="e">
        <f>AND('Planilla_General_03-12-2012_9_3'!K64,"AAAAAFv//Ps=")</f>
        <v>#VALUE!</v>
      </c>
      <c r="IS4" t="e">
        <f>AND('Planilla_General_03-12-2012_9_3'!L64,"AAAAAFv//Pw=")</f>
        <v>#VALUE!</v>
      </c>
      <c r="IT4" t="e">
        <f>AND('Planilla_General_03-12-2012_9_3'!M64,"AAAAAFv//P0=")</f>
        <v>#VALUE!</v>
      </c>
      <c r="IU4" t="e">
        <f>AND('Planilla_General_03-12-2012_9_3'!N64,"AAAAAFv//P4=")</f>
        <v>#VALUE!</v>
      </c>
      <c r="IV4" t="e">
        <f>AND('Planilla_General_03-12-2012_9_3'!O64,"AAAAAFv//P8=")</f>
        <v>#VALUE!</v>
      </c>
    </row>
    <row r="5" spans="1:256" x14ac:dyDescent="0.25">
      <c r="A5" t="e">
        <f>IF('Planilla_General_03-12-2012_9_3'!65:65,"AAAAAH/X/AA=",0)</f>
        <v>#VALUE!</v>
      </c>
      <c r="B5" t="e">
        <f>AND('Planilla_General_03-12-2012_9_3'!A65,"AAAAAH/X/AE=")</f>
        <v>#VALUE!</v>
      </c>
      <c r="C5" t="e">
        <f>AND('Planilla_General_03-12-2012_9_3'!B65,"AAAAAH/X/AI=")</f>
        <v>#VALUE!</v>
      </c>
      <c r="D5" t="e">
        <f>AND('Planilla_General_03-12-2012_9_3'!C65,"AAAAAH/X/AM=")</f>
        <v>#VALUE!</v>
      </c>
      <c r="E5" t="e">
        <f>AND('Planilla_General_03-12-2012_9_3'!D65,"AAAAAH/X/AQ=")</f>
        <v>#VALUE!</v>
      </c>
      <c r="F5" t="e">
        <f>AND('Planilla_General_03-12-2012_9_3'!E65,"AAAAAH/X/AU=")</f>
        <v>#VALUE!</v>
      </c>
      <c r="G5" t="e">
        <f>AND('Planilla_General_03-12-2012_9_3'!F65,"AAAAAH/X/AY=")</f>
        <v>#VALUE!</v>
      </c>
      <c r="H5" t="e">
        <f>AND('Planilla_General_03-12-2012_9_3'!G65,"AAAAAH/X/Ac=")</f>
        <v>#VALUE!</v>
      </c>
      <c r="I5" t="e">
        <f>AND('Planilla_General_03-12-2012_9_3'!H65,"AAAAAH/X/Ag=")</f>
        <v>#VALUE!</v>
      </c>
      <c r="J5" t="e">
        <f>AND('Planilla_General_03-12-2012_9_3'!I65,"AAAAAH/X/Ak=")</f>
        <v>#VALUE!</v>
      </c>
      <c r="K5" t="e">
        <f>AND('Planilla_General_03-12-2012_9_3'!J65,"AAAAAH/X/Ao=")</f>
        <v>#VALUE!</v>
      </c>
      <c r="L5" t="e">
        <f>AND('Planilla_General_03-12-2012_9_3'!K65,"AAAAAH/X/As=")</f>
        <v>#VALUE!</v>
      </c>
      <c r="M5" t="e">
        <f>AND('Planilla_General_03-12-2012_9_3'!L65,"AAAAAH/X/Aw=")</f>
        <v>#VALUE!</v>
      </c>
      <c r="N5" t="e">
        <f>AND('Planilla_General_03-12-2012_9_3'!M65,"AAAAAH/X/A0=")</f>
        <v>#VALUE!</v>
      </c>
      <c r="O5" t="e">
        <f>AND('Planilla_General_03-12-2012_9_3'!N65,"AAAAAH/X/A4=")</f>
        <v>#VALUE!</v>
      </c>
      <c r="P5" t="e">
        <f>AND('Planilla_General_03-12-2012_9_3'!O65,"AAAAAH/X/A8=")</f>
        <v>#VALUE!</v>
      </c>
      <c r="Q5">
        <f>IF('Planilla_General_03-12-2012_9_3'!66:66,"AAAAAH/X/BA=",0)</f>
        <v>0</v>
      </c>
      <c r="R5" t="e">
        <f>AND('Planilla_General_03-12-2012_9_3'!A66,"AAAAAH/X/BE=")</f>
        <v>#VALUE!</v>
      </c>
      <c r="S5" t="e">
        <f>AND('Planilla_General_03-12-2012_9_3'!B66,"AAAAAH/X/BI=")</f>
        <v>#VALUE!</v>
      </c>
      <c r="T5" t="e">
        <f>AND('Planilla_General_03-12-2012_9_3'!C66,"AAAAAH/X/BM=")</f>
        <v>#VALUE!</v>
      </c>
      <c r="U5" t="e">
        <f>AND('Planilla_General_03-12-2012_9_3'!D66,"AAAAAH/X/BQ=")</f>
        <v>#VALUE!</v>
      </c>
      <c r="V5" t="e">
        <f>AND('Planilla_General_03-12-2012_9_3'!E66,"AAAAAH/X/BU=")</f>
        <v>#VALUE!</v>
      </c>
      <c r="W5" t="e">
        <f>AND('Planilla_General_03-12-2012_9_3'!F66,"AAAAAH/X/BY=")</f>
        <v>#VALUE!</v>
      </c>
      <c r="X5" t="e">
        <f>AND('Planilla_General_03-12-2012_9_3'!G66,"AAAAAH/X/Bc=")</f>
        <v>#VALUE!</v>
      </c>
      <c r="Y5" t="e">
        <f>AND('Planilla_General_03-12-2012_9_3'!H66,"AAAAAH/X/Bg=")</f>
        <v>#VALUE!</v>
      </c>
      <c r="Z5" t="e">
        <f>AND('Planilla_General_03-12-2012_9_3'!I66,"AAAAAH/X/Bk=")</f>
        <v>#VALUE!</v>
      </c>
      <c r="AA5" t="e">
        <f>AND('Planilla_General_03-12-2012_9_3'!J66,"AAAAAH/X/Bo=")</f>
        <v>#VALUE!</v>
      </c>
      <c r="AB5" t="e">
        <f>AND('Planilla_General_03-12-2012_9_3'!K66,"AAAAAH/X/Bs=")</f>
        <v>#VALUE!</v>
      </c>
      <c r="AC5" t="e">
        <f>AND('Planilla_General_03-12-2012_9_3'!L66,"AAAAAH/X/Bw=")</f>
        <v>#VALUE!</v>
      </c>
      <c r="AD5" t="e">
        <f>AND('Planilla_General_03-12-2012_9_3'!M66,"AAAAAH/X/B0=")</f>
        <v>#VALUE!</v>
      </c>
      <c r="AE5" t="e">
        <f>AND('Planilla_General_03-12-2012_9_3'!N66,"AAAAAH/X/B4=")</f>
        <v>#VALUE!</v>
      </c>
      <c r="AF5" t="e">
        <f>AND('Planilla_General_03-12-2012_9_3'!O66,"AAAAAH/X/B8=")</f>
        <v>#VALUE!</v>
      </c>
      <c r="AG5">
        <f>IF('Planilla_General_03-12-2012_9_3'!67:67,"AAAAAH/X/CA=",0)</f>
        <v>0</v>
      </c>
      <c r="AH5" t="e">
        <f>AND('Planilla_General_03-12-2012_9_3'!A67,"AAAAAH/X/CE=")</f>
        <v>#VALUE!</v>
      </c>
      <c r="AI5" t="e">
        <f>AND('Planilla_General_03-12-2012_9_3'!B67,"AAAAAH/X/CI=")</f>
        <v>#VALUE!</v>
      </c>
      <c r="AJ5" t="e">
        <f>AND('Planilla_General_03-12-2012_9_3'!C67,"AAAAAH/X/CM=")</f>
        <v>#VALUE!</v>
      </c>
      <c r="AK5" t="e">
        <f>AND('Planilla_General_03-12-2012_9_3'!D67,"AAAAAH/X/CQ=")</f>
        <v>#VALUE!</v>
      </c>
      <c r="AL5" t="e">
        <f>AND('Planilla_General_03-12-2012_9_3'!E67,"AAAAAH/X/CU=")</f>
        <v>#VALUE!</v>
      </c>
      <c r="AM5" t="e">
        <f>AND('Planilla_General_03-12-2012_9_3'!F67,"AAAAAH/X/CY=")</f>
        <v>#VALUE!</v>
      </c>
      <c r="AN5" t="e">
        <f>AND('Planilla_General_03-12-2012_9_3'!G67,"AAAAAH/X/Cc=")</f>
        <v>#VALUE!</v>
      </c>
      <c r="AO5" t="e">
        <f>AND('Planilla_General_03-12-2012_9_3'!H67,"AAAAAH/X/Cg=")</f>
        <v>#VALUE!</v>
      </c>
      <c r="AP5" t="e">
        <f>AND('Planilla_General_03-12-2012_9_3'!I67,"AAAAAH/X/Ck=")</f>
        <v>#VALUE!</v>
      </c>
      <c r="AQ5" t="e">
        <f>AND('Planilla_General_03-12-2012_9_3'!J67,"AAAAAH/X/Co=")</f>
        <v>#VALUE!</v>
      </c>
      <c r="AR5" t="e">
        <f>AND('Planilla_General_03-12-2012_9_3'!K67,"AAAAAH/X/Cs=")</f>
        <v>#VALUE!</v>
      </c>
      <c r="AS5" t="e">
        <f>AND('Planilla_General_03-12-2012_9_3'!L67,"AAAAAH/X/Cw=")</f>
        <v>#VALUE!</v>
      </c>
      <c r="AT5" t="e">
        <f>AND('Planilla_General_03-12-2012_9_3'!M67,"AAAAAH/X/C0=")</f>
        <v>#VALUE!</v>
      </c>
      <c r="AU5" t="e">
        <f>AND('Planilla_General_03-12-2012_9_3'!N67,"AAAAAH/X/C4=")</f>
        <v>#VALUE!</v>
      </c>
      <c r="AV5" t="e">
        <f>AND('Planilla_General_03-12-2012_9_3'!O67,"AAAAAH/X/C8=")</f>
        <v>#VALUE!</v>
      </c>
      <c r="AW5">
        <f>IF('Planilla_General_03-12-2012_9_3'!68:68,"AAAAAH/X/DA=",0)</f>
        <v>0</v>
      </c>
      <c r="AX5" t="e">
        <f>AND('Planilla_General_03-12-2012_9_3'!A68,"AAAAAH/X/DE=")</f>
        <v>#VALUE!</v>
      </c>
      <c r="AY5" t="e">
        <f>AND('Planilla_General_03-12-2012_9_3'!B68,"AAAAAH/X/DI=")</f>
        <v>#VALUE!</v>
      </c>
      <c r="AZ5" t="e">
        <f>AND('Planilla_General_03-12-2012_9_3'!C68,"AAAAAH/X/DM=")</f>
        <v>#VALUE!</v>
      </c>
      <c r="BA5" t="e">
        <f>AND('Planilla_General_03-12-2012_9_3'!D68,"AAAAAH/X/DQ=")</f>
        <v>#VALUE!</v>
      </c>
      <c r="BB5" t="e">
        <f>AND('Planilla_General_03-12-2012_9_3'!E68,"AAAAAH/X/DU=")</f>
        <v>#VALUE!</v>
      </c>
      <c r="BC5" t="e">
        <f>AND('Planilla_General_03-12-2012_9_3'!F68,"AAAAAH/X/DY=")</f>
        <v>#VALUE!</v>
      </c>
      <c r="BD5" t="e">
        <f>AND('Planilla_General_03-12-2012_9_3'!G68,"AAAAAH/X/Dc=")</f>
        <v>#VALUE!</v>
      </c>
      <c r="BE5" t="e">
        <f>AND('Planilla_General_03-12-2012_9_3'!H68,"AAAAAH/X/Dg=")</f>
        <v>#VALUE!</v>
      </c>
      <c r="BF5" t="e">
        <f>AND('Planilla_General_03-12-2012_9_3'!I68,"AAAAAH/X/Dk=")</f>
        <v>#VALUE!</v>
      </c>
      <c r="BG5" t="e">
        <f>AND('Planilla_General_03-12-2012_9_3'!J68,"AAAAAH/X/Do=")</f>
        <v>#VALUE!</v>
      </c>
      <c r="BH5" t="e">
        <f>AND('Planilla_General_03-12-2012_9_3'!K68,"AAAAAH/X/Ds=")</f>
        <v>#VALUE!</v>
      </c>
      <c r="BI5" t="e">
        <f>AND('Planilla_General_03-12-2012_9_3'!L68,"AAAAAH/X/Dw=")</f>
        <v>#VALUE!</v>
      </c>
      <c r="BJ5" t="e">
        <f>AND('Planilla_General_03-12-2012_9_3'!M68,"AAAAAH/X/D0=")</f>
        <v>#VALUE!</v>
      </c>
      <c r="BK5" t="e">
        <f>AND('Planilla_General_03-12-2012_9_3'!N68,"AAAAAH/X/D4=")</f>
        <v>#VALUE!</v>
      </c>
      <c r="BL5" t="e">
        <f>AND('Planilla_General_03-12-2012_9_3'!O68,"AAAAAH/X/D8=")</f>
        <v>#VALUE!</v>
      </c>
      <c r="BM5">
        <f>IF('Planilla_General_03-12-2012_9_3'!69:69,"AAAAAH/X/EA=",0)</f>
        <v>0</v>
      </c>
      <c r="BN5" t="e">
        <f>AND('Planilla_General_03-12-2012_9_3'!A69,"AAAAAH/X/EE=")</f>
        <v>#VALUE!</v>
      </c>
      <c r="BO5" t="e">
        <f>AND('Planilla_General_03-12-2012_9_3'!B69,"AAAAAH/X/EI=")</f>
        <v>#VALUE!</v>
      </c>
      <c r="BP5" t="e">
        <f>AND('Planilla_General_03-12-2012_9_3'!C69,"AAAAAH/X/EM=")</f>
        <v>#VALUE!</v>
      </c>
      <c r="BQ5" t="e">
        <f>AND('Planilla_General_03-12-2012_9_3'!D69,"AAAAAH/X/EQ=")</f>
        <v>#VALUE!</v>
      </c>
      <c r="BR5" t="e">
        <f>AND('Planilla_General_03-12-2012_9_3'!E69,"AAAAAH/X/EU=")</f>
        <v>#VALUE!</v>
      </c>
      <c r="BS5" t="e">
        <f>AND('Planilla_General_03-12-2012_9_3'!F69,"AAAAAH/X/EY=")</f>
        <v>#VALUE!</v>
      </c>
      <c r="BT5" t="e">
        <f>AND('Planilla_General_03-12-2012_9_3'!G69,"AAAAAH/X/Ec=")</f>
        <v>#VALUE!</v>
      </c>
      <c r="BU5" t="e">
        <f>AND('Planilla_General_03-12-2012_9_3'!H69,"AAAAAH/X/Eg=")</f>
        <v>#VALUE!</v>
      </c>
      <c r="BV5" t="e">
        <f>AND('Planilla_General_03-12-2012_9_3'!I69,"AAAAAH/X/Ek=")</f>
        <v>#VALUE!</v>
      </c>
      <c r="BW5" t="e">
        <f>AND('Planilla_General_03-12-2012_9_3'!J69,"AAAAAH/X/Eo=")</f>
        <v>#VALUE!</v>
      </c>
      <c r="BX5" t="e">
        <f>AND('Planilla_General_03-12-2012_9_3'!K69,"AAAAAH/X/Es=")</f>
        <v>#VALUE!</v>
      </c>
      <c r="BY5" t="e">
        <f>AND('Planilla_General_03-12-2012_9_3'!L69,"AAAAAH/X/Ew=")</f>
        <v>#VALUE!</v>
      </c>
      <c r="BZ5" t="e">
        <f>AND('Planilla_General_03-12-2012_9_3'!M69,"AAAAAH/X/E0=")</f>
        <v>#VALUE!</v>
      </c>
      <c r="CA5" t="e">
        <f>AND('Planilla_General_03-12-2012_9_3'!N69,"AAAAAH/X/E4=")</f>
        <v>#VALUE!</v>
      </c>
      <c r="CB5" t="e">
        <f>AND('Planilla_General_03-12-2012_9_3'!O69,"AAAAAH/X/E8=")</f>
        <v>#VALUE!</v>
      </c>
      <c r="CC5">
        <f>IF('Planilla_General_03-12-2012_9_3'!70:70,"AAAAAH/X/FA=",0)</f>
        <v>0</v>
      </c>
      <c r="CD5" t="e">
        <f>AND('Planilla_General_03-12-2012_9_3'!A70,"AAAAAH/X/FE=")</f>
        <v>#VALUE!</v>
      </c>
      <c r="CE5" t="e">
        <f>AND('Planilla_General_03-12-2012_9_3'!B70,"AAAAAH/X/FI=")</f>
        <v>#VALUE!</v>
      </c>
      <c r="CF5" t="e">
        <f>AND('Planilla_General_03-12-2012_9_3'!C70,"AAAAAH/X/FM=")</f>
        <v>#VALUE!</v>
      </c>
      <c r="CG5" t="e">
        <f>AND('Planilla_General_03-12-2012_9_3'!D70,"AAAAAH/X/FQ=")</f>
        <v>#VALUE!</v>
      </c>
      <c r="CH5" t="e">
        <f>AND('Planilla_General_03-12-2012_9_3'!E70,"AAAAAH/X/FU=")</f>
        <v>#VALUE!</v>
      </c>
      <c r="CI5" t="e">
        <f>AND('Planilla_General_03-12-2012_9_3'!F70,"AAAAAH/X/FY=")</f>
        <v>#VALUE!</v>
      </c>
      <c r="CJ5" t="e">
        <f>AND('Planilla_General_03-12-2012_9_3'!G70,"AAAAAH/X/Fc=")</f>
        <v>#VALUE!</v>
      </c>
      <c r="CK5" t="e">
        <f>AND('Planilla_General_03-12-2012_9_3'!H70,"AAAAAH/X/Fg=")</f>
        <v>#VALUE!</v>
      </c>
      <c r="CL5" t="e">
        <f>AND('Planilla_General_03-12-2012_9_3'!I70,"AAAAAH/X/Fk=")</f>
        <v>#VALUE!</v>
      </c>
      <c r="CM5" t="e">
        <f>AND('Planilla_General_03-12-2012_9_3'!J70,"AAAAAH/X/Fo=")</f>
        <v>#VALUE!</v>
      </c>
      <c r="CN5" t="e">
        <f>AND('Planilla_General_03-12-2012_9_3'!K70,"AAAAAH/X/Fs=")</f>
        <v>#VALUE!</v>
      </c>
      <c r="CO5" t="e">
        <f>AND('Planilla_General_03-12-2012_9_3'!L70,"AAAAAH/X/Fw=")</f>
        <v>#VALUE!</v>
      </c>
      <c r="CP5" t="e">
        <f>AND('Planilla_General_03-12-2012_9_3'!M70,"AAAAAH/X/F0=")</f>
        <v>#VALUE!</v>
      </c>
      <c r="CQ5" t="e">
        <f>AND('Planilla_General_03-12-2012_9_3'!N70,"AAAAAH/X/F4=")</f>
        <v>#VALUE!</v>
      </c>
      <c r="CR5" t="e">
        <f>AND('Planilla_General_03-12-2012_9_3'!O70,"AAAAAH/X/F8=")</f>
        <v>#VALUE!</v>
      </c>
      <c r="CS5">
        <f>IF('Planilla_General_03-12-2012_9_3'!71:71,"AAAAAH/X/GA=",0)</f>
        <v>0</v>
      </c>
      <c r="CT5" t="e">
        <f>AND('Planilla_General_03-12-2012_9_3'!A71,"AAAAAH/X/GE=")</f>
        <v>#VALUE!</v>
      </c>
      <c r="CU5" t="e">
        <f>AND('Planilla_General_03-12-2012_9_3'!B71,"AAAAAH/X/GI=")</f>
        <v>#VALUE!</v>
      </c>
      <c r="CV5" t="e">
        <f>AND('Planilla_General_03-12-2012_9_3'!C71,"AAAAAH/X/GM=")</f>
        <v>#VALUE!</v>
      </c>
      <c r="CW5" t="e">
        <f>AND('Planilla_General_03-12-2012_9_3'!D71,"AAAAAH/X/GQ=")</f>
        <v>#VALUE!</v>
      </c>
      <c r="CX5" t="e">
        <f>AND('Planilla_General_03-12-2012_9_3'!E71,"AAAAAH/X/GU=")</f>
        <v>#VALUE!</v>
      </c>
      <c r="CY5" t="e">
        <f>AND('Planilla_General_03-12-2012_9_3'!F71,"AAAAAH/X/GY=")</f>
        <v>#VALUE!</v>
      </c>
      <c r="CZ5" t="e">
        <f>AND('Planilla_General_03-12-2012_9_3'!G71,"AAAAAH/X/Gc=")</f>
        <v>#VALUE!</v>
      </c>
      <c r="DA5" t="e">
        <f>AND('Planilla_General_03-12-2012_9_3'!H71,"AAAAAH/X/Gg=")</f>
        <v>#VALUE!</v>
      </c>
      <c r="DB5" t="e">
        <f>AND('Planilla_General_03-12-2012_9_3'!I71,"AAAAAH/X/Gk=")</f>
        <v>#VALUE!</v>
      </c>
      <c r="DC5" t="e">
        <f>AND('Planilla_General_03-12-2012_9_3'!J71,"AAAAAH/X/Go=")</f>
        <v>#VALUE!</v>
      </c>
      <c r="DD5" t="e">
        <f>AND('Planilla_General_03-12-2012_9_3'!K71,"AAAAAH/X/Gs=")</f>
        <v>#VALUE!</v>
      </c>
      <c r="DE5" t="e">
        <f>AND('Planilla_General_03-12-2012_9_3'!L71,"AAAAAH/X/Gw=")</f>
        <v>#VALUE!</v>
      </c>
      <c r="DF5" t="e">
        <f>AND('Planilla_General_03-12-2012_9_3'!M71,"AAAAAH/X/G0=")</f>
        <v>#VALUE!</v>
      </c>
      <c r="DG5" t="e">
        <f>AND('Planilla_General_03-12-2012_9_3'!N71,"AAAAAH/X/G4=")</f>
        <v>#VALUE!</v>
      </c>
      <c r="DH5" t="e">
        <f>AND('Planilla_General_03-12-2012_9_3'!O71,"AAAAAH/X/G8=")</f>
        <v>#VALUE!</v>
      </c>
      <c r="DI5">
        <f>IF('Planilla_General_03-12-2012_9_3'!72:72,"AAAAAH/X/HA=",0)</f>
        <v>0</v>
      </c>
      <c r="DJ5" t="e">
        <f>AND('Planilla_General_03-12-2012_9_3'!A72,"AAAAAH/X/HE=")</f>
        <v>#VALUE!</v>
      </c>
      <c r="DK5" t="e">
        <f>AND('Planilla_General_03-12-2012_9_3'!B72,"AAAAAH/X/HI=")</f>
        <v>#VALUE!</v>
      </c>
      <c r="DL5" t="e">
        <f>AND('Planilla_General_03-12-2012_9_3'!C72,"AAAAAH/X/HM=")</f>
        <v>#VALUE!</v>
      </c>
      <c r="DM5" t="e">
        <f>AND('Planilla_General_03-12-2012_9_3'!D72,"AAAAAH/X/HQ=")</f>
        <v>#VALUE!</v>
      </c>
      <c r="DN5" t="e">
        <f>AND('Planilla_General_03-12-2012_9_3'!E72,"AAAAAH/X/HU=")</f>
        <v>#VALUE!</v>
      </c>
      <c r="DO5" t="e">
        <f>AND('Planilla_General_03-12-2012_9_3'!F72,"AAAAAH/X/HY=")</f>
        <v>#VALUE!</v>
      </c>
      <c r="DP5" t="e">
        <f>AND('Planilla_General_03-12-2012_9_3'!G72,"AAAAAH/X/Hc=")</f>
        <v>#VALUE!</v>
      </c>
      <c r="DQ5" t="e">
        <f>AND('Planilla_General_03-12-2012_9_3'!H72,"AAAAAH/X/Hg=")</f>
        <v>#VALUE!</v>
      </c>
      <c r="DR5" t="e">
        <f>AND('Planilla_General_03-12-2012_9_3'!I72,"AAAAAH/X/Hk=")</f>
        <v>#VALUE!</v>
      </c>
      <c r="DS5" t="e">
        <f>AND('Planilla_General_03-12-2012_9_3'!J72,"AAAAAH/X/Ho=")</f>
        <v>#VALUE!</v>
      </c>
      <c r="DT5" t="e">
        <f>AND('Planilla_General_03-12-2012_9_3'!K72,"AAAAAH/X/Hs=")</f>
        <v>#VALUE!</v>
      </c>
      <c r="DU5" t="e">
        <f>AND('Planilla_General_03-12-2012_9_3'!L72,"AAAAAH/X/Hw=")</f>
        <v>#VALUE!</v>
      </c>
      <c r="DV5" t="e">
        <f>AND('Planilla_General_03-12-2012_9_3'!M72,"AAAAAH/X/H0=")</f>
        <v>#VALUE!</v>
      </c>
      <c r="DW5" t="e">
        <f>AND('Planilla_General_03-12-2012_9_3'!N72,"AAAAAH/X/H4=")</f>
        <v>#VALUE!</v>
      </c>
      <c r="DX5" t="e">
        <f>AND('Planilla_General_03-12-2012_9_3'!O72,"AAAAAH/X/H8=")</f>
        <v>#VALUE!</v>
      </c>
      <c r="DY5">
        <f>IF('Planilla_General_03-12-2012_9_3'!73:73,"AAAAAH/X/IA=",0)</f>
        <v>0</v>
      </c>
      <c r="DZ5" t="e">
        <f>AND('Planilla_General_03-12-2012_9_3'!A73,"AAAAAH/X/IE=")</f>
        <v>#VALUE!</v>
      </c>
      <c r="EA5" t="e">
        <f>AND('Planilla_General_03-12-2012_9_3'!B73,"AAAAAH/X/II=")</f>
        <v>#VALUE!</v>
      </c>
      <c r="EB5" t="e">
        <f>AND('Planilla_General_03-12-2012_9_3'!C73,"AAAAAH/X/IM=")</f>
        <v>#VALUE!</v>
      </c>
      <c r="EC5" t="e">
        <f>AND('Planilla_General_03-12-2012_9_3'!D73,"AAAAAH/X/IQ=")</f>
        <v>#VALUE!</v>
      </c>
      <c r="ED5" t="e">
        <f>AND('Planilla_General_03-12-2012_9_3'!E73,"AAAAAH/X/IU=")</f>
        <v>#VALUE!</v>
      </c>
      <c r="EE5" t="e">
        <f>AND('Planilla_General_03-12-2012_9_3'!F73,"AAAAAH/X/IY=")</f>
        <v>#VALUE!</v>
      </c>
      <c r="EF5" t="e">
        <f>AND('Planilla_General_03-12-2012_9_3'!G73,"AAAAAH/X/Ic=")</f>
        <v>#VALUE!</v>
      </c>
      <c r="EG5" t="e">
        <f>AND('Planilla_General_03-12-2012_9_3'!H73,"AAAAAH/X/Ig=")</f>
        <v>#VALUE!</v>
      </c>
      <c r="EH5" t="e">
        <f>AND('Planilla_General_03-12-2012_9_3'!I73,"AAAAAH/X/Ik=")</f>
        <v>#VALUE!</v>
      </c>
      <c r="EI5" t="e">
        <f>AND('Planilla_General_03-12-2012_9_3'!J73,"AAAAAH/X/Io=")</f>
        <v>#VALUE!</v>
      </c>
      <c r="EJ5" t="e">
        <f>AND('Planilla_General_03-12-2012_9_3'!K73,"AAAAAH/X/Is=")</f>
        <v>#VALUE!</v>
      </c>
      <c r="EK5" t="e">
        <f>AND('Planilla_General_03-12-2012_9_3'!L73,"AAAAAH/X/Iw=")</f>
        <v>#VALUE!</v>
      </c>
      <c r="EL5" t="e">
        <f>AND('Planilla_General_03-12-2012_9_3'!M73,"AAAAAH/X/I0=")</f>
        <v>#VALUE!</v>
      </c>
      <c r="EM5" t="e">
        <f>AND('Planilla_General_03-12-2012_9_3'!N73,"AAAAAH/X/I4=")</f>
        <v>#VALUE!</v>
      </c>
      <c r="EN5" t="e">
        <f>AND('Planilla_General_03-12-2012_9_3'!O73,"AAAAAH/X/I8=")</f>
        <v>#VALUE!</v>
      </c>
      <c r="EO5">
        <f>IF('Planilla_General_03-12-2012_9_3'!74:74,"AAAAAH/X/JA=",0)</f>
        <v>0</v>
      </c>
      <c r="EP5" t="e">
        <f>AND('Planilla_General_03-12-2012_9_3'!A74,"AAAAAH/X/JE=")</f>
        <v>#VALUE!</v>
      </c>
      <c r="EQ5" t="e">
        <f>AND('Planilla_General_03-12-2012_9_3'!B74,"AAAAAH/X/JI=")</f>
        <v>#VALUE!</v>
      </c>
      <c r="ER5" t="e">
        <f>AND('Planilla_General_03-12-2012_9_3'!C74,"AAAAAH/X/JM=")</f>
        <v>#VALUE!</v>
      </c>
      <c r="ES5" t="e">
        <f>AND('Planilla_General_03-12-2012_9_3'!D74,"AAAAAH/X/JQ=")</f>
        <v>#VALUE!</v>
      </c>
      <c r="ET5" t="e">
        <f>AND('Planilla_General_03-12-2012_9_3'!E74,"AAAAAH/X/JU=")</f>
        <v>#VALUE!</v>
      </c>
      <c r="EU5" t="e">
        <f>AND('Planilla_General_03-12-2012_9_3'!F74,"AAAAAH/X/JY=")</f>
        <v>#VALUE!</v>
      </c>
      <c r="EV5" t="e">
        <f>AND('Planilla_General_03-12-2012_9_3'!G74,"AAAAAH/X/Jc=")</f>
        <v>#VALUE!</v>
      </c>
      <c r="EW5" t="e">
        <f>AND('Planilla_General_03-12-2012_9_3'!H74,"AAAAAH/X/Jg=")</f>
        <v>#VALUE!</v>
      </c>
      <c r="EX5" t="e">
        <f>AND('Planilla_General_03-12-2012_9_3'!I74,"AAAAAH/X/Jk=")</f>
        <v>#VALUE!</v>
      </c>
      <c r="EY5" t="e">
        <f>AND('Planilla_General_03-12-2012_9_3'!J74,"AAAAAH/X/Jo=")</f>
        <v>#VALUE!</v>
      </c>
      <c r="EZ5" t="e">
        <f>AND('Planilla_General_03-12-2012_9_3'!K74,"AAAAAH/X/Js=")</f>
        <v>#VALUE!</v>
      </c>
      <c r="FA5" t="e">
        <f>AND('Planilla_General_03-12-2012_9_3'!L74,"AAAAAH/X/Jw=")</f>
        <v>#VALUE!</v>
      </c>
      <c r="FB5" t="e">
        <f>AND('Planilla_General_03-12-2012_9_3'!M74,"AAAAAH/X/J0=")</f>
        <v>#VALUE!</v>
      </c>
      <c r="FC5" t="e">
        <f>AND('Planilla_General_03-12-2012_9_3'!N74,"AAAAAH/X/J4=")</f>
        <v>#VALUE!</v>
      </c>
      <c r="FD5" t="e">
        <f>AND('Planilla_General_03-12-2012_9_3'!O74,"AAAAAH/X/J8=")</f>
        <v>#VALUE!</v>
      </c>
      <c r="FE5">
        <f>IF('Planilla_General_03-12-2012_9_3'!75:75,"AAAAAH/X/KA=",0)</f>
        <v>0</v>
      </c>
      <c r="FF5" t="e">
        <f>AND('Planilla_General_03-12-2012_9_3'!A75,"AAAAAH/X/KE=")</f>
        <v>#VALUE!</v>
      </c>
      <c r="FG5" t="e">
        <f>AND('Planilla_General_03-12-2012_9_3'!B75,"AAAAAH/X/KI=")</f>
        <v>#VALUE!</v>
      </c>
      <c r="FH5" t="e">
        <f>AND('Planilla_General_03-12-2012_9_3'!C75,"AAAAAH/X/KM=")</f>
        <v>#VALUE!</v>
      </c>
      <c r="FI5" t="e">
        <f>AND('Planilla_General_03-12-2012_9_3'!D75,"AAAAAH/X/KQ=")</f>
        <v>#VALUE!</v>
      </c>
      <c r="FJ5" t="e">
        <f>AND('Planilla_General_03-12-2012_9_3'!E75,"AAAAAH/X/KU=")</f>
        <v>#VALUE!</v>
      </c>
      <c r="FK5" t="e">
        <f>AND('Planilla_General_03-12-2012_9_3'!F75,"AAAAAH/X/KY=")</f>
        <v>#VALUE!</v>
      </c>
      <c r="FL5" t="e">
        <f>AND('Planilla_General_03-12-2012_9_3'!G75,"AAAAAH/X/Kc=")</f>
        <v>#VALUE!</v>
      </c>
      <c r="FM5" t="e">
        <f>AND('Planilla_General_03-12-2012_9_3'!H75,"AAAAAH/X/Kg=")</f>
        <v>#VALUE!</v>
      </c>
      <c r="FN5" t="e">
        <f>AND('Planilla_General_03-12-2012_9_3'!I75,"AAAAAH/X/Kk=")</f>
        <v>#VALUE!</v>
      </c>
      <c r="FO5" t="e">
        <f>AND('Planilla_General_03-12-2012_9_3'!J75,"AAAAAH/X/Ko=")</f>
        <v>#VALUE!</v>
      </c>
      <c r="FP5" t="e">
        <f>AND('Planilla_General_03-12-2012_9_3'!K75,"AAAAAH/X/Ks=")</f>
        <v>#VALUE!</v>
      </c>
      <c r="FQ5" t="e">
        <f>AND('Planilla_General_03-12-2012_9_3'!L75,"AAAAAH/X/Kw=")</f>
        <v>#VALUE!</v>
      </c>
      <c r="FR5" t="e">
        <f>AND('Planilla_General_03-12-2012_9_3'!M75,"AAAAAH/X/K0=")</f>
        <v>#VALUE!</v>
      </c>
      <c r="FS5" t="e">
        <f>AND('Planilla_General_03-12-2012_9_3'!N75,"AAAAAH/X/K4=")</f>
        <v>#VALUE!</v>
      </c>
      <c r="FT5" t="e">
        <f>AND('Planilla_General_03-12-2012_9_3'!O75,"AAAAAH/X/K8=")</f>
        <v>#VALUE!</v>
      </c>
      <c r="FU5">
        <f>IF('Planilla_General_03-12-2012_9_3'!76:76,"AAAAAH/X/LA=",0)</f>
        <v>0</v>
      </c>
      <c r="FV5" t="e">
        <f>AND('Planilla_General_03-12-2012_9_3'!A76,"AAAAAH/X/LE=")</f>
        <v>#VALUE!</v>
      </c>
      <c r="FW5" t="e">
        <f>AND('Planilla_General_03-12-2012_9_3'!B76,"AAAAAH/X/LI=")</f>
        <v>#VALUE!</v>
      </c>
      <c r="FX5" t="e">
        <f>AND('Planilla_General_03-12-2012_9_3'!C76,"AAAAAH/X/LM=")</f>
        <v>#VALUE!</v>
      </c>
      <c r="FY5" t="e">
        <f>AND('Planilla_General_03-12-2012_9_3'!D76,"AAAAAH/X/LQ=")</f>
        <v>#VALUE!</v>
      </c>
      <c r="FZ5" t="e">
        <f>AND('Planilla_General_03-12-2012_9_3'!E76,"AAAAAH/X/LU=")</f>
        <v>#VALUE!</v>
      </c>
      <c r="GA5" t="e">
        <f>AND('Planilla_General_03-12-2012_9_3'!F76,"AAAAAH/X/LY=")</f>
        <v>#VALUE!</v>
      </c>
      <c r="GB5" t="e">
        <f>AND('Planilla_General_03-12-2012_9_3'!G76,"AAAAAH/X/Lc=")</f>
        <v>#VALUE!</v>
      </c>
      <c r="GC5" t="e">
        <f>AND('Planilla_General_03-12-2012_9_3'!H76,"AAAAAH/X/Lg=")</f>
        <v>#VALUE!</v>
      </c>
      <c r="GD5" t="e">
        <f>AND('Planilla_General_03-12-2012_9_3'!I76,"AAAAAH/X/Lk=")</f>
        <v>#VALUE!</v>
      </c>
      <c r="GE5" t="e">
        <f>AND('Planilla_General_03-12-2012_9_3'!J76,"AAAAAH/X/Lo=")</f>
        <v>#VALUE!</v>
      </c>
      <c r="GF5" t="e">
        <f>AND('Planilla_General_03-12-2012_9_3'!K76,"AAAAAH/X/Ls=")</f>
        <v>#VALUE!</v>
      </c>
      <c r="GG5" t="e">
        <f>AND('Planilla_General_03-12-2012_9_3'!L76,"AAAAAH/X/Lw=")</f>
        <v>#VALUE!</v>
      </c>
      <c r="GH5" t="e">
        <f>AND('Planilla_General_03-12-2012_9_3'!M76,"AAAAAH/X/L0=")</f>
        <v>#VALUE!</v>
      </c>
      <c r="GI5" t="e">
        <f>AND('Planilla_General_03-12-2012_9_3'!N76,"AAAAAH/X/L4=")</f>
        <v>#VALUE!</v>
      </c>
      <c r="GJ5" t="e">
        <f>AND('Planilla_General_03-12-2012_9_3'!O76,"AAAAAH/X/L8=")</f>
        <v>#VALUE!</v>
      </c>
      <c r="GK5">
        <f>IF('Planilla_General_03-12-2012_9_3'!77:77,"AAAAAH/X/MA=",0)</f>
        <v>0</v>
      </c>
      <c r="GL5" t="e">
        <f>AND('Planilla_General_03-12-2012_9_3'!A77,"AAAAAH/X/ME=")</f>
        <v>#VALUE!</v>
      </c>
      <c r="GM5" t="e">
        <f>AND('Planilla_General_03-12-2012_9_3'!B77,"AAAAAH/X/MI=")</f>
        <v>#VALUE!</v>
      </c>
      <c r="GN5" t="e">
        <f>AND('Planilla_General_03-12-2012_9_3'!C77,"AAAAAH/X/MM=")</f>
        <v>#VALUE!</v>
      </c>
      <c r="GO5" t="e">
        <f>AND('Planilla_General_03-12-2012_9_3'!D77,"AAAAAH/X/MQ=")</f>
        <v>#VALUE!</v>
      </c>
      <c r="GP5" t="e">
        <f>AND('Planilla_General_03-12-2012_9_3'!E77,"AAAAAH/X/MU=")</f>
        <v>#VALUE!</v>
      </c>
      <c r="GQ5" t="e">
        <f>AND('Planilla_General_03-12-2012_9_3'!F77,"AAAAAH/X/MY=")</f>
        <v>#VALUE!</v>
      </c>
      <c r="GR5" t="e">
        <f>AND('Planilla_General_03-12-2012_9_3'!G77,"AAAAAH/X/Mc=")</f>
        <v>#VALUE!</v>
      </c>
      <c r="GS5" t="e">
        <f>AND('Planilla_General_03-12-2012_9_3'!H77,"AAAAAH/X/Mg=")</f>
        <v>#VALUE!</v>
      </c>
      <c r="GT5" t="e">
        <f>AND('Planilla_General_03-12-2012_9_3'!I77,"AAAAAH/X/Mk=")</f>
        <v>#VALUE!</v>
      </c>
      <c r="GU5" t="e">
        <f>AND('Planilla_General_03-12-2012_9_3'!J77,"AAAAAH/X/Mo=")</f>
        <v>#VALUE!</v>
      </c>
      <c r="GV5" t="e">
        <f>AND('Planilla_General_03-12-2012_9_3'!K77,"AAAAAH/X/Ms=")</f>
        <v>#VALUE!</v>
      </c>
      <c r="GW5" t="e">
        <f>AND('Planilla_General_03-12-2012_9_3'!L77,"AAAAAH/X/Mw=")</f>
        <v>#VALUE!</v>
      </c>
      <c r="GX5" t="e">
        <f>AND('Planilla_General_03-12-2012_9_3'!M77,"AAAAAH/X/M0=")</f>
        <v>#VALUE!</v>
      </c>
      <c r="GY5" t="e">
        <f>AND('Planilla_General_03-12-2012_9_3'!N77,"AAAAAH/X/M4=")</f>
        <v>#VALUE!</v>
      </c>
      <c r="GZ5" t="e">
        <f>AND('Planilla_General_03-12-2012_9_3'!O77,"AAAAAH/X/M8=")</f>
        <v>#VALUE!</v>
      </c>
      <c r="HA5">
        <f>IF('Planilla_General_03-12-2012_9_3'!78:78,"AAAAAH/X/NA=",0)</f>
        <v>0</v>
      </c>
      <c r="HB5" t="e">
        <f>AND('Planilla_General_03-12-2012_9_3'!A78,"AAAAAH/X/NE=")</f>
        <v>#VALUE!</v>
      </c>
      <c r="HC5" t="e">
        <f>AND('Planilla_General_03-12-2012_9_3'!B78,"AAAAAH/X/NI=")</f>
        <v>#VALUE!</v>
      </c>
      <c r="HD5" t="e">
        <f>AND('Planilla_General_03-12-2012_9_3'!C78,"AAAAAH/X/NM=")</f>
        <v>#VALUE!</v>
      </c>
      <c r="HE5" t="e">
        <f>AND('Planilla_General_03-12-2012_9_3'!D78,"AAAAAH/X/NQ=")</f>
        <v>#VALUE!</v>
      </c>
      <c r="HF5" t="e">
        <f>AND('Planilla_General_03-12-2012_9_3'!E78,"AAAAAH/X/NU=")</f>
        <v>#VALUE!</v>
      </c>
      <c r="HG5" t="e">
        <f>AND('Planilla_General_03-12-2012_9_3'!F78,"AAAAAH/X/NY=")</f>
        <v>#VALUE!</v>
      </c>
      <c r="HH5" t="e">
        <f>AND('Planilla_General_03-12-2012_9_3'!G78,"AAAAAH/X/Nc=")</f>
        <v>#VALUE!</v>
      </c>
      <c r="HI5" t="e">
        <f>AND('Planilla_General_03-12-2012_9_3'!H78,"AAAAAH/X/Ng=")</f>
        <v>#VALUE!</v>
      </c>
      <c r="HJ5" t="e">
        <f>AND('Planilla_General_03-12-2012_9_3'!I78,"AAAAAH/X/Nk=")</f>
        <v>#VALUE!</v>
      </c>
      <c r="HK5" t="e">
        <f>AND('Planilla_General_03-12-2012_9_3'!J78,"AAAAAH/X/No=")</f>
        <v>#VALUE!</v>
      </c>
      <c r="HL5" t="e">
        <f>AND('Planilla_General_03-12-2012_9_3'!K78,"AAAAAH/X/Ns=")</f>
        <v>#VALUE!</v>
      </c>
      <c r="HM5" t="e">
        <f>AND('Planilla_General_03-12-2012_9_3'!L78,"AAAAAH/X/Nw=")</f>
        <v>#VALUE!</v>
      </c>
      <c r="HN5" t="e">
        <f>AND('Planilla_General_03-12-2012_9_3'!M78,"AAAAAH/X/N0=")</f>
        <v>#VALUE!</v>
      </c>
      <c r="HO5" t="e">
        <f>AND('Planilla_General_03-12-2012_9_3'!N78,"AAAAAH/X/N4=")</f>
        <v>#VALUE!</v>
      </c>
      <c r="HP5" t="e">
        <f>AND('Planilla_General_03-12-2012_9_3'!O78,"AAAAAH/X/N8=")</f>
        <v>#VALUE!</v>
      </c>
      <c r="HQ5">
        <f>IF('Planilla_General_03-12-2012_9_3'!79:79,"AAAAAH/X/OA=",0)</f>
        <v>0</v>
      </c>
      <c r="HR5" t="e">
        <f>AND('Planilla_General_03-12-2012_9_3'!A79,"AAAAAH/X/OE=")</f>
        <v>#VALUE!</v>
      </c>
      <c r="HS5" t="e">
        <f>AND('Planilla_General_03-12-2012_9_3'!B79,"AAAAAH/X/OI=")</f>
        <v>#VALUE!</v>
      </c>
      <c r="HT5" t="e">
        <f>AND('Planilla_General_03-12-2012_9_3'!C79,"AAAAAH/X/OM=")</f>
        <v>#VALUE!</v>
      </c>
      <c r="HU5" t="e">
        <f>AND('Planilla_General_03-12-2012_9_3'!D79,"AAAAAH/X/OQ=")</f>
        <v>#VALUE!</v>
      </c>
      <c r="HV5" t="e">
        <f>AND('Planilla_General_03-12-2012_9_3'!E79,"AAAAAH/X/OU=")</f>
        <v>#VALUE!</v>
      </c>
      <c r="HW5" t="e">
        <f>AND('Planilla_General_03-12-2012_9_3'!F79,"AAAAAH/X/OY=")</f>
        <v>#VALUE!</v>
      </c>
      <c r="HX5" t="e">
        <f>AND('Planilla_General_03-12-2012_9_3'!G79,"AAAAAH/X/Oc=")</f>
        <v>#VALUE!</v>
      </c>
      <c r="HY5" t="e">
        <f>AND('Planilla_General_03-12-2012_9_3'!H79,"AAAAAH/X/Og=")</f>
        <v>#VALUE!</v>
      </c>
      <c r="HZ5" t="e">
        <f>AND('Planilla_General_03-12-2012_9_3'!I79,"AAAAAH/X/Ok=")</f>
        <v>#VALUE!</v>
      </c>
      <c r="IA5" t="e">
        <f>AND('Planilla_General_03-12-2012_9_3'!J79,"AAAAAH/X/Oo=")</f>
        <v>#VALUE!</v>
      </c>
      <c r="IB5" t="e">
        <f>AND('Planilla_General_03-12-2012_9_3'!K79,"AAAAAH/X/Os=")</f>
        <v>#VALUE!</v>
      </c>
      <c r="IC5" t="e">
        <f>AND('Planilla_General_03-12-2012_9_3'!L79,"AAAAAH/X/Ow=")</f>
        <v>#VALUE!</v>
      </c>
      <c r="ID5" t="e">
        <f>AND('Planilla_General_03-12-2012_9_3'!M79,"AAAAAH/X/O0=")</f>
        <v>#VALUE!</v>
      </c>
      <c r="IE5" t="e">
        <f>AND('Planilla_General_03-12-2012_9_3'!N79,"AAAAAH/X/O4=")</f>
        <v>#VALUE!</v>
      </c>
      <c r="IF5" t="e">
        <f>AND('Planilla_General_03-12-2012_9_3'!O79,"AAAAAH/X/O8=")</f>
        <v>#VALUE!</v>
      </c>
      <c r="IG5">
        <f>IF('Planilla_General_03-12-2012_9_3'!80:80,"AAAAAH/X/PA=",0)</f>
        <v>0</v>
      </c>
      <c r="IH5" t="e">
        <f>AND('Planilla_General_03-12-2012_9_3'!A80,"AAAAAH/X/PE=")</f>
        <v>#VALUE!</v>
      </c>
      <c r="II5" t="e">
        <f>AND('Planilla_General_03-12-2012_9_3'!B80,"AAAAAH/X/PI=")</f>
        <v>#VALUE!</v>
      </c>
      <c r="IJ5" t="e">
        <f>AND('Planilla_General_03-12-2012_9_3'!C80,"AAAAAH/X/PM=")</f>
        <v>#VALUE!</v>
      </c>
      <c r="IK5" t="e">
        <f>AND('Planilla_General_03-12-2012_9_3'!D80,"AAAAAH/X/PQ=")</f>
        <v>#VALUE!</v>
      </c>
      <c r="IL5" t="e">
        <f>AND('Planilla_General_03-12-2012_9_3'!E80,"AAAAAH/X/PU=")</f>
        <v>#VALUE!</v>
      </c>
      <c r="IM5" t="e">
        <f>AND('Planilla_General_03-12-2012_9_3'!F80,"AAAAAH/X/PY=")</f>
        <v>#VALUE!</v>
      </c>
      <c r="IN5" t="e">
        <f>AND('Planilla_General_03-12-2012_9_3'!G80,"AAAAAH/X/Pc=")</f>
        <v>#VALUE!</v>
      </c>
      <c r="IO5" t="e">
        <f>AND('Planilla_General_03-12-2012_9_3'!H80,"AAAAAH/X/Pg=")</f>
        <v>#VALUE!</v>
      </c>
      <c r="IP5" t="e">
        <f>AND('Planilla_General_03-12-2012_9_3'!I80,"AAAAAH/X/Pk=")</f>
        <v>#VALUE!</v>
      </c>
      <c r="IQ5" t="e">
        <f>AND('Planilla_General_03-12-2012_9_3'!J80,"AAAAAH/X/Po=")</f>
        <v>#VALUE!</v>
      </c>
      <c r="IR5" t="e">
        <f>AND('Planilla_General_03-12-2012_9_3'!K80,"AAAAAH/X/Ps=")</f>
        <v>#VALUE!</v>
      </c>
      <c r="IS5" t="e">
        <f>AND('Planilla_General_03-12-2012_9_3'!L80,"AAAAAH/X/Pw=")</f>
        <v>#VALUE!</v>
      </c>
      <c r="IT5" t="e">
        <f>AND('Planilla_General_03-12-2012_9_3'!M80,"AAAAAH/X/P0=")</f>
        <v>#VALUE!</v>
      </c>
      <c r="IU5" t="e">
        <f>AND('Planilla_General_03-12-2012_9_3'!N80,"AAAAAH/X/P4=")</f>
        <v>#VALUE!</v>
      </c>
      <c r="IV5" t="e">
        <f>AND('Planilla_General_03-12-2012_9_3'!O80,"AAAAAH/X/P8=")</f>
        <v>#VALUE!</v>
      </c>
    </row>
    <row r="6" spans="1:256" x14ac:dyDescent="0.25">
      <c r="A6" t="e">
        <f>IF('Planilla_General_03-12-2012_9_3'!81:81,"AAAAAH/nbwA=",0)</f>
        <v>#VALUE!</v>
      </c>
      <c r="B6" t="e">
        <f>AND('Planilla_General_03-12-2012_9_3'!A81,"AAAAAH/nbwE=")</f>
        <v>#VALUE!</v>
      </c>
      <c r="C6" t="e">
        <f>AND('Planilla_General_03-12-2012_9_3'!B81,"AAAAAH/nbwI=")</f>
        <v>#VALUE!</v>
      </c>
      <c r="D6" t="e">
        <f>AND('Planilla_General_03-12-2012_9_3'!C81,"AAAAAH/nbwM=")</f>
        <v>#VALUE!</v>
      </c>
      <c r="E6" t="e">
        <f>AND('Planilla_General_03-12-2012_9_3'!D81,"AAAAAH/nbwQ=")</f>
        <v>#VALUE!</v>
      </c>
      <c r="F6" t="e">
        <f>AND('Planilla_General_03-12-2012_9_3'!E81,"AAAAAH/nbwU=")</f>
        <v>#VALUE!</v>
      </c>
      <c r="G6" t="e">
        <f>AND('Planilla_General_03-12-2012_9_3'!F81,"AAAAAH/nbwY=")</f>
        <v>#VALUE!</v>
      </c>
      <c r="H6" t="e">
        <f>AND('Planilla_General_03-12-2012_9_3'!G81,"AAAAAH/nbwc=")</f>
        <v>#VALUE!</v>
      </c>
      <c r="I6" t="e">
        <f>AND('Planilla_General_03-12-2012_9_3'!H81,"AAAAAH/nbwg=")</f>
        <v>#VALUE!</v>
      </c>
      <c r="J6" t="e">
        <f>AND('Planilla_General_03-12-2012_9_3'!I81,"AAAAAH/nbwk=")</f>
        <v>#VALUE!</v>
      </c>
      <c r="K6" t="e">
        <f>AND('Planilla_General_03-12-2012_9_3'!J81,"AAAAAH/nbwo=")</f>
        <v>#VALUE!</v>
      </c>
      <c r="L6" t="e">
        <f>AND('Planilla_General_03-12-2012_9_3'!K81,"AAAAAH/nbws=")</f>
        <v>#VALUE!</v>
      </c>
      <c r="M6" t="e">
        <f>AND('Planilla_General_03-12-2012_9_3'!L81,"AAAAAH/nbww=")</f>
        <v>#VALUE!</v>
      </c>
      <c r="N6" t="e">
        <f>AND('Planilla_General_03-12-2012_9_3'!M81,"AAAAAH/nbw0=")</f>
        <v>#VALUE!</v>
      </c>
      <c r="O6" t="e">
        <f>AND('Planilla_General_03-12-2012_9_3'!N81,"AAAAAH/nbw4=")</f>
        <v>#VALUE!</v>
      </c>
      <c r="P6" t="e">
        <f>AND('Planilla_General_03-12-2012_9_3'!O81,"AAAAAH/nbw8=")</f>
        <v>#VALUE!</v>
      </c>
      <c r="Q6">
        <f>IF('Planilla_General_03-12-2012_9_3'!82:82,"AAAAAH/nbxA=",0)</f>
        <v>0</v>
      </c>
      <c r="R6" t="e">
        <f>AND('Planilla_General_03-12-2012_9_3'!A82,"AAAAAH/nbxE=")</f>
        <v>#VALUE!</v>
      </c>
      <c r="S6" t="e">
        <f>AND('Planilla_General_03-12-2012_9_3'!B82,"AAAAAH/nbxI=")</f>
        <v>#VALUE!</v>
      </c>
      <c r="T6" t="e">
        <f>AND('Planilla_General_03-12-2012_9_3'!C82,"AAAAAH/nbxM=")</f>
        <v>#VALUE!</v>
      </c>
      <c r="U6" t="e">
        <f>AND('Planilla_General_03-12-2012_9_3'!D82,"AAAAAH/nbxQ=")</f>
        <v>#VALUE!</v>
      </c>
      <c r="V6" t="e">
        <f>AND('Planilla_General_03-12-2012_9_3'!E82,"AAAAAH/nbxU=")</f>
        <v>#VALUE!</v>
      </c>
      <c r="W6" t="e">
        <f>AND('Planilla_General_03-12-2012_9_3'!F82,"AAAAAH/nbxY=")</f>
        <v>#VALUE!</v>
      </c>
      <c r="X6" t="e">
        <f>AND('Planilla_General_03-12-2012_9_3'!G82,"AAAAAH/nbxc=")</f>
        <v>#VALUE!</v>
      </c>
      <c r="Y6" t="e">
        <f>AND('Planilla_General_03-12-2012_9_3'!H82,"AAAAAH/nbxg=")</f>
        <v>#VALUE!</v>
      </c>
      <c r="Z6" t="e">
        <f>AND('Planilla_General_03-12-2012_9_3'!I82,"AAAAAH/nbxk=")</f>
        <v>#VALUE!</v>
      </c>
      <c r="AA6" t="e">
        <f>AND('Planilla_General_03-12-2012_9_3'!J82,"AAAAAH/nbxo=")</f>
        <v>#VALUE!</v>
      </c>
      <c r="AB6" t="e">
        <f>AND('Planilla_General_03-12-2012_9_3'!K82,"AAAAAH/nbxs=")</f>
        <v>#VALUE!</v>
      </c>
      <c r="AC6" t="e">
        <f>AND('Planilla_General_03-12-2012_9_3'!L82,"AAAAAH/nbxw=")</f>
        <v>#VALUE!</v>
      </c>
      <c r="AD6" t="e">
        <f>AND('Planilla_General_03-12-2012_9_3'!M82,"AAAAAH/nbx0=")</f>
        <v>#VALUE!</v>
      </c>
      <c r="AE6" t="e">
        <f>AND('Planilla_General_03-12-2012_9_3'!N82,"AAAAAH/nbx4=")</f>
        <v>#VALUE!</v>
      </c>
      <c r="AF6" t="e">
        <f>AND('Planilla_General_03-12-2012_9_3'!O82,"AAAAAH/nbx8=")</f>
        <v>#VALUE!</v>
      </c>
      <c r="AG6">
        <f>IF('Planilla_General_03-12-2012_9_3'!83:83,"AAAAAH/nbyA=",0)</f>
        <v>0</v>
      </c>
      <c r="AH6" t="e">
        <f>AND('Planilla_General_03-12-2012_9_3'!A83,"AAAAAH/nbyE=")</f>
        <v>#VALUE!</v>
      </c>
      <c r="AI6" t="e">
        <f>AND('Planilla_General_03-12-2012_9_3'!B83,"AAAAAH/nbyI=")</f>
        <v>#VALUE!</v>
      </c>
      <c r="AJ6" t="e">
        <f>AND('Planilla_General_03-12-2012_9_3'!C83,"AAAAAH/nbyM=")</f>
        <v>#VALUE!</v>
      </c>
      <c r="AK6" t="e">
        <f>AND('Planilla_General_03-12-2012_9_3'!D83,"AAAAAH/nbyQ=")</f>
        <v>#VALUE!</v>
      </c>
      <c r="AL6" t="e">
        <f>AND('Planilla_General_03-12-2012_9_3'!E83,"AAAAAH/nbyU=")</f>
        <v>#VALUE!</v>
      </c>
      <c r="AM6" t="e">
        <f>AND('Planilla_General_03-12-2012_9_3'!F83,"AAAAAH/nbyY=")</f>
        <v>#VALUE!</v>
      </c>
      <c r="AN6" t="e">
        <f>AND('Planilla_General_03-12-2012_9_3'!G83,"AAAAAH/nbyc=")</f>
        <v>#VALUE!</v>
      </c>
      <c r="AO6" t="e">
        <f>AND('Planilla_General_03-12-2012_9_3'!H83,"AAAAAH/nbyg=")</f>
        <v>#VALUE!</v>
      </c>
      <c r="AP6" t="e">
        <f>AND('Planilla_General_03-12-2012_9_3'!I83,"AAAAAH/nbyk=")</f>
        <v>#VALUE!</v>
      </c>
      <c r="AQ6" t="e">
        <f>AND('Planilla_General_03-12-2012_9_3'!J83,"AAAAAH/nbyo=")</f>
        <v>#VALUE!</v>
      </c>
      <c r="AR6" t="e">
        <f>AND('Planilla_General_03-12-2012_9_3'!K83,"AAAAAH/nbys=")</f>
        <v>#VALUE!</v>
      </c>
      <c r="AS6" t="e">
        <f>AND('Planilla_General_03-12-2012_9_3'!L83,"AAAAAH/nbyw=")</f>
        <v>#VALUE!</v>
      </c>
      <c r="AT6" t="e">
        <f>AND('Planilla_General_03-12-2012_9_3'!M83,"AAAAAH/nby0=")</f>
        <v>#VALUE!</v>
      </c>
      <c r="AU6" t="e">
        <f>AND('Planilla_General_03-12-2012_9_3'!N83,"AAAAAH/nby4=")</f>
        <v>#VALUE!</v>
      </c>
      <c r="AV6" t="e">
        <f>AND('Planilla_General_03-12-2012_9_3'!O83,"AAAAAH/nby8=")</f>
        <v>#VALUE!</v>
      </c>
      <c r="AW6">
        <f>IF('Planilla_General_03-12-2012_9_3'!84:84,"AAAAAH/nbzA=",0)</f>
        <v>0</v>
      </c>
      <c r="AX6" t="e">
        <f>AND('Planilla_General_03-12-2012_9_3'!A84,"AAAAAH/nbzE=")</f>
        <v>#VALUE!</v>
      </c>
      <c r="AY6" t="e">
        <f>AND('Planilla_General_03-12-2012_9_3'!B84,"AAAAAH/nbzI=")</f>
        <v>#VALUE!</v>
      </c>
      <c r="AZ6" t="e">
        <f>AND('Planilla_General_03-12-2012_9_3'!C84,"AAAAAH/nbzM=")</f>
        <v>#VALUE!</v>
      </c>
      <c r="BA6" t="e">
        <f>AND('Planilla_General_03-12-2012_9_3'!D84,"AAAAAH/nbzQ=")</f>
        <v>#VALUE!</v>
      </c>
      <c r="BB6" t="e">
        <f>AND('Planilla_General_03-12-2012_9_3'!E84,"AAAAAH/nbzU=")</f>
        <v>#VALUE!</v>
      </c>
      <c r="BC6" t="e">
        <f>AND('Planilla_General_03-12-2012_9_3'!F84,"AAAAAH/nbzY=")</f>
        <v>#VALUE!</v>
      </c>
      <c r="BD6" t="e">
        <f>AND('Planilla_General_03-12-2012_9_3'!G84,"AAAAAH/nbzc=")</f>
        <v>#VALUE!</v>
      </c>
      <c r="BE6" t="e">
        <f>AND('Planilla_General_03-12-2012_9_3'!H84,"AAAAAH/nbzg=")</f>
        <v>#VALUE!</v>
      </c>
      <c r="BF6" t="e">
        <f>AND('Planilla_General_03-12-2012_9_3'!I84,"AAAAAH/nbzk=")</f>
        <v>#VALUE!</v>
      </c>
      <c r="BG6" t="e">
        <f>AND('Planilla_General_03-12-2012_9_3'!J84,"AAAAAH/nbzo=")</f>
        <v>#VALUE!</v>
      </c>
      <c r="BH6" t="e">
        <f>AND('Planilla_General_03-12-2012_9_3'!K84,"AAAAAH/nbzs=")</f>
        <v>#VALUE!</v>
      </c>
      <c r="BI6" t="e">
        <f>AND('Planilla_General_03-12-2012_9_3'!L84,"AAAAAH/nbzw=")</f>
        <v>#VALUE!</v>
      </c>
      <c r="BJ6" t="e">
        <f>AND('Planilla_General_03-12-2012_9_3'!M84,"AAAAAH/nbz0=")</f>
        <v>#VALUE!</v>
      </c>
      <c r="BK6" t="e">
        <f>AND('Planilla_General_03-12-2012_9_3'!N84,"AAAAAH/nbz4=")</f>
        <v>#VALUE!</v>
      </c>
      <c r="BL6" t="e">
        <f>AND('Planilla_General_03-12-2012_9_3'!O84,"AAAAAH/nbz8=")</f>
        <v>#VALUE!</v>
      </c>
      <c r="BM6">
        <f>IF('Planilla_General_03-12-2012_9_3'!85:85,"AAAAAH/nb0A=",0)</f>
        <v>0</v>
      </c>
      <c r="BN6" t="e">
        <f>AND('Planilla_General_03-12-2012_9_3'!A85,"AAAAAH/nb0E=")</f>
        <v>#VALUE!</v>
      </c>
      <c r="BO6" t="e">
        <f>AND('Planilla_General_03-12-2012_9_3'!B85,"AAAAAH/nb0I=")</f>
        <v>#VALUE!</v>
      </c>
      <c r="BP6" t="e">
        <f>AND('Planilla_General_03-12-2012_9_3'!C85,"AAAAAH/nb0M=")</f>
        <v>#VALUE!</v>
      </c>
      <c r="BQ6" t="e">
        <f>AND('Planilla_General_03-12-2012_9_3'!D85,"AAAAAH/nb0Q=")</f>
        <v>#VALUE!</v>
      </c>
      <c r="BR6" t="e">
        <f>AND('Planilla_General_03-12-2012_9_3'!E85,"AAAAAH/nb0U=")</f>
        <v>#VALUE!</v>
      </c>
      <c r="BS6" t="e">
        <f>AND('Planilla_General_03-12-2012_9_3'!F85,"AAAAAH/nb0Y=")</f>
        <v>#VALUE!</v>
      </c>
      <c r="BT6" t="e">
        <f>AND('Planilla_General_03-12-2012_9_3'!G85,"AAAAAH/nb0c=")</f>
        <v>#VALUE!</v>
      </c>
      <c r="BU6" t="e">
        <f>AND('Planilla_General_03-12-2012_9_3'!H85,"AAAAAH/nb0g=")</f>
        <v>#VALUE!</v>
      </c>
      <c r="BV6" t="e">
        <f>AND('Planilla_General_03-12-2012_9_3'!I85,"AAAAAH/nb0k=")</f>
        <v>#VALUE!</v>
      </c>
      <c r="BW6" t="e">
        <f>AND('Planilla_General_03-12-2012_9_3'!J85,"AAAAAH/nb0o=")</f>
        <v>#VALUE!</v>
      </c>
      <c r="BX6" t="e">
        <f>AND('Planilla_General_03-12-2012_9_3'!K85,"AAAAAH/nb0s=")</f>
        <v>#VALUE!</v>
      </c>
      <c r="BY6" t="e">
        <f>AND('Planilla_General_03-12-2012_9_3'!L85,"AAAAAH/nb0w=")</f>
        <v>#VALUE!</v>
      </c>
      <c r="BZ6" t="e">
        <f>AND('Planilla_General_03-12-2012_9_3'!M85,"AAAAAH/nb00=")</f>
        <v>#VALUE!</v>
      </c>
      <c r="CA6" t="e">
        <f>AND('Planilla_General_03-12-2012_9_3'!N85,"AAAAAH/nb04=")</f>
        <v>#VALUE!</v>
      </c>
      <c r="CB6" t="e">
        <f>AND('Planilla_General_03-12-2012_9_3'!O85,"AAAAAH/nb08=")</f>
        <v>#VALUE!</v>
      </c>
      <c r="CC6">
        <f>IF('Planilla_General_03-12-2012_9_3'!86:86,"AAAAAH/nb1A=",0)</f>
        <v>0</v>
      </c>
      <c r="CD6" t="e">
        <f>AND('Planilla_General_03-12-2012_9_3'!A86,"AAAAAH/nb1E=")</f>
        <v>#VALUE!</v>
      </c>
      <c r="CE6" t="e">
        <f>AND('Planilla_General_03-12-2012_9_3'!B86,"AAAAAH/nb1I=")</f>
        <v>#VALUE!</v>
      </c>
      <c r="CF6" t="e">
        <f>AND('Planilla_General_03-12-2012_9_3'!C86,"AAAAAH/nb1M=")</f>
        <v>#VALUE!</v>
      </c>
      <c r="CG6" t="e">
        <f>AND('Planilla_General_03-12-2012_9_3'!D86,"AAAAAH/nb1Q=")</f>
        <v>#VALUE!</v>
      </c>
      <c r="CH6" t="e">
        <f>AND('Planilla_General_03-12-2012_9_3'!E86,"AAAAAH/nb1U=")</f>
        <v>#VALUE!</v>
      </c>
      <c r="CI6" t="e">
        <f>AND('Planilla_General_03-12-2012_9_3'!F86,"AAAAAH/nb1Y=")</f>
        <v>#VALUE!</v>
      </c>
      <c r="CJ6" t="e">
        <f>AND('Planilla_General_03-12-2012_9_3'!G86,"AAAAAH/nb1c=")</f>
        <v>#VALUE!</v>
      </c>
      <c r="CK6" t="e">
        <f>AND('Planilla_General_03-12-2012_9_3'!H86,"AAAAAH/nb1g=")</f>
        <v>#VALUE!</v>
      </c>
      <c r="CL6" t="e">
        <f>AND('Planilla_General_03-12-2012_9_3'!I86,"AAAAAH/nb1k=")</f>
        <v>#VALUE!</v>
      </c>
      <c r="CM6" t="e">
        <f>AND('Planilla_General_03-12-2012_9_3'!J86,"AAAAAH/nb1o=")</f>
        <v>#VALUE!</v>
      </c>
      <c r="CN6" t="e">
        <f>AND('Planilla_General_03-12-2012_9_3'!K86,"AAAAAH/nb1s=")</f>
        <v>#VALUE!</v>
      </c>
      <c r="CO6" t="e">
        <f>AND('Planilla_General_03-12-2012_9_3'!L86,"AAAAAH/nb1w=")</f>
        <v>#VALUE!</v>
      </c>
      <c r="CP6" t="e">
        <f>AND('Planilla_General_03-12-2012_9_3'!M86,"AAAAAH/nb10=")</f>
        <v>#VALUE!</v>
      </c>
      <c r="CQ6" t="e">
        <f>AND('Planilla_General_03-12-2012_9_3'!N86,"AAAAAH/nb14=")</f>
        <v>#VALUE!</v>
      </c>
      <c r="CR6" t="e">
        <f>AND('Planilla_General_03-12-2012_9_3'!O86,"AAAAAH/nb18=")</f>
        <v>#VALUE!</v>
      </c>
      <c r="CS6">
        <f>IF('Planilla_General_03-12-2012_9_3'!87:87,"AAAAAH/nb2A=",0)</f>
        <v>0</v>
      </c>
      <c r="CT6" t="e">
        <f>AND('Planilla_General_03-12-2012_9_3'!A87,"AAAAAH/nb2E=")</f>
        <v>#VALUE!</v>
      </c>
      <c r="CU6" t="e">
        <f>AND('Planilla_General_03-12-2012_9_3'!B87,"AAAAAH/nb2I=")</f>
        <v>#VALUE!</v>
      </c>
      <c r="CV6" t="e">
        <f>AND('Planilla_General_03-12-2012_9_3'!C87,"AAAAAH/nb2M=")</f>
        <v>#VALUE!</v>
      </c>
      <c r="CW6" t="e">
        <f>AND('Planilla_General_03-12-2012_9_3'!D87,"AAAAAH/nb2Q=")</f>
        <v>#VALUE!</v>
      </c>
      <c r="CX6" t="e">
        <f>AND('Planilla_General_03-12-2012_9_3'!E87,"AAAAAH/nb2U=")</f>
        <v>#VALUE!</v>
      </c>
      <c r="CY6" t="e">
        <f>AND('Planilla_General_03-12-2012_9_3'!F87,"AAAAAH/nb2Y=")</f>
        <v>#VALUE!</v>
      </c>
      <c r="CZ6" t="e">
        <f>AND('Planilla_General_03-12-2012_9_3'!G87,"AAAAAH/nb2c=")</f>
        <v>#VALUE!</v>
      </c>
      <c r="DA6" t="e">
        <f>AND('Planilla_General_03-12-2012_9_3'!H87,"AAAAAH/nb2g=")</f>
        <v>#VALUE!</v>
      </c>
      <c r="DB6" t="e">
        <f>AND('Planilla_General_03-12-2012_9_3'!I87,"AAAAAH/nb2k=")</f>
        <v>#VALUE!</v>
      </c>
      <c r="DC6" t="e">
        <f>AND('Planilla_General_03-12-2012_9_3'!J87,"AAAAAH/nb2o=")</f>
        <v>#VALUE!</v>
      </c>
      <c r="DD6" t="e">
        <f>AND('Planilla_General_03-12-2012_9_3'!K87,"AAAAAH/nb2s=")</f>
        <v>#VALUE!</v>
      </c>
      <c r="DE6" t="e">
        <f>AND('Planilla_General_03-12-2012_9_3'!L87,"AAAAAH/nb2w=")</f>
        <v>#VALUE!</v>
      </c>
      <c r="DF6" t="e">
        <f>AND('Planilla_General_03-12-2012_9_3'!M87,"AAAAAH/nb20=")</f>
        <v>#VALUE!</v>
      </c>
      <c r="DG6" t="e">
        <f>AND('Planilla_General_03-12-2012_9_3'!N87,"AAAAAH/nb24=")</f>
        <v>#VALUE!</v>
      </c>
      <c r="DH6" t="e">
        <f>AND('Planilla_General_03-12-2012_9_3'!O87,"AAAAAH/nb28=")</f>
        <v>#VALUE!</v>
      </c>
      <c r="DI6">
        <f>IF('Planilla_General_03-12-2012_9_3'!88:88,"AAAAAH/nb3A=",0)</f>
        <v>0</v>
      </c>
      <c r="DJ6" t="e">
        <f>AND('Planilla_General_03-12-2012_9_3'!A88,"AAAAAH/nb3E=")</f>
        <v>#VALUE!</v>
      </c>
      <c r="DK6" t="e">
        <f>AND('Planilla_General_03-12-2012_9_3'!B88,"AAAAAH/nb3I=")</f>
        <v>#VALUE!</v>
      </c>
      <c r="DL6" t="e">
        <f>AND('Planilla_General_03-12-2012_9_3'!C88,"AAAAAH/nb3M=")</f>
        <v>#VALUE!</v>
      </c>
      <c r="DM6" t="e">
        <f>AND('Planilla_General_03-12-2012_9_3'!D88,"AAAAAH/nb3Q=")</f>
        <v>#VALUE!</v>
      </c>
      <c r="DN6" t="e">
        <f>AND('Planilla_General_03-12-2012_9_3'!E88,"AAAAAH/nb3U=")</f>
        <v>#VALUE!</v>
      </c>
      <c r="DO6" t="e">
        <f>AND('Planilla_General_03-12-2012_9_3'!F88,"AAAAAH/nb3Y=")</f>
        <v>#VALUE!</v>
      </c>
      <c r="DP6" t="e">
        <f>AND('Planilla_General_03-12-2012_9_3'!G88,"AAAAAH/nb3c=")</f>
        <v>#VALUE!</v>
      </c>
      <c r="DQ6" t="e">
        <f>AND('Planilla_General_03-12-2012_9_3'!H88,"AAAAAH/nb3g=")</f>
        <v>#VALUE!</v>
      </c>
      <c r="DR6" t="e">
        <f>AND('Planilla_General_03-12-2012_9_3'!I88,"AAAAAH/nb3k=")</f>
        <v>#VALUE!</v>
      </c>
      <c r="DS6" t="e">
        <f>AND('Planilla_General_03-12-2012_9_3'!J88,"AAAAAH/nb3o=")</f>
        <v>#VALUE!</v>
      </c>
      <c r="DT6" t="e">
        <f>AND('Planilla_General_03-12-2012_9_3'!K88,"AAAAAH/nb3s=")</f>
        <v>#VALUE!</v>
      </c>
      <c r="DU6" t="e">
        <f>AND('Planilla_General_03-12-2012_9_3'!L88,"AAAAAH/nb3w=")</f>
        <v>#VALUE!</v>
      </c>
      <c r="DV6" t="e">
        <f>AND('Planilla_General_03-12-2012_9_3'!M88,"AAAAAH/nb30=")</f>
        <v>#VALUE!</v>
      </c>
      <c r="DW6" t="e">
        <f>AND('Planilla_General_03-12-2012_9_3'!N88,"AAAAAH/nb34=")</f>
        <v>#VALUE!</v>
      </c>
      <c r="DX6" t="e">
        <f>AND('Planilla_General_03-12-2012_9_3'!O88,"AAAAAH/nb38=")</f>
        <v>#VALUE!</v>
      </c>
      <c r="DY6">
        <f>IF('Planilla_General_03-12-2012_9_3'!89:89,"AAAAAH/nb4A=",0)</f>
        <v>0</v>
      </c>
      <c r="DZ6" t="e">
        <f>AND('Planilla_General_03-12-2012_9_3'!A89,"AAAAAH/nb4E=")</f>
        <v>#VALUE!</v>
      </c>
      <c r="EA6" t="e">
        <f>AND('Planilla_General_03-12-2012_9_3'!B89,"AAAAAH/nb4I=")</f>
        <v>#VALUE!</v>
      </c>
      <c r="EB6" t="e">
        <f>AND('Planilla_General_03-12-2012_9_3'!C89,"AAAAAH/nb4M=")</f>
        <v>#VALUE!</v>
      </c>
      <c r="EC6" t="e">
        <f>AND('Planilla_General_03-12-2012_9_3'!D89,"AAAAAH/nb4Q=")</f>
        <v>#VALUE!</v>
      </c>
      <c r="ED6" t="e">
        <f>AND('Planilla_General_03-12-2012_9_3'!E89,"AAAAAH/nb4U=")</f>
        <v>#VALUE!</v>
      </c>
      <c r="EE6" t="e">
        <f>AND('Planilla_General_03-12-2012_9_3'!F89,"AAAAAH/nb4Y=")</f>
        <v>#VALUE!</v>
      </c>
      <c r="EF6" t="e">
        <f>AND('Planilla_General_03-12-2012_9_3'!G89,"AAAAAH/nb4c=")</f>
        <v>#VALUE!</v>
      </c>
      <c r="EG6" t="e">
        <f>AND('Planilla_General_03-12-2012_9_3'!H89,"AAAAAH/nb4g=")</f>
        <v>#VALUE!</v>
      </c>
      <c r="EH6" t="e">
        <f>AND('Planilla_General_03-12-2012_9_3'!I89,"AAAAAH/nb4k=")</f>
        <v>#VALUE!</v>
      </c>
      <c r="EI6" t="e">
        <f>AND('Planilla_General_03-12-2012_9_3'!J89,"AAAAAH/nb4o=")</f>
        <v>#VALUE!</v>
      </c>
      <c r="EJ6" t="e">
        <f>AND('Planilla_General_03-12-2012_9_3'!K89,"AAAAAH/nb4s=")</f>
        <v>#VALUE!</v>
      </c>
      <c r="EK6" t="e">
        <f>AND('Planilla_General_03-12-2012_9_3'!L89,"AAAAAH/nb4w=")</f>
        <v>#VALUE!</v>
      </c>
      <c r="EL6" t="e">
        <f>AND('Planilla_General_03-12-2012_9_3'!M89,"AAAAAH/nb40=")</f>
        <v>#VALUE!</v>
      </c>
      <c r="EM6" t="e">
        <f>AND('Planilla_General_03-12-2012_9_3'!N89,"AAAAAH/nb44=")</f>
        <v>#VALUE!</v>
      </c>
      <c r="EN6" t="e">
        <f>AND('Planilla_General_03-12-2012_9_3'!O89,"AAAAAH/nb48=")</f>
        <v>#VALUE!</v>
      </c>
      <c r="EO6">
        <f>IF('Planilla_General_03-12-2012_9_3'!90:90,"AAAAAH/nb5A=",0)</f>
        <v>0</v>
      </c>
      <c r="EP6" t="e">
        <f>AND('Planilla_General_03-12-2012_9_3'!A90,"AAAAAH/nb5E=")</f>
        <v>#VALUE!</v>
      </c>
      <c r="EQ6" t="e">
        <f>AND('Planilla_General_03-12-2012_9_3'!B90,"AAAAAH/nb5I=")</f>
        <v>#VALUE!</v>
      </c>
      <c r="ER6" t="e">
        <f>AND('Planilla_General_03-12-2012_9_3'!C90,"AAAAAH/nb5M=")</f>
        <v>#VALUE!</v>
      </c>
      <c r="ES6" t="e">
        <f>AND('Planilla_General_03-12-2012_9_3'!D90,"AAAAAH/nb5Q=")</f>
        <v>#VALUE!</v>
      </c>
      <c r="ET6" t="e">
        <f>AND('Planilla_General_03-12-2012_9_3'!E90,"AAAAAH/nb5U=")</f>
        <v>#VALUE!</v>
      </c>
      <c r="EU6" t="e">
        <f>AND('Planilla_General_03-12-2012_9_3'!F90,"AAAAAH/nb5Y=")</f>
        <v>#VALUE!</v>
      </c>
      <c r="EV6" t="e">
        <f>AND('Planilla_General_03-12-2012_9_3'!G90,"AAAAAH/nb5c=")</f>
        <v>#VALUE!</v>
      </c>
      <c r="EW6" t="e">
        <f>AND('Planilla_General_03-12-2012_9_3'!H90,"AAAAAH/nb5g=")</f>
        <v>#VALUE!</v>
      </c>
      <c r="EX6" t="e">
        <f>AND('Planilla_General_03-12-2012_9_3'!I90,"AAAAAH/nb5k=")</f>
        <v>#VALUE!</v>
      </c>
      <c r="EY6" t="e">
        <f>AND('Planilla_General_03-12-2012_9_3'!J90,"AAAAAH/nb5o=")</f>
        <v>#VALUE!</v>
      </c>
      <c r="EZ6" t="e">
        <f>AND('Planilla_General_03-12-2012_9_3'!K90,"AAAAAH/nb5s=")</f>
        <v>#VALUE!</v>
      </c>
      <c r="FA6" t="e">
        <f>AND('Planilla_General_03-12-2012_9_3'!L90,"AAAAAH/nb5w=")</f>
        <v>#VALUE!</v>
      </c>
      <c r="FB6" t="e">
        <f>AND('Planilla_General_03-12-2012_9_3'!M90,"AAAAAH/nb50=")</f>
        <v>#VALUE!</v>
      </c>
      <c r="FC6" t="e">
        <f>AND('Planilla_General_03-12-2012_9_3'!N90,"AAAAAH/nb54=")</f>
        <v>#VALUE!</v>
      </c>
      <c r="FD6" t="e">
        <f>AND('Planilla_General_03-12-2012_9_3'!O90,"AAAAAH/nb58=")</f>
        <v>#VALUE!</v>
      </c>
      <c r="FE6">
        <f>IF('Planilla_General_03-12-2012_9_3'!91:91,"AAAAAH/nb6A=",0)</f>
        <v>0</v>
      </c>
      <c r="FF6" t="e">
        <f>AND('Planilla_General_03-12-2012_9_3'!A91,"AAAAAH/nb6E=")</f>
        <v>#VALUE!</v>
      </c>
      <c r="FG6" t="e">
        <f>AND('Planilla_General_03-12-2012_9_3'!B91,"AAAAAH/nb6I=")</f>
        <v>#VALUE!</v>
      </c>
      <c r="FH6" t="e">
        <f>AND('Planilla_General_03-12-2012_9_3'!C91,"AAAAAH/nb6M=")</f>
        <v>#VALUE!</v>
      </c>
      <c r="FI6" t="e">
        <f>AND('Planilla_General_03-12-2012_9_3'!D91,"AAAAAH/nb6Q=")</f>
        <v>#VALUE!</v>
      </c>
      <c r="FJ6" t="e">
        <f>AND('Planilla_General_03-12-2012_9_3'!E91,"AAAAAH/nb6U=")</f>
        <v>#VALUE!</v>
      </c>
      <c r="FK6" t="e">
        <f>AND('Planilla_General_03-12-2012_9_3'!F91,"AAAAAH/nb6Y=")</f>
        <v>#VALUE!</v>
      </c>
      <c r="FL6" t="e">
        <f>AND('Planilla_General_03-12-2012_9_3'!G91,"AAAAAH/nb6c=")</f>
        <v>#VALUE!</v>
      </c>
      <c r="FM6" t="e">
        <f>AND('Planilla_General_03-12-2012_9_3'!H91,"AAAAAH/nb6g=")</f>
        <v>#VALUE!</v>
      </c>
      <c r="FN6" t="e">
        <f>AND('Planilla_General_03-12-2012_9_3'!I91,"AAAAAH/nb6k=")</f>
        <v>#VALUE!</v>
      </c>
      <c r="FO6" t="e">
        <f>AND('Planilla_General_03-12-2012_9_3'!J91,"AAAAAH/nb6o=")</f>
        <v>#VALUE!</v>
      </c>
      <c r="FP6" t="e">
        <f>AND('Planilla_General_03-12-2012_9_3'!K91,"AAAAAH/nb6s=")</f>
        <v>#VALUE!</v>
      </c>
      <c r="FQ6" t="e">
        <f>AND('Planilla_General_03-12-2012_9_3'!L91,"AAAAAH/nb6w=")</f>
        <v>#VALUE!</v>
      </c>
      <c r="FR6" t="e">
        <f>AND('Planilla_General_03-12-2012_9_3'!M91,"AAAAAH/nb60=")</f>
        <v>#VALUE!</v>
      </c>
      <c r="FS6" t="e">
        <f>AND('Planilla_General_03-12-2012_9_3'!N91,"AAAAAH/nb64=")</f>
        <v>#VALUE!</v>
      </c>
      <c r="FT6" t="e">
        <f>AND('Planilla_General_03-12-2012_9_3'!O91,"AAAAAH/nb68=")</f>
        <v>#VALUE!</v>
      </c>
      <c r="FU6">
        <f>IF('Planilla_General_03-12-2012_9_3'!92:92,"AAAAAH/nb7A=",0)</f>
        <v>0</v>
      </c>
      <c r="FV6" t="e">
        <f>AND('Planilla_General_03-12-2012_9_3'!A92,"AAAAAH/nb7E=")</f>
        <v>#VALUE!</v>
      </c>
      <c r="FW6" t="e">
        <f>AND('Planilla_General_03-12-2012_9_3'!B92,"AAAAAH/nb7I=")</f>
        <v>#VALUE!</v>
      </c>
      <c r="FX6" t="e">
        <f>AND('Planilla_General_03-12-2012_9_3'!C92,"AAAAAH/nb7M=")</f>
        <v>#VALUE!</v>
      </c>
      <c r="FY6" t="e">
        <f>AND('Planilla_General_03-12-2012_9_3'!D92,"AAAAAH/nb7Q=")</f>
        <v>#VALUE!</v>
      </c>
      <c r="FZ6" t="e">
        <f>AND('Planilla_General_03-12-2012_9_3'!E92,"AAAAAH/nb7U=")</f>
        <v>#VALUE!</v>
      </c>
      <c r="GA6" t="e">
        <f>AND('Planilla_General_03-12-2012_9_3'!F92,"AAAAAH/nb7Y=")</f>
        <v>#VALUE!</v>
      </c>
      <c r="GB6" t="e">
        <f>AND('Planilla_General_03-12-2012_9_3'!G92,"AAAAAH/nb7c=")</f>
        <v>#VALUE!</v>
      </c>
      <c r="GC6" t="e">
        <f>AND('Planilla_General_03-12-2012_9_3'!H92,"AAAAAH/nb7g=")</f>
        <v>#VALUE!</v>
      </c>
      <c r="GD6" t="e">
        <f>AND('Planilla_General_03-12-2012_9_3'!I92,"AAAAAH/nb7k=")</f>
        <v>#VALUE!</v>
      </c>
      <c r="GE6" t="e">
        <f>AND('Planilla_General_03-12-2012_9_3'!J92,"AAAAAH/nb7o=")</f>
        <v>#VALUE!</v>
      </c>
      <c r="GF6" t="e">
        <f>AND('Planilla_General_03-12-2012_9_3'!K92,"AAAAAH/nb7s=")</f>
        <v>#VALUE!</v>
      </c>
      <c r="GG6" t="e">
        <f>AND('Planilla_General_03-12-2012_9_3'!L92,"AAAAAH/nb7w=")</f>
        <v>#VALUE!</v>
      </c>
      <c r="GH6" t="e">
        <f>AND('Planilla_General_03-12-2012_9_3'!M92,"AAAAAH/nb70=")</f>
        <v>#VALUE!</v>
      </c>
      <c r="GI6" t="e">
        <f>AND('Planilla_General_03-12-2012_9_3'!N92,"AAAAAH/nb74=")</f>
        <v>#VALUE!</v>
      </c>
      <c r="GJ6" t="e">
        <f>AND('Planilla_General_03-12-2012_9_3'!O92,"AAAAAH/nb78=")</f>
        <v>#VALUE!</v>
      </c>
      <c r="GK6">
        <f>IF('Planilla_General_03-12-2012_9_3'!93:93,"AAAAAH/nb8A=",0)</f>
        <v>0</v>
      </c>
      <c r="GL6" t="e">
        <f>AND('Planilla_General_03-12-2012_9_3'!A93,"AAAAAH/nb8E=")</f>
        <v>#VALUE!</v>
      </c>
      <c r="GM6" t="e">
        <f>AND('Planilla_General_03-12-2012_9_3'!B93,"AAAAAH/nb8I=")</f>
        <v>#VALUE!</v>
      </c>
      <c r="GN6" t="e">
        <f>AND('Planilla_General_03-12-2012_9_3'!C93,"AAAAAH/nb8M=")</f>
        <v>#VALUE!</v>
      </c>
      <c r="GO6" t="e">
        <f>AND('Planilla_General_03-12-2012_9_3'!D93,"AAAAAH/nb8Q=")</f>
        <v>#VALUE!</v>
      </c>
      <c r="GP6" t="e">
        <f>AND('Planilla_General_03-12-2012_9_3'!E93,"AAAAAH/nb8U=")</f>
        <v>#VALUE!</v>
      </c>
      <c r="GQ6" t="e">
        <f>AND('Planilla_General_03-12-2012_9_3'!F93,"AAAAAH/nb8Y=")</f>
        <v>#VALUE!</v>
      </c>
      <c r="GR6" t="e">
        <f>AND('Planilla_General_03-12-2012_9_3'!G93,"AAAAAH/nb8c=")</f>
        <v>#VALUE!</v>
      </c>
      <c r="GS6" t="e">
        <f>AND('Planilla_General_03-12-2012_9_3'!H93,"AAAAAH/nb8g=")</f>
        <v>#VALUE!</v>
      </c>
      <c r="GT6" t="e">
        <f>AND('Planilla_General_03-12-2012_9_3'!I93,"AAAAAH/nb8k=")</f>
        <v>#VALUE!</v>
      </c>
      <c r="GU6" t="e">
        <f>AND('Planilla_General_03-12-2012_9_3'!J93,"AAAAAH/nb8o=")</f>
        <v>#VALUE!</v>
      </c>
      <c r="GV6" t="e">
        <f>AND('Planilla_General_03-12-2012_9_3'!K93,"AAAAAH/nb8s=")</f>
        <v>#VALUE!</v>
      </c>
      <c r="GW6" t="e">
        <f>AND('Planilla_General_03-12-2012_9_3'!L93,"AAAAAH/nb8w=")</f>
        <v>#VALUE!</v>
      </c>
      <c r="GX6" t="e">
        <f>AND('Planilla_General_03-12-2012_9_3'!M93,"AAAAAH/nb80=")</f>
        <v>#VALUE!</v>
      </c>
      <c r="GY6" t="e">
        <f>AND('Planilla_General_03-12-2012_9_3'!N93,"AAAAAH/nb84=")</f>
        <v>#VALUE!</v>
      </c>
      <c r="GZ6" t="e">
        <f>AND('Planilla_General_03-12-2012_9_3'!O93,"AAAAAH/nb88=")</f>
        <v>#VALUE!</v>
      </c>
      <c r="HA6">
        <f>IF('Planilla_General_03-12-2012_9_3'!94:94,"AAAAAH/nb9A=",0)</f>
        <v>0</v>
      </c>
      <c r="HB6" t="e">
        <f>AND('Planilla_General_03-12-2012_9_3'!A94,"AAAAAH/nb9E=")</f>
        <v>#VALUE!</v>
      </c>
      <c r="HC6" t="e">
        <f>AND('Planilla_General_03-12-2012_9_3'!B94,"AAAAAH/nb9I=")</f>
        <v>#VALUE!</v>
      </c>
      <c r="HD6" t="e">
        <f>AND('Planilla_General_03-12-2012_9_3'!C94,"AAAAAH/nb9M=")</f>
        <v>#VALUE!</v>
      </c>
      <c r="HE6" t="e">
        <f>AND('Planilla_General_03-12-2012_9_3'!D94,"AAAAAH/nb9Q=")</f>
        <v>#VALUE!</v>
      </c>
      <c r="HF6" t="e">
        <f>AND('Planilla_General_03-12-2012_9_3'!E94,"AAAAAH/nb9U=")</f>
        <v>#VALUE!</v>
      </c>
      <c r="HG6" t="e">
        <f>AND('Planilla_General_03-12-2012_9_3'!F94,"AAAAAH/nb9Y=")</f>
        <v>#VALUE!</v>
      </c>
      <c r="HH6" t="e">
        <f>AND('Planilla_General_03-12-2012_9_3'!G94,"AAAAAH/nb9c=")</f>
        <v>#VALUE!</v>
      </c>
      <c r="HI6" t="e">
        <f>AND('Planilla_General_03-12-2012_9_3'!H94,"AAAAAH/nb9g=")</f>
        <v>#VALUE!</v>
      </c>
      <c r="HJ6" t="e">
        <f>AND('Planilla_General_03-12-2012_9_3'!I94,"AAAAAH/nb9k=")</f>
        <v>#VALUE!</v>
      </c>
      <c r="HK6" t="e">
        <f>AND('Planilla_General_03-12-2012_9_3'!J94,"AAAAAH/nb9o=")</f>
        <v>#VALUE!</v>
      </c>
      <c r="HL6" t="e">
        <f>AND('Planilla_General_03-12-2012_9_3'!K94,"AAAAAH/nb9s=")</f>
        <v>#VALUE!</v>
      </c>
      <c r="HM6" t="e">
        <f>AND('Planilla_General_03-12-2012_9_3'!L94,"AAAAAH/nb9w=")</f>
        <v>#VALUE!</v>
      </c>
      <c r="HN6" t="e">
        <f>AND('Planilla_General_03-12-2012_9_3'!M94,"AAAAAH/nb90=")</f>
        <v>#VALUE!</v>
      </c>
      <c r="HO6" t="e">
        <f>AND('Planilla_General_03-12-2012_9_3'!N94,"AAAAAH/nb94=")</f>
        <v>#VALUE!</v>
      </c>
      <c r="HP6" t="e">
        <f>AND('Planilla_General_03-12-2012_9_3'!O94,"AAAAAH/nb98=")</f>
        <v>#VALUE!</v>
      </c>
      <c r="HQ6">
        <f>IF('Planilla_General_03-12-2012_9_3'!95:95,"AAAAAH/nb+A=",0)</f>
        <v>0</v>
      </c>
      <c r="HR6" t="e">
        <f>AND('Planilla_General_03-12-2012_9_3'!A95,"AAAAAH/nb+E=")</f>
        <v>#VALUE!</v>
      </c>
      <c r="HS6" t="e">
        <f>AND('Planilla_General_03-12-2012_9_3'!B95,"AAAAAH/nb+I=")</f>
        <v>#VALUE!</v>
      </c>
      <c r="HT6" t="e">
        <f>AND('Planilla_General_03-12-2012_9_3'!C95,"AAAAAH/nb+M=")</f>
        <v>#VALUE!</v>
      </c>
      <c r="HU6" t="e">
        <f>AND('Planilla_General_03-12-2012_9_3'!D95,"AAAAAH/nb+Q=")</f>
        <v>#VALUE!</v>
      </c>
      <c r="HV6" t="e">
        <f>AND('Planilla_General_03-12-2012_9_3'!E95,"AAAAAH/nb+U=")</f>
        <v>#VALUE!</v>
      </c>
      <c r="HW6" t="e">
        <f>AND('Planilla_General_03-12-2012_9_3'!F95,"AAAAAH/nb+Y=")</f>
        <v>#VALUE!</v>
      </c>
      <c r="HX6" t="e">
        <f>AND('Planilla_General_03-12-2012_9_3'!G95,"AAAAAH/nb+c=")</f>
        <v>#VALUE!</v>
      </c>
      <c r="HY6" t="e">
        <f>AND('Planilla_General_03-12-2012_9_3'!H95,"AAAAAH/nb+g=")</f>
        <v>#VALUE!</v>
      </c>
      <c r="HZ6" t="e">
        <f>AND('Planilla_General_03-12-2012_9_3'!I95,"AAAAAH/nb+k=")</f>
        <v>#VALUE!</v>
      </c>
      <c r="IA6" t="e">
        <f>AND('Planilla_General_03-12-2012_9_3'!J95,"AAAAAH/nb+o=")</f>
        <v>#VALUE!</v>
      </c>
      <c r="IB6" t="e">
        <f>AND('Planilla_General_03-12-2012_9_3'!K95,"AAAAAH/nb+s=")</f>
        <v>#VALUE!</v>
      </c>
      <c r="IC6" t="e">
        <f>AND('Planilla_General_03-12-2012_9_3'!L95,"AAAAAH/nb+w=")</f>
        <v>#VALUE!</v>
      </c>
      <c r="ID6" t="e">
        <f>AND('Planilla_General_03-12-2012_9_3'!M95,"AAAAAH/nb+0=")</f>
        <v>#VALUE!</v>
      </c>
      <c r="IE6" t="e">
        <f>AND('Planilla_General_03-12-2012_9_3'!N95,"AAAAAH/nb+4=")</f>
        <v>#VALUE!</v>
      </c>
      <c r="IF6" t="e">
        <f>AND('Planilla_General_03-12-2012_9_3'!O95,"AAAAAH/nb+8=")</f>
        <v>#VALUE!</v>
      </c>
      <c r="IG6">
        <f>IF('Planilla_General_03-12-2012_9_3'!96:96,"AAAAAH/nb/A=",0)</f>
        <v>0</v>
      </c>
      <c r="IH6" t="e">
        <f>AND('Planilla_General_03-12-2012_9_3'!A96,"AAAAAH/nb/E=")</f>
        <v>#VALUE!</v>
      </c>
      <c r="II6" t="e">
        <f>AND('Planilla_General_03-12-2012_9_3'!B96,"AAAAAH/nb/I=")</f>
        <v>#VALUE!</v>
      </c>
      <c r="IJ6" t="e">
        <f>AND('Planilla_General_03-12-2012_9_3'!C96,"AAAAAH/nb/M=")</f>
        <v>#VALUE!</v>
      </c>
      <c r="IK6" t="e">
        <f>AND('Planilla_General_03-12-2012_9_3'!D96,"AAAAAH/nb/Q=")</f>
        <v>#VALUE!</v>
      </c>
      <c r="IL6" t="e">
        <f>AND('Planilla_General_03-12-2012_9_3'!E96,"AAAAAH/nb/U=")</f>
        <v>#VALUE!</v>
      </c>
      <c r="IM6" t="e">
        <f>AND('Planilla_General_03-12-2012_9_3'!F96,"AAAAAH/nb/Y=")</f>
        <v>#VALUE!</v>
      </c>
      <c r="IN6" t="e">
        <f>AND('Planilla_General_03-12-2012_9_3'!G96,"AAAAAH/nb/c=")</f>
        <v>#VALUE!</v>
      </c>
      <c r="IO6" t="e">
        <f>AND('Planilla_General_03-12-2012_9_3'!H96,"AAAAAH/nb/g=")</f>
        <v>#VALUE!</v>
      </c>
      <c r="IP6" t="e">
        <f>AND('Planilla_General_03-12-2012_9_3'!I96,"AAAAAH/nb/k=")</f>
        <v>#VALUE!</v>
      </c>
      <c r="IQ6" t="e">
        <f>AND('Planilla_General_03-12-2012_9_3'!J96,"AAAAAH/nb/o=")</f>
        <v>#VALUE!</v>
      </c>
      <c r="IR6" t="e">
        <f>AND('Planilla_General_03-12-2012_9_3'!K96,"AAAAAH/nb/s=")</f>
        <v>#VALUE!</v>
      </c>
      <c r="IS6" t="e">
        <f>AND('Planilla_General_03-12-2012_9_3'!L96,"AAAAAH/nb/w=")</f>
        <v>#VALUE!</v>
      </c>
      <c r="IT6" t="e">
        <f>AND('Planilla_General_03-12-2012_9_3'!M96,"AAAAAH/nb/0=")</f>
        <v>#VALUE!</v>
      </c>
      <c r="IU6" t="e">
        <f>AND('Planilla_General_03-12-2012_9_3'!N96,"AAAAAH/nb/4=")</f>
        <v>#VALUE!</v>
      </c>
      <c r="IV6" t="e">
        <f>AND('Planilla_General_03-12-2012_9_3'!O96,"AAAAAH/nb/8=")</f>
        <v>#VALUE!</v>
      </c>
    </row>
    <row r="7" spans="1:256" x14ac:dyDescent="0.25">
      <c r="A7" t="e">
        <f>IF('Planilla_General_03-12-2012_9_3'!97:97,"AAAAAF//twA=",0)</f>
        <v>#VALUE!</v>
      </c>
      <c r="B7" t="e">
        <f>AND('Planilla_General_03-12-2012_9_3'!A97,"AAAAAF//twE=")</f>
        <v>#VALUE!</v>
      </c>
      <c r="C7" t="e">
        <f>AND('Planilla_General_03-12-2012_9_3'!B97,"AAAAAF//twI=")</f>
        <v>#VALUE!</v>
      </c>
      <c r="D7" t="e">
        <f>AND('Planilla_General_03-12-2012_9_3'!C97,"AAAAAF//twM=")</f>
        <v>#VALUE!</v>
      </c>
      <c r="E7" t="e">
        <f>AND('Planilla_General_03-12-2012_9_3'!D97,"AAAAAF//twQ=")</f>
        <v>#VALUE!</v>
      </c>
      <c r="F7" t="e">
        <f>AND('Planilla_General_03-12-2012_9_3'!E97,"AAAAAF//twU=")</f>
        <v>#VALUE!</v>
      </c>
      <c r="G7" t="e">
        <f>AND('Planilla_General_03-12-2012_9_3'!F97,"AAAAAF//twY=")</f>
        <v>#VALUE!</v>
      </c>
      <c r="H7" t="e">
        <f>AND('Planilla_General_03-12-2012_9_3'!G97,"AAAAAF//twc=")</f>
        <v>#VALUE!</v>
      </c>
      <c r="I7" t="e">
        <f>AND('Planilla_General_03-12-2012_9_3'!H97,"AAAAAF//twg=")</f>
        <v>#VALUE!</v>
      </c>
      <c r="J7" t="e">
        <f>AND('Planilla_General_03-12-2012_9_3'!I97,"AAAAAF//twk=")</f>
        <v>#VALUE!</v>
      </c>
      <c r="K7" t="e">
        <f>AND('Planilla_General_03-12-2012_9_3'!J97,"AAAAAF//two=")</f>
        <v>#VALUE!</v>
      </c>
      <c r="L7" t="e">
        <f>AND('Planilla_General_03-12-2012_9_3'!K97,"AAAAAF//tws=")</f>
        <v>#VALUE!</v>
      </c>
      <c r="M7" t="e">
        <f>AND('Planilla_General_03-12-2012_9_3'!L97,"AAAAAF//tww=")</f>
        <v>#VALUE!</v>
      </c>
      <c r="N7" t="e">
        <f>AND('Planilla_General_03-12-2012_9_3'!M97,"AAAAAF//tw0=")</f>
        <v>#VALUE!</v>
      </c>
      <c r="O7" t="e">
        <f>AND('Planilla_General_03-12-2012_9_3'!N97,"AAAAAF//tw4=")</f>
        <v>#VALUE!</v>
      </c>
      <c r="P7" t="e">
        <f>AND('Planilla_General_03-12-2012_9_3'!O97,"AAAAAF//tw8=")</f>
        <v>#VALUE!</v>
      </c>
      <c r="Q7">
        <f>IF('Planilla_General_03-12-2012_9_3'!98:98,"AAAAAF//txA=",0)</f>
        <v>0</v>
      </c>
      <c r="R7" t="e">
        <f>AND('Planilla_General_03-12-2012_9_3'!A98,"AAAAAF//txE=")</f>
        <v>#VALUE!</v>
      </c>
      <c r="S7" t="e">
        <f>AND('Planilla_General_03-12-2012_9_3'!B98,"AAAAAF//txI=")</f>
        <v>#VALUE!</v>
      </c>
      <c r="T7" t="e">
        <f>AND('Planilla_General_03-12-2012_9_3'!C98,"AAAAAF//txM=")</f>
        <v>#VALUE!</v>
      </c>
      <c r="U7" t="e">
        <f>AND('Planilla_General_03-12-2012_9_3'!D98,"AAAAAF//txQ=")</f>
        <v>#VALUE!</v>
      </c>
      <c r="V7" t="e">
        <f>AND('Planilla_General_03-12-2012_9_3'!E98,"AAAAAF//txU=")</f>
        <v>#VALUE!</v>
      </c>
      <c r="W7" t="e">
        <f>AND('Planilla_General_03-12-2012_9_3'!F98,"AAAAAF//txY=")</f>
        <v>#VALUE!</v>
      </c>
      <c r="X7" t="e">
        <f>AND('Planilla_General_03-12-2012_9_3'!G98,"AAAAAF//txc=")</f>
        <v>#VALUE!</v>
      </c>
      <c r="Y7" t="e">
        <f>AND('Planilla_General_03-12-2012_9_3'!H98,"AAAAAF//txg=")</f>
        <v>#VALUE!</v>
      </c>
      <c r="Z7" t="e">
        <f>AND('Planilla_General_03-12-2012_9_3'!I98,"AAAAAF//txk=")</f>
        <v>#VALUE!</v>
      </c>
      <c r="AA7" t="e">
        <f>AND('Planilla_General_03-12-2012_9_3'!J98,"AAAAAF//txo=")</f>
        <v>#VALUE!</v>
      </c>
      <c r="AB7" t="e">
        <f>AND('Planilla_General_03-12-2012_9_3'!K98,"AAAAAF//txs=")</f>
        <v>#VALUE!</v>
      </c>
      <c r="AC7" t="e">
        <f>AND('Planilla_General_03-12-2012_9_3'!L98,"AAAAAF//txw=")</f>
        <v>#VALUE!</v>
      </c>
      <c r="AD7" t="e">
        <f>AND('Planilla_General_03-12-2012_9_3'!M98,"AAAAAF//tx0=")</f>
        <v>#VALUE!</v>
      </c>
      <c r="AE7" t="e">
        <f>AND('Planilla_General_03-12-2012_9_3'!N98,"AAAAAF//tx4=")</f>
        <v>#VALUE!</v>
      </c>
      <c r="AF7" t="e">
        <f>AND('Planilla_General_03-12-2012_9_3'!O98,"AAAAAF//tx8=")</f>
        <v>#VALUE!</v>
      </c>
      <c r="AG7">
        <f>IF('Planilla_General_03-12-2012_9_3'!99:99,"AAAAAF//tyA=",0)</f>
        <v>0</v>
      </c>
      <c r="AH7" t="e">
        <f>AND('Planilla_General_03-12-2012_9_3'!A99,"AAAAAF//tyE=")</f>
        <v>#VALUE!</v>
      </c>
      <c r="AI7" t="e">
        <f>AND('Planilla_General_03-12-2012_9_3'!B99,"AAAAAF//tyI=")</f>
        <v>#VALUE!</v>
      </c>
      <c r="AJ7" t="e">
        <f>AND('Planilla_General_03-12-2012_9_3'!C99,"AAAAAF//tyM=")</f>
        <v>#VALUE!</v>
      </c>
      <c r="AK7" t="e">
        <f>AND('Planilla_General_03-12-2012_9_3'!D99,"AAAAAF//tyQ=")</f>
        <v>#VALUE!</v>
      </c>
      <c r="AL7" t="e">
        <f>AND('Planilla_General_03-12-2012_9_3'!E99,"AAAAAF//tyU=")</f>
        <v>#VALUE!</v>
      </c>
      <c r="AM7" t="e">
        <f>AND('Planilla_General_03-12-2012_9_3'!F99,"AAAAAF//tyY=")</f>
        <v>#VALUE!</v>
      </c>
      <c r="AN7" t="e">
        <f>AND('Planilla_General_03-12-2012_9_3'!G99,"AAAAAF//tyc=")</f>
        <v>#VALUE!</v>
      </c>
      <c r="AO7" t="e">
        <f>AND('Planilla_General_03-12-2012_9_3'!H99,"AAAAAF//tyg=")</f>
        <v>#VALUE!</v>
      </c>
      <c r="AP7" t="e">
        <f>AND('Planilla_General_03-12-2012_9_3'!I99,"AAAAAF//tyk=")</f>
        <v>#VALUE!</v>
      </c>
      <c r="AQ7" t="e">
        <f>AND('Planilla_General_03-12-2012_9_3'!J99,"AAAAAF//tyo=")</f>
        <v>#VALUE!</v>
      </c>
      <c r="AR7" t="e">
        <f>AND('Planilla_General_03-12-2012_9_3'!K99,"AAAAAF//tys=")</f>
        <v>#VALUE!</v>
      </c>
      <c r="AS7" t="e">
        <f>AND('Planilla_General_03-12-2012_9_3'!L99,"AAAAAF//tyw=")</f>
        <v>#VALUE!</v>
      </c>
      <c r="AT7" t="e">
        <f>AND('Planilla_General_03-12-2012_9_3'!M99,"AAAAAF//ty0=")</f>
        <v>#VALUE!</v>
      </c>
      <c r="AU7" t="e">
        <f>AND('Planilla_General_03-12-2012_9_3'!N99,"AAAAAF//ty4=")</f>
        <v>#VALUE!</v>
      </c>
      <c r="AV7" t="e">
        <f>AND('Planilla_General_03-12-2012_9_3'!O99,"AAAAAF//ty8=")</f>
        <v>#VALUE!</v>
      </c>
      <c r="AW7">
        <f>IF('Planilla_General_03-12-2012_9_3'!100:100,"AAAAAF//tzA=",0)</f>
        <v>0</v>
      </c>
      <c r="AX7" t="e">
        <f>AND('Planilla_General_03-12-2012_9_3'!A100,"AAAAAF//tzE=")</f>
        <v>#VALUE!</v>
      </c>
      <c r="AY7" t="e">
        <f>AND('Planilla_General_03-12-2012_9_3'!B100,"AAAAAF//tzI=")</f>
        <v>#VALUE!</v>
      </c>
      <c r="AZ7" t="e">
        <f>AND('Planilla_General_03-12-2012_9_3'!C100,"AAAAAF//tzM=")</f>
        <v>#VALUE!</v>
      </c>
      <c r="BA7" t="e">
        <f>AND('Planilla_General_03-12-2012_9_3'!D100,"AAAAAF//tzQ=")</f>
        <v>#VALUE!</v>
      </c>
      <c r="BB7" t="e">
        <f>AND('Planilla_General_03-12-2012_9_3'!E100,"AAAAAF//tzU=")</f>
        <v>#VALUE!</v>
      </c>
      <c r="BC7" t="e">
        <f>AND('Planilla_General_03-12-2012_9_3'!F100,"AAAAAF//tzY=")</f>
        <v>#VALUE!</v>
      </c>
      <c r="BD7" t="e">
        <f>AND('Planilla_General_03-12-2012_9_3'!G100,"AAAAAF//tzc=")</f>
        <v>#VALUE!</v>
      </c>
      <c r="BE7" t="e">
        <f>AND('Planilla_General_03-12-2012_9_3'!H100,"AAAAAF//tzg=")</f>
        <v>#VALUE!</v>
      </c>
      <c r="BF7" t="e">
        <f>AND('Planilla_General_03-12-2012_9_3'!I100,"AAAAAF//tzk=")</f>
        <v>#VALUE!</v>
      </c>
      <c r="BG7" t="e">
        <f>AND('Planilla_General_03-12-2012_9_3'!J100,"AAAAAF//tzo=")</f>
        <v>#VALUE!</v>
      </c>
      <c r="BH7" t="e">
        <f>AND('Planilla_General_03-12-2012_9_3'!K100,"AAAAAF//tzs=")</f>
        <v>#VALUE!</v>
      </c>
      <c r="BI7" t="e">
        <f>AND('Planilla_General_03-12-2012_9_3'!L100,"AAAAAF//tzw=")</f>
        <v>#VALUE!</v>
      </c>
      <c r="BJ7" t="e">
        <f>AND('Planilla_General_03-12-2012_9_3'!M100,"AAAAAF//tz0=")</f>
        <v>#VALUE!</v>
      </c>
      <c r="BK7" t="e">
        <f>AND('Planilla_General_03-12-2012_9_3'!N100,"AAAAAF//tz4=")</f>
        <v>#VALUE!</v>
      </c>
      <c r="BL7" t="e">
        <f>AND('Planilla_General_03-12-2012_9_3'!O100,"AAAAAF//tz8=")</f>
        <v>#VALUE!</v>
      </c>
      <c r="BM7">
        <f>IF('Planilla_General_03-12-2012_9_3'!101:101,"AAAAAF//t0A=",0)</f>
        <v>0</v>
      </c>
      <c r="BN7" t="e">
        <f>AND('Planilla_General_03-12-2012_9_3'!A101,"AAAAAF//t0E=")</f>
        <v>#VALUE!</v>
      </c>
      <c r="BO7" t="e">
        <f>AND('Planilla_General_03-12-2012_9_3'!B101,"AAAAAF//t0I=")</f>
        <v>#VALUE!</v>
      </c>
      <c r="BP7" t="e">
        <f>AND('Planilla_General_03-12-2012_9_3'!C101,"AAAAAF//t0M=")</f>
        <v>#VALUE!</v>
      </c>
      <c r="BQ7" t="e">
        <f>AND('Planilla_General_03-12-2012_9_3'!D101,"AAAAAF//t0Q=")</f>
        <v>#VALUE!</v>
      </c>
      <c r="BR7" t="e">
        <f>AND('Planilla_General_03-12-2012_9_3'!E101,"AAAAAF//t0U=")</f>
        <v>#VALUE!</v>
      </c>
      <c r="BS7" t="e">
        <f>AND('Planilla_General_03-12-2012_9_3'!F101,"AAAAAF//t0Y=")</f>
        <v>#VALUE!</v>
      </c>
      <c r="BT7" t="e">
        <f>AND('Planilla_General_03-12-2012_9_3'!G101,"AAAAAF//t0c=")</f>
        <v>#VALUE!</v>
      </c>
      <c r="BU7" t="e">
        <f>AND('Planilla_General_03-12-2012_9_3'!H101,"AAAAAF//t0g=")</f>
        <v>#VALUE!</v>
      </c>
      <c r="BV7" t="e">
        <f>AND('Planilla_General_03-12-2012_9_3'!I101,"AAAAAF//t0k=")</f>
        <v>#VALUE!</v>
      </c>
      <c r="BW7" t="e">
        <f>AND('Planilla_General_03-12-2012_9_3'!J101,"AAAAAF//t0o=")</f>
        <v>#VALUE!</v>
      </c>
      <c r="BX7" t="e">
        <f>AND('Planilla_General_03-12-2012_9_3'!K101,"AAAAAF//t0s=")</f>
        <v>#VALUE!</v>
      </c>
      <c r="BY7" t="e">
        <f>AND('Planilla_General_03-12-2012_9_3'!L101,"AAAAAF//t0w=")</f>
        <v>#VALUE!</v>
      </c>
      <c r="BZ7" t="e">
        <f>AND('Planilla_General_03-12-2012_9_3'!M101,"AAAAAF//t00=")</f>
        <v>#VALUE!</v>
      </c>
      <c r="CA7" t="e">
        <f>AND('Planilla_General_03-12-2012_9_3'!N101,"AAAAAF//t04=")</f>
        <v>#VALUE!</v>
      </c>
      <c r="CB7" t="e">
        <f>AND('Planilla_General_03-12-2012_9_3'!O101,"AAAAAF//t08=")</f>
        <v>#VALUE!</v>
      </c>
      <c r="CC7">
        <f>IF('Planilla_General_03-12-2012_9_3'!102:102,"AAAAAF//t1A=",0)</f>
        <v>0</v>
      </c>
      <c r="CD7" t="e">
        <f>AND('Planilla_General_03-12-2012_9_3'!A102,"AAAAAF//t1E=")</f>
        <v>#VALUE!</v>
      </c>
      <c r="CE7" t="e">
        <f>AND('Planilla_General_03-12-2012_9_3'!B102,"AAAAAF//t1I=")</f>
        <v>#VALUE!</v>
      </c>
      <c r="CF7" t="e">
        <f>AND('Planilla_General_03-12-2012_9_3'!C102,"AAAAAF//t1M=")</f>
        <v>#VALUE!</v>
      </c>
      <c r="CG7" t="e">
        <f>AND('Planilla_General_03-12-2012_9_3'!D102,"AAAAAF//t1Q=")</f>
        <v>#VALUE!</v>
      </c>
      <c r="CH7" t="e">
        <f>AND('Planilla_General_03-12-2012_9_3'!E102,"AAAAAF//t1U=")</f>
        <v>#VALUE!</v>
      </c>
      <c r="CI7" t="e">
        <f>AND('Planilla_General_03-12-2012_9_3'!F102,"AAAAAF//t1Y=")</f>
        <v>#VALUE!</v>
      </c>
      <c r="CJ7" t="e">
        <f>AND('Planilla_General_03-12-2012_9_3'!G102,"AAAAAF//t1c=")</f>
        <v>#VALUE!</v>
      </c>
      <c r="CK7" t="e">
        <f>AND('Planilla_General_03-12-2012_9_3'!H102,"AAAAAF//t1g=")</f>
        <v>#VALUE!</v>
      </c>
      <c r="CL7" t="e">
        <f>AND('Planilla_General_03-12-2012_9_3'!I102,"AAAAAF//t1k=")</f>
        <v>#VALUE!</v>
      </c>
      <c r="CM7" t="e">
        <f>AND('Planilla_General_03-12-2012_9_3'!J102,"AAAAAF//t1o=")</f>
        <v>#VALUE!</v>
      </c>
      <c r="CN7" t="e">
        <f>AND('Planilla_General_03-12-2012_9_3'!K102,"AAAAAF//t1s=")</f>
        <v>#VALUE!</v>
      </c>
      <c r="CO7" t="e">
        <f>AND('Planilla_General_03-12-2012_9_3'!L102,"AAAAAF//t1w=")</f>
        <v>#VALUE!</v>
      </c>
      <c r="CP7" t="e">
        <f>AND('Planilla_General_03-12-2012_9_3'!M102,"AAAAAF//t10=")</f>
        <v>#VALUE!</v>
      </c>
      <c r="CQ7" t="e">
        <f>AND('Planilla_General_03-12-2012_9_3'!N102,"AAAAAF//t14=")</f>
        <v>#VALUE!</v>
      </c>
      <c r="CR7" t="e">
        <f>AND('Planilla_General_03-12-2012_9_3'!O102,"AAAAAF//t18=")</f>
        <v>#VALUE!</v>
      </c>
      <c r="CS7">
        <f>IF('Planilla_General_03-12-2012_9_3'!103:103,"AAAAAF//t2A=",0)</f>
        <v>0</v>
      </c>
      <c r="CT7" t="e">
        <f>AND('Planilla_General_03-12-2012_9_3'!A103,"AAAAAF//t2E=")</f>
        <v>#VALUE!</v>
      </c>
      <c r="CU7" t="e">
        <f>AND('Planilla_General_03-12-2012_9_3'!B103,"AAAAAF//t2I=")</f>
        <v>#VALUE!</v>
      </c>
      <c r="CV7" t="e">
        <f>AND('Planilla_General_03-12-2012_9_3'!C103,"AAAAAF//t2M=")</f>
        <v>#VALUE!</v>
      </c>
      <c r="CW7" t="e">
        <f>AND('Planilla_General_03-12-2012_9_3'!D103,"AAAAAF//t2Q=")</f>
        <v>#VALUE!</v>
      </c>
      <c r="CX7" t="e">
        <f>AND('Planilla_General_03-12-2012_9_3'!E103,"AAAAAF//t2U=")</f>
        <v>#VALUE!</v>
      </c>
      <c r="CY7" t="e">
        <f>AND('Planilla_General_03-12-2012_9_3'!F103,"AAAAAF//t2Y=")</f>
        <v>#VALUE!</v>
      </c>
      <c r="CZ7" t="e">
        <f>AND('Planilla_General_03-12-2012_9_3'!G103,"AAAAAF//t2c=")</f>
        <v>#VALUE!</v>
      </c>
      <c r="DA7" t="e">
        <f>AND('Planilla_General_03-12-2012_9_3'!H103,"AAAAAF//t2g=")</f>
        <v>#VALUE!</v>
      </c>
      <c r="DB7" t="e">
        <f>AND('Planilla_General_03-12-2012_9_3'!I103,"AAAAAF//t2k=")</f>
        <v>#VALUE!</v>
      </c>
      <c r="DC7" t="e">
        <f>AND('Planilla_General_03-12-2012_9_3'!J103,"AAAAAF//t2o=")</f>
        <v>#VALUE!</v>
      </c>
      <c r="DD7" t="e">
        <f>AND('Planilla_General_03-12-2012_9_3'!K103,"AAAAAF//t2s=")</f>
        <v>#VALUE!</v>
      </c>
      <c r="DE7" t="e">
        <f>AND('Planilla_General_03-12-2012_9_3'!L103,"AAAAAF//t2w=")</f>
        <v>#VALUE!</v>
      </c>
      <c r="DF7" t="e">
        <f>AND('Planilla_General_03-12-2012_9_3'!M103,"AAAAAF//t20=")</f>
        <v>#VALUE!</v>
      </c>
      <c r="DG7" t="e">
        <f>AND('Planilla_General_03-12-2012_9_3'!N103,"AAAAAF//t24=")</f>
        <v>#VALUE!</v>
      </c>
      <c r="DH7" t="e">
        <f>AND('Planilla_General_03-12-2012_9_3'!O103,"AAAAAF//t28=")</f>
        <v>#VALUE!</v>
      </c>
      <c r="DI7">
        <f>IF('Planilla_General_03-12-2012_9_3'!104:104,"AAAAAF//t3A=",0)</f>
        <v>0</v>
      </c>
      <c r="DJ7" t="e">
        <f>AND('Planilla_General_03-12-2012_9_3'!A104,"AAAAAF//t3E=")</f>
        <v>#VALUE!</v>
      </c>
      <c r="DK7" t="e">
        <f>AND('Planilla_General_03-12-2012_9_3'!B104,"AAAAAF//t3I=")</f>
        <v>#VALUE!</v>
      </c>
      <c r="DL7" t="e">
        <f>AND('Planilla_General_03-12-2012_9_3'!C104,"AAAAAF//t3M=")</f>
        <v>#VALUE!</v>
      </c>
      <c r="DM7" t="e">
        <f>AND('Planilla_General_03-12-2012_9_3'!D104,"AAAAAF//t3Q=")</f>
        <v>#VALUE!</v>
      </c>
      <c r="DN7" t="e">
        <f>AND('Planilla_General_03-12-2012_9_3'!E104,"AAAAAF//t3U=")</f>
        <v>#VALUE!</v>
      </c>
      <c r="DO7" t="e">
        <f>AND('Planilla_General_03-12-2012_9_3'!F104,"AAAAAF//t3Y=")</f>
        <v>#VALUE!</v>
      </c>
      <c r="DP7" t="e">
        <f>AND('Planilla_General_03-12-2012_9_3'!G104,"AAAAAF//t3c=")</f>
        <v>#VALUE!</v>
      </c>
      <c r="DQ7" t="e">
        <f>AND('Planilla_General_03-12-2012_9_3'!H104,"AAAAAF//t3g=")</f>
        <v>#VALUE!</v>
      </c>
      <c r="DR7" t="e">
        <f>AND('Planilla_General_03-12-2012_9_3'!I104,"AAAAAF//t3k=")</f>
        <v>#VALUE!</v>
      </c>
      <c r="DS7" t="e">
        <f>AND('Planilla_General_03-12-2012_9_3'!J104,"AAAAAF//t3o=")</f>
        <v>#VALUE!</v>
      </c>
      <c r="DT7" t="e">
        <f>AND('Planilla_General_03-12-2012_9_3'!K104,"AAAAAF//t3s=")</f>
        <v>#VALUE!</v>
      </c>
      <c r="DU7" t="e">
        <f>AND('Planilla_General_03-12-2012_9_3'!L104,"AAAAAF//t3w=")</f>
        <v>#VALUE!</v>
      </c>
      <c r="DV7" t="e">
        <f>AND('Planilla_General_03-12-2012_9_3'!M104,"AAAAAF//t30=")</f>
        <v>#VALUE!</v>
      </c>
      <c r="DW7" t="e">
        <f>AND('Planilla_General_03-12-2012_9_3'!N104,"AAAAAF//t34=")</f>
        <v>#VALUE!</v>
      </c>
      <c r="DX7" t="e">
        <f>AND('Planilla_General_03-12-2012_9_3'!O104,"AAAAAF//t38=")</f>
        <v>#VALUE!</v>
      </c>
      <c r="DY7">
        <f>IF('Planilla_General_03-12-2012_9_3'!105:105,"AAAAAF//t4A=",0)</f>
        <v>0</v>
      </c>
      <c r="DZ7" t="e">
        <f>AND('Planilla_General_03-12-2012_9_3'!A105,"AAAAAF//t4E=")</f>
        <v>#VALUE!</v>
      </c>
      <c r="EA7" t="e">
        <f>AND('Planilla_General_03-12-2012_9_3'!B105,"AAAAAF//t4I=")</f>
        <v>#VALUE!</v>
      </c>
      <c r="EB7" t="e">
        <f>AND('Planilla_General_03-12-2012_9_3'!C105,"AAAAAF//t4M=")</f>
        <v>#VALUE!</v>
      </c>
      <c r="EC7" t="e">
        <f>AND('Planilla_General_03-12-2012_9_3'!D105,"AAAAAF//t4Q=")</f>
        <v>#VALUE!</v>
      </c>
      <c r="ED7" t="e">
        <f>AND('Planilla_General_03-12-2012_9_3'!E105,"AAAAAF//t4U=")</f>
        <v>#VALUE!</v>
      </c>
      <c r="EE7" t="e">
        <f>AND('Planilla_General_03-12-2012_9_3'!F105,"AAAAAF//t4Y=")</f>
        <v>#VALUE!</v>
      </c>
      <c r="EF7" t="e">
        <f>AND('Planilla_General_03-12-2012_9_3'!G105,"AAAAAF//t4c=")</f>
        <v>#VALUE!</v>
      </c>
      <c r="EG7" t="e">
        <f>AND('Planilla_General_03-12-2012_9_3'!H105,"AAAAAF//t4g=")</f>
        <v>#VALUE!</v>
      </c>
      <c r="EH7" t="e">
        <f>AND('Planilla_General_03-12-2012_9_3'!I105,"AAAAAF//t4k=")</f>
        <v>#VALUE!</v>
      </c>
      <c r="EI7" t="e">
        <f>AND('Planilla_General_03-12-2012_9_3'!J105,"AAAAAF//t4o=")</f>
        <v>#VALUE!</v>
      </c>
      <c r="EJ7" t="e">
        <f>AND('Planilla_General_03-12-2012_9_3'!K105,"AAAAAF//t4s=")</f>
        <v>#VALUE!</v>
      </c>
      <c r="EK7" t="e">
        <f>AND('Planilla_General_03-12-2012_9_3'!L105,"AAAAAF//t4w=")</f>
        <v>#VALUE!</v>
      </c>
      <c r="EL7" t="e">
        <f>AND('Planilla_General_03-12-2012_9_3'!M105,"AAAAAF//t40=")</f>
        <v>#VALUE!</v>
      </c>
      <c r="EM7" t="e">
        <f>AND('Planilla_General_03-12-2012_9_3'!N105,"AAAAAF//t44=")</f>
        <v>#VALUE!</v>
      </c>
      <c r="EN7" t="e">
        <f>AND('Planilla_General_03-12-2012_9_3'!O105,"AAAAAF//t48=")</f>
        <v>#VALUE!</v>
      </c>
      <c r="EO7">
        <f>IF('Planilla_General_03-12-2012_9_3'!106:106,"AAAAAF//t5A=",0)</f>
        <v>0</v>
      </c>
      <c r="EP7" t="e">
        <f>AND('Planilla_General_03-12-2012_9_3'!A106,"AAAAAF//t5E=")</f>
        <v>#VALUE!</v>
      </c>
      <c r="EQ7" t="e">
        <f>AND('Planilla_General_03-12-2012_9_3'!B106,"AAAAAF//t5I=")</f>
        <v>#VALUE!</v>
      </c>
      <c r="ER7" t="e">
        <f>AND('Planilla_General_03-12-2012_9_3'!C106,"AAAAAF//t5M=")</f>
        <v>#VALUE!</v>
      </c>
      <c r="ES7" t="e">
        <f>AND('Planilla_General_03-12-2012_9_3'!D106,"AAAAAF//t5Q=")</f>
        <v>#VALUE!</v>
      </c>
      <c r="ET7" t="e">
        <f>AND('Planilla_General_03-12-2012_9_3'!E106,"AAAAAF//t5U=")</f>
        <v>#VALUE!</v>
      </c>
      <c r="EU7" t="e">
        <f>AND('Planilla_General_03-12-2012_9_3'!F106,"AAAAAF//t5Y=")</f>
        <v>#VALUE!</v>
      </c>
      <c r="EV7" t="e">
        <f>AND('Planilla_General_03-12-2012_9_3'!G106,"AAAAAF//t5c=")</f>
        <v>#VALUE!</v>
      </c>
      <c r="EW7" t="e">
        <f>AND('Planilla_General_03-12-2012_9_3'!H106,"AAAAAF//t5g=")</f>
        <v>#VALUE!</v>
      </c>
      <c r="EX7" t="e">
        <f>AND('Planilla_General_03-12-2012_9_3'!I106,"AAAAAF//t5k=")</f>
        <v>#VALUE!</v>
      </c>
      <c r="EY7" t="e">
        <f>AND('Planilla_General_03-12-2012_9_3'!J106,"AAAAAF//t5o=")</f>
        <v>#VALUE!</v>
      </c>
      <c r="EZ7" t="e">
        <f>AND('Planilla_General_03-12-2012_9_3'!K106,"AAAAAF//t5s=")</f>
        <v>#VALUE!</v>
      </c>
      <c r="FA7" t="e">
        <f>AND('Planilla_General_03-12-2012_9_3'!L106,"AAAAAF//t5w=")</f>
        <v>#VALUE!</v>
      </c>
      <c r="FB7" t="e">
        <f>AND('Planilla_General_03-12-2012_9_3'!M106,"AAAAAF//t50=")</f>
        <v>#VALUE!</v>
      </c>
      <c r="FC7" t="e">
        <f>AND('Planilla_General_03-12-2012_9_3'!N106,"AAAAAF//t54=")</f>
        <v>#VALUE!</v>
      </c>
      <c r="FD7" t="e">
        <f>AND('Planilla_General_03-12-2012_9_3'!O106,"AAAAAF//t58=")</f>
        <v>#VALUE!</v>
      </c>
      <c r="FE7">
        <f>IF('Planilla_General_03-12-2012_9_3'!107:107,"AAAAAF//t6A=",0)</f>
        <v>0</v>
      </c>
      <c r="FF7" t="e">
        <f>AND('Planilla_General_03-12-2012_9_3'!A107,"AAAAAF//t6E=")</f>
        <v>#VALUE!</v>
      </c>
      <c r="FG7" t="e">
        <f>AND('Planilla_General_03-12-2012_9_3'!B107,"AAAAAF//t6I=")</f>
        <v>#VALUE!</v>
      </c>
      <c r="FH7" t="e">
        <f>AND('Planilla_General_03-12-2012_9_3'!C107,"AAAAAF//t6M=")</f>
        <v>#VALUE!</v>
      </c>
      <c r="FI7" t="e">
        <f>AND('Planilla_General_03-12-2012_9_3'!D107,"AAAAAF//t6Q=")</f>
        <v>#VALUE!</v>
      </c>
      <c r="FJ7" t="e">
        <f>AND('Planilla_General_03-12-2012_9_3'!E107,"AAAAAF//t6U=")</f>
        <v>#VALUE!</v>
      </c>
      <c r="FK7" t="e">
        <f>AND('Planilla_General_03-12-2012_9_3'!F107,"AAAAAF//t6Y=")</f>
        <v>#VALUE!</v>
      </c>
      <c r="FL7" t="e">
        <f>AND('Planilla_General_03-12-2012_9_3'!G107,"AAAAAF//t6c=")</f>
        <v>#VALUE!</v>
      </c>
      <c r="FM7" t="e">
        <f>AND('Planilla_General_03-12-2012_9_3'!H107,"AAAAAF//t6g=")</f>
        <v>#VALUE!</v>
      </c>
      <c r="FN7" t="e">
        <f>AND('Planilla_General_03-12-2012_9_3'!I107,"AAAAAF//t6k=")</f>
        <v>#VALUE!</v>
      </c>
      <c r="FO7" t="e">
        <f>AND('Planilla_General_03-12-2012_9_3'!J107,"AAAAAF//t6o=")</f>
        <v>#VALUE!</v>
      </c>
      <c r="FP7" t="e">
        <f>AND('Planilla_General_03-12-2012_9_3'!K107,"AAAAAF//t6s=")</f>
        <v>#VALUE!</v>
      </c>
      <c r="FQ7" t="e">
        <f>AND('Planilla_General_03-12-2012_9_3'!L107,"AAAAAF//t6w=")</f>
        <v>#VALUE!</v>
      </c>
      <c r="FR7" t="e">
        <f>AND('Planilla_General_03-12-2012_9_3'!M107,"AAAAAF//t60=")</f>
        <v>#VALUE!</v>
      </c>
      <c r="FS7" t="e">
        <f>AND('Planilla_General_03-12-2012_9_3'!N107,"AAAAAF//t64=")</f>
        <v>#VALUE!</v>
      </c>
      <c r="FT7" t="e">
        <f>AND('Planilla_General_03-12-2012_9_3'!O107,"AAAAAF//t68=")</f>
        <v>#VALUE!</v>
      </c>
      <c r="FU7">
        <f>IF('Planilla_General_03-12-2012_9_3'!108:108,"AAAAAF//t7A=",0)</f>
        <v>0</v>
      </c>
      <c r="FV7" t="e">
        <f>AND('Planilla_General_03-12-2012_9_3'!A108,"AAAAAF//t7E=")</f>
        <v>#VALUE!</v>
      </c>
      <c r="FW7" t="e">
        <f>AND('Planilla_General_03-12-2012_9_3'!B108,"AAAAAF//t7I=")</f>
        <v>#VALUE!</v>
      </c>
      <c r="FX7" t="e">
        <f>AND('Planilla_General_03-12-2012_9_3'!C108,"AAAAAF//t7M=")</f>
        <v>#VALUE!</v>
      </c>
      <c r="FY7" t="e">
        <f>AND('Planilla_General_03-12-2012_9_3'!D108,"AAAAAF//t7Q=")</f>
        <v>#VALUE!</v>
      </c>
      <c r="FZ7" t="e">
        <f>AND('Planilla_General_03-12-2012_9_3'!E108,"AAAAAF//t7U=")</f>
        <v>#VALUE!</v>
      </c>
      <c r="GA7" t="e">
        <f>AND('Planilla_General_03-12-2012_9_3'!F108,"AAAAAF//t7Y=")</f>
        <v>#VALUE!</v>
      </c>
      <c r="GB7" t="e">
        <f>AND('Planilla_General_03-12-2012_9_3'!G108,"AAAAAF//t7c=")</f>
        <v>#VALUE!</v>
      </c>
      <c r="GC7" t="e">
        <f>AND('Planilla_General_03-12-2012_9_3'!H108,"AAAAAF//t7g=")</f>
        <v>#VALUE!</v>
      </c>
      <c r="GD7" t="e">
        <f>AND('Planilla_General_03-12-2012_9_3'!I108,"AAAAAF//t7k=")</f>
        <v>#VALUE!</v>
      </c>
      <c r="GE7" t="e">
        <f>AND('Planilla_General_03-12-2012_9_3'!J108,"AAAAAF//t7o=")</f>
        <v>#VALUE!</v>
      </c>
      <c r="GF7" t="e">
        <f>AND('Planilla_General_03-12-2012_9_3'!K108,"AAAAAF//t7s=")</f>
        <v>#VALUE!</v>
      </c>
      <c r="GG7" t="e">
        <f>AND('Planilla_General_03-12-2012_9_3'!L108,"AAAAAF//t7w=")</f>
        <v>#VALUE!</v>
      </c>
      <c r="GH7" t="e">
        <f>AND('Planilla_General_03-12-2012_9_3'!M108,"AAAAAF//t70=")</f>
        <v>#VALUE!</v>
      </c>
      <c r="GI7" t="e">
        <f>AND('Planilla_General_03-12-2012_9_3'!N108,"AAAAAF//t74=")</f>
        <v>#VALUE!</v>
      </c>
      <c r="GJ7" t="e">
        <f>AND('Planilla_General_03-12-2012_9_3'!O108,"AAAAAF//t78=")</f>
        <v>#VALUE!</v>
      </c>
      <c r="GK7">
        <f>IF('Planilla_General_03-12-2012_9_3'!109:109,"AAAAAF//t8A=",0)</f>
        <v>0</v>
      </c>
      <c r="GL7" t="e">
        <f>AND('Planilla_General_03-12-2012_9_3'!A109,"AAAAAF//t8E=")</f>
        <v>#VALUE!</v>
      </c>
      <c r="GM7" t="e">
        <f>AND('Planilla_General_03-12-2012_9_3'!B109,"AAAAAF//t8I=")</f>
        <v>#VALUE!</v>
      </c>
      <c r="GN7" t="e">
        <f>AND('Planilla_General_03-12-2012_9_3'!C109,"AAAAAF//t8M=")</f>
        <v>#VALUE!</v>
      </c>
      <c r="GO7" t="e">
        <f>AND('Planilla_General_03-12-2012_9_3'!D109,"AAAAAF//t8Q=")</f>
        <v>#VALUE!</v>
      </c>
      <c r="GP7" t="e">
        <f>AND('Planilla_General_03-12-2012_9_3'!E109,"AAAAAF//t8U=")</f>
        <v>#VALUE!</v>
      </c>
      <c r="GQ7" t="e">
        <f>AND('Planilla_General_03-12-2012_9_3'!F109,"AAAAAF//t8Y=")</f>
        <v>#VALUE!</v>
      </c>
      <c r="GR7" t="e">
        <f>AND('Planilla_General_03-12-2012_9_3'!G109,"AAAAAF//t8c=")</f>
        <v>#VALUE!</v>
      </c>
      <c r="GS7" t="e">
        <f>AND('Planilla_General_03-12-2012_9_3'!H109,"AAAAAF//t8g=")</f>
        <v>#VALUE!</v>
      </c>
      <c r="GT7" t="e">
        <f>AND('Planilla_General_03-12-2012_9_3'!I109,"AAAAAF//t8k=")</f>
        <v>#VALUE!</v>
      </c>
      <c r="GU7" t="e">
        <f>AND('Planilla_General_03-12-2012_9_3'!J109,"AAAAAF//t8o=")</f>
        <v>#VALUE!</v>
      </c>
      <c r="GV7" t="e">
        <f>AND('Planilla_General_03-12-2012_9_3'!K109,"AAAAAF//t8s=")</f>
        <v>#VALUE!</v>
      </c>
      <c r="GW7" t="e">
        <f>AND('Planilla_General_03-12-2012_9_3'!L109,"AAAAAF//t8w=")</f>
        <v>#VALUE!</v>
      </c>
      <c r="GX7" t="e">
        <f>AND('Planilla_General_03-12-2012_9_3'!M109,"AAAAAF//t80=")</f>
        <v>#VALUE!</v>
      </c>
      <c r="GY7" t="e">
        <f>AND('Planilla_General_03-12-2012_9_3'!N109,"AAAAAF//t84=")</f>
        <v>#VALUE!</v>
      </c>
      <c r="GZ7" t="e">
        <f>AND('Planilla_General_03-12-2012_9_3'!O109,"AAAAAF//t88=")</f>
        <v>#VALUE!</v>
      </c>
      <c r="HA7">
        <f>IF('Planilla_General_03-12-2012_9_3'!110:110,"AAAAAF//t9A=",0)</f>
        <v>0</v>
      </c>
      <c r="HB7" t="e">
        <f>AND('Planilla_General_03-12-2012_9_3'!A110,"AAAAAF//t9E=")</f>
        <v>#VALUE!</v>
      </c>
      <c r="HC7" t="e">
        <f>AND('Planilla_General_03-12-2012_9_3'!B110,"AAAAAF//t9I=")</f>
        <v>#VALUE!</v>
      </c>
      <c r="HD7" t="e">
        <f>AND('Planilla_General_03-12-2012_9_3'!C110,"AAAAAF//t9M=")</f>
        <v>#VALUE!</v>
      </c>
      <c r="HE7" t="e">
        <f>AND('Planilla_General_03-12-2012_9_3'!D110,"AAAAAF//t9Q=")</f>
        <v>#VALUE!</v>
      </c>
      <c r="HF7" t="e">
        <f>AND('Planilla_General_03-12-2012_9_3'!E110,"AAAAAF//t9U=")</f>
        <v>#VALUE!</v>
      </c>
      <c r="HG7" t="e">
        <f>AND('Planilla_General_03-12-2012_9_3'!F110,"AAAAAF//t9Y=")</f>
        <v>#VALUE!</v>
      </c>
      <c r="HH7" t="e">
        <f>AND('Planilla_General_03-12-2012_9_3'!G110,"AAAAAF//t9c=")</f>
        <v>#VALUE!</v>
      </c>
      <c r="HI7" t="e">
        <f>AND('Planilla_General_03-12-2012_9_3'!H110,"AAAAAF//t9g=")</f>
        <v>#VALUE!</v>
      </c>
      <c r="HJ7" t="e">
        <f>AND('Planilla_General_03-12-2012_9_3'!I110,"AAAAAF//t9k=")</f>
        <v>#VALUE!</v>
      </c>
      <c r="HK7" t="e">
        <f>AND('Planilla_General_03-12-2012_9_3'!J110,"AAAAAF//t9o=")</f>
        <v>#VALUE!</v>
      </c>
      <c r="HL7" t="e">
        <f>AND('Planilla_General_03-12-2012_9_3'!K110,"AAAAAF//t9s=")</f>
        <v>#VALUE!</v>
      </c>
      <c r="HM7" t="e">
        <f>AND('Planilla_General_03-12-2012_9_3'!L110,"AAAAAF//t9w=")</f>
        <v>#VALUE!</v>
      </c>
      <c r="HN7" t="e">
        <f>AND('Planilla_General_03-12-2012_9_3'!M110,"AAAAAF//t90=")</f>
        <v>#VALUE!</v>
      </c>
      <c r="HO7" t="e">
        <f>AND('Planilla_General_03-12-2012_9_3'!N110,"AAAAAF//t94=")</f>
        <v>#VALUE!</v>
      </c>
      <c r="HP7" t="e">
        <f>AND('Planilla_General_03-12-2012_9_3'!O110,"AAAAAF//t98=")</f>
        <v>#VALUE!</v>
      </c>
      <c r="HQ7">
        <f>IF('Planilla_General_03-12-2012_9_3'!111:111,"AAAAAF//t+A=",0)</f>
        <v>0</v>
      </c>
      <c r="HR7" t="e">
        <f>AND('Planilla_General_03-12-2012_9_3'!A111,"AAAAAF//t+E=")</f>
        <v>#VALUE!</v>
      </c>
      <c r="HS7" t="e">
        <f>AND('Planilla_General_03-12-2012_9_3'!B111,"AAAAAF//t+I=")</f>
        <v>#VALUE!</v>
      </c>
      <c r="HT7" t="e">
        <f>AND('Planilla_General_03-12-2012_9_3'!C111,"AAAAAF//t+M=")</f>
        <v>#VALUE!</v>
      </c>
      <c r="HU7" t="e">
        <f>AND('Planilla_General_03-12-2012_9_3'!D111,"AAAAAF//t+Q=")</f>
        <v>#VALUE!</v>
      </c>
      <c r="HV7" t="e">
        <f>AND('Planilla_General_03-12-2012_9_3'!E111,"AAAAAF//t+U=")</f>
        <v>#VALUE!</v>
      </c>
      <c r="HW7" t="e">
        <f>AND('Planilla_General_03-12-2012_9_3'!F111,"AAAAAF//t+Y=")</f>
        <v>#VALUE!</v>
      </c>
      <c r="HX7" t="e">
        <f>AND('Planilla_General_03-12-2012_9_3'!G111,"AAAAAF//t+c=")</f>
        <v>#VALUE!</v>
      </c>
      <c r="HY7" t="e">
        <f>AND('Planilla_General_03-12-2012_9_3'!H111,"AAAAAF//t+g=")</f>
        <v>#VALUE!</v>
      </c>
      <c r="HZ7" t="e">
        <f>AND('Planilla_General_03-12-2012_9_3'!I111,"AAAAAF//t+k=")</f>
        <v>#VALUE!</v>
      </c>
      <c r="IA7" t="e">
        <f>AND('Planilla_General_03-12-2012_9_3'!J111,"AAAAAF//t+o=")</f>
        <v>#VALUE!</v>
      </c>
      <c r="IB7" t="e">
        <f>AND('Planilla_General_03-12-2012_9_3'!K111,"AAAAAF//t+s=")</f>
        <v>#VALUE!</v>
      </c>
      <c r="IC7" t="e">
        <f>AND('Planilla_General_03-12-2012_9_3'!L111,"AAAAAF//t+w=")</f>
        <v>#VALUE!</v>
      </c>
      <c r="ID7" t="e">
        <f>AND('Planilla_General_03-12-2012_9_3'!M111,"AAAAAF//t+0=")</f>
        <v>#VALUE!</v>
      </c>
      <c r="IE7" t="e">
        <f>AND('Planilla_General_03-12-2012_9_3'!N111,"AAAAAF//t+4=")</f>
        <v>#VALUE!</v>
      </c>
      <c r="IF7" t="e">
        <f>AND('Planilla_General_03-12-2012_9_3'!O111,"AAAAAF//t+8=")</f>
        <v>#VALUE!</v>
      </c>
      <c r="IG7">
        <f>IF('Planilla_General_03-12-2012_9_3'!112:112,"AAAAAF//t/A=",0)</f>
        <v>0</v>
      </c>
      <c r="IH7" t="e">
        <f>AND('Planilla_General_03-12-2012_9_3'!A112,"AAAAAF//t/E=")</f>
        <v>#VALUE!</v>
      </c>
      <c r="II7" t="e">
        <f>AND('Planilla_General_03-12-2012_9_3'!B112,"AAAAAF//t/I=")</f>
        <v>#VALUE!</v>
      </c>
      <c r="IJ7" t="e">
        <f>AND('Planilla_General_03-12-2012_9_3'!C112,"AAAAAF//t/M=")</f>
        <v>#VALUE!</v>
      </c>
      <c r="IK7" t="e">
        <f>AND('Planilla_General_03-12-2012_9_3'!D112,"AAAAAF//t/Q=")</f>
        <v>#VALUE!</v>
      </c>
      <c r="IL7" t="e">
        <f>AND('Planilla_General_03-12-2012_9_3'!E112,"AAAAAF//t/U=")</f>
        <v>#VALUE!</v>
      </c>
      <c r="IM7" t="e">
        <f>AND('Planilla_General_03-12-2012_9_3'!F112,"AAAAAF//t/Y=")</f>
        <v>#VALUE!</v>
      </c>
      <c r="IN7" t="e">
        <f>AND('Planilla_General_03-12-2012_9_3'!G112,"AAAAAF//t/c=")</f>
        <v>#VALUE!</v>
      </c>
      <c r="IO7" t="e">
        <f>AND('Planilla_General_03-12-2012_9_3'!H112,"AAAAAF//t/g=")</f>
        <v>#VALUE!</v>
      </c>
      <c r="IP7" t="e">
        <f>AND('Planilla_General_03-12-2012_9_3'!I112,"AAAAAF//t/k=")</f>
        <v>#VALUE!</v>
      </c>
      <c r="IQ7" t="e">
        <f>AND('Planilla_General_03-12-2012_9_3'!J112,"AAAAAF//t/o=")</f>
        <v>#VALUE!</v>
      </c>
      <c r="IR7" t="e">
        <f>AND('Planilla_General_03-12-2012_9_3'!K112,"AAAAAF//t/s=")</f>
        <v>#VALUE!</v>
      </c>
      <c r="IS7" t="e">
        <f>AND('Planilla_General_03-12-2012_9_3'!L112,"AAAAAF//t/w=")</f>
        <v>#VALUE!</v>
      </c>
      <c r="IT7" t="e">
        <f>AND('Planilla_General_03-12-2012_9_3'!M112,"AAAAAF//t/0=")</f>
        <v>#VALUE!</v>
      </c>
      <c r="IU7" t="e">
        <f>AND('Planilla_General_03-12-2012_9_3'!N112,"AAAAAF//t/4=")</f>
        <v>#VALUE!</v>
      </c>
      <c r="IV7" t="e">
        <f>AND('Planilla_General_03-12-2012_9_3'!O112,"AAAAAF//t/8=")</f>
        <v>#VALUE!</v>
      </c>
    </row>
    <row r="8" spans="1:256" x14ac:dyDescent="0.25">
      <c r="A8" t="e">
        <f>IF('Planilla_General_03-12-2012_9_3'!113:113,"AAAAAEM99wA=",0)</f>
        <v>#VALUE!</v>
      </c>
      <c r="B8" t="e">
        <f>AND('Planilla_General_03-12-2012_9_3'!A113,"AAAAAEM99wE=")</f>
        <v>#VALUE!</v>
      </c>
      <c r="C8" t="e">
        <f>AND('Planilla_General_03-12-2012_9_3'!B113,"AAAAAEM99wI=")</f>
        <v>#VALUE!</v>
      </c>
      <c r="D8" t="e">
        <f>AND('Planilla_General_03-12-2012_9_3'!C113,"AAAAAEM99wM=")</f>
        <v>#VALUE!</v>
      </c>
      <c r="E8" t="e">
        <f>AND('Planilla_General_03-12-2012_9_3'!D113,"AAAAAEM99wQ=")</f>
        <v>#VALUE!</v>
      </c>
      <c r="F8" t="e">
        <f>AND('Planilla_General_03-12-2012_9_3'!E113,"AAAAAEM99wU=")</f>
        <v>#VALUE!</v>
      </c>
      <c r="G8" t="e">
        <f>AND('Planilla_General_03-12-2012_9_3'!F113,"AAAAAEM99wY=")</f>
        <v>#VALUE!</v>
      </c>
      <c r="H8" t="e">
        <f>AND('Planilla_General_03-12-2012_9_3'!G113,"AAAAAEM99wc=")</f>
        <v>#VALUE!</v>
      </c>
      <c r="I8" t="e">
        <f>AND('Planilla_General_03-12-2012_9_3'!H113,"AAAAAEM99wg=")</f>
        <v>#VALUE!</v>
      </c>
      <c r="J8" t="e">
        <f>AND('Planilla_General_03-12-2012_9_3'!I113,"AAAAAEM99wk=")</f>
        <v>#VALUE!</v>
      </c>
      <c r="K8" t="e">
        <f>AND('Planilla_General_03-12-2012_9_3'!J113,"AAAAAEM99wo=")</f>
        <v>#VALUE!</v>
      </c>
      <c r="L8" t="e">
        <f>AND('Planilla_General_03-12-2012_9_3'!K113,"AAAAAEM99ws=")</f>
        <v>#VALUE!</v>
      </c>
      <c r="M8" t="e">
        <f>AND('Planilla_General_03-12-2012_9_3'!L113,"AAAAAEM99ww=")</f>
        <v>#VALUE!</v>
      </c>
      <c r="N8" t="e">
        <f>AND('Planilla_General_03-12-2012_9_3'!M113,"AAAAAEM99w0=")</f>
        <v>#VALUE!</v>
      </c>
      <c r="O8" t="e">
        <f>AND('Planilla_General_03-12-2012_9_3'!N113,"AAAAAEM99w4=")</f>
        <v>#VALUE!</v>
      </c>
      <c r="P8" t="e">
        <f>AND('Planilla_General_03-12-2012_9_3'!O113,"AAAAAEM99w8=")</f>
        <v>#VALUE!</v>
      </c>
      <c r="Q8">
        <f>IF('Planilla_General_03-12-2012_9_3'!114:114,"AAAAAEM99xA=",0)</f>
        <v>0</v>
      </c>
      <c r="R8" t="e">
        <f>AND('Planilla_General_03-12-2012_9_3'!A114,"AAAAAEM99xE=")</f>
        <v>#VALUE!</v>
      </c>
      <c r="S8" t="e">
        <f>AND('Planilla_General_03-12-2012_9_3'!B114,"AAAAAEM99xI=")</f>
        <v>#VALUE!</v>
      </c>
      <c r="T8" t="e">
        <f>AND('Planilla_General_03-12-2012_9_3'!C114,"AAAAAEM99xM=")</f>
        <v>#VALUE!</v>
      </c>
      <c r="U8" t="e">
        <f>AND('Planilla_General_03-12-2012_9_3'!D114,"AAAAAEM99xQ=")</f>
        <v>#VALUE!</v>
      </c>
      <c r="V8" t="e">
        <f>AND('Planilla_General_03-12-2012_9_3'!E114,"AAAAAEM99xU=")</f>
        <v>#VALUE!</v>
      </c>
      <c r="W8" t="e">
        <f>AND('Planilla_General_03-12-2012_9_3'!F114,"AAAAAEM99xY=")</f>
        <v>#VALUE!</v>
      </c>
      <c r="X8" t="e">
        <f>AND('Planilla_General_03-12-2012_9_3'!G114,"AAAAAEM99xc=")</f>
        <v>#VALUE!</v>
      </c>
      <c r="Y8" t="e">
        <f>AND('Planilla_General_03-12-2012_9_3'!H114,"AAAAAEM99xg=")</f>
        <v>#VALUE!</v>
      </c>
      <c r="Z8" t="e">
        <f>AND('Planilla_General_03-12-2012_9_3'!I114,"AAAAAEM99xk=")</f>
        <v>#VALUE!</v>
      </c>
      <c r="AA8" t="e">
        <f>AND('Planilla_General_03-12-2012_9_3'!J114,"AAAAAEM99xo=")</f>
        <v>#VALUE!</v>
      </c>
      <c r="AB8" t="e">
        <f>AND('Planilla_General_03-12-2012_9_3'!K114,"AAAAAEM99xs=")</f>
        <v>#VALUE!</v>
      </c>
      <c r="AC8" t="e">
        <f>AND('Planilla_General_03-12-2012_9_3'!L114,"AAAAAEM99xw=")</f>
        <v>#VALUE!</v>
      </c>
      <c r="AD8" t="e">
        <f>AND('Planilla_General_03-12-2012_9_3'!M114,"AAAAAEM99x0=")</f>
        <v>#VALUE!</v>
      </c>
      <c r="AE8" t="e">
        <f>AND('Planilla_General_03-12-2012_9_3'!N114,"AAAAAEM99x4=")</f>
        <v>#VALUE!</v>
      </c>
      <c r="AF8" t="e">
        <f>AND('Planilla_General_03-12-2012_9_3'!O114,"AAAAAEM99x8=")</f>
        <v>#VALUE!</v>
      </c>
      <c r="AG8">
        <f>IF('Planilla_General_03-12-2012_9_3'!115:115,"AAAAAEM99yA=",0)</f>
        <v>0</v>
      </c>
      <c r="AH8" t="e">
        <f>AND('Planilla_General_03-12-2012_9_3'!A115,"AAAAAEM99yE=")</f>
        <v>#VALUE!</v>
      </c>
      <c r="AI8" t="e">
        <f>AND('Planilla_General_03-12-2012_9_3'!B115,"AAAAAEM99yI=")</f>
        <v>#VALUE!</v>
      </c>
      <c r="AJ8" t="e">
        <f>AND('Planilla_General_03-12-2012_9_3'!C115,"AAAAAEM99yM=")</f>
        <v>#VALUE!</v>
      </c>
      <c r="AK8" t="e">
        <f>AND('Planilla_General_03-12-2012_9_3'!D115,"AAAAAEM99yQ=")</f>
        <v>#VALUE!</v>
      </c>
      <c r="AL8" t="e">
        <f>AND('Planilla_General_03-12-2012_9_3'!E115,"AAAAAEM99yU=")</f>
        <v>#VALUE!</v>
      </c>
      <c r="AM8" t="e">
        <f>AND('Planilla_General_03-12-2012_9_3'!F115,"AAAAAEM99yY=")</f>
        <v>#VALUE!</v>
      </c>
      <c r="AN8" t="e">
        <f>AND('Planilla_General_03-12-2012_9_3'!G115,"AAAAAEM99yc=")</f>
        <v>#VALUE!</v>
      </c>
      <c r="AO8" t="e">
        <f>AND('Planilla_General_03-12-2012_9_3'!H115,"AAAAAEM99yg=")</f>
        <v>#VALUE!</v>
      </c>
      <c r="AP8" t="e">
        <f>AND('Planilla_General_03-12-2012_9_3'!I115,"AAAAAEM99yk=")</f>
        <v>#VALUE!</v>
      </c>
      <c r="AQ8" t="e">
        <f>AND('Planilla_General_03-12-2012_9_3'!J115,"AAAAAEM99yo=")</f>
        <v>#VALUE!</v>
      </c>
      <c r="AR8" t="e">
        <f>AND('Planilla_General_03-12-2012_9_3'!K115,"AAAAAEM99ys=")</f>
        <v>#VALUE!</v>
      </c>
      <c r="AS8" t="e">
        <f>AND('Planilla_General_03-12-2012_9_3'!L115,"AAAAAEM99yw=")</f>
        <v>#VALUE!</v>
      </c>
      <c r="AT8" t="e">
        <f>AND('Planilla_General_03-12-2012_9_3'!M115,"AAAAAEM99y0=")</f>
        <v>#VALUE!</v>
      </c>
      <c r="AU8" t="e">
        <f>AND('Planilla_General_03-12-2012_9_3'!N115,"AAAAAEM99y4=")</f>
        <v>#VALUE!</v>
      </c>
      <c r="AV8" t="e">
        <f>AND('Planilla_General_03-12-2012_9_3'!O115,"AAAAAEM99y8=")</f>
        <v>#VALUE!</v>
      </c>
      <c r="AW8">
        <f>IF('Planilla_General_03-12-2012_9_3'!116:116,"AAAAAEM99zA=",0)</f>
        <v>0</v>
      </c>
      <c r="AX8" t="e">
        <f>AND('Planilla_General_03-12-2012_9_3'!A116,"AAAAAEM99zE=")</f>
        <v>#VALUE!</v>
      </c>
      <c r="AY8" t="e">
        <f>AND('Planilla_General_03-12-2012_9_3'!B116,"AAAAAEM99zI=")</f>
        <v>#VALUE!</v>
      </c>
      <c r="AZ8" t="e">
        <f>AND('Planilla_General_03-12-2012_9_3'!C116,"AAAAAEM99zM=")</f>
        <v>#VALUE!</v>
      </c>
      <c r="BA8" t="e">
        <f>AND('Planilla_General_03-12-2012_9_3'!D116,"AAAAAEM99zQ=")</f>
        <v>#VALUE!</v>
      </c>
      <c r="BB8" t="e">
        <f>AND('Planilla_General_03-12-2012_9_3'!E116,"AAAAAEM99zU=")</f>
        <v>#VALUE!</v>
      </c>
      <c r="BC8" t="e">
        <f>AND('Planilla_General_03-12-2012_9_3'!F116,"AAAAAEM99zY=")</f>
        <v>#VALUE!</v>
      </c>
      <c r="BD8" t="e">
        <f>AND('Planilla_General_03-12-2012_9_3'!G116,"AAAAAEM99zc=")</f>
        <v>#VALUE!</v>
      </c>
      <c r="BE8" t="e">
        <f>AND('Planilla_General_03-12-2012_9_3'!H116,"AAAAAEM99zg=")</f>
        <v>#VALUE!</v>
      </c>
      <c r="BF8" t="e">
        <f>AND('Planilla_General_03-12-2012_9_3'!I116,"AAAAAEM99zk=")</f>
        <v>#VALUE!</v>
      </c>
      <c r="BG8" t="e">
        <f>AND('Planilla_General_03-12-2012_9_3'!J116,"AAAAAEM99zo=")</f>
        <v>#VALUE!</v>
      </c>
      <c r="BH8" t="e">
        <f>AND('Planilla_General_03-12-2012_9_3'!K116,"AAAAAEM99zs=")</f>
        <v>#VALUE!</v>
      </c>
      <c r="BI8" t="e">
        <f>AND('Planilla_General_03-12-2012_9_3'!L116,"AAAAAEM99zw=")</f>
        <v>#VALUE!</v>
      </c>
      <c r="BJ8" t="e">
        <f>AND('Planilla_General_03-12-2012_9_3'!M116,"AAAAAEM99z0=")</f>
        <v>#VALUE!</v>
      </c>
      <c r="BK8" t="e">
        <f>AND('Planilla_General_03-12-2012_9_3'!N116,"AAAAAEM99z4=")</f>
        <v>#VALUE!</v>
      </c>
      <c r="BL8" t="e">
        <f>AND('Planilla_General_03-12-2012_9_3'!O116,"AAAAAEM99z8=")</f>
        <v>#VALUE!</v>
      </c>
      <c r="BM8">
        <f>IF('Planilla_General_03-12-2012_9_3'!117:117,"AAAAAEM990A=",0)</f>
        <v>0</v>
      </c>
      <c r="BN8" t="e">
        <f>AND('Planilla_General_03-12-2012_9_3'!A117,"AAAAAEM990E=")</f>
        <v>#VALUE!</v>
      </c>
      <c r="BO8" t="e">
        <f>AND('Planilla_General_03-12-2012_9_3'!B117,"AAAAAEM990I=")</f>
        <v>#VALUE!</v>
      </c>
      <c r="BP8" t="e">
        <f>AND('Planilla_General_03-12-2012_9_3'!C117,"AAAAAEM990M=")</f>
        <v>#VALUE!</v>
      </c>
      <c r="BQ8" t="e">
        <f>AND('Planilla_General_03-12-2012_9_3'!D117,"AAAAAEM990Q=")</f>
        <v>#VALUE!</v>
      </c>
      <c r="BR8" t="e">
        <f>AND('Planilla_General_03-12-2012_9_3'!E117,"AAAAAEM990U=")</f>
        <v>#VALUE!</v>
      </c>
      <c r="BS8" t="e">
        <f>AND('Planilla_General_03-12-2012_9_3'!F117,"AAAAAEM990Y=")</f>
        <v>#VALUE!</v>
      </c>
      <c r="BT8" t="e">
        <f>AND('Planilla_General_03-12-2012_9_3'!G117,"AAAAAEM990c=")</f>
        <v>#VALUE!</v>
      </c>
      <c r="BU8" t="e">
        <f>AND('Planilla_General_03-12-2012_9_3'!H117,"AAAAAEM990g=")</f>
        <v>#VALUE!</v>
      </c>
      <c r="BV8" t="e">
        <f>AND('Planilla_General_03-12-2012_9_3'!I117,"AAAAAEM990k=")</f>
        <v>#VALUE!</v>
      </c>
      <c r="BW8" t="e">
        <f>AND('Planilla_General_03-12-2012_9_3'!J117,"AAAAAEM990o=")</f>
        <v>#VALUE!</v>
      </c>
      <c r="BX8" t="e">
        <f>AND('Planilla_General_03-12-2012_9_3'!K117,"AAAAAEM990s=")</f>
        <v>#VALUE!</v>
      </c>
      <c r="BY8" t="e">
        <f>AND('Planilla_General_03-12-2012_9_3'!L117,"AAAAAEM990w=")</f>
        <v>#VALUE!</v>
      </c>
      <c r="BZ8" t="e">
        <f>AND('Planilla_General_03-12-2012_9_3'!M117,"AAAAAEM9900=")</f>
        <v>#VALUE!</v>
      </c>
      <c r="CA8" t="e">
        <f>AND('Planilla_General_03-12-2012_9_3'!N117,"AAAAAEM9904=")</f>
        <v>#VALUE!</v>
      </c>
      <c r="CB8" t="e">
        <f>AND('Planilla_General_03-12-2012_9_3'!O117,"AAAAAEM9908=")</f>
        <v>#VALUE!</v>
      </c>
      <c r="CC8">
        <f>IF('Planilla_General_03-12-2012_9_3'!118:118,"AAAAAEM991A=",0)</f>
        <v>0</v>
      </c>
      <c r="CD8" t="e">
        <f>AND('Planilla_General_03-12-2012_9_3'!A118,"AAAAAEM991E=")</f>
        <v>#VALUE!</v>
      </c>
      <c r="CE8" t="e">
        <f>AND('Planilla_General_03-12-2012_9_3'!B118,"AAAAAEM991I=")</f>
        <v>#VALUE!</v>
      </c>
      <c r="CF8" t="e">
        <f>AND('Planilla_General_03-12-2012_9_3'!C118,"AAAAAEM991M=")</f>
        <v>#VALUE!</v>
      </c>
      <c r="CG8" t="e">
        <f>AND('Planilla_General_03-12-2012_9_3'!D118,"AAAAAEM991Q=")</f>
        <v>#VALUE!</v>
      </c>
      <c r="CH8" t="e">
        <f>AND('Planilla_General_03-12-2012_9_3'!E118,"AAAAAEM991U=")</f>
        <v>#VALUE!</v>
      </c>
      <c r="CI8" t="e">
        <f>AND('Planilla_General_03-12-2012_9_3'!F118,"AAAAAEM991Y=")</f>
        <v>#VALUE!</v>
      </c>
      <c r="CJ8" t="e">
        <f>AND('Planilla_General_03-12-2012_9_3'!G118,"AAAAAEM991c=")</f>
        <v>#VALUE!</v>
      </c>
      <c r="CK8" t="e">
        <f>AND('Planilla_General_03-12-2012_9_3'!H118,"AAAAAEM991g=")</f>
        <v>#VALUE!</v>
      </c>
      <c r="CL8" t="e">
        <f>AND('Planilla_General_03-12-2012_9_3'!I118,"AAAAAEM991k=")</f>
        <v>#VALUE!</v>
      </c>
      <c r="CM8" t="e">
        <f>AND('Planilla_General_03-12-2012_9_3'!J118,"AAAAAEM991o=")</f>
        <v>#VALUE!</v>
      </c>
      <c r="CN8" t="e">
        <f>AND('Planilla_General_03-12-2012_9_3'!K118,"AAAAAEM991s=")</f>
        <v>#VALUE!</v>
      </c>
      <c r="CO8" t="e">
        <f>AND('Planilla_General_03-12-2012_9_3'!L118,"AAAAAEM991w=")</f>
        <v>#VALUE!</v>
      </c>
      <c r="CP8" t="e">
        <f>AND('Planilla_General_03-12-2012_9_3'!M118,"AAAAAEM9910=")</f>
        <v>#VALUE!</v>
      </c>
      <c r="CQ8" t="e">
        <f>AND('Planilla_General_03-12-2012_9_3'!N118,"AAAAAEM9914=")</f>
        <v>#VALUE!</v>
      </c>
      <c r="CR8" t="e">
        <f>AND('Planilla_General_03-12-2012_9_3'!O118,"AAAAAEM9918=")</f>
        <v>#VALUE!</v>
      </c>
      <c r="CS8">
        <f>IF('Planilla_General_03-12-2012_9_3'!119:119,"AAAAAEM992A=",0)</f>
        <v>0</v>
      </c>
      <c r="CT8" t="e">
        <f>AND('Planilla_General_03-12-2012_9_3'!A119,"AAAAAEM992E=")</f>
        <v>#VALUE!</v>
      </c>
      <c r="CU8" t="e">
        <f>AND('Planilla_General_03-12-2012_9_3'!B119,"AAAAAEM992I=")</f>
        <v>#VALUE!</v>
      </c>
      <c r="CV8" t="e">
        <f>AND('Planilla_General_03-12-2012_9_3'!C119,"AAAAAEM992M=")</f>
        <v>#VALUE!</v>
      </c>
      <c r="CW8" t="e">
        <f>AND('Planilla_General_03-12-2012_9_3'!D119,"AAAAAEM992Q=")</f>
        <v>#VALUE!</v>
      </c>
      <c r="CX8" t="e">
        <f>AND('Planilla_General_03-12-2012_9_3'!E119,"AAAAAEM992U=")</f>
        <v>#VALUE!</v>
      </c>
      <c r="CY8" t="e">
        <f>AND('Planilla_General_03-12-2012_9_3'!F119,"AAAAAEM992Y=")</f>
        <v>#VALUE!</v>
      </c>
      <c r="CZ8" t="e">
        <f>AND('Planilla_General_03-12-2012_9_3'!G119,"AAAAAEM992c=")</f>
        <v>#VALUE!</v>
      </c>
      <c r="DA8" t="e">
        <f>AND('Planilla_General_03-12-2012_9_3'!H119,"AAAAAEM992g=")</f>
        <v>#VALUE!</v>
      </c>
      <c r="DB8" t="e">
        <f>AND('Planilla_General_03-12-2012_9_3'!I119,"AAAAAEM992k=")</f>
        <v>#VALUE!</v>
      </c>
      <c r="DC8" t="e">
        <f>AND('Planilla_General_03-12-2012_9_3'!J119,"AAAAAEM992o=")</f>
        <v>#VALUE!</v>
      </c>
      <c r="DD8" t="e">
        <f>AND('Planilla_General_03-12-2012_9_3'!K119,"AAAAAEM992s=")</f>
        <v>#VALUE!</v>
      </c>
      <c r="DE8" t="e">
        <f>AND('Planilla_General_03-12-2012_9_3'!L119,"AAAAAEM992w=")</f>
        <v>#VALUE!</v>
      </c>
      <c r="DF8" t="e">
        <f>AND('Planilla_General_03-12-2012_9_3'!M119,"AAAAAEM9920=")</f>
        <v>#VALUE!</v>
      </c>
      <c r="DG8" t="e">
        <f>AND('Planilla_General_03-12-2012_9_3'!N119,"AAAAAEM9924=")</f>
        <v>#VALUE!</v>
      </c>
      <c r="DH8" t="e">
        <f>AND('Planilla_General_03-12-2012_9_3'!O119,"AAAAAEM9928=")</f>
        <v>#VALUE!</v>
      </c>
      <c r="DI8">
        <f>IF('Planilla_General_03-12-2012_9_3'!120:120,"AAAAAEM993A=",0)</f>
        <v>0</v>
      </c>
      <c r="DJ8" t="e">
        <f>AND('Planilla_General_03-12-2012_9_3'!A120,"AAAAAEM993E=")</f>
        <v>#VALUE!</v>
      </c>
      <c r="DK8" t="e">
        <f>AND('Planilla_General_03-12-2012_9_3'!B120,"AAAAAEM993I=")</f>
        <v>#VALUE!</v>
      </c>
      <c r="DL8" t="e">
        <f>AND('Planilla_General_03-12-2012_9_3'!C120,"AAAAAEM993M=")</f>
        <v>#VALUE!</v>
      </c>
      <c r="DM8" t="e">
        <f>AND('Planilla_General_03-12-2012_9_3'!D120,"AAAAAEM993Q=")</f>
        <v>#VALUE!</v>
      </c>
      <c r="DN8" t="e">
        <f>AND('Planilla_General_03-12-2012_9_3'!E120,"AAAAAEM993U=")</f>
        <v>#VALUE!</v>
      </c>
      <c r="DO8" t="e">
        <f>AND('Planilla_General_03-12-2012_9_3'!F120,"AAAAAEM993Y=")</f>
        <v>#VALUE!</v>
      </c>
      <c r="DP8" t="e">
        <f>AND('Planilla_General_03-12-2012_9_3'!G120,"AAAAAEM993c=")</f>
        <v>#VALUE!</v>
      </c>
      <c r="DQ8" t="e">
        <f>AND('Planilla_General_03-12-2012_9_3'!H120,"AAAAAEM993g=")</f>
        <v>#VALUE!</v>
      </c>
      <c r="DR8" t="e">
        <f>AND('Planilla_General_03-12-2012_9_3'!I120,"AAAAAEM993k=")</f>
        <v>#VALUE!</v>
      </c>
      <c r="DS8" t="e">
        <f>AND('Planilla_General_03-12-2012_9_3'!J120,"AAAAAEM993o=")</f>
        <v>#VALUE!</v>
      </c>
      <c r="DT8" t="e">
        <f>AND('Planilla_General_03-12-2012_9_3'!K120,"AAAAAEM993s=")</f>
        <v>#VALUE!</v>
      </c>
      <c r="DU8" t="e">
        <f>AND('Planilla_General_03-12-2012_9_3'!L120,"AAAAAEM993w=")</f>
        <v>#VALUE!</v>
      </c>
      <c r="DV8" t="e">
        <f>AND('Planilla_General_03-12-2012_9_3'!M120,"AAAAAEM9930=")</f>
        <v>#VALUE!</v>
      </c>
      <c r="DW8" t="e">
        <f>AND('Planilla_General_03-12-2012_9_3'!N120,"AAAAAEM9934=")</f>
        <v>#VALUE!</v>
      </c>
      <c r="DX8" t="e">
        <f>AND('Planilla_General_03-12-2012_9_3'!O120,"AAAAAEM9938=")</f>
        <v>#VALUE!</v>
      </c>
      <c r="DY8">
        <f>IF('Planilla_General_03-12-2012_9_3'!121:121,"AAAAAEM994A=",0)</f>
        <v>0</v>
      </c>
      <c r="DZ8" t="e">
        <f>AND('Planilla_General_03-12-2012_9_3'!A121,"AAAAAEM994E=")</f>
        <v>#VALUE!</v>
      </c>
      <c r="EA8" t="e">
        <f>AND('Planilla_General_03-12-2012_9_3'!B121,"AAAAAEM994I=")</f>
        <v>#VALUE!</v>
      </c>
      <c r="EB8" t="e">
        <f>AND('Planilla_General_03-12-2012_9_3'!C121,"AAAAAEM994M=")</f>
        <v>#VALUE!</v>
      </c>
      <c r="EC8" t="e">
        <f>AND('Planilla_General_03-12-2012_9_3'!D121,"AAAAAEM994Q=")</f>
        <v>#VALUE!</v>
      </c>
      <c r="ED8" t="e">
        <f>AND('Planilla_General_03-12-2012_9_3'!E121,"AAAAAEM994U=")</f>
        <v>#VALUE!</v>
      </c>
      <c r="EE8" t="e">
        <f>AND('Planilla_General_03-12-2012_9_3'!F121,"AAAAAEM994Y=")</f>
        <v>#VALUE!</v>
      </c>
      <c r="EF8" t="e">
        <f>AND('Planilla_General_03-12-2012_9_3'!G121,"AAAAAEM994c=")</f>
        <v>#VALUE!</v>
      </c>
      <c r="EG8" t="e">
        <f>AND('Planilla_General_03-12-2012_9_3'!H121,"AAAAAEM994g=")</f>
        <v>#VALUE!</v>
      </c>
      <c r="EH8" t="e">
        <f>AND('Planilla_General_03-12-2012_9_3'!I121,"AAAAAEM994k=")</f>
        <v>#VALUE!</v>
      </c>
      <c r="EI8" t="e">
        <f>AND('Planilla_General_03-12-2012_9_3'!J121,"AAAAAEM994o=")</f>
        <v>#VALUE!</v>
      </c>
      <c r="EJ8" t="e">
        <f>AND('Planilla_General_03-12-2012_9_3'!K121,"AAAAAEM994s=")</f>
        <v>#VALUE!</v>
      </c>
      <c r="EK8" t="e">
        <f>AND('Planilla_General_03-12-2012_9_3'!L121,"AAAAAEM994w=")</f>
        <v>#VALUE!</v>
      </c>
      <c r="EL8" t="e">
        <f>AND('Planilla_General_03-12-2012_9_3'!M121,"AAAAAEM9940=")</f>
        <v>#VALUE!</v>
      </c>
      <c r="EM8" t="e">
        <f>AND('Planilla_General_03-12-2012_9_3'!N121,"AAAAAEM9944=")</f>
        <v>#VALUE!</v>
      </c>
      <c r="EN8" t="e">
        <f>AND('Planilla_General_03-12-2012_9_3'!O121,"AAAAAEM9948=")</f>
        <v>#VALUE!</v>
      </c>
      <c r="EO8">
        <f>IF('Planilla_General_03-12-2012_9_3'!122:122,"AAAAAEM995A=",0)</f>
        <v>0</v>
      </c>
      <c r="EP8" t="e">
        <f>AND('Planilla_General_03-12-2012_9_3'!A122,"AAAAAEM995E=")</f>
        <v>#VALUE!</v>
      </c>
      <c r="EQ8" t="e">
        <f>AND('Planilla_General_03-12-2012_9_3'!B122,"AAAAAEM995I=")</f>
        <v>#VALUE!</v>
      </c>
      <c r="ER8" t="e">
        <f>AND('Planilla_General_03-12-2012_9_3'!C122,"AAAAAEM995M=")</f>
        <v>#VALUE!</v>
      </c>
      <c r="ES8" t="e">
        <f>AND('Planilla_General_03-12-2012_9_3'!D122,"AAAAAEM995Q=")</f>
        <v>#VALUE!</v>
      </c>
      <c r="ET8" t="e">
        <f>AND('Planilla_General_03-12-2012_9_3'!E122,"AAAAAEM995U=")</f>
        <v>#VALUE!</v>
      </c>
      <c r="EU8" t="e">
        <f>AND('Planilla_General_03-12-2012_9_3'!F122,"AAAAAEM995Y=")</f>
        <v>#VALUE!</v>
      </c>
      <c r="EV8" t="e">
        <f>AND('Planilla_General_03-12-2012_9_3'!G122,"AAAAAEM995c=")</f>
        <v>#VALUE!</v>
      </c>
      <c r="EW8" t="e">
        <f>AND('Planilla_General_03-12-2012_9_3'!H122,"AAAAAEM995g=")</f>
        <v>#VALUE!</v>
      </c>
      <c r="EX8" t="e">
        <f>AND('Planilla_General_03-12-2012_9_3'!I122,"AAAAAEM995k=")</f>
        <v>#VALUE!</v>
      </c>
      <c r="EY8" t="e">
        <f>AND('Planilla_General_03-12-2012_9_3'!J122,"AAAAAEM995o=")</f>
        <v>#VALUE!</v>
      </c>
      <c r="EZ8" t="e">
        <f>AND('Planilla_General_03-12-2012_9_3'!K122,"AAAAAEM995s=")</f>
        <v>#VALUE!</v>
      </c>
      <c r="FA8" t="e">
        <f>AND('Planilla_General_03-12-2012_9_3'!L122,"AAAAAEM995w=")</f>
        <v>#VALUE!</v>
      </c>
      <c r="FB8" t="e">
        <f>AND('Planilla_General_03-12-2012_9_3'!M122,"AAAAAEM9950=")</f>
        <v>#VALUE!</v>
      </c>
      <c r="FC8" t="e">
        <f>AND('Planilla_General_03-12-2012_9_3'!N122,"AAAAAEM9954=")</f>
        <v>#VALUE!</v>
      </c>
      <c r="FD8" t="e">
        <f>AND('Planilla_General_03-12-2012_9_3'!O122,"AAAAAEM9958=")</f>
        <v>#VALUE!</v>
      </c>
      <c r="FE8">
        <f>IF('Planilla_General_03-12-2012_9_3'!123:123,"AAAAAEM996A=",0)</f>
        <v>0</v>
      </c>
      <c r="FF8" t="e">
        <f>AND('Planilla_General_03-12-2012_9_3'!A123,"AAAAAEM996E=")</f>
        <v>#VALUE!</v>
      </c>
      <c r="FG8" t="e">
        <f>AND('Planilla_General_03-12-2012_9_3'!B123,"AAAAAEM996I=")</f>
        <v>#VALUE!</v>
      </c>
      <c r="FH8" t="e">
        <f>AND('Planilla_General_03-12-2012_9_3'!C123,"AAAAAEM996M=")</f>
        <v>#VALUE!</v>
      </c>
      <c r="FI8" t="e">
        <f>AND('Planilla_General_03-12-2012_9_3'!D123,"AAAAAEM996Q=")</f>
        <v>#VALUE!</v>
      </c>
      <c r="FJ8" t="e">
        <f>AND('Planilla_General_03-12-2012_9_3'!E123,"AAAAAEM996U=")</f>
        <v>#VALUE!</v>
      </c>
      <c r="FK8" t="e">
        <f>AND('Planilla_General_03-12-2012_9_3'!F123,"AAAAAEM996Y=")</f>
        <v>#VALUE!</v>
      </c>
      <c r="FL8" t="e">
        <f>AND('Planilla_General_03-12-2012_9_3'!G123,"AAAAAEM996c=")</f>
        <v>#VALUE!</v>
      </c>
      <c r="FM8" t="e">
        <f>AND('Planilla_General_03-12-2012_9_3'!H123,"AAAAAEM996g=")</f>
        <v>#VALUE!</v>
      </c>
      <c r="FN8" t="e">
        <f>AND('Planilla_General_03-12-2012_9_3'!I123,"AAAAAEM996k=")</f>
        <v>#VALUE!</v>
      </c>
      <c r="FO8" t="e">
        <f>AND('Planilla_General_03-12-2012_9_3'!J123,"AAAAAEM996o=")</f>
        <v>#VALUE!</v>
      </c>
      <c r="FP8" t="e">
        <f>AND('Planilla_General_03-12-2012_9_3'!K123,"AAAAAEM996s=")</f>
        <v>#VALUE!</v>
      </c>
      <c r="FQ8" t="e">
        <f>AND('Planilla_General_03-12-2012_9_3'!L123,"AAAAAEM996w=")</f>
        <v>#VALUE!</v>
      </c>
      <c r="FR8" t="e">
        <f>AND('Planilla_General_03-12-2012_9_3'!M123,"AAAAAEM9960=")</f>
        <v>#VALUE!</v>
      </c>
      <c r="FS8" t="e">
        <f>AND('Planilla_General_03-12-2012_9_3'!N123,"AAAAAEM9964=")</f>
        <v>#VALUE!</v>
      </c>
      <c r="FT8" t="e">
        <f>AND('Planilla_General_03-12-2012_9_3'!O123,"AAAAAEM9968=")</f>
        <v>#VALUE!</v>
      </c>
      <c r="FU8">
        <f>IF('Planilla_General_03-12-2012_9_3'!124:124,"AAAAAEM997A=",0)</f>
        <v>0</v>
      </c>
      <c r="FV8" t="e">
        <f>AND('Planilla_General_03-12-2012_9_3'!A124,"AAAAAEM997E=")</f>
        <v>#VALUE!</v>
      </c>
      <c r="FW8" t="e">
        <f>AND('Planilla_General_03-12-2012_9_3'!B124,"AAAAAEM997I=")</f>
        <v>#VALUE!</v>
      </c>
      <c r="FX8" t="e">
        <f>AND('Planilla_General_03-12-2012_9_3'!C124,"AAAAAEM997M=")</f>
        <v>#VALUE!</v>
      </c>
      <c r="FY8" t="e">
        <f>AND('Planilla_General_03-12-2012_9_3'!D124,"AAAAAEM997Q=")</f>
        <v>#VALUE!</v>
      </c>
      <c r="FZ8" t="e">
        <f>AND('Planilla_General_03-12-2012_9_3'!E124,"AAAAAEM997U=")</f>
        <v>#VALUE!</v>
      </c>
      <c r="GA8" t="e">
        <f>AND('Planilla_General_03-12-2012_9_3'!F124,"AAAAAEM997Y=")</f>
        <v>#VALUE!</v>
      </c>
      <c r="GB8" t="e">
        <f>AND('Planilla_General_03-12-2012_9_3'!G124,"AAAAAEM997c=")</f>
        <v>#VALUE!</v>
      </c>
      <c r="GC8" t="e">
        <f>AND('Planilla_General_03-12-2012_9_3'!H124,"AAAAAEM997g=")</f>
        <v>#VALUE!</v>
      </c>
      <c r="GD8" t="e">
        <f>AND('Planilla_General_03-12-2012_9_3'!I124,"AAAAAEM997k=")</f>
        <v>#VALUE!</v>
      </c>
      <c r="GE8" t="e">
        <f>AND('Planilla_General_03-12-2012_9_3'!J124,"AAAAAEM997o=")</f>
        <v>#VALUE!</v>
      </c>
      <c r="GF8" t="e">
        <f>AND('Planilla_General_03-12-2012_9_3'!K124,"AAAAAEM997s=")</f>
        <v>#VALUE!</v>
      </c>
      <c r="GG8" t="e">
        <f>AND('Planilla_General_03-12-2012_9_3'!L124,"AAAAAEM997w=")</f>
        <v>#VALUE!</v>
      </c>
      <c r="GH8" t="e">
        <f>AND('Planilla_General_03-12-2012_9_3'!M124,"AAAAAEM9970=")</f>
        <v>#VALUE!</v>
      </c>
      <c r="GI8" t="e">
        <f>AND('Planilla_General_03-12-2012_9_3'!N124,"AAAAAEM9974=")</f>
        <v>#VALUE!</v>
      </c>
      <c r="GJ8" t="e">
        <f>AND('Planilla_General_03-12-2012_9_3'!O124,"AAAAAEM9978=")</f>
        <v>#VALUE!</v>
      </c>
      <c r="GK8">
        <f>IF('Planilla_General_03-12-2012_9_3'!125:125,"AAAAAEM998A=",0)</f>
        <v>0</v>
      </c>
      <c r="GL8" t="e">
        <f>AND('Planilla_General_03-12-2012_9_3'!A125,"AAAAAEM998E=")</f>
        <v>#VALUE!</v>
      </c>
      <c r="GM8" t="e">
        <f>AND('Planilla_General_03-12-2012_9_3'!B125,"AAAAAEM998I=")</f>
        <v>#VALUE!</v>
      </c>
      <c r="GN8" t="e">
        <f>AND('Planilla_General_03-12-2012_9_3'!C125,"AAAAAEM998M=")</f>
        <v>#VALUE!</v>
      </c>
      <c r="GO8" t="e">
        <f>AND('Planilla_General_03-12-2012_9_3'!D125,"AAAAAEM998Q=")</f>
        <v>#VALUE!</v>
      </c>
      <c r="GP8" t="e">
        <f>AND('Planilla_General_03-12-2012_9_3'!E125,"AAAAAEM998U=")</f>
        <v>#VALUE!</v>
      </c>
      <c r="GQ8" t="e">
        <f>AND('Planilla_General_03-12-2012_9_3'!F125,"AAAAAEM998Y=")</f>
        <v>#VALUE!</v>
      </c>
      <c r="GR8" t="e">
        <f>AND('Planilla_General_03-12-2012_9_3'!G125,"AAAAAEM998c=")</f>
        <v>#VALUE!</v>
      </c>
      <c r="GS8" t="e">
        <f>AND('Planilla_General_03-12-2012_9_3'!H125,"AAAAAEM998g=")</f>
        <v>#VALUE!</v>
      </c>
      <c r="GT8" t="e">
        <f>AND('Planilla_General_03-12-2012_9_3'!I125,"AAAAAEM998k=")</f>
        <v>#VALUE!</v>
      </c>
      <c r="GU8" t="e">
        <f>AND('Planilla_General_03-12-2012_9_3'!J125,"AAAAAEM998o=")</f>
        <v>#VALUE!</v>
      </c>
      <c r="GV8" t="e">
        <f>AND('Planilla_General_03-12-2012_9_3'!K125,"AAAAAEM998s=")</f>
        <v>#VALUE!</v>
      </c>
      <c r="GW8" t="e">
        <f>AND('Planilla_General_03-12-2012_9_3'!L125,"AAAAAEM998w=")</f>
        <v>#VALUE!</v>
      </c>
      <c r="GX8" t="e">
        <f>AND('Planilla_General_03-12-2012_9_3'!M125,"AAAAAEM9980=")</f>
        <v>#VALUE!</v>
      </c>
      <c r="GY8" t="e">
        <f>AND('Planilla_General_03-12-2012_9_3'!N125,"AAAAAEM9984=")</f>
        <v>#VALUE!</v>
      </c>
      <c r="GZ8" t="e">
        <f>AND('Planilla_General_03-12-2012_9_3'!O125,"AAAAAEM9988=")</f>
        <v>#VALUE!</v>
      </c>
      <c r="HA8">
        <f>IF('Planilla_General_03-12-2012_9_3'!126:126,"AAAAAEM999A=",0)</f>
        <v>0</v>
      </c>
      <c r="HB8" t="e">
        <f>AND('Planilla_General_03-12-2012_9_3'!A126,"AAAAAEM999E=")</f>
        <v>#VALUE!</v>
      </c>
      <c r="HC8" t="e">
        <f>AND('Planilla_General_03-12-2012_9_3'!B126,"AAAAAEM999I=")</f>
        <v>#VALUE!</v>
      </c>
      <c r="HD8" t="e">
        <f>AND('Planilla_General_03-12-2012_9_3'!C126,"AAAAAEM999M=")</f>
        <v>#VALUE!</v>
      </c>
      <c r="HE8" t="e">
        <f>AND('Planilla_General_03-12-2012_9_3'!D126,"AAAAAEM999Q=")</f>
        <v>#VALUE!</v>
      </c>
      <c r="HF8" t="e">
        <f>AND('Planilla_General_03-12-2012_9_3'!E126,"AAAAAEM999U=")</f>
        <v>#VALUE!</v>
      </c>
      <c r="HG8" t="e">
        <f>AND('Planilla_General_03-12-2012_9_3'!F126,"AAAAAEM999Y=")</f>
        <v>#VALUE!</v>
      </c>
      <c r="HH8" t="e">
        <f>AND('Planilla_General_03-12-2012_9_3'!G126,"AAAAAEM999c=")</f>
        <v>#VALUE!</v>
      </c>
      <c r="HI8" t="e">
        <f>AND('Planilla_General_03-12-2012_9_3'!H126,"AAAAAEM999g=")</f>
        <v>#VALUE!</v>
      </c>
      <c r="HJ8" t="e">
        <f>AND('Planilla_General_03-12-2012_9_3'!I126,"AAAAAEM999k=")</f>
        <v>#VALUE!</v>
      </c>
      <c r="HK8" t="e">
        <f>AND('Planilla_General_03-12-2012_9_3'!J126,"AAAAAEM999o=")</f>
        <v>#VALUE!</v>
      </c>
      <c r="HL8" t="e">
        <f>AND('Planilla_General_03-12-2012_9_3'!K126,"AAAAAEM999s=")</f>
        <v>#VALUE!</v>
      </c>
      <c r="HM8" t="e">
        <f>AND('Planilla_General_03-12-2012_9_3'!L126,"AAAAAEM999w=")</f>
        <v>#VALUE!</v>
      </c>
      <c r="HN8" t="e">
        <f>AND('Planilla_General_03-12-2012_9_3'!M126,"AAAAAEM9990=")</f>
        <v>#VALUE!</v>
      </c>
      <c r="HO8" t="e">
        <f>AND('Planilla_General_03-12-2012_9_3'!N126,"AAAAAEM9994=")</f>
        <v>#VALUE!</v>
      </c>
      <c r="HP8" t="e">
        <f>AND('Planilla_General_03-12-2012_9_3'!O126,"AAAAAEM9998=")</f>
        <v>#VALUE!</v>
      </c>
      <c r="HQ8">
        <f>IF('Planilla_General_03-12-2012_9_3'!127:127,"AAAAAEM99+A=",0)</f>
        <v>0</v>
      </c>
      <c r="HR8" t="e">
        <f>AND('Planilla_General_03-12-2012_9_3'!A127,"AAAAAEM99+E=")</f>
        <v>#VALUE!</v>
      </c>
      <c r="HS8" t="e">
        <f>AND('Planilla_General_03-12-2012_9_3'!B127,"AAAAAEM99+I=")</f>
        <v>#VALUE!</v>
      </c>
      <c r="HT8" t="e">
        <f>AND('Planilla_General_03-12-2012_9_3'!C127,"AAAAAEM99+M=")</f>
        <v>#VALUE!</v>
      </c>
      <c r="HU8" t="e">
        <f>AND('Planilla_General_03-12-2012_9_3'!D127,"AAAAAEM99+Q=")</f>
        <v>#VALUE!</v>
      </c>
      <c r="HV8" t="e">
        <f>AND('Planilla_General_03-12-2012_9_3'!E127,"AAAAAEM99+U=")</f>
        <v>#VALUE!</v>
      </c>
      <c r="HW8" t="e">
        <f>AND('Planilla_General_03-12-2012_9_3'!F127,"AAAAAEM99+Y=")</f>
        <v>#VALUE!</v>
      </c>
      <c r="HX8" t="e">
        <f>AND('Planilla_General_03-12-2012_9_3'!G127,"AAAAAEM99+c=")</f>
        <v>#VALUE!</v>
      </c>
      <c r="HY8" t="e">
        <f>AND('Planilla_General_03-12-2012_9_3'!H127,"AAAAAEM99+g=")</f>
        <v>#VALUE!</v>
      </c>
      <c r="HZ8" t="e">
        <f>AND('Planilla_General_03-12-2012_9_3'!I127,"AAAAAEM99+k=")</f>
        <v>#VALUE!</v>
      </c>
      <c r="IA8" t="e">
        <f>AND('Planilla_General_03-12-2012_9_3'!J127,"AAAAAEM99+o=")</f>
        <v>#VALUE!</v>
      </c>
      <c r="IB8" t="e">
        <f>AND('Planilla_General_03-12-2012_9_3'!K127,"AAAAAEM99+s=")</f>
        <v>#VALUE!</v>
      </c>
      <c r="IC8" t="e">
        <f>AND('Planilla_General_03-12-2012_9_3'!L127,"AAAAAEM99+w=")</f>
        <v>#VALUE!</v>
      </c>
      <c r="ID8" t="e">
        <f>AND('Planilla_General_03-12-2012_9_3'!M127,"AAAAAEM99+0=")</f>
        <v>#VALUE!</v>
      </c>
      <c r="IE8" t="e">
        <f>AND('Planilla_General_03-12-2012_9_3'!N127,"AAAAAEM99+4=")</f>
        <v>#VALUE!</v>
      </c>
      <c r="IF8" t="e">
        <f>AND('Planilla_General_03-12-2012_9_3'!O127,"AAAAAEM99+8=")</f>
        <v>#VALUE!</v>
      </c>
      <c r="IG8">
        <f>IF('Planilla_General_03-12-2012_9_3'!128:128,"AAAAAEM99/A=",0)</f>
        <v>0</v>
      </c>
      <c r="IH8" t="e">
        <f>AND('Planilla_General_03-12-2012_9_3'!A128,"AAAAAEM99/E=")</f>
        <v>#VALUE!</v>
      </c>
      <c r="II8" t="e">
        <f>AND('Planilla_General_03-12-2012_9_3'!B128,"AAAAAEM99/I=")</f>
        <v>#VALUE!</v>
      </c>
      <c r="IJ8" t="e">
        <f>AND('Planilla_General_03-12-2012_9_3'!C128,"AAAAAEM99/M=")</f>
        <v>#VALUE!</v>
      </c>
      <c r="IK8" t="e">
        <f>AND('Planilla_General_03-12-2012_9_3'!D128,"AAAAAEM99/Q=")</f>
        <v>#VALUE!</v>
      </c>
      <c r="IL8" t="e">
        <f>AND('Planilla_General_03-12-2012_9_3'!E128,"AAAAAEM99/U=")</f>
        <v>#VALUE!</v>
      </c>
      <c r="IM8" t="e">
        <f>AND('Planilla_General_03-12-2012_9_3'!F128,"AAAAAEM99/Y=")</f>
        <v>#VALUE!</v>
      </c>
      <c r="IN8" t="e">
        <f>AND('Planilla_General_03-12-2012_9_3'!G128,"AAAAAEM99/c=")</f>
        <v>#VALUE!</v>
      </c>
      <c r="IO8" t="e">
        <f>AND('Planilla_General_03-12-2012_9_3'!H128,"AAAAAEM99/g=")</f>
        <v>#VALUE!</v>
      </c>
      <c r="IP8" t="e">
        <f>AND('Planilla_General_03-12-2012_9_3'!I128,"AAAAAEM99/k=")</f>
        <v>#VALUE!</v>
      </c>
      <c r="IQ8" t="e">
        <f>AND('Planilla_General_03-12-2012_9_3'!J128,"AAAAAEM99/o=")</f>
        <v>#VALUE!</v>
      </c>
      <c r="IR8" t="e">
        <f>AND('Planilla_General_03-12-2012_9_3'!K128,"AAAAAEM99/s=")</f>
        <v>#VALUE!</v>
      </c>
      <c r="IS8" t="e">
        <f>AND('Planilla_General_03-12-2012_9_3'!L128,"AAAAAEM99/w=")</f>
        <v>#VALUE!</v>
      </c>
      <c r="IT8" t="e">
        <f>AND('Planilla_General_03-12-2012_9_3'!M128,"AAAAAEM99/0=")</f>
        <v>#VALUE!</v>
      </c>
      <c r="IU8" t="e">
        <f>AND('Planilla_General_03-12-2012_9_3'!N128,"AAAAAEM99/4=")</f>
        <v>#VALUE!</v>
      </c>
      <c r="IV8" t="e">
        <f>AND('Planilla_General_03-12-2012_9_3'!O128,"AAAAAEM99/8=")</f>
        <v>#VALUE!</v>
      </c>
    </row>
    <row r="9" spans="1:256" x14ac:dyDescent="0.25">
      <c r="A9" t="e">
        <f>IF('Planilla_General_03-12-2012_9_3'!129:129,"AAAAAHvFvQA=",0)</f>
        <v>#VALUE!</v>
      </c>
      <c r="B9" t="e">
        <f>AND('Planilla_General_03-12-2012_9_3'!A129,"AAAAAHvFvQE=")</f>
        <v>#VALUE!</v>
      </c>
      <c r="C9" t="e">
        <f>AND('Planilla_General_03-12-2012_9_3'!B129,"AAAAAHvFvQI=")</f>
        <v>#VALUE!</v>
      </c>
      <c r="D9" t="e">
        <f>AND('Planilla_General_03-12-2012_9_3'!C129,"AAAAAHvFvQM=")</f>
        <v>#VALUE!</v>
      </c>
      <c r="E9" t="e">
        <f>AND('Planilla_General_03-12-2012_9_3'!D129,"AAAAAHvFvQQ=")</f>
        <v>#VALUE!</v>
      </c>
      <c r="F9" t="e">
        <f>AND('Planilla_General_03-12-2012_9_3'!E129,"AAAAAHvFvQU=")</f>
        <v>#VALUE!</v>
      </c>
      <c r="G9" t="e">
        <f>AND('Planilla_General_03-12-2012_9_3'!F129,"AAAAAHvFvQY=")</f>
        <v>#VALUE!</v>
      </c>
      <c r="H9" t="e">
        <f>AND('Planilla_General_03-12-2012_9_3'!G129,"AAAAAHvFvQc=")</f>
        <v>#VALUE!</v>
      </c>
      <c r="I9" t="e">
        <f>AND('Planilla_General_03-12-2012_9_3'!H129,"AAAAAHvFvQg=")</f>
        <v>#VALUE!</v>
      </c>
      <c r="J9" t="e">
        <f>AND('Planilla_General_03-12-2012_9_3'!I129,"AAAAAHvFvQk=")</f>
        <v>#VALUE!</v>
      </c>
      <c r="K9" t="e">
        <f>AND('Planilla_General_03-12-2012_9_3'!J129,"AAAAAHvFvQo=")</f>
        <v>#VALUE!</v>
      </c>
      <c r="L9" t="e">
        <f>AND('Planilla_General_03-12-2012_9_3'!K129,"AAAAAHvFvQs=")</f>
        <v>#VALUE!</v>
      </c>
      <c r="M9" t="e">
        <f>AND('Planilla_General_03-12-2012_9_3'!L129,"AAAAAHvFvQw=")</f>
        <v>#VALUE!</v>
      </c>
      <c r="N9" t="e">
        <f>AND('Planilla_General_03-12-2012_9_3'!M129,"AAAAAHvFvQ0=")</f>
        <v>#VALUE!</v>
      </c>
      <c r="O9" t="e">
        <f>AND('Planilla_General_03-12-2012_9_3'!N129,"AAAAAHvFvQ4=")</f>
        <v>#VALUE!</v>
      </c>
      <c r="P9" t="e">
        <f>AND('Planilla_General_03-12-2012_9_3'!O129,"AAAAAHvFvQ8=")</f>
        <v>#VALUE!</v>
      </c>
      <c r="Q9">
        <f>IF('Planilla_General_03-12-2012_9_3'!130:130,"AAAAAHvFvRA=",0)</f>
        <v>0</v>
      </c>
      <c r="R9" t="e">
        <f>AND('Planilla_General_03-12-2012_9_3'!A130,"AAAAAHvFvRE=")</f>
        <v>#VALUE!</v>
      </c>
      <c r="S9" t="e">
        <f>AND('Planilla_General_03-12-2012_9_3'!B130,"AAAAAHvFvRI=")</f>
        <v>#VALUE!</v>
      </c>
      <c r="T9" t="e">
        <f>AND('Planilla_General_03-12-2012_9_3'!C130,"AAAAAHvFvRM=")</f>
        <v>#VALUE!</v>
      </c>
      <c r="U9" t="e">
        <f>AND('Planilla_General_03-12-2012_9_3'!D130,"AAAAAHvFvRQ=")</f>
        <v>#VALUE!</v>
      </c>
      <c r="V9" t="e">
        <f>AND('Planilla_General_03-12-2012_9_3'!E130,"AAAAAHvFvRU=")</f>
        <v>#VALUE!</v>
      </c>
      <c r="W9" t="e">
        <f>AND('Planilla_General_03-12-2012_9_3'!F130,"AAAAAHvFvRY=")</f>
        <v>#VALUE!</v>
      </c>
      <c r="X9" t="e">
        <f>AND('Planilla_General_03-12-2012_9_3'!G130,"AAAAAHvFvRc=")</f>
        <v>#VALUE!</v>
      </c>
      <c r="Y9" t="e">
        <f>AND('Planilla_General_03-12-2012_9_3'!H130,"AAAAAHvFvRg=")</f>
        <v>#VALUE!</v>
      </c>
      <c r="Z9" t="e">
        <f>AND('Planilla_General_03-12-2012_9_3'!I130,"AAAAAHvFvRk=")</f>
        <v>#VALUE!</v>
      </c>
      <c r="AA9" t="e">
        <f>AND('Planilla_General_03-12-2012_9_3'!J130,"AAAAAHvFvRo=")</f>
        <v>#VALUE!</v>
      </c>
      <c r="AB9" t="e">
        <f>AND('Planilla_General_03-12-2012_9_3'!K130,"AAAAAHvFvRs=")</f>
        <v>#VALUE!</v>
      </c>
      <c r="AC9" t="e">
        <f>AND('Planilla_General_03-12-2012_9_3'!L130,"AAAAAHvFvRw=")</f>
        <v>#VALUE!</v>
      </c>
      <c r="AD9" t="e">
        <f>AND('Planilla_General_03-12-2012_9_3'!M130,"AAAAAHvFvR0=")</f>
        <v>#VALUE!</v>
      </c>
      <c r="AE9" t="e">
        <f>AND('Planilla_General_03-12-2012_9_3'!N130,"AAAAAHvFvR4=")</f>
        <v>#VALUE!</v>
      </c>
      <c r="AF9" t="e">
        <f>AND('Planilla_General_03-12-2012_9_3'!O130,"AAAAAHvFvR8=")</f>
        <v>#VALUE!</v>
      </c>
      <c r="AG9">
        <f>IF('Planilla_General_03-12-2012_9_3'!131:131,"AAAAAHvFvSA=",0)</f>
        <v>0</v>
      </c>
      <c r="AH9" t="e">
        <f>AND('Planilla_General_03-12-2012_9_3'!A131,"AAAAAHvFvSE=")</f>
        <v>#VALUE!</v>
      </c>
      <c r="AI9" t="e">
        <f>AND('Planilla_General_03-12-2012_9_3'!B131,"AAAAAHvFvSI=")</f>
        <v>#VALUE!</v>
      </c>
      <c r="AJ9" t="e">
        <f>AND('Planilla_General_03-12-2012_9_3'!C131,"AAAAAHvFvSM=")</f>
        <v>#VALUE!</v>
      </c>
      <c r="AK9" t="e">
        <f>AND('Planilla_General_03-12-2012_9_3'!D131,"AAAAAHvFvSQ=")</f>
        <v>#VALUE!</v>
      </c>
      <c r="AL9" t="e">
        <f>AND('Planilla_General_03-12-2012_9_3'!E131,"AAAAAHvFvSU=")</f>
        <v>#VALUE!</v>
      </c>
      <c r="AM9" t="e">
        <f>AND('Planilla_General_03-12-2012_9_3'!F131,"AAAAAHvFvSY=")</f>
        <v>#VALUE!</v>
      </c>
      <c r="AN9" t="e">
        <f>AND('Planilla_General_03-12-2012_9_3'!G131,"AAAAAHvFvSc=")</f>
        <v>#VALUE!</v>
      </c>
      <c r="AO9" t="e">
        <f>AND('Planilla_General_03-12-2012_9_3'!H131,"AAAAAHvFvSg=")</f>
        <v>#VALUE!</v>
      </c>
      <c r="AP9" t="e">
        <f>AND('Planilla_General_03-12-2012_9_3'!I131,"AAAAAHvFvSk=")</f>
        <v>#VALUE!</v>
      </c>
      <c r="AQ9" t="e">
        <f>AND('Planilla_General_03-12-2012_9_3'!J131,"AAAAAHvFvSo=")</f>
        <v>#VALUE!</v>
      </c>
      <c r="AR9" t="e">
        <f>AND('Planilla_General_03-12-2012_9_3'!K131,"AAAAAHvFvSs=")</f>
        <v>#VALUE!</v>
      </c>
      <c r="AS9" t="e">
        <f>AND('Planilla_General_03-12-2012_9_3'!L131,"AAAAAHvFvSw=")</f>
        <v>#VALUE!</v>
      </c>
      <c r="AT9" t="e">
        <f>AND('Planilla_General_03-12-2012_9_3'!M131,"AAAAAHvFvS0=")</f>
        <v>#VALUE!</v>
      </c>
      <c r="AU9" t="e">
        <f>AND('Planilla_General_03-12-2012_9_3'!N131,"AAAAAHvFvS4=")</f>
        <v>#VALUE!</v>
      </c>
      <c r="AV9" t="e">
        <f>AND('Planilla_General_03-12-2012_9_3'!O131,"AAAAAHvFvS8=")</f>
        <v>#VALUE!</v>
      </c>
      <c r="AW9">
        <f>IF('Planilla_General_03-12-2012_9_3'!132:132,"AAAAAHvFvTA=",0)</f>
        <v>0</v>
      </c>
      <c r="AX9" t="e">
        <f>AND('Planilla_General_03-12-2012_9_3'!A132,"AAAAAHvFvTE=")</f>
        <v>#VALUE!</v>
      </c>
      <c r="AY9" t="e">
        <f>AND('Planilla_General_03-12-2012_9_3'!B132,"AAAAAHvFvTI=")</f>
        <v>#VALUE!</v>
      </c>
      <c r="AZ9" t="e">
        <f>AND('Planilla_General_03-12-2012_9_3'!C132,"AAAAAHvFvTM=")</f>
        <v>#VALUE!</v>
      </c>
      <c r="BA9" t="e">
        <f>AND('Planilla_General_03-12-2012_9_3'!D132,"AAAAAHvFvTQ=")</f>
        <v>#VALUE!</v>
      </c>
      <c r="BB9" t="e">
        <f>AND('Planilla_General_03-12-2012_9_3'!E132,"AAAAAHvFvTU=")</f>
        <v>#VALUE!</v>
      </c>
      <c r="BC9" t="e">
        <f>AND('Planilla_General_03-12-2012_9_3'!F132,"AAAAAHvFvTY=")</f>
        <v>#VALUE!</v>
      </c>
      <c r="BD9" t="e">
        <f>AND('Planilla_General_03-12-2012_9_3'!G132,"AAAAAHvFvTc=")</f>
        <v>#VALUE!</v>
      </c>
      <c r="BE9" t="e">
        <f>AND('Planilla_General_03-12-2012_9_3'!H132,"AAAAAHvFvTg=")</f>
        <v>#VALUE!</v>
      </c>
      <c r="BF9" t="e">
        <f>AND('Planilla_General_03-12-2012_9_3'!I132,"AAAAAHvFvTk=")</f>
        <v>#VALUE!</v>
      </c>
      <c r="BG9" t="e">
        <f>AND('Planilla_General_03-12-2012_9_3'!J132,"AAAAAHvFvTo=")</f>
        <v>#VALUE!</v>
      </c>
      <c r="BH9" t="e">
        <f>AND('Planilla_General_03-12-2012_9_3'!K132,"AAAAAHvFvTs=")</f>
        <v>#VALUE!</v>
      </c>
      <c r="BI9" t="e">
        <f>AND('Planilla_General_03-12-2012_9_3'!L132,"AAAAAHvFvTw=")</f>
        <v>#VALUE!</v>
      </c>
      <c r="BJ9" t="e">
        <f>AND('Planilla_General_03-12-2012_9_3'!M132,"AAAAAHvFvT0=")</f>
        <v>#VALUE!</v>
      </c>
      <c r="BK9" t="e">
        <f>AND('Planilla_General_03-12-2012_9_3'!N132,"AAAAAHvFvT4=")</f>
        <v>#VALUE!</v>
      </c>
      <c r="BL9" t="e">
        <f>AND('Planilla_General_03-12-2012_9_3'!O132,"AAAAAHvFvT8=")</f>
        <v>#VALUE!</v>
      </c>
      <c r="BM9">
        <f>IF('Planilla_General_03-12-2012_9_3'!133:133,"AAAAAHvFvUA=",0)</f>
        <v>0</v>
      </c>
      <c r="BN9" t="e">
        <f>AND('Planilla_General_03-12-2012_9_3'!A133,"AAAAAHvFvUE=")</f>
        <v>#VALUE!</v>
      </c>
      <c r="BO9" t="e">
        <f>AND('Planilla_General_03-12-2012_9_3'!B133,"AAAAAHvFvUI=")</f>
        <v>#VALUE!</v>
      </c>
      <c r="BP9" t="e">
        <f>AND('Planilla_General_03-12-2012_9_3'!C133,"AAAAAHvFvUM=")</f>
        <v>#VALUE!</v>
      </c>
      <c r="BQ9" t="e">
        <f>AND('Planilla_General_03-12-2012_9_3'!D133,"AAAAAHvFvUQ=")</f>
        <v>#VALUE!</v>
      </c>
      <c r="BR9" t="e">
        <f>AND('Planilla_General_03-12-2012_9_3'!E133,"AAAAAHvFvUU=")</f>
        <v>#VALUE!</v>
      </c>
      <c r="BS9" t="e">
        <f>AND('Planilla_General_03-12-2012_9_3'!F133,"AAAAAHvFvUY=")</f>
        <v>#VALUE!</v>
      </c>
      <c r="BT9" t="e">
        <f>AND('Planilla_General_03-12-2012_9_3'!G133,"AAAAAHvFvUc=")</f>
        <v>#VALUE!</v>
      </c>
      <c r="BU9" t="e">
        <f>AND('Planilla_General_03-12-2012_9_3'!H133,"AAAAAHvFvUg=")</f>
        <v>#VALUE!</v>
      </c>
      <c r="BV9" t="e">
        <f>AND('Planilla_General_03-12-2012_9_3'!I133,"AAAAAHvFvUk=")</f>
        <v>#VALUE!</v>
      </c>
      <c r="BW9" t="e">
        <f>AND('Planilla_General_03-12-2012_9_3'!J133,"AAAAAHvFvUo=")</f>
        <v>#VALUE!</v>
      </c>
      <c r="BX9" t="e">
        <f>AND('Planilla_General_03-12-2012_9_3'!K133,"AAAAAHvFvUs=")</f>
        <v>#VALUE!</v>
      </c>
      <c r="BY9" t="e">
        <f>AND('Planilla_General_03-12-2012_9_3'!L133,"AAAAAHvFvUw=")</f>
        <v>#VALUE!</v>
      </c>
      <c r="BZ9" t="e">
        <f>AND('Planilla_General_03-12-2012_9_3'!M133,"AAAAAHvFvU0=")</f>
        <v>#VALUE!</v>
      </c>
      <c r="CA9" t="e">
        <f>AND('Planilla_General_03-12-2012_9_3'!N133,"AAAAAHvFvU4=")</f>
        <v>#VALUE!</v>
      </c>
      <c r="CB9" t="e">
        <f>AND('Planilla_General_03-12-2012_9_3'!O133,"AAAAAHvFvU8=")</f>
        <v>#VALUE!</v>
      </c>
      <c r="CC9">
        <f>IF('Planilla_General_03-12-2012_9_3'!134:134,"AAAAAHvFvVA=",0)</f>
        <v>0</v>
      </c>
      <c r="CD9" t="e">
        <f>AND('Planilla_General_03-12-2012_9_3'!A134,"AAAAAHvFvVE=")</f>
        <v>#VALUE!</v>
      </c>
      <c r="CE9" t="e">
        <f>AND('Planilla_General_03-12-2012_9_3'!B134,"AAAAAHvFvVI=")</f>
        <v>#VALUE!</v>
      </c>
      <c r="CF9" t="e">
        <f>AND('Planilla_General_03-12-2012_9_3'!C134,"AAAAAHvFvVM=")</f>
        <v>#VALUE!</v>
      </c>
      <c r="CG9" t="e">
        <f>AND('Planilla_General_03-12-2012_9_3'!D134,"AAAAAHvFvVQ=")</f>
        <v>#VALUE!</v>
      </c>
      <c r="CH9" t="e">
        <f>AND('Planilla_General_03-12-2012_9_3'!E134,"AAAAAHvFvVU=")</f>
        <v>#VALUE!</v>
      </c>
      <c r="CI9" t="e">
        <f>AND('Planilla_General_03-12-2012_9_3'!F134,"AAAAAHvFvVY=")</f>
        <v>#VALUE!</v>
      </c>
      <c r="CJ9" t="e">
        <f>AND('Planilla_General_03-12-2012_9_3'!G134,"AAAAAHvFvVc=")</f>
        <v>#VALUE!</v>
      </c>
      <c r="CK9" t="e">
        <f>AND('Planilla_General_03-12-2012_9_3'!H134,"AAAAAHvFvVg=")</f>
        <v>#VALUE!</v>
      </c>
      <c r="CL9" t="e">
        <f>AND('Planilla_General_03-12-2012_9_3'!I134,"AAAAAHvFvVk=")</f>
        <v>#VALUE!</v>
      </c>
      <c r="CM9" t="e">
        <f>AND('Planilla_General_03-12-2012_9_3'!J134,"AAAAAHvFvVo=")</f>
        <v>#VALUE!</v>
      </c>
      <c r="CN9" t="e">
        <f>AND('Planilla_General_03-12-2012_9_3'!K134,"AAAAAHvFvVs=")</f>
        <v>#VALUE!</v>
      </c>
      <c r="CO9" t="e">
        <f>AND('Planilla_General_03-12-2012_9_3'!L134,"AAAAAHvFvVw=")</f>
        <v>#VALUE!</v>
      </c>
      <c r="CP9" t="e">
        <f>AND('Planilla_General_03-12-2012_9_3'!M134,"AAAAAHvFvV0=")</f>
        <v>#VALUE!</v>
      </c>
      <c r="CQ9" t="e">
        <f>AND('Planilla_General_03-12-2012_9_3'!N134,"AAAAAHvFvV4=")</f>
        <v>#VALUE!</v>
      </c>
      <c r="CR9" t="e">
        <f>AND('Planilla_General_03-12-2012_9_3'!O134,"AAAAAHvFvV8=")</f>
        <v>#VALUE!</v>
      </c>
      <c r="CS9">
        <f>IF('Planilla_General_03-12-2012_9_3'!135:135,"AAAAAHvFvWA=",0)</f>
        <v>0</v>
      </c>
      <c r="CT9" t="e">
        <f>AND('Planilla_General_03-12-2012_9_3'!A135,"AAAAAHvFvWE=")</f>
        <v>#VALUE!</v>
      </c>
      <c r="CU9" t="e">
        <f>AND('Planilla_General_03-12-2012_9_3'!B135,"AAAAAHvFvWI=")</f>
        <v>#VALUE!</v>
      </c>
      <c r="CV9" t="e">
        <f>AND('Planilla_General_03-12-2012_9_3'!C135,"AAAAAHvFvWM=")</f>
        <v>#VALUE!</v>
      </c>
      <c r="CW9" t="e">
        <f>AND('Planilla_General_03-12-2012_9_3'!D135,"AAAAAHvFvWQ=")</f>
        <v>#VALUE!</v>
      </c>
      <c r="CX9" t="e">
        <f>AND('Planilla_General_03-12-2012_9_3'!E135,"AAAAAHvFvWU=")</f>
        <v>#VALUE!</v>
      </c>
      <c r="CY9" t="e">
        <f>AND('Planilla_General_03-12-2012_9_3'!F135,"AAAAAHvFvWY=")</f>
        <v>#VALUE!</v>
      </c>
      <c r="CZ9" t="e">
        <f>AND('Planilla_General_03-12-2012_9_3'!G135,"AAAAAHvFvWc=")</f>
        <v>#VALUE!</v>
      </c>
      <c r="DA9" t="e">
        <f>AND('Planilla_General_03-12-2012_9_3'!H135,"AAAAAHvFvWg=")</f>
        <v>#VALUE!</v>
      </c>
      <c r="DB9" t="e">
        <f>AND('Planilla_General_03-12-2012_9_3'!I135,"AAAAAHvFvWk=")</f>
        <v>#VALUE!</v>
      </c>
      <c r="DC9" t="e">
        <f>AND('Planilla_General_03-12-2012_9_3'!J135,"AAAAAHvFvWo=")</f>
        <v>#VALUE!</v>
      </c>
      <c r="DD9" t="e">
        <f>AND('Planilla_General_03-12-2012_9_3'!K135,"AAAAAHvFvWs=")</f>
        <v>#VALUE!</v>
      </c>
      <c r="DE9" t="e">
        <f>AND('Planilla_General_03-12-2012_9_3'!L135,"AAAAAHvFvWw=")</f>
        <v>#VALUE!</v>
      </c>
      <c r="DF9" t="e">
        <f>AND('Planilla_General_03-12-2012_9_3'!M135,"AAAAAHvFvW0=")</f>
        <v>#VALUE!</v>
      </c>
      <c r="DG9" t="e">
        <f>AND('Planilla_General_03-12-2012_9_3'!N135,"AAAAAHvFvW4=")</f>
        <v>#VALUE!</v>
      </c>
      <c r="DH9" t="e">
        <f>AND('Planilla_General_03-12-2012_9_3'!O135,"AAAAAHvFvW8=")</f>
        <v>#VALUE!</v>
      </c>
      <c r="DI9">
        <f>IF('Planilla_General_03-12-2012_9_3'!136:136,"AAAAAHvFvXA=",0)</f>
        <v>0</v>
      </c>
      <c r="DJ9" t="e">
        <f>AND('Planilla_General_03-12-2012_9_3'!A136,"AAAAAHvFvXE=")</f>
        <v>#VALUE!</v>
      </c>
      <c r="DK9" t="e">
        <f>AND('Planilla_General_03-12-2012_9_3'!B136,"AAAAAHvFvXI=")</f>
        <v>#VALUE!</v>
      </c>
      <c r="DL9" t="e">
        <f>AND('Planilla_General_03-12-2012_9_3'!C136,"AAAAAHvFvXM=")</f>
        <v>#VALUE!</v>
      </c>
      <c r="DM9" t="e">
        <f>AND('Planilla_General_03-12-2012_9_3'!D136,"AAAAAHvFvXQ=")</f>
        <v>#VALUE!</v>
      </c>
      <c r="DN9" t="e">
        <f>AND('Planilla_General_03-12-2012_9_3'!E136,"AAAAAHvFvXU=")</f>
        <v>#VALUE!</v>
      </c>
      <c r="DO9" t="e">
        <f>AND('Planilla_General_03-12-2012_9_3'!F136,"AAAAAHvFvXY=")</f>
        <v>#VALUE!</v>
      </c>
      <c r="DP9" t="e">
        <f>AND('Planilla_General_03-12-2012_9_3'!G136,"AAAAAHvFvXc=")</f>
        <v>#VALUE!</v>
      </c>
      <c r="DQ9" t="e">
        <f>AND('Planilla_General_03-12-2012_9_3'!H136,"AAAAAHvFvXg=")</f>
        <v>#VALUE!</v>
      </c>
      <c r="DR9" t="e">
        <f>AND('Planilla_General_03-12-2012_9_3'!I136,"AAAAAHvFvXk=")</f>
        <v>#VALUE!</v>
      </c>
      <c r="DS9" t="e">
        <f>AND('Planilla_General_03-12-2012_9_3'!J136,"AAAAAHvFvXo=")</f>
        <v>#VALUE!</v>
      </c>
      <c r="DT9" t="e">
        <f>AND('Planilla_General_03-12-2012_9_3'!K136,"AAAAAHvFvXs=")</f>
        <v>#VALUE!</v>
      </c>
      <c r="DU9" t="e">
        <f>AND('Planilla_General_03-12-2012_9_3'!L136,"AAAAAHvFvXw=")</f>
        <v>#VALUE!</v>
      </c>
      <c r="DV9" t="e">
        <f>AND('Planilla_General_03-12-2012_9_3'!M136,"AAAAAHvFvX0=")</f>
        <v>#VALUE!</v>
      </c>
      <c r="DW9" t="e">
        <f>AND('Planilla_General_03-12-2012_9_3'!N136,"AAAAAHvFvX4=")</f>
        <v>#VALUE!</v>
      </c>
      <c r="DX9" t="e">
        <f>AND('Planilla_General_03-12-2012_9_3'!O136,"AAAAAHvFvX8=")</f>
        <v>#VALUE!</v>
      </c>
      <c r="DY9">
        <f>IF('Planilla_General_03-12-2012_9_3'!137:137,"AAAAAHvFvYA=",0)</f>
        <v>0</v>
      </c>
      <c r="DZ9" t="e">
        <f>AND('Planilla_General_03-12-2012_9_3'!A137,"AAAAAHvFvYE=")</f>
        <v>#VALUE!</v>
      </c>
      <c r="EA9" t="e">
        <f>AND('Planilla_General_03-12-2012_9_3'!B137,"AAAAAHvFvYI=")</f>
        <v>#VALUE!</v>
      </c>
      <c r="EB9" t="e">
        <f>AND('Planilla_General_03-12-2012_9_3'!C137,"AAAAAHvFvYM=")</f>
        <v>#VALUE!</v>
      </c>
      <c r="EC9" t="e">
        <f>AND('Planilla_General_03-12-2012_9_3'!D137,"AAAAAHvFvYQ=")</f>
        <v>#VALUE!</v>
      </c>
      <c r="ED9" t="e">
        <f>AND('Planilla_General_03-12-2012_9_3'!E137,"AAAAAHvFvYU=")</f>
        <v>#VALUE!</v>
      </c>
      <c r="EE9" t="e">
        <f>AND('Planilla_General_03-12-2012_9_3'!F137,"AAAAAHvFvYY=")</f>
        <v>#VALUE!</v>
      </c>
      <c r="EF9" t="e">
        <f>AND('Planilla_General_03-12-2012_9_3'!G137,"AAAAAHvFvYc=")</f>
        <v>#VALUE!</v>
      </c>
      <c r="EG9" t="e">
        <f>AND('Planilla_General_03-12-2012_9_3'!H137,"AAAAAHvFvYg=")</f>
        <v>#VALUE!</v>
      </c>
      <c r="EH9" t="e">
        <f>AND('Planilla_General_03-12-2012_9_3'!I137,"AAAAAHvFvYk=")</f>
        <v>#VALUE!</v>
      </c>
      <c r="EI9" t="e">
        <f>AND('Planilla_General_03-12-2012_9_3'!J137,"AAAAAHvFvYo=")</f>
        <v>#VALUE!</v>
      </c>
      <c r="EJ9" t="e">
        <f>AND('Planilla_General_03-12-2012_9_3'!K137,"AAAAAHvFvYs=")</f>
        <v>#VALUE!</v>
      </c>
      <c r="EK9" t="e">
        <f>AND('Planilla_General_03-12-2012_9_3'!L137,"AAAAAHvFvYw=")</f>
        <v>#VALUE!</v>
      </c>
      <c r="EL9" t="e">
        <f>AND('Planilla_General_03-12-2012_9_3'!M137,"AAAAAHvFvY0=")</f>
        <v>#VALUE!</v>
      </c>
      <c r="EM9" t="e">
        <f>AND('Planilla_General_03-12-2012_9_3'!N137,"AAAAAHvFvY4=")</f>
        <v>#VALUE!</v>
      </c>
      <c r="EN9" t="e">
        <f>AND('Planilla_General_03-12-2012_9_3'!O137,"AAAAAHvFvY8=")</f>
        <v>#VALUE!</v>
      </c>
      <c r="EO9">
        <f>IF('Planilla_General_03-12-2012_9_3'!138:138,"AAAAAHvFvZA=",0)</f>
        <v>0</v>
      </c>
      <c r="EP9" t="e">
        <f>AND('Planilla_General_03-12-2012_9_3'!A138,"AAAAAHvFvZE=")</f>
        <v>#VALUE!</v>
      </c>
      <c r="EQ9" t="e">
        <f>AND('Planilla_General_03-12-2012_9_3'!B138,"AAAAAHvFvZI=")</f>
        <v>#VALUE!</v>
      </c>
      <c r="ER9" t="e">
        <f>AND('Planilla_General_03-12-2012_9_3'!C138,"AAAAAHvFvZM=")</f>
        <v>#VALUE!</v>
      </c>
      <c r="ES9" t="e">
        <f>AND('Planilla_General_03-12-2012_9_3'!D138,"AAAAAHvFvZQ=")</f>
        <v>#VALUE!</v>
      </c>
      <c r="ET9" t="e">
        <f>AND('Planilla_General_03-12-2012_9_3'!E138,"AAAAAHvFvZU=")</f>
        <v>#VALUE!</v>
      </c>
      <c r="EU9" t="e">
        <f>AND('Planilla_General_03-12-2012_9_3'!F138,"AAAAAHvFvZY=")</f>
        <v>#VALUE!</v>
      </c>
      <c r="EV9" t="e">
        <f>AND('Planilla_General_03-12-2012_9_3'!G138,"AAAAAHvFvZc=")</f>
        <v>#VALUE!</v>
      </c>
      <c r="EW9" t="e">
        <f>AND('Planilla_General_03-12-2012_9_3'!H138,"AAAAAHvFvZg=")</f>
        <v>#VALUE!</v>
      </c>
      <c r="EX9" t="e">
        <f>AND('Planilla_General_03-12-2012_9_3'!I138,"AAAAAHvFvZk=")</f>
        <v>#VALUE!</v>
      </c>
      <c r="EY9" t="e">
        <f>AND('Planilla_General_03-12-2012_9_3'!J138,"AAAAAHvFvZo=")</f>
        <v>#VALUE!</v>
      </c>
      <c r="EZ9" t="e">
        <f>AND('Planilla_General_03-12-2012_9_3'!K138,"AAAAAHvFvZs=")</f>
        <v>#VALUE!</v>
      </c>
      <c r="FA9" t="e">
        <f>AND('Planilla_General_03-12-2012_9_3'!L138,"AAAAAHvFvZw=")</f>
        <v>#VALUE!</v>
      </c>
      <c r="FB9" t="e">
        <f>AND('Planilla_General_03-12-2012_9_3'!M138,"AAAAAHvFvZ0=")</f>
        <v>#VALUE!</v>
      </c>
      <c r="FC9" t="e">
        <f>AND('Planilla_General_03-12-2012_9_3'!N138,"AAAAAHvFvZ4=")</f>
        <v>#VALUE!</v>
      </c>
      <c r="FD9" t="e">
        <f>AND('Planilla_General_03-12-2012_9_3'!O138,"AAAAAHvFvZ8=")</f>
        <v>#VALUE!</v>
      </c>
      <c r="FE9">
        <f>IF('Planilla_General_03-12-2012_9_3'!139:139,"AAAAAHvFvaA=",0)</f>
        <v>0</v>
      </c>
      <c r="FF9" t="e">
        <f>AND('Planilla_General_03-12-2012_9_3'!A139,"AAAAAHvFvaE=")</f>
        <v>#VALUE!</v>
      </c>
      <c r="FG9" t="e">
        <f>AND('Planilla_General_03-12-2012_9_3'!B139,"AAAAAHvFvaI=")</f>
        <v>#VALUE!</v>
      </c>
      <c r="FH9" t="e">
        <f>AND('Planilla_General_03-12-2012_9_3'!C139,"AAAAAHvFvaM=")</f>
        <v>#VALUE!</v>
      </c>
      <c r="FI9" t="e">
        <f>AND('Planilla_General_03-12-2012_9_3'!D139,"AAAAAHvFvaQ=")</f>
        <v>#VALUE!</v>
      </c>
      <c r="FJ9" t="e">
        <f>AND('Planilla_General_03-12-2012_9_3'!E139,"AAAAAHvFvaU=")</f>
        <v>#VALUE!</v>
      </c>
      <c r="FK9" t="e">
        <f>AND('Planilla_General_03-12-2012_9_3'!F139,"AAAAAHvFvaY=")</f>
        <v>#VALUE!</v>
      </c>
      <c r="FL9" t="e">
        <f>AND('Planilla_General_03-12-2012_9_3'!G139,"AAAAAHvFvac=")</f>
        <v>#VALUE!</v>
      </c>
      <c r="FM9" t="e">
        <f>AND('Planilla_General_03-12-2012_9_3'!H139,"AAAAAHvFvag=")</f>
        <v>#VALUE!</v>
      </c>
      <c r="FN9" t="e">
        <f>AND('Planilla_General_03-12-2012_9_3'!I139,"AAAAAHvFvak=")</f>
        <v>#VALUE!</v>
      </c>
      <c r="FO9" t="e">
        <f>AND('Planilla_General_03-12-2012_9_3'!J139,"AAAAAHvFvao=")</f>
        <v>#VALUE!</v>
      </c>
      <c r="FP9" t="e">
        <f>AND('Planilla_General_03-12-2012_9_3'!K139,"AAAAAHvFvas=")</f>
        <v>#VALUE!</v>
      </c>
      <c r="FQ9" t="e">
        <f>AND('Planilla_General_03-12-2012_9_3'!L139,"AAAAAHvFvaw=")</f>
        <v>#VALUE!</v>
      </c>
      <c r="FR9" t="e">
        <f>AND('Planilla_General_03-12-2012_9_3'!M139,"AAAAAHvFva0=")</f>
        <v>#VALUE!</v>
      </c>
      <c r="FS9" t="e">
        <f>AND('Planilla_General_03-12-2012_9_3'!N139,"AAAAAHvFva4=")</f>
        <v>#VALUE!</v>
      </c>
      <c r="FT9" t="e">
        <f>AND('Planilla_General_03-12-2012_9_3'!O139,"AAAAAHvFva8=")</f>
        <v>#VALUE!</v>
      </c>
      <c r="FU9">
        <f>IF('Planilla_General_03-12-2012_9_3'!140:140,"AAAAAHvFvbA=",0)</f>
        <v>0</v>
      </c>
      <c r="FV9" t="e">
        <f>AND('Planilla_General_03-12-2012_9_3'!A140,"AAAAAHvFvbE=")</f>
        <v>#VALUE!</v>
      </c>
      <c r="FW9" t="e">
        <f>AND('Planilla_General_03-12-2012_9_3'!B140,"AAAAAHvFvbI=")</f>
        <v>#VALUE!</v>
      </c>
      <c r="FX9" t="e">
        <f>AND('Planilla_General_03-12-2012_9_3'!C140,"AAAAAHvFvbM=")</f>
        <v>#VALUE!</v>
      </c>
      <c r="FY9" t="e">
        <f>AND('Planilla_General_03-12-2012_9_3'!D140,"AAAAAHvFvbQ=")</f>
        <v>#VALUE!</v>
      </c>
      <c r="FZ9" t="e">
        <f>AND('Planilla_General_03-12-2012_9_3'!E140,"AAAAAHvFvbU=")</f>
        <v>#VALUE!</v>
      </c>
      <c r="GA9" t="e">
        <f>AND('Planilla_General_03-12-2012_9_3'!F140,"AAAAAHvFvbY=")</f>
        <v>#VALUE!</v>
      </c>
      <c r="GB9" t="e">
        <f>AND('Planilla_General_03-12-2012_9_3'!G140,"AAAAAHvFvbc=")</f>
        <v>#VALUE!</v>
      </c>
      <c r="GC9" t="e">
        <f>AND('Planilla_General_03-12-2012_9_3'!H140,"AAAAAHvFvbg=")</f>
        <v>#VALUE!</v>
      </c>
      <c r="GD9" t="e">
        <f>AND('Planilla_General_03-12-2012_9_3'!I140,"AAAAAHvFvbk=")</f>
        <v>#VALUE!</v>
      </c>
      <c r="GE9" t="e">
        <f>AND('Planilla_General_03-12-2012_9_3'!J140,"AAAAAHvFvbo=")</f>
        <v>#VALUE!</v>
      </c>
      <c r="GF9" t="e">
        <f>AND('Planilla_General_03-12-2012_9_3'!K140,"AAAAAHvFvbs=")</f>
        <v>#VALUE!</v>
      </c>
      <c r="GG9" t="e">
        <f>AND('Planilla_General_03-12-2012_9_3'!L140,"AAAAAHvFvbw=")</f>
        <v>#VALUE!</v>
      </c>
      <c r="GH9" t="e">
        <f>AND('Planilla_General_03-12-2012_9_3'!M140,"AAAAAHvFvb0=")</f>
        <v>#VALUE!</v>
      </c>
      <c r="GI9" t="e">
        <f>AND('Planilla_General_03-12-2012_9_3'!N140,"AAAAAHvFvb4=")</f>
        <v>#VALUE!</v>
      </c>
      <c r="GJ9" t="e">
        <f>AND('Planilla_General_03-12-2012_9_3'!O140,"AAAAAHvFvb8=")</f>
        <v>#VALUE!</v>
      </c>
      <c r="GK9">
        <f>IF('Planilla_General_03-12-2012_9_3'!141:141,"AAAAAHvFvcA=",0)</f>
        <v>0</v>
      </c>
      <c r="GL9" t="e">
        <f>AND('Planilla_General_03-12-2012_9_3'!A141,"AAAAAHvFvcE=")</f>
        <v>#VALUE!</v>
      </c>
      <c r="GM9" t="e">
        <f>AND('Planilla_General_03-12-2012_9_3'!B141,"AAAAAHvFvcI=")</f>
        <v>#VALUE!</v>
      </c>
      <c r="GN9" t="e">
        <f>AND('Planilla_General_03-12-2012_9_3'!C141,"AAAAAHvFvcM=")</f>
        <v>#VALUE!</v>
      </c>
      <c r="GO9" t="e">
        <f>AND('Planilla_General_03-12-2012_9_3'!D141,"AAAAAHvFvcQ=")</f>
        <v>#VALUE!</v>
      </c>
      <c r="GP9" t="e">
        <f>AND('Planilla_General_03-12-2012_9_3'!E141,"AAAAAHvFvcU=")</f>
        <v>#VALUE!</v>
      </c>
      <c r="GQ9" t="e">
        <f>AND('Planilla_General_03-12-2012_9_3'!F141,"AAAAAHvFvcY=")</f>
        <v>#VALUE!</v>
      </c>
      <c r="GR9" t="e">
        <f>AND('Planilla_General_03-12-2012_9_3'!G141,"AAAAAHvFvcc=")</f>
        <v>#VALUE!</v>
      </c>
      <c r="GS9" t="e">
        <f>AND('Planilla_General_03-12-2012_9_3'!H141,"AAAAAHvFvcg=")</f>
        <v>#VALUE!</v>
      </c>
      <c r="GT9" t="e">
        <f>AND('Planilla_General_03-12-2012_9_3'!I141,"AAAAAHvFvck=")</f>
        <v>#VALUE!</v>
      </c>
      <c r="GU9" t="e">
        <f>AND('Planilla_General_03-12-2012_9_3'!J141,"AAAAAHvFvco=")</f>
        <v>#VALUE!</v>
      </c>
      <c r="GV9" t="e">
        <f>AND('Planilla_General_03-12-2012_9_3'!K141,"AAAAAHvFvcs=")</f>
        <v>#VALUE!</v>
      </c>
      <c r="GW9" t="e">
        <f>AND('Planilla_General_03-12-2012_9_3'!L141,"AAAAAHvFvcw=")</f>
        <v>#VALUE!</v>
      </c>
      <c r="GX9" t="e">
        <f>AND('Planilla_General_03-12-2012_9_3'!M141,"AAAAAHvFvc0=")</f>
        <v>#VALUE!</v>
      </c>
      <c r="GY9" t="e">
        <f>AND('Planilla_General_03-12-2012_9_3'!N141,"AAAAAHvFvc4=")</f>
        <v>#VALUE!</v>
      </c>
      <c r="GZ9" t="e">
        <f>AND('Planilla_General_03-12-2012_9_3'!O141,"AAAAAHvFvc8=")</f>
        <v>#VALUE!</v>
      </c>
      <c r="HA9">
        <f>IF('Planilla_General_03-12-2012_9_3'!142:142,"AAAAAHvFvdA=",0)</f>
        <v>0</v>
      </c>
      <c r="HB9" t="e">
        <f>AND('Planilla_General_03-12-2012_9_3'!A142,"AAAAAHvFvdE=")</f>
        <v>#VALUE!</v>
      </c>
      <c r="HC9" t="e">
        <f>AND('Planilla_General_03-12-2012_9_3'!B142,"AAAAAHvFvdI=")</f>
        <v>#VALUE!</v>
      </c>
      <c r="HD9" t="e">
        <f>AND('Planilla_General_03-12-2012_9_3'!C142,"AAAAAHvFvdM=")</f>
        <v>#VALUE!</v>
      </c>
      <c r="HE9" t="e">
        <f>AND('Planilla_General_03-12-2012_9_3'!D142,"AAAAAHvFvdQ=")</f>
        <v>#VALUE!</v>
      </c>
      <c r="HF9" t="e">
        <f>AND('Planilla_General_03-12-2012_9_3'!E142,"AAAAAHvFvdU=")</f>
        <v>#VALUE!</v>
      </c>
      <c r="HG9" t="e">
        <f>AND('Planilla_General_03-12-2012_9_3'!F142,"AAAAAHvFvdY=")</f>
        <v>#VALUE!</v>
      </c>
      <c r="HH9" t="e">
        <f>AND('Planilla_General_03-12-2012_9_3'!G142,"AAAAAHvFvdc=")</f>
        <v>#VALUE!</v>
      </c>
      <c r="HI9" t="e">
        <f>AND('Planilla_General_03-12-2012_9_3'!H142,"AAAAAHvFvdg=")</f>
        <v>#VALUE!</v>
      </c>
      <c r="HJ9" t="e">
        <f>AND('Planilla_General_03-12-2012_9_3'!I142,"AAAAAHvFvdk=")</f>
        <v>#VALUE!</v>
      </c>
      <c r="HK9" t="e">
        <f>AND('Planilla_General_03-12-2012_9_3'!J142,"AAAAAHvFvdo=")</f>
        <v>#VALUE!</v>
      </c>
      <c r="HL9" t="e">
        <f>AND('Planilla_General_03-12-2012_9_3'!K142,"AAAAAHvFvds=")</f>
        <v>#VALUE!</v>
      </c>
      <c r="HM9" t="e">
        <f>AND('Planilla_General_03-12-2012_9_3'!L142,"AAAAAHvFvdw=")</f>
        <v>#VALUE!</v>
      </c>
      <c r="HN9" t="e">
        <f>AND('Planilla_General_03-12-2012_9_3'!M142,"AAAAAHvFvd0=")</f>
        <v>#VALUE!</v>
      </c>
      <c r="HO9" t="e">
        <f>AND('Planilla_General_03-12-2012_9_3'!N142,"AAAAAHvFvd4=")</f>
        <v>#VALUE!</v>
      </c>
      <c r="HP9" t="e">
        <f>AND('Planilla_General_03-12-2012_9_3'!O142,"AAAAAHvFvd8=")</f>
        <v>#VALUE!</v>
      </c>
      <c r="HQ9">
        <f>IF('Planilla_General_03-12-2012_9_3'!143:143,"AAAAAHvFveA=",0)</f>
        <v>0</v>
      </c>
      <c r="HR9" t="e">
        <f>AND('Planilla_General_03-12-2012_9_3'!A143,"AAAAAHvFveE=")</f>
        <v>#VALUE!</v>
      </c>
      <c r="HS9" t="e">
        <f>AND('Planilla_General_03-12-2012_9_3'!B143,"AAAAAHvFveI=")</f>
        <v>#VALUE!</v>
      </c>
      <c r="HT9" t="e">
        <f>AND('Planilla_General_03-12-2012_9_3'!C143,"AAAAAHvFveM=")</f>
        <v>#VALUE!</v>
      </c>
      <c r="HU9" t="e">
        <f>AND('Planilla_General_03-12-2012_9_3'!D143,"AAAAAHvFveQ=")</f>
        <v>#VALUE!</v>
      </c>
      <c r="HV9" t="e">
        <f>AND('Planilla_General_03-12-2012_9_3'!E143,"AAAAAHvFveU=")</f>
        <v>#VALUE!</v>
      </c>
      <c r="HW9" t="e">
        <f>AND('Planilla_General_03-12-2012_9_3'!F143,"AAAAAHvFveY=")</f>
        <v>#VALUE!</v>
      </c>
      <c r="HX9" t="e">
        <f>AND('Planilla_General_03-12-2012_9_3'!G143,"AAAAAHvFvec=")</f>
        <v>#VALUE!</v>
      </c>
      <c r="HY9" t="e">
        <f>AND('Planilla_General_03-12-2012_9_3'!H143,"AAAAAHvFveg=")</f>
        <v>#VALUE!</v>
      </c>
      <c r="HZ9" t="e">
        <f>AND('Planilla_General_03-12-2012_9_3'!I143,"AAAAAHvFvek=")</f>
        <v>#VALUE!</v>
      </c>
      <c r="IA9" t="e">
        <f>AND('Planilla_General_03-12-2012_9_3'!J143,"AAAAAHvFveo=")</f>
        <v>#VALUE!</v>
      </c>
      <c r="IB9" t="e">
        <f>AND('Planilla_General_03-12-2012_9_3'!K143,"AAAAAHvFves=")</f>
        <v>#VALUE!</v>
      </c>
      <c r="IC9" t="e">
        <f>AND('Planilla_General_03-12-2012_9_3'!L143,"AAAAAHvFvew=")</f>
        <v>#VALUE!</v>
      </c>
      <c r="ID9" t="e">
        <f>AND('Planilla_General_03-12-2012_9_3'!M143,"AAAAAHvFve0=")</f>
        <v>#VALUE!</v>
      </c>
      <c r="IE9" t="e">
        <f>AND('Planilla_General_03-12-2012_9_3'!N143,"AAAAAHvFve4=")</f>
        <v>#VALUE!</v>
      </c>
      <c r="IF9" t="e">
        <f>AND('Planilla_General_03-12-2012_9_3'!O143,"AAAAAHvFve8=")</f>
        <v>#VALUE!</v>
      </c>
      <c r="IG9">
        <f>IF('Planilla_General_03-12-2012_9_3'!144:144,"AAAAAHvFvfA=",0)</f>
        <v>0</v>
      </c>
      <c r="IH9" t="e">
        <f>AND('Planilla_General_03-12-2012_9_3'!A144,"AAAAAHvFvfE=")</f>
        <v>#VALUE!</v>
      </c>
      <c r="II9" t="e">
        <f>AND('Planilla_General_03-12-2012_9_3'!B144,"AAAAAHvFvfI=")</f>
        <v>#VALUE!</v>
      </c>
      <c r="IJ9" t="e">
        <f>AND('Planilla_General_03-12-2012_9_3'!C144,"AAAAAHvFvfM=")</f>
        <v>#VALUE!</v>
      </c>
      <c r="IK9" t="e">
        <f>AND('Planilla_General_03-12-2012_9_3'!D144,"AAAAAHvFvfQ=")</f>
        <v>#VALUE!</v>
      </c>
      <c r="IL9" t="e">
        <f>AND('Planilla_General_03-12-2012_9_3'!E144,"AAAAAHvFvfU=")</f>
        <v>#VALUE!</v>
      </c>
      <c r="IM9" t="e">
        <f>AND('Planilla_General_03-12-2012_9_3'!F144,"AAAAAHvFvfY=")</f>
        <v>#VALUE!</v>
      </c>
      <c r="IN9" t="e">
        <f>AND('Planilla_General_03-12-2012_9_3'!G144,"AAAAAHvFvfc=")</f>
        <v>#VALUE!</v>
      </c>
      <c r="IO9" t="e">
        <f>AND('Planilla_General_03-12-2012_9_3'!H144,"AAAAAHvFvfg=")</f>
        <v>#VALUE!</v>
      </c>
      <c r="IP9" t="e">
        <f>AND('Planilla_General_03-12-2012_9_3'!I144,"AAAAAHvFvfk=")</f>
        <v>#VALUE!</v>
      </c>
      <c r="IQ9" t="e">
        <f>AND('Planilla_General_03-12-2012_9_3'!J144,"AAAAAHvFvfo=")</f>
        <v>#VALUE!</v>
      </c>
      <c r="IR9" t="e">
        <f>AND('Planilla_General_03-12-2012_9_3'!K144,"AAAAAHvFvfs=")</f>
        <v>#VALUE!</v>
      </c>
      <c r="IS9" t="e">
        <f>AND('Planilla_General_03-12-2012_9_3'!L144,"AAAAAHvFvfw=")</f>
        <v>#VALUE!</v>
      </c>
      <c r="IT9" t="e">
        <f>AND('Planilla_General_03-12-2012_9_3'!M144,"AAAAAHvFvf0=")</f>
        <v>#VALUE!</v>
      </c>
      <c r="IU9" t="e">
        <f>AND('Planilla_General_03-12-2012_9_3'!N144,"AAAAAHvFvf4=")</f>
        <v>#VALUE!</v>
      </c>
      <c r="IV9" t="e">
        <f>AND('Planilla_General_03-12-2012_9_3'!O144,"AAAAAHvFvf8=")</f>
        <v>#VALUE!</v>
      </c>
    </row>
    <row r="10" spans="1:256" x14ac:dyDescent="0.25">
      <c r="A10" t="e">
        <f>IF('Planilla_General_03-12-2012_9_3'!145:145,"AAAAAD89fgA=",0)</f>
        <v>#VALUE!</v>
      </c>
      <c r="B10" t="e">
        <f>AND('Planilla_General_03-12-2012_9_3'!A145,"AAAAAD89fgE=")</f>
        <v>#VALUE!</v>
      </c>
      <c r="C10" t="e">
        <f>AND('Planilla_General_03-12-2012_9_3'!B145,"AAAAAD89fgI=")</f>
        <v>#VALUE!</v>
      </c>
      <c r="D10" t="e">
        <f>AND('Planilla_General_03-12-2012_9_3'!C145,"AAAAAD89fgM=")</f>
        <v>#VALUE!</v>
      </c>
      <c r="E10" t="e">
        <f>AND('Planilla_General_03-12-2012_9_3'!D145,"AAAAAD89fgQ=")</f>
        <v>#VALUE!</v>
      </c>
      <c r="F10" t="e">
        <f>AND('Planilla_General_03-12-2012_9_3'!E145,"AAAAAD89fgU=")</f>
        <v>#VALUE!</v>
      </c>
      <c r="G10" t="e">
        <f>AND('Planilla_General_03-12-2012_9_3'!F145,"AAAAAD89fgY=")</f>
        <v>#VALUE!</v>
      </c>
      <c r="H10" t="e">
        <f>AND('Planilla_General_03-12-2012_9_3'!G145,"AAAAAD89fgc=")</f>
        <v>#VALUE!</v>
      </c>
      <c r="I10" t="e">
        <f>AND('Planilla_General_03-12-2012_9_3'!H145,"AAAAAD89fgg=")</f>
        <v>#VALUE!</v>
      </c>
      <c r="J10" t="e">
        <f>AND('Planilla_General_03-12-2012_9_3'!I145,"AAAAAD89fgk=")</f>
        <v>#VALUE!</v>
      </c>
      <c r="K10" t="e">
        <f>AND('Planilla_General_03-12-2012_9_3'!J145,"AAAAAD89fgo=")</f>
        <v>#VALUE!</v>
      </c>
      <c r="L10" t="e">
        <f>AND('Planilla_General_03-12-2012_9_3'!K145,"AAAAAD89fgs=")</f>
        <v>#VALUE!</v>
      </c>
      <c r="M10" t="e">
        <f>AND('Planilla_General_03-12-2012_9_3'!L145,"AAAAAD89fgw=")</f>
        <v>#VALUE!</v>
      </c>
      <c r="N10" t="e">
        <f>AND('Planilla_General_03-12-2012_9_3'!M145,"AAAAAD89fg0=")</f>
        <v>#VALUE!</v>
      </c>
      <c r="O10" t="e">
        <f>AND('Planilla_General_03-12-2012_9_3'!N145,"AAAAAD89fg4=")</f>
        <v>#VALUE!</v>
      </c>
      <c r="P10" t="e">
        <f>AND('Planilla_General_03-12-2012_9_3'!O145,"AAAAAD89fg8=")</f>
        <v>#VALUE!</v>
      </c>
      <c r="Q10">
        <f>IF('Planilla_General_03-12-2012_9_3'!146:146,"AAAAAD89fhA=",0)</f>
        <v>0</v>
      </c>
      <c r="R10" t="e">
        <f>AND('Planilla_General_03-12-2012_9_3'!A146,"AAAAAD89fhE=")</f>
        <v>#VALUE!</v>
      </c>
      <c r="S10" t="e">
        <f>AND('Planilla_General_03-12-2012_9_3'!B146,"AAAAAD89fhI=")</f>
        <v>#VALUE!</v>
      </c>
      <c r="T10" t="e">
        <f>AND('Planilla_General_03-12-2012_9_3'!C146,"AAAAAD89fhM=")</f>
        <v>#VALUE!</v>
      </c>
      <c r="U10" t="e">
        <f>AND('Planilla_General_03-12-2012_9_3'!D146,"AAAAAD89fhQ=")</f>
        <v>#VALUE!</v>
      </c>
      <c r="V10" t="e">
        <f>AND('Planilla_General_03-12-2012_9_3'!E146,"AAAAAD89fhU=")</f>
        <v>#VALUE!</v>
      </c>
      <c r="W10" t="e">
        <f>AND('Planilla_General_03-12-2012_9_3'!F146,"AAAAAD89fhY=")</f>
        <v>#VALUE!</v>
      </c>
      <c r="X10" t="e">
        <f>AND('Planilla_General_03-12-2012_9_3'!G146,"AAAAAD89fhc=")</f>
        <v>#VALUE!</v>
      </c>
      <c r="Y10" t="e">
        <f>AND('Planilla_General_03-12-2012_9_3'!H146,"AAAAAD89fhg=")</f>
        <v>#VALUE!</v>
      </c>
      <c r="Z10" t="e">
        <f>AND('Planilla_General_03-12-2012_9_3'!I146,"AAAAAD89fhk=")</f>
        <v>#VALUE!</v>
      </c>
      <c r="AA10" t="e">
        <f>AND('Planilla_General_03-12-2012_9_3'!J146,"AAAAAD89fho=")</f>
        <v>#VALUE!</v>
      </c>
      <c r="AB10" t="e">
        <f>AND('Planilla_General_03-12-2012_9_3'!K146,"AAAAAD89fhs=")</f>
        <v>#VALUE!</v>
      </c>
      <c r="AC10" t="e">
        <f>AND('Planilla_General_03-12-2012_9_3'!L146,"AAAAAD89fhw=")</f>
        <v>#VALUE!</v>
      </c>
      <c r="AD10" t="e">
        <f>AND('Planilla_General_03-12-2012_9_3'!M146,"AAAAAD89fh0=")</f>
        <v>#VALUE!</v>
      </c>
      <c r="AE10" t="e">
        <f>AND('Planilla_General_03-12-2012_9_3'!N146,"AAAAAD89fh4=")</f>
        <v>#VALUE!</v>
      </c>
      <c r="AF10" t="e">
        <f>AND('Planilla_General_03-12-2012_9_3'!O146,"AAAAAD89fh8=")</f>
        <v>#VALUE!</v>
      </c>
      <c r="AG10">
        <f>IF('Planilla_General_03-12-2012_9_3'!147:147,"AAAAAD89fiA=",0)</f>
        <v>0</v>
      </c>
      <c r="AH10" t="e">
        <f>AND('Planilla_General_03-12-2012_9_3'!A147,"AAAAAD89fiE=")</f>
        <v>#VALUE!</v>
      </c>
      <c r="AI10" t="e">
        <f>AND('Planilla_General_03-12-2012_9_3'!B147,"AAAAAD89fiI=")</f>
        <v>#VALUE!</v>
      </c>
      <c r="AJ10" t="e">
        <f>AND('Planilla_General_03-12-2012_9_3'!C147,"AAAAAD89fiM=")</f>
        <v>#VALUE!</v>
      </c>
      <c r="AK10" t="e">
        <f>AND('Planilla_General_03-12-2012_9_3'!D147,"AAAAAD89fiQ=")</f>
        <v>#VALUE!</v>
      </c>
      <c r="AL10" t="e">
        <f>AND('Planilla_General_03-12-2012_9_3'!E147,"AAAAAD89fiU=")</f>
        <v>#VALUE!</v>
      </c>
      <c r="AM10" t="e">
        <f>AND('Planilla_General_03-12-2012_9_3'!F147,"AAAAAD89fiY=")</f>
        <v>#VALUE!</v>
      </c>
      <c r="AN10" t="e">
        <f>AND('Planilla_General_03-12-2012_9_3'!G147,"AAAAAD89fic=")</f>
        <v>#VALUE!</v>
      </c>
      <c r="AO10" t="e">
        <f>AND('Planilla_General_03-12-2012_9_3'!H147,"AAAAAD89fig=")</f>
        <v>#VALUE!</v>
      </c>
      <c r="AP10" t="e">
        <f>AND('Planilla_General_03-12-2012_9_3'!I147,"AAAAAD89fik=")</f>
        <v>#VALUE!</v>
      </c>
      <c r="AQ10" t="e">
        <f>AND('Planilla_General_03-12-2012_9_3'!J147,"AAAAAD89fio=")</f>
        <v>#VALUE!</v>
      </c>
      <c r="AR10" t="e">
        <f>AND('Planilla_General_03-12-2012_9_3'!K147,"AAAAAD89fis=")</f>
        <v>#VALUE!</v>
      </c>
      <c r="AS10" t="e">
        <f>AND('Planilla_General_03-12-2012_9_3'!L147,"AAAAAD89fiw=")</f>
        <v>#VALUE!</v>
      </c>
      <c r="AT10" t="e">
        <f>AND('Planilla_General_03-12-2012_9_3'!M147,"AAAAAD89fi0=")</f>
        <v>#VALUE!</v>
      </c>
      <c r="AU10" t="e">
        <f>AND('Planilla_General_03-12-2012_9_3'!N147,"AAAAAD89fi4=")</f>
        <v>#VALUE!</v>
      </c>
      <c r="AV10" t="e">
        <f>AND('Planilla_General_03-12-2012_9_3'!O147,"AAAAAD89fi8=")</f>
        <v>#VALUE!</v>
      </c>
      <c r="AW10">
        <f>IF('Planilla_General_03-12-2012_9_3'!148:148,"AAAAAD89fjA=",0)</f>
        <v>0</v>
      </c>
      <c r="AX10" t="e">
        <f>AND('Planilla_General_03-12-2012_9_3'!A148,"AAAAAD89fjE=")</f>
        <v>#VALUE!</v>
      </c>
      <c r="AY10" t="e">
        <f>AND('Planilla_General_03-12-2012_9_3'!B148,"AAAAAD89fjI=")</f>
        <v>#VALUE!</v>
      </c>
      <c r="AZ10" t="e">
        <f>AND('Planilla_General_03-12-2012_9_3'!C148,"AAAAAD89fjM=")</f>
        <v>#VALUE!</v>
      </c>
      <c r="BA10" t="e">
        <f>AND('Planilla_General_03-12-2012_9_3'!D148,"AAAAAD89fjQ=")</f>
        <v>#VALUE!</v>
      </c>
      <c r="BB10" t="e">
        <f>AND('Planilla_General_03-12-2012_9_3'!E148,"AAAAAD89fjU=")</f>
        <v>#VALUE!</v>
      </c>
      <c r="BC10" t="e">
        <f>AND('Planilla_General_03-12-2012_9_3'!F148,"AAAAAD89fjY=")</f>
        <v>#VALUE!</v>
      </c>
      <c r="BD10" t="e">
        <f>AND('Planilla_General_03-12-2012_9_3'!G148,"AAAAAD89fjc=")</f>
        <v>#VALUE!</v>
      </c>
      <c r="BE10" t="e">
        <f>AND('Planilla_General_03-12-2012_9_3'!H148,"AAAAAD89fjg=")</f>
        <v>#VALUE!</v>
      </c>
      <c r="BF10" t="e">
        <f>AND('Planilla_General_03-12-2012_9_3'!I148,"AAAAAD89fjk=")</f>
        <v>#VALUE!</v>
      </c>
      <c r="BG10" t="e">
        <f>AND('Planilla_General_03-12-2012_9_3'!J148,"AAAAAD89fjo=")</f>
        <v>#VALUE!</v>
      </c>
      <c r="BH10" t="e">
        <f>AND('Planilla_General_03-12-2012_9_3'!K148,"AAAAAD89fjs=")</f>
        <v>#VALUE!</v>
      </c>
      <c r="BI10" t="e">
        <f>AND('Planilla_General_03-12-2012_9_3'!L148,"AAAAAD89fjw=")</f>
        <v>#VALUE!</v>
      </c>
      <c r="BJ10" t="e">
        <f>AND('Planilla_General_03-12-2012_9_3'!M148,"AAAAAD89fj0=")</f>
        <v>#VALUE!</v>
      </c>
      <c r="BK10" t="e">
        <f>AND('Planilla_General_03-12-2012_9_3'!N148,"AAAAAD89fj4=")</f>
        <v>#VALUE!</v>
      </c>
      <c r="BL10" t="e">
        <f>AND('Planilla_General_03-12-2012_9_3'!O148,"AAAAAD89fj8=")</f>
        <v>#VALUE!</v>
      </c>
      <c r="BM10">
        <f>IF('Planilla_General_03-12-2012_9_3'!149:149,"AAAAAD89fkA=",0)</f>
        <v>0</v>
      </c>
      <c r="BN10" t="e">
        <f>AND('Planilla_General_03-12-2012_9_3'!A149,"AAAAAD89fkE=")</f>
        <v>#VALUE!</v>
      </c>
      <c r="BO10" t="e">
        <f>AND('Planilla_General_03-12-2012_9_3'!B149,"AAAAAD89fkI=")</f>
        <v>#VALUE!</v>
      </c>
      <c r="BP10" t="e">
        <f>AND('Planilla_General_03-12-2012_9_3'!C149,"AAAAAD89fkM=")</f>
        <v>#VALUE!</v>
      </c>
      <c r="BQ10" t="e">
        <f>AND('Planilla_General_03-12-2012_9_3'!D149,"AAAAAD89fkQ=")</f>
        <v>#VALUE!</v>
      </c>
      <c r="BR10" t="e">
        <f>AND('Planilla_General_03-12-2012_9_3'!E149,"AAAAAD89fkU=")</f>
        <v>#VALUE!</v>
      </c>
      <c r="BS10" t="e">
        <f>AND('Planilla_General_03-12-2012_9_3'!F149,"AAAAAD89fkY=")</f>
        <v>#VALUE!</v>
      </c>
      <c r="BT10" t="e">
        <f>AND('Planilla_General_03-12-2012_9_3'!G149,"AAAAAD89fkc=")</f>
        <v>#VALUE!</v>
      </c>
      <c r="BU10" t="e">
        <f>AND('Planilla_General_03-12-2012_9_3'!H149,"AAAAAD89fkg=")</f>
        <v>#VALUE!</v>
      </c>
      <c r="BV10" t="e">
        <f>AND('Planilla_General_03-12-2012_9_3'!I149,"AAAAAD89fkk=")</f>
        <v>#VALUE!</v>
      </c>
      <c r="BW10" t="e">
        <f>AND('Planilla_General_03-12-2012_9_3'!J149,"AAAAAD89fko=")</f>
        <v>#VALUE!</v>
      </c>
      <c r="BX10" t="e">
        <f>AND('Planilla_General_03-12-2012_9_3'!K149,"AAAAAD89fks=")</f>
        <v>#VALUE!</v>
      </c>
      <c r="BY10" t="e">
        <f>AND('Planilla_General_03-12-2012_9_3'!L149,"AAAAAD89fkw=")</f>
        <v>#VALUE!</v>
      </c>
      <c r="BZ10" t="e">
        <f>AND('Planilla_General_03-12-2012_9_3'!M149,"AAAAAD89fk0=")</f>
        <v>#VALUE!</v>
      </c>
      <c r="CA10" t="e">
        <f>AND('Planilla_General_03-12-2012_9_3'!N149,"AAAAAD89fk4=")</f>
        <v>#VALUE!</v>
      </c>
      <c r="CB10" t="e">
        <f>AND('Planilla_General_03-12-2012_9_3'!O149,"AAAAAD89fk8=")</f>
        <v>#VALUE!</v>
      </c>
      <c r="CC10">
        <f>IF('Planilla_General_03-12-2012_9_3'!150:150,"AAAAAD89flA=",0)</f>
        <v>0</v>
      </c>
      <c r="CD10" t="e">
        <f>AND('Planilla_General_03-12-2012_9_3'!A150,"AAAAAD89flE=")</f>
        <v>#VALUE!</v>
      </c>
      <c r="CE10" t="e">
        <f>AND('Planilla_General_03-12-2012_9_3'!B150,"AAAAAD89flI=")</f>
        <v>#VALUE!</v>
      </c>
      <c r="CF10" t="e">
        <f>AND('Planilla_General_03-12-2012_9_3'!C150,"AAAAAD89flM=")</f>
        <v>#VALUE!</v>
      </c>
      <c r="CG10" t="e">
        <f>AND('Planilla_General_03-12-2012_9_3'!D150,"AAAAAD89flQ=")</f>
        <v>#VALUE!</v>
      </c>
      <c r="CH10" t="e">
        <f>AND('Planilla_General_03-12-2012_9_3'!E150,"AAAAAD89flU=")</f>
        <v>#VALUE!</v>
      </c>
      <c r="CI10" t="e">
        <f>AND('Planilla_General_03-12-2012_9_3'!F150,"AAAAAD89flY=")</f>
        <v>#VALUE!</v>
      </c>
      <c r="CJ10" t="e">
        <f>AND('Planilla_General_03-12-2012_9_3'!G150,"AAAAAD89flc=")</f>
        <v>#VALUE!</v>
      </c>
      <c r="CK10" t="e">
        <f>AND('Planilla_General_03-12-2012_9_3'!H150,"AAAAAD89flg=")</f>
        <v>#VALUE!</v>
      </c>
      <c r="CL10" t="e">
        <f>AND('Planilla_General_03-12-2012_9_3'!I150,"AAAAAD89flk=")</f>
        <v>#VALUE!</v>
      </c>
      <c r="CM10" t="e">
        <f>AND('Planilla_General_03-12-2012_9_3'!J150,"AAAAAD89flo=")</f>
        <v>#VALUE!</v>
      </c>
      <c r="CN10" t="e">
        <f>AND('Planilla_General_03-12-2012_9_3'!K150,"AAAAAD89fls=")</f>
        <v>#VALUE!</v>
      </c>
      <c r="CO10" t="e">
        <f>AND('Planilla_General_03-12-2012_9_3'!L150,"AAAAAD89flw=")</f>
        <v>#VALUE!</v>
      </c>
      <c r="CP10" t="e">
        <f>AND('Planilla_General_03-12-2012_9_3'!M150,"AAAAAD89fl0=")</f>
        <v>#VALUE!</v>
      </c>
      <c r="CQ10" t="e">
        <f>AND('Planilla_General_03-12-2012_9_3'!N150,"AAAAAD89fl4=")</f>
        <v>#VALUE!</v>
      </c>
      <c r="CR10" t="e">
        <f>AND('Planilla_General_03-12-2012_9_3'!O150,"AAAAAD89fl8=")</f>
        <v>#VALUE!</v>
      </c>
      <c r="CS10">
        <f>IF('Planilla_General_03-12-2012_9_3'!151:151,"AAAAAD89fmA=",0)</f>
        <v>0</v>
      </c>
      <c r="CT10" t="e">
        <f>AND('Planilla_General_03-12-2012_9_3'!A151,"AAAAAD89fmE=")</f>
        <v>#VALUE!</v>
      </c>
      <c r="CU10" t="e">
        <f>AND('Planilla_General_03-12-2012_9_3'!B151,"AAAAAD89fmI=")</f>
        <v>#VALUE!</v>
      </c>
      <c r="CV10" t="e">
        <f>AND('Planilla_General_03-12-2012_9_3'!C151,"AAAAAD89fmM=")</f>
        <v>#VALUE!</v>
      </c>
      <c r="CW10" t="e">
        <f>AND('Planilla_General_03-12-2012_9_3'!D151,"AAAAAD89fmQ=")</f>
        <v>#VALUE!</v>
      </c>
      <c r="CX10" t="e">
        <f>AND('Planilla_General_03-12-2012_9_3'!E151,"AAAAAD89fmU=")</f>
        <v>#VALUE!</v>
      </c>
      <c r="CY10" t="e">
        <f>AND('Planilla_General_03-12-2012_9_3'!F151,"AAAAAD89fmY=")</f>
        <v>#VALUE!</v>
      </c>
      <c r="CZ10" t="e">
        <f>AND('Planilla_General_03-12-2012_9_3'!G151,"AAAAAD89fmc=")</f>
        <v>#VALUE!</v>
      </c>
      <c r="DA10" t="e">
        <f>AND('Planilla_General_03-12-2012_9_3'!H151,"AAAAAD89fmg=")</f>
        <v>#VALUE!</v>
      </c>
      <c r="DB10" t="e">
        <f>AND('Planilla_General_03-12-2012_9_3'!I151,"AAAAAD89fmk=")</f>
        <v>#VALUE!</v>
      </c>
      <c r="DC10" t="e">
        <f>AND('Planilla_General_03-12-2012_9_3'!J151,"AAAAAD89fmo=")</f>
        <v>#VALUE!</v>
      </c>
      <c r="DD10" t="e">
        <f>AND('Planilla_General_03-12-2012_9_3'!K151,"AAAAAD89fms=")</f>
        <v>#VALUE!</v>
      </c>
      <c r="DE10" t="e">
        <f>AND('Planilla_General_03-12-2012_9_3'!L151,"AAAAAD89fmw=")</f>
        <v>#VALUE!</v>
      </c>
      <c r="DF10" t="e">
        <f>AND('Planilla_General_03-12-2012_9_3'!M151,"AAAAAD89fm0=")</f>
        <v>#VALUE!</v>
      </c>
      <c r="DG10" t="e">
        <f>AND('Planilla_General_03-12-2012_9_3'!N151,"AAAAAD89fm4=")</f>
        <v>#VALUE!</v>
      </c>
      <c r="DH10" t="e">
        <f>AND('Planilla_General_03-12-2012_9_3'!O151,"AAAAAD89fm8=")</f>
        <v>#VALUE!</v>
      </c>
      <c r="DI10">
        <f>IF('Planilla_General_03-12-2012_9_3'!152:152,"AAAAAD89fnA=",0)</f>
        <v>0</v>
      </c>
      <c r="DJ10" t="e">
        <f>AND('Planilla_General_03-12-2012_9_3'!A152,"AAAAAD89fnE=")</f>
        <v>#VALUE!</v>
      </c>
      <c r="DK10" t="e">
        <f>AND('Planilla_General_03-12-2012_9_3'!B152,"AAAAAD89fnI=")</f>
        <v>#VALUE!</v>
      </c>
      <c r="DL10" t="e">
        <f>AND('Planilla_General_03-12-2012_9_3'!C152,"AAAAAD89fnM=")</f>
        <v>#VALUE!</v>
      </c>
      <c r="DM10" t="e">
        <f>AND('Planilla_General_03-12-2012_9_3'!D152,"AAAAAD89fnQ=")</f>
        <v>#VALUE!</v>
      </c>
      <c r="DN10" t="e">
        <f>AND('Planilla_General_03-12-2012_9_3'!E152,"AAAAAD89fnU=")</f>
        <v>#VALUE!</v>
      </c>
      <c r="DO10" t="e">
        <f>AND('Planilla_General_03-12-2012_9_3'!F152,"AAAAAD89fnY=")</f>
        <v>#VALUE!</v>
      </c>
      <c r="DP10" t="e">
        <f>AND('Planilla_General_03-12-2012_9_3'!G152,"AAAAAD89fnc=")</f>
        <v>#VALUE!</v>
      </c>
      <c r="DQ10" t="e">
        <f>AND('Planilla_General_03-12-2012_9_3'!H152,"AAAAAD89fng=")</f>
        <v>#VALUE!</v>
      </c>
      <c r="DR10" t="e">
        <f>AND('Planilla_General_03-12-2012_9_3'!I152,"AAAAAD89fnk=")</f>
        <v>#VALUE!</v>
      </c>
      <c r="DS10" t="e">
        <f>AND('Planilla_General_03-12-2012_9_3'!J152,"AAAAAD89fno=")</f>
        <v>#VALUE!</v>
      </c>
      <c r="DT10" t="e">
        <f>AND('Planilla_General_03-12-2012_9_3'!K152,"AAAAAD89fns=")</f>
        <v>#VALUE!</v>
      </c>
      <c r="DU10" t="e">
        <f>AND('Planilla_General_03-12-2012_9_3'!L152,"AAAAAD89fnw=")</f>
        <v>#VALUE!</v>
      </c>
      <c r="DV10" t="e">
        <f>AND('Planilla_General_03-12-2012_9_3'!M152,"AAAAAD89fn0=")</f>
        <v>#VALUE!</v>
      </c>
      <c r="DW10" t="e">
        <f>AND('Planilla_General_03-12-2012_9_3'!N152,"AAAAAD89fn4=")</f>
        <v>#VALUE!</v>
      </c>
      <c r="DX10" t="e">
        <f>AND('Planilla_General_03-12-2012_9_3'!O152,"AAAAAD89fn8=")</f>
        <v>#VALUE!</v>
      </c>
      <c r="DY10">
        <f>IF('Planilla_General_03-12-2012_9_3'!153:153,"AAAAAD89foA=",0)</f>
        <v>0</v>
      </c>
      <c r="DZ10" t="e">
        <f>AND('Planilla_General_03-12-2012_9_3'!A153,"AAAAAD89foE=")</f>
        <v>#VALUE!</v>
      </c>
      <c r="EA10" t="e">
        <f>AND('Planilla_General_03-12-2012_9_3'!B153,"AAAAAD89foI=")</f>
        <v>#VALUE!</v>
      </c>
      <c r="EB10" t="e">
        <f>AND('Planilla_General_03-12-2012_9_3'!C153,"AAAAAD89foM=")</f>
        <v>#VALUE!</v>
      </c>
      <c r="EC10" t="e">
        <f>AND('Planilla_General_03-12-2012_9_3'!D153,"AAAAAD89foQ=")</f>
        <v>#VALUE!</v>
      </c>
      <c r="ED10" t="e">
        <f>AND('Planilla_General_03-12-2012_9_3'!E153,"AAAAAD89foU=")</f>
        <v>#VALUE!</v>
      </c>
      <c r="EE10" t="e">
        <f>AND('Planilla_General_03-12-2012_9_3'!F153,"AAAAAD89foY=")</f>
        <v>#VALUE!</v>
      </c>
      <c r="EF10" t="e">
        <f>AND('Planilla_General_03-12-2012_9_3'!G153,"AAAAAD89foc=")</f>
        <v>#VALUE!</v>
      </c>
      <c r="EG10" t="e">
        <f>AND('Planilla_General_03-12-2012_9_3'!H153,"AAAAAD89fog=")</f>
        <v>#VALUE!</v>
      </c>
      <c r="EH10" t="e">
        <f>AND('Planilla_General_03-12-2012_9_3'!I153,"AAAAAD89fok=")</f>
        <v>#VALUE!</v>
      </c>
      <c r="EI10" t="e">
        <f>AND('Planilla_General_03-12-2012_9_3'!J153,"AAAAAD89foo=")</f>
        <v>#VALUE!</v>
      </c>
      <c r="EJ10" t="e">
        <f>AND('Planilla_General_03-12-2012_9_3'!K153,"AAAAAD89fos=")</f>
        <v>#VALUE!</v>
      </c>
      <c r="EK10" t="e">
        <f>AND('Planilla_General_03-12-2012_9_3'!L153,"AAAAAD89fow=")</f>
        <v>#VALUE!</v>
      </c>
      <c r="EL10" t="e">
        <f>AND('Planilla_General_03-12-2012_9_3'!M153,"AAAAAD89fo0=")</f>
        <v>#VALUE!</v>
      </c>
      <c r="EM10" t="e">
        <f>AND('Planilla_General_03-12-2012_9_3'!N153,"AAAAAD89fo4=")</f>
        <v>#VALUE!</v>
      </c>
      <c r="EN10" t="e">
        <f>AND('Planilla_General_03-12-2012_9_3'!O153,"AAAAAD89fo8=")</f>
        <v>#VALUE!</v>
      </c>
      <c r="EO10">
        <f>IF('Planilla_General_03-12-2012_9_3'!154:154,"AAAAAD89fpA=",0)</f>
        <v>0</v>
      </c>
      <c r="EP10" t="e">
        <f>AND('Planilla_General_03-12-2012_9_3'!A154,"AAAAAD89fpE=")</f>
        <v>#VALUE!</v>
      </c>
      <c r="EQ10" t="e">
        <f>AND('Planilla_General_03-12-2012_9_3'!B154,"AAAAAD89fpI=")</f>
        <v>#VALUE!</v>
      </c>
      <c r="ER10" t="e">
        <f>AND('Planilla_General_03-12-2012_9_3'!C154,"AAAAAD89fpM=")</f>
        <v>#VALUE!</v>
      </c>
      <c r="ES10" t="e">
        <f>AND('Planilla_General_03-12-2012_9_3'!D154,"AAAAAD89fpQ=")</f>
        <v>#VALUE!</v>
      </c>
      <c r="ET10" t="e">
        <f>AND('Planilla_General_03-12-2012_9_3'!E154,"AAAAAD89fpU=")</f>
        <v>#VALUE!</v>
      </c>
      <c r="EU10" t="e">
        <f>AND('Planilla_General_03-12-2012_9_3'!F154,"AAAAAD89fpY=")</f>
        <v>#VALUE!</v>
      </c>
      <c r="EV10" t="e">
        <f>AND('Planilla_General_03-12-2012_9_3'!G154,"AAAAAD89fpc=")</f>
        <v>#VALUE!</v>
      </c>
      <c r="EW10" t="e">
        <f>AND('Planilla_General_03-12-2012_9_3'!H154,"AAAAAD89fpg=")</f>
        <v>#VALUE!</v>
      </c>
      <c r="EX10" t="e">
        <f>AND('Planilla_General_03-12-2012_9_3'!I154,"AAAAAD89fpk=")</f>
        <v>#VALUE!</v>
      </c>
      <c r="EY10" t="e">
        <f>AND('Planilla_General_03-12-2012_9_3'!J154,"AAAAAD89fpo=")</f>
        <v>#VALUE!</v>
      </c>
      <c r="EZ10" t="e">
        <f>AND('Planilla_General_03-12-2012_9_3'!K154,"AAAAAD89fps=")</f>
        <v>#VALUE!</v>
      </c>
      <c r="FA10" t="e">
        <f>AND('Planilla_General_03-12-2012_9_3'!L154,"AAAAAD89fpw=")</f>
        <v>#VALUE!</v>
      </c>
      <c r="FB10" t="e">
        <f>AND('Planilla_General_03-12-2012_9_3'!M154,"AAAAAD89fp0=")</f>
        <v>#VALUE!</v>
      </c>
      <c r="FC10" t="e">
        <f>AND('Planilla_General_03-12-2012_9_3'!N154,"AAAAAD89fp4=")</f>
        <v>#VALUE!</v>
      </c>
      <c r="FD10" t="e">
        <f>AND('Planilla_General_03-12-2012_9_3'!O154,"AAAAAD89fp8=")</f>
        <v>#VALUE!</v>
      </c>
      <c r="FE10">
        <f>IF('Planilla_General_03-12-2012_9_3'!155:155,"AAAAAD89fqA=",0)</f>
        <v>0</v>
      </c>
      <c r="FF10" t="e">
        <f>AND('Planilla_General_03-12-2012_9_3'!A155,"AAAAAD89fqE=")</f>
        <v>#VALUE!</v>
      </c>
      <c r="FG10" t="e">
        <f>AND('Planilla_General_03-12-2012_9_3'!B155,"AAAAAD89fqI=")</f>
        <v>#VALUE!</v>
      </c>
      <c r="FH10" t="e">
        <f>AND('Planilla_General_03-12-2012_9_3'!C155,"AAAAAD89fqM=")</f>
        <v>#VALUE!</v>
      </c>
      <c r="FI10" t="e">
        <f>AND('Planilla_General_03-12-2012_9_3'!D155,"AAAAAD89fqQ=")</f>
        <v>#VALUE!</v>
      </c>
      <c r="FJ10" t="e">
        <f>AND('Planilla_General_03-12-2012_9_3'!E155,"AAAAAD89fqU=")</f>
        <v>#VALUE!</v>
      </c>
      <c r="FK10" t="e">
        <f>AND('Planilla_General_03-12-2012_9_3'!F155,"AAAAAD89fqY=")</f>
        <v>#VALUE!</v>
      </c>
      <c r="FL10" t="e">
        <f>AND('Planilla_General_03-12-2012_9_3'!G155,"AAAAAD89fqc=")</f>
        <v>#VALUE!</v>
      </c>
      <c r="FM10" t="e">
        <f>AND('Planilla_General_03-12-2012_9_3'!H155,"AAAAAD89fqg=")</f>
        <v>#VALUE!</v>
      </c>
      <c r="FN10" t="e">
        <f>AND('Planilla_General_03-12-2012_9_3'!I155,"AAAAAD89fqk=")</f>
        <v>#VALUE!</v>
      </c>
      <c r="FO10" t="e">
        <f>AND('Planilla_General_03-12-2012_9_3'!J155,"AAAAAD89fqo=")</f>
        <v>#VALUE!</v>
      </c>
      <c r="FP10" t="e">
        <f>AND('Planilla_General_03-12-2012_9_3'!K155,"AAAAAD89fqs=")</f>
        <v>#VALUE!</v>
      </c>
      <c r="FQ10" t="e">
        <f>AND('Planilla_General_03-12-2012_9_3'!L155,"AAAAAD89fqw=")</f>
        <v>#VALUE!</v>
      </c>
      <c r="FR10" t="e">
        <f>AND('Planilla_General_03-12-2012_9_3'!M155,"AAAAAD89fq0=")</f>
        <v>#VALUE!</v>
      </c>
      <c r="FS10" t="e">
        <f>AND('Planilla_General_03-12-2012_9_3'!N155,"AAAAAD89fq4=")</f>
        <v>#VALUE!</v>
      </c>
      <c r="FT10" t="e">
        <f>AND('Planilla_General_03-12-2012_9_3'!O155,"AAAAAD89fq8=")</f>
        <v>#VALUE!</v>
      </c>
      <c r="FU10">
        <f>IF('Planilla_General_03-12-2012_9_3'!156:156,"AAAAAD89frA=",0)</f>
        <v>0</v>
      </c>
      <c r="FV10" t="e">
        <f>AND('Planilla_General_03-12-2012_9_3'!A156,"AAAAAD89frE=")</f>
        <v>#VALUE!</v>
      </c>
      <c r="FW10" t="e">
        <f>AND('Planilla_General_03-12-2012_9_3'!B156,"AAAAAD89frI=")</f>
        <v>#VALUE!</v>
      </c>
      <c r="FX10" t="e">
        <f>AND('Planilla_General_03-12-2012_9_3'!C156,"AAAAAD89frM=")</f>
        <v>#VALUE!</v>
      </c>
      <c r="FY10" t="e">
        <f>AND('Planilla_General_03-12-2012_9_3'!D156,"AAAAAD89frQ=")</f>
        <v>#VALUE!</v>
      </c>
      <c r="FZ10" t="e">
        <f>AND('Planilla_General_03-12-2012_9_3'!E156,"AAAAAD89frU=")</f>
        <v>#VALUE!</v>
      </c>
      <c r="GA10" t="e">
        <f>AND('Planilla_General_03-12-2012_9_3'!F156,"AAAAAD89frY=")</f>
        <v>#VALUE!</v>
      </c>
      <c r="GB10" t="e">
        <f>AND('Planilla_General_03-12-2012_9_3'!G156,"AAAAAD89frc=")</f>
        <v>#VALUE!</v>
      </c>
      <c r="GC10" t="e">
        <f>AND('Planilla_General_03-12-2012_9_3'!H156,"AAAAAD89frg=")</f>
        <v>#VALUE!</v>
      </c>
      <c r="GD10" t="e">
        <f>AND('Planilla_General_03-12-2012_9_3'!I156,"AAAAAD89frk=")</f>
        <v>#VALUE!</v>
      </c>
      <c r="GE10" t="e">
        <f>AND('Planilla_General_03-12-2012_9_3'!J156,"AAAAAD89fro=")</f>
        <v>#VALUE!</v>
      </c>
      <c r="GF10" t="e">
        <f>AND('Planilla_General_03-12-2012_9_3'!K156,"AAAAAD89frs=")</f>
        <v>#VALUE!</v>
      </c>
      <c r="GG10" t="e">
        <f>AND('Planilla_General_03-12-2012_9_3'!L156,"AAAAAD89frw=")</f>
        <v>#VALUE!</v>
      </c>
      <c r="GH10" t="e">
        <f>AND('Planilla_General_03-12-2012_9_3'!M156,"AAAAAD89fr0=")</f>
        <v>#VALUE!</v>
      </c>
      <c r="GI10" t="e">
        <f>AND('Planilla_General_03-12-2012_9_3'!N156,"AAAAAD89fr4=")</f>
        <v>#VALUE!</v>
      </c>
      <c r="GJ10" t="e">
        <f>AND('Planilla_General_03-12-2012_9_3'!O156,"AAAAAD89fr8=")</f>
        <v>#VALUE!</v>
      </c>
      <c r="GK10">
        <f>IF('Planilla_General_03-12-2012_9_3'!157:157,"AAAAAD89fsA=",0)</f>
        <v>0</v>
      </c>
      <c r="GL10" t="e">
        <f>AND('Planilla_General_03-12-2012_9_3'!A157,"AAAAAD89fsE=")</f>
        <v>#VALUE!</v>
      </c>
      <c r="GM10" t="e">
        <f>AND('Planilla_General_03-12-2012_9_3'!B157,"AAAAAD89fsI=")</f>
        <v>#VALUE!</v>
      </c>
      <c r="GN10" t="e">
        <f>AND('Planilla_General_03-12-2012_9_3'!C157,"AAAAAD89fsM=")</f>
        <v>#VALUE!</v>
      </c>
      <c r="GO10" t="e">
        <f>AND('Planilla_General_03-12-2012_9_3'!D157,"AAAAAD89fsQ=")</f>
        <v>#VALUE!</v>
      </c>
      <c r="GP10" t="e">
        <f>AND('Planilla_General_03-12-2012_9_3'!E157,"AAAAAD89fsU=")</f>
        <v>#VALUE!</v>
      </c>
      <c r="GQ10" t="e">
        <f>AND('Planilla_General_03-12-2012_9_3'!F157,"AAAAAD89fsY=")</f>
        <v>#VALUE!</v>
      </c>
      <c r="GR10" t="e">
        <f>AND('Planilla_General_03-12-2012_9_3'!G157,"AAAAAD89fsc=")</f>
        <v>#VALUE!</v>
      </c>
      <c r="GS10" t="e">
        <f>AND('Planilla_General_03-12-2012_9_3'!H157,"AAAAAD89fsg=")</f>
        <v>#VALUE!</v>
      </c>
      <c r="GT10" t="e">
        <f>AND('Planilla_General_03-12-2012_9_3'!I157,"AAAAAD89fsk=")</f>
        <v>#VALUE!</v>
      </c>
      <c r="GU10" t="e">
        <f>AND('Planilla_General_03-12-2012_9_3'!J157,"AAAAAD89fso=")</f>
        <v>#VALUE!</v>
      </c>
      <c r="GV10" t="e">
        <f>AND('Planilla_General_03-12-2012_9_3'!K157,"AAAAAD89fss=")</f>
        <v>#VALUE!</v>
      </c>
      <c r="GW10" t="e">
        <f>AND('Planilla_General_03-12-2012_9_3'!L157,"AAAAAD89fsw=")</f>
        <v>#VALUE!</v>
      </c>
      <c r="GX10" t="e">
        <f>AND('Planilla_General_03-12-2012_9_3'!M157,"AAAAAD89fs0=")</f>
        <v>#VALUE!</v>
      </c>
      <c r="GY10" t="e">
        <f>AND('Planilla_General_03-12-2012_9_3'!N157,"AAAAAD89fs4=")</f>
        <v>#VALUE!</v>
      </c>
      <c r="GZ10" t="e">
        <f>AND('Planilla_General_03-12-2012_9_3'!O157,"AAAAAD89fs8=")</f>
        <v>#VALUE!</v>
      </c>
      <c r="HA10">
        <f>IF('Planilla_General_03-12-2012_9_3'!158:158,"AAAAAD89ftA=",0)</f>
        <v>0</v>
      </c>
      <c r="HB10" t="e">
        <f>AND('Planilla_General_03-12-2012_9_3'!A158,"AAAAAD89ftE=")</f>
        <v>#VALUE!</v>
      </c>
      <c r="HC10" t="e">
        <f>AND('Planilla_General_03-12-2012_9_3'!B158,"AAAAAD89ftI=")</f>
        <v>#VALUE!</v>
      </c>
      <c r="HD10" t="e">
        <f>AND('Planilla_General_03-12-2012_9_3'!C158,"AAAAAD89ftM=")</f>
        <v>#VALUE!</v>
      </c>
      <c r="HE10" t="e">
        <f>AND('Planilla_General_03-12-2012_9_3'!D158,"AAAAAD89ftQ=")</f>
        <v>#VALUE!</v>
      </c>
      <c r="HF10" t="e">
        <f>AND('Planilla_General_03-12-2012_9_3'!E158,"AAAAAD89ftU=")</f>
        <v>#VALUE!</v>
      </c>
      <c r="HG10" t="e">
        <f>AND('Planilla_General_03-12-2012_9_3'!F158,"AAAAAD89ftY=")</f>
        <v>#VALUE!</v>
      </c>
      <c r="HH10" t="e">
        <f>AND('Planilla_General_03-12-2012_9_3'!G158,"AAAAAD89ftc=")</f>
        <v>#VALUE!</v>
      </c>
      <c r="HI10" t="e">
        <f>AND('Planilla_General_03-12-2012_9_3'!H158,"AAAAAD89ftg=")</f>
        <v>#VALUE!</v>
      </c>
      <c r="HJ10" t="e">
        <f>AND('Planilla_General_03-12-2012_9_3'!I158,"AAAAAD89ftk=")</f>
        <v>#VALUE!</v>
      </c>
      <c r="HK10" t="e">
        <f>AND('Planilla_General_03-12-2012_9_3'!J158,"AAAAAD89fto=")</f>
        <v>#VALUE!</v>
      </c>
      <c r="HL10" t="e">
        <f>AND('Planilla_General_03-12-2012_9_3'!K158,"AAAAAD89fts=")</f>
        <v>#VALUE!</v>
      </c>
      <c r="HM10" t="e">
        <f>AND('Planilla_General_03-12-2012_9_3'!L158,"AAAAAD89ftw=")</f>
        <v>#VALUE!</v>
      </c>
      <c r="HN10" t="e">
        <f>AND('Planilla_General_03-12-2012_9_3'!M158,"AAAAAD89ft0=")</f>
        <v>#VALUE!</v>
      </c>
      <c r="HO10" t="e">
        <f>AND('Planilla_General_03-12-2012_9_3'!N158,"AAAAAD89ft4=")</f>
        <v>#VALUE!</v>
      </c>
      <c r="HP10" t="e">
        <f>AND('Planilla_General_03-12-2012_9_3'!O158,"AAAAAD89ft8=")</f>
        <v>#VALUE!</v>
      </c>
      <c r="HQ10">
        <f>IF('Planilla_General_03-12-2012_9_3'!159:159,"AAAAAD89fuA=",0)</f>
        <v>0</v>
      </c>
      <c r="HR10" t="e">
        <f>AND('Planilla_General_03-12-2012_9_3'!A159,"AAAAAD89fuE=")</f>
        <v>#VALUE!</v>
      </c>
      <c r="HS10" t="e">
        <f>AND('Planilla_General_03-12-2012_9_3'!B159,"AAAAAD89fuI=")</f>
        <v>#VALUE!</v>
      </c>
      <c r="HT10" t="e">
        <f>AND('Planilla_General_03-12-2012_9_3'!C159,"AAAAAD89fuM=")</f>
        <v>#VALUE!</v>
      </c>
      <c r="HU10" t="e">
        <f>AND('Planilla_General_03-12-2012_9_3'!D159,"AAAAAD89fuQ=")</f>
        <v>#VALUE!</v>
      </c>
      <c r="HV10" t="e">
        <f>AND('Planilla_General_03-12-2012_9_3'!E159,"AAAAAD89fuU=")</f>
        <v>#VALUE!</v>
      </c>
      <c r="HW10" t="e">
        <f>AND('Planilla_General_03-12-2012_9_3'!F159,"AAAAAD89fuY=")</f>
        <v>#VALUE!</v>
      </c>
      <c r="HX10" t="e">
        <f>AND('Planilla_General_03-12-2012_9_3'!G159,"AAAAAD89fuc=")</f>
        <v>#VALUE!</v>
      </c>
      <c r="HY10" t="e">
        <f>AND('Planilla_General_03-12-2012_9_3'!H159,"AAAAAD89fug=")</f>
        <v>#VALUE!</v>
      </c>
      <c r="HZ10" t="e">
        <f>AND('Planilla_General_03-12-2012_9_3'!I159,"AAAAAD89fuk=")</f>
        <v>#VALUE!</v>
      </c>
      <c r="IA10" t="e">
        <f>AND('Planilla_General_03-12-2012_9_3'!J159,"AAAAAD89fuo=")</f>
        <v>#VALUE!</v>
      </c>
      <c r="IB10" t="e">
        <f>AND('Planilla_General_03-12-2012_9_3'!K159,"AAAAAD89fus=")</f>
        <v>#VALUE!</v>
      </c>
      <c r="IC10" t="e">
        <f>AND('Planilla_General_03-12-2012_9_3'!L159,"AAAAAD89fuw=")</f>
        <v>#VALUE!</v>
      </c>
      <c r="ID10" t="e">
        <f>AND('Planilla_General_03-12-2012_9_3'!M159,"AAAAAD89fu0=")</f>
        <v>#VALUE!</v>
      </c>
      <c r="IE10" t="e">
        <f>AND('Planilla_General_03-12-2012_9_3'!N159,"AAAAAD89fu4=")</f>
        <v>#VALUE!</v>
      </c>
      <c r="IF10" t="e">
        <f>AND('Planilla_General_03-12-2012_9_3'!O159,"AAAAAD89fu8=")</f>
        <v>#VALUE!</v>
      </c>
      <c r="IG10">
        <f>IF('Planilla_General_03-12-2012_9_3'!160:160,"AAAAAD89fvA=",0)</f>
        <v>0</v>
      </c>
      <c r="IH10" t="e">
        <f>AND('Planilla_General_03-12-2012_9_3'!A160,"AAAAAD89fvE=")</f>
        <v>#VALUE!</v>
      </c>
      <c r="II10" t="e">
        <f>AND('Planilla_General_03-12-2012_9_3'!B160,"AAAAAD89fvI=")</f>
        <v>#VALUE!</v>
      </c>
      <c r="IJ10" t="e">
        <f>AND('Planilla_General_03-12-2012_9_3'!C160,"AAAAAD89fvM=")</f>
        <v>#VALUE!</v>
      </c>
      <c r="IK10" t="e">
        <f>AND('Planilla_General_03-12-2012_9_3'!D160,"AAAAAD89fvQ=")</f>
        <v>#VALUE!</v>
      </c>
      <c r="IL10" t="e">
        <f>AND('Planilla_General_03-12-2012_9_3'!E160,"AAAAAD89fvU=")</f>
        <v>#VALUE!</v>
      </c>
      <c r="IM10" t="e">
        <f>AND('Planilla_General_03-12-2012_9_3'!F160,"AAAAAD89fvY=")</f>
        <v>#VALUE!</v>
      </c>
      <c r="IN10" t="e">
        <f>AND('Planilla_General_03-12-2012_9_3'!G160,"AAAAAD89fvc=")</f>
        <v>#VALUE!</v>
      </c>
      <c r="IO10" t="e">
        <f>AND('Planilla_General_03-12-2012_9_3'!H160,"AAAAAD89fvg=")</f>
        <v>#VALUE!</v>
      </c>
      <c r="IP10" t="e">
        <f>AND('Planilla_General_03-12-2012_9_3'!I160,"AAAAAD89fvk=")</f>
        <v>#VALUE!</v>
      </c>
      <c r="IQ10" t="e">
        <f>AND('Planilla_General_03-12-2012_9_3'!J160,"AAAAAD89fvo=")</f>
        <v>#VALUE!</v>
      </c>
      <c r="IR10" t="e">
        <f>AND('Planilla_General_03-12-2012_9_3'!K160,"AAAAAD89fvs=")</f>
        <v>#VALUE!</v>
      </c>
      <c r="IS10" t="e">
        <f>AND('Planilla_General_03-12-2012_9_3'!L160,"AAAAAD89fvw=")</f>
        <v>#VALUE!</v>
      </c>
      <c r="IT10" t="e">
        <f>AND('Planilla_General_03-12-2012_9_3'!M160,"AAAAAD89fv0=")</f>
        <v>#VALUE!</v>
      </c>
      <c r="IU10" t="e">
        <f>AND('Planilla_General_03-12-2012_9_3'!N160,"AAAAAD89fv4=")</f>
        <v>#VALUE!</v>
      </c>
      <c r="IV10" t="e">
        <f>AND('Planilla_General_03-12-2012_9_3'!O160,"AAAAAD89fv8=")</f>
        <v>#VALUE!</v>
      </c>
    </row>
    <row r="11" spans="1:256" x14ac:dyDescent="0.25">
      <c r="A11" t="e">
        <f>IF('Planilla_General_03-12-2012_9_3'!161:161,"AAAAAG/rXwA=",0)</f>
        <v>#VALUE!</v>
      </c>
      <c r="B11" t="e">
        <f>AND('Planilla_General_03-12-2012_9_3'!A161,"AAAAAG/rXwE=")</f>
        <v>#VALUE!</v>
      </c>
      <c r="C11" t="e">
        <f>AND('Planilla_General_03-12-2012_9_3'!B161,"AAAAAG/rXwI=")</f>
        <v>#VALUE!</v>
      </c>
      <c r="D11" t="e">
        <f>AND('Planilla_General_03-12-2012_9_3'!C161,"AAAAAG/rXwM=")</f>
        <v>#VALUE!</v>
      </c>
      <c r="E11" t="e">
        <f>AND('Planilla_General_03-12-2012_9_3'!D161,"AAAAAG/rXwQ=")</f>
        <v>#VALUE!</v>
      </c>
      <c r="F11" t="e">
        <f>AND('Planilla_General_03-12-2012_9_3'!E161,"AAAAAG/rXwU=")</f>
        <v>#VALUE!</v>
      </c>
      <c r="G11" t="e">
        <f>AND('Planilla_General_03-12-2012_9_3'!F161,"AAAAAG/rXwY=")</f>
        <v>#VALUE!</v>
      </c>
      <c r="H11" t="e">
        <f>AND('Planilla_General_03-12-2012_9_3'!G161,"AAAAAG/rXwc=")</f>
        <v>#VALUE!</v>
      </c>
      <c r="I11" t="e">
        <f>AND('Planilla_General_03-12-2012_9_3'!H161,"AAAAAG/rXwg=")</f>
        <v>#VALUE!</v>
      </c>
      <c r="J11" t="e">
        <f>AND('Planilla_General_03-12-2012_9_3'!I161,"AAAAAG/rXwk=")</f>
        <v>#VALUE!</v>
      </c>
      <c r="K11" t="e">
        <f>AND('Planilla_General_03-12-2012_9_3'!J161,"AAAAAG/rXwo=")</f>
        <v>#VALUE!</v>
      </c>
      <c r="L11" t="e">
        <f>AND('Planilla_General_03-12-2012_9_3'!K161,"AAAAAG/rXws=")</f>
        <v>#VALUE!</v>
      </c>
      <c r="M11" t="e">
        <f>AND('Planilla_General_03-12-2012_9_3'!L161,"AAAAAG/rXww=")</f>
        <v>#VALUE!</v>
      </c>
      <c r="N11" t="e">
        <f>AND('Planilla_General_03-12-2012_9_3'!M161,"AAAAAG/rXw0=")</f>
        <v>#VALUE!</v>
      </c>
      <c r="O11" t="e">
        <f>AND('Planilla_General_03-12-2012_9_3'!N161,"AAAAAG/rXw4=")</f>
        <v>#VALUE!</v>
      </c>
      <c r="P11" t="e">
        <f>AND('Planilla_General_03-12-2012_9_3'!O161,"AAAAAG/rXw8=")</f>
        <v>#VALUE!</v>
      </c>
      <c r="Q11">
        <f>IF('Planilla_General_03-12-2012_9_3'!162:162,"AAAAAG/rXxA=",0)</f>
        <v>0</v>
      </c>
      <c r="R11" t="e">
        <f>AND('Planilla_General_03-12-2012_9_3'!A162,"AAAAAG/rXxE=")</f>
        <v>#VALUE!</v>
      </c>
      <c r="S11" t="e">
        <f>AND('Planilla_General_03-12-2012_9_3'!B162,"AAAAAG/rXxI=")</f>
        <v>#VALUE!</v>
      </c>
      <c r="T11" t="e">
        <f>AND('Planilla_General_03-12-2012_9_3'!C162,"AAAAAG/rXxM=")</f>
        <v>#VALUE!</v>
      </c>
      <c r="U11" t="e">
        <f>AND('Planilla_General_03-12-2012_9_3'!D162,"AAAAAG/rXxQ=")</f>
        <v>#VALUE!</v>
      </c>
      <c r="V11" t="e">
        <f>AND('Planilla_General_03-12-2012_9_3'!E162,"AAAAAG/rXxU=")</f>
        <v>#VALUE!</v>
      </c>
      <c r="W11" t="e">
        <f>AND('Planilla_General_03-12-2012_9_3'!F162,"AAAAAG/rXxY=")</f>
        <v>#VALUE!</v>
      </c>
      <c r="X11" t="e">
        <f>AND('Planilla_General_03-12-2012_9_3'!G162,"AAAAAG/rXxc=")</f>
        <v>#VALUE!</v>
      </c>
      <c r="Y11" t="e">
        <f>AND('Planilla_General_03-12-2012_9_3'!H162,"AAAAAG/rXxg=")</f>
        <v>#VALUE!</v>
      </c>
      <c r="Z11" t="e">
        <f>AND('Planilla_General_03-12-2012_9_3'!I162,"AAAAAG/rXxk=")</f>
        <v>#VALUE!</v>
      </c>
      <c r="AA11" t="e">
        <f>AND('Planilla_General_03-12-2012_9_3'!J162,"AAAAAG/rXxo=")</f>
        <v>#VALUE!</v>
      </c>
      <c r="AB11" t="e">
        <f>AND('Planilla_General_03-12-2012_9_3'!K162,"AAAAAG/rXxs=")</f>
        <v>#VALUE!</v>
      </c>
      <c r="AC11" t="e">
        <f>AND('Planilla_General_03-12-2012_9_3'!L162,"AAAAAG/rXxw=")</f>
        <v>#VALUE!</v>
      </c>
      <c r="AD11" t="e">
        <f>AND('Planilla_General_03-12-2012_9_3'!M162,"AAAAAG/rXx0=")</f>
        <v>#VALUE!</v>
      </c>
      <c r="AE11" t="e">
        <f>AND('Planilla_General_03-12-2012_9_3'!N162,"AAAAAG/rXx4=")</f>
        <v>#VALUE!</v>
      </c>
      <c r="AF11" t="e">
        <f>AND('Planilla_General_03-12-2012_9_3'!O162,"AAAAAG/rXx8=")</f>
        <v>#VALUE!</v>
      </c>
      <c r="AG11">
        <f>IF('Planilla_General_03-12-2012_9_3'!163:163,"AAAAAG/rXyA=",0)</f>
        <v>0</v>
      </c>
      <c r="AH11" t="e">
        <f>AND('Planilla_General_03-12-2012_9_3'!A163,"AAAAAG/rXyE=")</f>
        <v>#VALUE!</v>
      </c>
      <c r="AI11" t="e">
        <f>AND('Planilla_General_03-12-2012_9_3'!B163,"AAAAAG/rXyI=")</f>
        <v>#VALUE!</v>
      </c>
      <c r="AJ11" t="e">
        <f>AND('Planilla_General_03-12-2012_9_3'!C163,"AAAAAG/rXyM=")</f>
        <v>#VALUE!</v>
      </c>
      <c r="AK11" t="e">
        <f>AND('Planilla_General_03-12-2012_9_3'!D163,"AAAAAG/rXyQ=")</f>
        <v>#VALUE!</v>
      </c>
      <c r="AL11" t="e">
        <f>AND('Planilla_General_03-12-2012_9_3'!E163,"AAAAAG/rXyU=")</f>
        <v>#VALUE!</v>
      </c>
      <c r="AM11" t="e">
        <f>AND('Planilla_General_03-12-2012_9_3'!F163,"AAAAAG/rXyY=")</f>
        <v>#VALUE!</v>
      </c>
      <c r="AN11" t="e">
        <f>AND('Planilla_General_03-12-2012_9_3'!G163,"AAAAAG/rXyc=")</f>
        <v>#VALUE!</v>
      </c>
      <c r="AO11" t="e">
        <f>AND('Planilla_General_03-12-2012_9_3'!H163,"AAAAAG/rXyg=")</f>
        <v>#VALUE!</v>
      </c>
      <c r="AP11" t="e">
        <f>AND('Planilla_General_03-12-2012_9_3'!I163,"AAAAAG/rXyk=")</f>
        <v>#VALUE!</v>
      </c>
      <c r="AQ11" t="e">
        <f>AND('Planilla_General_03-12-2012_9_3'!J163,"AAAAAG/rXyo=")</f>
        <v>#VALUE!</v>
      </c>
      <c r="AR11" t="e">
        <f>AND('Planilla_General_03-12-2012_9_3'!K163,"AAAAAG/rXys=")</f>
        <v>#VALUE!</v>
      </c>
      <c r="AS11" t="e">
        <f>AND('Planilla_General_03-12-2012_9_3'!L163,"AAAAAG/rXyw=")</f>
        <v>#VALUE!</v>
      </c>
      <c r="AT11" t="e">
        <f>AND('Planilla_General_03-12-2012_9_3'!M163,"AAAAAG/rXy0=")</f>
        <v>#VALUE!</v>
      </c>
      <c r="AU11" t="e">
        <f>AND('Planilla_General_03-12-2012_9_3'!N163,"AAAAAG/rXy4=")</f>
        <v>#VALUE!</v>
      </c>
      <c r="AV11" t="e">
        <f>AND('Planilla_General_03-12-2012_9_3'!O163,"AAAAAG/rXy8=")</f>
        <v>#VALUE!</v>
      </c>
      <c r="AW11">
        <f>IF('Planilla_General_03-12-2012_9_3'!164:164,"AAAAAG/rXzA=",0)</f>
        <v>0</v>
      </c>
      <c r="AX11" t="e">
        <f>AND('Planilla_General_03-12-2012_9_3'!A164,"AAAAAG/rXzE=")</f>
        <v>#VALUE!</v>
      </c>
      <c r="AY11" t="e">
        <f>AND('Planilla_General_03-12-2012_9_3'!B164,"AAAAAG/rXzI=")</f>
        <v>#VALUE!</v>
      </c>
      <c r="AZ11" t="e">
        <f>AND('Planilla_General_03-12-2012_9_3'!C164,"AAAAAG/rXzM=")</f>
        <v>#VALUE!</v>
      </c>
      <c r="BA11" t="e">
        <f>AND('Planilla_General_03-12-2012_9_3'!D164,"AAAAAG/rXzQ=")</f>
        <v>#VALUE!</v>
      </c>
      <c r="BB11" t="e">
        <f>AND('Planilla_General_03-12-2012_9_3'!E164,"AAAAAG/rXzU=")</f>
        <v>#VALUE!</v>
      </c>
      <c r="BC11" t="e">
        <f>AND('Planilla_General_03-12-2012_9_3'!F164,"AAAAAG/rXzY=")</f>
        <v>#VALUE!</v>
      </c>
      <c r="BD11" t="e">
        <f>AND('Planilla_General_03-12-2012_9_3'!G164,"AAAAAG/rXzc=")</f>
        <v>#VALUE!</v>
      </c>
      <c r="BE11" t="e">
        <f>AND('Planilla_General_03-12-2012_9_3'!H164,"AAAAAG/rXzg=")</f>
        <v>#VALUE!</v>
      </c>
      <c r="BF11" t="e">
        <f>AND('Planilla_General_03-12-2012_9_3'!I164,"AAAAAG/rXzk=")</f>
        <v>#VALUE!</v>
      </c>
      <c r="BG11" t="e">
        <f>AND('Planilla_General_03-12-2012_9_3'!J164,"AAAAAG/rXzo=")</f>
        <v>#VALUE!</v>
      </c>
      <c r="BH11" t="e">
        <f>AND('Planilla_General_03-12-2012_9_3'!K164,"AAAAAG/rXzs=")</f>
        <v>#VALUE!</v>
      </c>
      <c r="BI11" t="e">
        <f>AND('Planilla_General_03-12-2012_9_3'!L164,"AAAAAG/rXzw=")</f>
        <v>#VALUE!</v>
      </c>
      <c r="BJ11" t="e">
        <f>AND('Planilla_General_03-12-2012_9_3'!M164,"AAAAAG/rXz0=")</f>
        <v>#VALUE!</v>
      </c>
      <c r="BK11" t="e">
        <f>AND('Planilla_General_03-12-2012_9_3'!N164,"AAAAAG/rXz4=")</f>
        <v>#VALUE!</v>
      </c>
      <c r="BL11" t="e">
        <f>AND('Planilla_General_03-12-2012_9_3'!O164,"AAAAAG/rXz8=")</f>
        <v>#VALUE!</v>
      </c>
      <c r="BM11">
        <f>IF('Planilla_General_03-12-2012_9_3'!165:165,"AAAAAG/rX0A=",0)</f>
        <v>0</v>
      </c>
      <c r="BN11" t="e">
        <f>AND('Planilla_General_03-12-2012_9_3'!A165,"AAAAAG/rX0E=")</f>
        <v>#VALUE!</v>
      </c>
      <c r="BO11" t="e">
        <f>AND('Planilla_General_03-12-2012_9_3'!B165,"AAAAAG/rX0I=")</f>
        <v>#VALUE!</v>
      </c>
      <c r="BP11" t="e">
        <f>AND('Planilla_General_03-12-2012_9_3'!C165,"AAAAAG/rX0M=")</f>
        <v>#VALUE!</v>
      </c>
      <c r="BQ11" t="e">
        <f>AND('Planilla_General_03-12-2012_9_3'!D165,"AAAAAG/rX0Q=")</f>
        <v>#VALUE!</v>
      </c>
      <c r="BR11" t="e">
        <f>AND('Planilla_General_03-12-2012_9_3'!E165,"AAAAAG/rX0U=")</f>
        <v>#VALUE!</v>
      </c>
      <c r="BS11" t="e">
        <f>AND('Planilla_General_03-12-2012_9_3'!F165,"AAAAAG/rX0Y=")</f>
        <v>#VALUE!</v>
      </c>
      <c r="BT11" t="e">
        <f>AND('Planilla_General_03-12-2012_9_3'!G165,"AAAAAG/rX0c=")</f>
        <v>#VALUE!</v>
      </c>
      <c r="BU11" t="e">
        <f>AND('Planilla_General_03-12-2012_9_3'!H165,"AAAAAG/rX0g=")</f>
        <v>#VALUE!</v>
      </c>
      <c r="BV11" t="e">
        <f>AND('Planilla_General_03-12-2012_9_3'!I165,"AAAAAG/rX0k=")</f>
        <v>#VALUE!</v>
      </c>
      <c r="BW11" t="e">
        <f>AND('Planilla_General_03-12-2012_9_3'!J165,"AAAAAG/rX0o=")</f>
        <v>#VALUE!</v>
      </c>
      <c r="BX11" t="e">
        <f>AND('Planilla_General_03-12-2012_9_3'!K165,"AAAAAG/rX0s=")</f>
        <v>#VALUE!</v>
      </c>
      <c r="BY11" t="e">
        <f>AND('Planilla_General_03-12-2012_9_3'!L165,"AAAAAG/rX0w=")</f>
        <v>#VALUE!</v>
      </c>
      <c r="BZ11" t="e">
        <f>AND('Planilla_General_03-12-2012_9_3'!M165,"AAAAAG/rX00=")</f>
        <v>#VALUE!</v>
      </c>
      <c r="CA11" t="e">
        <f>AND('Planilla_General_03-12-2012_9_3'!N165,"AAAAAG/rX04=")</f>
        <v>#VALUE!</v>
      </c>
      <c r="CB11" t="e">
        <f>AND('Planilla_General_03-12-2012_9_3'!O165,"AAAAAG/rX08=")</f>
        <v>#VALUE!</v>
      </c>
      <c r="CC11">
        <f>IF('Planilla_General_03-12-2012_9_3'!166:166,"AAAAAG/rX1A=",0)</f>
        <v>0</v>
      </c>
      <c r="CD11" t="e">
        <f>AND('Planilla_General_03-12-2012_9_3'!A166,"AAAAAG/rX1E=")</f>
        <v>#VALUE!</v>
      </c>
      <c r="CE11" t="e">
        <f>AND('Planilla_General_03-12-2012_9_3'!B166,"AAAAAG/rX1I=")</f>
        <v>#VALUE!</v>
      </c>
      <c r="CF11" t="e">
        <f>AND('Planilla_General_03-12-2012_9_3'!C166,"AAAAAG/rX1M=")</f>
        <v>#VALUE!</v>
      </c>
      <c r="CG11" t="e">
        <f>AND('Planilla_General_03-12-2012_9_3'!D166,"AAAAAG/rX1Q=")</f>
        <v>#VALUE!</v>
      </c>
      <c r="CH11" t="e">
        <f>AND('Planilla_General_03-12-2012_9_3'!E166,"AAAAAG/rX1U=")</f>
        <v>#VALUE!</v>
      </c>
      <c r="CI11" t="e">
        <f>AND('Planilla_General_03-12-2012_9_3'!F166,"AAAAAG/rX1Y=")</f>
        <v>#VALUE!</v>
      </c>
      <c r="CJ11" t="e">
        <f>AND('Planilla_General_03-12-2012_9_3'!G166,"AAAAAG/rX1c=")</f>
        <v>#VALUE!</v>
      </c>
      <c r="CK11" t="e">
        <f>AND('Planilla_General_03-12-2012_9_3'!H166,"AAAAAG/rX1g=")</f>
        <v>#VALUE!</v>
      </c>
      <c r="CL11" t="e">
        <f>AND('Planilla_General_03-12-2012_9_3'!I166,"AAAAAG/rX1k=")</f>
        <v>#VALUE!</v>
      </c>
      <c r="CM11" t="e">
        <f>AND('Planilla_General_03-12-2012_9_3'!J166,"AAAAAG/rX1o=")</f>
        <v>#VALUE!</v>
      </c>
      <c r="CN11" t="e">
        <f>AND('Planilla_General_03-12-2012_9_3'!K166,"AAAAAG/rX1s=")</f>
        <v>#VALUE!</v>
      </c>
      <c r="CO11" t="e">
        <f>AND('Planilla_General_03-12-2012_9_3'!L166,"AAAAAG/rX1w=")</f>
        <v>#VALUE!</v>
      </c>
      <c r="CP11" t="e">
        <f>AND('Planilla_General_03-12-2012_9_3'!M166,"AAAAAG/rX10=")</f>
        <v>#VALUE!</v>
      </c>
      <c r="CQ11" t="e">
        <f>AND('Planilla_General_03-12-2012_9_3'!N166,"AAAAAG/rX14=")</f>
        <v>#VALUE!</v>
      </c>
      <c r="CR11" t="e">
        <f>AND('Planilla_General_03-12-2012_9_3'!O166,"AAAAAG/rX18=")</f>
        <v>#VALUE!</v>
      </c>
      <c r="CS11">
        <f>IF('Planilla_General_03-12-2012_9_3'!167:167,"AAAAAG/rX2A=",0)</f>
        <v>0</v>
      </c>
      <c r="CT11" t="e">
        <f>AND('Planilla_General_03-12-2012_9_3'!A167,"AAAAAG/rX2E=")</f>
        <v>#VALUE!</v>
      </c>
      <c r="CU11" t="e">
        <f>AND('Planilla_General_03-12-2012_9_3'!B167,"AAAAAG/rX2I=")</f>
        <v>#VALUE!</v>
      </c>
      <c r="CV11" t="e">
        <f>AND('Planilla_General_03-12-2012_9_3'!C167,"AAAAAG/rX2M=")</f>
        <v>#VALUE!</v>
      </c>
      <c r="CW11" t="e">
        <f>AND('Planilla_General_03-12-2012_9_3'!D167,"AAAAAG/rX2Q=")</f>
        <v>#VALUE!</v>
      </c>
      <c r="CX11" t="e">
        <f>AND('Planilla_General_03-12-2012_9_3'!E167,"AAAAAG/rX2U=")</f>
        <v>#VALUE!</v>
      </c>
      <c r="CY11" t="e">
        <f>AND('Planilla_General_03-12-2012_9_3'!F167,"AAAAAG/rX2Y=")</f>
        <v>#VALUE!</v>
      </c>
      <c r="CZ11" t="e">
        <f>AND('Planilla_General_03-12-2012_9_3'!G167,"AAAAAG/rX2c=")</f>
        <v>#VALUE!</v>
      </c>
      <c r="DA11" t="e">
        <f>AND('Planilla_General_03-12-2012_9_3'!H167,"AAAAAG/rX2g=")</f>
        <v>#VALUE!</v>
      </c>
      <c r="DB11" t="e">
        <f>AND('Planilla_General_03-12-2012_9_3'!I167,"AAAAAG/rX2k=")</f>
        <v>#VALUE!</v>
      </c>
      <c r="DC11" t="e">
        <f>AND('Planilla_General_03-12-2012_9_3'!J167,"AAAAAG/rX2o=")</f>
        <v>#VALUE!</v>
      </c>
      <c r="DD11" t="e">
        <f>AND('Planilla_General_03-12-2012_9_3'!K167,"AAAAAG/rX2s=")</f>
        <v>#VALUE!</v>
      </c>
      <c r="DE11" t="e">
        <f>AND('Planilla_General_03-12-2012_9_3'!L167,"AAAAAG/rX2w=")</f>
        <v>#VALUE!</v>
      </c>
      <c r="DF11" t="e">
        <f>AND('Planilla_General_03-12-2012_9_3'!M167,"AAAAAG/rX20=")</f>
        <v>#VALUE!</v>
      </c>
      <c r="DG11" t="e">
        <f>AND('Planilla_General_03-12-2012_9_3'!N167,"AAAAAG/rX24=")</f>
        <v>#VALUE!</v>
      </c>
      <c r="DH11" t="e">
        <f>AND('Planilla_General_03-12-2012_9_3'!O167,"AAAAAG/rX28=")</f>
        <v>#VALUE!</v>
      </c>
      <c r="DI11">
        <f>IF('Planilla_General_03-12-2012_9_3'!168:168,"AAAAAG/rX3A=",0)</f>
        <v>0</v>
      </c>
      <c r="DJ11" t="e">
        <f>AND('Planilla_General_03-12-2012_9_3'!A168,"AAAAAG/rX3E=")</f>
        <v>#VALUE!</v>
      </c>
      <c r="DK11" t="e">
        <f>AND('Planilla_General_03-12-2012_9_3'!B168,"AAAAAG/rX3I=")</f>
        <v>#VALUE!</v>
      </c>
      <c r="DL11" t="e">
        <f>AND('Planilla_General_03-12-2012_9_3'!C168,"AAAAAG/rX3M=")</f>
        <v>#VALUE!</v>
      </c>
      <c r="DM11" t="e">
        <f>AND('Planilla_General_03-12-2012_9_3'!D168,"AAAAAG/rX3Q=")</f>
        <v>#VALUE!</v>
      </c>
      <c r="DN11" t="e">
        <f>AND('Planilla_General_03-12-2012_9_3'!E168,"AAAAAG/rX3U=")</f>
        <v>#VALUE!</v>
      </c>
      <c r="DO11" t="e">
        <f>AND('Planilla_General_03-12-2012_9_3'!F168,"AAAAAG/rX3Y=")</f>
        <v>#VALUE!</v>
      </c>
      <c r="DP11" t="e">
        <f>AND('Planilla_General_03-12-2012_9_3'!G168,"AAAAAG/rX3c=")</f>
        <v>#VALUE!</v>
      </c>
      <c r="DQ11" t="e">
        <f>AND('Planilla_General_03-12-2012_9_3'!H168,"AAAAAG/rX3g=")</f>
        <v>#VALUE!</v>
      </c>
      <c r="DR11" t="e">
        <f>AND('Planilla_General_03-12-2012_9_3'!I168,"AAAAAG/rX3k=")</f>
        <v>#VALUE!</v>
      </c>
      <c r="DS11" t="e">
        <f>AND('Planilla_General_03-12-2012_9_3'!J168,"AAAAAG/rX3o=")</f>
        <v>#VALUE!</v>
      </c>
      <c r="DT11" t="e">
        <f>AND('Planilla_General_03-12-2012_9_3'!K168,"AAAAAG/rX3s=")</f>
        <v>#VALUE!</v>
      </c>
      <c r="DU11" t="e">
        <f>AND('Planilla_General_03-12-2012_9_3'!L168,"AAAAAG/rX3w=")</f>
        <v>#VALUE!</v>
      </c>
      <c r="DV11" t="e">
        <f>AND('Planilla_General_03-12-2012_9_3'!M168,"AAAAAG/rX30=")</f>
        <v>#VALUE!</v>
      </c>
      <c r="DW11" t="e">
        <f>AND('Planilla_General_03-12-2012_9_3'!N168,"AAAAAG/rX34=")</f>
        <v>#VALUE!</v>
      </c>
      <c r="DX11" t="e">
        <f>AND('Planilla_General_03-12-2012_9_3'!O168,"AAAAAG/rX38=")</f>
        <v>#VALUE!</v>
      </c>
      <c r="DY11">
        <f>IF('Planilla_General_03-12-2012_9_3'!169:169,"AAAAAG/rX4A=",0)</f>
        <v>0</v>
      </c>
      <c r="DZ11" t="e">
        <f>AND('Planilla_General_03-12-2012_9_3'!A169,"AAAAAG/rX4E=")</f>
        <v>#VALUE!</v>
      </c>
      <c r="EA11" t="e">
        <f>AND('Planilla_General_03-12-2012_9_3'!B169,"AAAAAG/rX4I=")</f>
        <v>#VALUE!</v>
      </c>
      <c r="EB11" t="e">
        <f>AND('Planilla_General_03-12-2012_9_3'!C169,"AAAAAG/rX4M=")</f>
        <v>#VALUE!</v>
      </c>
      <c r="EC11" t="e">
        <f>AND('Planilla_General_03-12-2012_9_3'!D169,"AAAAAG/rX4Q=")</f>
        <v>#VALUE!</v>
      </c>
      <c r="ED11" t="e">
        <f>AND('Planilla_General_03-12-2012_9_3'!E169,"AAAAAG/rX4U=")</f>
        <v>#VALUE!</v>
      </c>
      <c r="EE11" t="e">
        <f>AND('Planilla_General_03-12-2012_9_3'!F169,"AAAAAG/rX4Y=")</f>
        <v>#VALUE!</v>
      </c>
      <c r="EF11" t="e">
        <f>AND('Planilla_General_03-12-2012_9_3'!G169,"AAAAAG/rX4c=")</f>
        <v>#VALUE!</v>
      </c>
      <c r="EG11" t="e">
        <f>AND('Planilla_General_03-12-2012_9_3'!H169,"AAAAAG/rX4g=")</f>
        <v>#VALUE!</v>
      </c>
      <c r="EH11" t="e">
        <f>AND('Planilla_General_03-12-2012_9_3'!I169,"AAAAAG/rX4k=")</f>
        <v>#VALUE!</v>
      </c>
      <c r="EI11" t="e">
        <f>AND('Planilla_General_03-12-2012_9_3'!J169,"AAAAAG/rX4o=")</f>
        <v>#VALUE!</v>
      </c>
      <c r="EJ11" t="e">
        <f>AND('Planilla_General_03-12-2012_9_3'!K169,"AAAAAG/rX4s=")</f>
        <v>#VALUE!</v>
      </c>
      <c r="EK11" t="e">
        <f>AND('Planilla_General_03-12-2012_9_3'!L169,"AAAAAG/rX4w=")</f>
        <v>#VALUE!</v>
      </c>
      <c r="EL11" t="e">
        <f>AND('Planilla_General_03-12-2012_9_3'!M169,"AAAAAG/rX40=")</f>
        <v>#VALUE!</v>
      </c>
      <c r="EM11" t="e">
        <f>AND('Planilla_General_03-12-2012_9_3'!N169,"AAAAAG/rX44=")</f>
        <v>#VALUE!</v>
      </c>
      <c r="EN11" t="e">
        <f>AND('Planilla_General_03-12-2012_9_3'!O169,"AAAAAG/rX48=")</f>
        <v>#VALUE!</v>
      </c>
      <c r="EO11">
        <f>IF('Planilla_General_03-12-2012_9_3'!170:170,"AAAAAG/rX5A=",0)</f>
        <v>0</v>
      </c>
      <c r="EP11" t="e">
        <f>AND('Planilla_General_03-12-2012_9_3'!A170,"AAAAAG/rX5E=")</f>
        <v>#VALUE!</v>
      </c>
      <c r="EQ11" t="e">
        <f>AND('Planilla_General_03-12-2012_9_3'!B170,"AAAAAG/rX5I=")</f>
        <v>#VALUE!</v>
      </c>
      <c r="ER11" t="e">
        <f>AND('Planilla_General_03-12-2012_9_3'!C170,"AAAAAG/rX5M=")</f>
        <v>#VALUE!</v>
      </c>
      <c r="ES11" t="e">
        <f>AND('Planilla_General_03-12-2012_9_3'!D170,"AAAAAG/rX5Q=")</f>
        <v>#VALUE!</v>
      </c>
      <c r="ET11" t="e">
        <f>AND('Planilla_General_03-12-2012_9_3'!E170,"AAAAAG/rX5U=")</f>
        <v>#VALUE!</v>
      </c>
      <c r="EU11" t="e">
        <f>AND('Planilla_General_03-12-2012_9_3'!F170,"AAAAAG/rX5Y=")</f>
        <v>#VALUE!</v>
      </c>
      <c r="EV11" t="e">
        <f>AND('Planilla_General_03-12-2012_9_3'!G170,"AAAAAG/rX5c=")</f>
        <v>#VALUE!</v>
      </c>
      <c r="EW11" t="e">
        <f>AND('Planilla_General_03-12-2012_9_3'!H170,"AAAAAG/rX5g=")</f>
        <v>#VALUE!</v>
      </c>
      <c r="EX11" t="e">
        <f>AND('Planilla_General_03-12-2012_9_3'!I170,"AAAAAG/rX5k=")</f>
        <v>#VALUE!</v>
      </c>
      <c r="EY11" t="e">
        <f>AND('Planilla_General_03-12-2012_9_3'!J170,"AAAAAG/rX5o=")</f>
        <v>#VALUE!</v>
      </c>
      <c r="EZ11" t="e">
        <f>AND('Planilla_General_03-12-2012_9_3'!K170,"AAAAAG/rX5s=")</f>
        <v>#VALUE!</v>
      </c>
      <c r="FA11" t="e">
        <f>AND('Planilla_General_03-12-2012_9_3'!L170,"AAAAAG/rX5w=")</f>
        <v>#VALUE!</v>
      </c>
      <c r="FB11" t="e">
        <f>AND('Planilla_General_03-12-2012_9_3'!M170,"AAAAAG/rX50=")</f>
        <v>#VALUE!</v>
      </c>
      <c r="FC11" t="e">
        <f>AND('Planilla_General_03-12-2012_9_3'!N170,"AAAAAG/rX54=")</f>
        <v>#VALUE!</v>
      </c>
      <c r="FD11" t="e">
        <f>AND('Planilla_General_03-12-2012_9_3'!O170,"AAAAAG/rX58=")</f>
        <v>#VALUE!</v>
      </c>
      <c r="FE11">
        <f>IF('Planilla_General_03-12-2012_9_3'!171:171,"AAAAAG/rX6A=",0)</f>
        <v>0</v>
      </c>
      <c r="FF11" t="e">
        <f>AND('Planilla_General_03-12-2012_9_3'!A171,"AAAAAG/rX6E=")</f>
        <v>#VALUE!</v>
      </c>
      <c r="FG11" t="e">
        <f>AND('Planilla_General_03-12-2012_9_3'!B171,"AAAAAG/rX6I=")</f>
        <v>#VALUE!</v>
      </c>
      <c r="FH11" t="e">
        <f>AND('Planilla_General_03-12-2012_9_3'!C171,"AAAAAG/rX6M=")</f>
        <v>#VALUE!</v>
      </c>
      <c r="FI11" t="e">
        <f>AND('Planilla_General_03-12-2012_9_3'!D171,"AAAAAG/rX6Q=")</f>
        <v>#VALUE!</v>
      </c>
      <c r="FJ11" t="e">
        <f>AND('Planilla_General_03-12-2012_9_3'!E171,"AAAAAG/rX6U=")</f>
        <v>#VALUE!</v>
      </c>
      <c r="FK11" t="e">
        <f>AND('Planilla_General_03-12-2012_9_3'!F171,"AAAAAG/rX6Y=")</f>
        <v>#VALUE!</v>
      </c>
      <c r="FL11" t="e">
        <f>AND('Planilla_General_03-12-2012_9_3'!G171,"AAAAAG/rX6c=")</f>
        <v>#VALUE!</v>
      </c>
      <c r="FM11" t="e">
        <f>AND('Planilla_General_03-12-2012_9_3'!H171,"AAAAAG/rX6g=")</f>
        <v>#VALUE!</v>
      </c>
      <c r="FN11" t="e">
        <f>AND('Planilla_General_03-12-2012_9_3'!I171,"AAAAAG/rX6k=")</f>
        <v>#VALUE!</v>
      </c>
      <c r="FO11" t="e">
        <f>AND('Planilla_General_03-12-2012_9_3'!J171,"AAAAAG/rX6o=")</f>
        <v>#VALUE!</v>
      </c>
      <c r="FP11" t="e">
        <f>AND('Planilla_General_03-12-2012_9_3'!K171,"AAAAAG/rX6s=")</f>
        <v>#VALUE!</v>
      </c>
      <c r="FQ11" t="e">
        <f>AND('Planilla_General_03-12-2012_9_3'!L171,"AAAAAG/rX6w=")</f>
        <v>#VALUE!</v>
      </c>
      <c r="FR11" t="e">
        <f>AND('Planilla_General_03-12-2012_9_3'!M171,"AAAAAG/rX60=")</f>
        <v>#VALUE!</v>
      </c>
      <c r="FS11" t="e">
        <f>AND('Planilla_General_03-12-2012_9_3'!N171,"AAAAAG/rX64=")</f>
        <v>#VALUE!</v>
      </c>
      <c r="FT11" t="e">
        <f>AND('Planilla_General_03-12-2012_9_3'!O171,"AAAAAG/rX68=")</f>
        <v>#VALUE!</v>
      </c>
      <c r="FU11">
        <f>IF('Planilla_General_03-12-2012_9_3'!172:172,"AAAAAG/rX7A=",0)</f>
        <v>0</v>
      </c>
      <c r="FV11" t="e">
        <f>AND('Planilla_General_03-12-2012_9_3'!A172,"AAAAAG/rX7E=")</f>
        <v>#VALUE!</v>
      </c>
      <c r="FW11" t="e">
        <f>AND('Planilla_General_03-12-2012_9_3'!B172,"AAAAAG/rX7I=")</f>
        <v>#VALUE!</v>
      </c>
      <c r="FX11" t="e">
        <f>AND('Planilla_General_03-12-2012_9_3'!C172,"AAAAAG/rX7M=")</f>
        <v>#VALUE!</v>
      </c>
      <c r="FY11" t="e">
        <f>AND('Planilla_General_03-12-2012_9_3'!D172,"AAAAAG/rX7Q=")</f>
        <v>#VALUE!</v>
      </c>
      <c r="FZ11" t="e">
        <f>AND('Planilla_General_03-12-2012_9_3'!E172,"AAAAAG/rX7U=")</f>
        <v>#VALUE!</v>
      </c>
      <c r="GA11" t="e">
        <f>AND('Planilla_General_03-12-2012_9_3'!F172,"AAAAAG/rX7Y=")</f>
        <v>#VALUE!</v>
      </c>
      <c r="GB11" t="e">
        <f>AND('Planilla_General_03-12-2012_9_3'!G172,"AAAAAG/rX7c=")</f>
        <v>#VALUE!</v>
      </c>
      <c r="GC11" t="e">
        <f>AND('Planilla_General_03-12-2012_9_3'!H172,"AAAAAG/rX7g=")</f>
        <v>#VALUE!</v>
      </c>
      <c r="GD11" t="e">
        <f>AND('Planilla_General_03-12-2012_9_3'!I172,"AAAAAG/rX7k=")</f>
        <v>#VALUE!</v>
      </c>
      <c r="GE11" t="e">
        <f>AND('Planilla_General_03-12-2012_9_3'!J172,"AAAAAG/rX7o=")</f>
        <v>#VALUE!</v>
      </c>
      <c r="GF11" t="e">
        <f>AND('Planilla_General_03-12-2012_9_3'!K172,"AAAAAG/rX7s=")</f>
        <v>#VALUE!</v>
      </c>
      <c r="GG11" t="e">
        <f>AND('Planilla_General_03-12-2012_9_3'!L172,"AAAAAG/rX7w=")</f>
        <v>#VALUE!</v>
      </c>
      <c r="GH11" t="e">
        <f>AND('Planilla_General_03-12-2012_9_3'!M172,"AAAAAG/rX70=")</f>
        <v>#VALUE!</v>
      </c>
      <c r="GI11" t="e">
        <f>AND('Planilla_General_03-12-2012_9_3'!N172,"AAAAAG/rX74=")</f>
        <v>#VALUE!</v>
      </c>
      <c r="GJ11" t="e">
        <f>AND('Planilla_General_03-12-2012_9_3'!O172,"AAAAAG/rX78=")</f>
        <v>#VALUE!</v>
      </c>
      <c r="GK11">
        <f>IF('Planilla_General_03-12-2012_9_3'!173:173,"AAAAAG/rX8A=",0)</f>
        <v>0</v>
      </c>
      <c r="GL11" t="e">
        <f>AND('Planilla_General_03-12-2012_9_3'!A173,"AAAAAG/rX8E=")</f>
        <v>#VALUE!</v>
      </c>
      <c r="GM11" t="e">
        <f>AND('Planilla_General_03-12-2012_9_3'!B173,"AAAAAG/rX8I=")</f>
        <v>#VALUE!</v>
      </c>
      <c r="GN11" t="e">
        <f>AND('Planilla_General_03-12-2012_9_3'!C173,"AAAAAG/rX8M=")</f>
        <v>#VALUE!</v>
      </c>
      <c r="GO11" t="e">
        <f>AND('Planilla_General_03-12-2012_9_3'!D173,"AAAAAG/rX8Q=")</f>
        <v>#VALUE!</v>
      </c>
      <c r="GP11" t="e">
        <f>AND('Planilla_General_03-12-2012_9_3'!E173,"AAAAAG/rX8U=")</f>
        <v>#VALUE!</v>
      </c>
      <c r="GQ11" t="e">
        <f>AND('Planilla_General_03-12-2012_9_3'!F173,"AAAAAG/rX8Y=")</f>
        <v>#VALUE!</v>
      </c>
      <c r="GR11" t="e">
        <f>AND('Planilla_General_03-12-2012_9_3'!G173,"AAAAAG/rX8c=")</f>
        <v>#VALUE!</v>
      </c>
      <c r="GS11" t="e">
        <f>AND('Planilla_General_03-12-2012_9_3'!H173,"AAAAAG/rX8g=")</f>
        <v>#VALUE!</v>
      </c>
      <c r="GT11" t="e">
        <f>AND('Planilla_General_03-12-2012_9_3'!I173,"AAAAAG/rX8k=")</f>
        <v>#VALUE!</v>
      </c>
      <c r="GU11" t="e">
        <f>AND('Planilla_General_03-12-2012_9_3'!J173,"AAAAAG/rX8o=")</f>
        <v>#VALUE!</v>
      </c>
      <c r="GV11" t="e">
        <f>AND('Planilla_General_03-12-2012_9_3'!K173,"AAAAAG/rX8s=")</f>
        <v>#VALUE!</v>
      </c>
      <c r="GW11" t="e">
        <f>AND('Planilla_General_03-12-2012_9_3'!L173,"AAAAAG/rX8w=")</f>
        <v>#VALUE!</v>
      </c>
      <c r="GX11" t="e">
        <f>AND('Planilla_General_03-12-2012_9_3'!M173,"AAAAAG/rX80=")</f>
        <v>#VALUE!</v>
      </c>
      <c r="GY11" t="e">
        <f>AND('Planilla_General_03-12-2012_9_3'!N173,"AAAAAG/rX84=")</f>
        <v>#VALUE!</v>
      </c>
      <c r="GZ11" t="e">
        <f>AND('Planilla_General_03-12-2012_9_3'!O173,"AAAAAG/rX88=")</f>
        <v>#VALUE!</v>
      </c>
      <c r="HA11">
        <f>IF('Planilla_General_03-12-2012_9_3'!174:174,"AAAAAG/rX9A=",0)</f>
        <v>0</v>
      </c>
      <c r="HB11" t="e">
        <f>AND('Planilla_General_03-12-2012_9_3'!A174,"AAAAAG/rX9E=")</f>
        <v>#VALUE!</v>
      </c>
      <c r="HC11" t="e">
        <f>AND('Planilla_General_03-12-2012_9_3'!B174,"AAAAAG/rX9I=")</f>
        <v>#VALUE!</v>
      </c>
      <c r="HD11" t="e">
        <f>AND('Planilla_General_03-12-2012_9_3'!C174,"AAAAAG/rX9M=")</f>
        <v>#VALUE!</v>
      </c>
      <c r="HE11" t="e">
        <f>AND('Planilla_General_03-12-2012_9_3'!D174,"AAAAAG/rX9Q=")</f>
        <v>#VALUE!</v>
      </c>
      <c r="HF11" t="e">
        <f>AND('Planilla_General_03-12-2012_9_3'!E174,"AAAAAG/rX9U=")</f>
        <v>#VALUE!</v>
      </c>
      <c r="HG11" t="e">
        <f>AND('Planilla_General_03-12-2012_9_3'!F174,"AAAAAG/rX9Y=")</f>
        <v>#VALUE!</v>
      </c>
      <c r="HH11" t="e">
        <f>AND('Planilla_General_03-12-2012_9_3'!G174,"AAAAAG/rX9c=")</f>
        <v>#VALUE!</v>
      </c>
      <c r="HI11" t="e">
        <f>AND('Planilla_General_03-12-2012_9_3'!H174,"AAAAAG/rX9g=")</f>
        <v>#VALUE!</v>
      </c>
      <c r="HJ11" t="e">
        <f>AND('Planilla_General_03-12-2012_9_3'!I174,"AAAAAG/rX9k=")</f>
        <v>#VALUE!</v>
      </c>
      <c r="HK11" t="e">
        <f>AND('Planilla_General_03-12-2012_9_3'!J174,"AAAAAG/rX9o=")</f>
        <v>#VALUE!</v>
      </c>
      <c r="HL11" t="e">
        <f>AND('Planilla_General_03-12-2012_9_3'!K174,"AAAAAG/rX9s=")</f>
        <v>#VALUE!</v>
      </c>
      <c r="HM11" t="e">
        <f>AND('Planilla_General_03-12-2012_9_3'!L174,"AAAAAG/rX9w=")</f>
        <v>#VALUE!</v>
      </c>
      <c r="HN11" t="e">
        <f>AND('Planilla_General_03-12-2012_9_3'!M174,"AAAAAG/rX90=")</f>
        <v>#VALUE!</v>
      </c>
      <c r="HO11" t="e">
        <f>AND('Planilla_General_03-12-2012_9_3'!N174,"AAAAAG/rX94=")</f>
        <v>#VALUE!</v>
      </c>
      <c r="HP11" t="e">
        <f>AND('Planilla_General_03-12-2012_9_3'!O174,"AAAAAG/rX98=")</f>
        <v>#VALUE!</v>
      </c>
      <c r="HQ11">
        <f>IF('Planilla_General_03-12-2012_9_3'!175:175,"AAAAAG/rX+A=",0)</f>
        <v>0</v>
      </c>
      <c r="HR11" t="e">
        <f>AND('Planilla_General_03-12-2012_9_3'!A175,"AAAAAG/rX+E=")</f>
        <v>#VALUE!</v>
      </c>
      <c r="HS11" t="e">
        <f>AND('Planilla_General_03-12-2012_9_3'!B175,"AAAAAG/rX+I=")</f>
        <v>#VALUE!</v>
      </c>
      <c r="HT11" t="e">
        <f>AND('Planilla_General_03-12-2012_9_3'!C175,"AAAAAG/rX+M=")</f>
        <v>#VALUE!</v>
      </c>
      <c r="HU11" t="e">
        <f>AND('Planilla_General_03-12-2012_9_3'!D175,"AAAAAG/rX+Q=")</f>
        <v>#VALUE!</v>
      </c>
      <c r="HV11" t="e">
        <f>AND('Planilla_General_03-12-2012_9_3'!E175,"AAAAAG/rX+U=")</f>
        <v>#VALUE!</v>
      </c>
      <c r="HW11" t="e">
        <f>AND('Planilla_General_03-12-2012_9_3'!F175,"AAAAAG/rX+Y=")</f>
        <v>#VALUE!</v>
      </c>
      <c r="HX11" t="e">
        <f>AND('Planilla_General_03-12-2012_9_3'!G175,"AAAAAG/rX+c=")</f>
        <v>#VALUE!</v>
      </c>
      <c r="HY11" t="e">
        <f>AND('Planilla_General_03-12-2012_9_3'!H175,"AAAAAG/rX+g=")</f>
        <v>#VALUE!</v>
      </c>
      <c r="HZ11" t="e">
        <f>AND('Planilla_General_03-12-2012_9_3'!I175,"AAAAAG/rX+k=")</f>
        <v>#VALUE!</v>
      </c>
      <c r="IA11" t="e">
        <f>AND('Planilla_General_03-12-2012_9_3'!J175,"AAAAAG/rX+o=")</f>
        <v>#VALUE!</v>
      </c>
      <c r="IB11" t="e">
        <f>AND('Planilla_General_03-12-2012_9_3'!K175,"AAAAAG/rX+s=")</f>
        <v>#VALUE!</v>
      </c>
      <c r="IC11" t="e">
        <f>AND('Planilla_General_03-12-2012_9_3'!L175,"AAAAAG/rX+w=")</f>
        <v>#VALUE!</v>
      </c>
      <c r="ID11" t="e">
        <f>AND('Planilla_General_03-12-2012_9_3'!M175,"AAAAAG/rX+0=")</f>
        <v>#VALUE!</v>
      </c>
      <c r="IE11" t="e">
        <f>AND('Planilla_General_03-12-2012_9_3'!N175,"AAAAAG/rX+4=")</f>
        <v>#VALUE!</v>
      </c>
      <c r="IF11" t="e">
        <f>AND('Planilla_General_03-12-2012_9_3'!O175,"AAAAAG/rX+8=")</f>
        <v>#VALUE!</v>
      </c>
      <c r="IG11">
        <f>IF('Planilla_General_03-12-2012_9_3'!176:176,"AAAAAG/rX/A=",0)</f>
        <v>0</v>
      </c>
      <c r="IH11" t="e">
        <f>AND('Planilla_General_03-12-2012_9_3'!A176,"AAAAAG/rX/E=")</f>
        <v>#VALUE!</v>
      </c>
      <c r="II11" t="e">
        <f>AND('Planilla_General_03-12-2012_9_3'!B176,"AAAAAG/rX/I=")</f>
        <v>#VALUE!</v>
      </c>
      <c r="IJ11" t="e">
        <f>AND('Planilla_General_03-12-2012_9_3'!C176,"AAAAAG/rX/M=")</f>
        <v>#VALUE!</v>
      </c>
      <c r="IK11" t="e">
        <f>AND('Planilla_General_03-12-2012_9_3'!D176,"AAAAAG/rX/Q=")</f>
        <v>#VALUE!</v>
      </c>
      <c r="IL11" t="e">
        <f>AND('Planilla_General_03-12-2012_9_3'!E176,"AAAAAG/rX/U=")</f>
        <v>#VALUE!</v>
      </c>
      <c r="IM11" t="e">
        <f>AND('Planilla_General_03-12-2012_9_3'!F176,"AAAAAG/rX/Y=")</f>
        <v>#VALUE!</v>
      </c>
      <c r="IN11" t="e">
        <f>AND('Planilla_General_03-12-2012_9_3'!G176,"AAAAAG/rX/c=")</f>
        <v>#VALUE!</v>
      </c>
      <c r="IO11" t="e">
        <f>AND('Planilla_General_03-12-2012_9_3'!H176,"AAAAAG/rX/g=")</f>
        <v>#VALUE!</v>
      </c>
      <c r="IP11" t="e">
        <f>AND('Planilla_General_03-12-2012_9_3'!I176,"AAAAAG/rX/k=")</f>
        <v>#VALUE!</v>
      </c>
      <c r="IQ11" t="e">
        <f>AND('Planilla_General_03-12-2012_9_3'!J176,"AAAAAG/rX/o=")</f>
        <v>#VALUE!</v>
      </c>
      <c r="IR11" t="e">
        <f>AND('Planilla_General_03-12-2012_9_3'!K176,"AAAAAG/rX/s=")</f>
        <v>#VALUE!</v>
      </c>
      <c r="IS11" t="e">
        <f>AND('Planilla_General_03-12-2012_9_3'!L176,"AAAAAG/rX/w=")</f>
        <v>#VALUE!</v>
      </c>
      <c r="IT11" t="e">
        <f>AND('Planilla_General_03-12-2012_9_3'!M176,"AAAAAG/rX/0=")</f>
        <v>#VALUE!</v>
      </c>
      <c r="IU11" t="e">
        <f>AND('Planilla_General_03-12-2012_9_3'!N176,"AAAAAG/rX/4=")</f>
        <v>#VALUE!</v>
      </c>
      <c r="IV11" t="e">
        <f>AND('Planilla_General_03-12-2012_9_3'!O176,"AAAAAG/rX/8=")</f>
        <v>#VALUE!</v>
      </c>
    </row>
    <row r="12" spans="1:256" x14ac:dyDescent="0.25">
      <c r="A12" t="e">
        <f>IF('Planilla_General_03-12-2012_9_3'!177:177,"AAAAAH/7fQA=",0)</f>
        <v>#VALUE!</v>
      </c>
      <c r="B12" t="e">
        <f>AND('Planilla_General_03-12-2012_9_3'!A177,"AAAAAH/7fQE=")</f>
        <v>#VALUE!</v>
      </c>
      <c r="C12" t="e">
        <f>AND('Planilla_General_03-12-2012_9_3'!B177,"AAAAAH/7fQI=")</f>
        <v>#VALUE!</v>
      </c>
      <c r="D12" t="e">
        <f>AND('Planilla_General_03-12-2012_9_3'!C177,"AAAAAH/7fQM=")</f>
        <v>#VALUE!</v>
      </c>
      <c r="E12" t="e">
        <f>AND('Planilla_General_03-12-2012_9_3'!D177,"AAAAAH/7fQQ=")</f>
        <v>#VALUE!</v>
      </c>
      <c r="F12" t="e">
        <f>AND('Planilla_General_03-12-2012_9_3'!E177,"AAAAAH/7fQU=")</f>
        <v>#VALUE!</v>
      </c>
      <c r="G12" t="e">
        <f>AND('Planilla_General_03-12-2012_9_3'!F177,"AAAAAH/7fQY=")</f>
        <v>#VALUE!</v>
      </c>
      <c r="H12" t="e">
        <f>AND('Planilla_General_03-12-2012_9_3'!G177,"AAAAAH/7fQc=")</f>
        <v>#VALUE!</v>
      </c>
      <c r="I12" t="e">
        <f>AND('Planilla_General_03-12-2012_9_3'!H177,"AAAAAH/7fQg=")</f>
        <v>#VALUE!</v>
      </c>
      <c r="J12" t="e">
        <f>AND('Planilla_General_03-12-2012_9_3'!I177,"AAAAAH/7fQk=")</f>
        <v>#VALUE!</v>
      </c>
      <c r="K12" t="e">
        <f>AND('Planilla_General_03-12-2012_9_3'!J177,"AAAAAH/7fQo=")</f>
        <v>#VALUE!</v>
      </c>
      <c r="L12" t="e">
        <f>AND('Planilla_General_03-12-2012_9_3'!K177,"AAAAAH/7fQs=")</f>
        <v>#VALUE!</v>
      </c>
      <c r="M12" t="e">
        <f>AND('Planilla_General_03-12-2012_9_3'!L177,"AAAAAH/7fQw=")</f>
        <v>#VALUE!</v>
      </c>
      <c r="N12" t="e">
        <f>AND('Planilla_General_03-12-2012_9_3'!M177,"AAAAAH/7fQ0=")</f>
        <v>#VALUE!</v>
      </c>
      <c r="O12" t="e">
        <f>AND('Planilla_General_03-12-2012_9_3'!N177,"AAAAAH/7fQ4=")</f>
        <v>#VALUE!</v>
      </c>
      <c r="P12" t="e">
        <f>AND('Planilla_General_03-12-2012_9_3'!O177,"AAAAAH/7fQ8=")</f>
        <v>#VALUE!</v>
      </c>
      <c r="Q12">
        <f>IF('Planilla_General_03-12-2012_9_3'!178:178,"AAAAAH/7fRA=",0)</f>
        <v>0</v>
      </c>
      <c r="R12" t="e">
        <f>AND('Planilla_General_03-12-2012_9_3'!A178,"AAAAAH/7fRE=")</f>
        <v>#VALUE!</v>
      </c>
      <c r="S12" t="e">
        <f>AND('Planilla_General_03-12-2012_9_3'!B178,"AAAAAH/7fRI=")</f>
        <v>#VALUE!</v>
      </c>
      <c r="T12" t="e">
        <f>AND('Planilla_General_03-12-2012_9_3'!C178,"AAAAAH/7fRM=")</f>
        <v>#VALUE!</v>
      </c>
      <c r="U12" t="e">
        <f>AND('Planilla_General_03-12-2012_9_3'!D178,"AAAAAH/7fRQ=")</f>
        <v>#VALUE!</v>
      </c>
      <c r="V12" t="e">
        <f>AND('Planilla_General_03-12-2012_9_3'!E178,"AAAAAH/7fRU=")</f>
        <v>#VALUE!</v>
      </c>
      <c r="W12" t="e">
        <f>AND('Planilla_General_03-12-2012_9_3'!F178,"AAAAAH/7fRY=")</f>
        <v>#VALUE!</v>
      </c>
      <c r="X12" t="e">
        <f>AND('Planilla_General_03-12-2012_9_3'!G178,"AAAAAH/7fRc=")</f>
        <v>#VALUE!</v>
      </c>
      <c r="Y12" t="e">
        <f>AND('Planilla_General_03-12-2012_9_3'!H178,"AAAAAH/7fRg=")</f>
        <v>#VALUE!</v>
      </c>
      <c r="Z12" t="e">
        <f>AND('Planilla_General_03-12-2012_9_3'!I178,"AAAAAH/7fRk=")</f>
        <v>#VALUE!</v>
      </c>
      <c r="AA12" t="e">
        <f>AND('Planilla_General_03-12-2012_9_3'!J178,"AAAAAH/7fRo=")</f>
        <v>#VALUE!</v>
      </c>
      <c r="AB12" t="e">
        <f>AND('Planilla_General_03-12-2012_9_3'!K178,"AAAAAH/7fRs=")</f>
        <v>#VALUE!</v>
      </c>
      <c r="AC12" t="e">
        <f>AND('Planilla_General_03-12-2012_9_3'!L178,"AAAAAH/7fRw=")</f>
        <v>#VALUE!</v>
      </c>
      <c r="AD12" t="e">
        <f>AND('Planilla_General_03-12-2012_9_3'!M178,"AAAAAH/7fR0=")</f>
        <v>#VALUE!</v>
      </c>
      <c r="AE12" t="e">
        <f>AND('Planilla_General_03-12-2012_9_3'!N178,"AAAAAH/7fR4=")</f>
        <v>#VALUE!</v>
      </c>
      <c r="AF12" t="e">
        <f>AND('Planilla_General_03-12-2012_9_3'!O178,"AAAAAH/7fR8=")</f>
        <v>#VALUE!</v>
      </c>
      <c r="AG12">
        <f>IF('Planilla_General_03-12-2012_9_3'!179:179,"AAAAAH/7fSA=",0)</f>
        <v>0</v>
      </c>
      <c r="AH12" t="e">
        <f>AND('Planilla_General_03-12-2012_9_3'!A179,"AAAAAH/7fSE=")</f>
        <v>#VALUE!</v>
      </c>
      <c r="AI12" t="e">
        <f>AND('Planilla_General_03-12-2012_9_3'!B179,"AAAAAH/7fSI=")</f>
        <v>#VALUE!</v>
      </c>
      <c r="AJ12" t="e">
        <f>AND('Planilla_General_03-12-2012_9_3'!C179,"AAAAAH/7fSM=")</f>
        <v>#VALUE!</v>
      </c>
      <c r="AK12" t="e">
        <f>AND('Planilla_General_03-12-2012_9_3'!D179,"AAAAAH/7fSQ=")</f>
        <v>#VALUE!</v>
      </c>
      <c r="AL12" t="e">
        <f>AND('Planilla_General_03-12-2012_9_3'!E179,"AAAAAH/7fSU=")</f>
        <v>#VALUE!</v>
      </c>
      <c r="AM12" t="e">
        <f>AND('Planilla_General_03-12-2012_9_3'!F179,"AAAAAH/7fSY=")</f>
        <v>#VALUE!</v>
      </c>
      <c r="AN12" t="e">
        <f>AND('Planilla_General_03-12-2012_9_3'!G179,"AAAAAH/7fSc=")</f>
        <v>#VALUE!</v>
      </c>
      <c r="AO12" t="e">
        <f>AND('Planilla_General_03-12-2012_9_3'!H179,"AAAAAH/7fSg=")</f>
        <v>#VALUE!</v>
      </c>
      <c r="AP12" t="e">
        <f>AND('Planilla_General_03-12-2012_9_3'!I179,"AAAAAH/7fSk=")</f>
        <v>#VALUE!</v>
      </c>
      <c r="AQ12" t="e">
        <f>AND('Planilla_General_03-12-2012_9_3'!J179,"AAAAAH/7fSo=")</f>
        <v>#VALUE!</v>
      </c>
      <c r="AR12" t="e">
        <f>AND('Planilla_General_03-12-2012_9_3'!K179,"AAAAAH/7fSs=")</f>
        <v>#VALUE!</v>
      </c>
      <c r="AS12" t="e">
        <f>AND('Planilla_General_03-12-2012_9_3'!L179,"AAAAAH/7fSw=")</f>
        <v>#VALUE!</v>
      </c>
      <c r="AT12" t="e">
        <f>AND('Planilla_General_03-12-2012_9_3'!M179,"AAAAAH/7fS0=")</f>
        <v>#VALUE!</v>
      </c>
      <c r="AU12" t="e">
        <f>AND('Planilla_General_03-12-2012_9_3'!N179,"AAAAAH/7fS4=")</f>
        <v>#VALUE!</v>
      </c>
      <c r="AV12" t="e">
        <f>AND('Planilla_General_03-12-2012_9_3'!O179,"AAAAAH/7fS8=")</f>
        <v>#VALUE!</v>
      </c>
      <c r="AW12">
        <f>IF('Planilla_General_03-12-2012_9_3'!180:180,"AAAAAH/7fTA=",0)</f>
        <v>0</v>
      </c>
      <c r="AX12" t="e">
        <f>AND('Planilla_General_03-12-2012_9_3'!A180,"AAAAAH/7fTE=")</f>
        <v>#VALUE!</v>
      </c>
      <c r="AY12" t="e">
        <f>AND('Planilla_General_03-12-2012_9_3'!B180,"AAAAAH/7fTI=")</f>
        <v>#VALUE!</v>
      </c>
      <c r="AZ12" t="e">
        <f>AND('Planilla_General_03-12-2012_9_3'!C180,"AAAAAH/7fTM=")</f>
        <v>#VALUE!</v>
      </c>
      <c r="BA12" t="e">
        <f>AND('Planilla_General_03-12-2012_9_3'!D180,"AAAAAH/7fTQ=")</f>
        <v>#VALUE!</v>
      </c>
      <c r="BB12" t="e">
        <f>AND('Planilla_General_03-12-2012_9_3'!E180,"AAAAAH/7fTU=")</f>
        <v>#VALUE!</v>
      </c>
      <c r="BC12" t="e">
        <f>AND('Planilla_General_03-12-2012_9_3'!F180,"AAAAAH/7fTY=")</f>
        <v>#VALUE!</v>
      </c>
      <c r="BD12" t="e">
        <f>AND('Planilla_General_03-12-2012_9_3'!G180,"AAAAAH/7fTc=")</f>
        <v>#VALUE!</v>
      </c>
      <c r="BE12" t="e">
        <f>AND('Planilla_General_03-12-2012_9_3'!H180,"AAAAAH/7fTg=")</f>
        <v>#VALUE!</v>
      </c>
      <c r="BF12" t="e">
        <f>AND('Planilla_General_03-12-2012_9_3'!I180,"AAAAAH/7fTk=")</f>
        <v>#VALUE!</v>
      </c>
      <c r="BG12" t="e">
        <f>AND('Planilla_General_03-12-2012_9_3'!J180,"AAAAAH/7fTo=")</f>
        <v>#VALUE!</v>
      </c>
      <c r="BH12" t="e">
        <f>AND('Planilla_General_03-12-2012_9_3'!K180,"AAAAAH/7fTs=")</f>
        <v>#VALUE!</v>
      </c>
      <c r="BI12" t="e">
        <f>AND('Planilla_General_03-12-2012_9_3'!L180,"AAAAAH/7fTw=")</f>
        <v>#VALUE!</v>
      </c>
      <c r="BJ12" t="e">
        <f>AND('Planilla_General_03-12-2012_9_3'!M180,"AAAAAH/7fT0=")</f>
        <v>#VALUE!</v>
      </c>
      <c r="BK12" t="e">
        <f>AND('Planilla_General_03-12-2012_9_3'!N180,"AAAAAH/7fT4=")</f>
        <v>#VALUE!</v>
      </c>
      <c r="BL12" t="e">
        <f>AND('Planilla_General_03-12-2012_9_3'!O180,"AAAAAH/7fT8=")</f>
        <v>#VALUE!</v>
      </c>
      <c r="BM12">
        <f>IF('Planilla_General_03-12-2012_9_3'!181:181,"AAAAAH/7fUA=",0)</f>
        <v>0</v>
      </c>
      <c r="BN12" t="e">
        <f>AND('Planilla_General_03-12-2012_9_3'!A181,"AAAAAH/7fUE=")</f>
        <v>#VALUE!</v>
      </c>
      <c r="BO12" t="e">
        <f>AND('Planilla_General_03-12-2012_9_3'!B181,"AAAAAH/7fUI=")</f>
        <v>#VALUE!</v>
      </c>
      <c r="BP12" t="e">
        <f>AND('Planilla_General_03-12-2012_9_3'!C181,"AAAAAH/7fUM=")</f>
        <v>#VALUE!</v>
      </c>
      <c r="BQ12" t="e">
        <f>AND('Planilla_General_03-12-2012_9_3'!D181,"AAAAAH/7fUQ=")</f>
        <v>#VALUE!</v>
      </c>
      <c r="BR12" t="e">
        <f>AND('Planilla_General_03-12-2012_9_3'!E181,"AAAAAH/7fUU=")</f>
        <v>#VALUE!</v>
      </c>
      <c r="BS12" t="e">
        <f>AND('Planilla_General_03-12-2012_9_3'!F181,"AAAAAH/7fUY=")</f>
        <v>#VALUE!</v>
      </c>
      <c r="BT12" t="e">
        <f>AND('Planilla_General_03-12-2012_9_3'!G181,"AAAAAH/7fUc=")</f>
        <v>#VALUE!</v>
      </c>
      <c r="BU12" t="e">
        <f>AND('Planilla_General_03-12-2012_9_3'!H181,"AAAAAH/7fUg=")</f>
        <v>#VALUE!</v>
      </c>
      <c r="BV12" t="e">
        <f>AND('Planilla_General_03-12-2012_9_3'!I181,"AAAAAH/7fUk=")</f>
        <v>#VALUE!</v>
      </c>
      <c r="BW12" t="e">
        <f>AND('Planilla_General_03-12-2012_9_3'!J181,"AAAAAH/7fUo=")</f>
        <v>#VALUE!</v>
      </c>
      <c r="BX12" t="e">
        <f>AND('Planilla_General_03-12-2012_9_3'!K181,"AAAAAH/7fUs=")</f>
        <v>#VALUE!</v>
      </c>
      <c r="BY12" t="e">
        <f>AND('Planilla_General_03-12-2012_9_3'!L181,"AAAAAH/7fUw=")</f>
        <v>#VALUE!</v>
      </c>
      <c r="BZ12" t="e">
        <f>AND('Planilla_General_03-12-2012_9_3'!M181,"AAAAAH/7fU0=")</f>
        <v>#VALUE!</v>
      </c>
      <c r="CA12" t="e">
        <f>AND('Planilla_General_03-12-2012_9_3'!N181,"AAAAAH/7fU4=")</f>
        <v>#VALUE!</v>
      </c>
      <c r="CB12" t="e">
        <f>AND('Planilla_General_03-12-2012_9_3'!O181,"AAAAAH/7fU8=")</f>
        <v>#VALUE!</v>
      </c>
      <c r="CC12">
        <f>IF('Planilla_General_03-12-2012_9_3'!182:182,"AAAAAH/7fVA=",0)</f>
        <v>0</v>
      </c>
      <c r="CD12" t="e">
        <f>AND('Planilla_General_03-12-2012_9_3'!A182,"AAAAAH/7fVE=")</f>
        <v>#VALUE!</v>
      </c>
      <c r="CE12" t="e">
        <f>AND('Planilla_General_03-12-2012_9_3'!B182,"AAAAAH/7fVI=")</f>
        <v>#VALUE!</v>
      </c>
      <c r="CF12" t="e">
        <f>AND('Planilla_General_03-12-2012_9_3'!C182,"AAAAAH/7fVM=")</f>
        <v>#VALUE!</v>
      </c>
      <c r="CG12" t="e">
        <f>AND('Planilla_General_03-12-2012_9_3'!D182,"AAAAAH/7fVQ=")</f>
        <v>#VALUE!</v>
      </c>
      <c r="CH12" t="e">
        <f>AND('Planilla_General_03-12-2012_9_3'!E182,"AAAAAH/7fVU=")</f>
        <v>#VALUE!</v>
      </c>
      <c r="CI12" t="e">
        <f>AND('Planilla_General_03-12-2012_9_3'!F182,"AAAAAH/7fVY=")</f>
        <v>#VALUE!</v>
      </c>
      <c r="CJ12" t="e">
        <f>AND('Planilla_General_03-12-2012_9_3'!G182,"AAAAAH/7fVc=")</f>
        <v>#VALUE!</v>
      </c>
      <c r="CK12" t="e">
        <f>AND('Planilla_General_03-12-2012_9_3'!H182,"AAAAAH/7fVg=")</f>
        <v>#VALUE!</v>
      </c>
      <c r="CL12" t="e">
        <f>AND('Planilla_General_03-12-2012_9_3'!I182,"AAAAAH/7fVk=")</f>
        <v>#VALUE!</v>
      </c>
      <c r="CM12" t="e">
        <f>AND('Planilla_General_03-12-2012_9_3'!J182,"AAAAAH/7fVo=")</f>
        <v>#VALUE!</v>
      </c>
      <c r="CN12" t="e">
        <f>AND('Planilla_General_03-12-2012_9_3'!K182,"AAAAAH/7fVs=")</f>
        <v>#VALUE!</v>
      </c>
      <c r="CO12" t="e">
        <f>AND('Planilla_General_03-12-2012_9_3'!L182,"AAAAAH/7fVw=")</f>
        <v>#VALUE!</v>
      </c>
      <c r="CP12" t="e">
        <f>AND('Planilla_General_03-12-2012_9_3'!M182,"AAAAAH/7fV0=")</f>
        <v>#VALUE!</v>
      </c>
      <c r="CQ12" t="e">
        <f>AND('Planilla_General_03-12-2012_9_3'!N182,"AAAAAH/7fV4=")</f>
        <v>#VALUE!</v>
      </c>
      <c r="CR12" t="e">
        <f>AND('Planilla_General_03-12-2012_9_3'!O182,"AAAAAH/7fV8=")</f>
        <v>#VALUE!</v>
      </c>
      <c r="CS12">
        <f>IF('Planilla_General_03-12-2012_9_3'!183:183,"AAAAAH/7fWA=",0)</f>
        <v>0</v>
      </c>
      <c r="CT12" t="e">
        <f>AND('Planilla_General_03-12-2012_9_3'!A183,"AAAAAH/7fWE=")</f>
        <v>#VALUE!</v>
      </c>
      <c r="CU12" t="e">
        <f>AND('Planilla_General_03-12-2012_9_3'!B183,"AAAAAH/7fWI=")</f>
        <v>#VALUE!</v>
      </c>
      <c r="CV12" t="e">
        <f>AND('Planilla_General_03-12-2012_9_3'!C183,"AAAAAH/7fWM=")</f>
        <v>#VALUE!</v>
      </c>
      <c r="CW12" t="e">
        <f>AND('Planilla_General_03-12-2012_9_3'!D183,"AAAAAH/7fWQ=")</f>
        <v>#VALUE!</v>
      </c>
      <c r="CX12" t="e">
        <f>AND('Planilla_General_03-12-2012_9_3'!E183,"AAAAAH/7fWU=")</f>
        <v>#VALUE!</v>
      </c>
      <c r="CY12" t="e">
        <f>AND('Planilla_General_03-12-2012_9_3'!F183,"AAAAAH/7fWY=")</f>
        <v>#VALUE!</v>
      </c>
      <c r="CZ12" t="e">
        <f>AND('Planilla_General_03-12-2012_9_3'!G183,"AAAAAH/7fWc=")</f>
        <v>#VALUE!</v>
      </c>
      <c r="DA12" t="e">
        <f>AND('Planilla_General_03-12-2012_9_3'!H183,"AAAAAH/7fWg=")</f>
        <v>#VALUE!</v>
      </c>
      <c r="DB12" t="e">
        <f>AND('Planilla_General_03-12-2012_9_3'!I183,"AAAAAH/7fWk=")</f>
        <v>#VALUE!</v>
      </c>
      <c r="DC12" t="e">
        <f>AND('Planilla_General_03-12-2012_9_3'!J183,"AAAAAH/7fWo=")</f>
        <v>#VALUE!</v>
      </c>
      <c r="DD12" t="e">
        <f>AND('Planilla_General_03-12-2012_9_3'!K183,"AAAAAH/7fWs=")</f>
        <v>#VALUE!</v>
      </c>
      <c r="DE12" t="e">
        <f>AND('Planilla_General_03-12-2012_9_3'!L183,"AAAAAH/7fWw=")</f>
        <v>#VALUE!</v>
      </c>
      <c r="DF12" t="e">
        <f>AND('Planilla_General_03-12-2012_9_3'!M183,"AAAAAH/7fW0=")</f>
        <v>#VALUE!</v>
      </c>
      <c r="DG12" t="e">
        <f>AND('Planilla_General_03-12-2012_9_3'!N183,"AAAAAH/7fW4=")</f>
        <v>#VALUE!</v>
      </c>
      <c r="DH12" t="e">
        <f>AND('Planilla_General_03-12-2012_9_3'!O183,"AAAAAH/7fW8=")</f>
        <v>#VALUE!</v>
      </c>
      <c r="DI12">
        <f>IF('Planilla_General_03-12-2012_9_3'!184:184,"AAAAAH/7fXA=",0)</f>
        <v>0</v>
      </c>
      <c r="DJ12" t="e">
        <f>AND('Planilla_General_03-12-2012_9_3'!A184,"AAAAAH/7fXE=")</f>
        <v>#VALUE!</v>
      </c>
      <c r="DK12" t="e">
        <f>AND('Planilla_General_03-12-2012_9_3'!B184,"AAAAAH/7fXI=")</f>
        <v>#VALUE!</v>
      </c>
      <c r="DL12" t="e">
        <f>AND('Planilla_General_03-12-2012_9_3'!C184,"AAAAAH/7fXM=")</f>
        <v>#VALUE!</v>
      </c>
      <c r="DM12" t="e">
        <f>AND('Planilla_General_03-12-2012_9_3'!D184,"AAAAAH/7fXQ=")</f>
        <v>#VALUE!</v>
      </c>
      <c r="DN12" t="e">
        <f>AND('Planilla_General_03-12-2012_9_3'!E184,"AAAAAH/7fXU=")</f>
        <v>#VALUE!</v>
      </c>
      <c r="DO12" t="e">
        <f>AND('Planilla_General_03-12-2012_9_3'!F184,"AAAAAH/7fXY=")</f>
        <v>#VALUE!</v>
      </c>
      <c r="DP12" t="e">
        <f>AND('Planilla_General_03-12-2012_9_3'!G184,"AAAAAH/7fXc=")</f>
        <v>#VALUE!</v>
      </c>
      <c r="DQ12" t="e">
        <f>AND('Planilla_General_03-12-2012_9_3'!H184,"AAAAAH/7fXg=")</f>
        <v>#VALUE!</v>
      </c>
      <c r="DR12" t="e">
        <f>AND('Planilla_General_03-12-2012_9_3'!I184,"AAAAAH/7fXk=")</f>
        <v>#VALUE!</v>
      </c>
      <c r="DS12" t="e">
        <f>AND('Planilla_General_03-12-2012_9_3'!J184,"AAAAAH/7fXo=")</f>
        <v>#VALUE!</v>
      </c>
      <c r="DT12" t="e">
        <f>AND('Planilla_General_03-12-2012_9_3'!K184,"AAAAAH/7fXs=")</f>
        <v>#VALUE!</v>
      </c>
      <c r="DU12" t="e">
        <f>AND('Planilla_General_03-12-2012_9_3'!L184,"AAAAAH/7fXw=")</f>
        <v>#VALUE!</v>
      </c>
      <c r="DV12" t="e">
        <f>AND('Planilla_General_03-12-2012_9_3'!M184,"AAAAAH/7fX0=")</f>
        <v>#VALUE!</v>
      </c>
      <c r="DW12" t="e">
        <f>AND('Planilla_General_03-12-2012_9_3'!N184,"AAAAAH/7fX4=")</f>
        <v>#VALUE!</v>
      </c>
      <c r="DX12" t="e">
        <f>AND('Planilla_General_03-12-2012_9_3'!O184,"AAAAAH/7fX8=")</f>
        <v>#VALUE!</v>
      </c>
      <c r="DY12">
        <f>IF('Planilla_General_03-12-2012_9_3'!185:185,"AAAAAH/7fYA=",0)</f>
        <v>0</v>
      </c>
      <c r="DZ12" t="e">
        <f>AND('Planilla_General_03-12-2012_9_3'!A185,"AAAAAH/7fYE=")</f>
        <v>#VALUE!</v>
      </c>
      <c r="EA12" t="e">
        <f>AND('Planilla_General_03-12-2012_9_3'!B185,"AAAAAH/7fYI=")</f>
        <v>#VALUE!</v>
      </c>
      <c r="EB12" t="e">
        <f>AND('Planilla_General_03-12-2012_9_3'!C185,"AAAAAH/7fYM=")</f>
        <v>#VALUE!</v>
      </c>
      <c r="EC12" t="e">
        <f>AND('Planilla_General_03-12-2012_9_3'!D185,"AAAAAH/7fYQ=")</f>
        <v>#VALUE!</v>
      </c>
      <c r="ED12" t="e">
        <f>AND('Planilla_General_03-12-2012_9_3'!E185,"AAAAAH/7fYU=")</f>
        <v>#VALUE!</v>
      </c>
      <c r="EE12" t="e">
        <f>AND('Planilla_General_03-12-2012_9_3'!F185,"AAAAAH/7fYY=")</f>
        <v>#VALUE!</v>
      </c>
      <c r="EF12" t="e">
        <f>AND('Planilla_General_03-12-2012_9_3'!G185,"AAAAAH/7fYc=")</f>
        <v>#VALUE!</v>
      </c>
      <c r="EG12" t="e">
        <f>AND('Planilla_General_03-12-2012_9_3'!H185,"AAAAAH/7fYg=")</f>
        <v>#VALUE!</v>
      </c>
      <c r="EH12" t="e">
        <f>AND('Planilla_General_03-12-2012_9_3'!I185,"AAAAAH/7fYk=")</f>
        <v>#VALUE!</v>
      </c>
      <c r="EI12" t="e">
        <f>AND('Planilla_General_03-12-2012_9_3'!J185,"AAAAAH/7fYo=")</f>
        <v>#VALUE!</v>
      </c>
      <c r="EJ12" t="e">
        <f>AND('Planilla_General_03-12-2012_9_3'!K185,"AAAAAH/7fYs=")</f>
        <v>#VALUE!</v>
      </c>
      <c r="EK12" t="e">
        <f>AND('Planilla_General_03-12-2012_9_3'!L185,"AAAAAH/7fYw=")</f>
        <v>#VALUE!</v>
      </c>
      <c r="EL12" t="e">
        <f>AND('Planilla_General_03-12-2012_9_3'!M185,"AAAAAH/7fY0=")</f>
        <v>#VALUE!</v>
      </c>
      <c r="EM12" t="e">
        <f>AND('Planilla_General_03-12-2012_9_3'!N185,"AAAAAH/7fY4=")</f>
        <v>#VALUE!</v>
      </c>
      <c r="EN12" t="e">
        <f>AND('Planilla_General_03-12-2012_9_3'!O185,"AAAAAH/7fY8=")</f>
        <v>#VALUE!</v>
      </c>
      <c r="EO12">
        <f>IF('Planilla_General_03-12-2012_9_3'!186:186,"AAAAAH/7fZA=",0)</f>
        <v>0</v>
      </c>
      <c r="EP12" t="e">
        <f>AND('Planilla_General_03-12-2012_9_3'!A186,"AAAAAH/7fZE=")</f>
        <v>#VALUE!</v>
      </c>
      <c r="EQ12" t="e">
        <f>AND('Planilla_General_03-12-2012_9_3'!B186,"AAAAAH/7fZI=")</f>
        <v>#VALUE!</v>
      </c>
      <c r="ER12" t="e">
        <f>AND('Planilla_General_03-12-2012_9_3'!C186,"AAAAAH/7fZM=")</f>
        <v>#VALUE!</v>
      </c>
      <c r="ES12" t="e">
        <f>AND('Planilla_General_03-12-2012_9_3'!D186,"AAAAAH/7fZQ=")</f>
        <v>#VALUE!</v>
      </c>
      <c r="ET12" t="e">
        <f>AND('Planilla_General_03-12-2012_9_3'!E186,"AAAAAH/7fZU=")</f>
        <v>#VALUE!</v>
      </c>
      <c r="EU12" t="e">
        <f>AND('Planilla_General_03-12-2012_9_3'!F186,"AAAAAH/7fZY=")</f>
        <v>#VALUE!</v>
      </c>
      <c r="EV12" t="e">
        <f>AND('Planilla_General_03-12-2012_9_3'!G186,"AAAAAH/7fZc=")</f>
        <v>#VALUE!</v>
      </c>
      <c r="EW12" t="e">
        <f>AND('Planilla_General_03-12-2012_9_3'!H186,"AAAAAH/7fZg=")</f>
        <v>#VALUE!</v>
      </c>
      <c r="EX12" t="e">
        <f>AND('Planilla_General_03-12-2012_9_3'!I186,"AAAAAH/7fZk=")</f>
        <v>#VALUE!</v>
      </c>
      <c r="EY12" t="e">
        <f>AND('Planilla_General_03-12-2012_9_3'!J186,"AAAAAH/7fZo=")</f>
        <v>#VALUE!</v>
      </c>
      <c r="EZ12" t="e">
        <f>AND('Planilla_General_03-12-2012_9_3'!K186,"AAAAAH/7fZs=")</f>
        <v>#VALUE!</v>
      </c>
      <c r="FA12" t="e">
        <f>AND('Planilla_General_03-12-2012_9_3'!L186,"AAAAAH/7fZw=")</f>
        <v>#VALUE!</v>
      </c>
      <c r="FB12" t="e">
        <f>AND('Planilla_General_03-12-2012_9_3'!M186,"AAAAAH/7fZ0=")</f>
        <v>#VALUE!</v>
      </c>
      <c r="FC12" t="e">
        <f>AND('Planilla_General_03-12-2012_9_3'!N186,"AAAAAH/7fZ4=")</f>
        <v>#VALUE!</v>
      </c>
      <c r="FD12" t="e">
        <f>AND('Planilla_General_03-12-2012_9_3'!O186,"AAAAAH/7fZ8=")</f>
        <v>#VALUE!</v>
      </c>
      <c r="FE12">
        <f>IF('Planilla_General_03-12-2012_9_3'!187:187,"AAAAAH/7faA=",0)</f>
        <v>0</v>
      </c>
      <c r="FF12" t="e">
        <f>AND('Planilla_General_03-12-2012_9_3'!A187,"AAAAAH/7faE=")</f>
        <v>#VALUE!</v>
      </c>
      <c r="FG12" t="e">
        <f>AND('Planilla_General_03-12-2012_9_3'!B187,"AAAAAH/7faI=")</f>
        <v>#VALUE!</v>
      </c>
      <c r="FH12" t="e">
        <f>AND('Planilla_General_03-12-2012_9_3'!C187,"AAAAAH/7faM=")</f>
        <v>#VALUE!</v>
      </c>
      <c r="FI12" t="e">
        <f>AND('Planilla_General_03-12-2012_9_3'!D187,"AAAAAH/7faQ=")</f>
        <v>#VALUE!</v>
      </c>
      <c r="FJ12" t="e">
        <f>AND('Planilla_General_03-12-2012_9_3'!E187,"AAAAAH/7faU=")</f>
        <v>#VALUE!</v>
      </c>
      <c r="FK12" t="e">
        <f>AND('Planilla_General_03-12-2012_9_3'!F187,"AAAAAH/7faY=")</f>
        <v>#VALUE!</v>
      </c>
      <c r="FL12" t="e">
        <f>AND('Planilla_General_03-12-2012_9_3'!G187,"AAAAAH/7fac=")</f>
        <v>#VALUE!</v>
      </c>
      <c r="FM12" t="e">
        <f>AND('Planilla_General_03-12-2012_9_3'!H187,"AAAAAH/7fag=")</f>
        <v>#VALUE!</v>
      </c>
      <c r="FN12" t="e">
        <f>AND('Planilla_General_03-12-2012_9_3'!I187,"AAAAAH/7fak=")</f>
        <v>#VALUE!</v>
      </c>
      <c r="FO12" t="e">
        <f>AND('Planilla_General_03-12-2012_9_3'!J187,"AAAAAH/7fao=")</f>
        <v>#VALUE!</v>
      </c>
      <c r="FP12" t="e">
        <f>AND('Planilla_General_03-12-2012_9_3'!K187,"AAAAAH/7fas=")</f>
        <v>#VALUE!</v>
      </c>
      <c r="FQ12" t="e">
        <f>AND('Planilla_General_03-12-2012_9_3'!L187,"AAAAAH/7faw=")</f>
        <v>#VALUE!</v>
      </c>
      <c r="FR12" t="e">
        <f>AND('Planilla_General_03-12-2012_9_3'!M187,"AAAAAH/7fa0=")</f>
        <v>#VALUE!</v>
      </c>
      <c r="FS12" t="e">
        <f>AND('Planilla_General_03-12-2012_9_3'!N187,"AAAAAH/7fa4=")</f>
        <v>#VALUE!</v>
      </c>
      <c r="FT12" t="e">
        <f>AND('Planilla_General_03-12-2012_9_3'!O187,"AAAAAH/7fa8=")</f>
        <v>#VALUE!</v>
      </c>
      <c r="FU12">
        <f>IF('Planilla_General_03-12-2012_9_3'!188:188,"AAAAAH/7fbA=",0)</f>
        <v>0</v>
      </c>
      <c r="FV12" t="e">
        <f>AND('Planilla_General_03-12-2012_9_3'!A188,"AAAAAH/7fbE=")</f>
        <v>#VALUE!</v>
      </c>
      <c r="FW12" t="e">
        <f>AND('Planilla_General_03-12-2012_9_3'!B188,"AAAAAH/7fbI=")</f>
        <v>#VALUE!</v>
      </c>
      <c r="FX12" t="e">
        <f>AND('Planilla_General_03-12-2012_9_3'!C188,"AAAAAH/7fbM=")</f>
        <v>#VALUE!</v>
      </c>
      <c r="FY12" t="e">
        <f>AND('Planilla_General_03-12-2012_9_3'!D188,"AAAAAH/7fbQ=")</f>
        <v>#VALUE!</v>
      </c>
      <c r="FZ12" t="e">
        <f>AND('Planilla_General_03-12-2012_9_3'!E188,"AAAAAH/7fbU=")</f>
        <v>#VALUE!</v>
      </c>
      <c r="GA12" t="e">
        <f>AND('Planilla_General_03-12-2012_9_3'!F188,"AAAAAH/7fbY=")</f>
        <v>#VALUE!</v>
      </c>
      <c r="GB12" t="e">
        <f>AND('Planilla_General_03-12-2012_9_3'!G188,"AAAAAH/7fbc=")</f>
        <v>#VALUE!</v>
      </c>
      <c r="GC12" t="e">
        <f>AND('Planilla_General_03-12-2012_9_3'!H188,"AAAAAH/7fbg=")</f>
        <v>#VALUE!</v>
      </c>
      <c r="GD12" t="e">
        <f>AND('Planilla_General_03-12-2012_9_3'!I188,"AAAAAH/7fbk=")</f>
        <v>#VALUE!</v>
      </c>
      <c r="GE12" t="e">
        <f>AND('Planilla_General_03-12-2012_9_3'!J188,"AAAAAH/7fbo=")</f>
        <v>#VALUE!</v>
      </c>
      <c r="GF12" t="e">
        <f>AND('Planilla_General_03-12-2012_9_3'!K188,"AAAAAH/7fbs=")</f>
        <v>#VALUE!</v>
      </c>
      <c r="GG12" t="e">
        <f>AND('Planilla_General_03-12-2012_9_3'!L188,"AAAAAH/7fbw=")</f>
        <v>#VALUE!</v>
      </c>
      <c r="GH12" t="e">
        <f>AND('Planilla_General_03-12-2012_9_3'!M188,"AAAAAH/7fb0=")</f>
        <v>#VALUE!</v>
      </c>
      <c r="GI12" t="e">
        <f>AND('Planilla_General_03-12-2012_9_3'!N188,"AAAAAH/7fb4=")</f>
        <v>#VALUE!</v>
      </c>
      <c r="GJ12" t="e">
        <f>AND('Planilla_General_03-12-2012_9_3'!O188,"AAAAAH/7fb8=")</f>
        <v>#VALUE!</v>
      </c>
      <c r="GK12">
        <f>IF('Planilla_General_03-12-2012_9_3'!189:189,"AAAAAH/7fcA=",0)</f>
        <v>0</v>
      </c>
      <c r="GL12" t="e">
        <f>AND('Planilla_General_03-12-2012_9_3'!A189,"AAAAAH/7fcE=")</f>
        <v>#VALUE!</v>
      </c>
      <c r="GM12" t="e">
        <f>AND('Planilla_General_03-12-2012_9_3'!B189,"AAAAAH/7fcI=")</f>
        <v>#VALUE!</v>
      </c>
      <c r="GN12" t="e">
        <f>AND('Planilla_General_03-12-2012_9_3'!C189,"AAAAAH/7fcM=")</f>
        <v>#VALUE!</v>
      </c>
      <c r="GO12" t="e">
        <f>AND('Planilla_General_03-12-2012_9_3'!D189,"AAAAAH/7fcQ=")</f>
        <v>#VALUE!</v>
      </c>
      <c r="GP12" t="e">
        <f>AND('Planilla_General_03-12-2012_9_3'!E189,"AAAAAH/7fcU=")</f>
        <v>#VALUE!</v>
      </c>
      <c r="GQ12" t="e">
        <f>AND('Planilla_General_03-12-2012_9_3'!F189,"AAAAAH/7fcY=")</f>
        <v>#VALUE!</v>
      </c>
      <c r="GR12" t="e">
        <f>AND('Planilla_General_03-12-2012_9_3'!G189,"AAAAAH/7fcc=")</f>
        <v>#VALUE!</v>
      </c>
      <c r="GS12" t="e">
        <f>AND('Planilla_General_03-12-2012_9_3'!H189,"AAAAAH/7fcg=")</f>
        <v>#VALUE!</v>
      </c>
      <c r="GT12" t="e">
        <f>AND('Planilla_General_03-12-2012_9_3'!I189,"AAAAAH/7fck=")</f>
        <v>#VALUE!</v>
      </c>
      <c r="GU12" t="e">
        <f>AND('Planilla_General_03-12-2012_9_3'!J189,"AAAAAH/7fco=")</f>
        <v>#VALUE!</v>
      </c>
      <c r="GV12" t="e">
        <f>AND('Planilla_General_03-12-2012_9_3'!K189,"AAAAAH/7fcs=")</f>
        <v>#VALUE!</v>
      </c>
      <c r="GW12" t="e">
        <f>AND('Planilla_General_03-12-2012_9_3'!L189,"AAAAAH/7fcw=")</f>
        <v>#VALUE!</v>
      </c>
      <c r="GX12" t="e">
        <f>AND('Planilla_General_03-12-2012_9_3'!M189,"AAAAAH/7fc0=")</f>
        <v>#VALUE!</v>
      </c>
      <c r="GY12" t="e">
        <f>AND('Planilla_General_03-12-2012_9_3'!N189,"AAAAAH/7fc4=")</f>
        <v>#VALUE!</v>
      </c>
      <c r="GZ12" t="e">
        <f>AND('Planilla_General_03-12-2012_9_3'!O189,"AAAAAH/7fc8=")</f>
        <v>#VALUE!</v>
      </c>
      <c r="HA12">
        <f>IF('Planilla_General_03-12-2012_9_3'!190:190,"AAAAAH/7fdA=",0)</f>
        <v>0</v>
      </c>
      <c r="HB12" t="e">
        <f>AND('Planilla_General_03-12-2012_9_3'!A190,"AAAAAH/7fdE=")</f>
        <v>#VALUE!</v>
      </c>
      <c r="HC12" t="e">
        <f>AND('Planilla_General_03-12-2012_9_3'!B190,"AAAAAH/7fdI=")</f>
        <v>#VALUE!</v>
      </c>
      <c r="HD12" t="e">
        <f>AND('Planilla_General_03-12-2012_9_3'!C190,"AAAAAH/7fdM=")</f>
        <v>#VALUE!</v>
      </c>
      <c r="HE12" t="e">
        <f>AND('Planilla_General_03-12-2012_9_3'!D190,"AAAAAH/7fdQ=")</f>
        <v>#VALUE!</v>
      </c>
      <c r="HF12" t="e">
        <f>AND('Planilla_General_03-12-2012_9_3'!E190,"AAAAAH/7fdU=")</f>
        <v>#VALUE!</v>
      </c>
      <c r="HG12" t="e">
        <f>AND('Planilla_General_03-12-2012_9_3'!F190,"AAAAAH/7fdY=")</f>
        <v>#VALUE!</v>
      </c>
      <c r="HH12" t="e">
        <f>AND('Planilla_General_03-12-2012_9_3'!G190,"AAAAAH/7fdc=")</f>
        <v>#VALUE!</v>
      </c>
      <c r="HI12" t="e">
        <f>AND('Planilla_General_03-12-2012_9_3'!H190,"AAAAAH/7fdg=")</f>
        <v>#VALUE!</v>
      </c>
      <c r="HJ12" t="e">
        <f>AND('Planilla_General_03-12-2012_9_3'!I190,"AAAAAH/7fdk=")</f>
        <v>#VALUE!</v>
      </c>
      <c r="HK12" t="e">
        <f>AND('Planilla_General_03-12-2012_9_3'!J190,"AAAAAH/7fdo=")</f>
        <v>#VALUE!</v>
      </c>
      <c r="HL12" t="e">
        <f>AND('Planilla_General_03-12-2012_9_3'!K190,"AAAAAH/7fds=")</f>
        <v>#VALUE!</v>
      </c>
      <c r="HM12" t="e">
        <f>AND('Planilla_General_03-12-2012_9_3'!L190,"AAAAAH/7fdw=")</f>
        <v>#VALUE!</v>
      </c>
      <c r="HN12" t="e">
        <f>AND('Planilla_General_03-12-2012_9_3'!M190,"AAAAAH/7fd0=")</f>
        <v>#VALUE!</v>
      </c>
      <c r="HO12" t="e">
        <f>AND('Planilla_General_03-12-2012_9_3'!N190,"AAAAAH/7fd4=")</f>
        <v>#VALUE!</v>
      </c>
      <c r="HP12" t="e">
        <f>AND('Planilla_General_03-12-2012_9_3'!O190,"AAAAAH/7fd8=")</f>
        <v>#VALUE!</v>
      </c>
      <c r="HQ12">
        <f>IF('Planilla_General_03-12-2012_9_3'!191:191,"AAAAAH/7feA=",0)</f>
        <v>0</v>
      </c>
      <c r="HR12" t="e">
        <f>AND('Planilla_General_03-12-2012_9_3'!A191,"AAAAAH/7feE=")</f>
        <v>#VALUE!</v>
      </c>
      <c r="HS12" t="e">
        <f>AND('Planilla_General_03-12-2012_9_3'!B191,"AAAAAH/7feI=")</f>
        <v>#VALUE!</v>
      </c>
      <c r="HT12" t="e">
        <f>AND('Planilla_General_03-12-2012_9_3'!C191,"AAAAAH/7feM=")</f>
        <v>#VALUE!</v>
      </c>
      <c r="HU12" t="e">
        <f>AND('Planilla_General_03-12-2012_9_3'!D191,"AAAAAH/7feQ=")</f>
        <v>#VALUE!</v>
      </c>
      <c r="HV12" t="e">
        <f>AND('Planilla_General_03-12-2012_9_3'!E191,"AAAAAH/7feU=")</f>
        <v>#VALUE!</v>
      </c>
      <c r="HW12" t="e">
        <f>AND('Planilla_General_03-12-2012_9_3'!F191,"AAAAAH/7feY=")</f>
        <v>#VALUE!</v>
      </c>
      <c r="HX12" t="e">
        <f>AND('Planilla_General_03-12-2012_9_3'!G191,"AAAAAH/7fec=")</f>
        <v>#VALUE!</v>
      </c>
      <c r="HY12" t="e">
        <f>AND('Planilla_General_03-12-2012_9_3'!H191,"AAAAAH/7feg=")</f>
        <v>#VALUE!</v>
      </c>
      <c r="HZ12" t="e">
        <f>AND('Planilla_General_03-12-2012_9_3'!I191,"AAAAAH/7fek=")</f>
        <v>#VALUE!</v>
      </c>
      <c r="IA12" t="e">
        <f>AND('Planilla_General_03-12-2012_9_3'!J191,"AAAAAH/7feo=")</f>
        <v>#VALUE!</v>
      </c>
      <c r="IB12" t="e">
        <f>AND('Planilla_General_03-12-2012_9_3'!K191,"AAAAAH/7fes=")</f>
        <v>#VALUE!</v>
      </c>
      <c r="IC12" t="e">
        <f>AND('Planilla_General_03-12-2012_9_3'!L191,"AAAAAH/7few=")</f>
        <v>#VALUE!</v>
      </c>
      <c r="ID12" t="e">
        <f>AND('Planilla_General_03-12-2012_9_3'!M191,"AAAAAH/7fe0=")</f>
        <v>#VALUE!</v>
      </c>
      <c r="IE12" t="e">
        <f>AND('Planilla_General_03-12-2012_9_3'!N191,"AAAAAH/7fe4=")</f>
        <v>#VALUE!</v>
      </c>
      <c r="IF12" t="e">
        <f>AND('Planilla_General_03-12-2012_9_3'!O191,"AAAAAH/7fe8=")</f>
        <v>#VALUE!</v>
      </c>
      <c r="IG12">
        <f>IF('Planilla_General_03-12-2012_9_3'!192:192,"AAAAAH/7ffA=",0)</f>
        <v>0</v>
      </c>
      <c r="IH12" t="e">
        <f>AND('Planilla_General_03-12-2012_9_3'!A192,"AAAAAH/7ffE=")</f>
        <v>#VALUE!</v>
      </c>
      <c r="II12" t="e">
        <f>AND('Planilla_General_03-12-2012_9_3'!B192,"AAAAAH/7ffI=")</f>
        <v>#VALUE!</v>
      </c>
      <c r="IJ12" t="e">
        <f>AND('Planilla_General_03-12-2012_9_3'!C192,"AAAAAH/7ffM=")</f>
        <v>#VALUE!</v>
      </c>
      <c r="IK12" t="e">
        <f>AND('Planilla_General_03-12-2012_9_3'!D192,"AAAAAH/7ffQ=")</f>
        <v>#VALUE!</v>
      </c>
      <c r="IL12" t="e">
        <f>AND('Planilla_General_03-12-2012_9_3'!E192,"AAAAAH/7ffU=")</f>
        <v>#VALUE!</v>
      </c>
      <c r="IM12" t="e">
        <f>AND('Planilla_General_03-12-2012_9_3'!F192,"AAAAAH/7ffY=")</f>
        <v>#VALUE!</v>
      </c>
      <c r="IN12" t="e">
        <f>AND('Planilla_General_03-12-2012_9_3'!G192,"AAAAAH/7ffc=")</f>
        <v>#VALUE!</v>
      </c>
      <c r="IO12" t="e">
        <f>AND('Planilla_General_03-12-2012_9_3'!H192,"AAAAAH/7ffg=")</f>
        <v>#VALUE!</v>
      </c>
      <c r="IP12" t="e">
        <f>AND('Planilla_General_03-12-2012_9_3'!I192,"AAAAAH/7ffk=")</f>
        <v>#VALUE!</v>
      </c>
      <c r="IQ12" t="e">
        <f>AND('Planilla_General_03-12-2012_9_3'!J192,"AAAAAH/7ffo=")</f>
        <v>#VALUE!</v>
      </c>
      <c r="IR12" t="e">
        <f>AND('Planilla_General_03-12-2012_9_3'!K192,"AAAAAH/7ffs=")</f>
        <v>#VALUE!</v>
      </c>
      <c r="IS12" t="e">
        <f>AND('Planilla_General_03-12-2012_9_3'!L192,"AAAAAH/7ffw=")</f>
        <v>#VALUE!</v>
      </c>
      <c r="IT12" t="e">
        <f>AND('Planilla_General_03-12-2012_9_3'!M192,"AAAAAH/7ff0=")</f>
        <v>#VALUE!</v>
      </c>
      <c r="IU12" t="e">
        <f>AND('Planilla_General_03-12-2012_9_3'!N192,"AAAAAH/7ff4=")</f>
        <v>#VALUE!</v>
      </c>
      <c r="IV12" t="e">
        <f>AND('Planilla_General_03-12-2012_9_3'!O192,"AAAAAH/7ff8=")</f>
        <v>#VALUE!</v>
      </c>
    </row>
    <row r="13" spans="1:256" x14ac:dyDescent="0.25">
      <c r="A13" t="e">
        <f>IF('Planilla_General_03-12-2012_9_3'!193:193,"AAAAAD/r/AA=",0)</f>
        <v>#VALUE!</v>
      </c>
      <c r="B13" t="e">
        <f>AND('Planilla_General_03-12-2012_9_3'!A193,"AAAAAD/r/AE=")</f>
        <v>#VALUE!</v>
      </c>
      <c r="C13" t="e">
        <f>AND('Planilla_General_03-12-2012_9_3'!B193,"AAAAAD/r/AI=")</f>
        <v>#VALUE!</v>
      </c>
      <c r="D13" t="e">
        <f>AND('Planilla_General_03-12-2012_9_3'!C193,"AAAAAD/r/AM=")</f>
        <v>#VALUE!</v>
      </c>
      <c r="E13" t="e">
        <f>AND('Planilla_General_03-12-2012_9_3'!D193,"AAAAAD/r/AQ=")</f>
        <v>#VALUE!</v>
      </c>
      <c r="F13" t="e">
        <f>AND('Planilla_General_03-12-2012_9_3'!E193,"AAAAAD/r/AU=")</f>
        <v>#VALUE!</v>
      </c>
      <c r="G13" t="e">
        <f>AND('Planilla_General_03-12-2012_9_3'!F193,"AAAAAD/r/AY=")</f>
        <v>#VALUE!</v>
      </c>
      <c r="H13" t="e">
        <f>AND('Planilla_General_03-12-2012_9_3'!G193,"AAAAAD/r/Ac=")</f>
        <v>#VALUE!</v>
      </c>
      <c r="I13" t="e">
        <f>AND('Planilla_General_03-12-2012_9_3'!H193,"AAAAAD/r/Ag=")</f>
        <v>#VALUE!</v>
      </c>
      <c r="J13" t="e">
        <f>AND('Planilla_General_03-12-2012_9_3'!I193,"AAAAAD/r/Ak=")</f>
        <v>#VALUE!</v>
      </c>
      <c r="K13" t="e">
        <f>AND('Planilla_General_03-12-2012_9_3'!J193,"AAAAAD/r/Ao=")</f>
        <v>#VALUE!</v>
      </c>
      <c r="L13" t="e">
        <f>AND('Planilla_General_03-12-2012_9_3'!K193,"AAAAAD/r/As=")</f>
        <v>#VALUE!</v>
      </c>
      <c r="M13" t="e">
        <f>AND('Planilla_General_03-12-2012_9_3'!L193,"AAAAAD/r/Aw=")</f>
        <v>#VALUE!</v>
      </c>
      <c r="N13" t="e">
        <f>AND('Planilla_General_03-12-2012_9_3'!M193,"AAAAAD/r/A0=")</f>
        <v>#VALUE!</v>
      </c>
      <c r="O13" t="e">
        <f>AND('Planilla_General_03-12-2012_9_3'!N193,"AAAAAD/r/A4=")</f>
        <v>#VALUE!</v>
      </c>
      <c r="P13" t="e">
        <f>AND('Planilla_General_03-12-2012_9_3'!O193,"AAAAAD/r/A8=")</f>
        <v>#VALUE!</v>
      </c>
      <c r="Q13">
        <f>IF('Planilla_General_03-12-2012_9_3'!194:194,"AAAAAD/r/BA=",0)</f>
        <v>0</v>
      </c>
      <c r="R13" t="e">
        <f>AND('Planilla_General_03-12-2012_9_3'!A194,"AAAAAD/r/BE=")</f>
        <v>#VALUE!</v>
      </c>
      <c r="S13" t="e">
        <f>AND('Planilla_General_03-12-2012_9_3'!B194,"AAAAAD/r/BI=")</f>
        <v>#VALUE!</v>
      </c>
      <c r="T13" t="e">
        <f>AND('Planilla_General_03-12-2012_9_3'!C194,"AAAAAD/r/BM=")</f>
        <v>#VALUE!</v>
      </c>
      <c r="U13" t="e">
        <f>AND('Planilla_General_03-12-2012_9_3'!D194,"AAAAAD/r/BQ=")</f>
        <v>#VALUE!</v>
      </c>
      <c r="V13" t="e">
        <f>AND('Planilla_General_03-12-2012_9_3'!E194,"AAAAAD/r/BU=")</f>
        <v>#VALUE!</v>
      </c>
      <c r="W13" t="e">
        <f>AND('Planilla_General_03-12-2012_9_3'!F194,"AAAAAD/r/BY=")</f>
        <v>#VALUE!</v>
      </c>
      <c r="X13" t="e">
        <f>AND('Planilla_General_03-12-2012_9_3'!G194,"AAAAAD/r/Bc=")</f>
        <v>#VALUE!</v>
      </c>
      <c r="Y13" t="e">
        <f>AND('Planilla_General_03-12-2012_9_3'!H194,"AAAAAD/r/Bg=")</f>
        <v>#VALUE!</v>
      </c>
      <c r="Z13" t="e">
        <f>AND('Planilla_General_03-12-2012_9_3'!I194,"AAAAAD/r/Bk=")</f>
        <v>#VALUE!</v>
      </c>
      <c r="AA13" t="e">
        <f>AND('Planilla_General_03-12-2012_9_3'!J194,"AAAAAD/r/Bo=")</f>
        <v>#VALUE!</v>
      </c>
      <c r="AB13" t="e">
        <f>AND('Planilla_General_03-12-2012_9_3'!K194,"AAAAAD/r/Bs=")</f>
        <v>#VALUE!</v>
      </c>
      <c r="AC13" t="e">
        <f>AND('Planilla_General_03-12-2012_9_3'!L194,"AAAAAD/r/Bw=")</f>
        <v>#VALUE!</v>
      </c>
      <c r="AD13" t="e">
        <f>AND('Planilla_General_03-12-2012_9_3'!M194,"AAAAAD/r/B0=")</f>
        <v>#VALUE!</v>
      </c>
      <c r="AE13" t="e">
        <f>AND('Planilla_General_03-12-2012_9_3'!N194,"AAAAAD/r/B4=")</f>
        <v>#VALUE!</v>
      </c>
      <c r="AF13" t="e">
        <f>AND('Planilla_General_03-12-2012_9_3'!O194,"AAAAAD/r/B8=")</f>
        <v>#VALUE!</v>
      </c>
      <c r="AG13">
        <f>IF('Planilla_General_03-12-2012_9_3'!195:195,"AAAAAD/r/CA=",0)</f>
        <v>0</v>
      </c>
      <c r="AH13" t="e">
        <f>AND('Planilla_General_03-12-2012_9_3'!A195,"AAAAAD/r/CE=")</f>
        <v>#VALUE!</v>
      </c>
      <c r="AI13" t="e">
        <f>AND('Planilla_General_03-12-2012_9_3'!B195,"AAAAAD/r/CI=")</f>
        <v>#VALUE!</v>
      </c>
      <c r="AJ13" t="e">
        <f>AND('Planilla_General_03-12-2012_9_3'!C195,"AAAAAD/r/CM=")</f>
        <v>#VALUE!</v>
      </c>
      <c r="AK13" t="e">
        <f>AND('Planilla_General_03-12-2012_9_3'!D195,"AAAAAD/r/CQ=")</f>
        <v>#VALUE!</v>
      </c>
      <c r="AL13" t="e">
        <f>AND('Planilla_General_03-12-2012_9_3'!E195,"AAAAAD/r/CU=")</f>
        <v>#VALUE!</v>
      </c>
      <c r="AM13" t="e">
        <f>AND('Planilla_General_03-12-2012_9_3'!F195,"AAAAAD/r/CY=")</f>
        <v>#VALUE!</v>
      </c>
      <c r="AN13" t="e">
        <f>AND('Planilla_General_03-12-2012_9_3'!G195,"AAAAAD/r/Cc=")</f>
        <v>#VALUE!</v>
      </c>
      <c r="AO13" t="e">
        <f>AND('Planilla_General_03-12-2012_9_3'!H195,"AAAAAD/r/Cg=")</f>
        <v>#VALUE!</v>
      </c>
      <c r="AP13" t="e">
        <f>AND('Planilla_General_03-12-2012_9_3'!I195,"AAAAAD/r/Ck=")</f>
        <v>#VALUE!</v>
      </c>
      <c r="AQ13" t="e">
        <f>AND('Planilla_General_03-12-2012_9_3'!J195,"AAAAAD/r/Co=")</f>
        <v>#VALUE!</v>
      </c>
      <c r="AR13" t="e">
        <f>AND('Planilla_General_03-12-2012_9_3'!K195,"AAAAAD/r/Cs=")</f>
        <v>#VALUE!</v>
      </c>
      <c r="AS13" t="e">
        <f>AND('Planilla_General_03-12-2012_9_3'!L195,"AAAAAD/r/Cw=")</f>
        <v>#VALUE!</v>
      </c>
      <c r="AT13" t="e">
        <f>AND('Planilla_General_03-12-2012_9_3'!M195,"AAAAAD/r/C0=")</f>
        <v>#VALUE!</v>
      </c>
      <c r="AU13" t="e">
        <f>AND('Planilla_General_03-12-2012_9_3'!N195,"AAAAAD/r/C4=")</f>
        <v>#VALUE!</v>
      </c>
      <c r="AV13" t="e">
        <f>AND('Planilla_General_03-12-2012_9_3'!O195,"AAAAAD/r/C8=")</f>
        <v>#VALUE!</v>
      </c>
      <c r="AW13">
        <f>IF('Planilla_General_03-12-2012_9_3'!196:196,"AAAAAD/r/DA=",0)</f>
        <v>0</v>
      </c>
      <c r="AX13" t="e">
        <f>AND('Planilla_General_03-12-2012_9_3'!A196,"AAAAAD/r/DE=")</f>
        <v>#VALUE!</v>
      </c>
      <c r="AY13" t="e">
        <f>AND('Planilla_General_03-12-2012_9_3'!B196,"AAAAAD/r/DI=")</f>
        <v>#VALUE!</v>
      </c>
      <c r="AZ13" t="e">
        <f>AND('Planilla_General_03-12-2012_9_3'!C196,"AAAAAD/r/DM=")</f>
        <v>#VALUE!</v>
      </c>
      <c r="BA13" t="e">
        <f>AND('Planilla_General_03-12-2012_9_3'!D196,"AAAAAD/r/DQ=")</f>
        <v>#VALUE!</v>
      </c>
      <c r="BB13" t="e">
        <f>AND('Planilla_General_03-12-2012_9_3'!E196,"AAAAAD/r/DU=")</f>
        <v>#VALUE!</v>
      </c>
      <c r="BC13" t="e">
        <f>AND('Planilla_General_03-12-2012_9_3'!F196,"AAAAAD/r/DY=")</f>
        <v>#VALUE!</v>
      </c>
      <c r="BD13" t="e">
        <f>AND('Planilla_General_03-12-2012_9_3'!G196,"AAAAAD/r/Dc=")</f>
        <v>#VALUE!</v>
      </c>
      <c r="BE13" t="e">
        <f>AND('Planilla_General_03-12-2012_9_3'!H196,"AAAAAD/r/Dg=")</f>
        <v>#VALUE!</v>
      </c>
      <c r="BF13" t="e">
        <f>AND('Planilla_General_03-12-2012_9_3'!I196,"AAAAAD/r/Dk=")</f>
        <v>#VALUE!</v>
      </c>
      <c r="BG13" t="e">
        <f>AND('Planilla_General_03-12-2012_9_3'!J196,"AAAAAD/r/Do=")</f>
        <v>#VALUE!</v>
      </c>
      <c r="BH13" t="e">
        <f>AND('Planilla_General_03-12-2012_9_3'!K196,"AAAAAD/r/Ds=")</f>
        <v>#VALUE!</v>
      </c>
      <c r="BI13" t="e">
        <f>AND('Planilla_General_03-12-2012_9_3'!L196,"AAAAAD/r/Dw=")</f>
        <v>#VALUE!</v>
      </c>
      <c r="BJ13" t="e">
        <f>AND('Planilla_General_03-12-2012_9_3'!M196,"AAAAAD/r/D0=")</f>
        <v>#VALUE!</v>
      </c>
      <c r="BK13" t="e">
        <f>AND('Planilla_General_03-12-2012_9_3'!N196,"AAAAAD/r/D4=")</f>
        <v>#VALUE!</v>
      </c>
      <c r="BL13" t="e">
        <f>AND('Planilla_General_03-12-2012_9_3'!O196,"AAAAAD/r/D8=")</f>
        <v>#VALUE!</v>
      </c>
      <c r="BM13">
        <f>IF('Planilla_General_03-12-2012_9_3'!197:197,"AAAAAD/r/EA=",0)</f>
        <v>0</v>
      </c>
      <c r="BN13" t="e">
        <f>AND('Planilla_General_03-12-2012_9_3'!A197,"AAAAAD/r/EE=")</f>
        <v>#VALUE!</v>
      </c>
      <c r="BO13" t="e">
        <f>AND('Planilla_General_03-12-2012_9_3'!B197,"AAAAAD/r/EI=")</f>
        <v>#VALUE!</v>
      </c>
      <c r="BP13" t="e">
        <f>AND('Planilla_General_03-12-2012_9_3'!C197,"AAAAAD/r/EM=")</f>
        <v>#VALUE!</v>
      </c>
      <c r="BQ13" t="e">
        <f>AND('Planilla_General_03-12-2012_9_3'!D197,"AAAAAD/r/EQ=")</f>
        <v>#VALUE!</v>
      </c>
      <c r="BR13" t="e">
        <f>AND('Planilla_General_03-12-2012_9_3'!E197,"AAAAAD/r/EU=")</f>
        <v>#VALUE!</v>
      </c>
      <c r="BS13" t="e">
        <f>AND('Planilla_General_03-12-2012_9_3'!F197,"AAAAAD/r/EY=")</f>
        <v>#VALUE!</v>
      </c>
      <c r="BT13" t="e">
        <f>AND('Planilla_General_03-12-2012_9_3'!G197,"AAAAAD/r/Ec=")</f>
        <v>#VALUE!</v>
      </c>
      <c r="BU13" t="e">
        <f>AND('Planilla_General_03-12-2012_9_3'!H197,"AAAAAD/r/Eg=")</f>
        <v>#VALUE!</v>
      </c>
      <c r="BV13" t="e">
        <f>AND('Planilla_General_03-12-2012_9_3'!I197,"AAAAAD/r/Ek=")</f>
        <v>#VALUE!</v>
      </c>
      <c r="BW13" t="e">
        <f>AND('Planilla_General_03-12-2012_9_3'!J197,"AAAAAD/r/Eo=")</f>
        <v>#VALUE!</v>
      </c>
      <c r="BX13" t="e">
        <f>AND('Planilla_General_03-12-2012_9_3'!K197,"AAAAAD/r/Es=")</f>
        <v>#VALUE!</v>
      </c>
      <c r="BY13" t="e">
        <f>AND('Planilla_General_03-12-2012_9_3'!L197,"AAAAAD/r/Ew=")</f>
        <v>#VALUE!</v>
      </c>
      <c r="BZ13" t="e">
        <f>AND('Planilla_General_03-12-2012_9_3'!M197,"AAAAAD/r/E0=")</f>
        <v>#VALUE!</v>
      </c>
      <c r="CA13" t="e">
        <f>AND('Planilla_General_03-12-2012_9_3'!N197,"AAAAAD/r/E4=")</f>
        <v>#VALUE!</v>
      </c>
      <c r="CB13" t="e">
        <f>AND('Planilla_General_03-12-2012_9_3'!O197,"AAAAAD/r/E8=")</f>
        <v>#VALUE!</v>
      </c>
      <c r="CC13">
        <f>IF('Planilla_General_03-12-2012_9_3'!198:198,"AAAAAD/r/FA=",0)</f>
        <v>0</v>
      </c>
      <c r="CD13" t="e">
        <f>AND('Planilla_General_03-12-2012_9_3'!A198,"AAAAAD/r/FE=")</f>
        <v>#VALUE!</v>
      </c>
      <c r="CE13" t="e">
        <f>AND('Planilla_General_03-12-2012_9_3'!B198,"AAAAAD/r/FI=")</f>
        <v>#VALUE!</v>
      </c>
      <c r="CF13" t="e">
        <f>AND('Planilla_General_03-12-2012_9_3'!C198,"AAAAAD/r/FM=")</f>
        <v>#VALUE!</v>
      </c>
      <c r="CG13" t="e">
        <f>AND('Planilla_General_03-12-2012_9_3'!D198,"AAAAAD/r/FQ=")</f>
        <v>#VALUE!</v>
      </c>
      <c r="CH13" t="e">
        <f>AND('Planilla_General_03-12-2012_9_3'!E198,"AAAAAD/r/FU=")</f>
        <v>#VALUE!</v>
      </c>
      <c r="CI13" t="e">
        <f>AND('Planilla_General_03-12-2012_9_3'!F198,"AAAAAD/r/FY=")</f>
        <v>#VALUE!</v>
      </c>
      <c r="CJ13" t="e">
        <f>AND('Planilla_General_03-12-2012_9_3'!G198,"AAAAAD/r/Fc=")</f>
        <v>#VALUE!</v>
      </c>
      <c r="CK13" t="e">
        <f>AND('Planilla_General_03-12-2012_9_3'!H198,"AAAAAD/r/Fg=")</f>
        <v>#VALUE!</v>
      </c>
      <c r="CL13" t="e">
        <f>AND('Planilla_General_03-12-2012_9_3'!I198,"AAAAAD/r/Fk=")</f>
        <v>#VALUE!</v>
      </c>
      <c r="CM13" t="e">
        <f>AND('Planilla_General_03-12-2012_9_3'!J198,"AAAAAD/r/Fo=")</f>
        <v>#VALUE!</v>
      </c>
      <c r="CN13" t="e">
        <f>AND('Planilla_General_03-12-2012_9_3'!K198,"AAAAAD/r/Fs=")</f>
        <v>#VALUE!</v>
      </c>
      <c r="CO13" t="e">
        <f>AND('Planilla_General_03-12-2012_9_3'!L198,"AAAAAD/r/Fw=")</f>
        <v>#VALUE!</v>
      </c>
      <c r="CP13" t="e">
        <f>AND('Planilla_General_03-12-2012_9_3'!M198,"AAAAAD/r/F0=")</f>
        <v>#VALUE!</v>
      </c>
      <c r="CQ13" t="e">
        <f>AND('Planilla_General_03-12-2012_9_3'!N198,"AAAAAD/r/F4=")</f>
        <v>#VALUE!</v>
      </c>
      <c r="CR13" t="e">
        <f>AND('Planilla_General_03-12-2012_9_3'!O198,"AAAAAD/r/F8=")</f>
        <v>#VALUE!</v>
      </c>
      <c r="CS13">
        <f>IF('Planilla_General_03-12-2012_9_3'!199:199,"AAAAAD/r/GA=",0)</f>
        <v>0</v>
      </c>
      <c r="CT13" t="e">
        <f>AND('Planilla_General_03-12-2012_9_3'!A199,"AAAAAD/r/GE=")</f>
        <v>#VALUE!</v>
      </c>
      <c r="CU13" t="e">
        <f>AND('Planilla_General_03-12-2012_9_3'!B199,"AAAAAD/r/GI=")</f>
        <v>#VALUE!</v>
      </c>
      <c r="CV13" t="e">
        <f>AND('Planilla_General_03-12-2012_9_3'!C199,"AAAAAD/r/GM=")</f>
        <v>#VALUE!</v>
      </c>
      <c r="CW13" t="e">
        <f>AND('Planilla_General_03-12-2012_9_3'!D199,"AAAAAD/r/GQ=")</f>
        <v>#VALUE!</v>
      </c>
      <c r="CX13" t="e">
        <f>AND('Planilla_General_03-12-2012_9_3'!E199,"AAAAAD/r/GU=")</f>
        <v>#VALUE!</v>
      </c>
      <c r="CY13" t="e">
        <f>AND('Planilla_General_03-12-2012_9_3'!F199,"AAAAAD/r/GY=")</f>
        <v>#VALUE!</v>
      </c>
      <c r="CZ13" t="e">
        <f>AND('Planilla_General_03-12-2012_9_3'!G199,"AAAAAD/r/Gc=")</f>
        <v>#VALUE!</v>
      </c>
      <c r="DA13" t="e">
        <f>AND('Planilla_General_03-12-2012_9_3'!H199,"AAAAAD/r/Gg=")</f>
        <v>#VALUE!</v>
      </c>
      <c r="DB13" t="e">
        <f>AND('Planilla_General_03-12-2012_9_3'!I199,"AAAAAD/r/Gk=")</f>
        <v>#VALUE!</v>
      </c>
      <c r="DC13" t="e">
        <f>AND('Planilla_General_03-12-2012_9_3'!J199,"AAAAAD/r/Go=")</f>
        <v>#VALUE!</v>
      </c>
      <c r="DD13" t="e">
        <f>AND('Planilla_General_03-12-2012_9_3'!K199,"AAAAAD/r/Gs=")</f>
        <v>#VALUE!</v>
      </c>
      <c r="DE13" t="e">
        <f>AND('Planilla_General_03-12-2012_9_3'!L199,"AAAAAD/r/Gw=")</f>
        <v>#VALUE!</v>
      </c>
      <c r="DF13" t="e">
        <f>AND('Planilla_General_03-12-2012_9_3'!M199,"AAAAAD/r/G0=")</f>
        <v>#VALUE!</v>
      </c>
      <c r="DG13" t="e">
        <f>AND('Planilla_General_03-12-2012_9_3'!N199,"AAAAAD/r/G4=")</f>
        <v>#VALUE!</v>
      </c>
      <c r="DH13" t="e">
        <f>AND('Planilla_General_03-12-2012_9_3'!O199,"AAAAAD/r/G8=")</f>
        <v>#VALUE!</v>
      </c>
      <c r="DI13">
        <f>IF('Planilla_General_03-12-2012_9_3'!200:200,"AAAAAD/r/HA=",0)</f>
        <v>0</v>
      </c>
      <c r="DJ13" t="e">
        <f>AND('Planilla_General_03-12-2012_9_3'!A200,"AAAAAD/r/HE=")</f>
        <v>#VALUE!</v>
      </c>
      <c r="DK13" t="e">
        <f>AND('Planilla_General_03-12-2012_9_3'!B200,"AAAAAD/r/HI=")</f>
        <v>#VALUE!</v>
      </c>
      <c r="DL13" t="e">
        <f>AND('Planilla_General_03-12-2012_9_3'!C200,"AAAAAD/r/HM=")</f>
        <v>#VALUE!</v>
      </c>
      <c r="DM13" t="e">
        <f>AND('Planilla_General_03-12-2012_9_3'!D200,"AAAAAD/r/HQ=")</f>
        <v>#VALUE!</v>
      </c>
      <c r="DN13" t="e">
        <f>AND('Planilla_General_03-12-2012_9_3'!E200,"AAAAAD/r/HU=")</f>
        <v>#VALUE!</v>
      </c>
      <c r="DO13" t="e">
        <f>AND('Planilla_General_03-12-2012_9_3'!F200,"AAAAAD/r/HY=")</f>
        <v>#VALUE!</v>
      </c>
      <c r="DP13" t="e">
        <f>AND('Planilla_General_03-12-2012_9_3'!G200,"AAAAAD/r/Hc=")</f>
        <v>#VALUE!</v>
      </c>
      <c r="DQ13" t="e">
        <f>AND('Planilla_General_03-12-2012_9_3'!H200,"AAAAAD/r/Hg=")</f>
        <v>#VALUE!</v>
      </c>
      <c r="DR13" t="e">
        <f>AND('Planilla_General_03-12-2012_9_3'!I200,"AAAAAD/r/Hk=")</f>
        <v>#VALUE!</v>
      </c>
      <c r="DS13" t="e">
        <f>AND('Planilla_General_03-12-2012_9_3'!J200,"AAAAAD/r/Ho=")</f>
        <v>#VALUE!</v>
      </c>
      <c r="DT13" t="e">
        <f>AND('Planilla_General_03-12-2012_9_3'!K200,"AAAAAD/r/Hs=")</f>
        <v>#VALUE!</v>
      </c>
      <c r="DU13" t="e">
        <f>AND('Planilla_General_03-12-2012_9_3'!L200,"AAAAAD/r/Hw=")</f>
        <v>#VALUE!</v>
      </c>
      <c r="DV13" t="e">
        <f>AND('Planilla_General_03-12-2012_9_3'!M200,"AAAAAD/r/H0=")</f>
        <v>#VALUE!</v>
      </c>
      <c r="DW13" t="e">
        <f>AND('Planilla_General_03-12-2012_9_3'!N200,"AAAAAD/r/H4=")</f>
        <v>#VALUE!</v>
      </c>
      <c r="DX13" t="e">
        <f>AND('Planilla_General_03-12-2012_9_3'!O200,"AAAAAD/r/H8=")</f>
        <v>#VALUE!</v>
      </c>
      <c r="DY13">
        <f>IF('Planilla_General_03-12-2012_9_3'!201:201,"AAAAAD/r/IA=",0)</f>
        <v>0</v>
      </c>
      <c r="DZ13" t="e">
        <f>AND('Planilla_General_03-12-2012_9_3'!A201,"AAAAAD/r/IE=")</f>
        <v>#VALUE!</v>
      </c>
      <c r="EA13" t="e">
        <f>AND('Planilla_General_03-12-2012_9_3'!B201,"AAAAAD/r/II=")</f>
        <v>#VALUE!</v>
      </c>
      <c r="EB13" t="e">
        <f>AND('Planilla_General_03-12-2012_9_3'!C201,"AAAAAD/r/IM=")</f>
        <v>#VALUE!</v>
      </c>
      <c r="EC13" t="e">
        <f>AND('Planilla_General_03-12-2012_9_3'!D201,"AAAAAD/r/IQ=")</f>
        <v>#VALUE!</v>
      </c>
      <c r="ED13" t="e">
        <f>AND('Planilla_General_03-12-2012_9_3'!E201,"AAAAAD/r/IU=")</f>
        <v>#VALUE!</v>
      </c>
      <c r="EE13" t="e">
        <f>AND('Planilla_General_03-12-2012_9_3'!F201,"AAAAAD/r/IY=")</f>
        <v>#VALUE!</v>
      </c>
      <c r="EF13" t="e">
        <f>AND('Planilla_General_03-12-2012_9_3'!G201,"AAAAAD/r/Ic=")</f>
        <v>#VALUE!</v>
      </c>
      <c r="EG13" t="e">
        <f>AND('Planilla_General_03-12-2012_9_3'!H201,"AAAAAD/r/Ig=")</f>
        <v>#VALUE!</v>
      </c>
      <c r="EH13" t="e">
        <f>AND('Planilla_General_03-12-2012_9_3'!I201,"AAAAAD/r/Ik=")</f>
        <v>#VALUE!</v>
      </c>
      <c r="EI13" t="e">
        <f>AND('Planilla_General_03-12-2012_9_3'!J201,"AAAAAD/r/Io=")</f>
        <v>#VALUE!</v>
      </c>
      <c r="EJ13" t="e">
        <f>AND('Planilla_General_03-12-2012_9_3'!K201,"AAAAAD/r/Is=")</f>
        <v>#VALUE!</v>
      </c>
      <c r="EK13" t="e">
        <f>AND('Planilla_General_03-12-2012_9_3'!L201,"AAAAAD/r/Iw=")</f>
        <v>#VALUE!</v>
      </c>
      <c r="EL13" t="e">
        <f>AND('Planilla_General_03-12-2012_9_3'!M201,"AAAAAD/r/I0=")</f>
        <v>#VALUE!</v>
      </c>
      <c r="EM13" t="e">
        <f>AND('Planilla_General_03-12-2012_9_3'!N201,"AAAAAD/r/I4=")</f>
        <v>#VALUE!</v>
      </c>
      <c r="EN13" t="e">
        <f>AND('Planilla_General_03-12-2012_9_3'!O201,"AAAAAD/r/I8=")</f>
        <v>#VALUE!</v>
      </c>
      <c r="EO13">
        <f>IF('Planilla_General_03-12-2012_9_3'!202:202,"AAAAAD/r/JA=",0)</f>
        <v>0</v>
      </c>
      <c r="EP13" t="e">
        <f>AND('Planilla_General_03-12-2012_9_3'!A202,"AAAAAD/r/JE=")</f>
        <v>#VALUE!</v>
      </c>
      <c r="EQ13" t="e">
        <f>AND('Planilla_General_03-12-2012_9_3'!B202,"AAAAAD/r/JI=")</f>
        <v>#VALUE!</v>
      </c>
      <c r="ER13" t="e">
        <f>AND('Planilla_General_03-12-2012_9_3'!C202,"AAAAAD/r/JM=")</f>
        <v>#VALUE!</v>
      </c>
      <c r="ES13" t="e">
        <f>AND('Planilla_General_03-12-2012_9_3'!D202,"AAAAAD/r/JQ=")</f>
        <v>#VALUE!</v>
      </c>
      <c r="ET13" t="e">
        <f>AND('Planilla_General_03-12-2012_9_3'!E202,"AAAAAD/r/JU=")</f>
        <v>#VALUE!</v>
      </c>
      <c r="EU13" t="e">
        <f>AND('Planilla_General_03-12-2012_9_3'!F202,"AAAAAD/r/JY=")</f>
        <v>#VALUE!</v>
      </c>
      <c r="EV13" t="e">
        <f>AND('Planilla_General_03-12-2012_9_3'!G202,"AAAAAD/r/Jc=")</f>
        <v>#VALUE!</v>
      </c>
      <c r="EW13" t="e">
        <f>AND('Planilla_General_03-12-2012_9_3'!H202,"AAAAAD/r/Jg=")</f>
        <v>#VALUE!</v>
      </c>
      <c r="EX13" t="e">
        <f>AND('Planilla_General_03-12-2012_9_3'!I202,"AAAAAD/r/Jk=")</f>
        <v>#VALUE!</v>
      </c>
      <c r="EY13" t="e">
        <f>AND('Planilla_General_03-12-2012_9_3'!J202,"AAAAAD/r/Jo=")</f>
        <v>#VALUE!</v>
      </c>
      <c r="EZ13" t="e">
        <f>AND('Planilla_General_03-12-2012_9_3'!K202,"AAAAAD/r/Js=")</f>
        <v>#VALUE!</v>
      </c>
      <c r="FA13" t="e">
        <f>AND('Planilla_General_03-12-2012_9_3'!L202,"AAAAAD/r/Jw=")</f>
        <v>#VALUE!</v>
      </c>
      <c r="FB13" t="e">
        <f>AND('Planilla_General_03-12-2012_9_3'!M202,"AAAAAD/r/J0=")</f>
        <v>#VALUE!</v>
      </c>
      <c r="FC13" t="e">
        <f>AND('Planilla_General_03-12-2012_9_3'!N202,"AAAAAD/r/J4=")</f>
        <v>#VALUE!</v>
      </c>
      <c r="FD13" t="e">
        <f>AND('Planilla_General_03-12-2012_9_3'!O202,"AAAAAD/r/J8=")</f>
        <v>#VALUE!</v>
      </c>
      <c r="FE13">
        <f>IF('Planilla_General_03-12-2012_9_3'!203:203,"AAAAAD/r/KA=",0)</f>
        <v>0</v>
      </c>
      <c r="FF13" t="e">
        <f>AND('Planilla_General_03-12-2012_9_3'!A203,"AAAAAD/r/KE=")</f>
        <v>#VALUE!</v>
      </c>
      <c r="FG13" t="e">
        <f>AND('Planilla_General_03-12-2012_9_3'!B203,"AAAAAD/r/KI=")</f>
        <v>#VALUE!</v>
      </c>
      <c r="FH13" t="e">
        <f>AND('Planilla_General_03-12-2012_9_3'!C203,"AAAAAD/r/KM=")</f>
        <v>#VALUE!</v>
      </c>
      <c r="FI13" t="e">
        <f>AND('Planilla_General_03-12-2012_9_3'!D203,"AAAAAD/r/KQ=")</f>
        <v>#VALUE!</v>
      </c>
      <c r="FJ13" t="e">
        <f>AND('Planilla_General_03-12-2012_9_3'!E203,"AAAAAD/r/KU=")</f>
        <v>#VALUE!</v>
      </c>
      <c r="FK13" t="e">
        <f>AND('Planilla_General_03-12-2012_9_3'!F203,"AAAAAD/r/KY=")</f>
        <v>#VALUE!</v>
      </c>
      <c r="FL13" t="e">
        <f>AND('Planilla_General_03-12-2012_9_3'!G203,"AAAAAD/r/Kc=")</f>
        <v>#VALUE!</v>
      </c>
      <c r="FM13" t="e">
        <f>AND('Planilla_General_03-12-2012_9_3'!H203,"AAAAAD/r/Kg=")</f>
        <v>#VALUE!</v>
      </c>
      <c r="FN13" t="e">
        <f>AND('Planilla_General_03-12-2012_9_3'!I203,"AAAAAD/r/Kk=")</f>
        <v>#VALUE!</v>
      </c>
      <c r="FO13" t="e">
        <f>AND('Planilla_General_03-12-2012_9_3'!J203,"AAAAAD/r/Ko=")</f>
        <v>#VALUE!</v>
      </c>
      <c r="FP13" t="e">
        <f>AND('Planilla_General_03-12-2012_9_3'!K203,"AAAAAD/r/Ks=")</f>
        <v>#VALUE!</v>
      </c>
      <c r="FQ13" t="e">
        <f>AND('Planilla_General_03-12-2012_9_3'!L203,"AAAAAD/r/Kw=")</f>
        <v>#VALUE!</v>
      </c>
      <c r="FR13" t="e">
        <f>AND('Planilla_General_03-12-2012_9_3'!M203,"AAAAAD/r/K0=")</f>
        <v>#VALUE!</v>
      </c>
      <c r="FS13" t="e">
        <f>AND('Planilla_General_03-12-2012_9_3'!N203,"AAAAAD/r/K4=")</f>
        <v>#VALUE!</v>
      </c>
      <c r="FT13" t="e">
        <f>AND('Planilla_General_03-12-2012_9_3'!O203,"AAAAAD/r/K8=")</f>
        <v>#VALUE!</v>
      </c>
      <c r="FU13">
        <f>IF('Planilla_General_03-12-2012_9_3'!204:204,"AAAAAD/r/LA=",0)</f>
        <v>0</v>
      </c>
      <c r="FV13" t="e">
        <f>AND('Planilla_General_03-12-2012_9_3'!A204,"AAAAAD/r/LE=")</f>
        <v>#VALUE!</v>
      </c>
      <c r="FW13" t="e">
        <f>AND('Planilla_General_03-12-2012_9_3'!B204,"AAAAAD/r/LI=")</f>
        <v>#VALUE!</v>
      </c>
      <c r="FX13" t="e">
        <f>AND('Planilla_General_03-12-2012_9_3'!C204,"AAAAAD/r/LM=")</f>
        <v>#VALUE!</v>
      </c>
      <c r="FY13" t="e">
        <f>AND('Planilla_General_03-12-2012_9_3'!D204,"AAAAAD/r/LQ=")</f>
        <v>#VALUE!</v>
      </c>
      <c r="FZ13" t="e">
        <f>AND('Planilla_General_03-12-2012_9_3'!E204,"AAAAAD/r/LU=")</f>
        <v>#VALUE!</v>
      </c>
      <c r="GA13" t="e">
        <f>AND('Planilla_General_03-12-2012_9_3'!F204,"AAAAAD/r/LY=")</f>
        <v>#VALUE!</v>
      </c>
      <c r="GB13" t="e">
        <f>AND('Planilla_General_03-12-2012_9_3'!G204,"AAAAAD/r/Lc=")</f>
        <v>#VALUE!</v>
      </c>
      <c r="GC13" t="e">
        <f>AND('Planilla_General_03-12-2012_9_3'!H204,"AAAAAD/r/Lg=")</f>
        <v>#VALUE!</v>
      </c>
      <c r="GD13" t="e">
        <f>AND('Planilla_General_03-12-2012_9_3'!I204,"AAAAAD/r/Lk=")</f>
        <v>#VALUE!</v>
      </c>
      <c r="GE13" t="e">
        <f>AND('Planilla_General_03-12-2012_9_3'!J204,"AAAAAD/r/Lo=")</f>
        <v>#VALUE!</v>
      </c>
      <c r="GF13" t="e">
        <f>AND('Planilla_General_03-12-2012_9_3'!K204,"AAAAAD/r/Ls=")</f>
        <v>#VALUE!</v>
      </c>
      <c r="GG13" t="e">
        <f>AND('Planilla_General_03-12-2012_9_3'!L204,"AAAAAD/r/Lw=")</f>
        <v>#VALUE!</v>
      </c>
      <c r="GH13" t="e">
        <f>AND('Planilla_General_03-12-2012_9_3'!M204,"AAAAAD/r/L0=")</f>
        <v>#VALUE!</v>
      </c>
      <c r="GI13" t="e">
        <f>AND('Planilla_General_03-12-2012_9_3'!N204,"AAAAAD/r/L4=")</f>
        <v>#VALUE!</v>
      </c>
      <c r="GJ13" t="e">
        <f>AND('Planilla_General_03-12-2012_9_3'!O204,"AAAAAD/r/L8=")</f>
        <v>#VALUE!</v>
      </c>
      <c r="GK13">
        <f>IF('Planilla_General_03-12-2012_9_3'!205:205,"AAAAAD/r/MA=",0)</f>
        <v>0</v>
      </c>
      <c r="GL13" t="e">
        <f>AND('Planilla_General_03-12-2012_9_3'!A205,"AAAAAD/r/ME=")</f>
        <v>#VALUE!</v>
      </c>
      <c r="GM13" t="e">
        <f>AND('Planilla_General_03-12-2012_9_3'!B205,"AAAAAD/r/MI=")</f>
        <v>#VALUE!</v>
      </c>
      <c r="GN13" t="e">
        <f>AND('Planilla_General_03-12-2012_9_3'!C205,"AAAAAD/r/MM=")</f>
        <v>#VALUE!</v>
      </c>
      <c r="GO13" t="e">
        <f>AND('Planilla_General_03-12-2012_9_3'!D205,"AAAAAD/r/MQ=")</f>
        <v>#VALUE!</v>
      </c>
      <c r="GP13" t="e">
        <f>AND('Planilla_General_03-12-2012_9_3'!E205,"AAAAAD/r/MU=")</f>
        <v>#VALUE!</v>
      </c>
      <c r="GQ13" t="e">
        <f>AND('Planilla_General_03-12-2012_9_3'!F205,"AAAAAD/r/MY=")</f>
        <v>#VALUE!</v>
      </c>
      <c r="GR13" t="e">
        <f>AND('Planilla_General_03-12-2012_9_3'!G205,"AAAAAD/r/Mc=")</f>
        <v>#VALUE!</v>
      </c>
      <c r="GS13" t="e">
        <f>AND('Planilla_General_03-12-2012_9_3'!H205,"AAAAAD/r/Mg=")</f>
        <v>#VALUE!</v>
      </c>
      <c r="GT13" t="e">
        <f>AND('Planilla_General_03-12-2012_9_3'!I205,"AAAAAD/r/Mk=")</f>
        <v>#VALUE!</v>
      </c>
      <c r="GU13" t="e">
        <f>AND('Planilla_General_03-12-2012_9_3'!J205,"AAAAAD/r/Mo=")</f>
        <v>#VALUE!</v>
      </c>
      <c r="GV13" t="e">
        <f>AND('Planilla_General_03-12-2012_9_3'!K205,"AAAAAD/r/Ms=")</f>
        <v>#VALUE!</v>
      </c>
      <c r="GW13" t="e">
        <f>AND('Planilla_General_03-12-2012_9_3'!L205,"AAAAAD/r/Mw=")</f>
        <v>#VALUE!</v>
      </c>
      <c r="GX13" t="e">
        <f>AND('Planilla_General_03-12-2012_9_3'!M205,"AAAAAD/r/M0=")</f>
        <v>#VALUE!</v>
      </c>
      <c r="GY13" t="e">
        <f>AND('Planilla_General_03-12-2012_9_3'!N205,"AAAAAD/r/M4=")</f>
        <v>#VALUE!</v>
      </c>
      <c r="GZ13" t="e">
        <f>AND('Planilla_General_03-12-2012_9_3'!O205,"AAAAAD/r/M8=")</f>
        <v>#VALUE!</v>
      </c>
      <c r="HA13">
        <f>IF('Planilla_General_03-12-2012_9_3'!206:206,"AAAAAD/r/NA=",0)</f>
        <v>0</v>
      </c>
      <c r="HB13" t="e">
        <f>AND('Planilla_General_03-12-2012_9_3'!A206,"AAAAAD/r/NE=")</f>
        <v>#VALUE!</v>
      </c>
      <c r="HC13" t="e">
        <f>AND('Planilla_General_03-12-2012_9_3'!B206,"AAAAAD/r/NI=")</f>
        <v>#VALUE!</v>
      </c>
      <c r="HD13" t="e">
        <f>AND('Planilla_General_03-12-2012_9_3'!C206,"AAAAAD/r/NM=")</f>
        <v>#VALUE!</v>
      </c>
      <c r="HE13" t="e">
        <f>AND('Planilla_General_03-12-2012_9_3'!D206,"AAAAAD/r/NQ=")</f>
        <v>#VALUE!</v>
      </c>
      <c r="HF13" t="e">
        <f>AND('Planilla_General_03-12-2012_9_3'!E206,"AAAAAD/r/NU=")</f>
        <v>#VALUE!</v>
      </c>
      <c r="HG13" t="e">
        <f>AND('Planilla_General_03-12-2012_9_3'!F206,"AAAAAD/r/NY=")</f>
        <v>#VALUE!</v>
      </c>
      <c r="HH13" t="e">
        <f>AND('Planilla_General_03-12-2012_9_3'!G206,"AAAAAD/r/Nc=")</f>
        <v>#VALUE!</v>
      </c>
      <c r="HI13" t="e">
        <f>AND('Planilla_General_03-12-2012_9_3'!H206,"AAAAAD/r/Ng=")</f>
        <v>#VALUE!</v>
      </c>
      <c r="HJ13" t="e">
        <f>AND('Planilla_General_03-12-2012_9_3'!I206,"AAAAAD/r/Nk=")</f>
        <v>#VALUE!</v>
      </c>
      <c r="HK13" t="e">
        <f>AND('Planilla_General_03-12-2012_9_3'!J206,"AAAAAD/r/No=")</f>
        <v>#VALUE!</v>
      </c>
      <c r="HL13" t="e">
        <f>AND('Planilla_General_03-12-2012_9_3'!K206,"AAAAAD/r/Ns=")</f>
        <v>#VALUE!</v>
      </c>
      <c r="HM13" t="e">
        <f>AND('Planilla_General_03-12-2012_9_3'!L206,"AAAAAD/r/Nw=")</f>
        <v>#VALUE!</v>
      </c>
      <c r="HN13" t="e">
        <f>AND('Planilla_General_03-12-2012_9_3'!M206,"AAAAAD/r/N0=")</f>
        <v>#VALUE!</v>
      </c>
      <c r="HO13" t="e">
        <f>AND('Planilla_General_03-12-2012_9_3'!N206,"AAAAAD/r/N4=")</f>
        <v>#VALUE!</v>
      </c>
      <c r="HP13" t="e">
        <f>AND('Planilla_General_03-12-2012_9_3'!O206,"AAAAAD/r/N8=")</f>
        <v>#VALUE!</v>
      </c>
      <c r="HQ13">
        <f>IF('Planilla_General_03-12-2012_9_3'!207:207,"AAAAAD/r/OA=",0)</f>
        <v>0</v>
      </c>
      <c r="HR13" t="e">
        <f>AND('Planilla_General_03-12-2012_9_3'!A207,"AAAAAD/r/OE=")</f>
        <v>#VALUE!</v>
      </c>
      <c r="HS13" t="e">
        <f>AND('Planilla_General_03-12-2012_9_3'!B207,"AAAAAD/r/OI=")</f>
        <v>#VALUE!</v>
      </c>
      <c r="HT13" t="e">
        <f>AND('Planilla_General_03-12-2012_9_3'!C207,"AAAAAD/r/OM=")</f>
        <v>#VALUE!</v>
      </c>
      <c r="HU13" t="e">
        <f>AND('Planilla_General_03-12-2012_9_3'!D207,"AAAAAD/r/OQ=")</f>
        <v>#VALUE!</v>
      </c>
      <c r="HV13" t="e">
        <f>AND('Planilla_General_03-12-2012_9_3'!E207,"AAAAAD/r/OU=")</f>
        <v>#VALUE!</v>
      </c>
      <c r="HW13" t="e">
        <f>AND('Planilla_General_03-12-2012_9_3'!F207,"AAAAAD/r/OY=")</f>
        <v>#VALUE!</v>
      </c>
      <c r="HX13" t="e">
        <f>AND('Planilla_General_03-12-2012_9_3'!G207,"AAAAAD/r/Oc=")</f>
        <v>#VALUE!</v>
      </c>
      <c r="HY13" t="e">
        <f>AND('Planilla_General_03-12-2012_9_3'!H207,"AAAAAD/r/Og=")</f>
        <v>#VALUE!</v>
      </c>
      <c r="HZ13" t="e">
        <f>AND('Planilla_General_03-12-2012_9_3'!I207,"AAAAAD/r/Ok=")</f>
        <v>#VALUE!</v>
      </c>
      <c r="IA13" t="e">
        <f>AND('Planilla_General_03-12-2012_9_3'!J207,"AAAAAD/r/Oo=")</f>
        <v>#VALUE!</v>
      </c>
      <c r="IB13" t="e">
        <f>AND('Planilla_General_03-12-2012_9_3'!K207,"AAAAAD/r/Os=")</f>
        <v>#VALUE!</v>
      </c>
      <c r="IC13" t="e">
        <f>AND('Planilla_General_03-12-2012_9_3'!L207,"AAAAAD/r/Ow=")</f>
        <v>#VALUE!</v>
      </c>
      <c r="ID13" t="e">
        <f>AND('Planilla_General_03-12-2012_9_3'!M207,"AAAAAD/r/O0=")</f>
        <v>#VALUE!</v>
      </c>
      <c r="IE13" t="e">
        <f>AND('Planilla_General_03-12-2012_9_3'!N207,"AAAAAD/r/O4=")</f>
        <v>#VALUE!</v>
      </c>
      <c r="IF13" t="e">
        <f>AND('Planilla_General_03-12-2012_9_3'!O207,"AAAAAD/r/O8=")</f>
        <v>#VALUE!</v>
      </c>
      <c r="IG13">
        <f>IF('Planilla_General_03-12-2012_9_3'!208:208,"AAAAAD/r/PA=",0)</f>
        <v>0</v>
      </c>
      <c r="IH13" t="e">
        <f>AND('Planilla_General_03-12-2012_9_3'!A208,"AAAAAD/r/PE=")</f>
        <v>#VALUE!</v>
      </c>
      <c r="II13" t="e">
        <f>AND('Planilla_General_03-12-2012_9_3'!B208,"AAAAAD/r/PI=")</f>
        <v>#VALUE!</v>
      </c>
      <c r="IJ13" t="e">
        <f>AND('Planilla_General_03-12-2012_9_3'!C208,"AAAAAD/r/PM=")</f>
        <v>#VALUE!</v>
      </c>
      <c r="IK13" t="e">
        <f>AND('Planilla_General_03-12-2012_9_3'!D208,"AAAAAD/r/PQ=")</f>
        <v>#VALUE!</v>
      </c>
      <c r="IL13" t="e">
        <f>AND('Planilla_General_03-12-2012_9_3'!E208,"AAAAAD/r/PU=")</f>
        <v>#VALUE!</v>
      </c>
      <c r="IM13" t="e">
        <f>AND('Planilla_General_03-12-2012_9_3'!F208,"AAAAAD/r/PY=")</f>
        <v>#VALUE!</v>
      </c>
      <c r="IN13" t="e">
        <f>AND('Planilla_General_03-12-2012_9_3'!G208,"AAAAAD/r/Pc=")</f>
        <v>#VALUE!</v>
      </c>
      <c r="IO13" t="e">
        <f>AND('Planilla_General_03-12-2012_9_3'!H208,"AAAAAD/r/Pg=")</f>
        <v>#VALUE!</v>
      </c>
      <c r="IP13" t="e">
        <f>AND('Planilla_General_03-12-2012_9_3'!I208,"AAAAAD/r/Pk=")</f>
        <v>#VALUE!</v>
      </c>
      <c r="IQ13" t="e">
        <f>AND('Planilla_General_03-12-2012_9_3'!J208,"AAAAAD/r/Po=")</f>
        <v>#VALUE!</v>
      </c>
      <c r="IR13" t="e">
        <f>AND('Planilla_General_03-12-2012_9_3'!K208,"AAAAAD/r/Ps=")</f>
        <v>#VALUE!</v>
      </c>
      <c r="IS13" t="e">
        <f>AND('Planilla_General_03-12-2012_9_3'!L208,"AAAAAD/r/Pw=")</f>
        <v>#VALUE!</v>
      </c>
      <c r="IT13" t="e">
        <f>AND('Planilla_General_03-12-2012_9_3'!M208,"AAAAAD/r/P0=")</f>
        <v>#VALUE!</v>
      </c>
      <c r="IU13" t="e">
        <f>AND('Planilla_General_03-12-2012_9_3'!N208,"AAAAAD/r/P4=")</f>
        <v>#VALUE!</v>
      </c>
      <c r="IV13" t="e">
        <f>AND('Planilla_General_03-12-2012_9_3'!O208,"AAAAAD/r/P8=")</f>
        <v>#VALUE!</v>
      </c>
    </row>
    <row r="14" spans="1:256" x14ac:dyDescent="0.25">
      <c r="A14" t="e">
        <f>IF('Planilla_General_03-12-2012_9_3'!209:209,"AAAAABHubwA=",0)</f>
        <v>#VALUE!</v>
      </c>
      <c r="B14" t="e">
        <f>AND('Planilla_General_03-12-2012_9_3'!A209,"AAAAABHubwE=")</f>
        <v>#VALUE!</v>
      </c>
      <c r="C14" t="e">
        <f>AND('Planilla_General_03-12-2012_9_3'!B209,"AAAAABHubwI=")</f>
        <v>#VALUE!</v>
      </c>
      <c r="D14" t="e">
        <f>AND('Planilla_General_03-12-2012_9_3'!C209,"AAAAABHubwM=")</f>
        <v>#VALUE!</v>
      </c>
      <c r="E14" t="e">
        <f>AND('Planilla_General_03-12-2012_9_3'!D209,"AAAAABHubwQ=")</f>
        <v>#VALUE!</v>
      </c>
      <c r="F14" t="e">
        <f>AND('Planilla_General_03-12-2012_9_3'!E209,"AAAAABHubwU=")</f>
        <v>#VALUE!</v>
      </c>
      <c r="G14" t="e">
        <f>AND('Planilla_General_03-12-2012_9_3'!F209,"AAAAABHubwY=")</f>
        <v>#VALUE!</v>
      </c>
      <c r="H14" t="e">
        <f>AND('Planilla_General_03-12-2012_9_3'!G209,"AAAAABHubwc=")</f>
        <v>#VALUE!</v>
      </c>
      <c r="I14" t="e">
        <f>AND('Planilla_General_03-12-2012_9_3'!H209,"AAAAABHubwg=")</f>
        <v>#VALUE!</v>
      </c>
      <c r="J14" t="e">
        <f>AND('Planilla_General_03-12-2012_9_3'!I209,"AAAAABHubwk=")</f>
        <v>#VALUE!</v>
      </c>
      <c r="K14" t="e">
        <f>AND('Planilla_General_03-12-2012_9_3'!J209,"AAAAABHubwo=")</f>
        <v>#VALUE!</v>
      </c>
      <c r="L14" t="e">
        <f>AND('Planilla_General_03-12-2012_9_3'!K209,"AAAAABHubws=")</f>
        <v>#VALUE!</v>
      </c>
      <c r="M14" t="e">
        <f>AND('Planilla_General_03-12-2012_9_3'!L209,"AAAAABHubww=")</f>
        <v>#VALUE!</v>
      </c>
      <c r="N14" t="e">
        <f>AND('Planilla_General_03-12-2012_9_3'!M209,"AAAAABHubw0=")</f>
        <v>#VALUE!</v>
      </c>
      <c r="O14" t="e">
        <f>AND('Planilla_General_03-12-2012_9_3'!N209,"AAAAABHubw4=")</f>
        <v>#VALUE!</v>
      </c>
      <c r="P14" t="e">
        <f>AND('Planilla_General_03-12-2012_9_3'!O209,"AAAAABHubw8=")</f>
        <v>#VALUE!</v>
      </c>
      <c r="Q14">
        <f>IF('Planilla_General_03-12-2012_9_3'!210:210,"AAAAABHubxA=",0)</f>
        <v>0</v>
      </c>
      <c r="R14" t="e">
        <f>AND('Planilla_General_03-12-2012_9_3'!A210,"AAAAABHubxE=")</f>
        <v>#VALUE!</v>
      </c>
      <c r="S14" t="e">
        <f>AND('Planilla_General_03-12-2012_9_3'!B210,"AAAAABHubxI=")</f>
        <v>#VALUE!</v>
      </c>
      <c r="T14" t="e">
        <f>AND('Planilla_General_03-12-2012_9_3'!C210,"AAAAABHubxM=")</f>
        <v>#VALUE!</v>
      </c>
      <c r="U14" t="e">
        <f>AND('Planilla_General_03-12-2012_9_3'!D210,"AAAAABHubxQ=")</f>
        <v>#VALUE!</v>
      </c>
      <c r="V14" t="e">
        <f>AND('Planilla_General_03-12-2012_9_3'!E210,"AAAAABHubxU=")</f>
        <v>#VALUE!</v>
      </c>
      <c r="W14" t="e">
        <f>AND('Planilla_General_03-12-2012_9_3'!F210,"AAAAABHubxY=")</f>
        <v>#VALUE!</v>
      </c>
      <c r="X14" t="e">
        <f>AND('Planilla_General_03-12-2012_9_3'!G210,"AAAAABHubxc=")</f>
        <v>#VALUE!</v>
      </c>
      <c r="Y14" t="e">
        <f>AND('Planilla_General_03-12-2012_9_3'!H210,"AAAAABHubxg=")</f>
        <v>#VALUE!</v>
      </c>
      <c r="Z14" t="e">
        <f>AND('Planilla_General_03-12-2012_9_3'!I210,"AAAAABHubxk=")</f>
        <v>#VALUE!</v>
      </c>
      <c r="AA14" t="e">
        <f>AND('Planilla_General_03-12-2012_9_3'!J210,"AAAAABHubxo=")</f>
        <v>#VALUE!</v>
      </c>
      <c r="AB14" t="e">
        <f>AND('Planilla_General_03-12-2012_9_3'!K210,"AAAAABHubxs=")</f>
        <v>#VALUE!</v>
      </c>
      <c r="AC14" t="e">
        <f>AND('Planilla_General_03-12-2012_9_3'!L210,"AAAAABHubxw=")</f>
        <v>#VALUE!</v>
      </c>
      <c r="AD14" t="e">
        <f>AND('Planilla_General_03-12-2012_9_3'!M210,"AAAAABHubx0=")</f>
        <v>#VALUE!</v>
      </c>
      <c r="AE14" t="e">
        <f>AND('Planilla_General_03-12-2012_9_3'!N210,"AAAAABHubx4=")</f>
        <v>#VALUE!</v>
      </c>
      <c r="AF14" t="e">
        <f>AND('Planilla_General_03-12-2012_9_3'!O210,"AAAAABHubx8=")</f>
        <v>#VALUE!</v>
      </c>
      <c r="AG14">
        <f>IF('Planilla_General_03-12-2012_9_3'!211:211,"AAAAABHubyA=",0)</f>
        <v>0</v>
      </c>
      <c r="AH14" t="e">
        <f>AND('Planilla_General_03-12-2012_9_3'!A211,"AAAAABHubyE=")</f>
        <v>#VALUE!</v>
      </c>
      <c r="AI14" t="e">
        <f>AND('Planilla_General_03-12-2012_9_3'!B211,"AAAAABHubyI=")</f>
        <v>#VALUE!</v>
      </c>
      <c r="AJ14" t="e">
        <f>AND('Planilla_General_03-12-2012_9_3'!C211,"AAAAABHubyM=")</f>
        <v>#VALUE!</v>
      </c>
      <c r="AK14" t="e">
        <f>AND('Planilla_General_03-12-2012_9_3'!D211,"AAAAABHubyQ=")</f>
        <v>#VALUE!</v>
      </c>
      <c r="AL14" t="e">
        <f>AND('Planilla_General_03-12-2012_9_3'!E211,"AAAAABHubyU=")</f>
        <v>#VALUE!</v>
      </c>
      <c r="AM14" t="e">
        <f>AND('Planilla_General_03-12-2012_9_3'!F211,"AAAAABHubyY=")</f>
        <v>#VALUE!</v>
      </c>
      <c r="AN14" t="e">
        <f>AND('Planilla_General_03-12-2012_9_3'!G211,"AAAAABHubyc=")</f>
        <v>#VALUE!</v>
      </c>
      <c r="AO14" t="e">
        <f>AND('Planilla_General_03-12-2012_9_3'!H211,"AAAAABHubyg=")</f>
        <v>#VALUE!</v>
      </c>
      <c r="AP14" t="e">
        <f>AND('Planilla_General_03-12-2012_9_3'!I211,"AAAAABHubyk=")</f>
        <v>#VALUE!</v>
      </c>
      <c r="AQ14" t="e">
        <f>AND('Planilla_General_03-12-2012_9_3'!J211,"AAAAABHubyo=")</f>
        <v>#VALUE!</v>
      </c>
      <c r="AR14" t="e">
        <f>AND('Planilla_General_03-12-2012_9_3'!K211,"AAAAABHubys=")</f>
        <v>#VALUE!</v>
      </c>
      <c r="AS14" t="e">
        <f>AND('Planilla_General_03-12-2012_9_3'!L211,"AAAAABHubyw=")</f>
        <v>#VALUE!</v>
      </c>
      <c r="AT14" t="e">
        <f>AND('Planilla_General_03-12-2012_9_3'!M211,"AAAAABHuby0=")</f>
        <v>#VALUE!</v>
      </c>
      <c r="AU14" t="e">
        <f>AND('Planilla_General_03-12-2012_9_3'!N211,"AAAAABHuby4=")</f>
        <v>#VALUE!</v>
      </c>
      <c r="AV14" t="e">
        <f>AND('Planilla_General_03-12-2012_9_3'!O211,"AAAAABHuby8=")</f>
        <v>#VALUE!</v>
      </c>
      <c r="AW14">
        <f>IF('Planilla_General_03-12-2012_9_3'!212:212,"AAAAABHubzA=",0)</f>
        <v>0</v>
      </c>
      <c r="AX14" t="e">
        <f>AND('Planilla_General_03-12-2012_9_3'!A212,"AAAAABHubzE=")</f>
        <v>#VALUE!</v>
      </c>
      <c r="AY14" t="e">
        <f>AND('Planilla_General_03-12-2012_9_3'!B212,"AAAAABHubzI=")</f>
        <v>#VALUE!</v>
      </c>
      <c r="AZ14" t="e">
        <f>AND('Planilla_General_03-12-2012_9_3'!C212,"AAAAABHubzM=")</f>
        <v>#VALUE!</v>
      </c>
      <c r="BA14" t="e">
        <f>AND('Planilla_General_03-12-2012_9_3'!D212,"AAAAABHubzQ=")</f>
        <v>#VALUE!</v>
      </c>
      <c r="BB14" t="e">
        <f>AND('Planilla_General_03-12-2012_9_3'!E212,"AAAAABHubzU=")</f>
        <v>#VALUE!</v>
      </c>
      <c r="BC14" t="e">
        <f>AND('Planilla_General_03-12-2012_9_3'!F212,"AAAAABHubzY=")</f>
        <v>#VALUE!</v>
      </c>
      <c r="BD14" t="e">
        <f>AND('Planilla_General_03-12-2012_9_3'!G212,"AAAAABHubzc=")</f>
        <v>#VALUE!</v>
      </c>
      <c r="BE14" t="e">
        <f>AND('Planilla_General_03-12-2012_9_3'!H212,"AAAAABHubzg=")</f>
        <v>#VALUE!</v>
      </c>
      <c r="BF14" t="e">
        <f>AND('Planilla_General_03-12-2012_9_3'!I212,"AAAAABHubzk=")</f>
        <v>#VALUE!</v>
      </c>
      <c r="BG14" t="e">
        <f>AND('Planilla_General_03-12-2012_9_3'!J212,"AAAAABHubzo=")</f>
        <v>#VALUE!</v>
      </c>
      <c r="BH14" t="e">
        <f>AND('Planilla_General_03-12-2012_9_3'!K212,"AAAAABHubzs=")</f>
        <v>#VALUE!</v>
      </c>
      <c r="BI14" t="e">
        <f>AND('Planilla_General_03-12-2012_9_3'!L212,"AAAAABHubzw=")</f>
        <v>#VALUE!</v>
      </c>
      <c r="BJ14" t="e">
        <f>AND('Planilla_General_03-12-2012_9_3'!M212,"AAAAABHubz0=")</f>
        <v>#VALUE!</v>
      </c>
      <c r="BK14" t="e">
        <f>AND('Planilla_General_03-12-2012_9_3'!N212,"AAAAABHubz4=")</f>
        <v>#VALUE!</v>
      </c>
      <c r="BL14" t="e">
        <f>AND('Planilla_General_03-12-2012_9_3'!O212,"AAAAABHubz8=")</f>
        <v>#VALUE!</v>
      </c>
      <c r="BM14">
        <f>IF('Planilla_General_03-12-2012_9_3'!213:213,"AAAAABHub0A=",0)</f>
        <v>0</v>
      </c>
      <c r="BN14" t="e">
        <f>AND('Planilla_General_03-12-2012_9_3'!A213,"AAAAABHub0E=")</f>
        <v>#VALUE!</v>
      </c>
      <c r="BO14" t="e">
        <f>AND('Planilla_General_03-12-2012_9_3'!B213,"AAAAABHub0I=")</f>
        <v>#VALUE!</v>
      </c>
      <c r="BP14" t="e">
        <f>AND('Planilla_General_03-12-2012_9_3'!C213,"AAAAABHub0M=")</f>
        <v>#VALUE!</v>
      </c>
      <c r="BQ14" t="e">
        <f>AND('Planilla_General_03-12-2012_9_3'!D213,"AAAAABHub0Q=")</f>
        <v>#VALUE!</v>
      </c>
      <c r="BR14" t="e">
        <f>AND('Planilla_General_03-12-2012_9_3'!E213,"AAAAABHub0U=")</f>
        <v>#VALUE!</v>
      </c>
      <c r="BS14" t="e">
        <f>AND('Planilla_General_03-12-2012_9_3'!F213,"AAAAABHub0Y=")</f>
        <v>#VALUE!</v>
      </c>
      <c r="BT14" t="e">
        <f>AND('Planilla_General_03-12-2012_9_3'!G213,"AAAAABHub0c=")</f>
        <v>#VALUE!</v>
      </c>
      <c r="BU14" t="e">
        <f>AND('Planilla_General_03-12-2012_9_3'!H213,"AAAAABHub0g=")</f>
        <v>#VALUE!</v>
      </c>
      <c r="BV14" t="e">
        <f>AND('Planilla_General_03-12-2012_9_3'!I213,"AAAAABHub0k=")</f>
        <v>#VALUE!</v>
      </c>
      <c r="BW14" t="e">
        <f>AND('Planilla_General_03-12-2012_9_3'!J213,"AAAAABHub0o=")</f>
        <v>#VALUE!</v>
      </c>
      <c r="BX14" t="e">
        <f>AND('Planilla_General_03-12-2012_9_3'!K213,"AAAAABHub0s=")</f>
        <v>#VALUE!</v>
      </c>
      <c r="BY14" t="e">
        <f>AND('Planilla_General_03-12-2012_9_3'!L213,"AAAAABHub0w=")</f>
        <v>#VALUE!</v>
      </c>
      <c r="BZ14" t="e">
        <f>AND('Planilla_General_03-12-2012_9_3'!M213,"AAAAABHub00=")</f>
        <v>#VALUE!</v>
      </c>
      <c r="CA14" t="e">
        <f>AND('Planilla_General_03-12-2012_9_3'!N213,"AAAAABHub04=")</f>
        <v>#VALUE!</v>
      </c>
      <c r="CB14" t="e">
        <f>AND('Planilla_General_03-12-2012_9_3'!O213,"AAAAABHub08=")</f>
        <v>#VALUE!</v>
      </c>
      <c r="CC14">
        <f>IF('Planilla_General_03-12-2012_9_3'!214:214,"AAAAABHub1A=",0)</f>
        <v>0</v>
      </c>
      <c r="CD14" t="e">
        <f>AND('Planilla_General_03-12-2012_9_3'!A214,"AAAAABHub1E=")</f>
        <v>#VALUE!</v>
      </c>
      <c r="CE14" t="e">
        <f>AND('Planilla_General_03-12-2012_9_3'!B214,"AAAAABHub1I=")</f>
        <v>#VALUE!</v>
      </c>
      <c r="CF14" t="e">
        <f>AND('Planilla_General_03-12-2012_9_3'!C214,"AAAAABHub1M=")</f>
        <v>#VALUE!</v>
      </c>
      <c r="CG14" t="e">
        <f>AND('Planilla_General_03-12-2012_9_3'!D214,"AAAAABHub1Q=")</f>
        <v>#VALUE!</v>
      </c>
      <c r="CH14" t="e">
        <f>AND('Planilla_General_03-12-2012_9_3'!E214,"AAAAABHub1U=")</f>
        <v>#VALUE!</v>
      </c>
      <c r="CI14" t="e">
        <f>AND('Planilla_General_03-12-2012_9_3'!F214,"AAAAABHub1Y=")</f>
        <v>#VALUE!</v>
      </c>
      <c r="CJ14" t="e">
        <f>AND('Planilla_General_03-12-2012_9_3'!G214,"AAAAABHub1c=")</f>
        <v>#VALUE!</v>
      </c>
      <c r="CK14" t="e">
        <f>AND('Planilla_General_03-12-2012_9_3'!H214,"AAAAABHub1g=")</f>
        <v>#VALUE!</v>
      </c>
      <c r="CL14" t="e">
        <f>AND('Planilla_General_03-12-2012_9_3'!I214,"AAAAABHub1k=")</f>
        <v>#VALUE!</v>
      </c>
      <c r="CM14" t="e">
        <f>AND('Planilla_General_03-12-2012_9_3'!J214,"AAAAABHub1o=")</f>
        <v>#VALUE!</v>
      </c>
      <c r="CN14" t="e">
        <f>AND('Planilla_General_03-12-2012_9_3'!K214,"AAAAABHub1s=")</f>
        <v>#VALUE!</v>
      </c>
      <c r="CO14" t="e">
        <f>AND('Planilla_General_03-12-2012_9_3'!L214,"AAAAABHub1w=")</f>
        <v>#VALUE!</v>
      </c>
      <c r="CP14" t="e">
        <f>AND('Planilla_General_03-12-2012_9_3'!M214,"AAAAABHub10=")</f>
        <v>#VALUE!</v>
      </c>
      <c r="CQ14" t="e">
        <f>AND('Planilla_General_03-12-2012_9_3'!N214,"AAAAABHub14=")</f>
        <v>#VALUE!</v>
      </c>
      <c r="CR14" t="e">
        <f>AND('Planilla_General_03-12-2012_9_3'!O214,"AAAAABHub18=")</f>
        <v>#VALUE!</v>
      </c>
      <c r="CS14">
        <f>IF('Planilla_General_03-12-2012_9_3'!215:215,"AAAAABHub2A=",0)</f>
        <v>0</v>
      </c>
      <c r="CT14" t="e">
        <f>AND('Planilla_General_03-12-2012_9_3'!A215,"AAAAABHub2E=")</f>
        <v>#VALUE!</v>
      </c>
      <c r="CU14" t="e">
        <f>AND('Planilla_General_03-12-2012_9_3'!B215,"AAAAABHub2I=")</f>
        <v>#VALUE!</v>
      </c>
      <c r="CV14" t="e">
        <f>AND('Planilla_General_03-12-2012_9_3'!C215,"AAAAABHub2M=")</f>
        <v>#VALUE!</v>
      </c>
      <c r="CW14" t="e">
        <f>AND('Planilla_General_03-12-2012_9_3'!D215,"AAAAABHub2Q=")</f>
        <v>#VALUE!</v>
      </c>
      <c r="CX14" t="e">
        <f>AND('Planilla_General_03-12-2012_9_3'!E215,"AAAAABHub2U=")</f>
        <v>#VALUE!</v>
      </c>
      <c r="CY14" t="e">
        <f>AND('Planilla_General_03-12-2012_9_3'!F215,"AAAAABHub2Y=")</f>
        <v>#VALUE!</v>
      </c>
      <c r="CZ14" t="e">
        <f>AND('Planilla_General_03-12-2012_9_3'!G215,"AAAAABHub2c=")</f>
        <v>#VALUE!</v>
      </c>
      <c r="DA14" t="e">
        <f>AND('Planilla_General_03-12-2012_9_3'!H215,"AAAAABHub2g=")</f>
        <v>#VALUE!</v>
      </c>
      <c r="DB14" t="e">
        <f>AND('Planilla_General_03-12-2012_9_3'!I215,"AAAAABHub2k=")</f>
        <v>#VALUE!</v>
      </c>
      <c r="DC14" t="e">
        <f>AND('Planilla_General_03-12-2012_9_3'!J215,"AAAAABHub2o=")</f>
        <v>#VALUE!</v>
      </c>
      <c r="DD14" t="e">
        <f>AND('Planilla_General_03-12-2012_9_3'!K215,"AAAAABHub2s=")</f>
        <v>#VALUE!</v>
      </c>
      <c r="DE14" t="e">
        <f>AND('Planilla_General_03-12-2012_9_3'!L215,"AAAAABHub2w=")</f>
        <v>#VALUE!</v>
      </c>
      <c r="DF14" t="e">
        <f>AND('Planilla_General_03-12-2012_9_3'!M215,"AAAAABHub20=")</f>
        <v>#VALUE!</v>
      </c>
      <c r="DG14" t="e">
        <f>AND('Planilla_General_03-12-2012_9_3'!N215,"AAAAABHub24=")</f>
        <v>#VALUE!</v>
      </c>
      <c r="DH14" t="e">
        <f>AND('Planilla_General_03-12-2012_9_3'!O215,"AAAAABHub28=")</f>
        <v>#VALUE!</v>
      </c>
      <c r="DI14">
        <f>IF('Planilla_General_03-12-2012_9_3'!216:216,"AAAAABHub3A=",0)</f>
        <v>0</v>
      </c>
      <c r="DJ14" t="e">
        <f>AND('Planilla_General_03-12-2012_9_3'!A216,"AAAAABHub3E=")</f>
        <v>#VALUE!</v>
      </c>
      <c r="DK14" t="e">
        <f>AND('Planilla_General_03-12-2012_9_3'!B216,"AAAAABHub3I=")</f>
        <v>#VALUE!</v>
      </c>
      <c r="DL14" t="e">
        <f>AND('Planilla_General_03-12-2012_9_3'!C216,"AAAAABHub3M=")</f>
        <v>#VALUE!</v>
      </c>
      <c r="DM14" t="e">
        <f>AND('Planilla_General_03-12-2012_9_3'!D216,"AAAAABHub3Q=")</f>
        <v>#VALUE!</v>
      </c>
      <c r="DN14" t="e">
        <f>AND('Planilla_General_03-12-2012_9_3'!E216,"AAAAABHub3U=")</f>
        <v>#VALUE!</v>
      </c>
      <c r="DO14" t="e">
        <f>AND('Planilla_General_03-12-2012_9_3'!F216,"AAAAABHub3Y=")</f>
        <v>#VALUE!</v>
      </c>
      <c r="DP14" t="e">
        <f>AND('Planilla_General_03-12-2012_9_3'!G216,"AAAAABHub3c=")</f>
        <v>#VALUE!</v>
      </c>
      <c r="DQ14" t="e">
        <f>AND('Planilla_General_03-12-2012_9_3'!H216,"AAAAABHub3g=")</f>
        <v>#VALUE!</v>
      </c>
      <c r="DR14" t="e">
        <f>AND('Planilla_General_03-12-2012_9_3'!I216,"AAAAABHub3k=")</f>
        <v>#VALUE!</v>
      </c>
      <c r="DS14" t="e">
        <f>AND('Planilla_General_03-12-2012_9_3'!J216,"AAAAABHub3o=")</f>
        <v>#VALUE!</v>
      </c>
      <c r="DT14" t="e">
        <f>AND('Planilla_General_03-12-2012_9_3'!K216,"AAAAABHub3s=")</f>
        <v>#VALUE!</v>
      </c>
      <c r="DU14" t="e">
        <f>AND('Planilla_General_03-12-2012_9_3'!L216,"AAAAABHub3w=")</f>
        <v>#VALUE!</v>
      </c>
      <c r="DV14" t="e">
        <f>AND('Planilla_General_03-12-2012_9_3'!M216,"AAAAABHub30=")</f>
        <v>#VALUE!</v>
      </c>
      <c r="DW14" t="e">
        <f>AND('Planilla_General_03-12-2012_9_3'!N216,"AAAAABHub34=")</f>
        <v>#VALUE!</v>
      </c>
      <c r="DX14" t="e">
        <f>AND('Planilla_General_03-12-2012_9_3'!O216,"AAAAABHub38=")</f>
        <v>#VALUE!</v>
      </c>
      <c r="DY14">
        <f>IF('Planilla_General_03-12-2012_9_3'!217:217,"AAAAABHub4A=",0)</f>
        <v>0</v>
      </c>
      <c r="DZ14" t="e">
        <f>AND('Planilla_General_03-12-2012_9_3'!A217,"AAAAABHub4E=")</f>
        <v>#VALUE!</v>
      </c>
      <c r="EA14" t="e">
        <f>AND('Planilla_General_03-12-2012_9_3'!B217,"AAAAABHub4I=")</f>
        <v>#VALUE!</v>
      </c>
      <c r="EB14" t="e">
        <f>AND('Planilla_General_03-12-2012_9_3'!C217,"AAAAABHub4M=")</f>
        <v>#VALUE!</v>
      </c>
      <c r="EC14" t="e">
        <f>AND('Planilla_General_03-12-2012_9_3'!D217,"AAAAABHub4Q=")</f>
        <v>#VALUE!</v>
      </c>
      <c r="ED14" t="e">
        <f>AND('Planilla_General_03-12-2012_9_3'!E217,"AAAAABHub4U=")</f>
        <v>#VALUE!</v>
      </c>
      <c r="EE14" t="e">
        <f>AND('Planilla_General_03-12-2012_9_3'!F217,"AAAAABHub4Y=")</f>
        <v>#VALUE!</v>
      </c>
      <c r="EF14" t="e">
        <f>AND('Planilla_General_03-12-2012_9_3'!G217,"AAAAABHub4c=")</f>
        <v>#VALUE!</v>
      </c>
      <c r="EG14" t="e">
        <f>AND('Planilla_General_03-12-2012_9_3'!H217,"AAAAABHub4g=")</f>
        <v>#VALUE!</v>
      </c>
      <c r="EH14" t="e">
        <f>AND('Planilla_General_03-12-2012_9_3'!I217,"AAAAABHub4k=")</f>
        <v>#VALUE!</v>
      </c>
      <c r="EI14" t="e">
        <f>AND('Planilla_General_03-12-2012_9_3'!J217,"AAAAABHub4o=")</f>
        <v>#VALUE!</v>
      </c>
      <c r="EJ14" t="e">
        <f>AND('Planilla_General_03-12-2012_9_3'!K217,"AAAAABHub4s=")</f>
        <v>#VALUE!</v>
      </c>
      <c r="EK14" t="e">
        <f>AND('Planilla_General_03-12-2012_9_3'!L217,"AAAAABHub4w=")</f>
        <v>#VALUE!</v>
      </c>
      <c r="EL14" t="e">
        <f>AND('Planilla_General_03-12-2012_9_3'!M217,"AAAAABHub40=")</f>
        <v>#VALUE!</v>
      </c>
      <c r="EM14" t="e">
        <f>AND('Planilla_General_03-12-2012_9_3'!N217,"AAAAABHub44=")</f>
        <v>#VALUE!</v>
      </c>
      <c r="EN14" t="e">
        <f>AND('Planilla_General_03-12-2012_9_3'!O217,"AAAAABHub48=")</f>
        <v>#VALUE!</v>
      </c>
      <c r="EO14">
        <f>IF('Planilla_General_03-12-2012_9_3'!218:218,"AAAAABHub5A=",0)</f>
        <v>0</v>
      </c>
      <c r="EP14" t="e">
        <f>AND('Planilla_General_03-12-2012_9_3'!A218,"AAAAABHub5E=")</f>
        <v>#VALUE!</v>
      </c>
      <c r="EQ14" t="e">
        <f>AND('Planilla_General_03-12-2012_9_3'!B218,"AAAAABHub5I=")</f>
        <v>#VALUE!</v>
      </c>
      <c r="ER14" t="e">
        <f>AND('Planilla_General_03-12-2012_9_3'!C218,"AAAAABHub5M=")</f>
        <v>#VALUE!</v>
      </c>
      <c r="ES14" t="e">
        <f>AND('Planilla_General_03-12-2012_9_3'!D218,"AAAAABHub5Q=")</f>
        <v>#VALUE!</v>
      </c>
      <c r="ET14" t="e">
        <f>AND('Planilla_General_03-12-2012_9_3'!E218,"AAAAABHub5U=")</f>
        <v>#VALUE!</v>
      </c>
      <c r="EU14" t="e">
        <f>AND('Planilla_General_03-12-2012_9_3'!F218,"AAAAABHub5Y=")</f>
        <v>#VALUE!</v>
      </c>
      <c r="EV14" t="e">
        <f>AND('Planilla_General_03-12-2012_9_3'!G218,"AAAAABHub5c=")</f>
        <v>#VALUE!</v>
      </c>
      <c r="EW14" t="e">
        <f>AND('Planilla_General_03-12-2012_9_3'!H218,"AAAAABHub5g=")</f>
        <v>#VALUE!</v>
      </c>
      <c r="EX14" t="e">
        <f>AND('Planilla_General_03-12-2012_9_3'!I218,"AAAAABHub5k=")</f>
        <v>#VALUE!</v>
      </c>
      <c r="EY14" t="e">
        <f>AND('Planilla_General_03-12-2012_9_3'!J218,"AAAAABHub5o=")</f>
        <v>#VALUE!</v>
      </c>
      <c r="EZ14" t="e">
        <f>AND('Planilla_General_03-12-2012_9_3'!K218,"AAAAABHub5s=")</f>
        <v>#VALUE!</v>
      </c>
      <c r="FA14" t="e">
        <f>AND('Planilla_General_03-12-2012_9_3'!L218,"AAAAABHub5w=")</f>
        <v>#VALUE!</v>
      </c>
      <c r="FB14" t="e">
        <f>AND('Planilla_General_03-12-2012_9_3'!M218,"AAAAABHub50=")</f>
        <v>#VALUE!</v>
      </c>
      <c r="FC14" t="e">
        <f>AND('Planilla_General_03-12-2012_9_3'!N218,"AAAAABHub54=")</f>
        <v>#VALUE!</v>
      </c>
      <c r="FD14" t="e">
        <f>AND('Planilla_General_03-12-2012_9_3'!O218,"AAAAABHub58=")</f>
        <v>#VALUE!</v>
      </c>
      <c r="FE14">
        <f>IF('Planilla_General_03-12-2012_9_3'!219:219,"AAAAABHub6A=",0)</f>
        <v>0</v>
      </c>
      <c r="FF14" t="e">
        <f>AND('Planilla_General_03-12-2012_9_3'!A219,"AAAAABHub6E=")</f>
        <v>#VALUE!</v>
      </c>
      <c r="FG14" t="e">
        <f>AND('Planilla_General_03-12-2012_9_3'!B219,"AAAAABHub6I=")</f>
        <v>#VALUE!</v>
      </c>
      <c r="FH14" t="e">
        <f>AND('Planilla_General_03-12-2012_9_3'!C219,"AAAAABHub6M=")</f>
        <v>#VALUE!</v>
      </c>
      <c r="FI14" t="e">
        <f>AND('Planilla_General_03-12-2012_9_3'!D219,"AAAAABHub6Q=")</f>
        <v>#VALUE!</v>
      </c>
      <c r="FJ14" t="e">
        <f>AND('Planilla_General_03-12-2012_9_3'!E219,"AAAAABHub6U=")</f>
        <v>#VALUE!</v>
      </c>
      <c r="FK14" t="e">
        <f>AND('Planilla_General_03-12-2012_9_3'!F219,"AAAAABHub6Y=")</f>
        <v>#VALUE!</v>
      </c>
      <c r="FL14" t="e">
        <f>AND('Planilla_General_03-12-2012_9_3'!G219,"AAAAABHub6c=")</f>
        <v>#VALUE!</v>
      </c>
      <c r="FM14" t="e">
        <f>AND('Planilla_General_03-12-2012_9_3'!H219,"AAAAABHub6g=")</f>
        <v>#VALUE!</v>
      </c>
      <c r="FN14" t="e">
        <f>AND('Planilla_General_03-12-2012_9_3'!I219,"AAAAABHub6k=")</f>
        <v>#VALUE!</v>
      </c>
      <c r="FO14" t="e">
        <f>AND('Planilla_General_03-12-2012_9_3'!J219,"AAAAABHub6o=")</f>
        <v>#VALUE!</v>
      </c>
      <c r="FP14" t="e">
        <f>AND('Planilla_General_03-12-2012_9_3'!K219,"AAAAABHub6s=")</f>
        <v>#VALUE!</v>
      </c>
      <c r="FQ14" t="e">
        <f>AND('Planilla_General_03-12-2012_9_3'!L219,"AAAAABHub6w=")</f>
        <v>#VALUE!</v>
      </c>
      <c r="FR14" t="e">
        <f>AND('Planilla_General_03-12-2012_9_3'!M219,"AAAAABHub60=")</f>
        <v>#VALUE!</v>
      </c>
      <c r="FS14" t="e">
        <f>AND('Planilla_General_03-12-2012_9_3'!N219,"AAAAABHub64=")</f>
        <v>#VALUE!</v>
      </c>
      <c r="FT14" t="e">
        <f>AND('Planilla_General_03-12-2012_9_3'!O219,"AAAAABHub68=")</f>
        <v>#VALUE!</v>
      </c>
      <c r="FU14">
        <f>IF('Planilla_General_03-12-2012_9_3'!220:220,"AAAAABHub7A=",0)</f>
        <v>0</v>
      </c>
      <c r="FV14" t="e">
        <f>AND('Planilla_General_03-12-2012_9_3'!A220,"AAAAABHub7E=")</f>
        <v>#VALUE!</v>
      </c>
      <c r="FW14" t="e">
        <f>AND('Planilla_General_03-12-2012_9_3'!B220,"AAAAABHub7I=")</f>
        <v>#VALUE!</v>
      </c>
      <c r="FX14" t="e">
        <f>AND('Planilla_General_03-12-2012_9_3'!C220,"AAAAABHub7M=")</f>
        <v>#VALUE!</v>
      </c>
      <c r="FY14" t="e">
        <f>AND('Planilla_General_03-12-2012_9_3'!D220,"AAAAABHub7Q=")</f>
        <v>#VALUE!</v>
      </c>
      <c r="FZ14" t="e">
        <f>AND('Planilla_General_03-12-2012_9_3'!E220,"AAAAABHub7U=")</f>
        <v>#VALUE!</v>
      </c>
      <c r="GA14" t="e">
        <f>AND('Planilla_General_03-12-2012_9_3'!F220,"AAAAABHub7Y=")</f>
        <v>#VALUE!</v>
      </c>
      <c r="GB14" t="e">
        <f>AND('Planilla_General_03-12-2012_9_3'!G220,"AAAAABHub7c=")</f>
        <v>#VALUE!</v>
      </c>
      <c r="GC14" t="e">
        <f>AND('Planilla_General_03-12-2012_9_3'!H220,"AAAAABHub7g=")</f>
        <v>#VALUE!</v>
      </c>
      <c r="GD14" t="e">
        <f>AND('Planilla_General_03-12-2012_9_3'!I220,"AAAAABHub7k=")</f>
        <v>#VALUE!</v>
      </c>
      <c r="GE14" t="e">
        <f>AND('Planilla_General_03-12-2012_9_3'!J220,"AAAAABHub7o=")</f>
        <v>#VALUE!</v>
      </c>
      <c r="GF14" t="e">
        <f>AND('Planilla_General_03-12-2012_9_3'!K220,"AAAAABHub7s=")</f>
        <v>#VALUE!</v>
      </c>
      <c r="GG14" t="e">
        <f>AND('Planilla_General_03-12-2012_9_3'!L220,"AAAAABHub7w=")</f>
        <v>#VALUE!</v>
      </c>
      <c r="GH14" t="e">
        <f>AND('Planilla_General_03-12-2012_9_3'!M220,"AAAAABHub70=")</f>
        <v>#VALUE!</v>
      </c>
      <c r="GI14" t="e">
        <f>AND('Planilla_General_03-12-2012_9_3'!N220,"AAAAABHub74=")</f>
        <v>#VALUE!</v>
      </c>
      <c r="GJ14" t="e">
        <f>AND('Planilla_General_03-12-2012_9_3'!O220,"AAAAABHub78=")</f>
        <v>#VALUE!</v>
      </c>
      <c r="GK14">
        <f>IF('Planilla_General_03-12-2012_9_3'!221:221,"AAAAABHub8A=",0)</f>
        <v>0</v>
      </c>
      <c r="GL14" t="e">
        <f>AND('Planilla_General_03-12-2012_9_3'!A221,"AAAAABHub8E=")</f>
        <v>#VALUE!</v>
      </c>
      <c r="GM14" t="e">
        <f>AND('Planilla_General_03-12-2012_9_3'!B221,"AAAAABHub8I=")</f>
        <v>#VALUE!</v>
      </c>
      <c r="GN14" t="e">
        <f>AND('Planilla_General_03-12-2012_9_3'!C221,"AAAAABHub8M=")</f>
        <v>#VALUE!</v>
      </c>
      <c r="GO14" t="e">
        <f>AND('Planilla_General_03-12-2012_9_3'!D221,"AAAAABHub8Q=")</f>
        <v>#VALUE!</v>
      </c>
      <c r="GP14" t="e">
        <f>AND('Planilla_General_03-12-2012_9_3'!E221,"AAAAABHub8U=")</f>
        <v>#VALUE!</v>
      </c>
      <c r="GQ14" t="e">
        <f>AND('Planilla_General_03-12-2012_9_3'!F221,"AAAAABHub8Y=")</f>
        <v>#VALUE!</v>
      </c>
      <c r="GR14" t="e">
        <f>AND('Planilla_General_03-12-2012_9_3'!G221,"AAAAABHub8c=")</f>
        <v>#VALUE!</v>
      </c>
      <c r="GS14" t="e">
        <f>AND('Planilla_General_03-12-2012_9_3'!H221,"AAAAABHub8g=")</f>
        <v>#VALUE!</v>
      </c>
      <c r="GT14" t="e">
        <f>AND('Planilla_General_03-12-2012_9_3'!I221,"AAAAABHub8k=")</f>
        <v>#VALUE!</v>
      </c>
      <c r="GU14" t="e">
        <f>AND('Planilla_General_03-12-2012_9_3'!J221,"AAAAABHub8o=")</f>
        <v>#VALUE!</v>
      </c>
      <c r="GV14" t="e">
        <f>AND('Planilla_General_03-12-2012_9_3'!K221,"AAAAABHub8s=")</f>
        <v>#VALUE!</v>
      </c>
      <c r="GW14" t="e">
        <f>AND('Planilla_General_03-12-2012_9_3'!L221,"AAAAABHub8w=")</f>
        <v>#VALUE!</v>
      </c>
      <c r="GX14" t="e">
        <f>AND('Planilla_General_03-12-2012_9_3'!M221,"AAAAABHub80=")</f>
        <v>#VALUE!</v>
      </c>
      <c r="GY14" t="e">
        <f>AND('Planilla_General_03-12-2012_9_3'!N221,"AAAAABHub84=")</f>
        <v>#VALUE!</v>
      </c>
      <c r="GZ14" t="e">
        <f>AND('Planilla_General_03-12-2012_9_3'!O221,"AAAAABHub88=")</f>
        <v>#VALUE!</v>
      </c>
      <c r="HA14">
        <f>IF('Planilla_General_03-12-2012_9_3'!222:222,"AAAAABHub9A=",0)</f>
        <v>0</v>
      </c>
      <c r="HB14" t="e">
        <f>AND('Planilla_General_03-12-2012_9_3'!A222,"AAAAABHub9E=")</f>
        <v>#VALUE!</v>
      </c>
      <c r="HC14" t="e">
        <f>AND('Planilla_General_03-12-2012_9_3'!B222,"AAAAABHub9I=")</f>
        <v>#VALUE!</v>
      </c>
      <c r="HD14" t="e">
        <f>AND('Planilla_General_03-12-2012_9_3'!C222,"AAAAABHub9M=")</f>
        <v>#VALUE!</v>
      </c>
      <c r="HE14" t="e">
        <f>AND('Planilla_General_03-12-2012_9_3'!D222,"AAAAABHub9Q=")</f>
        <v>#VALUE!</v>
      </c>
      <c r="HF14" t="e">
        <f>AND('Planilla_General_03-12-2012_9_3'!E222,"AAAAABHub9U=")</f>
        <v>#VALUE!</v>
      </c>
      <c r="HG14" t="e">
        <f>AND('Planilla_General_03-12-2012_9_3'!F222,"AAAAABHub9Y=")</f>
        <v>#VALUE!</v>
      </c>
      <c r="HH14" t="e">
        <f>AND('Planilla_General_03-12-2012_9_3'!G222,"AAAAABHub9c=")</f>
        <v>#VALUE!</v>
      </c>
      <c r="HI14" t="e">
        <f>AND('Planilla_General_03-12-2012_9_3'!H222,"AAAAABHub9g=")</f>
        <v>#VALUE!</v>
      </c>
      <c r="HJ14" t="e">
        <f>AND('Planilla_General_03-12-2012_9_3'!I222,"AAAAABHub9k=")</f>
        <v>#VALUE!</v>
      </c>
      <c r="HK14" t="e">
        <f>AND('Planilla_General_03-12-2012_9_3'!J222,"AAAAABHub9o=")</f>
        <v>#VALUE!</v>
      </c>
      <c r="HL14" t="e">
        <f>AND('Planilla_General_03-12-2012_9_3'!K222,"AAAAABHub9s=")</f>
        <v>#VALUE!</v>
      </c>
      <c r="HM14" t="e">
        <f>AND('Planilla_General_03-12-2012_9_3'!L222,"AAAAABHub9w=")</f>
        <v>#VALUE!</v>
      </c>
      <c r="HN14" t="e">
        <f>AND('Planilla_General_03-12-2012_9_3'!M222,"AAAAABHub90=")</f>
        <v>#VALUE!</v>
      </c>
      <c r="HO14" t="e">
        <f>AND('Planilla_General_03-12-2012_9_3'!N222,"AAAAABHub94=")</f>
        <v>#VALUE!</v>
      </c>
      <c r="HP14" t="e">
        <f>AND('Planilla_General_03-12-2012_9_3'!O222,"AAAAABHub98=")</f>
        <v>#VALUE!</v>
      </c>
      <c r="HQ14">
        <f>IF('Planilla_General_03-12-2012_9_3'!223:223,"AAAAABHub+A=",0)</f>
        <v>0</v>
      </c>
      <c r="HR14" t="e">
        <f>AND('Planilla_General_03-12-2012_9_3'!A223,"AAAAABHub+E=")</f>
        <v>#VALUE!</v>
      </c>
      <c r="HS14" t="e">
        <f>AND('Planilla_General_03-12-2012_9_3'!B223,"AAAAABHub+I=")</f>
        <v>#VALUE!</v>
      </c>
      <c r="HT14" t="e">
        <f>AND('Planilla_General_03-12-2012_9_3'!C223,"AAAAABHub+M=")</f>
        <v>#VALUE!</v>
      </c>
      <c r="HU14" t="e">
        <f>AND('Planilla_General_03-12-2012_9_3'!D223,"AAAAABHub+Q=")</f>
        <v>#VALUE!</v>
      </c>
      <c r="HV14" t="e">
        <f>AND('Planilla_General_03-12-2012_9_3'!E223,"AAAAABHub+U=")</f>
        <v>#VALUE!</v>
      </c>
      <c r="HW14" t="e">
        <f>AND('Planilla_General_03-12-2012_9_3'!F223,"AAAAABHub+Y=")</f>
        <v>#VALUE!</v>
      </c>
      <c r="HX14" t="e">
        <f>AND('Planilla_General_03-12-2012_9_3'!G223,"AAAAABHub+c=")</f>
        <v>#VALUE!</v>
      </c>
      <c r="HY14" t="e">
        <f>AND('Planilla_General_03-12-2012_9_3'!H223,"AAAAABHub+g=")</f>
        <v>#VALUE!</v>
      </c>
      <c r="HZ14" t="e">
        <f>AND('Planilla_General_03-12-2012_9_3'!I223,"AAAAABHub+k=")</f>
        <v>#VALUE!</v>
      </c>
      <c r="IA14" t="e">
        <f>AND('Planilla_General_03-12-2012_9_3'!J223,"AAAAABHub+o=")</f>
        <v>#VALUE!</v>
      </c>
      <c r="IB14" t="e">
        <f>AND('Planilla_General_03-12-2012_9_3'!K223,"AAAAABHub+s=")</f>
        <v>#VALUE!</v>
      </c>
      <c r="IC14" t="e">
        <f>AND('Planilla_General_03-12-2012_9_3'!L223,"AAAAABHub+w=")</f>
        <v>#VALUE!</v>
      </c>
      <c r="ID14" t="e">
        <f>AND('Planilla_General_03-12-2012_9_3'!M223,"AAAAABHub+0=")</f>
        <v>#VALUE!</v>
      </c>
      <c r="IE14" t="e">
        <f>AND('Planilla_General_03-12-2012_9_3'!N223,"AAAAABHub+4=")</f>
        <v>#VALUE!</v>
      </c>
      <c r="IF14" t="e">
        <f>AND('Planilla_General_03-12-2012_9_3'!O223,"AAAAABHub+8=")</f>
        <v>#VALUE!</v>
      </c>
      <c r="IG14">
        <f>IF('Planilla_General_03-12-2012_9_3'!224:224,"AAAAABHub/A=",0)</f>
        <v>0</v>
      </c>
      <c r="IH14" t="e">
        <f>AND('Planilla_General_03-12-2012_9_3'!A224,"AAAAABHub/E=")</f>
        <v>#VALUE!</v>
      </c>
      <c r="II14" t="e">
        <f>AND('Planilla_General_03-12-2012_9_3'!B224,"AAAAABHub/I=")</f>
        <v>#VALUE!</v>
      </c>
      <c r="IJ14" t="e">
        <f>AND('Planilla_General_03-12-2012_9_3'!C224,"AAAAABHub/M=")</f>
        <v>#VALUE!</v>
      </c>
      <c r="IK14" t="e">
        <f>AND('Planilla_General_03-12-2012_9_3'!D224,"AAAAABHub/Q=")</f>
        <v>#VALUE!</v>
      </c>
      <c r="IL14" t="e">
        <f>AND('Planilla_General_03-12-2012_9_3'!E224,"AAAAABHub/U=")</f>
        <v>#VALUE!</v>
      </c>
      <c r="IM14" t="e">
        <f>AND('Planilla_General_03-12-2012_9_3'!F224,"AAAAABHub/Y=")</f>
        <v>#VALUE!</v>
      </c>
      <c r="IN14" t="e">
        <f>AND('Planilla_General_03-12-2012_9_3'!G224,"AAAAABHub/c=")</f>
        <v>#VALUE!</v>
      </c>
      <c r="IO14" t="e">
        <f>AND('Planilla_General_03-12-2012_9_3'!H224,"AAAAABHub/g=")</f>
        <v>#VALUE!</v>
      </c>
      <c r="IP14" t="e">
        <f>AND('Planilla_General_03-12-2012_9_3'!I224,"AAAAABHub/k=")</f>
        <v>#VALUE!</v>
      </c>
      <c r="IQ14" t="e">
        <f>AND('Planilla_General_03-12-2012_9_3'!J224,"AAAAABHub/o=")</f>
        <v>#VALUE!</v>
      </c>
      <c r="IR14" t="e">
        <f>AND('Planilla_General_03-12-2012_9_3'!K224,"AAAAABHub/s=")</f>
        <v>#VALUE!</v>
      </c>
      <c r="IS14" t="e">
        <f>AND('Planilla_General_03-12-2012_9_3'!L224,"AAAAABHub/w=")</f>
        <v>#VALUE!</v>
      </c>
      <c r="IT14" t="e">
        <f>AND('Planilla_General_03-12-2012_9_3'!M224,"AAAAABHub/0=")</f>
        <v>#VALUE!</v>
      </c>
      <c r="IU14" t="e">
        <f>AND('Planilla_General_03-12-2012_9_3'!N224,"AAAAABHub/4=")</f>
        <v>#VALUE!</v>
      </c>
      <c r="IV14" t="e">
        <f>AND('Planilla_General_03-12-2012_9_3'!O224,"AAAAABHub/8=")</f>
        <v>#VALUE!</v>
      </c>
    </row>
    <row r="15" spans="1:256" x14ac:dyDescent="0.25">
      <c r="A15" t="e">
        <f>IF('Planilla_General_03-12-2012_9_3'!225:225,"AAAAACf/4gA=",0)</f>
        <v>#VALUE!</v>
      </c>
      <c r="B15" t="e">
        <f>AND('Planilla_General_03-12-2012_9_3'!A225,"AAAAACf/4gE=")</f>
        <v>#VALUE!</v>
      </c>
      <c r="C15" t="e">
        <f>AND('Planilla_General_03-12-2012_9_3'!B225,"AAAAACf/4gI=")</f>
        <v>#VALUE!</v>
      </c>
      <c r="D15" t="e">
        <f>AND('Planilla_General_03-12-2012_9_3'!C225,"AAAAACf/4gM=")</f>
        <v>#VALUE!</v>
      </c>
      <c r="E15" t="e">
        <f>AND('Planilla_General_03-12-2012_9_3'!D225,"AAAAACf/4gQ=")</f>
        <v>#VALUE!</v>
      </c>
      <c r="F15" t="e">
        <f>AND('Planilla_General_03-12-2012_9_3'!E225,"AAAAACf/4gU=")</f>
        <v>#VALUE!</v>
      </c>
      <c r="G15" t="e">
        <f>AND('Planilla_General_03-12-2012_9_3'!F225,"AAAAACf/4gY=")</f>
        <v>#VALUE!</v>
      </c>
      <c r="H15" t="e">
        <f>AND('Planilla_General_03-12-2012_9_3'!G225,"AAAAACf/4gc=")</f>
        <v>#VALUE!</v>
      </c>
      <c r="I15" t="e">
        <f>AND('Planilla_General_03-12-2012_9_3'!H225,"AAAAACf/4gg=")</f>
        <v>#VALUE!</v>
      </c>
      <c r="J15" t="e">
        <f>AND('Planilla_General_03-12-2012_9_3'!I225,"AAAAACf/4gk=")</f>
        <v>#VALUE!</v>
      </c>
      <c r="K15" t="e">
        <f>AND('Planilla_General_03-12-2012_9_3'!J225,"AAAAACf/4go=")</f>
        <v>#VALUE!</v>
      </c>
      <c r="L15" t="e">
        <f>AND('Planilla_General_03-12-2012_9_3'!K225,"AAAAACf/4gs=")</f>
        <v>#VALUE!</v>
      </c>
      <c r="M15" t="e">
        <f>AND('Planilla_General_03-12-2012_9_3'!L225,"AAAAACf/4gw=")</f>
        <v>#VALUE!</v>
      </c>
      <c r="N15" t="e">
        <f>AND('Planilla_General_03-12-2012_9_3'!M225,"AAAAACf/4g0=")</f>
        <v>#VALUE!</v>
      </c>
      <c r="O15" t="e">
        <f>AND('Planilla_General_03-12-2012_9_3'!N225,"AAAAACf/4g4=")</f>
        <v>#VALUE!</v>
      </c>
      <c r="P15" t="e">
        <f>AND('Planilla_General_03-12-2012_9_3'!O225,"AAAAACf/4g8=")</f>
        <v>#VALUE!</v>
      </c>
      <c r="Q15">
        <f>IF('Planilla_General_03-12-2012_9_3'!226:226,"AAAAACf/4hA=",0)</f>
        <v>0</v>
      </c>
      <c r="R15" t="e">
        <f>AND('Planilla_General_03-12-2012_9_3'!A226,"AAAAACf/4hE=")</f>
        <v>#VALUE!</v>
      </c>
      <c r="S15" t="e">
        <f>AND('Planilla_General_03-12-2012_9_3'!B226,"AAAAACf/4hI=")</f>
        <v>#VALUE!</v>
      </c>
      <c r="T15" t="e">
        <f>AND('Planilla_General_03-12-2012_9_3'!C226,"AAAAACf/4hM=")</f>
        <v>#VALUE!</v>
      </c>
      <c r="U15" t="e">
        <f>AND('Planilla_General_03-12-2012_9_3'!D226,"AAAAACf/4hQ=")</f>
        <v>#VALUE!</v>
      </c>
      <c r="V15" t="e">
        <f>AND('Planilla_General_03-12-2012_9_3'!E226,"AAAAACf/4hU=")</f>
        <v>#VALUE!</v>
      </c>
      <c r="W15" t="e">
        <f>AND('Planilla_General_03-12-2012_9_3'!F226,"AAAAACf/4hY=")</f>
        <v>#VALUE!</v>
      </c>
      <c r="X15" t="e">
        <f>AND('Planilla_General_03-12-2012_9_3'!G226,"AAAAACf/4hc=")</f>
        <v>#VALUE!</v>
      </c>
      <c r="Y15" t="e">
        <f>AND('Planilla_General_03-12-2012_9_3'!H226,"AAAAACf/4hg=")</f>
        <v>#VALUE!</v>
      </c>
      <c r="Z15" t="e">
        <f>AND('Planilla_General_03-12-2012_9_3'!I226,"AAAAACf/4hk=")</f>
        <v>#VALUE!</v>
      </c>
      <c r="AA15" t="e">
        <f>AND('Planilla_General_03-12-2012_9_3'!J226,"AAAAACf/4ho=")</f>
        <v>#VALUE!</v>
      </c>
      <c r="AB15" t="e">
        <f>AND('Planilla_General_03-12-2012_9_3'!K226,"AAAAACf/4hs=")</f>
        <v>#VALUE!</v>
      </c>
      <c r="AC15" t="e">
        <f>AND('Planilla_General_03-12-2012_9_3'!L226,"AAAAACf/4hw=")</f>
        <v>#VALUE!</v>
      </c>
      <c r="AD15" t="e">
        <f>AND('Planilla_General_03-12-2012_9_3'!M226,"AAAAACf/4h0=")</f>
        <v>#VALUE!</v>
      </c>
      <c r="AE15" t="e">
        <f>AND('Planilla_General_03-12-2012_9_3'!N226,"AAAAACf/4h4=")</f>
        <v>#VALUE!</v>
      </c>
      <c r="AF15" t="e">
        <f>AND('Planilla_General_03-12-2012_9_3'!O226,"AAAAACf/4h8=")</f>
        <v>#VALUE!</v>
      </c>
      <c r="AG15">
        <f>IF('Planilla_General_03-12-2012_9_3'!227:227,"AAAAACf/4iA=",0)</f>
        <v>0</v>
      </c>
      <c r="AH15" t="e">
        <f>AND('Planilla_General_03-12-2012_9_3'!A227,"AAAAACf/4iE=")</f>
        <v>#VALUE!</v>
      </c>
      <c r="AI15" t="e">
        <f>AND('Planilla_General_03-12-2012_9_3'!B227,"AAAAACf/4iI=")</f>
        <v>#VALUE!</v>
      </c>
      <c r="AJ15" t="e">
        <f>AND('Planilla_General_03-12-2012_9_3'!C227,"AAAAACf/4iM=")</f>
        <v>#VALUE!</v>
      </c>
      <c r="AK15" t="e">
        <f>AND('Planilla_General_03-12-2012_9_3'!D227,"AAAAACf/4iQ=")</f>
        <v>#VALUE!</v>
      </c>
      <c r="AL15" t="e">
        <f>AND('Planilla_General_03-12-2012_9_3'!E227,"AAAAACf/4iU=")</f>
        <v>#VALUE!</v>
      </c>
      <c r="AM15" t="e">
        <f>AND('Planilla_General_03-12-2012_9_3'!F227,"AAAAACf/4iY=")</f>
        <v>#VALUE!</v>
      </c>
      <c r="AN15" t="e">
        <f>AND('Planilla_General_03-12-2012_9_3'!G227,"AAAAACf/4ic=")</f>
        <v>#VALUE!</v>
      </c>
      <c r="AO15" t="e">
        <f>AND('Planilla_General_03-12-2012_9_3'!H227,"AAAAACf/4ig=")</f>
        <v>#VALUE!</v>
      </c>
      <c r="AP15" t="e">
        <f>AND('Planilla_General_03-12-2012_9_3'!I227,"AAAAACf/4ik=")</f>
        <v>#VALUE!</v>
      </c>
      <c r="AQ15" t="e">
        <f>AND('Planilla_General_03-12-2012_9_3'!J227,"AAAAACf/4io=")</f>
        <v>#VALUE!</v>
      </c>
      <c r="AR15" t="e">
        <f>AND('Planilla_General_03-12-2012_9_3'!K227,"AAAAACf/4is=")</f>
        <v>#VALUE!</v>
      </c>
      <c r="AS15" t="e">
        <f>AND('Planilla_General_03-12-2012_9_3'!L227,"AAAAACf/4iw=")</f>
        <v>#VALUE!</v>
      </c>
      <c r="AT15" t="e">
        <f>AND('Planilla_General_03-12-2012_9_3'!M227,"AAAAACf/4i0=")</f>
        <v>#VALUE!</v>
      </c>
      <c r="AU15" t="e">
        <f>AND('Planilla_General_03-12-2012_9_3'!N227,"AAAAACf/4i4=")</f>
        <v>#VALUE!</v>
      </c>
      <c r="AV15" t="e">
        <f>AND('Planilla_General_03-12-2012_9_3'!O227,"AAAAACf/4i8=")</f>
        <v>#VALUE!</v>
      </c>
      <c r="AW15">
        <f>IF('Planilla_General_03-12-2012_9_3'!228:228,"AAAAACf/4jA=",0)</f>
        <v>0</v>
      </c>
      <c r="AX15" t="e">
        <f>AND('Planilla_General_03-12-2012_9_3'!A228,"AAAAACf/4jE=")</f>
        <v>#VALUE!</v>
      </c>
      <c r="AY15" t="e">
        <f>AND('Planilla_General_03-12-2012_9_3'!B228,"AAAAACf/4jI=")</f>
        <v>#VALUE!</v>
      </c>
      <c r="AZ15" t="e">
        <f>AND('Planilla_General_03-12-2012_9_3'!C228,"AAAAACf/4jM=")</f>
        <v>#VALUE!</v>
      </c>
      <c r="BA15" t="e">
        <f>AND('Planilla_General_03-12-2012_9_3'!D228,"AAAAACf/4jQ=")</f>
        <v>#VALUE!</v>
      </c>
      <c r="BB15" t="e">
        <f>AND('Planilla_General_03-12-2012_9_3'!E228,"AAAAACf/4jU=")</f>
        <v>#VALUE!</v>
      </c>
      <c r="BC15" t="e">
        <f>AND('Planilla_General_03-12-2012_9_3'!F228,"AAAAACf/4jY=")</f>
        <v>#VALUE!</v>
      </c>
      <c r="BD15" t="e">
        <f>AND('Planilla_General_03-12-2012_9_3'!G228,"AAAAACf/4jc=")</f>
        <v>#VALUE!</v>
      </c>
      <c r="BE15" t="e">
        <f>AND('Planilla_General_03-12-2012_9_3'!H228,"AAAAACf/4jg=")</f>
        <v>#VALUE!</v>
      </c>
      <c r="BF15" t="e">
        <f>AND('Planilla_General_03-12-2012_9_3'!I228,"AAAAACf/4jk=")</f>
        <v>#VALUE!</v>
      </c>
      <c r="BG15" t="e">
        <f>AND('Planilla_General_03-12-2012_9_3'!J228,"AAAAACf/4jo=")</f>
        <v>#VALUE!</v>
      </c>
      <c r="BH15" t="e">
        <f>AND('Planilla_General_03-12-2012_9_3'!K228,"AAAAACf/4js=")</f>
        <v>#VALUE!</v>
      </c>
      <c r="BI15" t="e">
        <f>AND('Planilla_General_03-12-2012_9_3'!L228,"AAAAACf/4jw=")</f>
        <v>#VALUE!</v>
      </c>
      <c r="BJ15" t="e">
        <f>AND('Planilla_General_03-12-2012_9_3'!M228,"AAAAACf/4j0=")</f>
        <v>#VALUE!</v>
      </c>
      <c r="BK15" t="e">
        <f>AND('Planilla_General_03-12-2012_9_3'!N228,"AAAAACf/4j4=")</f>
        <v>#VALUE!</v>
      </c>
      <c r="BL15" t="e">
        <f>AND('Planilla_General_03-12-2012_9_3'!O228,"AAAAACf/4j8=")</f>
        <v>#VALUE!</v>
      </c>
      <c r="BM15">
        <f>IF('Planilla_General_03-12-2012_9_3'!229:229,"AAAAACf/4kA=",0)</f>
        <v>0</v>
      </c>
      <c r="BN15" t="e">
        <f>AND('Planilla_General_03-12-2012_9_3'!A229,"AAAAACf/4kE=")</f>
        <v>#VALUE!</v>
      </c>
      <c r="BO15" t="e">
        <f>AND('Planilla_General_03-12-2012_9_3'!B229,"AAAAACf/4kI=")</f>
        <v>#VALUE!</v>
      </c>
      <c r="BP15" t="e">
        <f>AND('Planilla_General_03-12-2012_9_3'!C229,"AAAAACf/4kM=")</f>
        <v>#VALUE!</v>
      </c>
      <c r="BQ15" t="e">
        <f>AND('Planilla_General_03-12-2012_9_3'!D229,"AAAAACf/4kQ=")</f>
        <v>#VALUE!</v>
      </c>
      <c r="BR15" t="e">
        <f>AND('Planilla_General_03-12-2012_9_3'!E229,"AAAAACf/4kU=")</f>
        <v>#VALUE!</v>
      </c>
      <c r="BS15" t="e">
        <f>AND('Planilla_General_03-12-2012_9_3'!F229,"AAAAACf/4kY=")</f>
        <v>#VALUE!</v>
      </c>
      <c r="BT15" t="e">
        <f>AND('Planilla_General_03-12-2012_9_3'!G229,"AAAAACf/4kc=")</f>
        <v>#VALUE!</v>
      </c>
      <c r="BU15" t="e">
        <f>AND('Planilla_General_03-12-2012_9_3'!H229,"AAAAACf/4kg=")</f>
        <v>#VALUE!</v>
      </c>
      <c r="BV15" t="e">
        <f>AND('Planilla_General_03-12-2012_9_3'!I229,"AAAAACf/4kk=")</f>
        <v>#VALUE!</v>
      </c>
      <c r="BW15" t="e">
        <f>AND('Planilla_General_03-12-2012_9_3'!J229,"AAAAACf/4ko=")</f>
        <v>#VALUE!</v>
      </c>
      <c r="BX15" t="e">
        <f>AND('Planilla_General_03-12-2012_9_3'!K229,"AAAAACf/4ks=")</f>
        <v>#VALUE!</v>
      </c>
      <c r="BY15" t="e">
        <f>AND('Planilla_General_03-12-2012_9_3'!L229,"AAAAACf/4kw=")</f>
        <v>#VALUE!</v>
      </c>
      <c r="BZ15" t="e">
        <f>AND('Planilla_General_03-12-2012_9_3'!M229,"AAAAACf/4k0=")</f>
        <v>#VALUE!</v>
      </c>
      <c r="CA15" t="e">
        <f>AND('Planilla_General_03-12-2012_9_3'!N229,"AAAAACf/4k4=")</f>
        <v>#VALUE!</v>
      </c>
      <c r="CB15" t="e">
        <f>AND('Planilla_General_03-12-2012_9_3'!O229,"AAAAACf/4k8=")</f>
        <v>#VALUE!</v>
      </c>
      <c r="CC15">
        <f>IF('Planilla_General_03-12-2012_9_3'!230:230,"AAAAACf/4lA=",0)</f>
        <v>0</v>
      </c>
      <c r="CD15" t="e">
        <f>AND('Planilla_General_03-12-2012_9_3'!A230,"AAAAACf/4lE=")</f>
        <v>#VALUE!</v>
      </c>
      <c r="CE15" t="e">
        <f>AND('Planilla_General_03-12-2012_9_3'!B230,"AAAAACf/4lI=")</f>
        <v>#VALUE!</v>
      </c>
      <c r="CF15" t="e">
        <f>AND('Planilla_General_03-12-2012_9_3'!C230,"AAAAACf/4lM=")</f>
        <v>#VALUE!</v>
      </c>
      <c r="CG15" t="e">
        <f>AND('Planilla_General_03-12-2012_9_3'!D230,"AAAAACf/4lQ=")</f>
        <v>#VALUE!</v>
      </c>
      <c r="CH15" t="e">
        <f>AND('Planilla_General_03-12-2012_9_3'!E230,"AAAAACf/4lU=")</f>
        <v>#VALUE!</v>
      </c>
      <c r="CI15" t="e">
        <f>AND('Planilla_General_03-12-2012_9_3'!F230,"AAAAACf/4lY=")</f>
        <v>#VALUE!</v>
      </c>
      <c r="CJ15" t="e">
        <f>AND('Planilla_General_03-12-2012_9_3'!G230,"AAAAACf/4lc=")</f>
        <v>#VALUE!</v>
      </c>
      <c r="CK15" t="e">
        <f>AND('Planilla_General_03-12-2012_9_3'!H230,"AAAAACf/4lg=")</f>
        <v>#VALUE!</v>
      </c>
      <c r="CL15" t="e">
        <f>AND('Planilla_General_03-12-2012_9_3'!I230,"AAAAACf/4lk=")</f>
        <v>#VALUE!</v>
      </c>
      <c r="CM15" t="e">
        <f>AND('Planilla_General_03-12-2012_9_3'!J230,"AAAAACf/4lo=")</f>
        <v>#VALUE!</v>
      </c>
      <c r="CN15" t="e">
        <f>AND('Planilla_General_03-12-2012_9_3'!K230,"AAAAACf/4ls=")</f>
        <v>#VALUE!</v>
      </c>
      <c r="CO15" t="e">
        <f>AND('Planilla_General_03-12-2012_9_3'!L230,"AAAAACf/4lw=")</f>
        <v>#VALUE!</v>
      </c>
      <c r="CP15" t="e">
        <f>AND('Planilla_General_03-12-2012_9_3'!M230,"AAAAACf/4l0=")</f>
        <v>#VALUE!</v>
      </c>
      <c r="CQ15" t="e">
        <f>AND('Planilla_General_03-12-2012_9_3'!N230,"AAAAACf/4l4=")</f>
        <v>#VALUE!</v>
      </c>
      <c r="CR15" t="e">
        <f>AND('Planilla_General_03-12-2012_9_3'!O230,"AAAAACf/4l8=")</f>
        <v>#VALUE!</v>
      </c>
      <c r="CS15">
        <f>IF('Planilla_General_03-12-2012_9_3'!231:231,"AAAAACf/4mA=",0)</f>
        <v>0</v>
      </c>
      <c r="CT15" t="e">
        <f>AND('Planilla_General_03-12-2012_9_3'!A231,"AAAAACf/4mE=")</f>
        <v>#VALUE!</v>
      </c>
      <c r="CU15" t="e">
        <f>AND('Planilla_General_03-12-2012_9_3'!B231,"AAAAACf/4mI=")</f>
        <v>#VALUE!</v>
      </c>
      <c r="CV15" t="e">
        <f>AND('Planilla_General_03-12-2012_9_3'!C231,"AAAAACf/4mM=")</f>
        <v>#VALUE!</v>
      </c>
      <c r="CW15" t="e">
        <f>AND('Planilla_General_03-12-2012_9_3'!D231,"AAAAACf/4mQ=")</f>
        <v>#VALUE!</v>
      </c>
      <c r="CX15" t="e">
        <f>AND('Planilla_General_03-12-2012_9_3'!E231,"AAAAACf/4mU=")</f>
        <v>#VALUE!</v>
      </c>
      <c r="CY15" t="e">
        <f>AND('Planilla_General_03-12-2012_9_3'!F231,"AAAAACf/4mY=")</f>
        <v>#VALUE!</v>
      </c>
      <c r="CZ15" t="e">
        <f>AND('Planilla_General_03-12-2012_9_3'!G231,"AAAAACf/4mc=")</f>
        <v>#VALUE!</v>
      </c>
      <c r="DA15" t="e">
        <f>AND('Planilla_General_03-12-2012_9_3'!H231,"AAAAACf/4mg=")</f>
        <v>#VALUE!</v>
      </c>
      <c r="DB15" t="e">
        <f>AND('Planilla_General_03-12-2012_9_3'!I231,"AAAAACf/4mk=")</f>
        <v>#VALUE!</v>
      </c>
      <c r="DC15" t="e">
        <f>AND('Planilla_General_03-12-2012_9_3'!J231,"AAAAACf/4mo=")</f>
        <v>#VALUE!</v>
      </c>
      <c r="DD15" t="e">
        <f>AND('Planilla_General_03-12-2012_9_3'!K231,"AAAAACf/4ms=")</f>
        <v>#VALUE!</v>
      </c>
      <c r="DE15" t="e">
        <f>AND('Planilla_General_03-12-2012_9_3'!L231,"AAAAACf/4mw=")</f>
        <v>#VALUE!</v>
      </c>
      <c r="DF15" t="e">
        <f>AND('Planilla_General_03-12-2012_9_3'!M231,"AAAAACf/4m0=")</f>
        <v>#VALUE!</v>
      </c>
      <c r="DG15" t="e">
        <f>AND('Planilla_General_03-12-2012_9_3'!N231,"AAAAACf/4m4=")</f>
        <v>#VALUE!</v>
      </c>
      <c r="DH15" t="e">
        <f>AND('Planilla_General_03-12-2012_9_3'!O231,"AAAAACf/4m8=")</f>
        <v>#VALUE!</v>
      </c>
      <c r="DI15">
        <f>IF('Planilla_General_03-12-2012_9_3'!232:232,"AAAAACf/4nA=",0)</f>
        <v>0</v>
      </c>
      <c r="DJ15" t="e">
        <f>AND('Planilla_General_03-12-2012_9_3'!A232,"AAAAACf/4nE=")</f>
        <v>#VALUE!</v>
      </c>
      <c r="DK15" t="e">
        <f>AND('Planilla_General_03-12-2012_9_3'!B232,"AAAAACf/4nI=")</f>
        <v>#VALUE!</v>
      </c>
      <c r="DL15" t="e">
        <f>AND('Planilla_General_03-12-2012_9_3'!C232,"AAAAACf/4nM=")</f>
        <v>#VALUE!</v>
      </c>
      <c r="DM15" t="e">
        <f>AND('Planilla_General_03-12-2012_9_3'!D232,"AAAAACf/4nQ=")</f>
        <v>#VALUE!</v>
      </c>
      <c r="DN15" t="e">
        <f>AND('Planilla_General_03-12-2012_9_3'!E232,"AAAAACf/4nU=")</f>
        <v>#VALUE!</v>
      </c>
      <c r="DO15" t="e">
        <f>AND('Planilla_General_03-12-2012_9_3'!F232,"AAAAACf/4nY=")</f>
        <v>#VALUE!</v>
      </c>
      <c r="DP15" t="e">
        <f>AND('Planilla_General_03-12-2012_9_3'!G232,"AAAAACf/4nc=")</f>
        <v>#VALUE!</v>
      </c>
      <c r="DQ15" t="e">
        <f>AND('Planilla_General_03-12-2012_9_3'!H232,"AAAAACf/4ng=")</f>
        <v>#VALUE!</v>
      </c>
      <c r="DR15" t="e">
        <f>AND('Planilla_General_03-12-2012_9_3'!I232,"AAAAACf/4nk=")</f>
        <v>#VALUE!</v>
      </c>
      <c r="DS15" t="e">
        <f>AND('Planilla_General_03-12-2012_9_3'!J232,"AAAAACf/4no=")</f>
        <v>#VALUE!</v>
      </c>
      <c r="DT15" t="e">
        <f>AND('Planilla_General_03-12-2012_9_3'!K232,"AAAAACf/4ns=")</f>
        <v>#VALUE!</v>
      </c>
      <c r="DU15" t="e">
        <f>AND('Planilla_General_03-12-2012_9_3'!L232,"AAAAACf/4nw=")</f>
        <v>#VALUE!</v>
      </c>
      <c r="DV15" t="e">
        <f>AND('Planilla_General_03-12-2012_9_3'!M232,"AAAAACf/4n0=")</f>
        <v>#VALUE!</v>
      </c>
      <c r="DW15" t="e">
        <f>AND('Planilla_General_03-12-2012_9_3'!N232,"AAAAACf/4n4=")</f>
        <v>#VALUE!</v>
      </c>
      <c r="DX15" t="e">
        <f>AND('Planilla_General_03-12-2012_9_3'!O232,"AAAAACf/4n8=")</f>
        <v>#VALUE!</v>
      </c>
      <c r="DY15">
        <f>IF('Planilla_General_03-12-2012_9_3'!233:233,"AAAAACf/4oA=",0)</f>
        <v>0</v>
      </c>
      <c r="DZ15" t="e">
        <f>AND('Planilla_General_03-12-2012_9_3'!A233,"AAAAACf/4oE=")</f>
        <v>#VALUE!</v>
      </c>
      <c r="EA15" t="e">
        <f>AND('Planilla_General_03-12-2012_9_3'!B233,"AAAAACf/4oI=")</f>
        <v>#VALUE!</v>
      </c>
      <c r="EB15" t="e">
        <f>AND('Planilla_General_03-12-2012_9_3'!C233,"AAAAACf/4oM=")</f>
        <v>#VALUE!</v>
      </c>
      <c r="EC15" t="e">
        <f>AND('Planilla_General_03-12-2012_9_3'!D233,"AAAAACf/4oQ=")</f>
        <v>#VALUE!</v>
      </c>
      <c r="ED15" t="e">
        <f>AND('Planilla_General_03-12-2012_9_3'!E233,"AAAAACf/4oU=")</f>
        <v>#VALUE!</v>
      </c>
      <c r="EE15" t="e">
        <f>AND('Planilla_General_03-12-2012_9_3'!F233,"AAAAACf/4oY=")</f>
        <v>#VALUE!</v>
      </c>
      <c r="EF15" t="e">
        <f>AND('Planilla_General_03-12-2012_9_3'!G233,"AAAAACf/4oc=")</f>
        <v>#VALUE!</v>
      </c>
      <c r="EG15" t="e">
        <f>AND('Planilla_General_03-12-2012_9_3'!H233,"AAAAACf/4og=")</f>
        <v>#VALUE!</v>
      </c>
      <c r="EH15" t="e">
        <f>AND('Planilla_General_03-12-2012_9_3'!I233,"AAAAACf/4ok=")</f>
        <v>#VALUE!</v>
      </c>
      <c r="EI15" t="e">
        <f>AND('Planilla_General_03-12-2012_9_3'!J233,"AAAAACf/4oo=")</f>
        <v>#VALUE!</v>
      </c>
      <c r="EJ15" t="e">
        <f>AND('Planilla_General_03-12-2012_9_3'!K233,"AAAAACf/4os=")</f>
        <v>#VALUE!</v>
      </c>
      <c r="EK15" t="e">
        <f>AND('Planilla_General_03-12-2012_9_3'!L233,"AAAAACf/4ow=")</f>
        <v>#VALUE!</v>
      </c>
      <c r="EL15" t="e">
        <f>AND('Planilla_General_03-12-2012_9_3'!M233,"AAAAACf/4o0=")</f>
        <v>#VALUE!</v>
      </c>
      <c r="EM15" t="e">
        <f>AND('Planilla_General_03-12-2012_9_3'!N233,"AAAAACf/4o4=")</f>
        <v>#VALUE!</v>
      </c>
      <c r="EN15" t="e">
        <f>AND('Planilla_General_03-12-2012_9_3'!O233,"AAAAACf/4o8=")</f>
        <v>#VALUE!</v>
      </c>
      <c r="EO15">
        <f>IF('Planilla_General_03-12-2012_9_3'!234:234,"AAAAACf/4pA=",0)</f>
        <v>0</v>
      </c>
      <c r="EP15" t="e">
        <f>AND('Planilla_General_03-12-2012_9_3'!A234,"AAAAACf/4pE=")</f>
        <v>#VALUE!</v>
      </c>
      <c r="EQ15" t="e">
        <f>AND('Planilla_General_03-12-2012_9_3'!B234,"AAAAACf/4pI=")</f>
        <v>#VALUE!</v>
      </c>
      <c r="ER15" t="e">
        <f>AND('Planilla_General_03-12-2012_9_3'!C234,"AAAAACf/4pM=")</f>
        <v>#VALUE!</v>
      </c>
      <c r="ES15" t="e">
        <f>AND('Planilla_General_03-12-2012_9_3'!D234,"AAAAACf/4pQ=")</f>
        <v>#VALUE!</v>
      </c>
      <c r="ET15" t="e">
        <f>AND('Planilla_General_03-12-2012_9_3'!E234,"AAAAACf/4pU=")</f>
        <v>#VALUE!</v>
      </c>
      <c r="EU15" t="e">
        <f>AND('Planilla_General_03-12-2012_9_3'!F234,"AAAAACf/4pY=")</f>
        <v>#VALUE!</v>
      </c>
      <c r="EV15" t="e">
        <f>AND('Planilla_General_03-12-2012_9_3'!G234,"AAAAACf/4pc=")</f>
        <v>#VALUE!</v>
      </c>
      <c r="EW15" t="e">
        <f>AND('Planilla_General_03-12-2012_9_3'!H234,"AAAAACf/4pg=")</f>
        <v>#VALUE!</v>
      </c>
      <c r="EX15" t="e">
        <f>AND('Planilla_General_03-12-2012_9_3'!I234,"AAAAACf/4pk=")</f>
        <v>#VALUE!</v>
      </c>
      <c r="EY15" t="e">
        <f>AND('Planilla_General_03-12-2012_9_3'!J234,"AAAAACf/4po=")</f>
        <v>#VALUE!</v>
      </c>
      <c r="EZ15" t="e">
        <f>AND('Planilla_General_03-12-2012_9_3'!K234,"AAAAACf/4ps=")</f>
        <v>#VALUE!</v>
      </c>
      <c r="FA15" t="e">
        <f>AND('Planilla_General_03-12-2012_9_3'!L234,"AAAAACf/4pw=")</f>
        <v>#VALUE!</v>
      </c>
      <c r="FB15" t="e">
        <f>AND('Planilla_General_03-12-2012_9_3'!M234,"AAAAACf/4p0=")</f>
        <v>#VALUE!</v>
      </c>
      <c r="FC15" t="e">
        <f>AND('Planilla_General_03-12-2012_9_3'!N234,"AAAAACf/4p4=")</f>
        <v>#VALUE!</v>
      </c>
      <c r="FD15" t="e">
        <f>AND('Planilla_General_03-12-2012_9_3'!O234,"AAAAACf/4p8=")</f>
        <v>#VALUE!</v>
      </c>
      <c r="FE15">
        <f>IF('Planilla_General_03-12-2012_9_3'!235:235,"AAAAACf/4qA=",0)</f>
        <v>0</v>
      </c>
      <c r="FF15" t="e">
        <f>AND('Planilla_General_03-12-2012_9_3'!A235,"AAAAACf/4qE=")</f>
        <v>#VALUE!</v>
      </c>
      <c r="FG15" t="e">
        <f>AND('Planilla_General_03-12-2012_9_3'!B235,"AAAAACf/4qI=")</f>
        <v>#VALUE!</v>
      </c>
      <c r="FH15" t="e">
        <f>AND('Planilla_General_03-12-2012_9_3'!C235,"AAAAACf/4qM=")</f>
        <v>#VALUE!</v>
      </c>
      <c r="FI15" t="e">
        <f>AND('Planilla_General_03-12-2012_9_3'!D235,"AAAAACf/4qQ=")</f>
        <v>#VALUE!</v>
      </c>
      <c r="FJ15" t="e">
        <f>AND('Planilla_General_03-12-2012_9_3'!E235,"AAAAACf/4qU=")</f>
        <v>#VALUE!</v>
      </c>
      <c r="FK15" t="e">
        <f>AND('Planilla_General_03-12-2012_9_3'!F235,"AAAAACf/4qY=")</f>
        <v>#VALUE!</v>
      </c>
      <c r="FL15" t="e">
        <f>AND('Planilla_General_03-12-2012_9_3'!G235,"AAAAACf/4qc=")</f>
        <v>#VALUE!</v>
      </c>
      <c r="FM15" t="e">
        <f>AND('Planilla_General_03-12-2012_9_3'!H235,"AAAAACf/4qg=")</f>
        <v>#VALUE!</v>
      </c>
      <c r="FN15" t="e">
        <f>AND('Planilla_General_03-12-2012_9_3'!I235,"AAAAACf/4qk=")</f>
        <v>#VALUE!</v>
      </c>
      <c r="FO15" t="e">
        <f>AND('Planilla_General_03-12-2012_9_3'!J235,"AAAAACf/4qo=")</f>
        <v>#VALUE!</v>
      </c>
      <c r="FP15" t="e">
        <f>AND('Planilla_General_03-12-2012_9_3'!K235,"AAAAACf/4qs=")</f>
        <v>#VALUE!</v>
      </c>
      <c r="FQ15" t="e">
        <f>AND('Planilla_General_03-12-2012_9_3'!L235,"AAAAACf/4qw=")</f>
        <v>#VALUE!</v>
      </c>
      <c r="FR15" t="e">
        <f>AND('Planilla_General_03-12-2012_9_3'!M235,"AAAAACf/4q0=")</f>
        <v>#VALUE!</v>
      </c>
      <c r="FS15" t="e">
        <f>AND('Planilla_General_03-12-2012_9_3'!N235,"AAAAACf/4q4=")</f>
        <v>#VALUE!</v>
      </c>
      <c r="FT15" t="e">
        <f>AND('Planilla_General_03-12-2012_9_3'!O235,"AAAAACf/4q8=")</f>
        <v>#VALUE!</v>
      </c>
      <c r="FU15">
        <f>IF('Planilla_General_03-12-2012_9_3'!236:236,"AAAAACf/4rA=",0)</f>
        <v>0</v>
      </c>
      <c r="FV15" t="e">
        <f>AND('Planilla_General_03-12-2012_9_3'!A236,"AAAAACf/4rE=")</f>
        <v>#VALUE!</v>
      </c>
      <c r="FW15" t="e">
        <f>AND('Planilla_General_03-12-2012_9_3'!B236,"AAAAACf/4rI=")</f>
        <v>#VALUE!</v>
      </c>
      <c r="FX15" t="e">
        <f>AND('Planilla_General_03-12-2012_9_3'!C236,"AAAAACf/4rM=")</f>
        <v>#VALUE!</v>
      </c>
      <c r="FY15" t="e">
        <f>AND('Planilla_General_03-12-2012_9_3'!D236,"AAAAACf/4rQ=")</f>
        <v>#VALUE!</v>
      </c>
      <c r="FZ15" t="e">
        <f>AND('Planilla_General_03-12-2012_9_3'!E236,"AAAAACf/4rU=")</f>
        <v>#VALUE!</v>
      </c>
      <c r="GA15" t="e">
        <f>AND('Planilla_General_03-12-2012_9_3'!F236,"AAAAACf/4rY=")</f>
        <v>#VALUE!</v>
      </c>
      <c r="GB15" t="e">
        <f>AND('Planilla_General_03-12-2012_9_3'!G236,"AAAAACf/4rc=")</f>
        <v>#VALUE!</v>
      </c>
      <c r="GC15" t="e">
        <f>AND('Planilla_General_03-12-2012_9_3'!H236,"AAAAACf/4rg=")</f>
        <v>#VALUE!</v>
      </c>
      <c r="GD15" t="e">
        <f>AND('Planilla_General_03-12-2012_9_3'!I236,"AAAAACf/4rk=")</f>
        <v>#VALUE!</v>
      </c>
      <c r="GE15" t="e">
        <f>AND('Planilla_General_03-12-2012_9_3'!J236,"AAAAACf/4ro=")</f>
        <v>#VALUE!</v>
      </c>
      <c r="GF15" t="e">
        <f>AND('Planilla_General_03-12-2012_9_3'!K236,"AAAAACf/4rs=")</f>
        <v>#VALUE!</v>
      </c>
      <c r="GG15" t="e">
        <f>AND('Planilla_General_03-12-2012_9_3'!L236,"AAAAACf/4rw=")</f>
        <v>#VALUE!</v>
      </c>
      <c r="GH15" t="e">
        <f>AND('Planilla_General_03-12-2012_9_3'!M236,"AAAAACf/4r0=")</f>
        <v>#VALUE!</v>
      </c>
      <c r="GI15" t="e">
        <f>AND('Planilla_General_03-12-2012_9_3'!N236,"AAAAACf/4r4=")</f>
        <v>#VALUE!</v>
      </c>
      <c r="GJ15" t="e">
        <f>AND('Planilla_General_03-12-2012_9_3'!O236,"AAAAACf/4r8=")</f>
        <v>#VALUE!</v>
      </c>
      <c r="GK15">
        <f>IF('Planilla_General_03-12-2012_9_3'!237:237,"AAAAACf/4sA=",0)</f>
        <v>0</v>
      </c>
      <c r="GL15" t="e">
        <f>AND('Planilla_General_03-12-2012_9_3'!A237,"AAAAACf/4sE=")</f>
        <v>#VALUE!</v>
      </c>
      <c r="GM15" t="e">
        <f>AND('Planilla_General_03-12-2012_9_3'!B237,"AAAAACf/4sI=")</f>
        <v>#VALUE!</v>
      </c>
      <c r="GN15" t="e">
        <f>AND('Planilla_General_03-12-2012_9_3'!C237,"AAAAACf/4sM=")</f>
        <v>#VALUE!</v>
      </c>
      <c r="GO15" t="e">
        <f>AND('Planilla_General_03-12-2012_9_3'!D237,"AAAAACf/4sQ=")</f>
        <v>#VALUE!</v>
      </c>
      <c r="GP15" t="e">
        <f>AND('Planilla_General_03-12-2012_9_3'!E237,"AAAAACf/4sU=")</f>
        <v>#VALUE!</v>
      </c>
      <c r="GQ15" t="e">
        <f>AND('Planilla_General_03-12-2012_9_3'!F237,"AAAAACf/4sY=")</f>
        <v>#VALUE!</v>
      </c>
      <c r="GR15" t="e">
        <f>AND('Planilla_General_03-12-2012_9_3'!G237,"AAAAACf/4sc=")</f>
        <v>#VALUE!</v>
      </c>
      <c r="GS15" t="e">
        <f>AND('Planilla_General_03-12-2012_9_3'!H237,"AAAAACf/4sg=")</f>
        <v>#VALUE!</v>
      </c>
      <c r="GT15" t="e">
        <f>AND('Planilla_General_03-12-2012_9_3'!I237,"AAAAACf/4sk=")</f>
        <v>#VALUE!</v>
      </c>
      <c r="GU15" t="e">
        <f>AND('Planilla_General_03-12-2012_9_3'!J237,"AAAAACf/4so=")</f>
        <v>#VALUE!</v>
      </c>
      <c r="GV15" t="e">
        <f>AND('Planilla_General_03-12-2012_9_3'!K237,"AAAAACf/4ss=")</f>
        <v>#VALUE!</v>
      </c>
      <c r="GW15" t="e">
        <f>AND('Planilla_General_03-12-2012_9_3'!L237,"AAAAACf/4sw=")</f>
        <v>#VALUE!</v>
      </c>
      <c r="GX15" t="e">
        <f>AND('Planilla_General_03-12-2012_9_3'!M237,"AAAAACf/4s0=")</f>
        <v>#VALUE!</v>
      </c>
      <c r="GY15" t="e">
        <f>AND('Planilla_General_03-12-2012_9_3'!N237,"AAAAACf/4s4=")</f>
        <v>#VALUE!</v>
      </c>
      <c r="GZ15" t="e">
        <f>AND('Planilla_General_03-12-2012_9_3'!O237,"AAAAACf/4s8=")</f>
        <v>#VALUE!</v>
      </c>
      <c r="HA15">
        <f>IF('Planilla_General_03-12-2012_9_3'!238:238,"AAAAACf/4tA=",0)</f>
        <v>0</v>
      </c>
      <c r="HB15" t="e">
        <f>AND('Planilla_General_03-12-2012_9_3'!A238,"AAAAACf/4tE=")</f>
        <v>#VALUE!</v>
      </c>
      <c r="HC15" t="e">
        <f>AND('Planilla_General_03-12-2012_9_3'!B238,"AAAAACf/4tI=")</f>
        <v>#VALUE!</v>
      </c>
      <c r="HD15" t="e">
        <f>AND('Planilla_General_03-12-2012_9_3'!C238,"AAAAACf/4tM=")</f>
        <v>#VALUE!</v>
      </c>
      <c r="HE15" t="e">
        <f>AND('Planilla_General_03-12-2012_9_3'!D238,"AAAAACf/4tQ=")</f>
        <v>#VALUE!</v>
      </c>
      <c r="HF15" t="e">
        <f>AND('Planilla_General_03-12-2012_9_3'!E238,"AAAAACf/4tU=")</f>
        <v>#VALUE!</v>
      </c>
      <c r="HG15" t="e">
        <f>AND('Planilla_General_03-12-2012_9_3'!F238,"AAAAACf/4tY=")</f>
        <v>#VALUE!</v>
      </c>
      <c r="HH15" t="e">
        <f>AND('Planilla_General_03-12-2012_9_3'!G238,"AAAAACf/4tc=")</f>
        <v>#VALUE!</v>
      </c>
      <c r="HI15" t="e">
        <f>AND('Planilla_General_03-12-2012_9_3'!H238,"AAAAACf/4tg=")</f>
        <v>#VALUE!</v>
      </c>
      <c r="HJ15" t="e">
        <f>AND('Planilla_General_03-12-2012_9_3'!I238,"AAAAACf/4tk=")</f>
        <v>#VALUE!</v>
      </c>
      <c r="HK15" t="e">
        <f>AND('Planilla_General_03-12-2012_9_3'!J238,"AAAAACf/4to=")</f>
        <v>#VALUE!</v>
      </c>
      <c r="HL15" t="e">
        <f>AND('Planilla_General_03-12-2012_9_3'!K238,"AAAAACf/4ts=")</f>
        <v>#VALUE!</v>
      </c>
      <c r="HM15" t="e">
        <f>AND('Planilla_General_03-12-2012_9_3'!L238,"AAAAACf/4tw=")</f>
        <v>#VALUE!</v>
      </c>
      <c r="HN15" t="e">
        <f>AND('Planilla_General_03-12-2012_9_3'!M238,"AAAAACf/4t0=")</f>
        <v>#VALUE!</v>
      </c>
      <c r="HO15" t="e">
        <f>AND('Planilla_General_03-12-2012_9_3'!N238,"AAAAACf/4t4=")</f>
        <v>#VALUE!</v>
      </c>
      <c r="HP15" t="e">
        <f>AND('Planilla_General_03-12-2012_9_3'!O238,"AAAAACf/4t8=")</f>
        <v>#VALUE!</v>
      </c>
      <c r="HQ15">
        <f>IF('Planilla_General_03-12-2012_9_3'!239:239,"AAAAACf/4uA=",0)</f>
        <v>0</v>
      </c>
      <c r="HR15" t="e">
        <f>AND('Planilla_General_03-12-2012_9_3'!A239,"AAAAACf/4uE=")</f>
        <v>#VALUE!</v>
      </c>
      <c r="HS15" t="e">
        <f>AND('Planilla_General_03-12-2012_9_3'!B239,"AAAAACf/4uI=")</f>
        <v>#VALUE!</v>
      </c>
      <c r="HT15" t="e">
        <f>AND('Planilla_General_03-12-2012_9_3'!C239,"AAAAACf/4uM=")</f>
        <v>#VALUE!</v>
      </c>
      <c r="HU15" t="e">
        <f>AND('Planilla_General_03-12-2012_9_3'!D239,"AAAAACf/4uQ=")</f>
        <v>#VALUE!</v>
      </c>
      <c r="HV15" t="e">
        <f>AND('Planilla_General_03-12-2012_9_3'!E239,"AAAAACf/4uU=")</f>
        <v>#VALUE!</v>
      </c>
      <c r="HW15" t="e">
        <f>AND('Planilla_General_03-12-2012_9_3'!F239,"AAAAACf/4uY=")</f>
        <v>#VALUE!</v>
      </c>
      <c r="HX15" t="e">
        <f>AND('Planilla_General_03-12-2012_9_3'!G239,"AAAAACf/4uc=")</f>
        <v>#VALUE!</v>
      </c>
      <c r="HY15" t="e">
        <f>AND('Planilla_General_03-12-2012_9_3'!H239,"AAAAACf/4ug=")</f>
        <v>#VALUE!</v>
      </c>
      <c r="HZ15" t="e">
        <f>AND('Planilla_General_03-12-2012_9_3'!I239,"AAAAACf/4uk=")</f>
        <v>#VALUE!</v>
      </c>
      <c r="IA15" t="e">
        <f>AND('Planilla_General_03-12-2012_9_3'!J239,"AAAAACf/4uo=")</f>
        <v>#VALUE!</v>
      </c>
      <c r="IB15" t="e">
        <f>AND('Planilla_General_03-12-2012_9_3'!K239,"AAAAACf/4us=")</f>
        <v>#VALUE!</v>
      </c>
      <c r="IC15" t="e">
        <f>AND('Planilla_General_03-12-2012_9_3'!L239,"AAAAACf/4uw=")</f>
        <v>#VALUE!</v>
      </c>
      <c r="ID15" t="e">
        <f>AND('Planilla_General_03-12-2012_9_3'!M239,"AAAAACf/4u0=")</f>
        <v>#VALUE!</v>
      </c>
      <c r="IE15" t="e">
        <f>AND('Planilla_General_03-12-2012_9_3'!N239,"AAAAACf/4u4=")</f>
        <v>#VALUE!</v>
      </c>
      <c r="IF15" t="e">
        <f>AND('Planilla_General_03-12-2012_9_3'!O239,"AAAAACf/4u8=")</f>
        <v>#VALUE!</v>
      </c>
      <c r="IG15">
        <f>IF('Planilla_General_03-12-2012_9_3'!240:240,"AAAAACf/4vA=",0)</f>
        <v>0</v>
      </c>
      <c r="IH15" t="e">
        <f>AND('Planilla_General_03-12-2012_9_3'!A240,"AAAAACf/4vE=")</f>
        <v>#VALUE!</v>
      </c>
      <c r="II15" t="e">
        <f>AND('Planilla_General_03-12-2012_9_3'!B240,"AAAAACf/4vI=")</f>
        <v>#VALUE!</v>
      </c>
      <c r="IJ15" t="e">
        <f>AND('Planilla_General_03-12-2012_9_3'!C240,"AAAAACf/4vM=")</f>
        <v>#VALUE!</v>
      </c>
      <c r="IK15" t="e">
        <f>AND('Planilla_General_03-12-2012_9_3'!D240,"AAAAACf/4vQ=")</f>
        <v>#VALUE!</v>
      </c>
      <c r="IL15" t="e">
        <f>AND('Planilla_General_03-12-2012_9_3'!E240,"AAAAACf/4vU=")</f>
        <v>#VALUE!</v>
      </c>
      <c r="IM15" t="e">
        <f>AND('Planilla_General_03-12-2012_9_3'!F240,"AAAAACf/4vY=")</f>
        <v>#VALUE!</v>
      </c>
      <c r="IN15" t="e">
        <f>AND('Planilla_General_03-12-2012_9_3'!G240,"AAAAACf/4vc=")</f>
        <v>#VALUE!</v>
      </c>
      <c r="IO15" t="e">
        <f>AND('Planilla_General_03-12-2012_9_3'!H240,"AAAAACf/4vg=")</f>
        <v>#VALUE!</v>
      </c>
      <c r="IP15" t="e">
        <f>AND('Planilla_General_03-12-2012_9_3'!I240,"AAAAACf/4vk=")</f>
        <v>#VALUE!</v>
      </c>
      <c r="IQ15" t="e">
        <f>AND('Planilla_General_03-12-2012_9_3'!J240,"AAAAACf/4vo=")</f>
        <v>#VALUE!</v>
      </c>
      <c r="IR15" t="e">
        <f>AND('Planilla_General_03-12-2012_9_3'!K240,"AAAAACf/4vs=")</f>
        <v>#VALUE!</v>
      </c>
      <c r="IS15" t="e">
        <f>AND('Planilla_General_03-12-2012_9_3'!L240,"AAAAACf/4vw=")</f>
        <v>#VALUE!</v>
      </c>
      <c r="IT15" t="e">
        <f>AND('Planilla_General_03-12-2012_9_3'!M240,"AAAAACf/4v0=")</f>
        <v>#VALUE!</v>
      </c>
      <c r="IU15" t="e">
        <f>AND('Planilla_General_03-12-2012_9_3'!N240,"AAAAACf/4v4=")</f>
        <v>#VALUE!</v>
      </c>
      <c r="IV15" t="e">
        <f>AND('Planilla_General_03-12-2012_9_3'!O240,"AAAAACf/4v8=")</f>
        <v>#VALUE!</v>
      </c>
    </row>
    <row r="16" spans="1:256" x14ac:dyDescent="0.25">
      <c r="A16" t="e">
        <f>IF('Planilla_General_03-12-2012_9_3'!241:241,"AAAAAH397QA=",0)</f>
        <v>#VALUE!</v>
      </c>
      <c r="B16" t="e">
        <f>AND('Planilla_General_03-12-2012_9_3'!A241,"AAAAAH397QE=")</f>
        <v>#VALUE!</v>
      </c>
      <c r="C16" t="e">
        <f>AND('Planilla_General_03-12-2012_9_3'!B241,"AAAAAH397QI=")</f>
        <v>#VALUE!</v>
      </c>
      <c r="D16" t="e">
        <f>AND('Planilla_General_03-12-2012_9_3'!C241,"AAAAAH397QM=")</f>
        <v>#VALUE!</v>
      </c>
      <c r="E16" t="e">
        <f>AND('Planilla_General_03-12-2012_9_3'!D241,"AAAAAH397QQ=")</f>
        <v>#VALUE!</v>
      </c>
      <c r="F16" t="e">
        <f>AND('Planilla_General_03-12-2012_9_3'!E241,"AAAAAH397QU=")</f>
        <v>#VALUE!</v>
      </c>
      <c r="G16" t="e">
        <f>AND('Planilla_General_03-12-2012_9_3'!F241,"AAAAAH397QY=")</f>
        <v>#VALUE!</v>
      </c>
      <c r="H16" t="e">
        <f>AND('Planilla_General_03-12-2012_9_3'!G241,"AAAAAH397Qc=")</f>
        <v>#VALUE!</v>
      </c>
      <c r="I16" t="e">
        <f>AND('Planilla_General_03-12-2012_9_3'!H241,"AAAAAH397Qg=")</f>
        <v>#VALUE!</v>
      </c>
      <c r="J16" t="e">
        <f>AND('Planilla_General_03-12-2012_9_3'!I241,"AAAAAH397Qk=")</f>
        <v>#VALUE!</v>
      </c>
      <c r="K16" t="e">
        <f>AND('Planilla_General_03-12-2012_9_3'!J241,"AAAAAH397Qo=")</f>
        <v>#VALUE!</v>
      </c>
      <c r="L16" t="e">
        <f>AND('Planilla_General_03-12-2012_9_3'!K241,"AAAAAH397Qs=")</f>
        <v>#VALUE!</v>
      </c>
      <c r="M16" t="e">
        <f>AND('Planilla_General_03-12-2012_9_3'!L241,"AAAAAH397Qw=")</f>
        <v>#VALUE!</v>
      </c>
      <c r="N16" t="e">
        <f>AND('Planilla_General_03-12-2012_9_3'!M241,"AAAAAH397Q0=")</f>
        <v>#VALUE!</v>
      </c>
      <c r="O16" t="e">
        <f>AND('Planilla_General_03-12-2012_9_3'!N241,"AAAAAH397Q4=")</f>
        <v>#VALUE!</v>
      </c>
      <c r="P16" t="e">
        <f>AND('Planilla_General_03-12-2012_9_3'!O241,"AAAAAH397Q8=")</f>
        <v>#VALUE!</v>
      </c>
      <c r="Q16">
        <f>IF('Planilla_General_03-12-2012_9_3'!242:242,"AAAAAH397RA=",0)</f>
        <v>0</v>
      </c>
      <c r="R16" t="e">
        <f>AND('Planilla_General_03-12-2012_9_3'!A242,"AAAAAH397RE=")</f>
        <v>#VALUE!</v>
      </c>
      <c r="S16" t="e">
        <f>AND('Planilla_General_03-12-2012_9_3'!B242,"AAAAAH397RI=")</f>
        <v>#VALUE!</v>
      </c>
      <c r="T16" t="e">
        <f>AND('Planilla_General_03-12-2012_9_3'!C242,"AAAAAH397RM=")</f>
        <v>#VALUE!</v>
      </c>
      <c r="U16" t="e">
        <f>AND('Planilla_General_03-12-2012_9_3'!D242,"AAAAAH397RQ=")</f>
        <v>#VALUE!</v>
      </c>
      <c r="V16" t="e">
        <f>AND('Planilla_General_03-12-2012_9_3'!E242,"AAAAAH397RU=")</f>
        <v>#VALUE!</v>
      </c>
      <c r="W16" t="e">
        <f>AND('Planilla_General_03-12-2012_9_3'!F242,"AAAAAH397RY=")</f>
        <v>#VALUE!</v>
      </c>
      <c r="X16" t="e">
        <f>AND('Planilla_General_03-12-2012_9_3'!G242,"AAAAAH397Rc=")</f>
        <v>#VALUE!</v>
      </c>
      <c r="Y16" t="e">
        <f>AND('Planilla_General_03-12-2012_9_3'!H242,"AAAAAH397Rg=")</f>
        <v>#VALUE!</v>
      </c>
      <c r="Z16" t="e">
        <f>AND('Planilla_General_03-12-2012_9_3'!I242,"AAAAAH397Rk=")</f>
        <v>#VALUE!</v>
      </c>
      <c r="AA16" t="e">
        <f>AND('Planilla_General_03-12-2012_9_3'!J242,"AAAAAH397Ro=")</f>
        <v>#VALUE!</v>
      </c>
      <c r="AB16" t="e">
        <f>AND('Planilla_General_03-12-2012_9_3'!K242,"AAAAAH397Rs=")</f>
        <v>#VALUE!</v>
      </c>
      <c r="AC16" t="e">
        <f>AND('Planilla_General_03-12-2012_9_3'!L242,"AAAAAH397Rw=")</f>
        <v>#VALUE!</v>
      </c>
      <c r="AD16" t="e">
        <f>AND('Planilla_General_03-12-2012_9_3'!M242,"AAAAAH397R0=")</f>
        <v>#VALUE!</v>
      </c>
      <c r="AE16" t="e">
        <f>AND('Planilla_General_03-12-2012_9_3'!N242,"AAAAAH397R4=")</f>
        <v>#VALUE!</v>
      </c>
      <c r="AF16" t="e">
        <f>AND('Planilla_General_03-12-2012_9_3'!O242,"AAAAAH397R8=")</f>
        <v>#VALUE!</v>
      </c>
      <c r="AG16">
        <f>IF('Planilla_General_03-12-2012_9_3'!243:243,"AAAAAH397SA=",0)</f>
        <v>0</v>
      </c>
      <c r="AH16" t="e">
        <f>AND('Planilla_General_03-12-2012_9_3'!A243,"AAAAAH397SE=")</f>
        <v>#VALUE!</v>
      </c>
      <c r="AI16" t="e">
        <f>AND('Planilla_General_03-12-2012_9_3'!B243,"AAAAAH397SI=")</f>
        <v>#VALUE!</v>
      </c>
      <c r="AJ16" t="e">
        <f>AND('Planilla_General_03-12-2012_9_3'!C243,"AAAAAH397SM=")</f>
        <v>#VALUE!</v>
      </c>
      <c r="AK16" t="e">
        <f>AND('Planilla_General_03-12-2012_9_3'!D243,"AAAAAH397SQ=")</f>
        <v>#VALUE!</v>
      </c>
      <c r="AL16" t="e">
        <f>AND('Planilla_General_03-12-2012_9_3'!E243,"AAAAAH397SU=")</f>
        <v>#VALUE!</v>
      </c>
      <c r="AM16" t="e">
        <f>AND('Planilla_General_03-12-2012_9_3'!F243,"AAAAAH397SY=")</f>
        <v>#VALUE!</v>
      </c>
      <c r="AN16" t="e">
        <f>AND('Planilla_General_03-12-2012_9_3'!G243,"AAAAAH397Sc=")</f>
        <v>#VALUE!</v>
      </c>
      <c r="AO16" t="e">
        <f>AND('Planilla_General_03-12-2012_9_3'!H243,"AAAAAH397Sg=")</f>
        <v>#VALUE!</v>
      </c>
      <c r="AP16" t="e">
        <f>AND('Planilla_General_03-12-2012_9_3'!I243,"AAAAAH397Sk=")</f>
        <v>#VALUE!</v>
      </c>
      <c r="AQ16" t="e">
        <f>AND('Planilla_General_03-12-2012_9_3'!J243,"AAAAAH397So=")</f>
        <v>#VALUE!</v>
      </c>
      <c r="AR16" t="e">
        <f>AND('Planilla_General_03-12-2012_9_3'!K243,"AAAAAH397Ss=")</f>
        <v>#VALUE!</v>
      </c>
      <c r="AS16" t="e">
        <f>AND('Planilla_General_03-12-2012_9_3'!L243,"AAAAAH397Sw=")</f>
        <v>#VALUE!</v>
      </c>
      <c r="AT16" t="e">
        <f>AND('Planilla_General_03-12-2012_9_3'!M243,"AAAAAH397S0=")</f>
        <v>#VALUE!</v>
      </c>
      <c r="AU16" t="e">
        <f>AND('Planilla_General_03-12-2012_9_3'!N243,"AAAAAH397S4=")</f>
        <v>#VALUE!</v>
      </c>
      <c r="AV16" t="e">
        <f>AND('Planilla_General_03-12-2012_9_3'!O243,"AAAAAH397S8=")</f>
        <v>#VALUE!</v>
      </c>
      <c r="AW16">
        <f>IF('Planilla_General_03-12-2012_9_3'!244:244,"AAAAAH397TA=",0)</f>
        <v>0</v>
      </c>
      <c r="AX16" t="e">
        <f>AND('Planilla_General_03-12-2012_9_3'!A244,"AAAAAH397TE=")</f>
        <v>#VALUE!</v>
      </c>
      <c r="AY16" t="e">
        <f>AND('Planilla_General_03-12-2012_9_3'!B244,"AAAAAH397TI=")</f>
        <v>#VALUE!</v>
      </c>
      <c r="AZ16" t="e">
        <f>AND('Planilla_General_03-12-2012_9_3'!C244,"AAAAAH397TM=")</f>
        <v>#VALUE!</v>
      </c>
      <c r="BA16" t="e">
        <f>AND('Planilla_General_03-12-2012_9_3'!D244,"AAAAAH397TQ=")</f>
        <v>#VALUE!</v>
      </c>
      <c r="BB16" t="e">
        <f>AND('Planilla_General_03-12-2012_9_3'!E244,"AAAAAH397TU=")</f>
        <v>#VALUE!</v>
      </c>
      <c r="BC16" t="e">
        <f>AND('Planilla_General_03-12-2012_9_3'!F244,"AAAAAH397TY=")</f>
        <v>#VALUE!</v>
      </c>
      <c r="BD16" t="e">
        <f>AND('Planilla_General_03-12-2012_9_3'!G244,"AAAAAH397Tc=")</f>
        <v>#VALUE!</v>
      </c>
      <c r="BE16" t="e">
        <f>AND('Planilla_General_03-12-2012_9_3'!H244,"AAAAAH397Tg=")</f>
        <v>#VALUE!</v>
      </c>
      <c r="BF16" t="e">
        <f>AND('Planilla_General_03-12-2012_9_3'!I244,"AAAAAH397Tk=")</f>
        <v>#VALUE!</v>
      </c>
      <c r="BG16" t="e">
        <f>AND('Planilla_General_03-12-2012_9_3'!J244,"AAAAAH397To=")</f>
        <v>#VALUE!</v>
      </c>
      <c r="BH16" t="e">
        <f>AND('Planilla_General_03-12-2012_9_3'!K244,"AAAAAH397Ts=")</f>
        <v>#VALUE!</v>
      </c>
      <c r="BI16" t="e">
        <f>AND('Planilla_General_03-12-2012_9_3'!L244,"AAAAAH397Tw=")</f>
        <v>#VALUE!</v>
      </c>
      <c r="BJ16" t="e">
        <f>AND('Planilla_General_03-12-2012_9_3'!M244,"AAAAAH397T0=")</f>
        <v>#VALUE!</v>
      </c>
      <c r="BK16" t="e">
        <f>AND('Planilla_General_03-12-2012_9_3'!N244,"AAAAAH397T4=")</f>
        <v>#VALUE!</v>
      </c>
      <c r="BL16" t="e">
        <f>AND('Planilla_General_03-12-2012_9_3'!O244,"AAAAAH397T8=")</f>
        <v>#VALUE!</v>
      </c>
      <c r="BM16">
        <f>IF('Planilla_General_03-12-2012_9_3'!245:245,"AAAAAH397UA=",0)</f>
        <v>0</v>
      </c>
      <c r="BN16" t="e">
        <f>AND('Planilla_General_03-12-2012_9_3'!A245,"AAAAAH397UE=")</f>
        <v>#VALUE!</v>
      </c>
      <c r="BO16" t="e">
        <f>AND('Planilla_General_03-12-2012_9_3'!B245,"AAAAAH397UI=")</f>
        <v>#VALUE!</v>
      </c>
      <c r="BP16" t="e">
        <f>AND('Planilla_General_03-12-2012_9_3'!C245,"AAAAAH397UM=")</f>
        <v>#VALUE!</v>
      </c>
      <c r="BQ16" t="e">
        <f>AND('Planilla_General_03-12-2012_9_3'!D245,"AAAAAH397UQ=")</f>
        <v>#VALUE!</v>
      </c>
      <c r="BR16" t="e">
        <f>AND('Planilla_General_03-12-2012_9_3'!E245,"AAAAAH397UU=")</f>
        <v>#VALUE!</v>
      </c>
      <c r="BS16" t="e">
        <f>AND('Planilla_General_03-12-2012_9_3'!F245,"AAAAAH397UY=")</f>
        <v>#VALUE!</v>
      </c>
      <c r="BT16" t="e">
        <f>AND('Planilla_General_03-12-2012_9_3'!G245,"AAAAAH397Uc=")</f>
        <v>#VALUE!</v>
      </c>
      <c r="BU16" t="e">
        <f>AND('Planilla_General_03-12-2012_9_3'!H245,"AAAAAH397Ug=")</f>
        <v>#VALUE!</v>
      </c>
      <c r="BV16" t="e">
        <f>AND('Planilla_General_03-12-2012_9_3'!I245,"AAAAAH397Uk=")</f>
        <v>#VALUE!</v>
      </c>
      <c r="BW16" t="e">
        <f>AND('Planilla_General_03-12-2012_9_3'!J245,"AAAAAH397Uo=")</f>
        <v>#VALUE!</v>
      </c>
      <c r="BX16" t="e">
        <f>AND('Planilla_General_03-12-2012_9_3'!K245,"AAAAAH397Us=")</f>
        <v>#VALUE!</v>
      </c>
      <c r="BY16" t="e">
        <f>AND('Planilla_General_03-12-2012_9_3'!L245,"AAAAAH397Uw=")</f>
        <v>#VALUE!</v>
      </c>
      <c r="BZ16" t="e">
        <f>AND('Planilla_General_03-12-2012_9_3'!M245,"AAAAAH397U0=")</f>
        <v>#VALUE!</v>
      </c>
      <c r="CA16" t="e">
        <f>AND('Planilla_General_03-12-2012_9_3'!N245,"AAAAAH397U4=")</f>
        <v>#VALUE!</v>
      </c>
      <c r="CB16" t="e">
        <f>AND('Planilla_General_03-12-2012_9_3'!O245,"AAAAAH397U8=")</f>
        <v>#VALUE!</v>
      </c>
      <c r="CC16">
        <f>IF('Planilla_General_03-12-2012_9_3'!246:246,"AAAAAH397VA=",0)</f>
        <v>0</v>
      </c>
      <c r="CD16" t="e">
        <f>AND('Planilla_General_03-12-2012_9_3'!A246,"AAAAAH397VE=")</f>
        <v>#VALUE!</v>
      </c>
      <c r="CE16" t="e">
        <f>AND('Planilla_General_03-12-2012_9_3'!B246,"AAAAAH397VI=")</f>
        <v>#VALUE!</v>
      </c>
      <c r="CF16" t="e">
        <f>AND('Planilla_General_03-12-2012_9_3'!C246,"AAAAAH397VM=")</f>
        <v>#VALUE!</v>
      </c>
      <c r="CG16" t="e">
        <f>AND('Planilla_General_03-12-2012_9_3'!D246,"AAAAAH397VQ=")</f>
        <v>#VALUE!</v>
      </c>
      <c r="CH16" t="e">
        <f>AND('Planilla_General_03-12-2012_9_3'!E246,"AAAAAH397VU=")</f>
        <v>#VALUE!</v>
      </c>
      <c r="CI16" t="e">
        <f>AND('Planilla_General_03-12-2012_9_3'!F246,"AAAAAH397VY=")</f>
        <v>#VALUE!</v>
      </c>
      <c r="CJ16" t="e">
        <f>AND('Planilla_General_03-12-2012_9_3'!G246,"AAAAAH397Vc=")</f>
        <v>#VALUE!</v>
      </c>
      <c r="CK16" t="e">
        <f>AND('Planilla_General_03-12-2012_9_3'!H246,"AAAAAH397Vg=")</f>
        <v>#VALUE!</v>
      </c>
      <c r="CL16" t="e">
        <f>AND('Planilla_General_03-12-2012_9_3'!I246,"AAAAAH397Vk=")</f>
        <v>#VALUE!</v>
      </c>
      <c r="CM16" t="e">
        <f>AND('Planilla_General_03-12-2012_9_3'!J246,"AAAAAH397Vo=")</f>
        <v>#VALUE!</v>
      </c>
      <c r="CN16" t="e">
        <f>AND('Planilla_General_03-12-2012_9_3'!K246,"AAAAAH397Vs=")</f>
        <v>#VALUE!</v>
      </c>
      <c r="CO16" t="e">
        <f>AND('Planilla_General_03-12-2012_9_3'!L246,"AAAAAH397Vw=")</f>
        <v>#VALUE!</v>
      </c>
      <c r="CP16" t="e">
        <f>AND('Planilla_General_03-12-2012_9_3'!M246,"AAAAAH397V0=")</f>
        <v>#VALUE!</v>
      </c>
      <c r="CQ16" t="e">
        <f>AND('Planilla_General_03-12-2012_9_3'!N246,"AAAAAH397V4=")</f>
        <v>#VALUE!</v>
      </c>
      <c r="CR16" t="e">
        <f>AND('Planilla_General_03-12-2012_9_3'!O246,"AAAAAH397V8=")</f>
        <v>#VALUE!</v>
      </c>
      <c r="CS16">
        <f>IF('Planilla_General_03-12-2012_9_3'!247:247,"AAAAAH397WA=",0)</f>
        <v>0</v>
      </c>
      <c r="CT16" t="e">
        <f>AND('Planilla_General_03-12-2012_9_3'!A247,"AAAAAH397WE=")</f>
        <v>#VALUE!</v>
      </c>
      <c r="CU16" t="e">
        <f>AND('Planilla_General_03-12-2012_9_3'!B247,"AAAAAH397WI=")</f>
        <v>#VALUE!</v>
      </c>
      <c r="CV16" t="e">
        <f>AND('Planilla_General_03-12-2012_9_3'!C247,"AAAAAH397WM=")</f>
        <v>#VALUE!</v>
      </c>
      <c r="CW16" t="e">
        <f>AND('Planilla_General_03-12-2012_9_3'!D247,"AAAAAH397WQ=")</f>
        <v>#VALUE!</v>
      </c>
      <c r="CX16" t="e">
        <f>AND('Planilla_General_03-12-2012_9_3'!E247,"AAAAAH397WU=")</f>
        <v>#VALUE!</v>
      </c>
      <c r="CY16" t="e">
        <f>AND('Planilla_General_03-12-2012_9_3'!F247,"AAAAAH397WY=")</f>
        <v>#VALUE!</v>
      </c>
      <c r="CZ16" t="e">
        <f>AND('Planilla_General_03-12-2012_9_3'!G247,"AAAAAH397Wc=")</f>
        <v>#VALUE!</v>
      </c>
      <c r="DA16" t="e">
        <f>AND('Planilla_General_03-12-2012_9_3'!H247,"AAAAAH397Wg=")</f>
        <v>#VALUE!</v>
      </c>
      <c r="DB16" t="e">
        <f>AND('Planilla_General_03-12-2012_9_3'!I247,"AAAAAH397Wk=")</f>
        <v>#VALUE!</v>
      </c>
      <c r="DC16" t="e">
        <f>AND('Planilla_General_03-12-2012_9_3'!J247,"AAAAAH397Wo=")</f>
        <v>#VALUE!</v>
      </c>
      <c r="DD16" t="e">
        <f>AND('Planilla_General_03-12-2012_9_3'!K247,"AAAAAH397Ws=")</f>
        <v>#VALUE!</v>
      </c>
      <c r="DE16" t="e">
        <f>AND('Planilla_General_03-12-2012_9_3'!L247,"AAAAAH397Ww=")</f>
        <v>#VALUE!</v>
      </c>
      <c r="DF16" t="e">
        <f>AND('Planilla_General_03-12-2012_9_3'!M247,"AAAAAH397W0=")</f>
        <v>#VALUE!</v>
      </c>
      <c r="DG16" t="e">
        <f>AND('Planilla_General_03-12-2012_9_3'!N247,"AAAAAH397W4=")</f>
        <v>#VALUE!</v>
      </c>
      <c r="DH16" t="e">
        <f>AND('Planilla_General_03-12-2012_9_3'!O247,"AAAAAH397W8=")</f>
        <v>#VALUE!</v>
      </c>
      <c r="DI16">
        <f>IF('Planilla_General_03-12-2012_9_3'!248:248,"AAAAAH397XA=",0)</f>
        <v>0</v>
      </c>
      <c r="DJ16" t="e">
        <f>AND('Planilla_General_03-12-2012_9_3'!A248,"AAAAAH397XE=")</f>
        <v>#VALUE!</v>
      </c>
      <c r="DK16" t="e">
        <f>AND('Planilla_General_03-12-2012_9_3'!B248,"AAAAAH397XI=")</f>
        <v>#VALUE!</v>
      </c>
      <c r="DL16" t="e">
        <f>AND('Planilla_General_03-12-2012_9_3'!C248,"AAAAAH397XM=")</f>
        <v>#VALUE!</v>
      </c>
      <c r="DM16" t="e">
        <f>AND('Planilla_General_03-12-2012_9_3'!D248,"AAAAAH397XQ=")</f>
        <v>#VALUE!</v>
      </c>
      <c r="DN16" t="e">
        <f>AND('Planilla_General_03-12-2012_9_3'!E248,"AAAAAH397XU=")</f>
        <v>#VALUE!</v>
      </c>
      <c r="DO16" t="e">
        <f>AND('Planilla_General_03-12-2012_9_3'!F248,"AAAAAH397XY=")</f>
        <v>#VALUE!</v>
      </c>
      <c r="DP16" t="e">
        <f>AND('Planilla_General_03-12-2012_9_3'!G248,"AAAAAH397Xc=")</f>
        <v>#VALUE!</v>
      </c>
      <c r="DQ16" t="e">
        <f>AND('Planilla_General_03-12-2012_9_3'!H248,"AAAAAH397Xg=")</f>
        <v>#VALUE!</v>
      </c>
      <c r="DR16" t="e">
        <f>AND('Planilla_General_03-12-2012_9_3'!I248,"AAAAAH397Xk=")</f>
        <v>#VALUE!</v>
      </c>
      <c r="DS16" t="e">
        <f>AND('Planilla_General_03-12-2012_9_3'!J248,"AAAAAH397Xo=")</f>
        <v>#VALUE!</v>
      </c>
      <c r="DT16" t="e">
        <f>AND('Planilla_General_03-12-2012_9_3'!K248,"AAAAAH397Xs=")</f>
        <v>#VALUE!</v>
      </c>
      <c r="DU16" t="e">
        <f>AND('Planilla_General_03-12-2012_9_3'!L248,"AAAAAH397Xw=")</f>
        <v>#VALUE!</v>
      </c>
      <c r="DV16" t="e">
        <f>AND('Planilla_General_03-12-2012_9_3'!M248,"AAAAAH397X0=")</f>
        <v>#VALUE!</v>
      </c>
      <c r="DW16" t="e">
        <f>AND('Planilla_General_03-12-2012_9_3'!N248,"AAAAAH397X4=")</f>
        <v>#VALUE!</v>
      </c>
      <c r="DX16" t="e">
        <f>AND('Planilla_General_03-12-2012_9_3'!O248,"AAAAAH397X8=")</f>
        <v>#VALUE!</v>
      </c>
      <c r="DY16">
        <f>IF('Planilla_General_03-12-2012_9_3'!249:249,"AAAAAH397YA=",0)</f>
        <v>0</v>
      </c>
      <c r="DZ16" t="e">
        <f>AND('Planilla_General_03-12-2012_9_3'!A249,"AAAAAH397YE=")</f>
        <v>#VALUE!</v>
      </c>
      <c r="EA16" t="e">
        <f>AND('Planilla_General_03-12-2012_9_3'!B249,"AAAAAH397YI=")</f>
        <v>#VALUE!</v>
      </c>
      <c r="EB16" t="e">
        <f>AND('Planilla_General_03-12-2012_9_3'!C249,"AAAAAH397YM=")</f>
        <v>#VALUE!</v>
      </c>
      <c r="EC16" t="e">
        <f>AND('Planilla_General_03-12-2012_9_3'!D249,"AAAAAH397YQ=")</f>
        <v>#VALUE!</v>
      </c>
      <c r="ED16" t="e">
        <f>AND('Planilla_General_03-12-2012_9_3'!E249,"AAAAAH397YU=")</f>
        <v>#VALUE!</v>
      </c>
      <c r="EE16" t="e">
        <f>AND('Planilla_General_03-12-2012_9_3'!F249,"AAAAAH397YY=")</f>
        <v>#VALUE!</v>
      </c>
      <c r="EF16" t="e">
        <f>AND('Planilla_General_03-12-2012_9_3'!G249,"AAAAAH397Yc=")</f>
        <v>#VALUE!</v>
      </c>
      <c r="EG16" t="e">
        <f>AND('Planilla_General_03-12-2012_9_3'!H249,"AAAAAH397Yg=")</f>
        <v>#VALUE!</v>
      </c>
      <c r="EH16" t="e">
        <f>AND('Planilla_General_03-12-2012_9_3'!I249,"AAAAAH397Yk=")</f>
        <v>#VALUE!</v>
      </c>
      <c r="EI16" t="e">
        <f>AND('Planilla_General_03-12-2012_9_3'!J249,"AAAAAH397Yo=")</f>
        <v>#VALUE!</v>
      </c>
      <c r="EJ16" t="e">
        <f>AND('Planilla_General_03-12-2012_9_3'!K249,"AAAAAH397Ys=")</f>
        <v>#VALUE!</v>
      </c>
      <c r="EK16" t="e">
        <f>AND('Planilla_General_03-12-2012_9_3'!L249,"AAAAAH397Yw=")</f>
        <v>#VALUE!</v>
      </c>
      <c r="EL16" t="e">
        <f>AND('Planilla_General_03-12-2012_9_3'!M249,"AAAAAH397Y0=")</f>
        <v>#VALUE!</v>
      </c>
      <c r="EM16" t="e">
        <f>AND('Planilla_General_03-12-2012_9_3'!N249,"AAAAAH397Y4=")</f>
        <v>#VALUE!</v>
      </c>
      <c r="EN16" t="e">
        <f>AND('Planilla_General_03-12-2012_9_3'!O249,"AAAAAH397Y8=")</f>
        <v>#VALUE!</v>
      </c>
      <c r="EO16">
        <f>IF('Planilla_General_03-12-2012_9_3'!250:250,"AAAAAH397ZA=",0)</f>
        <v>0</v>
      </c>
      <c r="EP16" t="e">
        <f>AND('Planilla_General_03-12-2012_9_3'!A250,"AAAAAH397ZE=")</f>
        <v>#VALUE!</v>
      </c>
      <c r="EQ16" t="e">
        <f>AND('Planilla_General_03-12-2012_9_3'!B250,"AAAAAH397ZI=")</f>
        <v>#VALUE!</v>
      </c>
      <c r="ER16" t="e">
        <f>AND('Planilla_General_03-12-2012_9_3'!C250,"AAAAAH397ZM=")</f>
        <v>#VALUE!</v>
      </c>
      <c r="ES16" t="e">
        <f>AND('Planilla_General_03-12-2012_9_3'!D250,"AAAAAH397ZQ=")</f>
        <v>#VALUE!</v>
      </c>
      <c r="ET16" t="e">
        <f>AND('Planilla_General_03-12-2012_9_3'!E250,"AAAAAH397ZU=")</f>
        <v>#VALUE!</v>
      </c>
      <c r="EU16" t="e">
        <f>AND('Planilla_General_03-12-2012_9_3'!F250,"AAAAAH397ZY=")</f>
        <v>#VALUE!</v>
      </c>
      <c r="EV16" t="e">
        <f>AND('Planilla_General_03-12-2012_9_3'!G250,"AAAAAH397Zc=")</f>
        <v>#VALUE!</v>
      </c>
      <c r="EW16" t="e">
        <f>AND('Planilla_General_03-12-2012_9_3'!H250,"AAAAAH397Zg=")</f>
        <v>#VALUE!</v>
      </c>
      <c r="EX16" t="e">
        <f>AND('Planilla_General_03-12-2012_9_3'!I250,"AAAAAH397Zk=")</f>
        <v>#VALUE!</v>
      </c>
      <c r="EY16" t="e">
        <f>AND('Planilla_General_03-12-2012_9_3'!J250,"AAAAAH397Zo=")</f>
        <v>#VALUE!</v>
      </c>
      <c r="EZ16" t="e">
        <f>AND('Planilla_General_03-12-2012_9_3'!K250,"AAAAAH397Zs=")</f>
        <v>#VALUE!</v>
      </c>
      <c r="FA16" t="e">
        <f>AND('Planilla_General_03-12-2012_9_3'!L250,"AAAAAH397Zw=")</f>
        <v>#VALUE!</v>
      </c>
      <c r="FB16" t="e">
        <f>AND('Planilla_General_03-12-2012_9_3'!M250,"AAAAAH397Z0=")</f>
        <v>#VALUE!</v>
      </c>
      <c r="FC16" t="e">
        <f>AND('Planilla_General_03-12-2012_9_3'!N250,"AAAAAH397Z4=")</f>
        <v>#VALUE!</v>
      </c>
      <c r="FD16" t="e">
        <f>AND('Planilla_General_03-12-2012_9_3'!O250,"AAAAAH397Z8=")</f>
        <v>#VALUE!</v>
      </c>
      <c r="FE16">
        <f>IF('Planilla_General_03-12-2012_9_3'!251:251,"AAAAAH397aA=",0)</f>
        <v>0</v>
      </c>
      <c r="FF16" t="e">
        <f>AND('Planilla_General_03-12-2012_9_3'!A251,"AAAAAH397aE=")</f>
        <v>#VALUE!</v>
      </c>
      <c r="FG16" t="e">
        <f>AND('Planilla_General_03-12-2012_9_3'!B251,"AAAAAH397aI=")</f>
        <v>#VALUE!</v>
      </c>
      <c r="FH16" t="e">
        <f>AND('Planilla_General_03-12-2012_9_3'!C251,"AAAAAH397aM=")</f>
        <v>#VALUE!</v>
      </c>
      <c r="FI16" t="e">
        <f>AND('Planilla_General_03-12-2012_9_3'!D251,"AAAAAH397aQ=")</f>
        <v>#VALUE!</v>
      </c>
      <c r="FJ16" t="e">
        <f>AND('Planilla_General_03-12-2012_9_3'!E251,"AAAAAH397aU=")</f>
        <v>#VALUE!</v>
      </c>
      <c r="FK16" t="e">
        <f>AND('Planilla_General_03-12-2012_9_3'!F251,"AAAAAH397aY=")</f>
        <v>#VALUE!</v>
      </c>
      <c r="FL16" t="e">
        <f>AND('Planilla_General_03-12-2012_9_3'!G251,"AAAAAH397ac=")</f>
        <v>#VALUE!</v>
      </c>
      <c r="FM16" t="e">
        <f>AND('Planilla_General_03-12-2012_9_3'!H251,"AAAAAH397ag=")</f>
        <v>#VALUE!</v>
      </c>
      <c r="FN16" t="e">
        <f>AND('Planilla_General_03-12-2012_9_3'!I251,"AAAAAH397ak=")</f>
        <v>#VALUE!</v>
      </c>
      <c r="FO16" t="e">
        <f>AND('Planilla_General_03-12-2012_9_3'!J251,"AAAAAH397ao=")</f>
        <v>#VALUE!</v>
      </c>
      <c r="FP16" t="e">
        <f>AND('Planilla_General_03-12-2012_9_3'!K251,"AAAAAH397as=")</f>
        <v>#VALUE!</v>
      </c>
      <c r="FQ16" t="e">
        <f>AND('Planilla_General_03-12-2012_9_3'!L251,"AAAAAH397aw=")</f>
        <v>#VALUE!</v>
      </c>
      <c r="FR16" t="e">
        <f>AND('Planilla_General_03-12-2012_9_3'!M251,"AAAAAH397a0=")</f>
        <v>#VALUE!</v>
      </c>
      <c r="FS16" t="e">
        <f>AND('Planilla_General_03-12-2012_9_3'!N251,"AAAAAH397a4=")</f>
        <v>#VALUE!</v>
      </c>
      <c r="FT16" t="e">
        <f>AND('Planilla_General_03-12-2012_9_3'!O251,"AAAAAH397a8=")</f>
        <v>#VALUE!</v>
      </c>
      <c r="FU16">
        <f>IF('Planilla_General_03-12-2012_9_3'!252:252,"AAAAAH397bA=",0)</f>
        <v>0</v>
      </c>
      <c r="FV16" t="e">
        <f>AND('Planilla_General_03-12-2012_9_3'!A252,"AAAAAH397bE=")</f>
        <v>#VALUE!</v>
      </c>
      <c r="FW16" t="e">
        <f>AND('Planilla_General_03-12-2012_9_3'!B252,"AAAAAH397bI=")</f>
        <v>#VALUE!</v>
      </c>
      <c r="FX16" t="e">
        <f>AND('Planilla_General_03-12-2012_9_3'!C252,"AAAAAH397bM=")</f>
        <v>#VALUE!</v>
      </c>
      <c r="FY16" t="e">
        <f>AND('Planilla_General_03-12-2012_9_3'!D252,"AAAAAH397bQ=")</f>
        <v>#VALUE!</v>
      </c>
      <c r="FZ16" t="e">
        <f>AND('Planilla_General_03-12-2012_9_3'!E252,"AAAAAH397bU=")</f>
        <v>#VALUE!</v>
      </c>
      <c r="GA16" t="e">
        <f>AND('Planilla_General_03-12-2012_9_3'!F252,"AAAAAH397bY=")</f>
        <v>#VALUE!</v>
      </c>
      <c r="GB16" t="e">
        <f>AND('Planilla_General_03-12-2012_9_3'!G252,"AAAAAH397bc=")</f>
        <v>#VALUE!</v>
      </c>
      <c r="GC16" t="e">
        <f>AND('Planilla_General_03-12-2012_9_3'!H252,"AAAAAH397bg=")</f>
        <v>#VALUE!</v>
      </c>
      <c r="GD16" t="e">
        <f>AND('Planilla_General_03-12-2012_9_3'!I252,"AAAAAH397bk=")</f>
        <v>#VALUE!</v>
      </c>
      <c r="GE16" t="e">
        <f>AND('Planilla_General_03-12-2012_9_3'!J252,"AAAAAH397bo=")</f>
        <v>#VALUE!</v>
      </c>
      <c r="GF16" t="e">
        <f>AND('Planilla_General_03-12-2012_9_3'!K252,"AAAAAH397bs=")</f>
        <v>#VALUE!</v>
      </c>
      <c r="GG16" t="e">
        <f>AND('Planilla_General_03-12-2012_9_3'!L252,"AAAAAH397bw=")</f>
        <v>#VALUE!</v>
      </c>
      <c r="GH16" t="e">
        <f>AND('Planilla_General_03-12-2012_9_3'!M252,"AAAAAH397b0=")</f>
        <v>#VALUE!</v>
      </c>
      <c r="GI16" t="e">
        <f>AND('Planilla_General_03-12-2012_9_3'!N252,"AAAAAH397b4=")</f>
        <v>#VALUE!</v>
      </c>
      <c r="GJ16" t="e">
        <f>AND('Planilla_General_03-12-2012_9_3'!O252,"AAAAAH397b8=")</f>
        <v>#VALUE!</v>
      </c>
      <c r="GK16">
        <f>IF('Planilla_General_03-12-2012_9_3'!253:253,"AAAAAH397cA=",0)</f>
        <v>0</v>
      </c>
      <c r="GL16" t="e">
        <f>AND('Planilla_General_03-12-2012_9_3'!A253,"AAAAAH397cE=")</f>
        <v>#VALUE!</v>
      </c>
      <c r="GM16" t="e">
        <f>AND('Planilla_General_03-12-2012_9_3'!B253,"AAAAAH397cI=")</f>
        <v>#VALUE!</v>
      </c>
      <c r="GN16" t="e">
        <f>AND('Planilla_General_03-12-2012_9_3'!C253,"AAAAAH397cM=")</f>
        <v>#VALUE!</v>
      </c>
      <c r="GO16" t="e">
        <f>AND('Planilla_General_03-12-2012_9_3'!D253,"AAAAAH397cQ=")</f>
        <v>#VALUE!</v>
      </c>
      <c r="GP16" t="e">
        <f>AND('Planilla_General_03-12-2012_9_3'!E253,"AAAAAH397cU=")</f>
        <v>#VALUE!</v>
      </c>
      <c r="GQ16" t="e">
        <f>AND('Planilla_General_03-12-2012_9_3'!F253,"AAAAAH397cY=")</f>
        <v>#VALUE!</v>
      </c>
      <c r="GR16" t="e">
        <f>AND('Planilla_General_03-12-2012_9_3'!G253,"AAAAAH397cc=")</f>
        <v>#VALUE!</v>
      </c>
      <c r="GS16" t="e">
        <f>AND('Planilla_General_03-12-2012_9_3'!H253,"AAAAAH397cg=")</f>
        <v>#VALUE!</v>
      </c>
      <c r="GT16" t="e">
        <f>AND('Planilla_General_03-12-2012_9_3'!I253,"AAAAAH397ck=")</f>
        <v>#VALUE!</v>
      </c>
      <c r="GU16" t="e">
        <f>AND('Planilla_General_03-12-2012_9_3'!J253,"AAAAAH397co=")</f>
        <v>#VALUE!</v>
      </c>
      <c r="GV16" t="e">
        <f>AND('Planilla_General_03-12-2012_9_3'!K253,"AAAAAH397cs=")</f>
        <v>#VALUE!</v>
      </c>
      <c r="GW16" t="e">
        <f>AND('Planilla_General_03-12-2012_9_3'!L253,"AAAAAH397cw=")</f>
        <v>#VALUE!</v>
      </c>
      <c r="GX16" t="e">
        <f>AND('Planilla_General_03-12-2012_9_3'!M253,"AAAAAH397c0=")</f>
        <v>#VALUE!</v>
      </c>
      <c r="GY16" t="e">
        <f>AND('Planilla_General_03-12-2012_9_3'!N253,"AAAAAH397c4=")</f>
        <v>#VALUE!</v>
      </c>
      <c r="GZ16" t="e">
        <f>AND('Planilla_General_03-12-2012_9_3'!O253,"AAAAAH397c8=")</f>
        <v>#VALUE!</v>
      </c>
      <c r="HA16">
        <f>IF('Planilla_General_03-12-2012_9_3'!254:254,"AAAAAH397dA=",0)</f>
        <v>0</v>
      </c>
      <c r="HB16" t="e">
        <f>AND('Planilla_General_03-12-2012_9_3'!A254,"AAAAAH397dE=")</f>
        <v>#VALUE!</v>
      </c>
      <c r="HC16" t="e">
        <f>AND('Planilla_General_03-12-2012_9_3'!B254,"AAAAAH397dI=")</f>
        <v>#VALUE!</v>
      </c>
      <c r="HD16" t="e">
        <f>AND('Planilla_General_03-12-2012_9_3'!C254,"AAAAAH397dM=")</f>
        <v>#VALUE!</v>
      </c>
      <c r="HE16" t="e">
        <f>AND('Planilla_General_03-12-2012_9_3'!D254,"AAAAAH397dQ=")</f>
        <v>#VALUE!</v>
      </c>
      <c r="HF16" t="e">
        <f>AND('Planilla_General_03-12-2012_9_3'!E254,"AAAAAH397dU=")</f>
        <v>#VALUE!</v>
      </c>
      <c r="HG16" t="e">
        <f>AND('Planilla_General_03-12-2012_9_3'!F254,"AAAAAH397dY=")</f>
        <v>#VALUE!</v>
      </c>
      <c r="HH16" t="e">
        <f>AND('Planilla_General_03-12-2012_9_3'!G254,"AAAAAH397dc=")</f>
        <v>#VALUE!</v>
      </c>
      <c r="HI16" t="e">
        <f>AND('Planilla_General_03-12-2012_9_3'!H254,"AAAAAH397dg=")</f>
        <v>#VALUE!</v>
      </c>
      <c r="HJ16" t="e">
        <f>AND('Planilla_General_03-12-2012_9_3'!I254,"AAAAAH397dk=")</f>
        <v>#VALUE!</v>
      </c>
      <c r="HK16" t="e">
        <f>AND('Planilla_General_03-12-2012_9_3'!J254,"AAAAAH397do=")</f>
        <v>#VALUE!</v>
      </c>
      <c r="HL16" t="e">
        <f>AND('Planilla_General_03-12-2012_9_3'!K254,"AAAAAH397ds=")</f>
        <v>#VALUE!</v>
      </c>
      <c r="HM16" t="e">
        <f>AND('Planilla_General_03-12-2012_9_3'!L254,"AAAAAH397dw=")</f>
        <v>#VALUE!</v>
      </c>
      <c r="HN16" t="e">
        <f>AND('Planilla_General_03-12-2012_9_3'!M254,"AAAAAH397d0=")</f>
        <v>#VALUE!</v>
      </c>
      <c r="HO16" t="e">
        <f>AND('Planilla_General_03-12-2012_9_3'!N254,"AAAAAH397d4=")</f>
        <v>#VALUE!</v>
      </c>
      <c r="HP16" t="e">
        <f>AND('Planilla_General_03-12-2012_9_3'!O254,"AAAAAH397d8=")</f>
        <v>#VALUE!</v>
      </c>
      <c r="HQ16">
        <f>IF('Planilla_General_03-12-2012_9_3'!255:255,"AAAAAH397eA=",0)</f>
        <v>0</v>
      </c>
      <c r="HR16" t="e">
        <f>AND('Planilla_General_03-12-2012_9_3'!A255,"AAAAAH397eE=")</f>
        <v>#VALUE!</v>
      </c>
      <c r="HS16" t="e">
        <f>AND('Planilla_General_03-12-2012_9_3'!B255,"AAAAAH397eI=")</f>
        <v>#VALUE!</v>
      </c>
      <c r="HT16" t="e">
        <f>AND('Planilla_General_03-12-2012_9_3'!C255,"AAAAAH397eM=")</f>
        <v>#VALUE!</v>
      </c>
      <c r="HU16" t="e">
        <f>AND('Planilla_General_03-12-2012_9_3'!D255,"AAAAAH397eQ=")</f>
        <v>#VALUE!</v>
      </c>
      <c r="HV16" t="e">
        <f>AND('Planilla_General_03-12-2012_9_3'!E255,"AAAAAH397eU=")</f>
        <v>#VALUE!</v>
      </c>
      <c r="HW16" t="e">
        <f>AND('Planilla_General_03-12-2012_9_3'!F255,"AAAAAH397eY=")</f>
        <v>#VALUE!</v>
      </c>
      <c r="HX16" t="e">
        <f>AND('Planilla_General_03-12-2012_9_3'!G255,"AAAAAH397ec=")</f>
        <v>#VALUE!</v>
      </c>
      <c r="HY16" t="e">
        <f>AND('Planilla_General_03-12-2012_9_3'!H255,"AAAAAH397eg=")</f>
        <v>#VALUE!</v>
      </c>
      <c r="HZ16" t="e">
        <f>AND('Planilla_General_03-12-2012_9_3'!I255,"AAAAAH397ek=")</f>
        <v>#VALUE!</v>
      </c>
      <c r="IA16" t="e">
        <f>AND('Planilla_General_03-12-2012_9_3'!J255,"AAAAAH397eo=")</f>
        <v>#VALUE!</v>
      </c>
      <c r="IB16" t="e">
        <f>AND('Planilla_General_03-12-2012_9_3'!K255,"AAAAAH397es=")</f>
        <v>#VALUE!</v>
      </c>
      <c r="IC16" t="e">
        <f>AND('Planilla_General_03-12-2012_9_3'!L255,"AAAAAH397ew=")</f>
        <v>#VALUE!</v>
      </c>
      <c r="ID16" t="e">
        <f>AND('Planilla_General_03-12-2012_9_3'!M255,"AAAAAH397e0=")</f>
        <v>#VALUE!</v>
      </c>
      <c r="IE16" t="e">
        <f>AND('Planilla_General_03-12-2012_9_3'!N255,"AAAAAH397e4=")</f>
        <v>#VALUE!</v>
      </c>
      <c r="IF16" t="e">
        <f>AND('Planilla_General_03-12-2012_9_3'!O255,"AAAAAH397e8=")</f>
        <v>#VALUE!</v>
      </c>
      <c r="IG16">
        <f>IF('Planilla_General_03-12-2012_9_3'!256:256,"AAAAAH397fA=",0)</f>
        <v>0</v>
      </c>
      <c r="IH16" t="e">
        <f>AND('Planilla_General_03-12-2012_9_3'!A256,"AAAAAH397fE=")</f>
        <v>#VALUE!</v>
      </c>
      <c r="II16" t="e">
        <f>AND('Planilla_General_03-12-2012_9_3'!B256,"AAAAAH397fI=")</f>
        <v>#VALUE!</v>
      </c>
      <c r="IJ16" t="e">
        <f>AND('Planilla_General_03-12-2012_9_3'!C256,"AAAAAH397fM=")</f>
        <v>#VALUE!</v>
      </c>
      <c r="IK16" t="e">
        <f>AND('Planilla_General_03-12-2012_9_3'!D256,"AAAAAH397fQ=")</f>
        <v>#VALUE!</v>
      </c>
      <c r="IL16" t="e">
        <f>AND('Planilla_General_03-12-2012_9_3'!E256,"AAAAAH397fU=")</f>
        <v>#VALUE!</v>
      </c>
      <c r="IM16" t="e">
        <f>AND('Planilla_General_03-12-2012_9_3'!F256,"AAAAAH397fY=")</f>
        <v>#VALUE!</v>
      </c>
      <c r="IN16" t="e">
        <f>AND('Planilla_General_03-12-2012_9_3'!G256,"AAAAAH397fc=")</f>
        <v>#VALUE!</v>
      </c>
      <c r="IO16" t="e">
        <f>AND('Planilla_General_03-12-2012_9_3'!H256,"AAAAAH397fg=")</f>
        <v>#VALUE!</v>
      </c>
      <c r="IP16" t="e">
        <f>AND('Planilla_General_03-12-2012_9_3'!I256,"AAAAAH397fk=")</f>
        <v>#VALUE!</v>
      </c>
      <c r="IQ16" t="e">
        <f>AND('Planilla_General_03-12-2012_9_3'!J256,"AAAAAH397fo=")</f>
        <v>#VALUE!</v>
      </c>
      <c r="IR16" t="e">
        <f>AND('Planilla_General_03-12-2012_9_3'!K256,"AAAAAH397fs=")</f>
        <v>#VALUE!</v>
      </c>
      <c r="IS16" t="e">
        <f>AND('Planilla_General_03-12-2012_9_3'!L256,"AAAAAH397fw=")</f>
        <v>#VALUE!</v>
      </c>
      <c r="IT16" t="e">
        <f>AND('Planilla_General_03-12-2012_9_3'!M256,"AAAAAH397f0=")</f>
        <v>#VALUE!</v>
      </c>
      <c r="IU16" t="e">
        <f>AND('Planilla_General_03-12-2012_9_3'!N256,"AAAAAH397f4=")</f>
        <v>#VALUE!</v>
      </c>
      <c r="IV16" t="e">
        <f>AND('Planilla_General_03-12-2012_9_3'!O256,"AAAAAH397f8=")</f>
        <v>#VALUE!</v>
      </c>
    </row>
    <row r="17" spans="1:256" x14ac:dyDescent="0.25">
      <c r="A17" t="e">
        <f>IF('Planilla_General_03-12-2012_9_3'!257:257,"AAAAAC/fdgA=",0)</f>
        <v>#VALUE!</v>
      </c>
      <c r="B17" t="e">
        <f>AND('Planilla_General_03-12-2012_9_3'!A257,"AAAAAC/fdgE=")</f>
        <v>#VALUE!</v>
      </c>
      <c r="C17" t="e">
        <f>AND('Planilla_General_03-12-2012_9_3'!B257,"AAAAAC/fdgI=")</f>
        <v>#VALUE!</v>
      </c>
      <c r="D17" t="e">
        <f>AND('Planilla_General_03-12-2012_9_3'!C257,"AAAAAC/fdgM=")</f>
        <v>#VALUE!</v>
      </c>
      <c r="E17" t="e">
        <f>AND('Planilla_General_03-12-2012_9_3'!D257,"AAAAAC/fdgQ=")</f>
        <v>#VALUE!</v>
      </c>
      <c r="F17" t="e">
        <f>AND('Planilla_General_03-12-2012_9_3'!E257,"AAAAAC/fdgU=")</f>
        <v>#VALUE!</v>
      </c>
      <c r="G17" t="e">
        <f>AND('Planilla_General_03-12-2012_9_3'!F257,"AAAAAC/fdgY=")</f>
        <v>#VALUE!</v>
      </c>
      <c r="H17" t="e">
        <f>AND('Planilla_General_03-12-2012_9_3'!G257,"AAAAAC/fdgc=")</f>
        <v>#VALUE!</v>
      </c>
      <c r="I17" t="e">
        <f>AND('Planilla_General_03-12-2012_9_3'!H257,"AAAAAC/fdgg=")</f>
        <v>#VALUE!</v>
      </c>
      <c r="J17" t="e">
        <f>AND('Planilla_General_03-12-2012_9_3'!I257,"AAAAAC/fdgk=")</f>
        <v>#VALUE!</v>
      </c>
      <c r="K17" t="e">
        <f>AND('Planilla_General_03-12-2012_9_3'!J257,"AAAAAC/fdgo=")</f>
        <v>#VALUE!</v>
      </c>
      <c r="L17" t="e">
        <f>AND('Planilla_General_03-12-2012_9_3'!K257,"AAAAAC/fdgs=")</f>
        <v>#VALUE!</v>
      </c>
      <c r="M17" t="e">
        <f>AND('Planilla_General_03-12-2012_9_3'!L257,"AAAAAC/fdgw=")</f>
        <v>#VALUE!</v>
      </c>
      <c r="N17" t="e">
        <f>AND('Planilla_General_03-12-2012_9_3'!M257,"AAAAAC/fdg0=")</f>
        <v>#VALUE!</v>
      </c>
      <c r="O17" t="e">
        <f>AND('Planilla_General_03-12-2012_9_3'!N257,"AAAAAC/fdg4=")</f>
        <v>#VALUE!</v>
      </c>
      <c r="P17" t="e">
        <f>AND('Planilla_General_03-12-2012_9_3'!O257,"AAAAAC/fdg8=")</f>
        <v>#VALUE!</v>
      </c>
      <c r="Q17">
        <f>IF('Planilla_General_03-12-2012_9_3'!258:258,"AAAAAC/fdhA=",0)</f>
        <v>0</v>
      </c>
      <c r="R17" t="e">
        <f>AND('Planilla_General_03-12-2012_9_3'!A258,"AAAAAC/fdhE=")</f>
        <v>#VALUE!</v>
      </c>
      <c r="S17" t="e">
        <f>AND('Planilla_General_03-12-2012_9_3'!B258,"AAAAAC/fdhI=")</f>
        <v>#VALUE!</v>
      </c>
      <c r="T17" t="e">
        <f>AND('Planilla_General_03-12-2012_9_3'!C258,"AAAAAC/fdhM=")</f>
        <v>#VALUE!</v>
      </c>
      <c r="U17" t="e">
        <f>AND('Planilla_General_03-12-2012_9_3'!D258,"AAAAAC/fdhQ=")</f>
        <v>#VALUE!</v>
      </c>
      <c r="V17" t="e">
        <f>AND('Planilla_General_03-12-2012_9_3'!E258,"AAAAAC/fdhU=")</f>
        <v>#VALUE!</v>
      </c>
      <c r="W17" t="e">
        <f>AND('Planilla_General_03-12-2012_9_3'!F258,"AAAAAC/fdhY=")</f>
        <v>#VALUE!</v>
      </c>
      <c r="X17" t="e">
        <f>AND('Planilla_General_03-12-2012_9_3'!G258,"AAAAAC/fdhc=")</f>
        <v>#VALUE!</v>
      </c>
      <c r="Y17" t="e">
        <f>AND('Planilla_General_03-12-2012_9_3'!H258,"AAAAAC/fdhg=")</f>
        <v>#VALUE!</v>
      </c>
      <c r="Z17" t="e">
        <f>AND('Planilla_General_03-12-2012_9_3'!I258,"AAAAAC/fdhk=")</f>
        <v>#VALUE!</v>
      </c>
      <c r="AA17" t="e">
        <f>AND('Planilla_General_03-12-2012_9_3'!J258,"AAAAAC/fdho=")</f>
        <v>#VALUE!</v>
      </c>
      <c r="AB17" t="e">
        <f>AND('Planilla_General_03-12-2012_9_3'!K258,"AAAAAC/fdhs=")</f>
        <v>#VALUE!</v>
      </c>
      <c r="AC17" t="e">
        <f>AND('Planilla_General_03-12-2012_9_3'!L258,"AAAAAC/fdhw=")</f>
        <v>#VALUE!</v>
      </c>
      <c r="AD17" t="e">
        <f>AND('Planilla_General_03-12-2012_9_3'!M258,"AAAAAC/fdh0=")</f>
        <v>#VALUE!</v>
      </c>
      <c r="AE17" t="e">
        <f>AND('Planilla_General_03-12-2012_9_3'!N258,"AAAAAC/fdh4=")</f>
        <v>#VALUE!</v>
      </c>
      <c r="AF17" t="e">
        <f>AND('Planilla_General_03-12-2012_9_3'!O258,"AAAAAC/fdh8=")</f>
        <v>#VALUE!</v>
      </c>
      <c r="AG17">
        <f>IF('Planilla_General_03-12-2012_9_3'!259:259,"AAAAAC/fdiA=",0)</f>
        <v>0</v>
      </c>
      <c r="AH17" t="e">
        <f>AND('Planilla_General_03-12-2012_9_3'!A259,"AAAAAC/fdiE=")</f>
        <v>#VALUE!</v>
      </c>
      <c r="AI17" t="e">
        <f>AND('Planilla_General_03-12-2012_9_3'!B259,"AAAAAC/fdiI=")</f>
        <v>#VALUE!</v>
      </c>
      <c r="AJ17" t="e">
        <f>AND('Planilla_General_03-12-2012_9_3'!C259,"AAAAAC/fdiM=")</f>
        <v>#VALUE!</v>
      </c>
      <c r="AK17" t="e">
        <f>AND('Planilla_General_03-12-2012_9_3'!D259,"AAAAAC/fdiQ=")</f>
        <v>#VALUE!</v>
      </c>
      <c r="AL17" t="e">
        <f>AND('Planilla_General_03-12-2012_9_3'!E259,"AAAAAC/fdiU=")</f>
        <v>#VALUE!</v>
      </c>
      <c r="AM17" t="e">
        <f>AND('Planilla_General_03-12-2012_9_3'!F259,"AAAAAC/fdiY=")</f>
        <v>#VALUE!</v>
      </c>
      <c r="AN17" t="e">
        <f>AND('Planilla_General_03-12-2012_9_3'!G259,"AAAAAC/fdic=")</f>
        <v>#VALUE!</v>
      </c>
      <c r="AO17" t="e">
        <f>AND('Planilla_General_03-12-2012_9_3'!H259,"AAAAAC/fdig=")</f>
        <v>#VALUE!</v>
      </c>
      <c r="AP17" t="e">
        <f>AND('Planilla_General_03-12-2012_9_3'!I259,"AAAAAC/fdik=")</f>
        <v>#VALUE!</v>
      </c>
      <c r="AQ17" t="e">
        <f>AND('Planilla_General_03-12-2012_9_3'!J259,"AAAAAC/fdio=")</f>
        <v>#VALUE!</v>
      </c>
      <c r="AR17" t="e">
        <f>AND('Planilla_General_03-12-2012_9_3'!K259,"AAAAAC/fdis=")</f>
        <v>#VALUE!</v>
      </c>
      <c r="AS17" t="e">
        <f>AND('Planilla_General_03-12-2012_9_3'!L259,"AAAAAC/fdiw=")</f>
        <v>#VALUE!</v>
      </c>
      <c r="AT17" t="e">
        <f>AND('Planilla_General_03-12-2012_9_3'!M259,"AAAAAC/fdi0=")</f>
        <v>#VALUE!</v>
      </c>
      <c r="AU17" t="e">
        <f>AND('Planilla_General_03-12-2012_9_3'!N259,"AAAAAC/fdi4=")</f>
        <v>#VALUE!</v>
      </c>
      <c r="AV17" t="e">
        <f>AND('Planilla_General_03-12-2012_9_3'!O259,"AAAAAC/fdi8=")</f>
        <v>#VALUE!</v>
      </c>
      <c r="AW17">
        <f>IF('Planilla_General_03-12-2012_9_3'!260:260,"AAAAAC/fdjA=",0)</f>
        <v>0</v>
      </c>
      <c r="AX17" t="e">
        <f>AND('Planilla_General_03-12-2012_9_3'!A260,"AAAAAC/fdjE=")</f>
        <v>#VALUE!</v>
      </c>
      <c r="AY17" t="e">
        <f>AND('Planilla_General_03-12-2012_9_3'!B260,"AAAAAC/fdjI=")</f>
        <v>#VALUE!</v>
      </c>
      <c r="AZ17" t="e">
        <f>AND('Planilla_General_03-12-2012_9_3'!C260,"AAAAAC/fdjM=")</f>
        <v>#VALUE!</v>
      </c>
      <c r="BA17" t="e">
        <f>AND('Planilla_General_03-12-2012_9_3'!D260,"AAAAAC/fdjQ=")</f>
        <v>#VALUE!</v>
      </c>
      <c r="BB17" t="e">
        <f>AND('Planilla_General_03-12-2012_9_3'!E260,"AAAAAC/fdjU=")</f>
        <v>#VALUE!</v>
      </c>
      <c r="BC17" t="e">
        <f>AND('Planilla_General_03-12-2012_9_3'!F260,"AAAAAC/fdjY=")</f>
        <v>#VALUE!</v>
      </c>
      <c r="BD17" t="e">
        <f>AND('Planilla_General_03-12-2012_9_3'!G260,"AAAAAC/fdjc=")</f>
        <v>#VALUE!</v>
      </c>
      <c r="BE17" t="e">
        <f>AND('Planilla_General_03-12-2012_9_3'!H260,"AAAAAC/fdjg=")</f>
        <v>#VALUE!</v>
      </c>
      <c r="BF17" t="e">
        <f>AND('Planilla_General_03-12-2012_9_3'!I260,"AAAAAC/fdjk=")</f>
        <v>#VALUE!</v>
      </c>
      <c r="BG17" t="e">
        <f>AND('Planilla_General_03-12-2012_9_3'!J260,"AAAAAC/fdjo=")</f>
        <v>#VALUE!</v>
      </c>
      <c r="BH17" t="e">
        <f>AND('Planilla_General_03-12-2012_9_3'!K260,"AAAAAC/fdjs=")</f>
        <v>#VALUE!</v>
      </c>
      <c r="BI17" t="e">
        <f>AND('Planilla_General_03-12-2012_9_3'!L260,"AAAAAC/fdjw=")</f>
        <v>#VALUE!</v>
      </c>
      <c r="BJ17" t="e">
        <f>AND('Planilla_General_03-12-2012_9_3'!M260,"AAAAAC/fdj0=")</f>
        <v>#VALUE!</v>
      </c>
      <c r="BK17" t="e">
        <f>AND('Planilla_General_03-12-2012_9_3'!N260,"AAAAAC/fdj4=")</f>
        <v>#VALUE!</v>
      </c>
      <c r="BL17" t="e">
        <f>AND('Planilla_General_03-12-2012_9_3'!O260,"AAAAAC/fdj8=")</f>
        <v>#VALUE!</v>
      </c>
      <c r="BM17">
        <f>IF('Planilla_General_03-12-2012_9_3'!261:261,"AAAAAC/fdkA=",0)</f>
        <v>0</v>
      </c>
      <c r="BN17" t="e">
        <f>AND('Planilla_General_03-12-2012_9_3'!A261,"AAAAAC/fdkE=")</f>
        <v>#VALUE!</v>
      </c>
      <c r="BO17" t="e">
        <f>AND('Planilla_General_03-12-2012_9_3'!B261,"AAAAAC/fdkI=")</f>
        <v>#VALUE!</v>
      </c>
      <c r="BP17" t="e">
        <f>AND('Planilla_General_03-12-2012_9_3'!C261,"AAAAAC/fdkM=")</f>
        <v>#VALUE!</v>
      </c>
      <c r="BQ17" t="e">
        <f>AND('Planilla_General_03-12-2012_9_3'!D261,"AAAAAC/fdkQ=")</f>
        <v>#VALUE!</v>
      </c>
      <c r="BR17" t="e">
        <f>AND('Planilla_General_03-12-2012_9_3'!E261,"AAAAAC/fdkU=")</f>
        <v>#VALUE!</v>
      </c>
      <c r="BS17" t="e">
        <f>AND('Planilla_General_03-12-2012_9_3'!F261,"AAAAAC/fdkY=")</f>
        <v>#VALUE!</v>
      </c>
      <c r="BT17" t="e">
        <f>AND('Planilla_General_03-12-2012_9_3'!G261,"AAAAAC/fdkc=")</f>
        <v>#VALUE!</v>
      </c>
      <c r="BU17" t="e">
        <f>AND('Planilla_General_03-12-2012_9_3'!H261,"AAAAAC/fdkg=")</f>
        <v>#VALUE!</v>
      </c>
      <c r="BV17" t="e">
        <f>AND('Planilla_General_03-12-2012_9_3'!I261,"AAAAAC/fdkk=")</f>
        <v>#VALUE!</v>
      </c>
      <c r="BW17" t="e">
        <f>AND('Planilla_General_03-12-2012_9_3'!J261,"AAAAAC/fdko=")</f>
        <v>#VALUE!</v>
      </c>
      <c r="BX17" t="e">
        <f>AND('Planilla_General_03-12-2012_9_3'!K261,"AAAAAC/fdks=")</f>
        <v>#VALUE!</v>
      </c>
      <c r="BY17" t="e">
        <f>AND('Planilla_General_03-12-2012_9_3'!L261,"AAAAAC/fdkw=")</f>
        <v>#VALUE!</v>
      </c>
      <c r="BZ17" t="e">
        <f>AND('Planilla_General_03-12-2012_9_3'!M261,"AAAAAC/fdk0=")</f>
        <v>#VALUE!</v>
      </c>
      <c r="CA17" t="e">
        <f>AND('Planilla_General_03-12-2012_9_3'!N261,"AAAAAC/fdk4=")</f>
        <v>#VALUE!</v>
      </c>
      <c r="CB17" t="e">
        <f>AND('Planilla_General_03-12-2012_9_3'!O261,"AAAAAC/fdk8=")</f>
        <v>#VALUE!</v>
      </c>
      <c r="CC17">
        <f>IF('Planilla_General_03-12-2012_9_3'!262:262,"AAAAAC/fdlA=",0)</f>
        <v>0</v>
      </c>
      <c r="CD17" t="e">
        <f>AND('Planilla_General_03-12-2012_9_3'!A262,"AAAAAC/fdlE=")</f>
        <v>#VALUE!</v>
      </c>
      <c r="CE17" t="e">
        <f>AND('Planilla_General_03-12-2012_9_3'!B262,"AAAAAC/fdlI=")</f>
        <v>#VALUE!</v>
      </c>
      <c r="CF17" t="e">
        <f>AND('Planilla_General_03-12-2012_9_3'!C262,"AAAAAC/fdlM=")</f>
        <v>#VALUE!</v>
      </c>
      <c r="CG17" t="e">
        <f>AND('Planilla_General_03-12-2012_9_3'!D262,"AAAAAC/fdlQ=")</f>
        <v>#VALUE!</v>
      </c>
      <c r="CH17" t="e">
        <f>AND('Planilla_General_03-12-2012_9_3'!E262,"AAAAAC/fdlU=")</f>
        <v>#VALUE!</v>
      </c>
      <c r="CI17" t="e">
        <f>AND('Planilla_General_03-12-2012_9_3'!F262,"AAAAAC/fdlY=")</f>
        <v>#VALUE!</v>
      </c>
      <c r="CJ17" t="e">
        <f>AND('Planilla_General_03-12-2012_9_3'!G262,"AAAAAC/fdlc=")</f>
        <v>#VALUE!</v>
      </c>
      <c r="CK17" t="e">
        <f>AND('Planilla_General_03-12-2012_9_3'!H262,"AAAAAC/fdlg=")</f>
        <v>#VALUE!</v>
      </c>
      <c r="CL17" t="e">
        <f>AND('Planilla_General_03-12-2012_9_3'!I262,"AAAAAC/fdlk=")</f>
        <v>#VALUE!</v>
      </c>
      <c r="CM17" t="e">
        <f>AND('Planilla_General_03-12-2012_9_3'!J262,"AAAAAC/fdlo=")</f>
        <v>#VALUE!</v>
      </c>
      <c r="CN17" t="e">
        <f>AND('Planilla_General_03-12-2012_9_3'!K262,"AAAAAC/fdls=")</f>
        <v>#VALUE!</v>
      </c>
      <c r="CO17" t="e">
        <f>AND('Planilla_General_03-12-2012_9_3'!L262,"AAAAAC/fdlw=")</f>
        <v>#VALUE!</v>
      </c>
      <c r="CP17" t="e">
        <f>AND('Planilla_General_03-12-2012_9_3'!M262,"AAAAAC/fdl0=")</f>
        <v>#VALUE!</v>
      </c>
      <c r="CQ17" t="e">
        <f>AND('Planilla_General_03-12-2012_9_3'!N262,"AAAAAC/fdl4=")</f>
        <v>#VALUE!</v>
      </c>
      <c r="CR17" t="e">
        <f>AND('Planilla_General_03-12-2012_9_3'!O262,"AAAAAC/fdl8=")</f>
        <v>#VALUE!</v>
      </c>
      <c r="CS17">
        <f>IF('Planilla_General_03-12-2012_9_3'!263:263,"AAAAAC/fdmA=",0)</f>
        <v>0</v>
      </c>
      <c r="CT17" t="e">
        <f>AND('Planilla_General_03-12-2012_9_3'!A263,"AAAAAC/fdmE=")</f>
        <v>#VALUE!</v>
      </c>
      <c r="CU17" t="e">
        <f>AND('Planilla_General_03-12-2012_9_3'!B263,"AAAAAC/fdmI=")</f>
        <v>#VALUE!</v>
      </c>
      <c r="CV17" t="e">
        <f>AND('Planilla_General_03-12-2012_9_3'!C263,"AAAAAC/fdmM=")</f>
        <v>#VALUE!</v>
      </c>
      <c r="CW17" t="e">
        <f>AND('Planilla_General_03-12-2012_9_3'!D263,"AAAAAC/fdmQ=")</f>
        <v>#VALUE!</v>
      </c>
      <c r="CX17" t="e">
        <f>AND('Planilla_General_03-12-2012_9_3'!E263,"AAAAAC/fdmU=")</f>
        <v>#VALUE!</v>
      </c>
      <c r="CY17" t="e">
        <f>AND('Planilla_General_03-12-2012_9_3'!F263,"AAAAAC/fdmY=")</f>
        <v>#VALUE!</v>
      </c>
      <c r="CZ17" t="e">
        <f>AND('Planilla_General_03-12-2012_9_3'!G263,"AAAAAC/fdmc=")</f>
        <v>#VALUE!</v>
      </c>
      <c r="DA17" t="e">
        <f>AND('Planilla_General_03-12-2012_9_3'!H263,"AAAAAC/fdmg=")</f>
        <v>#VALUE!</v>
      </c>
      <c r="DB17" t="e">
        <f>AND('Planilla_General_03-12-2012_9_3'!I263,"AAAAAC/fdmk=")</f>
        <v>#VALUE!</v>
      </c>
      <c r="DC17" t="e">
        <f>AND('Planilla_General_03-12-2012_9_3'!J263,"AAAAAC/fdmo=")</f>
        <v>#VALUE!</v>
      </c>
      <c r="DD17" t="e">
        <f>AND('Planilla_General_03-12-2012_9_3'!K263,"AAAAAC/fdms=")</f>
        <v>#VALUE!</v>
      </c>
      <c r="DE17" t="e">
        <f>AND('Planilla_General_03-12-2012_9_3'!L263,"AAAAAC/fdmw=")</f>
        <v>#VALUE!</v>
      </c>
      <c r="DF17" t="e">
        <f>AND('Planilla_General_03-12-2012_9_3'!M263,"AAAAAC/fdm0=")</f>
        <v>#VALUE!</v>
      </c>
      <c r="DG17" t="e">
        <f>AND('Planilla_General_03-12-2012_9_3'!N263,"AAAAAC/fdm4=")</f>
        <v>#VALUE!</v>
      </c>
      <c r="DH17" t="e">
        <f>AND('Planilla_General_03-12-2012_9_3'!O263,"AAAAAC/fdm8=")</f>
        <v>#VALUE!</v>
      </c>
      <c r="DI17">
        <f>IF('Planilla_General_03-12-2012_9_3'!264:264,"AAAAAC/fdnA=",0)</f>
        <v>0</v>
      </c>
      <c r="DJ17" t="e">
        <f>AND('Planilla_General_03-12-2012_9_3'!A264,"AAAAAC/fdnE=")</f>
        <v>#VALUE!</v>
      </c>
      <c r="DK17" t="e">
        <f>AND('Planilla_General_03-12-2012_9_3'!B264,"AAAAAC/fdnI=")</f>
        <v>#VALUE!</v>
      </c>
      <c r="DL17" t="e">
        <f>AND('Planilla_General_03-12-2012_9_3'!C264,"AAAAAC/fdnM=")</f>
        <v>#VALUE!</v>
      </c>
      <c r="DM17" t="e">
        <f>AND('Planilla_General_03-12-2012_9_3'!D264,"AAAAAC/fdnQ=")</f>
        <v>#VALUE!</v>
      </c>
      <c r="DN17" t="e">
        <f>AND('Planilla_General_03-12-2012_9_3'!E264,"AAAAAC/fdnU=")</f>
        <v>#VALUE!</v>
      </c>
      <c r="DO17" t="e">
        <f>AND('Planilla_General_03-12-2012_9_3'!F264,"AAAAAC/fdnY=")</f>
        <v>#VALUE!</v>
      </c>
      <c r="DP17" t="e">
        <f>AND('Planilla_General_03-12-2012_9_3'!G264,"AAAAAC/fdnc=")</f>
        <v>#VALUE!</v>
      </c>
      <c r="DQ17" t="e">
        <f>AND('Planilla_General_03-12-2012_9_3'!H264,"AAAAAC/fdng=")</f>
        <v>#VALUE!</v>
      </c>
      <c r="DR17" t="e">
        <f>AND('Planilla_General_03-12-2012_9_3'!I264,"AAAAAC/fdnk=")</f>
        <v>#VALUE!</v>
      </c>
      <c r="DS17" t="e">
        <f>AND('Planilla_General_03-12-2012_9_3'!J264,"AAAAAC/fdno=")</f>
        <v>#VALUE!</v>
      </c>
      <c r="DT17" t="e">
        <f>AND('Planilla_General_03-12-2012_9_3'!K264,"AAAAAC/fdns=")</f>
        <v>#VALUE!</v>
      </c>
      <c r="DU17" t="e">
        <f>AND('Planilla_General_03-12-2012_9_3'!L264,"AAAAAC/fdnw=")</f>
        <v>#VALUE!</v>
      </c>
      <c r="DV17" t="e">
        <f>AND('Planilla_General_03-12-2012_9_3'!M264,"AAAAAC/fdn0=")</f>
        <v>#VALUE!</v>
      </c>
      <c r="DW17" t="e">
        <f>AND('Planilla_General_03-12-2012_9_3'!N264,"AAAAAC/fdn4=")</f>
        <v>#VALUE!</v>
      </c>
      <c r="DX17" t="e">
        <f>AND('Planilla_General_03-12-2012_9_3'!O264,"AAAAAC/fdn8=")</f>
        <v>#VALUE!</v>
      </c>
      <c r="DY17">
        <f>IF('Planilla_General_03-12-2012_9_3'!265:265,"AAAAAC/fdoA=",0)</f>
        <v>0</v>
      </c>
      <c r="DZ17" t="e">
        <f>AND('Planilla_General_03-12-2012_9_3'!A265,"AAAAAC/fdoE=")</f>
        <v>#VALUE!</v>
      </c>
      <c r="EA17" t="e">
        <f>AND('Planilla_General_03-12-2012_9_3'!B265,"AAAAAC/fdoI=")</f>
        <v>#VALUE!</v>
      </c>
      <c r="EB17" t="e">
        <f>AND('Planilla_General_03-12-2012_9_3'!C265,"AAAAAC/fdoM=")</f>
        <v>#VALUE!</v>
      </c>
      <c r="EC17" t="e">
        <f>AND('Planilla_General_03-12-2012_9_3'!D265,"AAAAAC/fdoQ=")</f>
        <v>#VALUE!</v>
      </c>
      <c r="ED17" t="e">
        <f>AND('Planilla_General_03-12-2012_9_3'!E265,"AAAAAC/fdoU=")</f>
        <v>#VALUE!</v>
      </c>
      <c r="EE17" t="e">
        <f>AND('Planilla_General_03-12-2012_9_3'!F265,"AAAAAC/fdoY=")</f>
        <v>#VALUE!</v>
      </c>
      <c r="EF17" t="e">
        <f>AND('Planilla_General_03-12-2012_9_3'!G265,"AAAAAC/fdoc=")</f>
        <v>#VALUE!</v>
      </c>
      <c r="EG17" t="e">
        <f>AND('Planilla_General_03-12-2012_9_3'!H265,"AAAAAC/fdog=")</f>
        <v>#VALUE!</v>
      </c>
      <c r="EH17" t="e">
        <f>AND('Planilla_General_03-12-2012_9_3'!I265,"AAAAAC/fdok=")</f>
        <v>#VALUE!</v>
      </c>
      <c r="EI17" t="e">
        <f>AND('Planilla_General_03-12-2012_9_3'!J265,"AAAAAC/fdoo=")</f>
        <v>#VALUE!</v>
      </c>
      <c r="EJ17" t="e">
        <f>AND('Planilla_General_03-12-2012_9_3'!K265,"AAAAAC/fdos=")</f>
        <v>#VALUE!</v>
      </c>
      <c r="EK17" t="e">
        <f>AND('Planilla_General_03-12-2012_9_3'!L265,"AAAAAC/fdow=")</f>
        <v>#VALUE!</v>
      </c>
      <c r="EL17" t="e">
        <f>AND('Planilla_General_03-12-2012_9_3'!M265,"AAAAAC/fdo0=")</f>
        <v>#VALUE!</v>
      </c>
      <c r="EM17" t="e">
        <f>AND('Planilla_General_03-12-2012_9_3'!N265,"AAAAAC/fdo4=")</f>
        <v>#VALUE!</v>
      </c>
      <c r="EN17" t="e">
        <f>AND('Planilla_General_03-12-2012_9_3'!O265,"AAAAAC/fdo8=")</f>
        <v>#VALUE!</v>
      </c>
      <c r="EO17">
        <f>IF('Planilla_General_03-12-2012_9_3'!266:266,"AAAAAC/fdpA=",0)</f>
        <v>0</v>
      </c>
      <c r="EP17" t="e">
        <f>AND('Planilla_General_03-12-2012_9_3'!A266,"AAAAAC/fdpE=")</f>
        <v>#VALUE!</v>
      </c>
      <c r="EQ17" t="e">
        <f>AND('Planilla_General_03-12-2012_9_3'!B266,"AAAAAC/fdpI=")</f>
        <v>#VALUE!</v>
      </c>
      <c r="ER17" t="e">
        <f>AND('Planilla_General_03-12-2012_9_3'!C266,"AAAAAC/fdpM=")</f>
        <v>#VALUE!</v>
      </c>
      <c r="ES17" t="e">
        <f>AND('Planilla_General_03-12-2012_9_3'!D266,"AAAAAC/fdpQ=")</f>
        <v>#VALUE!</v>
      </c>
      <c r="ET17" t="e">
        <f>AND('Planilla_General_03-12-2012_9_3'!E266,"AAAAAC/fdpU=")</f>
        <v>#VALUE!</v>
      </c>
      <c r="EU17" t="e">
        <f>AND('Planilla_General_03-12-2012_9_3'!F266,"AAAAAC/fdpY=")</f>
        <v>#VALUE!</v>
      </c>
      <c r="EV17" t="e">
        <f>AND('Planilla_General_03-12-2012_9_3'!G266,"AAAAAC/fdpc=")</f>
        <v>#VALUE!</v>
      </c>
      <c r="EW17" t="e">
        <f>AND('Planilla_General_03-12-2012_9_3'!H266,"AAAAAC/fdpg=")</f>
        <v>#VALUE!</v>
      </c>
      <c r="EX17" t="e">
        <f>AND('Planilla_General_03-12-2012_9_3'!I266,"AAAAAC/fdpk=")</f>
        <v>#VALUE!</v>
      </c>
      <c r="EY17" t="e">
        <f>AND('Planilla_General_03-12-2012_9_3'!J266,"AAAAAC/fdpo=")</f>
        <v>#VALUE!</v>
      </c>
      <c r="EZ17" t="e">
        <f>AND('Planilla_General_03-12-2012_9_3'!K266,"AAAAAC/fdps=")</f>
        <v>#VALUE!</v>
      </c>
      <c r="FA17" t="e">
        <f>AND('Planilla_General_03-12-2012_9_3'!L266,"AAAAAC/fdpw=")</f>
        <v>#VALUE!</v>
      </c>
      <c r="FB17" t="e">
        <f>AND('Planilla_General_03-12-2012_9_3'!M266,"AAAAAC/fdp0=")</f>
        <v>#VALUE!</v>
      </c>
      <c r="FC17" t="e">
        <f>AND('Planilla_General_03-12-2012_9_3'!N266,"AAAAAC/fdp4=")</f>
        <v>#VALUE!</v>
      </c>
      <c r="FD17" t="e">
        <f>AND('Planilla_General_03-12-2012_9_3'!O266,"AAAAAC/fdp8=")</f>
        <v>#VALUE!</v>
      </c>
      <c r="FE17">
        <f>IF('Planilla_General_03-12-2012_9_3'!267:267,"AAAAAC/fdqA=",0)</f>
        <v>0</v>
      </c>
      <c r="FF17" t="e">
        <f>AND('Planilla_General_03-12-2012_9_3'!A267,"AAAAAC/fdqE=")</f>
        <v>#VALUE!</v>
      </c>
      <c r="FG17" t="e">
        <f>AND('Planilla_General_03-12-2012_9_3'!B267,"AAAAAC/fdqI=")</f>
        <v>#VALUE!</v>
      </c>
      <c r="FH17" t="e">
        <f>AND('Planilla_General_03-12-2012_9_3'!C267,"AAAAAC/fdqM=")</f>
        <v>#VALUE!</v>
      </c>
      <c r="FI17" t="e">
        <f>AND('Planilla_General_03-12-2012_9_3'!D267,"AAAAAC/fdqQ=")</f>
        <v>#VALUE!</v>
      </c>
      <c r="FJ17" t="e">
        <f>AND('Planilla_General_03-12-2012_9_3'!E267,"AAAAAC/fdqU=")</f>
        <v>#VALUE!</v>
      </c>
      <c r="FK17" t="e">
        <f>AND('Planilla_General_03-12-2012_9_3'!F267,"AAAAAC/fdqY=")</f>
        <v>#VALUE!</v>
      </c>
      <c r="FL17" t="e">
        <f>AND('Planilla_General_03-12-2012_9_3'!G267,"AAAAAC/fdqc=")</f>
        <v>#VALUE!</v>
      </c>
      <c r="FM17" t="e">
        <f>AND('Planilla_General_03-12-2012_9_3'!H267,"AAAAAC/fdqg=")</f>
        <v>#VALUE!</v>
      </c>
      <c r="FN17" t="e">
        <f>AND('Planilla_General_03-12-2012_9_3'!I267,"AAAAAC/fdqk=")</f>
        <v>#VALUE!</v>
      </c>
      <c r="FO17" t="e">
        <f>AND('Planilla_General_03-12-2012_9_3'!J267,"AAAAAC/fdqo=")</f>
        <v>#VALUE!</v>
      </c>
      <c r="FP17" t="e">
        <f>AND('Planilla_General_03-12-2012_9_3'!K267,"AAAAAC/fdqs=")</f>
        <v>#VALUE!</v>
      </c>
      <c r="FQ17" t="e">
        <f>AND('Planilla_General_03-12-2012_9_3'!L267,"AAAAAC/fdqw=")</f>
        <v>#VALUE!</v>
      </c>
      <c r="FR17" t="e">
        <f>AND('Planilla_General_03-12-2012_9_3'!M267,"AAAAAC/fdq0=")</f>
        <v>#VALUE!</v>
      </c>
      <c r="FS17" t="e">
        <f>AND('Planilla_General_03-12-2012_9_3'!N267,"AAAAAC/fdq4=")</f>
        <v>#VALUE!</v>
      </c>
      <c r="FT17" t="e">
        <f>AND('Planilla_General_03-12-2012_9_3'!O267,"AAAAAC/fdq8=")</f>
        <v>#VALUE!</v>
      </c>
      <c r="FU17">
        <f>IF('Planilla_General_03-12-2012_9_3'!268:268,"AAAAAC/fdrA=",0)</f>
        <v>0</v>
      </c>
      <c r="FV17" t="e">
        <f>AND('Planilla_General_03-12-2012_9_3'!A268,"AAAAAC/fdrE=")</f>
        <v>#VALUE!</v>
      </c>
      <c r="FW17" t="e">
        <f>AND('Planilla_General_03-12-2012_9_3'!B268,"AAAAAC/fdrI=")</f>
        <v>#VALUE!</v>
      </c>
      <c r="FX17" t="e">
        <f>AND('Planilla_General_03-12-2012_9_3'!C268,"AAAAAC/fdrM=")</f>
        <v>#VALUE!</v>
      </c>
      <c r="FY17" t="e">
        <f>AND('Planilla_General_03-12-2012_9_3'!D268,"AAAAAC/fdrQ=")</f>
        <v>#VALUE!</v>
      </c>
      <c r="FZ17" t="e">
        <f>AND('Planilla_General_03-12-2012_9_3'!E268,"AAAAAC/fdrU=")</f>
        <v>#VALUE!</v>
      </c>
      <c r="GA17" t="e">
        <f>AND('Planilla_General_03-12-2012_9_3'!F268,"AAAAAC/fdrY=")</f>
        <v>#VALUE!</v>
      </c>
      <c r="GB17" t="e">
        <f>AND('Planilla_General_03-12-2012_9_3'!G268,"AAAAAC/fdrc=")</f>
        <v>#VALUE!</v>
      </c>
      <c r="GC17" t="e">
        <f>AND('Planilla_General_03-12-2012_9_3'!H268,"AAAAAC/fdrg=")</f>
        <v>#VALUE!</v>
      </c>
      <c r="GD17" t="e">
        <f>AND('Planilla_General_03-12-2012_9_3'!I268,"AAAAAC/fdrk=")</f>
        <v>#VALUE!</v>
      </c>
      <c r="GE17" t="e">
        <f>AND('Planilla_General_03-12-2012_9_3'!J268,"AAAAAC/fdro=")</f>
        <v>#VALUE!</v>
      </c>
      <c r="GF17" t="e">
        <f>AND('Planilla_General_03-12-2012_9_3'!K268,"AAAAAC/fdrs=")</f>
        <v>#VALUE!</v>
      </c>
      <c r="GG17" t="e">
        <f>AND('Planilla_General_03-12-2012_9_3'!L268,"AAAAAC/fdrw=")</f>
        <v>#VALUE!</v>
      </c>
      <c r="GH17" t="e">
        <f>AND('Planilla_General_03-12-2012_9_3'!M268,"AAAAAC/fdr0=")</f>
        <v>#VALUE!</v>
      </c>
      <c r="GI17" t="e">
        <f>AND('Planilla_General_03-12-2012_9_3'!N268,"AAAAAC/fdr4=")</f>
        <v>#VALUE!</v>
      </c>
      <c r="GJ17" t="e">
        <f>AND('Planilla_General_03-12-2012_9_3'!O268,"AAAAAC/fdr8=")</f>
        <v>#VALUE!</v>
      </c>
      <c r="GK17">
        <f>IF('Planilla_General_03-12-2012_9_3'!269:269,"AAAAAC/fdsA=",0)</f>
        <v>0</v>
      </c>
      <c r="GL17" t="e">
        <f>AND('Planilla_General_03-12-2012_9_3'!A269,"AAAAAC/fdsE=")</f>
        <v>#VALUE!</v>
      </c>
      <c r="GM17" t="e">
        <f>AND('Planilla_General_03-12-2012_9_3'!B269,"AAAAAC/fdsI=")</f>
        <v>#VALUE!</v>
      </c>
      <c r="GN17" t="e">
        <f>AND('Planilla_General_03-12-2012_9_3'!C269,"AAAAAC/fdsM=")</f>
        <v>#VALUE!</v>
      </c>
      <c r="GO17" t="e">
        <f>AND('Planilla_General_03-12-2012_9_3'!D269,"AAAAAC/fdsQ=")</f>
        <v>#VALUE!</v>
      </c>
      <c r="GP17" t="e">
        <f>AND('Planilla_General_03-12-2012_9_3'!E269,"AAAAAC/fdsU=")</f>
        <v>#VALUE!</v>
      </c>
      <c r="GQ17" t="e">
        <f>AND('Planilla_General_03-12-2012_9_3'!F269,"AAAAAC/fdsY=")</f>
        <v>#VALUE!</v>
      </c>
      <c r="GR17" t="e">
        <f>AND('Planilla_General_03-12-2012_9_3'!G269,"AAAAAC/fdsc=")</f>
        <v>#VALUE!</v>
      </c>
      <c r="GS17" t="e">
        <f>AND('Planilla_General_03-12-2012_9_3'!H269,"AAAAAC/fdsg=")</f>
        <v>#VALUE!</v>
      </c>
      <c r="GT17" t="e">
        <f>AND('Planilla_General_03-12-2012_9_3'!I269,"AAAAAC/fdsk=")</f>
        <v>#VALUE!</v>
      </c>
      <c r="GU17" t="e">
        <f>AND('Planilla_General_03-12-2012_9_3'!J269,"AAAAAC/fdso=")</f>
        <v>#VALUE!</v>
      </c>
      <c r="GV17" t="e">
        <f>AND('Planilla_General_03-12-2012_9_3'!K269,"AAAAAC/fdss=")</f>
        <v>#VALUE!</v>
      </c>
      <c r="GW17" t="e">
        <f>AND('Planilla_General_03-12-2012_9_3'!L269,"AAAAAC/fdsw=")</f>
        <v>#VALUE!</v>
      </c>
      <c r="GX17" t="e">
        <f>AND('Planilla_General_03-12-2012_9_3'!M269,"AAAAAC/fds0=")</f>
        <v>#VALUE!</v>
      </c>
      <c r="GY17" t="e">
        <f>AND('Planilla_General_03-12-2012_9_3'!N269,"AAAAAC/fds4=")</f>
        <v>#VALUE!</v>
      </c>
      <c r="GZ17" t="e">
        <f>AND('Planilla_General_03-12-2012_9_3'!O269,"AAAAAC/fds8=")</f>
        <v>#VALUE!</v>
      </c>
      <c r="HA17">
        <f>IF('Planilla_General_03-12-2012_9_3'!270:270,"AAAAAC/fdtA=",0)</f>
        <v>0</v>
      </c>
      <c r="HB17" t="e">
        <f>AND('Planilla_General_03-12-2012_9_3'!A270,"AAAAAC/fdtE=")</f>
        <v>#VALUE!</v>
      </c>
      <c r="HC17" t="e">
        <f>AND('Planilla_General_03-12-2012_9_3'!B270,"AAAAAC/fdtI=")</f>
        <v>#VALUE!</v>
      </c>
      <c r="HD17" t="e">
        <f>AND('Planilla_General_03-12-2012_9_3'!C270,"AAAAAC/fdtM=")</f>
        <v>#VALUE!</v>
      </c>
      <c r="HE17" t="e">
        <f>AND('Planilla_General_03-12-2012_9_3'!D270,"AAAAAC/fdtQ=")</f>
        <v>#VALUE!</v>
      </c>
      <c r="HF17" t="e">
        <f>AND('Planilla_General_03-12-2012_9_3'!E270,"AAAAAC/fdtU=")</f>
        <v>#VALUE!</v>
      </c>
      <c r="HG17" t="e">
        <f>AND('Planilla_General_03-12-2012_9_3'!F270,"AAAAAC/fdtY=")</f>
        <v>#VALUE!</v>
      </c>
      <c r="HH17" t="e">
        <f>AND('Planilla_General_03-12-2012_9_3'!G270,"AAAAAC/fdtc=")</f>
        <v>#VALUE!</v>
      </c>
      <c r="HI17" t="e">
        <f>AND('Planilla_General_03-12-2012_9_3'!H270,"AAAAAC/fdtg=")</f>
        <v>#VALUE!</v>
      </c>
      <c r="HJ17" t="e">
        <f>AND('Planilla_General_03-12-2012_9_3'!I270,"AAAAAC/fdtk=")</f>
        <v>#VALUE!</v>
      </c>
      <c r="HK17" t="e">
        <f>AND('Planilla_General_03-12-2012_9_3'!J270,"AAAAAC/fdto=")</f>
        <v>#VALUE!</v>
      </c>
      <c r="HL17" t="e">
        <f>AND('Planilla_General_03-12-2012_9_3'!K270,"AAAAAC/fdts=")</f>
        <v>#VALUE!</v>
      </c>
      <c r="HM17" t="e">
        <f>AND('Planilla_General_03-12-2012_9_3'!L270,"AAAAAC/fdtw=")</f>
        <v>#VALUE!</v>
      </c>
      <c r="HN17" t="e">
        <f>AND('Planilla_General_03-12-2012_9_3'!M270,"AAAAAC/fdt0=")</f>
        <v>#VALUE!</v>
      </c>
      <c r="HO17" t="e">
        <f>AND('Planilla_General_03-12-2012_9_3'!N270,"AAAAAC/fdt4=")</f>
        <v>#VALUE!</v>
      </c>
      <c r="HP17" t="e">
        <f>AND('Planilla_General_03-12-2012_9_3'!O270,"AAAAAC/fdt8=")</f>
        <v>#VALUE!</v>
      </c>
      <c r="HQ17">
        <f>IF('Planilla_General_03-12-2012_9_3'!271:271,"AAAAAC/fduA=",0)</f>
        <v>0</v>
      </c>
      <c r="HR17" t="e">
        <f>AND('Planilla_General_03-12-2012_9_3'!A271,"AAAAAC/fduE=")</f>
        <v>#VALUE!</v>
      </c>
      <c r="HS17" t="e">
        <f>AND('Planilla_General_03-12-2012_9_3'!B271,"AAAAAC/fduI=")</f>
        <v>#VALUE!</v>
      </c>
      <c r="HT17" t="e">
        <f>AND('Planilla_General_03-12-2012_9_3'!C271,"AAAAAC/fduM=")</f>
        <v>#VALUE!</v>
      </c>
      <c r="HU17" t="e">
        <f>AND('Planilla_General_03-12-2012_9_3'!D271,"AAAAAC/fduQ=")</f>
        <v>#VALUE!</v>
      </c>
      <c r="HV17" t="e">
        <f>AND('Planilla_General_03-12-2012_9_3'!E271,"AAAAAC/fduU=")</f>
        <v>#VALUE!</v>
      </c>
      <c r="HW17" t="e">
        <f>AND('Planilla_General_03-12-2012_9_3'!F271,"AAAAAC/fduY=")</f>
        <v>#VALUE!</v>
      </c>
      <c r="HX17" t="e">
        <f>AND('Planilla_General_03-12-2012_9_3'!G271,"AAAAAC/fduc=")</f>
        <v>#VALUE!</v>
      </c>
      <c r="HY17" t="e">
        <f>AND('Planilla_General_03-12-2012_9_3'!H271,"AAAAAC/fdug=")</f>
        <v>#VALUE!</v>
      </c>
      <c r="HZ17" t="e">
        <f>AND('Planilla_General_03-12-2012_9_3'!I271,"AAAAAC/fduk=")</f>
        <v>#VALUE!</v>
      </c>
      <c r="IA17" t="e">
        <f>AND('Planilla_General_03-12-2012_9_3'!J271,"AAAAAC/fduo=")</f>
        <v>#VALUE!</v>
      </c>
      <c r="IB17" t="e">
        <f>AND('Planilla_General_03-12-2012_9_3'!K271,"AAAAAC/fdus=")</f>
        <v>#VALUE!</v>
      </c>
      <c r="IC17" t="e">
        <f>AND('Planilla_General_03-12-2012_9_3'!L271,"AAAAAC/fduw=")</f>
        <v>#VALUE!</v>
      </c>
      <c r="ID17" t="e">
        <f>AND('Planilla_General_03-12-2012_9_3'!M271,"AAAAAC/fdu0=")</f>
        <v>#VALUE!</v>
      </c>
      <c r="IE17" t="e">
        <f>AND('Planilla_General_03-12-2012_9_3'!N271,"AAAAAC/fdu4=")</f>
        <v>#VALUE!</v>
      </c>
      <c r="IF17" t="e">
        <f>AND('Planilla_General_03-12-2012_9_3'!O271,"AAAAAC/fdu8=")</f>
        <v>#VALUE!</v>
      </c>
      <c r="IG17">
        <f>IF('Planilla_General_03-12-2012_9_3'!272:272,"AAAAAC/fdvA=",0)</f>
        <v>0</v>
      </c>
      <c r="IH17" t="e">
        <f>AND('Planilla_General_03-12-2012_9_3'!A272,"AAAAAC/fdvE=")</f>
        <v>#VALUE!</v>
      </c>
      <c r="II17" t="e">
        <f>AND('Planilla_General_03-12-2012_9_3'!B272,"AAAAAC/fdvI=")</f>
        <v>#VALUE!</v>
      </c>
      <c r="IJ17" t="e">
        <f>AND('Planilla_General_03-12-2012_9_3'!C272,"AAAAAC/fdvM=")</f>
        <v>#VALUE!</v>
      </c>
      <c r="IK17" t="e">
        <f>AND('Planilla_General_03-12-2012_9_3'!D272,"AAAAAC/fdvQ=")</f>
        <v>#VALUE!</v>
      </c>
      <c r="IL17" t="e">
        <f>AND('Planilla_General_03-12-2012_9_3'!E272,"AAAAAC/fdvU=")</f>
        <v>#VALUE!</v>
      </c>
      <c r="IM17" t="e">
        <f>AND('Planilla_General_03-12-2012_9_3'!F272,"AAAAAC/fdvY=")</f>
        <v>#VALUE!</v>
      </c>
      <c r="IN17" t="e">
        <f>AND('Planilla_General_03-12-2012_9_3'!G272,"AAAAAC/fdvc=")</f>
        <v>#VALUE!</v>
      </c>
      <c r="IO17" t="e">
        <f>AND('Planilla_General_03-12-2012_9_3'!H272,"AAAAAC/fdvg=")</f>
        <v>#VALUE!</v>
      </c>
      <c r="IP17" t="e">
        <f>AND('Planilla_General_03-12-2012_9_3'!I272,"AAAAAC/fdvk=")</f>
        <v>#VALUE!</v>
      </c>
      <c r="IQ17" t="e">
        <f>AND('Planilla_General_03-12-2012_9_3'!J272,"AAAAAC/fdvo=")</f>
        <v>#VALUE!</v>
      </c>
      <c r="IR17" t="e">
        <f>AND('Planilla_General_03-12-2012_9_3'!K272,"AAAAAC/fdvs=")</f>
        <v>#VALUE!</v>
      </c>
      <c r="IS17" t="e">
        <f>AND('Planilla_General_03-12-2012_9_3'!L272,"AAAAAC/fdvw=")</f>
        <v>#VALUE!</v>
      </c>
      <c r="IT17" t="e">
        <f>AND('Planilla_General_03-12-2012_9_3'!M272,"AAAAAC/fdv0=")</f>
        <v>#VALUE!</v>
      </c>
      <c r="IU17" t="e">
        <f>AND('Planilla_General_03-12-2012_9_3'!N272,"AAAAAC/fdv4=")</f>
        <v>#VALUE!</v>
      </c>
      <c r="IV17" t="e">
        <f>AND('Planilla_General_03-12-2012_9_3'!O272,"AAAAAC/fdv8=")</f>
        <v>#VALUE!</v>
      </c>
    </row>
    <row r="18" spans="1:256" x14ac:dyDescent="0.25">
      <c r="A18" t="e">
        <f>IF('Planilla_General_03-12-2012_9_3'!273:273,"AAAAAH1+7wA=",0)</f>
        <v>#VALUE!</v>
      </c>
      <c r="B18" t="e">
        <f>AND('Planilla_General_03-12-2012_9_3'!A273,"AAAAAH1+7wE=")</f>
        <v>#VALUE!</v>
      </c>
      <c r="C18" t="e">
        <f>AND('Planilla_General_03-12-2012_9_3'!B273,"AAAAAH1+7wI=")</f>
        <v>#VALUE!</v>
      </c>
      <c r="D18" t="e">
        <f>AND('Planilla_General_03-12-2012_9_3'!C273,"AAAAAH1+7wM=")</f>
        <v>#VALUE!</v>
      </c>
      <c r="E18" t="e">
        <f>AND('Planilla_General_03-12-2012_9_3'!D273,"AAAAAH1+7wQ=")</f>
        <v>#VALUE!</v>
      </c>
      <c r="F18" t="e">
        <f>AND('Planilla_General_03-12-2012_9_3'!E273,"AAAAAH1+7wU=")</f>
        <v>#VALUE!</v>
      </c>
      <c r="G18" t="e">
        <f>AND('Planilla_General_03-12-2012_9_3'!F273,"AAAAAH1+7wY=")</f>
        <v>#VALUE!</v>
      </c>
      <c r="H18" t="e">
        <f>AND('Planilla_General_03-12-2012_9_3'!G273,"AAAAAH1+7wc=")</f>
        <v>#VALUE!</v>
      </c>
      <c r="I18" t="e">
        <f>AND('Planilla_General_03-12-2012_9_3'!H273,"AAAAAH1+7wg=")</f>
        <v>#VALUE!</v>
      </c>
      <c r="J18" t="e">
        <f>AND('Planilla_General_03-12-2012_9_3'!I273,"AAAAAH1+7wk=")</f>
        <v>#VALUE!</v>
      </c>
      <c r="K18" t="e">
        <f>AND('Planilla_General_03-12-2012_9_3'!J273,"AAAAAH1+7wo=")</f>
        <v>#VALUE!</v>
      </c>
      <c r="L18" t="e">
        <f>AND('Planilla_General_03-12-2012_9_3'!K273,"AAAAAH1+7ws=")</f>
        <v>#VALUE!</v>
      </c>
      <c r="M18" t="e">
        <f>AND('Planilla_General_03-12-2012_9_3'!L273,"AAAAAH1+7ww=")</f>
        <v>#VALUE!</v>
      </c>
      <c r="N18" t="e">
        <f>AND('Planilla_General_03-12-2012_9_3'!M273,"AAAAAH1+7w0=")</f>
        <v>#VALUE!</v>
      </c>
      <c r="O18" t="e">
        <f>AND('Planilla_General_03-12-2012_9_3'!N273,"AAAAAH1+7w4=")</f>
        <v>#VALUE!</v>
      </c>
      <c r="P18" t="e">
        <f>AND('Planilla_General_03-12-2012_9_3'!O273,"AAAAAH1+7w8=")</f>
        <v>#VALUE!</v>
      </c>
      <c r="Q18">
        <f>IF('Planilla_General_03-12-2012_9_3'!274:274,"AAAAAH1+7xA=",0)</f>
        <v>0</v>
      </c>
      <c r="R18" t="e">
        <f>AND('Planilla_General_03-12-2012_9_3'!A274,"AAAAAH1+7xE=")</f>
        <v>#VALUE!</v>
      </c>
      <c r="S18" t="e">
        <f>AND('Planilla_General_03-12-2012_9_3'!B274,"AAAAAH1+7xI=")</f>
        <v>#VALUE!</v>
      </c>
      <c r="T18" t="e">
        <f>AND('Planilla_General_03-12-2012_9_3'!C274,"AAAAAH1+7xM=")</f>
        <v>#VALUE!</v>
      </c>
      <c r="U18" t="e">
        <f>AND('Planilla_General_03-12-2012_9_3'!D274,"AAAAAH1+7xQ=")</f>
        <v>#VALUE!</v>
      </c>
      <c r="V18" t="e">
        <f>AND('Planilla_General_03-12-2012_9_3'!E274,"AAAAAH1+7xU=")</f>
        <v>#VALUE!</v>
      </c>
      <c r="W18" t="e">
        <f>AND('Planilla_General_03-12-2012_9_3'!F274,"AAAAAH1+7xY=")</f>
        <v>#VALUE!</v>
      </c>
      <c r="X18" t="e">
        <f>AND('Planilla_General_03-12-2012_9_3'!G274,"AAAAAH1+7xc=")</f>
        <v>#VALUE!</v>
      </c>
      <c r="Y18" t="e">
        <f>AND('Planilla_General_03-12-2012_9_3'!H274,"AAAAAH1+7xg=")</f>
        <v>#VALUE!</v>
      </c>
      <c r="Z18" t="e">
        <f>AND('Planilla_General_03-12-2012_9_3'!I274,"AAAAAH1+7xk=")</f>
        <v>#VALUE!</v>
      </c>
      <c r="AA18" t="e">
        <f>AND('Planilla_General_03-12-2012_9_3'!J274,"AAAAAH1+7xo=")</f>
        <v>#VALUE!</v>
      </c>
      <c r="AB18" t="e">
        <f>AND('Planilla_General_03-12-2012_9_3'!K274,"AAAAAH1+7xs=")</f>
        <v>#VALUE!</v>
      </c>
      <c r="AC18" t="e">
        <f>AND('Planilla_General_03-12-2012_9_3'!L274,"AAAAAH1+7xw=")</f>
        <v>#VALUE!</v>
      </c>
      <c r="AD18" t="e">
        <f>AND('Planilla_General_03-12-2012_9_3'!M274,"AAAAAH1+7x0=")</f>
        <v>#VALUE!</v>
      </c>
      <c r="AE18" t="e">
        <f>AND('Planilla_General_03-12-2012_9_3'!N274,"AAAAAH1+7x4=")</f>
        <v>#VALUE!</v>
      </c>
      <c r="AF18" t="e">
        <f>AND('Planilla_General_03-12-2012_9_3'!O274,"AAAAAH1+7x8=")</f>
        <v>#VALUE!</v>
      </c>
      <c r="AG18">
        <f>IF('Planilla_General_03-12-2012_9_3'!275:275,"AAAAAH1+7yA=",0)</f>
        <v>0</v>
      </c>
      <c r="AH18" t="e">
        <f>AND('Planilla_General_03-12-2012_9_3'!A275,"AAAAAH1+7yE=")</f>
        <v>#VALUE!</v>
      </c>
      <c r="AI18" t="e">
        <f>AND('Planilla_General_03-12-2012_9_3'!B275,"AAAAAH1+7yI=")</f>
        <v>#VALUE!</v>
      </c>
      <c r="AJ18" t="e">
        <f>AND('Planilla_General_03-12-2012_9_3'!C275,"AAAAAH1+7yM=")</f>
        <v>#VALUE!</v>
      </c>
      <c r="AK18" t="e">
        <f>AND('Planilla_General_03-12-2012_9_3'!D275,"AAAAAH1+7yQ=")</f>
        <v>#VALUE!</v>
      </c>
      <c r="AL18" t="e">
        <f>AND('Planilla_General_03-12-2012_9_3'!E275,"AAAAAH1+7yU=")</f>
        <v>#VALUE!</v>
      </c>
      <c r="AM18" t="e">
        <f>AND('Planilla_General_03-12-2012_9_3'!F275,"AAAAAH1+7yY=")</f>
        <v>#VALUE!</v>
      </c>
      <c r="AN18" t="e">
        <f>AND('Planilla_General_03-12-2012_9_3'!G275,"AAAAAH1+7yc=")</f>
        <v>#VALUE!</v>
      </c>
      <c r="AO18" t="e">
        <f>AND('Planilla_General_03-12-2012_9_3'!H275,"AAAAAH1+7yg=")</f>
        <v>#VALUE!</v>
      </c>
      <c r="AP18" t="e">
        <f>AND('Planilla_General_03-12-2012_9_3'!I275,"AAAAAH1+7yk=")</f>
        <v>#VALUE!</v>
      </c>
      <c r="AQ18" t="e">
        <f>AND('Planilla_General_03-12-2012_9_3'!J275,"AAAAAH1+7yo=")</f>
        <v>#VALUE!</v>
      </c>
      <c r="AR18" t="e">
        <f>AND('Planilla_General_03-12-2012_9_3'!K275,"AAAAAH1+7ys=")</f>
        <v>#VALUE!</v>
      </c>
      <c r="AS18" t="e">
        <f>AND('Planilla_General_03-12-2012_9_3'!L275,"AAAAAH1+7yw=")</f>
        <v>#VALUE!</v>
      </c>
      <c r="AT18" t="e">
        <f>AND('Planilla_General_03-12-2012_9_3'!M275,"AAAAAH1+7y0=")</f>
        <v>#VALUE!</v>
      </c>
      <c r="AU18" t="e">
        <f>AND('Planilla_General_03-12-2012_9_3'!N275,"AAAAAH1+7y4=")</f>
        <v>#VALUE!</v>
      </c>
      <c r="AV18" t="e">
        <f>AND('Planilla_General_03-12-2012_9_3'!O275,"AAAAAH1+7y8=")</f>
        <v>#VALUE!</v>
      </c>
      <c r="AW18">
        <f>IF('Planilla_General_03-12-2012_9_3'!276:276,"AAAAAH1+7zA=",0)</f>
        <v>0</v>
      </c>
      <c r="AX18" t="e">
        <f>AND('Planilla_General_03-12-2012_9_3'!A276,"AAAAAH1+7zE=")</f>
        <v>#VALUE!</v>
      </c>
      <c r="AY18" t="e">
        <f>AND('Planilla_General_03-12-2012_9_3'!B276,"AAAAAH1+7zI=")</f>
        <v>#VALUE!</v>
      </c>
      <c r="AZ18" t="e">
        <f>AND('Planilla_General_03-12-2012_9_3'!C276,"AAAAAH1+7zM=")</f>
        <v>#VALUE!</v>
      </c>
      <c r="BA18" t="e">
        <f>AND('Planilla_General_03-12-2012_9_3'!D276,"AAAAAH1+7zQ=")</f>
        <v>#VALUE!</v>
      </c>
      <c r="BB18" t="e">
        <f>AND('Planilla_General_03-12-2012_9_3'!E276,"AAAAAH1+7zU=")</f>
        <v>#VALUE!</v>
      </c>
      <c r="BC18" t="e">
        <f>AND('Planilla_General_03-12-2012_9_3'!F276,"AAAAAH1+7zY=")</f>
        <v>#VALUE!</v>
      </c>
      <c r="BD18" t="e">
        <f>AND('Planilla_General_03-12-2012_9_3'!G276,"AAAAAH1+7zc=")</f>
        <v>#VALUE!</v>
      </c>
      <c r="BE18" t="e">
        <f>AND('Planilla_General_03-12-2012_9_3'!H276,"AAAAAH1+7zg=")</f>
        <v>#VALUE!</v>
      </c>
      <c r="BF18" t="e">
        <f>AND('Planilla_General_03-12-2012_9_3'!I276,"AAAAAH1+7zk=")</f>
        <v>#VALUE!</v>
      </c>
      <c r="BG18" t="e">
        <f>AND('Planilla_General_03-12-2012_9_3'!J276,"AAAAAH1+7zo=")</f>
        <v>#VALUE!</v>
      </c>
      <c r="BH18" t="e">
        <f>AND('Planilla_General_03-12-2012_9_3'!K276,"AAAAAH1+7zs=")</f>
        <v>#VALUE!</v>
      </c>
      <c r="BI18" t="e">
        <f>AND('Planilla_General_03-12-2012_9_3'!L276,"AAAAAH1+7zw=")</f>
        <v>#VALUE!</v>
      </c>
      <c r="BJ18" t="e">
        <f>AND('Planilla_General_03-12-2012_9_3'!M276,"AAAAAH1+7z0=")</f>
        <v>#VALUE!</v>
      </c>
      <c r="BK18" t="e">
        <f>AND('Planilla_General_03-12-2012_9_3'!N276,"AAAAAH1+7z4=")</f>
        <v>#VALUE!</v>
      </c>
      <c r="BL18" t="e">
        <f>AND('Planilla_General_03-12-2012_9_3'!O276,"AAAAAH1+7z8=")</f>
        <v>#VALUE!</v>
      </c>
      <c r="BM18">
        <f>IF('Planilla_General_03-12-2012_9_3'!277:277,"AAAAAH1+70A=",0)</f>
        <v>0</v>
      </c>
      <c r="BN18" t="e">
        <f>AND('Planilla_General_03-12-2012_9_3'!A277,"AAAAAH1+70E=")</f>
        <v>#VALUE!</v>
      </c>
      <c r="BO18" t="e">
        <f>AND('Planilla_General_03-12-2012_9_3'!B277,"AAAAAH1+70I=")</f>
        <v>#VALUE!</v>
      </c>
      <c r="BP18" t="e">
        <f>AND('Planilla_General_03-12-2012_9_3'!C277,"AAAAAH1+70M=")</f>
        <v>#VALUE!</v>
      </c>
      <c r="BQ18" t="e">
        <f>AND('Planilla_General_03-12-2012_9_3'!D277,"AAAAAH1+70Q=")</f>
        <v>#VALUE!</v>
      </c>
      <c r="BR18" t="e">
        <f>AND('Planilla_General_03-12-2012_9_3'!E277,"AAAAAH1+70U=")</f>
        <v>#VALUE!</v>
      </c>
      <c r="BS18" t="e">
        <f>AND('Planilla_General_03-12-2012_9_3'!F277,"AAAAAH1+70Y=")</f>
        <v>#VALUE!</v>
      </c>
      <c r="BT18" t="e">
        <f>AND('Planilla_General_03-12-2012_9_3'!G277,"AAAAAH1+70c=")</f>
        <v>#VALUE!</v>
      </c>
      <c r="BU18" t="e">
        <f>AND('Planilla_General_03-12-2012_9_3'!H277,"AAAAAH1+70g=")</f>
        <v>#VALUE!</v>
      </c>
      <c r="BV18" t="e">
        <f>AND('Planilla_General_03-12-2012_9_3'!I277,"AAAAAH1+70k=")</f>
        <v>#VALUE!</v>
      </c>
      <c r="BW18" t="e">
        <f>AND('Planilla_General_03-12-2012_9_3'!J277,"AAAAAH1+70o=")</f>
        <v>#VALUE!</v>
      </c>
      <c r="BX18" t="e">
        <f>AND('Planilla_General_03-12-2012_9_3'!K277,"AAAAAH1+70s=")</f>
        <v>#VALUE!</v>
      </c>
      <c r="BY18" t="e">
        <f>AND('Planilla_General_03-12-2012_9_3'!L277,"AAAAAH1+70w=")</f>
        <v>#VALUE!</v>
      </c>
      <c r="BZ18" t="e">
        <f>AND('Planilla_General_03-12-2012_9_3'!M277,"AAAAAH1+700=")</f>
        <v>#VALUE!</v>
      </c>
      <c r="CA18" t="e">
        <f>AND('Planilla_General_03-12-2012_9_3'!N277,"AAAAAH1+704=")</f>
        <v>#VALUE!</v>
      </c>
      <c r="CB18" t="e">
        <f>AND('Planilla_General_03-12-2012_9_3'!O277,"AAAAAH1+708=")</f>
        <v>#VALUE!</v>
      </c>
      <c r="CC18">
        <f>IF('Planilla_General_03-12-2012_9_3'!278:278,"AAAAAH1+71A=",0)</f>
        <v>0</v>
      </c>
      <c r="CD18" t="e">
        <f>AND('Planilla_General_03-12-2012_9_3'!A278,"AAAAAH1+71E=")</f>
        <v>#VALUE!</v>
      </c>
      <c r="CE18" t="e">
        <f>AND('Planilla_General_03-12-2012_9_3'!B278,"AAAAAH1+71I=")</f>
        <v>#VALUE!</v>
      </c>
      <c r="CF18" t="e">
        <f>AND('Planilla_General_03-12-2012_9_3'!C278,"AAAAAH1+71M=")</f>
        <v>#VALUE!</v>
      </c>
      <c r="CG18" t="e">
        <f>AND('Planilla_General_03-12-2012_9_3'!D278,"AAAAAH1+71Q=")</f>
        <v>#VALUE!</v>
      </c>
      <c r="CH18" t="e">
        <f>AND('Planilla_General_03-12-2012_9_3'!E278,"AAAAAH1+71U=")</f>
        <v>#VALUE!</v>
      </c>
      <c r="CI18" t="e">
        <f>AND('Planilla_General_03-12-2012_9_3'!F278,"AAAAAH1+71Y=")</f>
        <v>#VALUE!</v>
      </c>
      <c r="CJ18" t="e">
        <f>AND('Planilla_General_03-12-2012_9_3'!G278,"AAAAAH1+71c=")</f>
        <v>#VALUE!</v>
      </c>
      <c r="CK18" t="e">
        <f>AND('Planilla_General_03-12-2012_9_3'!H278,"AAAAAH1+71g=")</f>
        <v>#VALUE!</v>
      </c>
      <c r="CL18" t="e">
        <f>AND('Planilla_General_03-12-2012_9_3'!I278,"AAAAAH1+71k=")</f>
        <v>#VALUE!</v>
      </c>
      <c r="CM18" t="e">
        <f>AND('Planilla_General_03-12-2012_9_3'!J278,"AAAAAH1+71o=")</f>
        <v>#VALUE!</v>
      </c>
      <c r="CN18" t="e">
        <f>AND('Planilla_General_03-12-2012_9_3'!K278,"AAAAAH1+71s=")</f>
        <v>#VALUE!</v>
      </c>
      <c r="CO18" t="e">
        <f>AND('Planilla_General_03-12-2012_9_3'!L278,"AAAAAH1+71w=")</f>
        <v>#VALUE!</v>
      </c>
      <c r="CP18" t="e">
        <f>AND('Planilla_General_03-12-2012_9_3'!M278,"AAAAAH1+710=")</f>
        <v>#VALUE!</v>
      </c>
      <c r="CQ18" t="e">
        <f>AND('Planilla_General_03-12-2012_9_3'!N278,"AAAAAH1+714=")</f>
        <v>#VALUE!</v>
      </c>
      <c r="CR18" t="e">
        <f>AND('Planilla_General_03-12-2012_9_3'!O278,"AAAAAH1+718=")</f>
        <v>#VALUE!</v>
      </c>
      <c r="CS18">
        <f>IF('Planilla_General_03-12-2012_9_3'!279:279,"AAAAAH1+72A=",0)</f>
        <v>0</v>
      </c>
      <c r="CT18" t="e">
        <f>AND('Planilla_General_03-12-2012_9_3'!A279,"AAAAAH1+72E=")</f>
        <v>#VALUE!</v>
      </c>
      <c r="CU18" t="e">
        <f>AND('Planilla_General_03-12-2012_9_3'!B279,"AAAAAH1+72I=")</f>
        <v>#VALUE!</v>
      </c>
      <c r="CV18" t="e">
        <f>AND('Planilla_General_03-12-2012_9_3'!C279,"AAAAAH1+72M=")</f>
        <v>#VALUE!</v>
      </c>
      <c r="CW18" t="e">
        <f>AND('Planilla_General_03-12-2012_9_3'!D279,"AAAAAH1+72Q=")</f>
        <v>#VALUE!</v>
      </c>
      <c r="CX18" t="e">
        <f>AND('Planilla_General_03-12-2012_9_3'!E279,"AAAAAH1+72U=")</f>
        <v>#VALUE!</v>
      </c>
      <c r="CY18" t="e">
        <f>AND('Planilla_General_03-12-2012_9_3'!F279,"AAAAAH1+72Y=")</f>
        <v>#VALUE!</v>
      </c>
      <c r="CZ18" t="e">
        <f>AND('Planilla_General_03-12-2012_9_3'!G279,"AAAAAH1+72c=")</f>
        <v>#VALUE!</v>
      </c>
      <c r="DA18" t="e">
        <f>AND('Planilla_General_03-12-2012_9_3'!H279,"AAAAAH1+72g=")</f>
        <v>#VALUE!</v>
      </c>
      <c r="DB18" t="e">
        <f>AND('Planilla_General_03-12-2012_9_3'!I279,"AAAAAH1+72k=")</f>
        <v>#VALUE!</v>
      </c>
      <c r="DC18" t="e">
        <f>AND('Planilla_General_03-12-2012_9_3'!J279,"AAAAAH1+72o=")</f>
        <v>#VALUE!</v>
      </c>
      <c r="DD18" t="e">
        <f>AND('Planilla_General_03-12-2012_9_3'!K279,"AAAAAH1+72s=")</f>
        <v>#VALUE!</v>
      </c>
      <c r="DE18" t="e">
        <f>AND('Planilla_General_03-12-2012_9_3'!L279,"AAAAAH1+72w=")</f>
        <v>#VALUE!</v>
      </c>
      <c r="DF18" t="e">
        <f>AND('Planilla_General_03-12-2012_9_3'!M279,"AAAAAH1+720=")</f>
        <v>#VALUE!</v>
      </c>
      <c r="DG18" t="e">
        <f>AND('Planilla_General_03-12-2012_9_3'!N279,"AAAAAH1+724=")</f>
        <v>#VALUE!</v>
      </c>
      <c r="DH18" t="e">
        <f>AND('Planilla_General_03-12-2012_9_3'!O279,"AAAAAH1+728=")</f>
        <v>#VALUE!</v>
      </c>
      <c r="DI18">
        <f>IF('Planilla_General_03-12-2012_9_3'!280:280,"AAAAAH1+73A=",0)</f>
        <v>0</v>
      </c>
      <c r="DJ18" t="e">
        <f>AND('Planilla_General_03-12-2012_9_3'!A280,"AAAAAH1+73E=")</f>
        <v>#VALUE!</v>
      </c>
      <c r="DK18" t="e">
        <f>AND('Planilla_General_03-12-2012_9_3'!B280,"AAAAAH1+73I=")</f>
        <v>#VALUE!</v>
      </c>
      <c r="DL18" t="e">
        <f>AND('Planilla_General_03-12-2012_9_3'!C280,"AAAAAH1+73M=")</f>
        <v>#VALUE!</v>
      </c>
      <c r="DM18" t="e">
        <f>AND('Planilla_General_03-12-2012_9_3'!D280,"AAAAAH1+73Q=")</f>
        <v>#VALUE!</v>
      </c>
      <c r="DN18" t="e">
        <f>AND('Planilla_General_03-12-2012_9_3'!E280,"AAAAAH1+73U=")</f>
        <v>#VALUE!</v>
      </c>
      <c r="DO18" t="e">
        <f>AND('Planilla_General_03-12-2012_9_3'!F280,"AAAAAH1+73Y=")</f>
        <v>#VALUE!</v>
      </c>
      <c r="DP18" t="e">
        <f>AND('Planilla_General_03-12-2012_9_3'!G280,"AAAAAH1+73c=")</f>
        <v>#VALUE!</v>
      </c>
      <c r="DQ18" t="e">
        <f>AND('Planilla_General_03-12-2012_9_3'!H280,"AAAAAH1+73g=")</f>
        <v>#VALUE!</v>
      </c>
      <c r="DR18" t="e">
        <f>AND('Planilla_General_03-12-2012_9_3'!I280,"AAAAAH1+73k=")</f>
        <v>#VALUE!</v>
      </c>
      <c r="DS18" t="e">
        <f>AND('Planilla_General_03-12-2012_9_3'!J280,"AAAAAH1+73o=")</f>
        <v>#VALUE!</v>
      </c>
      <c r="DT18" t="e">
        <f>AND('Planilla_General_03-12-2012_9_3'!K280,"AAAAAH1+73s=")</f>
        <v>#VALUE!</v>
      </c>
      <c r="DU18" t="e">
        <f>AND('Planilla_General_03-12-2012_9_3'!L280,"AAAAAH1+73w=")</f>
        <v>#VALUE!</v>
      </c>
      <c r="DV18" t="e">
        <f>AND('Planilla_General_03-12-2012_9_3'!M280,"AAAAAH1+730=")</f>
        <v>#VALUE!</v>
      </c>
      <c r="DW18" t="e">
        <f>AND('Planilla_General_03-12-2012_9_3'!N280,"AAAAAH1+734=")</f>
        <v>#VALUE!</v>
      </c>
      <c r="DX18" t="e">
        <f>AND('Planilla_General_03-12-2012_9_3'!O280,"AAAAAH1+738=")</f>
        <v>#VALUE!</v>
      </c>
      <c r="DY18">
        <f>IF('Planilla_General_03-12-2012_9_3'!281:281,"AAAAAH1+74A=",0)</f>
        <v>0</v>
      </c>
      <c r="DZ18" t="e">
        <f>AND('Planilla_General_03-12-2012_9_3'!A281,"AAAAAH1+74E=")</f>
        <v>#VALUE!</v>
      </c>
      <c r="EA18" t="e">
        <f>AND('Planilla_General_03-12-2012_9_3'!B281,"AAAAAH1+74I=")</f>
        <v>#VALUE!</v>
      </c>
      <c r="EB18" t="e">
        <f>AND('Planilla_General_03-12-2012_9_3'!C281,"AAAAAH1+74M=")</f>
        <v>#VALUE!</v>
      </c>
      <c r="EC18" t="e">
        <f>AND('Planilla_General_03-12-2012_9_3'!D281,"AAAAAH1+74Q=")</f>
        <v>#VALUE!</v>
      </c>
      <c r="ED18" t="e">
        <f>AND('Planilla_General_03-12-2012_9_3'!E281,"AAAAAH1+74U=")</f>
        <v>#VALUE!</v>
      </c>
      <c r="EE18" t="e">
        <f>AND('Planilla_General_03-12-2012_9_3'!F281,"AAAAAH1+74Y=")</f>
        <v>#VALUE!</v>
      </c>
      <c r="EF18" t="e">
        <f>AND('Planilla_General_03-12-2012_9_3'!G281,"AAAAAH1+74c=")</f>
        <v>#VALUE!</v>
      </c>
      <c r="EG18" t="e">
        <f>AND('Planilla_General_03-12-2012_9_3'!H281,"AAAAAH1+74g=")</f>
        <v>#VALUE!</v>
      </c>
      <c r="EH18" t="e">
        <f>AND('Planilla_General_03-12-2012_9_3'!I281,"AAAAAH1+74k=")</f>
        <v>#VALUE!</v>
      </c>
      <c r="EI18" t="e">
        <f>AND('Planilla_General_03-12-2012_9_3'!J281,"AAAAAH1+74o=")</f>
        <v>#VALUE!</v>
      </c>
      <c r="EJ18" t="e">
        <f>AND('Planilla_General_03-12-2012_9_3'!K281,"AAAAAH1+74s=")</f>
        <v>#VALUE!</v>
      </c>
      <c r="EK18" t="e">
        <f>AND('Planilla_General_03-12-2012_9_3'!L281,"AAAAAH1+74w=")</f>
        <v>#VALUE!</v>
      </c>
      <c r="EL18" t="e">
        <f>AND('Planilla_General_03-12-2012_9_3'!M281,"AAAAAH1+740=")</f>
        <v>#VALUE!</v>
      </c>
      <c r="EM18" t="e">
        <f>AND('Planilla_General_03-12-2012_9_3'!N281,"AAAAAH1+744=")</f>
        <v>#VALUE!</v>
      </c>
      <c r="EN18" t="e">
        <f>AND('Planilla_General_03-12-2012_9_3'!O281,"AAAAAH1+748=")</f>
        <v>#VALUE!</v>
      </c>
      <c r="EO18">
        <f>IF('Planilla_General_03-12-2012_9_3'!282:282,"AAAAAH1+75A=",0)</f>
        <v>0</v>
      </c>
      <c r="EP18" t="e">
        <f>AND('Planilla_General_03-12-2012_9_3'!A282,"AAAAAH1+75E=")</f>
        <v>#VALUE!</v>
      </c>
      <c r="EQ18" t="e">
        <f>AND('Planilla_General_03-12-2012_9_3'!B282,"AAAAAH1+75I=")</f>
        <v>#VALUE!</v>
      </c>
      <c r="ER18" t="e">
        <f>AND('Planilla_General_03-12-2012_9_3'!C282,"AAAAAH1+75M=")</f>
        <v>#VALUE!</v>
      </c>
      <c r="ES18" t="e">
        <f>AND('Planilla_General_03-12-2012_9_3'!D282,"AAAAAH1+75Q=")</f>
        <v>#VALUE!</v>
      </c>
      <c r="ET18" t="e">
        <f>AND('Planilla_General_03-12-2012_9_3'!E282,"AAAAAH1+75U=")</f>
        <v>#VALUE!</v>
      </c>
      <c r="EU18" t="e">
        <f>AND('Planilla_General_03-12-2012_9_3'!F282,"AAAAAH1+75Y=")</f>
        <v>#VALUE!</v>
      </c>
      <c r="EV18" t="e">
        <f>AND('Planilla_General_03-12-2012_9_3'!G282,"AAAAAH1+75c=")</f>
        <v>#VALUE!</v>
      </c>
      <c r="EW18" t="e">
        <f>AND('Planilla_General_03-12-2012_9_3'!H282,"AAAAAH1+75g=")</f>
        <v>#VALUE!</v>
      </c>
      <c r="EX18" t="e">
        <f>AND('Planilla_General_03-12-2012_9_3'!I282,"AAAAAH1+75k=")</f>
        <v>#VALUE!</v>
      </c>
      <c r="EY18" t="e">
        <f>AND('Planilla_General_03-12-2012_9_3'!J282,"AAAAAH1+75o=")</f>
        <v>#VALUE!</v>
      </c>
      <c r="EZ18" t="e">
        <f>AND('Planilla_General_03-12-2012_9_3'!K282,"AAAAAH1+75s=")</f>
        <v>#VALUE!</v>
      </c>
      <c r="FA18" t="e">
        <f>AND('Planilla_General_03-12-2012_9_3'!L282,"AAAAAH1+75w=")</f>
        <v>#VALUE!</v>
      </c>
      <c r="FB18" t="e">
        <f>AND('Planilla_General_03-12-2012_9_3'!M282,"AAAAAH1+750=")</f>
        <v>#VALUE!</v>
      </c>
      <c r="FC18" t="e">
        <f>AND('Planilla_General_03-12-2012_9_3'!N282,"AAAAAH1+754=")</f>
        <v>#VALUE!</v>
      </c>
      <c r="FD18" t="e">
        <f>AND('Planilla_General_03-12-2012_9_3'!O282,"AAAAAH1+758=")</f>
        <v>#VALUE!</v>
      </c>
      <c r="FE18">
        <f>IF('Planilla_General_03-12-2012_9_3'!283:283,"AAAAAH1+76A=",0)</f>
        <v>0</v>
      </c>
      <c r="FF18" t="e">
        <f>AND('Planilla_General_03-12-2012_9_3'!A283,"AAAAAH1+76E=")</f>
        <v>#VALUE!</v>
      </c>
      <c r="FG18" t="e">
        <f>AND('Planilla_General_03-12-2012_9_3'!B283,"AAAAAH1+76I=")</f>
        <v>#VALUE!</v>
      </c>
      <c r="FH18" t="e">
        <f>AND('Planilla_General_03-12-2012_9_3'!C283,"AAAAAH1+76M=")</f>
        <v>#VALUE!</v>
      </c>
      <c r="FI18" t="e">
        <f>AND('Planilla_General_03-12-2012_9_3'!D283,"AAAAAH1+76Q=")</f>
        <v>#VALUE!</v>
      </c>
      <c r="FJ18" t="e">
        <f>AND('Planilla_General_03-12-2012_9_3'!E283,"AAAAAH1+76U=")</f>
        <v>#VALUE!</v>
      </c>
      <c r="FK18" t="e">
        <f>AND('Planilla_General_03-12-2012_9_3'!F283,"AAAAAH1+76Y=")</f>
        <v>#VALUE!</v>
      </c>
      <c r="FL18" t="e">
        <f>AND('Planilla_General_03-12-2012_9_3'!G283,"AAAAAH1+76c=")</f>
        <v>#VALUE!</v>
      </c>
      <c r="FM18" t="e">
        <f>AND('Planilla_General_03-12-2012_9_3'!H283,"AAAAAH1+76g=")</f>
        <v>#VALUE!</v>
      </c>
      <c r="FN18" t="e">
        <f>AND('Planilla_General_03-12-2012_9_3'!I283,"AAAAAH1+76k=")</f>
        <v>#VALUE!</v>
      </c>
      <c r="FO18" t="e">
        <f>AND('Planilla_General_03-12-2012_9_3'!J283,"AAAAAH1+76o=")</f>
        <v>#VALUE!</v>
      </c>
      <c r="FP18" t="e">
        <f>AND('Planilla_General_03-12-2012_9_3'!K283,"AAAAAH1+76s=")</f>
        <v>#VALUE!</v>
      </c>
      <c r="FQ18" t="e">
        <f>AND('Planilla_General_03-12-2012_9_3'!L283,"AAAAAH1+76w=")</f>
        <v>#VALUE!</v>
      </c>
      <c r="FR18" t="e">
        <f>AND('Planilla_General_03-12-2012_9_3'!M283,"AAAAAH1+760=")</f>
        <v>#VALUE!</v>
      </c>
      <c r="FS18" t="e">
        <f>AND('Planilla_General_03-12-2012_9_3'!N283,"AAAAAH1+764=")</f>
        <v>#VALUE!</v>
      </c>
      <c r="FT18" t="e">
        <f>AND('Planilla_General_03-12-2012_9_3'!O283,"AAAAAH1+768=")</f>
        <v>#VALUE!</v>
      </c>
      <c r="FU18">
        <f>IF('Planilla_General_03-12-2012_9_3'!284:284,"AAAAAH1+77A=",0)</f>
        <v>0</v>
      </c>
      <c r="FV18" t="e">
        <f>AND('Planilla_General_03-12-2012_9_3'!A284,"AAAAAH1+77E=")</f>
        <v>#VALUE!</v>
      </c>
      <c r="FW18" t="e">
        <f>AND('Planilla_General_03-12-2012_9_3'!B284,"AAAAAH1+77I=")</f>
        <v>#VALUE!</v>
      </c>
      <c r="FX18" t="e">
        <f>AND('Planilla_General_03-12-2012_9_3'!C284,"AAAAAH1+77M=")</f>
        <v>#VALUE!</v>
      </c>
      <c r="FY18" t="e">
        <f>AND('Planilla_General_03-12-2012_9_3'!D284,"AAAAAH1+77Q=")</f>
        <v>#VALUE!</v>
      </c>
      <c r="FZ18" t="e">
        <f>AND('Planilla_General_03-12-2012_9_3'!E284,"AAAAAH1+77U=")</f>
        <v>#VALUE!</v>
      </c>
      <c r="GA18" t="e">
        <f>AND('Planilla_General_03-12-2012_9_3'!F284,"AAAAAH1+77Y=")</f>
        <v>#VALUE!</v>
      </c>
      <c r="GB18" t="e">
        <f>AND('Planilla_General_03-12-2012_9_3'!G284,"AAAAAH1+77c=")</f>
        <v>#VALUE!</v>
      </c>
      <c r="GC18" t="e">
        <f>AND('Planilla_General_03-12-2012_9_3'!H284,"AAAAAH1+77g=")</f>
        <v>#VALUE!</v>
      </c>
      <c r="GD18" t="e">
        <f>AND('Planilla_General_03-12-2012_9_3'!I284,"AAAAAH1+77k=")</f>
        <v>#VALUE!</v>
      </c>
      <c r="GE18" t="e">
        <f>AND('Planilla_General_03-12-2012_9_3'!J284,"AAAAAH1+77o=")</f>
        <v>#VALUE!</v>
      </c>
      <c r="GF18" t="e">
        <f>AND('Planilla_General_03-12-2012_9_3'!K284,"AAAAAH1+77s=")</f>
        <v>#VALUE!</v>
      </c>
      <c r="GG18" t="e">
        <f>AND('Planilla_General_03-12-2012_9_3'!L284,"AAAAAH1+77w=")</f>
        <v>#VALUE!</v>
      </c>
      <c r="GH18" t="e">
        <f>AND('Planilla_General_03-12-2012_9_3'!M284,"AAAAAH1+770=")</f>
        <v>#VALUE!</v>
      </c>
      <c r="GI18" t="e">
        <f>AND('Planilla_General_03-12-2012_9_3'!N284,"AAAAAH1+774=")</f>
        <v>#VALUE!</v>
      </c>
      <c r="GJ18" t="e">
        <f>AND('Planilla_General_03-12-2012_9_3'!O284,"AAAAAH1+778=")</f>
        <v>#VALUE!</v>
      </c>
      <c r="GK18">
        <f>IF('Planilla_General_03-12-2012_9_3'!285:285,"AAAAAH1+78A=",0)</f>
        <v>0</v>
      </c>
      <c r="GL18" t="e">
        <f>AND('Planilla_General_03-12-2012_9_3'!A285,"AAAAAH1+78E=")</f>
        <v>#VALUE!</v>
      </c>
      <c r="GM18" t="e">
        <f>AND('Planilla_General_03-12-2012_9_3'!B285,"AAAAAH1+78I=")</f>
        <v>#VALUE!</v>
      </c>
      <c r="GN18" t="e">
        <f>AND('Planilla_General_03-12-2012_9_3'!C285,"AAAAAH1+78M=")</f>
        <v>#VALUE!</v>
      </c>
      <c r="GO18" t="e">
        <f>AND('Planilla_General_03-12-2012_9_3'!D285,"AAAAAH1+78Q=")</f>
        <v>#VALUE!</v>
      </c>
      <c r="GP18" t="e">
        <f>AND('Planilla_General_03-12-2012_9_3'!E285,"AAAAAH1+78U=")</f>
        <v>#VALUE!</v>
      </c>
      <c r="GQ18" t="e">
        <f>AND('Planilla_General_03-12-2012_9_3'!F285,"AAAAAH1+78Y=")</f>
        <v>#VALUE!</v>
      </c>
      <c r="GR18" t="e">
        <f>AND('Planilla_General_03-12-2012_9_3'!G285,"AAAAAH1+78c=")</f>
        <v>#VALUE!</v>
      </c>
      <c r="GS18" t="e">
        <f>AND('Planilla_General_03-12-2012_9_3'!H285,"AAAAAH1+78g=")</f>
        <v>#VALUE!</v>
      </c>
      <c r="GT18" t="e">
        <f>AND('Planilla_General_03-12-2012_9_3'!I285,"AAAAAH1+78k=")</f>
        <v>#VALUE!</v>
      </c>
      <c r="GU18" t="e">
        <f>AND('Planilla_General_03-12-2012_9_3'!J285,"AAAAAH1+78o=")</f>
        <v>#VALUE!</v>
      </c>
      <c r="GV18" t="e">
        <f>AND('Planilla_General_03-12-2012_9_3'!K285,"AAAAAH1+78s=")</f>
        <v>#VALUE!</v>
      </c>
      <c r="GW18" t="e">
        <f>AND('Planilla_General_03-12-2012_9_3'!L285,"AAAAAH1+78w=")</f>
        <v>#VALUE!</v>
      </c>
      <c r="GX18" t="e">
        <f>AND('Planilla_General_03-12-2012_9_3'!M285,"AAAAAH1+780=")</f>
        <v>#VALUE!</v>
      </c>
      <c r="GY18" t="e">
        <f>AND('Planilla_General_03-12-2012_9_3'!N285,"AAAAAH1+784=")</f>
        <v>#VALUE!</v>
      </c>
      <c r="GZ18" t="e">
        <f>AND('Planilla_General_03-12-2012_9_3'!O285,"AAAAAH1+788=")</f>
        <v>#VALUE!</v>
      </c>
      <c r="HA18">
        <f>IF('Planilla_General_03-12-2012_9_3'!286:286,"AAAAAH1+79A=",0)</f>
        <v>0</v>
      </c>
      <c r="HB18" t="e">
        <f>AND('Planilla_General_03-12-2012_9_3'!A286,"AAAAAH1+79E=")</f>
        <v>#VALUE!</v>
      </c>
      <c r="HC18" t="e">
        <f>AND('Planilla_General_03-12-2012_9_3'!B286,"AAAAAH1+79I=")</f>
        <v>#VALUE!</v>
      </c>
      <c r="HD18" t="e">
        <f>AND('Planilla_General_03-12-2012_9_3'!C286,"AAAAAH1+79M=")</f>
        <v>#VALUE!</v>
      </c>
      <c r="HE18" t="e">
        <f>AND('Planilla_General_03-12-2012_9_3'!D286,"AAAAAH1+79Q=")</f>
        <v>#VALUE!</v>
      </c>
      <c r="HF18" t="e">
        <f>AND('Planilla_General_03-12-2012_9_3'!E286,"AAAAAH1+79U=")</f>
        <v>#VALUE!</v>
      </c>
      <c r="HG18" t="e">
        <f>AND('Planilla_General_03-12-2012_9_3'!F286,"AAAAAH1+79Y=")</f>
        <v>#VALUE!</v>
      </c>
      <c r="HH18" t="e">
        <f>AND('Planilla_General_03-12-2012_9_3'!G286,"AAAAAH1+79c=")</f>
        <v>#VALUE!</v>
      </c>
      <c r="HI18" t="e">
        <f>AND('Planilla_General_03-12-2012_9_3'!H286,"AAAAAH1+79g=")</f>
        <v>#VALUE!</v>
      </c>
      <c r="HJ18" t="e">
        <f>AND('Planilla_General_03-12-2012_9_3'!I286,"AAAAAH1+79k=")</f>
        <v>#VALUE!</v>
      </c>
      <c r="HK18" t="e">
        <f>AND('Planilla_General_03-12-2012_9_3'!J286,"AAAAAH1+79o=")</f>
        <v>#VALUE!</v>
      </c>
      <c r="HL18" t="e">
        <f>AND('Planilla_General_03-12-2012_9_3'!K286,"AAAAAH1+79s=")</f>
        <v>#VALUE!</v>
      </c>
      <c r="HM18" t="e">
        <f>AND('Planilla_General_03-12-2012_9_3'!L286,"AAAAAH1+79w=")</f>
        <v>#VALUE!</v>
      </c>
      <c r="HN18" t="e">
        <f>AND('Planilla_General_03-12-2012_9_3'!M286,"AAAAAH1+790=")</f>
        <v>#VALUE!</v>
      </c>
      <c r="HO18" t="e">
        <f>AND('Planilla_General_03-12-2012_9_3'!N286,"AAAAAH1+794=")</f>
        <v>#VALUE!</v>
      </c>
      <c r="HP18" t="e">
        <f>AND('Planilla_General_03-12-2012_9_3'!O286,"AAAAAH1+798=")</f>
        <v>#VALUE!</v>
      </c>
      <c r="HQ18">
        <f>IF('Planilla_General_03-12-2012_9_3'!287:287,"AAAAAH1+7+A=",0)</f>
        <v>0</v>
      </c>
      <c r="HR18" t="e">
        <f>AND('Planilla_General_03-12-2012_9_3'!A287,"AAAAAH1+7+E=")</f>
        <v>#VALUE!</v>
      </c>
      <c r="HS18" t="e">
        <f>AND('Planilla_General_03-12-2012_9_3'!B287,"AAAAAH1+7+I=")</f>
        <v>#VALUE!</v>
      </c>
      <c r="HT18" t="e">
        <f>AND('Planilla_General_03-12-2012_9_3'!C287,"AAAAAH1+7+M=")</f>
        <v>#VALUE!</v>
      </c>
      <c r="HU18" t="e">
        <f>AND('Planilla_General_03-12-2012_9_3'!D287,"AAAAAH1+7+Q=")</f>
        <v>#VALUE!</v>
      </c>
      <c r="HV18" t="e">
        <f>AND('Planilla_General_03-12-2012_9_3'!E287,"AAAAAH1+7+U=")</f>
        <v>#VALUE!</v>
      </c>
      <c r="HW18" t="e">
        <f>AND('Planilla_General_03-12-2012_9_3'!F287,"AAAAAH1+7+Y=")</f>
        <v>#VALUE!</v>
      </c>
      <c r="HX18" t="e">
        <f>AND('Planilla_General_03-12-2012_9_3'!G287,"AAAAAH1+7+c=")</f>
        <v>#VALUE!</v>
      </c>
      <c r="HY18" t="e">
        <f>AND('Planilla_General_03-12-2012_9_3'!H287,"AAAAAH1+7+g=")</f>
        <v>#VALUE!</v>
      </c>
      <c r="HZ18" t="e">
        <f>AND('Planilla_General_03-12-2012_9_3'!I287,"AAAAAH1+7+k=")</f>
        <v>#VALUE!</v>
      </c>
      <c r="IA18" t="e">
        <f>AND('Planilla_General_03-12-2012_9_3'!J287,"AAAAAH1+7+o=")</f>
        <v>#VALUE!</v>
      </c>
      <c r="IB18" t="e">
        <f>AND('Planilla_General_03-12-2012_9_3'!K287,"AAAAAH1+7+s=")</f>
        <v>#VALUE!</v>
      </c>
      <c r="IC18" t="e">
        <f>AND('Planilla_General_03-12-2012_9_3'!L287,"AAAAAH1+7+w=")</f>
        <v>#VALUE!</v>
      </c>
      <c r="ID18" t="e">
        <f>AND('Planilla_General_03-12-2012_9_3'!M287,"AAAAAH1+7+0=")</f>
        <v>#VALUE!</v>
      </c>
      <c r="IE18" t="e">
        <f>AND('Planilla_General_03-12-2012_9_3'!N287,"AAAAAH1+7+4=")</f>
        <v>#VALUE!</v>
      </c>
      <c r="IF18" t="e">
        <f>AND('Planilla_General_03-12-2012_9_3'!O287,"AAAAAH1+7+8=")</f>
        <v>#VALUE!</v>
      </c>
      <c r="IG18">
        <f>IF('Planilla_General_03-12-2012_9_3'!288:288,"AAAAAH1+7/A=",0)</f>
        <v>0</v>
      </c>
      <c r="IH18" t="e">
        <f>AND('Planilla_General_03-12-2012_9_3'!A288,"AAAAAH1+7/E=")</f>
        <v>#VALUE!</v>
      </c>
      <c r="II18" t="e">
        <f>AND('Planilla_General_03-12-2012_9_3'!B288,"AAAAAH1+7/I=")</f>
        <v>#VALUE!</v>
      </c>
      <c r="IJ18" t="e">
        <f>AND('Planilla_General_03-12-2012_9_3'!C288,"AAAAAH1+7/M=")</f>
        <v>#VALUE!</v>
      </c>
      <c r="IK18" t="e">
        <f>AND('Planilla_General_03-12-2012_9_3'!D288,"AAAAAH1+7/Q=")</f>
        <v>#VALUE!</v>
      </c>
      <c r="IL18" t="e">
        <f>AND('Planilla_General_03-12-2012_9_3'!E288,"AAAAAH1+7/U=")</f>
        <v>#VALUE!</v>
      </c>
      <c r="IM18" t="e">
        <f>AND('Planilla_General_03-12-2012_9_3'!F288,"AAAAAH1+7/Y=")</f>
        <v>#VALUE!</v>
      </c>
      <c r="IN18" t="e">
        <f>AND('Planilla_General_03-12-2012_9_3'!G288,"AAAAAH1+7/c=")</f>
        <v>#VALUE!</v>
      </c>
      <c r="IO18" t="e">
        <f>AND('Planilla_General_03-12-2012_9_3'!H288,"AAAAAH1+7/g=")</f>
        <v>#VALUE!</v>
      </c>
      <c r="IP18" t="e">
        <f>AND('Planilla_General_03-12-2012_9_3'!I288,"AAAAAH1+7/k=")</f>
        <v>#VALUE!</v>
      </c>
      <c r="IQ18" t="e">
        <f>AND('Planilla_General_03-12-2012_9_3'!J288,"AAAAAH1+7/o=")</f>
        <v>#VALUE!</v>
      </c>
      <c r="IR18" t="e">
        <f>AND('Planilla_General_03-12-2012_9_3'!K288,"AAAAAH1+7/s=")</f>
        <v>#VALUE!</v>
      </c>
      <c r="IS18" t="e">
        <f>AND('Planilla_General_03-12-2012_9_3'!L288,"AAAAAH1+7/w=")</f>
        <v>#VALUE!</v>
      </c>
      <c r="IT18" t="e">
        <f>AND('Planilla_General_03-12-2012_9_3'!M288,"AAAAAH1+7/0=")</f>
        <v>#VALUE!</v>
      </c>
      <c r="IU18" t="e">
        <f>AND('Planilla_General_03-12-2012_9_3'!N288,"AAAAAH1+7/4=")</f>
        <v>#VALUE!</v>
      </c>
      <c r="IV18" t="e">
        <f>AND('Planilla_General_03-12-2012_9_3'!O288,"AAAAAH1+7/8=")</f>
        <v>#VALUE!</v>
      </c>
    </row>
    <row r="19" spans="1:256" x14ac:dyDescent="0.25">
      <c r="A19" t="e">
        <f>IF('Planilla_General_03-12-2012_9_3'!289:289,"AAAAAH93igA=",0)</f>
        <v>#VALUE!</v>
      </c>
      <c r="B19" t="e">
        <f>AND('Planilla_General_03-12-2012_9_3'!A289,"AAAAAH93igE=")</f>
        <v>#VALUE!</v>
      </c>
      <c r="C19" t="e">
        <f>AND('Planilla_General_03-12-2012_9_3'!B289,"AAAAAH93igI=")</f>
        <v>#VALUE!</v>
      </c>
      <c r="D19" t="e">
        <f>AND('Planilla_General_03-12-2012_9_3'!C289,"AAAAAH93igM=")</f>
        <v>#VALUE!</v>
      </c>
      <c r="E19" t="e">
        <f>AND('Planilla_General_03-12-2012_9_3'!D289,"AAAAAH93igQ=")</f>
        <v>#VALUE!</v>
      </c>
      <c r="F19" t="e">
        <f>AND('Planilla_General_03-12-2012_9_3'!E289,"AAAAAH93igU=")</f>
        <v>#VALUE!</v>
      </c>
      <c r="G19" t="e">
        <f>AND('Planilla_General_03-12-2012_9_3'!F289,"AAAAAH93igY=")</f>
        <v>#VALUE!</v>
      </c>
      <c r="H19" t="e">
        <f>AND('Planilla_General_03-12-2012_9_3'!G289,"AAAAAH93igc=")</f>
        <v>#VALUE!</v>
      </c>
      <c r="I19" t="e">
        <f>AND('Planilla_General_03-12-2012_9_3'!H289,"AAAAAH93igg=")</f>
        <v>#VALUE!</v>
      </c>
      <c r="J19" t="e">
        <f>AND('Planilla_General_03-12-2012_9_3'!I289,"AAAAAH93igk=")</f>
        <v>#VALUE!</v>
      </c>
      <c r="K19" t="e">
        <f>AND('Planilla_General_03-12-2012_9_3'!J289,"AAAAAH93igo=")</f>
        <v>#VALUE!</v>
      </c>
      <c r="L19" t="e">
        <f>AND('Planilla_General_03-12-2012_9_3'!K289,"AAAAAH93igs=")</f>
        <v>#VALUE!</v>
      </c>
      <c r="M19" t="e">
        <f>AND('Planilla_General_03-12-2012_9_3'!L289,"AAAAAH93igw=")</f>
        <v>#VALUE!</v>
      </c>
      <c r="N19" t="e">
        <f>AND('Planilla_General_03-12-2012_9_3'!M289,"AAAAAH93ig0=")</f>
        <v>#VALUE!</v>
      </c>
      <c r="O19" t="e">
        <f>AND('Planilla_General_03-12-2012_9_3'!N289,"AAAAAH93ig4=")</f>
        <v>#VALUE!</v>
      </c>
      <c r="P19" t="e">
        <f>AND('Planilla_General_03-12-2012_9_3'!O289,"AAAAAH93ig8=")</f>
        <v>#VALUE!</v>
      </c>
      <c r="Q19">
        <f>IF('Planilla_General_03-12-2012_9_3'!290:290,"AAAAAH93ihA=",0)</f>
        <v>0</v>
      </c>
      <c r="R19" t="e">
        <f>AND('Planilla_General_03-12-2012_9_3'!A290,"AAAAAH93ihE=")</f>
        <v>#VALUE!</v>
      </c>
      <c r="S19" t="e">
        <f>AND('Planilla_General_03-12-2012_9_3'!B290,"AAAAAH93ihI=")</f>
        <v>#VALUE!</v>
      </c>
      <c r="T19" t="e">
        <f>AND('Planilla_General_03-12-2012_9_3'!C290,"AAAAAH93ihM=")</f>
        <v>#VALUE!</v>
      </c>
      <c r="U19" t="e">
        <f>AND('Planilla_General_03-12-2012_9_3'!D290,"AAAAAH93ihQ=")</f>
        <v>#VALUE!</v>
      </c>
      <c r="V19" t="e">
        <f>AND('Planilla_General_03-12-2012_9_3'!E290,"AAAAAH93ihU=")</f>
        <v>#VALUE!</v>
      </c>
      <c r="W19" t="e">
        <f>AND('Planilla_General_03-12-2012_9_3'!F290,"AAAAAH93ihY=")</f>
        <v>#VALUE!</v>
      </c>
      <c r="X19" t="e">
        <f>AND('Planilla_General_03-12-2012_9_3'!G290,"AAAAAH93ihc=")</f>
        <v>#VALUE!</v>
      </c>
      <c r="Y19" t="e">
        <f>AND('Planilla_General_03-12-2012_9_3'!H290,"AAAAAH93ihg=")</f>
        <v>#VALUE!</v>
      </c>
      <c r="Z19" t="e">
        <f>AND('Planilla_General_03-12-2012_9_3'!I290,"AAAAAH93ihk=")</f>
        <v>#VALUE!</v>
      </c>
      <c r="AA19" t="e">
        <f>AND('Planilla_General_03-12-2012_9_3'!J290,"AAAAAH93iho=")</f>
        <v>#VALUE!</v>
      </c>
      <c r="AB19" t="e">
        <f>AND('Planilla_General_03-12-2012_9_3'!K290,"AAAAAH93ihs=")</f>
        <v>#VALUE!</v>
      </c>
      <c r="AC19" t="e">
        <f>AND('Planilla_General_03-12-2012_9_3'!L290,"AAAAAH93ihw=")</f>
        <v>#VALUE!</v>
      </c>
      <c r="AD19" t="e">
        <f>AND('Planilla_General_03-12-2012_9_3'!M290,"AAAAAH93ih0=")</f>
        <v>#VALUE!</v>
      </c>
      <c r="AE19" t="e">
        <f>AND('Planilla_General_03-12-2012_9_3'!N290,"AAAAAH93ih4=")</f>
        <v>#VALUE!</v>
      </c>
      <c r="AF19" t="e">
        <f>AND('Planilla_General_03-12-2012_9_3'!O290,"AAAAAH93ih8=")</f>
        <v>#VALUE!</v>
      </c>
      <c r="AG19">
        <f>IF('Planilla_General_03-12-2012_9_3'!291:291,"AAAAAH93iiA=",0)</f>
        <v>0</v>
      </c>
      <c r="AH19" t="e">
        <f>AND('Planilla_General_03-12-2012_9_3'!A291,"AAAAAH93iiE=")</f>
        <v>#VALUE!</v>
      </c>
      <c r="AI19" t="e">
        <f>AND('Planilla_General_03-12-2012_9_3'!B291,"AAAAAH93iiI=")</f>
        <v>#VALUE!</v>
      </c>
      <c r="AJ19" t="e">
        <f>AND('Planilla_General_03-12-2012_9_3'!C291,"AAAAAH93iiM=")</f>
        <v>#VALUE!</v>
      </c>
      <c r="AK19" t="e">
        <f>AND('Planilla_General_03-12-2012_9_3'!D291,"AAAAAH93iiQ=")</f>
        <v>#VALUE!</v>
      </c>
      <c r="AL19" t="e">
        <f>AND('Planilla_General_03-12-2012_9_3'!E291,"AAAAAH93iiU=")</f>
        <v>#VALUE!</v>
      </c>
      <c r="AM19" t="e">
        <f>AND('Planilla_General_03-12-2012_9_3'!F291,"AAAAAH93iiY=")</f>
        <v>#VALUE!</v>
      </c>
      <c r="AN19" t="e">
        <f>AND('Planilla_General_03-12-2012_9_3'!G291,"AAAAAH93iic=")</f>
        <v>#VALUE!</v>
      </c>
      <c r="AO19" t="e">
        <f>AND('Planilla_General_03-12-2012_9_3'!H291,"AAAAAH93iig=")</f>
        <v>#VALUE!</v>
      </c>
      <c r="AP19" t="e">
        <f>AND('Planilla_General_03-12-2012_9_3'!I291,"AAAAAH93iik=")</f>
        <v>#VALUE!</v>
      </c>
      <c r="AQ19" t="e">
        <f>AND('Planilla_General_03-12-2012_9_3'!J291,"AAAAAH93iio=")</f>
        <v>#VALUE!</v>
      </c>
      <c r="AR19" t="e">
        <f>AND('Planilla_General_03-12-2012_9_3'!K291,"AAAAAH93iis=")</f>
        <v>#VALUE!</v>
      </c>
      <c r="AS19" t="e">
        <f>AND('Planilla_General_03-12-2012_9_3'!L291,"AAAAAH93iiw=")</f>
        <v>#VALUE!</v>
      </c>
      <c r="AT19" t="e">
        <f>AND('Planilla_General_03-12-2012_9_3'!M291,"AAAAAH93ii0=")</f>
        <v>#VALUE!</v>
      </c>
      <c r="AU19" t="e">
        <f>AND('Planilla_General_03-12-2012_9_3'!N291,"AAAAAH93ii4=")</f>
        <v>#VALUE!</v>
      </c>
      <c r="AV19" t="e">
        <f>AND('Planilla_General_03-12-2012_9_3'!O291,"AAAAAH93ii8=")</f>
        <v>#VALUE!</v>
      </c>
      <c r="AW19">
        <f>IF('Planilla_General_03-12-2012_9_3'!292:292,"AAAAAH93ijA=",0)</f>
        <v>0</v>
      </c>
      <c r="AX19" t="e">
        <f>AND('Planilla_General_03-12-2012_9_3'!A292,"AAAAAH93ijE=")</f>
        <v>#VALUE!</v>
      </c>
      <c r="AY19" t="e">
        <f>AND('Planilla_General_03-12-2012_9_3'!B292,"AAAAAH93ijI=")</f>
        <v>#VALUE!</v>
      </c>
      <c r="AZ19" t="e">
        <f>AND('Planilla_General_03-12-2012_9_3'!C292,"AAAAAH93ijM=")</f>
        <v>#VALUE!</v>
      </c>
      <c r="BA19" t="e">
        <f>AND('Planilla_General_03-12-2012_9_3'!D292,"AAAAAH93ijQ=")</f>
        <v>#VALUE!</v>
      </c>
      <c r="BB19" t="e">
        <f>AND('Planilla_General_03-12-2012_9_3'!E292,"AAAAAH93ijU=")</f>
        <v>#VALUE!</v>
      </c>
      <c r="BC19" t="e">
        <f>AND('Planilla_General_03-12-2012_9_3'!F292,"AAAAAH93ijY=")</f>
        <v>#VALUE!</v>
      </c>
      <c r="BD19" t="e">
        <f>AND('Planilla_General_03-12-2012_9_3'!G292,"AAAAAH93ijc=")</f>
        <v>#VALUE!</v>
      </c>
      <c r="BE19" t="e">
        <f>AND('Planilla_General_03-12-2012_9_3'!H292,"AAAAAH93ijg=")</f>
        <v>#VALUE!</v>
      </c>
      <c r="BF19" t="e">
        <f>AND('Planilla_General_03-12-2012_9_3'!I292,"AAAAAH93ijk=")</f>
        <v>#VALUE!</v>
      </c>
      <c r="BG19" t="e">
        <f>AND('Planilla_General_03-12-2012_9_3'!J292,"AAAAAH93ijo=")</f>
        <v>#VALUE!</v>
      </c>
      <c r="BH19" t="e">
        <f>AND('Planilla_General_03-12-2012_9_3'!K292,"AAAAAH93ijs=")</f>
        <v>#VALUE!</v>
      </c>
      <c r="BI19" t="e">
        <f>AND('Planilla_General_03-12-2012_9_3'!L292,"AAAAAH93ijw=")</f>
        <v>#VALUE!</v>
      </c>
      <c r="BJ19" t="e">
        <f>AND('Planilla_General_03-12-2012_9_3'!M292,"AAAAAH93ij0=")</f>
        <v>#VALUE!</v>
      </c>
      <c r="BK19" t="e">
        <f>AND('Planilla_General_03-12-2012_9_3'!N292,"AAAAAH93ij4=")</f>
        <v>#VALUE!</v>
      </c>
      <c r="BL19" t="e">
        <f>AND('Planilla_General_03-12-2012_9_3'!O292,"AAAAAH93ij8=")</f>
        <v>#VALUE!</v>
      </c>
      <c r="BM19">
        <f>IF('Planilla_General_03-12-2012_9_3'!293:293,"AAAAAH93ikA=",0)</f>
        <v>0</v>
      </c>
      <c r="BN19" t="e">
        <f>AND('Planilla_General_03-12-2012_9_3'!A293,"AAAAAH93ikE=")</f>
        <v>#VALUE!</v>
      </c>
      <c r="BO19" t="e">
        <f>AND('Planilla_General_03-12-2012_9_3'!B293,"AAAAAH93ikI=")</f>
        <v>#VALUE!</v>
      </c>
      <c r="BP19" t="e">
        <f>AND('Planilla_General_03-12-2012_9_3'!C293,"AAAAAH93ikM=")</f>
        <v>#VALUE!</v>
      </c>
      <c r="BQ19" t="e">
        <f>AND('Planilla_General_03-12-2012_9_3'!D293,"AAAAAH93ikQ=")</f>
        <v>#VALUE!</v>
      </c>
      <c r="BR19" t="e">
        <f>AND('Planilla_General_03-12-2012_9_3'!E293,"AAAAAH93ikU=")</f>
        <v>#VALUE!</v>
      </c>
      <c r="BS19" t="e">
        <f>AND('Planilla_General_03-12-2012_9_3'!F293,"AAAAAH93ikY=")</f>
        <v>#VALUE!</v>
      </c>
      <c r="BT19" t="e">
        <f>AND('Planilla_General_03-12-2012_9_3'!G293,"AAAAAH93ikc=")</f>
        <v>#VALUE!</v>
      </c>
      <c r="BU19" t="e">
        <f>AND('Planilla_General_03-12-2012_9_3'!H293,"AAAAAH93ikg=")</f>
        <v>#VALUE!</v>
      </c>
      <c r="BV19" t="e">
        <f>AND('Planilla_General_03-12-2012_9_3'!I293,"AAAAAH93ikk=")</f>
        <v>#VALUE!</v>
      </c>
      <c r="BW19" t="e">
        <f>AND('Planilla_General_03-12-2012_9_3'!J293,"AAAAAH93iko=")</f>
        <v>#VALUE!</v>
      </c>
      <c r="BX19" t="e">
        <f>AND('Planilla_General_03-12-2012_9_3'!K293,"AAAAAH93iks=")</f>
        <v>#VALUE!</v>
      </c>
      <c r="BY19" t="e">
        <f>AND('Planilla_General_03-12-2012_9_3'!L293,"AAAAAH93ikw=")</f>
        <v>#VALUE!</v>
      </c>
      <c r="BZ19" t="e">
        <f>AND('Planilla_General_03-12-2012_9_3'!M293,"AAAAAH93ik0=")</f>
        <v>#VALUE!</v>
      </c>
      <c r="CA19" t="e">
        <f>AND('Planilla_General_03-12-2012_9_3'!N293,"AAAAAH93ik4=")</f>
        <v>#VALUE!</v>
      </c>
      <c r="CB19" t="e">
        <f>AND('Planilla_General_03-12-2012_9_3'!O293,"AAAAAH93ik8=")</f>
        <v>#VALUE!</v>
      </c>
      <c r="CC19">
        <f>IF('Planilla_General_03-12-2012_9_3'!294:294,"AAAAAH93ilA=",0)</f>
        <v>0</v>
      </c>
      <c r="CD19" t="e">
        <f>AND('Planilla_General_03-12-2012_9_3'!A294,"AAAAAH93ilE=")</f>
        <v>#VALUE!</v>
      </c>
      <c r="CE19" t="e">
        <f>AND('Planilla_General_03-12-2012_9_3'!B294,"AAAAAH93ilI=")</f>
        <v>#VALUE!</v>
      </c>
      <c r="CF19" t="e">
        <f>AND('Planilla_General_03-12-2012_9_3'!C294,"AAAAAH93ilM=")</f>
        <v>#VALUE!</v>
      </c>
      <c r="CG19" t="e">
        <f>AND('Planilla_General_03-12-2012_9_3'!D294,"AAAAAH93ilQ=")</f>
        <v>#VALUE!</v>
      </c>
      <c r="CH19" t="e">
        <f>AND('Planilla_General_03-12-2012_9_3'!E294,"AAAAAH93ilU=")</f>
        <v>#VALUE!</v>
      </c>
      <c r="CI19" t="e">
        <f>AND('Planilla_General_03-12-2012_9_3'!F294,"AAAAAH93ilY=")</f>
        <v>#VALUE!</v>
      </c>
      <c r="CJ19" t="e">
        <f>AND('Planilla_General_03-12-2012_9_3'!G294,"AAAAAH93ilc=")</f>
        <v>#VALUE!</v>
      </c>
      <c r="CK19" t="e">
        <f>AND('Planilla_General_03-12-2012_9_3'!H294,"AAAAAH93ilg=")</f>
        <v>#VALUE!</v>
      </c>
      <c r="CL19" t="e">
        <f>AND('Planilla_General_03-12-2012_9_3'!I294,"AAAAAH93ilk=")</f>
        <v>#VALUE!</v>
      </c>
      <c r="CM19" t="e">
        <f>AND('Planilla_General_03-12-2012_9_3'!J294,"AAAAAH93ilo=")</f>
        <v>#VALUE!</v>
      </c>
      <c r="CN19" t="e">
        <f>AND('Planilla_General_03-12-2012_9_3'!K294,"AAAAAH93ils=")</f>
        <v>#VALUE!</v>
      </c>
      <c r="CO19" t="e">
        <f>AND('Planilla_General_03-12-2012_9_3'!L294,"AAAAAH93ilw=")</f>
        <v>#VALUE!</v>
      </c>
      <c r="CP19" t="e">
        <f>AND('Planilla_General_03-12-2012_9_3'!M294,"AAAAAH93il0=")</f>
        <v>#VALUE!</v>
      </c>
      <c r="CQ19" t="e">
        <f>AND('Planilla_General_03-12-2012_9_3'!N294,"AAAAAH93il4=")</f>
        <v>#VALUE!</v>
      </c>
      <c r="CR19" t="e">
        <f>AND('Planilla_General_03-12-2012_9_3'!O294,"AAAAAH93il8=")</f>
        <v>#VALUE!</v>
      </c>
      <c r="CS19">
        <f>IF('Planilla_General_03-12-2012_9_3'!295:295,"AAAAAH93imA=",0)</f>
        <v>0</v>
      </c>
      <c r="CT19" t="e">
        <f>AND('Planilla_General_03-12-2012_9_3'!A295,"AAAAAH93imE=")</f>
        <v>#VALUE!</v>
      </c>
      <c r="CU19" t="e">
        <f>AND('Planilla_General_03-12-2012_9_3'!B295,"AAAAAH93imI=")</f>
        <v>#VALUE!</v>
      </c>
      <c r="CV19" t="e">
        <f>AND('Planilla_General_03-12-2012_9_3'!C295,"AAAAAH93imM=")</f>
        <v>#VALUE!</v>
      </c>
      <c r="CW19" t="e">
        <f>AND('Planilla_General_03-12-2012_9_3'!D295,"AAAAAH93imQ=")</f>
        <v>#VALUE!</v>
      </c>
      <c r="CX19" t="e">
        <f>AND('Planilla_General_03-12-2012_9_3'!E295,"AAAAAH93imU=")</f>
        <v>#VALUE!</v>
      </c>
      <c r="CY19" t="e">
        <f>AND('Planilla_General_03-12-2012_9_3'!F295,"AAAAAH93imY=")</f>
        <v>#VALUE!</v>
      </c>
      <c r="CZ19" t="e">
        <f>AND('Planilla_General_03-12-2012_9_3'!G295,"AAAAAH93imc=")</f>
        <v>#VALUE!</v>
      </c>
      <c r="DA19" t="e">
        <f>AND('Planilla_General_03-12-2012_9_3'!H295,"AAAAAH93img=")</f>
        <v>#VALUE!</v>
      </c>
      <c r="DB19" t="e">
        <f>AND('Planilla_General_03-12-2012_9_3'!I295,"AAAAAH93imk=")</f>
        <v>#VALUE!</v>
      </c>
      <c r="DC19" t="e">
        <f>AND('Planilla_General_03-12-2012_9_3'!J295,"AAAAAH93imo=")</f>
        <v>#VALUE!</v>
      </c>
      <c r="DD19" t="e">
        <f>AND('Planilla_General_03-12-2012_9_3'!K295,"AAAAAH93ims=")</f>
        <v>#VALUE!</v>
      </c>
      <c r="DE19" t="e">
        <f>AND('Planilla_General_03-12-2012_9_3'!L295,"AAAAAH93imw=")</f>
        <v>#VALUE!</v>
      </c>
      <c r="DF19" t="e">
        <f>AND('Planilla_General_03-12-2012_9_3'!M295,"AAAAAH93im0=")</f>
        <v>#VALUE!</v>
      </c>
      <c r="DG19" t="e">
        <f>AND('Planilla_General_03-12-2012_9_3'!N295,"AAAAAH93im4=")</f>
        <v>#VALUE!</v>
      </c>
      <c r="DH19" t="e">
        <f>AND('Planilla_General_03-12-2012_9_3'!O295,"AAAAAH93im8=")</f>
        <v>#VALUE!</v>
      </c>
      <c r="DI19">
        <f>IF('Planilla_General_03-12-2012_9_3'!296:296,"AAAAAH93inA=",0)</f>
        <v>0</v>
      </c>
      <c r="DJ19" t="e">
        <f>AND('Planilla_General_03-12-2012_9_3'!A296,"AAAAAH93inE=")</f>
        <v>#VALUE!</v>
      </c>
      <c r="DK19" t="e">
        <f>AND('Planilla_General_03-12-2012_9_3'!B296,"AAAAAH93inI=")</f>
        <v>#VALUE!</v>
      </c>
      <c r="DL19" t="e">
        <f>AND('Planilla_General_03-12-2012_9_3'!C296,"AAAAAH93inM=")</f>
        <v>#VALUE!</v>
      </c>
      <c r="DM19" t="e">
        <f>AND('Planilla_General_03-12-2012_9_3'!D296,"AAAAAH93inQ=")</f>
        <v>#VALUE!</v>
      </c>
      <c r="DN19" t="e">
        <f>AND('Planilla_General_03-12-2012_9_3'!E296,"AAAAAH93inU=")</f>
        <v>#VALUE!</v>
      </c>
      <c r="DO19" t="e">
        <f>AND('Planilla_General_03-12-2012_9_3'!F296,"AAAAAH93inY=")</f>
        <v>#VALUE!</v>
      </c>
      <c r="DP19" t="e">
        <f>AND('Planilla_General_03-12-2012_9_3'!G296,"AAAAAH93inc=")</f>
        <v>#VALUE!</v>
      </c>
      <c r="DQ19" t="e">
        <f>AND('Planilla_General_03-12-2012_9_3'!H296,"AAAAAH93ing=")</f>
        <v>#VALUE!</v>
      </c>
      <c r="DR19" t="e">
        <f>AND('Planilla_General_03-12-2012_9_3'!I296,"AAAAAH93ink=")</f>
        <v>#VALUE!</v>
      </c>
      <c r="DS19" t="e">
        <f>AND('Planilla_General_03-12-2012_9_3'!J296,"AAAAAH93ino=")</f>
        <v>#VALUE!</v>
      </c>
      <c r="DT19" t="e">
        <f>AND('Planilla_General_03-12-2012_9_3'!K296,"AAAAAH93ins=")</f>
        <v>#VALUE!</v>
      </c>
      <c r="DU19" t="e">
        <f>AND('Planilla_General_03-12-2012_9_3'!L296,"AAAAAH93inw=")</f>
        <v>#VALUE!</v>
      </c>
      <c r="DV19" t="e">
        <f>AND('Planilla_General_03-12-2012_9_3'!M296,"AAAAAH93in0=")</f>
        <v>#VALUE!</v>
      </c>
      <c r="DW19" t="e">
        <f>AND('Planilla_General_03-12-2012_9_3'!N296,"AAAAAH93in4=")</f>
        <v>#VALUE!</v>
      </c>
      <c r="DX19" t="e">
        <f>AND('Planilla_General_03-12-2012_9_3'!O296,"AAAAAH93in8=")</f>
        <v>#VALUE!</v>
      </c>
      <c r="DY19">
        <f>IF('Planilla_General_03-12-2012_9_3'!297:297,"AAAAAH93ioA=",0)</f>
        <v>0</v>
      </c>
      <c r="DZ19" t="e">
        <f>AND('Planilla_General_03-12-2012_9_3'!A297,"AAAAAH93ioE=")</f>
        <v>#VALUE!</v>
      </c>
      <c r="EA19" t="e">
        <f>AND('Planilla_General_03-12-2012_9_3'!B297,"AAAAAH93ioI=")</f>
        <v>#VALUE!</v>
      </c>
      <c r="EB19" t="e">
        <f>AND('Planilla_General_03-12-2012_9_3'!C297,"AAAAAH93ioM=")</f>
        <v>#VALUE!</v>
      </c>
      <c r="EC19" t="e">
        <f>AND('Planilla_General_03-12-2012_9_3'!D297,"AAAAAH93ioQ=")</f>
        <v>#VALUE!</v>
      </c>
      <c r="ED19" t="e">
        <f>AND('Planilla_General_03-12-2012_9_3'!E297,"AAAAAH93ioU=")</f>
        <v>#VALUE!</v>
      </c>
      <c r="EE19" t="e">
        <f>AND('Planilla_General_03-12-2012_9_3'!F297,"AAAAAH93ioY=")</f>
        <v>#VALUE!</v>
      </c>
      <c r="EF19" t="e">
        <f>AND('Planilla_General_03-12-2012_9_3'!G297,"AAAAAH93ioc=")</f>
        <v>#VALUE!</v>
      </c>
      <c r="EG19" t="e">
        <f>AND('Planilla_General_03-12-2012_9_3'!H297,"AAAAAH93iog=")</f>
        <v>#VALUE!</v>
      </c>
      <c r="EH19" t="e">
        <f>AND('Planilla_General_03-12-2012_9_3'!I297,"AAAAAH93iok=")</f>
        <v>#VALUE!</v>
      </c>
      <c r="EI19" t="e">
        <f>AND('Planilla_General_03-12-2012_9_3'!J297,"AAAAAH93ioo=")</f>
        <v>#VALUE!</v>
      </c>
      <c r="EJ19" t="e">
        <f>AND('Planilla_General_03-12-2012_9_3'!K297,"AAAAAH93ios=")</f>
        <v>#VALUE!</v>
      </c>
      <c r="EK19" t="e">
        <f>AND('Planilla_General_03-12-2012_9_3'!L297,"AAAAAH93iow=")</f>
        <v>#VALUE!</v>
      </c>
      <c r="EL19" t="e">
        <f>AND('Planilla_General_03-12-2012_9_3'!M297,"AAAAAH93io0=")</f>
        <v>#VALUE!</v>
      </c>
      <c r="EM19" t="e">
        <f>AND('Planilla_General_03-12-2012_9_3'!N297,"AAAAAH93io4=")</f>
        <v>#VALUE!</v>
      </c>
      <c r="EN19" t="e">
        <f>AND('Planilla_General_03-12-2012_9_3'!O297,"AAAAAH93io8=")</f>
        <v>#VALUE!</v>
      </c>
      <c r="EO19">
        <f>IF('Planilla_General_03-12-2012_9_3'!298:298,"AAAAAH93ipA=",0)</f>
        <v>0</v>
      </c>
      <c r="EP19" t="e">
        <f>AND('Planilla_General_03-12-2012_9_3'!A298,"AAAAAH93ipE=")</f>
        <v>#VALUE!</v>
      </c>
      <c r="EQ19" t="e">
        <f>AND('Planilla_General_03-12-2012_9_3'!B298,"AAAAAH93ipI=")</f>
        <v>#VALUE!</v>
      </c>
      <c r="ER19" t="e">
        <f>AND('Planilla_General_03-12-2012_9_3'!C298,"AAAAAH93ipM=")</f>
        <v>#VALUE!</v>
      </c>
      <c r="ES19" t="e">
        <f>AND('Planilla_General_03-12-2012_9_3'!D298,"AAAAAH93ipQ=")</f>
        <v>#VALUE!</v>
      </c>
      <c r="ET19" t="e">
        <f>AND('Planilla_General_03-12-2012_9_3'!E298,"AAAAAH93ipU=")</f>
        <v>#VALUE!</v>
      </c>
      <c r="EU19" t="e">
        <f>AND('Planilla_General_03-12-2012_9_3'!F298,"AAAAAH93ipY=")</f>
        <v>#VALUE!</v>
      </c>
      <c r="EV19" t="e">
        <f>AND('Planilla_General_03-12-2012_9_3'!G298,"AAAAAH93ipc=")</f>
        <v>#VALUE!</v>
      </c>
      <c r="EW19" t="e">
        <f>AND('Planilla_General_03-12-2012_9_3'!H298,"AAAAAH93ipg=")</f>
        <v>#VALUE!</v>
      </c>
      <c r="EX19" t="e">
        <f>AND('Planilla_General_03-12-2012_9_3'!I298,"AAAAAH93ipk=")</f>
        <v>#VALUE!</v>
      </c>
      <c r="EY19" t="e">
        <f>AND('Planilla_General_03-12-2012_9_3'!J298,"AAAAAH93ipo=")</f>
        <v>#VALUE!</v>
      </c>
      <c r="EZ19" t="e">
        <f>AND('Planilla_General_03-12-2012_9_3'!K298,"AAAAAH93ips=")</f>
        <v>#VALUE!</v>
      </c>
      <c r="FA19" t="e">
        <f>AND('Planilla_General_03-12-2012_9_3'!L298,"AAAAAH93ipw=")</f>
        <v>#VALUE!</v>
      </c>
      <c r="FB19" t="e">
        <f>AND('Planilla_General_03-12-2012_9_3'!M298,"AAAAAH93ip0=")</f>
        <v>#VALUE!</v>
      </c>
      <c r="FC19" t="e">
        <f>AND('Planilla_General_03-12-2012_9_3'!N298,"AAAAAH93ip4=")</f>
        <v>#VALUE!</v>
      </c>
      <c r="FD19" t="e">
        <f>AND('Planilla_General_03-12-2012_9_3'!O298,"AAAAAH93ip8=")</f>
        <v>#VALUE!</v>
      </c>
      <c r="FE19">
        <f>IF('Planilla_General_03-12-2012_9_3'!299:299,"AAAAAH93iqA=",0)</f>
        <v>0</v>
      </c>
      <c r="FF19" t="e">
        <f>AND('Planilla_General_03-12-2012_9_3'!A299,"AAAAAH93iqE=")</f>
        <v>#VALUE!</v>
      </c>
      <c r="FG19" t="e">
        <f>AND('Planilla_General_03-12-2012_9_3'!B299,"AAAAAH93iqI=")</f>
        <v>#VALUE!</v>
      </c>
      <c r="FH19" t="e">
        <f>AND('Planilla_General_03-12-2012_9_3'!C299,"AAAAAH93iqM=")</f>
        <v>#VALUE!</v>
      </c>
      <c r="FI19" t="e">
        <f>AND('Planilla_General_03-12-2012_9_3'!D299,"AAAAAH93iqQ=")</f>
        <v>#VALUE!</v>
      </c>
      <c r="FJ19" t="e">
        <f>AND('Planilla_General_03-12-2012_9_3'!E299,"AAAAAH93iqU=")</f>
        <v>#VALUE!</v>
      </c>
      <c r="FK19" t="e">
        <f>AND('Planilla_General_03-12-2012_9_3'!F299,"AAAAAH93iqY=")</f>
        <v>#VALUE!</v>
      </c>
      <c r="FL19" t="e">
        <f>AND('Planilla_General_03-12-2012_9_3'!G299,"AAAAAH93iqc=")</f>
        <v>#VALUE!</v>
      </c>
      <c r="FM19" t="e">
        <f>AND('Planilla_General_03-12-2012_9_3'!H299,"AAAAAH93iqg=")</f>
        <v>#VALUE!</v>
      </c>
      <c r="FN19" t="e">
        <f>AND('Planilla_General_03-12-2012_9_3'!I299,"AAAAAH93iqk=")</f>
        <v>#VALUE!</v>
      </c>
      <c r="FO19" t="e">
        <f>AND('Planilla_General_03-12-2012_9_3'!J299,"AAAAAH93iqo=")</f>
        <v>#VALUE!</v>
      </c>
      <c r="FP19" t="e">
        <f>AND('Planilla_General_03-12-2012_9_3'!K299,"AAAAAH93iqs=")</f>
        <v>#VALUE!</v>
      </c>
      <c r="FQ19" t="e">
        <f>AND('Planilla_General_03-12-2012_9_3'!L299,"AAAAAH93iqw=")</f>
        <v>#VALUE!</v>
      </c>
      <c r="FR19" t="e">
        <f>AND('Planilla_General_03-12-2012_9_3'!M299,"AAAAAH93iq0=")</f>
        <v>#VALUE!</v>
      </c>
      <c r="FS19" t="e">
        <f>AND('Planilla_General_03-12-2012_9_3'!N299,"AAAAAH93iq4=")</f>
        <v>#VALUE!</v>
      </c>
      <c r="FT19" t="e">
        <f>AND('Planilla_General_03-12-2012_9_3'!O299,"AAAAAH93iq8=")</f>
        <v>#VALUE!</v>
      </c>
      <c r="FU19">
        <f>IF('Planilla_General_03-12-2012_9_3'!300:300,"AAAAAH93irA=",0)</f>
        <v>0</v>
      </c>
      <c r="FV19" t="e">
        <f>AND('Planilla_General_03-12-2012_9_3'!A300,"AAAAAH93irE=")</f>
        <v>#VALUE!</v>
      </c>
      <c r="FW19" t="e">
        <f>AND('Planilla_General_03-12-2012_9_3'!B300,"AAAAAH93irI=")</f>
        <v>#VALUE!</v>
      </c>
      <c r="FX19" t="e">
        <f>AND('Planilla_General_03-12-2012_9_3'!C300,"AAAAAH93irM=")</f>
        <v>#VALUE!</v>
      </c>
      <c r="FY19" t="e">
        <f>AND('Planilla_General_03-12-2012_9_3'!D300,"AAAAAH93irQ=")</f>
        <v>#VALUE!</v>
      </c>
      <c r="FZ19" t="e">
        <f>AND('Planilla_General_03-12-2012_9_3'!E300,"AAAAAH93irU=")</f>
        <v>#VALUE!</v>
      </c>
      <c r="GA19" t="e">
        <f>AND('Planilla_General_03-12-2012_9_3'!F300,"AAAAAH93irY=")</f>
        <v>#VALUE!</v>
      </c>
      <c r="GB19" t="e">
        <f>AND('Planilla_General_03-12-2012_9_3'!G300,"AAAAAH93irc=")</f>
        <v>#VALUE!</v>
      </c>
      <c r="GC19" t="e">
        <f>AND('Planilla_General_03-12-2012_9_3'!H300,"AAAAAH93irg=")</f>
        <v>#VALUE!</v>
      </c>
      <c r="GD19" t="e">
        <f>AND('Planilla_General_03-12-2012_9_3'!I300,"AAAAAH93irk=")</f>
        <v>#VALUE!</v>
      </c>
      <c r="GE19" t="e">
        <f>AND('Planilla_General_03-12-2012_9_3'!J300,"AAAAAH93iro=")</f>
        <v>#VALUE!</v>
      </c>
      <c r="GF19" t="e">
        <f>AND('Planilla_General_03-12-2012_9_3'!K300,"AAAAAH93irs=")</f>
        <v>#VALUE!</v>
      </c>
      <c r="GG19" t="e">
        <f>AND('Planilla_General_03-12-2012_9_3'!L300,"AAAAAH93irw=")</f>
        <v>#VALUE!</v>
      </c>
      <c r="GH19" t="e">
        <f>AND('Planilla_General_03-12-2012_9_3'!M300,"AAAAAH93ir0=")</f>
        <v>#VALUE!</v>
      </c>
      <c r="GI19" t="e">
        <f>AND('Planilla_General_03-12-2012_9_3'!N300,"AAAAAH93ir4=")</f>
        <v>#VALUE!</v>
      </c>
      <c r="GJ19" t="e">
        <f>AND('Planilla_General_03-12-2012_9_3'!O300,"AAAAAH93ir8=")</f>
        <v>#VALUE!</v>
      </c>
      <c r="GK19">
        <f>IF('Planilla_General_03-12-2012_9_3'!301:301,"AAAAAH93isA=",0)</f>
        <v>0</v>
      </c>
      <c r="GL19" t="e">
        <f>AND('Planilla_General_03-12-2012_9_3'!A301,"AAAAAH93isE=")</f>
        <v>#VALUE!</v>
      </c>
      <c r="GM19" t="e">
        <f>AND('Planilla_General_03-12-2012_9_3'!B301,"AAAAAH93isI=")</f>
        <v>#VALUE!</v>
      </c>
      <c r="GN19" t="e">
        <f>AND('Planilla_General_03-12-2012_9_3'!C301,"AAAAAH93isM=")</f>
        <v>#VALUE!</v>
      </c>
      <c r="GO19" t="e">
        <f>AND('Planilla_General_03-12-2012_9_3'!D301,"AAAAAH93isQ=")</f>
        <v>#VALUE!</v>
      </c>
      <c r="GP19" t="e">
        <f>AND('Planilla_General_03-12-2012_9_3'!E301,"AAAAAH93isU=")</f>
        <v>#VALUE!</v>
      </c>
      <c r="GQ19" t="e">
        <f>AND('Planilla_General_03-12-2012_9_3'!F301,"AAAAAH93isY=")</f>
        <v>#VALUE!</v>
      </c>
      <c r="GR19" t="e">
        <f>AND('Planilla_General_03-12-2012_9_3'!G301,"AAAAAH93isc=")</f>
        <v>#VALUE!</v>
      </c>
      <c r="GS19" t="e">
        <f>AND('Planilla_General_03-12-2012_9_3'!H301,"AAAAAH93isg=")</f>
        <v>#VALUE!</v>
      </c>
      <c r="GT19" t="e">
        <f>AND('Planilla_General_03-12-2012_9_3'!I301,"AAAAAH93isk=")</f>
        <v>#VALUE!</v>
      </c>
      <c r="GU19" t="e">
        <f>AND('Planilla_General_03-12-2012_9_3'!J301,"AAAAAH93iso=")</f>
        <v>#VALUE!</v>
      </c>
      <c r="GV19" t="e">
        <f>AND('Planilla_General_03-12-2012_9_3'!K301,"AAAAAH93iss=")</f>
        <v>#VALUE!</v>
      </c>
      <c r="GW19" t="e">
        <f>AND('Planilla_General_03-12-2012_9_3'!L301,"AAAAAH93isw=")</f>
        <v>#VALUE!</v>
      </c>
      <c r="GX19" t="e">
        <f>AND('Planilla_General_03-12-2012_9_3'!M301,"AAAAAH93is0=")</f>
        <v>#VALUE!</v>
      </c>
      <c r="GY19" t="e">
        <f>AND('Planilla_General_03-12-2012_9_3'!N301,"AAAAAH93is4=")</f>
        <v>#VALUE!</v>
      </c>
      <c r="GZ19" t="e">
        <f>AND('Planilla_General_03-12-2012_9_3'!O301,"AAAAAH93is8=")</f>
        <v>#VALUE!</v>
      </c>
      <c r="HA19">
        <f>IF('Planilla_General_03-12-2012_9_3'!302:302,"AAAAAH93itA=",0)</f>
        <v>0</v>
      </c>
      <c r="HB19" t="e">
        <f>AND('Planilla_General_03-12-2012_9_3'!A302,"AAAAAH93itE=")</f>
        <v>#VALUE!</v>
      </c>
      <c r="HC19" t="e">
        <f>AND('Planilla_General_03-12-2012_9_3'!B302,"AAAAAH93itI=")</f>
        <v>#VALUE!</v>
      </c>
      <c r="HD19" t="e">
        <f>AND('Planilla_General_03-12-2012_9_3'!C302,"AAAAAH93itM=")</f>
        <v>#VALUE!</v>
      </c>
      <c r="HE19" t="e">
        <f>AND('Planilla_General_03-12-2012_9_3'!D302,"AAAAAH93itQ=")</f>
        <v>#VALUE!</v>
      </c>
      <c r="HF19" t="e">
        <f>AND('Planilla_General_03-12-2012_9_3'!E302,"AAAAAH93itU=")</f>
        <v>#VALUE!</v>
      </c>
      <c r="HG19" t="e">
        <f>AND('Planilla_General_03-12-2012_9_3'!F302,"AAAAAH93itY=")</f>
        <v>#VALUE!</v>
      </c>
      <c r="HH19" t="e">
        <f>AND('Planilla_General_03-12-2012_9_3'!G302,"AAAAAH93itc=")</f>
        <v>#VALUE!</v>
      </c>
      <c r="HI19" t="e">
        <f>AND('Planilla_General_03-12-2012_9_3'!H302,"AAAAAH93itg=")</f>
        <v>#VALUE!</v>
      </c>
      <c r="HJ19" t="e">
        <f>AND('Planilla_General_03-12-2012_9_3'!I302,"AAAAAH93itk=")</f>
        <v>#VALUE!</v>
      </c>
      <c r="HK19" t="e">
        <f>AND('Planilla_General_03-12-2012_9_3'!J302,"AAAAAH93ito=")</f>
        <v>#VALUE!</v>
      </c>
      <c r="HL19" t="e">
        <f>AND('Planilla_General_03-12-2012_9_3'!K302,"AAAAAH93its=")</f>
        <v>#VALUE!</v>
      </c>
      <c r="HM19" t="e">
        <f>AND('Planilla_General_03-12-2012_9_3'!L302,"AAAAAH93itw=")</f>
        <v>#VALUE!</v>
      </c>
      <c r="HN19" t="e">
        <f>AND('Planilla_General_03-12-2012_9_3'!M302,"AAAAAH93it0=")</f>
        <v>#VALUE!</v>
      </c>
      <c r="HO19" t="e">
        <f>AND('Planilla_General_03-12-2012_9_3'!N302,"AAAAAH93it4=")</f>
        <v>#VALUE!</v>
      </c>
      <c r="HP19" t="e">
        <f>AND('Planilla_General_03-12-2012_9_3'!O302,"AAAAAH93it8=")</f>
        <v>#VALUE!</v>
      </c>
      <c r="HQ19">
        <f>IF('Planilla_General_03-12-2012_9_3'!303:303,"AAAAAH93iuA=",0)</f>
        <v>0</v>
      </c>
      <c r="HR19" t="e">
        <f>AND('Planilla_General_03-12-2012_9_3'!A303,"AAAAAH93iuE=")</f>
        <v>#VALUE!</v>
      </c>
      <c r="HS19" t="e">
        <f>AND('Planilla_General_03-12-2012_9_3'!B303,"AAAAAH93iuI=")</f>
        <v>#VALUE!</v>
      </c>
      <c r="HT19" t="e">
        <f>AND('Planilla_General_03-12-2012_9_3'!C303,"AAAAAH93iuM=")</f>
        <v>#VALUE!</v>
      </c>
      <c r="HU19" t="e">
        <f>AND('Planilla_General_03-12-2012_9_3'!D303,"AAAAAH93iuQ=")</f>
        <v>#VALUE!</v>
      </c>
      <c r="HV19" t="e">
        <f>AND('Planilla_General_03-12-2012_9_3'!E303,"AAAAAH93iuU=")</f>
        <v>#VALUE!</v>
      </c>
      <c r="HW19" t="e">
        <f>AND('Planilla_General_03-12-2012_9_3'!F303,"AAAAAH93iuY=")</f>
        <v>#VALUE!</v>
      </c>
      <c r="HX19" t="e">
        <f>AND('Planilla_General_03-12-2012_9_3'!G303,"AAAAAH93iuc=")</f>
        <v>#VALUE!</v>
      </c>
      <c r="HY19" t="e">
        <f>AND('Planilla_General_03-12-2012_9_3'!H303,"AAAAAH93iug=")</f>
        <v>#VALUE!</v>
      </c>
      <c r="HZ19" t="e">
        <f>AND('Planilla_General_03-12-2012_9_3'!I303,"AAAAAH93iuk=")</f>
        <v>#VALUE!</v>
      </c>
      <c r="IA19" t="e">
        <f>AND('Planilla_General_03-12-2012_9_3'!J303,"AAAAAH93iuo=")</f>
        <v>#VALUE!</v>
      </c>
      <c r="IB19" t="e">
        <f>AND('Planilla_General_03-12-2012_9_3'!K303,"AAAAAH93ius=")</f>
        <v>#VALUE!</v>
      </c>
      <c r="IC19" t="e">
        <f>AND('Planilla_General_03-12-2012_9_3'!L303,"AAAAAH93iuw=")</f>
        <v>#VALUE!</v>
      </c>
      <c r="ID19" t="e">
        <f>AND('Planilla_General_03-12-2012_9_3'!M303,"AAAAAH93iu0=")</f>
        <v>#VALUE!</v>
      </c>
      <c r="IE19" t="e">
        <f>AND('Planilla_General_03-12-2012_9_3'!N303,"AAAAAH93iu4=")</f>
        <v>#VALUE!</v>
      </c>
      <c r="IF19" t="e">
        <f>AND('Planilla_General_03-12-2012_9_3'!O303,"AAAAAH93iu8=")</f>
        <v>#VALUE!</v>
      </c>
      <c r="IG19">
        <f>IF('Planilla_General_03-12-2012_9_3'!304:304,"AAAAAH93ivA=",0)</f>
        <v>0</v>
      </c>
      <c r="IH19" t="e">
        <f>AND('Planilla_General_03-12-2012_9_3'!A304,"AAAAAH93ivE=")</f>
        <v>#VALUE!</v>
      </c>
      <c r="II19" t="e">
        <f>AND('Planilla_General_03-12-2012_9_3'!B304,"AAAAAH93ivI=")</f>
        <v>#VALUE!</v>
      </c>
      <c r="IJ19" t="e">
        <f>AND('Planilla_General_03-12-2012_9_3'!C304,"AAAAAH93ivM=")</f>
        <v>#VALUE!</v>
      </c>
      <c r="IK19" t="e">
        <f>AND('Planilla_General_03-12-2012_9_3'!D304,"AAAAAH93ivQ=")</f>
        <v>#VALUE!</v>
      </c>
      <c r="IL19" t="e">
        <f>AND('Planilla_General_03-12-2012_9_3'!E304,"AAAAAH93ivU=")</f>
        <v>#VALUE!</v>
      </c>
      <c r="IM19" t="e">
        <f>AND('Planilla_General_03-12-2012_9_3'!F304,"AAAAAH93ivY=")</f>
        <v>#VALUE!</v>
      </c>
      <c r="IN19" t="e">
        <f>AND('Planilla_General_03-12-2012_9_3'!G304,"AAAAAH93ivc=")</f>
        <v>#VALUE!</v>
      </c>
      <c r="IO19" t="e">
        <f>AND('Planilla_General_03-12-2012_9_3'!H304,"AAAAAH93ivg=")</f>
        <v>#VALUE!</v>
      </c>
      <c r="IP19" t="e">
        <f>AND('Planilla_General_03-12-2012_9_3'!I304,"AAAAAH93ivk=")</f>
        <v>#VALUE!</v>
      </c>
      <c r="IQ19" t="e">
        <f>AND('Planilla_General_03-12-2012_9_3'!J304,"AAAAAH93ivo=")</f>
        <v>#VALUE!</v>
      </c>
      <c r="IR19" t="e">
        <f>AND('Planilla_General_03-12-2012_9_3'!K304,"AAAAAH93ivs=")</f>
        <v>#VALUE!</v>
      </c>
      <c r="IS19" t="e">
        <f>AND('Planilla_General_03-12-2012_9_3'!L304,"AAAAAH93ivw=")</f>
        <v>#VALUE!</v>
      </c>
      <c r="IT19" t="e">
        <f>AND('Planilla_General_03-12-2012_9_3'!M304,"AAAAAH93iv0=")</f>
        <v>#VALUE!</v>
      </c>
      <c r="IU19" t="e">
        <f>AND('Planilla_General_03-12-2012_9_3'!N304,"AAAAAH93iv4=")</f>
        <v>#VALUE!</v>
      </c>
      <c r="IV19" t="e">
        <f>AND('Planilla_General_03-12-2012_9_3'!O304,"AAAAAH93iv8=")</f>
        <v>#VALUE!</v>
      </c>
    </row>
    <row r="20" spans="1:256" x14ac:dyDescent="0.25">
      <c r="A20" t="e">
        <f>IF('Planilla_General_03-12-2012_9_3'!305:305,"AAAAAGeXkwA=",0)</f>
        <v>#VALUE!</v>
      </c>
      <c r="B20" t="e">
        <f>AND('Planilla_General_03-12-2012_9_3'!A305,"AAAAAGeXkwE=")</f>
        <v>#VALUE!</v>
      </c>
      <c r="C20" t="e">
        <f>AND('Planilla_General_03-12-2012_9_3'!B305,"AAAAAGeXkwI=")</f>
        <v>#VALUE!</v>
      </c>
      <c r="D20" t="e">
        <f>AND('Planilla_General_03-12-2012_9_3'!C305,"AAAAAGeXkwM=")</f>
        <v>#VALUE!</v>
      </c>
      <c r="E20" t="e">
        <f>AND('Planilla_General_03-12-2012_9_3'!D305,"AAAAAGeXkwQ=")</f>
        <v>#VALUE!</v>
      </c>
      <c r="F20" t="e">
        <f>AND('Planilla_General_03-12-2012_9_3'!E305,"AAAAAGeXkwU=")</f>
        <v>#VALUE!</v>
      </c>
      <c r="G20" t="e">
        <f>AND('Planilla_General_03-12-2012_9_3'!F305,"AAAAAGeXkwY=")</f>
        <v>#VALUE!</v>
      </c>
      <c r="H20" t="e">
        <f>AND('Planilla_General_03-12-2012_9_3'!G305,"AAAAAGeXkwc=")</f>
        <v>#VALUE!</v>
      </c>
      <c r="I20" t="e">
        <f>AND('Planilla_General_03-12-2012_9_3'!H305,"AAAAAGeXkwg=")</f>
        <v>#VALUE!</v>
      </c>
      <c r="J20" t="e">
        <f>AND('Planilla_General_03-12-2012_9_3'!I305,"AAAAAGeXkwk=")</f>
        <v>#VALUE!</v>
      </c>
      <c r="K20" t="e">
        <f>AND('Planilla_General_03-12-2012_9_3'!J305,"AAAAAGeXkwo=")</f>
        <v>#VALUE!</v>
      </c>
      <c r="L20" t="e">
        <f>AND('Planilla_General_03-12-2012_9_3'!K305,"AAAAAGeXkws=")</f>
        <v>#VALUE!</v>
      </c>
      <c r="M20" t="e">
        <f>AND('Planilla_General_03-12-2012_9_3'!L305,"AAAAAGeXkww=")</f>
        <v>#VALUE!</v>
      </c>
      <c r="N20" t="e">
        <f>AND('Planilla_General_03-12-2012_9_3'!M305,"AAAAAGeXkw0=")</f>
        <v>#VALUE!</v>
      </c>
      <c r="O20" t="e">
        <f>AND('Planilla_General_03-12-2012_9_3'!N305,"AAAAAGeXkw4=")</f>
        <v>#VALUE!</v>
      </c>
      <c r="P20" t="e">
        <f>AND('Planilla_General_03-12-2012_9_3'!O305,"AAAAAGeXkw8=")</f>
        <v>#VALUE!</v>
      </c>
      <c r="Q20">
        <f>IF('Planilla_General_03-12-2012_9_3'!306:306,"AAAAAGeXkxA=",0)</f>
        <v>0</v>
      </c>
      <c r="R20" t="e">
        <f>AND('Planilla_General_03-12-2012_9_3'!A306,"AAAAAGeXkxE=")</f>
        <v>#VALUE!</v>
      </c>
      <c r="S20" t="e">
        <f>AND('Planilla_General_03-12-2012_9_3'!B306,"AAAAAGeXkxI=")</f>
        <v>#VALUE!</v>
      </c>
      <c r="T20" t="e">
        <f>AND('Planilla_General_03-12-2012_9_3'!C306,"AAAAAGeXkxM=")</f>
        <v>#VALUE!</v>
      </c>
      <c r="U20" t="e">
        <f>AND('Planilla_General_03-12-2012_9_3'!D306,"AAAAAGeXkxQ=")</f>
        <v>#VALUE!</v>
      </c>
      <c r="V20" t="e">
        <f>AND('Planilla_General_03-12-2012_9_3'!E306,"AAAAAGeXkxU=")</f>
        <v>#VALUE!</v>
      </c>
      <c r="W20" t="e">
        <f>AND('Planilla_General_03-12-2012_9_3'!F306,"AAAAAGeXkxY=")</f>
        <v>#VALUE!</v>
      </c>
      <c r="X20" t="e">
        <f>AND('Planilla_General_03-12-2012_9_3'!G306,"AAAAAGeXkxc=")</f>
        <v>#VALUE!</v>
      </c>
      <c r="Y20" t="e">
        <f>AND('Planilla_General_03-12-2012_9_3'!H306,"AAAAAGeXkxg=")</f>
        <v>#VALUE!</v>
      </c>
      <c r="Z20" t="e">
        <f>AND('Planilla_General_03-12-2012_9_3'!I306,"AAAAAGeXkxk=")</f>
        <v>#VALUE!</v>
      </c>
      <c r="AA20" t="e">
        <f>AND('Planilla_General_03-12-2012_9_3'!J306,"AAAAAGeXkxo=")</f>
        <v>#VALUE!</v>
      </c>
      <c r="AB20" t="e">
        <f>AND('Planilla_General_03-12-2012_9_3'!K306,"AAAAAGeXkxs=")</f>
        <v>#VALUE!</v>
      </c>
      <c r="AC20" t="e">
        <f>AND('Planilla_General_03-12-2012_9_3'!L306,"AAAAAGeXkxw=")</f>
        <v>#VALUE!</v>
      </c>
      <c r="AD20" t="e">
        <f>AND('Planilla_General_03-12-2012_9_3'!M306,"AAAAAGeXkx0=")</f>
        <v>#VALUE!</v>
      </c>
      <c r="AE20" t="e">
        <f>AND('Planilla_General_03-12-2012_9_3'!N306,"AAAAAGeXkx4=")</f>
        <v>#VALUE!</v>
      </c>
      <c r="AF20" t="e">
        <f>AND('Planilla_General_03-12-2012_9_3'!O306,"AAAAAGeXkx8=")</f>
        <v>#VALUE!</v>
      </c>
      <c r="AG20">
        <f>IF('Planilla_General_03-12-2012_9_3'!307:307,"AAAAAGeXkyA=",0)</f>
        <v>0</v>
      </c>
      <c r="AH20" t="e">
        <f>AND('Planilla_General_03-12-2012_9_3'!A307,"AAAAAGeXkyE=")</f>
        <v>#VALUE!</v>
      </c>
      <c r="AI20" t="e">
        <f>AND('Planilla_General_03-12-2012_9_3'!B307,"AAAAAGeXkyI=")</f>
        <v>#VALUE!</v>
      </c>
      <c r="AJ20" t="e">
        <f>AND('Planilla_General_03-12-2012_9_3'!C307,"AAAAAGeXkyM=")</f>
        <v>#VALUE!</v>
      </c>
      <c r="AK20" t="e">
        <f>AND('Planilla_General_03-12-2012_9_3'!D307,"AAAAAGeXkyQ=")</f>
        <v>#VALUE!</v>
      </c>
      <c r="AL20" t="e">
        <f>AND('Planilla_General_03-12-2012_9_3'!E307,"AAAAAGeXkyU=")</f>
        <v>#VALUE!</v>
      </c>
      <c r="AM20" t="e">
        <f>AND('Planilla_General_03-12-2012_9_3'!F307,"AAAAAGeXkyY=")</f>
        <v>#VALUE!</v>
      </c>
      <c r="AN20" t="e">
        <f>AND('Planilla_General_03-12-2012_9_3'!G307,"AAAAAGeXkyc=")</f>
        <v>#VALUE!</v>
      </c>
      <c r="AO20" t="e">
        <f>AND('Planilla_General_03-12-2012_9_3'!H307,"AAAAAGeXkyg=")</f>
        <v>#VALUE!</v>
      </c>
      <c r="AP20" t="e">
        <f>AND('Planilla_General_03-12-2012_9_3'!I307,"AAAAAGeXkyk=")</f>
        <v>#VALUE!</v>
      </c>
      <c r="AQ20" t="e">
        <f>AND('Planilla_General_03-12-2012_9_3'!J307,"AAAAAGeXkyo=")</f>
        <v>#VALUE!</v>
      </c>
      <c r="AR20" t="e">
        <f>AND('Planilla_General_03-12-2012_9_3'!K307,"AAAAAGeXkys=")</f>
        <v>#VALUE!</v>
      </c>
      <c r="AS20" t="e">
        <f>AND('Planilla_General_03-12-2012_9_3'!L307,"AAAAAGeXkyw=")</f>
        <v>#VALUE!</v>
      </c>
      <c r="AT20" t="e">
        <f>AND('Planilla_General_03-12-2012_9_3'!M307,"AAAAAGeXky0=")</f>
        <v>#VALUE!</v>
      </c>
      <c r="AU20" t="e">
        <f>AND('Planilla_General_03-12-2012_9_3'!N307,"AAAAAGeXky4=")</f>
        <v>#VALUE!</v>
      </c>
      <c r="AV20" t="e">
        <f>AND('Planilla_General_03-12-2012_9_3'!O307,"AAAAAGeXky8=")</f>
        <v>#VALUE!</v>
      </c>
      <c r="AW20">
        <f>IF('Planilla_General_03-12-2012_9_3'!308:308,"AAAAAGeXkzA=",0)</f>
        <v>0</v>
      </c>
      <c r="AX20" t="e">
        <f>AND('Planilla_General_03-12-2012_9_3'!A308,"AAAAAGeXkzE=")</f>
        <v>#VALUE!</v>
      </c>
      <c r="AY20" t="e">
        <f>AND('Planilla_General_03-12-2012_9_3'!B308,"AAAAAGeXkzI=")</f>
        <v>#VALUE!</v>
      </c>
      <c r="AZ20" t="e">
        <f>AND('Planilla_General_03-12-2012_9_3'!C308,"AAAAAGeXkzM=")</f>
        <v>#VALUE!</v>
      </c>
      <c r="BA20" t="e">
        <f>AND('Planilla_General_03-12-2012_9_3'!D308,"AAAAAGeXkzQ=")</f>
        <v>#VALUE!</v>
      </c>
      <c r="BB20" t="e">
        <f>AND('Planilla_General_03-12-2012_9_3'!E308,"AAAAAGeXkzU=")</f>
        <v>#VALUE!</v>
      </c>
      <c r="BC20" t="e">
        <f>AND('Planilla_General_03-12-2012_9_3'!F308,"AAAAAGeXkzY=")</f>
        <v>#VALUE!</v>
      </c>
      <c r="BD20" t="e">
        <f>AND('Planilla_General_03-12-2012_9_3'!G308,"AAAAAGeXkzc=")</f>
        <v>#VALUE!</v>
      </c>
      <c r="BE20" t="e">
        <f>AND('Planilla_General_03-12-2012_9_3'!H308,"AAAAAGeXkzg=")</f>
        <v>#VALUE!</v>
      </c>
      <c r="BF20" t="e">
        <f>AND('Planilla_General_03-12-2012_9_3'!I308,"AAAAAGeXkzk=")</f>
        <v>#VALUE!</v>
      </c>
      <c r="BG20" t="e">
        <f>AND('Planilla_General_03-12-2012_9_3'!J308,"AAAAAGeXkzo=")</f>
        <v>#VALUE!</v>
      </c>
      <c r="BH20" t="e">
        <f>AND('Planilla_General_03-12-2012_9_3'!K308,"AAAAAGeXkzs=")</f>
        <v>#VALUE!</v>
      </c>
      <c r="BI20" t="e">
        <f>AND('Planilla_General_03-12-2012_9_3'!L308,"AAAAAGeXkzw=")</f>
        <v>#VALUE!</v>
      </c>
      <c r="BJ20" t="e">
        <f>AND('Planilla_General_03-12-2012_9_3'!M308,"AAAAAGeXkz0=")</f>
        <v>#VALUE!</v>
      </c>
      <c r="BK20" t="e">
        <f>AND('Planilla_General_03-12-2012_9_3'!N308,"AAAAAGeXkz4=")</f>
        <v>#VALUE!</v>
      </c>
      <c r="BL20" t="e">
        <f>AND('Planilla_General_03-12-2012_9_3'!O308,"AAAAAGeXkz8=")</f>
        <v>#VALUE!</v>
      </c>
      <c r="BM20">
        <f>IF('Planilla_General_03-12-2012_9_3'!309:309,"AAAAAGeXk0A=",0)</f>
        <v>0</v>
      </c>
      <c r="BN20" t="e">
        <f>AND('Planilla_General_03-12-2012_9_3'!A309,"AAAAAGeXk0E=")</f>
        <v>#VALUE!</v>
      </c>
      <c r="BO20" t="e">
        <f>AND('Planilla_General_03-12-2012_9_3'!B309,"AAAAAGeXk0I=")</f>
        <v>#VALUE!</v>
      </c>
      <c r="BP20" t="e">
        <f>AND('Planilla_General_03-12-2012_9_3'!C309,"AAAAAGeXk0M=")</f>
        <v>#VALUE!</v>
      </c>
      <c r="BQ20" t="e">
        <f>AND('Planilla_General_03-12-2012_9_3'!D309,"AAAAAGeXk0Q=")</f>
        <v>#VALUE!</v>
      </c>
      <c r="BR20" t="e">
        <f>AND('Planilla_General_03-12-2012_9_3'!E309,"AAAAAGeXk0U=")</f>
        <v>#VALUE!</v>
      </c>
      <c r="BS20" t="e">
        <f>AND('Planilla_General_03-12-2012_9_3'!F309,"AAAAAGeXk0Y=")</f>
        <v>#VALUE!</v>
      </c>
      <c r="BT20" t="e">
        <f>AND('Planilla_General_03-12-2012_9_3'!G309,"AAAAAGeXk0c=")</f>
        <v>#VALUE!</v>
      </c>
      <c r="BU20" t="e">
        <f>AND('Planilla_General_03-12-2012_9_3'!H309,"AAAAAGeXk0g=")</f>
        <v>#VALUE!</v>
      </c>
      <c r="BV20" t="e">
        <f>AND('Planilla_General_03-12-2012_9_3'!I309,"AAAAAGeXk0k=")</f>
        <v>#VALUE!</v>
      </c>
      <c r="BW20" t="e">
        <f>AND('Planilla_General_03-12-2012_9_3'!J309,"AAAAAGeXk0o=")</f>
        <v>#VALUE!</v>
      </c>
      <c r="BX20" t="e">
        <f>AND('Planilla_General_03-12-2012_9_3'!K309,"AAAAAGeXk0s=")</f>
        <v>#VALUE!</v>
      </c>
      <c r="BY20" t="e">
        <f>AND('Planilla_General_03-12-2012_9_3'!L309,"AAAAAGeXk0w=")</f>
        <v>#VALUE!</v>
      </c>
      <c r="BZ20" t="e">
        <f>AND('Planilla_General_03-12-2012_9_3'!M309,"AAAAAGeXk00=")</f>
        <v>#VALUE!</v>
      </c>
      <c r="CA20" t="e">
        <f>AND('Planilla_General_03-12-2012_9_3'!N309,"AAAAAGeXk04=")</f>
        <v>#VALUE!</v>
      </c>
      <c r="CB20" t="e">
        <f>AND('Planilla_General_03-12-2012_9_3'!O309,"AAAAAGeXk08=")</f>
        <v>#VALUE!</v>
      </c>
      <c r="CC20">
        <f>IF('Planilla_General_03-12-2012_9_3'!310:310,"AAAAAGeXk1A=",0)</f>
        <v>0</v>
      </c>
      <c r="CD20" t="e">
        <f>AND('Planilla_General_03-12-2012_9_3'!A310,"AAAAAGeXk1E=")</f>
        <v>#VALUE!</v>
      </c>
      <c r="CE20" t="e">
        <f>AND('Planilla_General_03-12-2012_9_3'!B310,"AAAAAGeXk1I=")</f>
        <v>#VALUE!</v>
      </c>
      <c r="CF20" t="e">
        <f>AND('Planilla_General_03-12-2012_9_3'!C310,"AAAAAGeXk1M=")</f>
        <v>#VALUE!</v>
      </c>
      <c r="CG20" t="e">
        <f>AND('Planilla_General_03-12-2012_9_3'!D310,"AAAAAGeXk1Q=")</f>
        <v>#VALUE!</v>
      </c>
      <c r="CH20" t="e">
        <f>AND('Planilla_General_03-12-2012_9_3'!E310,"AAAAAGeXk1U=")</f>
        <v>#VALUE!</v>
      </c>
      <c r="CI20" t="e">
        <f>AND('Planilla_General_03-12-2012_9_3'!F310,"AAAAAGeXk1Y=")</f>
        <v>#VALUE!</v>
      </c>
      <c r="CJ20" t="e">
        <f>AND('Planilla_General_03-12-2012_9_3'!G310,"AAAAAGeXk1c=")</f>
        <v>#VALUE!</v>
      </c>
      <c r="CK20" t="e">
        <f>AND('Planilla_General_03-12-2012_9_3'!H310,"AAAAAGeXk1g=")</f>
        <v>#VALUE!</v>
      </c>
      <c r="CL20" t="e">
        <f>AND('Planilla_General_03-12-2012_9_3'!I310,"AAAAAGeXk1k=")</f>
        <v>#VALUE!</v>
      </c>
      <c r="CM20" t="e">
        <f>AND('Planilla_General_03-12-2012_9_3'!J310,"AAAAAGeXk1o=")</f>
        <v>#VALUE!</v>
      </c>
      <c r="CN20" t="e">
        <f>AND('Planilla_General_03-12-2012_9_3'!K310,"AAAAAGeXk1s=")</f>
        <v>#VALUE!</v>
      </c>
      <c r="CO20" t="e">
        <f>AND('Planilla_General_03-12-2012_9_3'!L310,"AAAAAGeXk1w=")</f>
        <v>#VALUE!</v>
      </c>
      <c r="CP20" t="e">
        <f>AND('Planilla_General_03-12-2012_9_3'!M310,"AAAAAGeXk10=")</f>
        <v>#VALUE!</v>
      </c>
      <c r="CQ20" t="e">
        <f>AND('Planilla_General_03-12-2012_9_3'!N310,"AAAAAGeXk14=")</f>
        <v>#VALUE!</v>
      </c>
      <c r="CR20" t="e">
        <f>AND('Planilla_General_03-12-2012_9_3'!O310,"AAAAAGeXk18=")</f>
        <v>#VALUE!</v>
      </c>
      <c r="CS20">
        <f>IF('Planilla_General_03-12-2012_9_3'!311:311,"AAAAAGeXk2A=",0)</f>
        <v>0</v>
      </c>
      <c r="CT20" t="e">
        <f>AND('Planilla_General_03-12-2012_9_3'!A311,"AAAAAGeXk2E=")</f>
        <v>#VALUE!</v>
      </c>
      <c r="CU20" t="e">
        <f>AND('Planilla_General_03-12-2012_9_3'!B311,"AAAAAGeXk2I=")</f>
        <v>#VALUE!</v>
      </c>
      <c r="CV20" t="e">
        <f>AND('Planilla_General_03-12-2012_9_3'!C311,"AAAAAGeXk2M=")</f>
        <v>#VALUE!</v>
      </c>
      <c r="CW20" t="e">
        <f>AND('Planilla_General_03-12-2012_9_3'!D311,"AAAAAGeXk2Q=")</f>
        <v>#VALUE!</v>
      </c>
      <c r="CX20" t="e">
        <f>AND('Planilla_General_03-12-2012_9_3'!E311,"AAAAAGeXk2U=")</f>
        <v>#VALUE!</v>
      </c>
      <c r="CY20" t="e">
        <f>AND('Planilla_General_03-12-2012_9_3'!F311,"AAAAAGeXk2Y=")</f>
        <v>#VALUE!</v>
      </c>
      <c r="CZ20" t="e">
        <f>AND('Planilla_General_03-12-2012_9_3'!G311,"AAAAAGeXk2c=")</f>
        <v>#VALUE!</v>
      </c>
      <c r="DA20" t="e">
        <f>AND('Planilla_General_03-12-2012_9_3'!H311,"AAAAAGeXk2g=")</f>
        <v>#VALUE!</v>
      </c>
      <c r="DB20" t="e">
        <f>AND('Planilla_General_03-12-2012_9_3'!I311,"AAAAAGeXk2k=")</f>
        <v>#VALUE!</v>
      </c>
      <c r="DC20" t="e">
        <f>AND('Planilla_General_03-12-2012_9_3'!J311,"AAAAAGeXk2o=")</f>
        <v>#VALUE!</v>
      </c>
      <c r="DD20" t="e">
        <f>AND('Planilla_General_03-12-2012_9_3'!K311,"AAAAAGeXk2s=")</f>
        <v>#VALUE!</v>
      </c>
      <c r="DE20" t="e">
        <f>AND('Planilla_General_03-12-2012_9_3'!L311,"AAAAAGeXk2w=")</f>
        <v>#VALUE!</v>
      </c>
      <c r="DF20" t="e">
        <f>AND('Planilla_General_03-12-2012_9_3'!M311,"AAAAAGeXk20=")</f>
        <v>#VALUE!</v>
      </c>
      <c r="DG20" t="e">
        <f>AND('Planilla_General_03-12-2012_9_3'!N311,"AAAAAGeXk24=")</f>
        <v>#VALUE!</v>
      </c>
      <c r="DH20" t="e">
        <f>AND('Planilla_General_03-12-2012_9_3'!O311,"AAAAAGeXk28=")</f>
        <v>#VALUE!</v>
      </c>
      <c r="DI20">
        <f>IF('Planilla_General_03-12-2012_9_3'!312:312,"AAAAAGeXk3A=",0)</f>
        <v>0</v>
      </c>
      <c r="DJ20" t="e">
        <f>AND('Planilla_General_03-12-2012_9_3'!A312,"AAAAAGeXk3E=")</f>
        <v>#VALUE!</v>
      </c>
      <c r="DK20" t="e">
        <f>AND('Planilla_General_03-12-2012_9_3'!B312,"AAAAAGeXk3I=")</f>
        <v>#VALUE!</v>
      </c>
      <c r="DL20" t="e">
        <f>AND('Planilla_General_03-12-2012_9_3'!C312,"AAAAAGeXk3M=")</f>
        <v>#VALUE!</v>
      </c>
      <c r="DM20" t="e">
        <f>AND('Planilla_General_03-12-2012_9_3'!D312,"AAAAAGeXk3Q=")</f>
        <v>#VALUE!</v>
      </c>
      <c r="DN20" t="e">
        <f>AND('Planilla_General_03-12-2012_9_3'!E312,"AAAAAGeXk3U=")</f>
        <v>#VALUE!</v>
      </c>
      <c r="DO20" t="e">
        <f>AND('Planilla_General_03-12-2012_9_3'!F312,"AAAAAGeXk3Y=")</f>
        <v>#VALUE!</v>
      </c>
      <c r="DP20" t="e">
        <f>AND('Planilla_General_03-12-2012_9_3'!G312,"AAAAAGeXk3c=")</f>
        <v>#VALUE!</v>
      </c>
      <c r="DQ20" t="e">
        <f>AND('Planilla_General_03-12-2012_9_3'!H312,"AAAAAGeXk3g=")</f>
        <v>#VALUE!</v>
      </c>
      <c r="DR20" t="e">
        <f>AND('Planilla_General_03-12-2012_9_3'!I312,"AAAAAGeXk3k=")</f>
        <v>#VALUE!</v>
      </c>
      <c r="DS20" t="e">
        <f>AND('Planilla_General_03-12-2012_9_3'!J312,"AAAAAGeXk3o=")</f>
        <v>#VALUE!</v>
      </c>
      <c r="DT20" t="e">
        <f>AND('Planilla_General_03-12-2012_9_3'!K312,"AAAAAGeXk3s=")</f>
        <v>#VALUE!</v>
      </c>
      <c r="DU20" t="e">
        <f>AND('Planilla_General_03-12-2012_9_3'!L312,"AAAAAGeXk3w=")</f>
        <v>#VALUE!</v>
      </c>
      <c r="DV20" t="e">
        <f>AND('Planilla_General_03-12-2012_9_3'!M312,"AAAAAGeXk30=")</f>
        <v>#VALUE!</v>
      </c>
      <c r="DW20" t="e">
        <f>AND('Planilla_General_03-12-2012_9_3'!N312,"AAAAAGeXk34=")</f>
        <v>#VALUE!</v>
      </c>
      <c r="DX20" t="e">
        <f>AND('Planilla_General_03-12-2012_9_3'!O312,"AAAAAGeXk38=")</f>
        <v>#VALUE!</v>
      </c>
      <c r="DY20">
        <f>IF('Planilla_General_03-12-2012_9_3'!313:313,"AAAAAGeXk4A=",0)</f>
        <v>0</v>
      </c>
      <c r="DZ20" t="e">
        <f>AND('Planilla_General_03-12-2012_9_3'!A313,"AAAAAGeXk4E=")</f>
        <v>#VALUE!</v>
      </c>
      <c r="EA20" t="e">
        <f>AND('Planilla_General_03-12-2012_9_3'!B313,"AAAAAGeXk4I=")</f>
        <v>#VALUE!</v>
      </c>
      <c r="EB20" t="e">
        <f>AND('Planilla_General_03-12-2012_9_3'!C313,"AAAAAGeXk4M=")</f>
        <v>#VALUE!</v>
      </c>
      <c r="EC20" t="e">
        <f>AND('Planilla_General_03-12-2012_9_3'!D313,"AAAAAGeXk4Q=")</f>
        <v>#VALUE!</v>
      </c>
      <c r="ED20" t="e">
        <f>AND('Planilla_General_03-12-2012_9_3'!E313,"AAAAAGeXk4U=")</f>
        <v>#VALUE!</v>
      </c>
      <c r="EE20" t="e">
        <f>AND('Planilla_General_03-12-2012_9_3'!F313,"AAAAAGeXk4Y=")</f>
        <v>#VALUE!</v>
      </c>
      <c r="EF20" t="e">
        <f>AND('Planilla_General_03-12-2012_9_3'!G313,"AAAAAGeXk4c=")</f>
        <v>#VALUE!</v>
      </c>
      <c r="EG20" t="e">
        <f>AND('Planilla_General_03-12-2012_9_3'!H313,"AAAAAGeXk4g=")</f>
        <v>#VALUE!</v>
      </c>
      <c r="EH20" t="e">
        <f>AND('Planilla_General_03-12-2012_9_3'!I313,"AAAAAGeXk4k=")</f>
        <v>#VALUE!</v>
      </c>
      <c r="EI20" t="e">
        <f>AND('Planilla_General_03-12-2012_9_3'!J313,"AAAAAGeXk4o=")</f>
        <v>#VALUE!</v>
      </c>
      <c r="EJ20" t="e">
        <f>AND('Planilla_General_03-12-2012_9_3'!K313,"AAAAAGeXk4s=")</f>
        <v>#VALUE!</v>
      </c>
      <c r="EK20" t="e">
        <f>AND('Planilla_General_03-12-2012_9_3'!L313,"AAAAAGeXk4w=")</f>
        <v>#VALUE!</v>
      </c>
      <c r="EL20" t="e">
        <f>AND('Planilla_General_03-12-2012_9_3'!M313,"AAAAAGeXk40=")</f>
        <v>#VALUE!</v>
      </c>
      <c r="EM20" t="e">
        <f>AND('Planilla_General_03-12-2012_9_3'!N313,"AAAAAGeXk44=")</f>
        <v>#VALUE!</v>
      </c>
      <c r="EN20" t="e">
        <f>AND('Planilla_General_03-12-2012_9_3'!O313,"AAAAAGeXk48=")</f>
        <v>#VALUE!</v>
      </c>
      <c r="EO20">
        <f>IF('Planilla_General_03-12-2012_9_3'!314:314,"AAAAAGeXk5A=",0)</f>
        <v>0</v>
      </c>
      <c r="EP20" t="e">
        <f>AND('Planilla_General_03-12-2012_9_3'!A314,"AAAAAGeXk5E=")</f>
        <v>#VALUE!</v>
      </c>
      <c r="EQ20" t="e">
        <f>AND('Planilla_General_03-12-2012_9_3'!B314,"AAAAAGeXk5I=")</f>
        <v>#VALUE!</v>
      </c>
      <c r="ER20" t="e">
        <f>AND('Planilla_General_03-12-2012_9_3'!C314,"AAAAAGeXk5M=")</f>
        <v>#VALUE!</v>
      </c>
      <c r="ES20" t="e">
        <f>AND('Planilla_General_03-12-2012_9_3'!D314,"AAAAAGeXk5Q=")</f>
        <v>#VALUE!</v>
      </c>
      <c r="ET20" t="e">
        <f>AND('Planilla_General_03-12-2012_9_3'!E314,"AAAAAGeXk5U=")</f>
        <v>#VALUE!</v>
      </c>
      <c r="EU20" t="e">
        <f>AND('Planilla_General_03-12-2012_9_3'!F314,"AAAAAGeXk5Y=")</f>
        <v>#VALUE!</v>
      </c>
      <c r="EV20" t="e">
        <f>AND('Planilla_General_03-12-2012_9_3'!G314,"AAAAAGeXk5c=")</f>
        <v>#VALUE!</v>
      </c>
      <c r="EW20" t="e">
        <f>AND('Planilla_General_03-12-2012_9_3'!H314,"AAAAAGeXk5g=")</f>
        <v>#VALUE!</v>
      </c>
      <c r="EX20" t="e">
        <f>AND('Planilla_General_03-12-2012_9_3'!I314,"AAAAAGeXk5k=")</f>
        <v>#VALUE!</v>
      </c>
      <c r="EY20" t="e">
        <f>AND('Planilla_General_03-12-2012_9_3'!J314,"AAAAAGeXk5o=")</f>
        <v>#VALUE!</v>
      </c>
      <c r="EZ20" t="e">
        <f>AND('Planilla_General_03-12-2012_9_3'!K314,"AAAAAGeXk5s=")</f>
        <v>#VALUE!</v>
      </c>
      <c r="FA20" t="e">
        <f>AND('Planilla_General_03-12-2012_9_3'!L314,"AAAAAGeXk5w=")</f>
        <v>#VALUE!</v>
      </c>
      <c r="FB20" t="e">
        <f>AND('Planilla_General_03-12-2012_9_3'!M314,"AAAAAGeXk50=")</f>
        <v>#VALUE!</v>
      </c>
      <c r="FC20" t="e">
        <f>AND('Planilla_General_03-12-2012_9_3'!N314,"AAAAAGeXk54=")</f>
        <v>#VALUE!</v>
      </c>
      <c r="FD20" t="e">
        <f>AND('Planilla_General_03-12-2012_9_3'!O314,"AAAAAGeXk58=")</f>
        <v>#VALUE!</v>
      </c>
      <c r="FE20">
        <f>IF('Planilla_General_03-12-2012_9_3'!315:315,"AAAAAGeXk6A=",0)</f>
        <v>0</v>
      </c>
      <c r="FF20" t="e">
        <f>AND('Planilla_General_03-12-2012_9_3'!A315,"AAAAAGeXk6E=")</f>
        <v>#VALUE!</v>
      </c>
      <c r="FG20" t="e">
        <f>AND('Planilla_General_03-12-2012_9_3'!B315,"AAAAAGeXk6I=")</f>
        <v>#VALUE!</v>
      </c>
      <c r="FH20" t="e">
        <f>AND('Planilla_General_03-12-2012_9_3'!C315,"AAAAAGeXk6M=")</f>
        <v>#VALUE!</v>
      </c>
      <c r="FI20" t="e">
        <f>AND('Planilla_General_03-12-2012_9_3'!D315,"AAAAAGeXk6Q=")</f>
        <v>#VALUE!</v>
      </c>
      <c r="FJ20" t="e">
        <f>AND('Planilla_General_03-12-2012_9_3'!E315,"AAAAAGeXk6U=")</f>
        <v>#VALUE!</v>
      </c>
      <c r="FK20" t="e">
        <f>AND('Planilla_General_03-12-2012_9_3'!F315,"AAAAAGeXk6Y=")</f>
        <v>#VALUE!</v>
      </c>
      <c r="FL20" t="e">
        <f>AND('Planilla_General_03-12-2012_9_3'!G315,"AAAAAGeXk6c=")</f>
        <v>#VALUE!</v>
      </c>
      <c r="FM20" t="e">
        <f>AND('Planilla_General_03-12-2012_9_3'!H315,"AAAAAGeXk6g=")</f>
        <v>#VALUE!</v>
      </c>
      <c r="FN20" t="e">
        <f>AND('Planilla_General_03-12-2012_9_3'!I315,"AAAAAGeXk6k=")</f>
        <v>#VALUE!</v>
      </c>
      <c r="FO20" t="e">
        <f>AND('Planilla_General_03-12-2012_9_3'!J315,"AAAAAGeXk6o=")</f>
        <v>#VALUE!</v>
      </c>
      <c r="FP20" t="e">
        <f>AND('Planilla_General_03-12-2012_9_3'!K315,"AAAAAGeXk6s=")</f>
        <v>#VALUE!</v>
      </c>
      <c r="FQ20" t="e">
        <f>AND('Planilla_General_03-12-2012_9_3'!L315,"AAAAAGeXk6w=")</f>
        <v>#VALUE!</v>
      </c>
      <c r="FR20" t="e">
        <f>AND('Planilla_General_03-12-2012_9_3'!M315,"AAAAAGeXk60=")</f>
        <v>#VALUE!</v>
      </c>
      <c r="FS20" t="e">
        <f>AND('Planilla_General_03-12-2012_9_3'!N315,"AAAAAGeXk64=")</f>
        <v>#VALUE!</v>
      </c>
      <c r="FT20" t="e">
        <f>AND('Planilla_General_03-12-2012_9_3'!O315,"AAAAAGeXk68=")</f>
        <v>#VALUE!</v>
      </c>
      <c r="FU20">
        <f>IF('Planilla_General_03-12-2012_9_3'!316:316,"AAAAAGeXk7A=",0)</f>
        <v>0</v>
      </c>
      <c r="FV20" t="e">
        <f>AND('Planilla_General_03-12-2012_9_3'!A316,"AAAAAGeXk7E=")</f>
        <v>#VALUE!</v>
      </c>
      <c r="FW20" t="e">
        <f>AND('Planilla_General_03-12-2012_9_3'!B316,"AAAAAGeXk7I=")</f>
        <v>#VALUE!</v>
      </c>
      <c r="FX20" t="e">
        <f>AND('Planilla_General_03-12-2012_9_3'!C316,"AAAAAGeXk7M=")</f>
        <v>#VALUE!</v>
      </c>
      <c r="FY20" t="e">
        <f>AND('Planilla_General_03-12-2012_9_3'!D316,"AAAAAGeXk7Q=")</f>
        <v>#VALUE!</v>
      </c>
      <c r="FZ20" t="e">
        <f>AND('Planilla_General_03-12-2012_9_3'!E316,"AAAAAGeXk7U=")</f>
        <v>#VALUE!</v>
      </c>
      <c r="GA20" t="e">
        <f>AND('Planilla_General_03-12-2012_9_3'!F316,"AAAAAGeXk7Y=")</f>
        <v>#VALUE!</v>
      </c>
      <c r="GB20" t="e">
        <f>AND('Planilla_General_03-12-2012_9_3'!G316,"AAAAAGeXk7c=")</f>
        <v>#VALUE!</v>
      </c>
      <c r="GC20" t="e">
        <f>AND('Planilla_General_03-12-2012_9_3'!H316,"AAAAAGeXk7g=")</f>
        <v>#VALUE!</v>
      </c>
      <c r="GD20" t="e">
        <f>AND('Planilla_General_03-12-2012_9_3'!I316,"AAAAAGeXk7k=")</f>
        <v>#VALUE!</v>
      </c>
      <c r="GE20" t="e">
        <f>AND('Planilla_General_03-12-2012_9_3'!J316,"AAAAAGeXk7o=")</f>
        <v>#VALUE!</v>
      </c>
      <c r="GF20" t="e">
        <f>AND('Planilla_General_03-12-2012_9_3'!K316,"AAAAAGeXk7s=")</f>
        <v>#VALUE!</v>
      </c>
      <c r="GG20" t="e">
        <f>AND('Planilla_General_03-12-2012_9_3'!L316,"AAAAAGeXk7w=")</f>
        <v>#VALUE!</v>
      </c>
      <c r="GH20" t="e">
        <f>AND('Planilla_General_03-12-2012_9_3'!M316,"AAAAAGeXk70=")</f>
        <v>#VALUE!</v>
      </c>
      <c r="GI20" t="e">
        <f>AND('Planilla_General_03-12-2012_9_3'!N316,"AAAAAGeXk74=")</f>
        <v>#VALUE!</v>
      </c>
      <c r="GJ20" t="e">
        <f>AND('Planilla_General_03-12-2012_9_3'!O316,"AAAAAGeXk78=")</f>
        <v>#VALUE!</v>
      </c>
      <c r="GK20">
        <f>IF('Planilla_General_03-12-2012_9_3'!317:317,"AAAAAGeXk8A=",0)</f>
        <v>0</v>
      </c>
      <c r="GL20" t="e">
        <f>AND('Planilla_General_03-12-2012_9_3'!A317,"AAAAAGeXk8E=")</f>
        <v>#VALUE!</v>
      </c>
      <c r="GM20" t="e">
        <f>AND('Planilla_General_03-12-2012_9_3'!B317,"AAAAAGeXk8I=")</f>
        <v>#VALUE!</v>
      </c>
      <c r="GN20" t="e">
        <f>AND('Planilla_General_03-12-2012_9_3'!C317,"AAAAAGeXk8M=")</f>
        <v>#VALUE!</v>
      </c>
      <c r="GO20" t="e">
        <f>AND('Planilla_General_03-12-2012_9_3'!D317,"AAAAAGeXk8Q=")</f>
        <v>#VALUE!</v>
      </c>
      <c r="GP20" t="e">
        <f>AND('Planilla_General_03-12-2012_9_3'!E317,"AAAAAGeXk8U=")</f>
        <v>#VALUE!</v>
      </c>
      <c r="GQ20" t="e">
        <f>AND('Planilla_General_03-12-2012_9_3'!F317,"AAAAAGeXk8Y=")</f>
        <v>#VALUE!</v>
      </c>
      <c r="GR20" t="e">
        <f>AND('Planilla_General_03-12-2012_9_3'!G317,"AAAAAGeXk8c=")</f>
        <v>#VALUE!</v>
      </c>
      <c r="GS20" t="e">
        <f>AND('Planilla_General_03-12-2012_9_3'!H317,"AAAAAGeXk8g=")</f>
        <v>#VALUE!</v>
      </c>
      <c r="GT20" t="e">
        <f>AND('Planilla_General_03-12-2012_9_3'!I317,"AAAAAGeXk8k=")</f>
        <v>#VALUE!</v>
      </c>
      <c r="GU20" t="e">
        <f>AND('Planilla_General_03-12-2012_9_3'!J317,"AAAAAGeXk8o=")</f>
        <v>#VALUE!</v>
      </c>
      <c r="GV20" t="e">
        <f>AND('Planilla_General_03-12-2012_9_3'!K317,"AAAAAGeXk8s=")</f>
        <v>#VALUE!</v>
      </c>
      <c r="GW20" t="e">
        <f>AND('Planilla_General_03-12-2012_9_3'!L317,"AAAAAGeXk8w=")</f>
        <v>#VALUE!</v>
      </c>
      <c r="GX20" t="e">
        <f>AND('Planilla_General_03-12-2012_9_3'!M317,"AAAAAGeXk80=")</f>
        <v>#VALUE!</v>
      </c>
      <c r="GY20" t="e">
        <f>AND('Planilla_General_03-12-2012_9_3'!N317,"AAAAAGeXk84=")</f>
        <v>#VALUE!</v>
      </c>
      <c r="GZ20" t="e">
        <f>AND('Planilla_General_03-12-2012_9_3'!O317,"AAAAAGeXk88=")</f>
        <v>#VALUE!</v>
      </c>
      <c r="HA20">
        <f>IF('Planilla_General_03-12-2012_9_3'!318:318,"AAAAAGeXk9A=",0)</f>
        <v>0</v>
      </c>
      <c r="HB20" t="e">
        <f>AND('Planilla_General_03-12-2012_9_3'!A318,"AAAAAGeXk9E=")</f>
        <v>#VALUE!</v>
      </c>
      <c r="HC20" t="e">
        <f>AND('Planilla_General_03-12-2012_9_3'!B318,"AAAAAGeXk9I=")</f>
        <v>#VALUE!</v>
      </c>
      <c r="HD20" t="e">
        <f>AND('Planilla_General_03-12-2012_9_3'!C318,"AAAAAGeXk9M=")</f>
        <v>#VALUE!</v>
      </c>
      <c r="HE20" t="e">
        <f>AND('Planilla_General_03-12-2012_9_3'!D318,"AAAAAGeXk9Q=")</f>
        <v>#VALUE!</v>
      </c>
      <c r="HF20" t="e">
        <f>AND('Planilla_General_03-12-2012_9_3'!E318,"AAAAAGeXk9U=")</f>
        <v>#VALUE!</v>
      </c>
      <c r="HG20" t="e">
        <f>AND('Planilla_General_03-12-2012_9_3'!F318,"AAAAAGeXk9Y=")</f>
        <v>#VALUE!</v>
      </c>
      <c r="HH20" t="e">
        <f>AND('Planilla_General_03-12-2012_9_3'!G318,"AAAAAGeXk9c=")</f>
        <v>#VALUE!</v>
      </c>
      <c r="HI20" t="e">
        <f>AND('Planilla_General_03-12-2012_9_3'!H318,"AAAAAGeXk9g=")</f>
        <v>#VALUE!</v>
      </c>
      <c r="HJ20" t="e">
        <f>AND('Planilla_General_03-12-2012_9_3'!I318,"AAAAAGeXk9k=")</f>
        <v>#VALUE!</v>
      </c>
      <c r="HK20" t="e">
        <f>AND('Planilla_General_03-12-2012_9_3'!J318,"AAAAAGeXk9o=")</f>
        <v>#VALUE!</v>
      </c>
      <c r="HL20" t="e">
        <f>AND('Planilla_General_03-12-2012_9_3'!K318,"AAAAAGeXk9s=")</f>
        <v>#VALUE!</v>
      </c>
      <c r="HM20" t="e">
        <f>AND('Planilla_General_03-12-2012_9_3'!L318,"AAAAAGeXk9w=")</f>
        <v>#VALUE!</v>
      </c>
      <c r="HN20" t="e">
        <f>AND('Planilla_General_03-12-2012_9_3'!M318,"AAAAAGeXk90=")</f>
        <v>#VALUE!</v>
      </c>
      <c r="HO20" t="e">
        <f>AND('Planilla_General_03-12-2012_9_3'!N318,"AAAAAGeXk94=")</f>
        <v>#VALUE!</v>
      </c>
      <c r="HP20" t="e">
        <f>AND('Planilla_General_03-12-2012_9_3'!O318,"AAAAAGeXk98=")</f>
        <v>#VALUE!</v>
      </c>
      <c r="HQ20">
        <f>IF('Planilla_General_03-12-2012_9_3'!319:319,"AAAAAGeXk+A=",0)</f>
        <v>0</v>
      </c>
      <c r="HR20" t="e">
        <f>AND('Planilla_General_03-12-2012_9_3'!A319,"AAAAAGeXk+E=")</f>
        <v>#VALUE!</v>
      </c>
      <c r="HS20" t="e">
        <f>AND('Planilla_General_03-12-2012_9_3'!B319,"AAAAAGeXk+I=")</f>
        <v>#VALUE!</v>
      </c>
      <c r="HT20" t="e">
        <f>AND('Planilla_General_03-12-2012_9_3'!C319,"AAAAAGeXk+M=")</f>
        <v>#VALUE!</v>
      </c>
      <c r="HU20" t="e">
        <f>AND('Planilla_General_03-12-2012_9_3'!D319,"AAAAAGeXk+Q=")</f>
        <v>#VALUE!</v>
      </c>
      <c r="HV20" t="e">
        <f>AND('Planilla_General_03-12-2012_9_3'!E319,"AAAAAGeXk+U=")</f>
        <v>#VALUE!</v>
      </c>
      <c r="HW20" t="e">
        <f>AND('Planilla_General_03-12-2012_9_3'!F319,"AAAAAGeXk+Y=")</f>
        <v>#VALUE!</v>
      </c>
      <c r="HX20" t="e">
        <f>AND('Planilla_General_03-12-2012_9_3'!G319,"AAAAAGeXk+c=")</f>
        <v>#VALUE!</v>
      </c>
      <c r="HY20" t="e">
        <f>AND('Planilla_General_03-12-2012_9_3'!H319,"AAAAAGeXk+g=")</f>
        <v>#VALUE!</v>
      </c>
      <c r="HZ20" t="e">
        <f>AND('Planilla_General_03-12-2012_9_3'!I319,"AAAAAGeXk+k=")</f>
        <v>#VALUE!</v>
      </c>
      <c r="IA20" t="e">
        <f>AND('Planilla_General_03-12-2012_9_3'!J319,"AAAAAGeXk+o=")</f>
        <v>#VALUE!</v>
      </c>
      <c r="IB20" t="e">
        <f>AND('Planilla_General_03-12-2012_9_3'!K319,"AAAAAGeXk+s=")</f>
        <v>#VALUE!</v>
      </c>
      <c r="IC20" t="e">
        <f>AND('Planilla_General_03-12-2012_9_3'!L319,"AAAAAGeXk+w=")</f>
        <v>#VALUE!</v>
      </c>
      <c r="ID20" t="e">
        <f>AND('Planilla_General_03-12-2012_9_3'!M319,"AAAAAGeXk+0=")</f>
        <v>#VALUE!</v>
      </c>
      <c r="IE20" t="e">
        <f>AND('Planilla_General_03-12-2012_9_3'!N319,"AAAAAGeXk+4=")</f>
        <v>#VALUE!</v>
      </c>
      <c r="IF20" t="e">
        <f>AND('Planilla_General_03-12-2012_9_3'!O319,"AAAAAGeXk+8=")</f>
        <v>#VALUE!</v>
      </c>
      <c r="IG20">
        <f>IF('Planilla_General_03-12-2012_9_3'!320:320,"AAAAAGeXk/A=",0)</f>
        <v>0</v>
      </c>
      <c r="IH20" t="e">
        <f>AND('Planilla_General_03-12-2012_9_3'!A320,"AAAAAGeXk/E=")</f>
        <v>#VALUE!</v>
      </c>
      <c r="II20" t="e">
        <f>AND('Planilla_General_03-12-2012_9_3'!B320,"AAAAAGeXk/I=")</f>
        <v>#VALUE!</v>
      </c>
      <c r="IJ20" t="e">
        <f>AND('Planilla_General_03-12-2012_9_3'!C320,"AAAAAGeXk/M=")</f>
        <v>#VALUE!</v>
      </c>
      <c r="IK20" t="e">
        <f>AND('Planilla_General_03-12-2012_9_3'!D320,"AAAAAGeXk/Q=")</f>
        <v>#VALUE!</v>
      </c>
      <c r="IL20" t="e">
        <f>AND('Planilla_General_03-12-2012_9_3'!E320,"AAAAAGeXk/U=")</f>
        <v>#VALUE!</v>
      </c>
      <c r="IM20" t="e">
        <f>AND('Planilla_General_03-12-2012_9_3'!F320,"AAAAAGeXk/Y=")</f>
        <v>#VALUE!</v>
      </c>
      <c r="IN20" t="e">
        <f>AND('Planilla_General_03-12-2012_9_3'!G320,"AAAAAGeXk/c=")</f>
        <v>#VALUE!</v>
      </c>
      <c r="IO20" t="e">
        <f>AND('Planilla_General_03-12-2012_9_3'!H320,"AAAAAGeXk/g=")</f>
        <v>#VALUE!</v>
      </c>
      <c r="IP20" t="e">
        <f>AND('Planilla_General_03-12-2012_9_3'!I320,"AAAAAGeXk/k=")</f>
        <v>#VALUE!</v>
      </c>
      <c r="IQ20" t="e">
        <f>AND('Planilla_General_03-12-2012_9_3'!J320,"AAAAAGeXk/o=")</f>
        <v>#VALUE!</v>
      </c>
      <c r="IR20" t="e">
        <f>AND('Planilla_General_03-12-2012_9_3'!K320,"AAAAAGeXk/s=")</f>
        <v>#VALUE!</v>
      </c>
      <c r="IS20" t="e">
        <f>AND('Planilla_General_03-12-2012_9_3'!L320,"AAAAAGeXk/w=")</f>
        <v>#VALUE!</v>
      </c>
      <c r="IT20" t="e">
        <f>AND('Planilla_General_03-12-2012_9_3'!M320,"AAAAAGeXk/0=")</f>
        <v>#VALUE!</v>
      </c>
      <c r="IU20" t="e">
        <f>AND('Planilla_General_03-12-2012_9_3'!N320,"AAAAAGeXk/4=")</f>
        <v>#VALUE!</v>
      </c>
      <c r="IV20" t="e">
        <f>AND('Planilla_General_03-12-2012_9_3'!O320,"AAAAAGeXk/8=")</f>
        <v>#VALUE!</v>
      </c>
    </row>
    <row r="21" spans="1:256" x14ac:dyDescent="0.25">
      <c r="A21" t="e">
        <f>IF('Planilla_General_03-12-2012_9_3'!321:321,"AAAAAH9/ZwA=",0)</f>
        <v>#VALUE!</v>
      </c>
      <c r="B21" t="e">
        <f>AND('Planilla_General_03-12-2012_9_3'!A321,"AAAAAH9/ZwE=")</f>
        <v>#VALUE!</v>
      </c>
      <c r="C21" t="e">
        <f>AND('Planilla_General_03-12-2012_9_3'!B321,"AAAAAH9/ZwI=")</f>
        <v>#VALUE!</v>
      </c>
      <c r="D21" t="e">
        <f>AND('Planilla_General_03-12-2012_9_3'!C321,"AAAAAH9/ZwM=")</f>
        <v>#VALUE!</v>
      </c>
      <c r="E21" t="e">
        <f>AND('Planilla_General_03-12-2012_9_3'!D321,"AAAAAH9/ZwQ=")</f>
        <v>#VALUE!</v>
      </c>
      <c r="F21" t="e">
        <f>AND('Planilla_General_03-12-2012_9_3'!E321,"AAAAAH9/ZwU=")</f>
        <v>#VALUE!</v>
      </c>
      <c r="G21" t="e">
        <f>AND('Planilla_General_03-12-2012_9_3'!F321,"AAAAAH9/ZwY=")</f>
        <v>#VALUE!</v>
      </c>
      <c r="H21" t="e">
        <f>AND('Planilla_General_03-12-2012_9_3'!G321,"AAAAAH9/Zwc=")</f>
        <v>#VALUE!</v>
      </c>
      <c r="I21" t="e">
        <f>AND('Planilla_General_03-12-2012_9_3'!H321,"AAAAAH9/Zwg=")</f>
        <v>#VALUE!</v>
      </c>
      <c r="J21" t="e">
        <f>AND('Planilla_General_03-12-2012_9_3'!I321,"AAAAAH9/Zwk=")</f>
        <v>#VALUE!</v>
      </c>
      <c r="K21" t="e">
        <f>AND('Planilla_General_03-12-2012_9_3'!J321,"AAAAAH9/Zwo=")</f>
        <v>#VALUE!</v>
      </c>
      <c r="L21" t="e">
        <f>AND('Planilla_General_03-12-2012_9_3'!K321,"AAAAAH9/Zws=")</f>
        <v>#VALUE!</v>
      </c>
      <c r="M21" t="e">
        <f>AND('Planilla_General_03-12-2012_9_3'!L321,"AAAAAH9/Zww=")</f>
        <v>#VALUE!</v>
      </c>
      <c r="N21" t="e">
        <f>AND('Planilla_General_03-12-2012_9_3'!M321,"AAAAAH9/Zw0=")</f>
        <v>#VALUE!</v>
      </c>
      <c r="O21" t="e">
        <f>AND('Planilla_General_03-12-2012_9_3'!N321,"AAAAAH9/Zw4=")</f>
        <v>#VALUE!</v>
      </c>
      <c r="P21" t="e">
        <f>AND('Planilla_General_03-12-2012_9_3'!O321,"AAAAAH9/Zw8=")</f>
        <v>#VALUE!</v>
      </c>
      <c r="Q21">
        <f>IF('Planilla_General_03-12-2012_9_3'!322:322,"AAAAAH9/ZxA=",0)</f>
        <v>0</v>
      </c>
      <c r="R21" t="e">
        <f>AND('Planilla_General_03-12-2012_9_3'!A322,"AAAAAH9/ZxE=")</f>
        <v>#VALUE!</v>
      </c>
      <c r="S21" t="e">
        <f>AND('Planilla_General_03-12-2012_9_3'!B322,"AAAAAH9/ZxI=")</f>
        <v>#VALUE!</v>
      </c>
      <c r="T21" t="e">
        <f>AND('Planilla_General_03-12-2012_9_3'!C322,"AAAAAH9/ZxM=")</f>
        <v>#VALUE!</v>
      </c>
      <c r="U21" t="e">
        <f>AND('Planilla_General_03-12-2012_9_3'!D322,"AAAAAH9/ZxQ=")</f>
        <v>#VALUE!</v>
      </c>
      <c r="V21" t="e">
        <f>AND('Planilla_General_03-12-2012_9_3'!E322,"AAAAAH9/ZxU=")</f>
        <v>#VALUE!</v>
      </c>
      <c r="W21" t="e">
        <f>AND('Planilla_General_03-12-2012_9_3'!F322,"AAAAAH9/ZxY=")</f>
        <v>#VALUE!</v>
      </c>
      <c r="X21" t="e">
        <f>AND('Planilla_General_03-12-2012_9_3'!G322,"AAAAAH9/Zxc=")</f>
        <v>#VALUE!</v>
      </c>
      <c r="Y21" t="e">
        <f>AND('Planilla_General_03-12-2012_9_3'!H322,"AAAAAH9/Zxg=")</f>
        <v>#VALUE!</v>
      </c>
      <c r="Z21" t="e">
        <f>AND('Planilla_General_03-12-2012_9_3'!I322,"AAAAAH9/Zxk=")</f>
        <v>#VALUE!</v>
      </c>
      <c r="AA21" t="e">
        <f>AND('Planilla_General_03-12-2012_9_3'!J322,"AAAAAH9/Zxo=")</f>
        <v>#VALUE!</v>
      </c>
      <c r="AB21" t="e">
        <f>AND('Planilla_General_03-12-2012_9_3'!K322,"AAAAAH9/Zxs=")</f>
        <v>#VALUE!</v>
      </c>
      <c r="AC21" t="e">
        <f>AND('Planilla_General_03-12-2012_9_3'!L322,"AAAAAH9/Zxw=")</f>
        <v>#VALUE!</v>
      </c>
      <c r="AD21" t="e">
        <f>AND('Planilla_General_03-12-2012_9_3'!M322,"AAAAAH9/Zx0=")</f>
        <v>#VALUE!</v>
      </c>
      <c r="AE21" t="e">
        <f>AND('Planilla_General_03-12-2012_9_3'!N322,"AAAAAH9/Zx4=")</f>
        <v>#VALUE!</v>
      </c>
      <c r="AF21" t="e">
        <f>AND('Planilla_General_03-12-2012_9_3'!O322,"AAAAAH9/Zx8=")</f>
        <v>#VALUE!</v>
      </c>
      <c r="AG21">
        <f>IF('Planilla_General_03-12-2012_9_3'!323:323,"AAAAAH9/ZyA=",0)</f>
        <v>0</v>
      </c>
      <c r="AH21" t="e">
        <f>AND('Planilla_General_03-12-2012_9_3'!A323,"AAAAAH9/ZyE=")</f>
        <v>#VALUE!</v>
      </c>
      <c r="AI21" t="e">
        <f>AND('Planilla_General_03-12-2012_9_3'!B323,"AAAAAH9/ZyI=")</f>
        <v>#VALUE!</v>
      </c>
      <c r="AJ21" t="e">
        <f>AND('Planilla_General_03-12-2012_9_3'!C323,"AAAAAH9/ZyM=")</f>
        <v>#VALUE!</v>
      </c>
      <c r="AK21" t="e">
        <f>AND('Planilla_General_03-12-2012_9_3'!D323,"AAAAAH9/ZyQ=")</f>
        <v>#VALUE!</v>
      </c>
      <c r="AL21" t="e">
        <f>AND('Planilla_General_03-12-2012_9_3'!E323,"AAAAAH9/ZyU=")</f>
        <v>#VALUE!</v>
      </c>
      <c r="AM21" t="e">
        <f>AND('Planilla_General_03-12-2012_9_3'!F323,"AAAAAH9/ZyY=")</f>
        <v>#VALUE!</v>
      </c>
      <c r="AN21" t="e">
        <f>AND('Planilla_General_03-12-2012_9_3'!G323,"AAAAAH9/Zyc=")</f>
        <v>#VALUE!</v>
      </c>
      <c r="AO21" t="e">
        <f>AND('Planilla_General_03-12-2012_9_3'!H323,"AAAAAH9/Zyg=")</f>
        <v>#VALUE!</v>
      </c>
      <c r="AP21" t="e">
        <f>AND('Planilla_General_03-12-2012_9_3'!I323,"AAAAAH9/Zyk=")</f>
        <v>#VALUE!</v>
      </c>
      <c r="AQ21" t="e">
        <f>AND('Planilla_General_03-12-2012_9_3'!J323,"AAAAAH9/Zyo=")</f>
        <v>#VALUE!</v>
      </c>
      <c r="AR21" t="e">
        <f>AND('Planilla_General_03-12-2012_9_3'!K323,"AAAAAH9/Zys=")</f>
        <v>#VALUE!</v>
      </c>
      <c r="AS21" t="e">
        <f>AND('Planilla_General_03-12-2012_9_3'!L323,"AAAAAH9/Zyw=")</f>
        <v>#VALUE!</v>
      </c>
      <c r="AT21" t="e">
        <f>AND('Planilla_General_03-12-2012_9_3'!M323,"AAAAAH9/Zy0=")</f>
        <v>#VALUE!</v>
      </c>
      <c r="AU21" t="e">
        <f>AND('Planilla_General_03-12-2012_9_3'!N323,"AAAAAH9/Zy4=")</f>
        <v>#VALUE!</v>
      </c>
      <c r="AV21" t="e">
        <f>AND('Planilla_General_03-12-2012_9_3'!O323,"AAAAAH9/Zy8=")</f>
        <v>#VALUE!</v>
      </c>
      <c r="AW21">
        <f>IF('Planilla_General_03-12-2012_9_3'!324:324,"AAAAAH9/ZzA=",0)</f>
        <v>0</v>
      </c>
      <c r="AX21" t="e">
        <f>AND('Planilla_General_03-12-2012_9_3'!A324,"AAAAAH9/ZzE=")</f>
        <v>#VALUE!</v>
      </c>
      <c r="AY21" t="e">
        <f>AND('Planilla_General_03-12-2012_9_3'!B324,"AAAAAH9/ZzI=")</f>
        <v>#VALUE!</v>
      </c>
      <c r="AZ21" t="e">
        <f>AND('Planilla_General_03-12-2012_9_3'!C324,"AAAAAH9/ZzM=")</f>
        <v>#VALUE!</v>
      </c>
      <c r="BA21" t="e">
        <f>AND('Planilla_General_03-12-2012_9_3'!D324,"AAAAAH9/ZzQ=")</f>
        <v>#VALUE!</v>
      </c>
      <c r="BB21" t="e">
        <f>AND('Planilla_General_03-12-2012_9_3'!E324,"AAAAAH9/ZzU=")</f>
        <v>#VALUE!</v>
      </c>
      <c r="BC21" t="e">
        <f>AND('Planilla_General_03-12-2012_9_3'!F324,"AAAAAH9/ZzY=")</f>
        <v>#VALUE!</v>
      </c>
      <c r="BD21" t="e">
        <f>AND('Planilla_General_03-12-2012_9_3'!G324,"AAAAAH9/Zzc=")</f>
        <v>#VALUE!</v>
      </c>
      <c r="BE21" t="e">
        <f>AND('Planilla_General_03-12-2012_9_3'!H324,"AAAAAH9/Zzg=")</f>
        <v>#VALUE!</v>
      </c>
      <c r="BF21" t="e">
        <f>AND('Planilla_General_03-12-2012_9_3'!I324,"AAAAAH9/Zzk=")</f>
        <v>#VALUE!</v>
      </c>
      <c r="BG21" t="e">
        <f>AND('Planilla_General_03-12-2012_9_3'!J324,"AAAAAH9/Zzo=")</f>
        <v>#VALUE!</v>
      </c>
      <c r="BH21" t="e">
        <f>AND('Planilla_General_03-12-2012_9_3'!K324,"AAAAAH9/Zzs=")</f>
        <v>#VALUE!</v>
      </c>
      <c r="BI21" t="e">
        <f>AND('Planilla_General_03-12-2012_9_3'!L324,"AAAAAH9/Zzw=")</f>
        <v>#VALUE!</v>
      </c>
      <c r="BJ21" t="e">
        <f>AND('Planilla_General_03-12-2012_9_3'!M324,"AAAAAH9/Zz0=")</f>
        <v>#VALUE!</v>
      </c>
      <c r="BK21" t="e">
        <f>AND('Planilla_General_03-12-2012_9_3'!N324,"AAAAAH9/Zz4=")</f>
        <v>#VALUE!</v>
      </c>
      <c r="BL21" t="e">
        <f>AND('Planilla_General_03-12-2012_9_3'!O324,"AAAAAH9/Zz8=")</f>
        <v>#VALUE!</v>
      </c>
      <c r="BM21">
        <f>IF('Planilla_General_03-12-2012_9_3'!325:325,"AAAAAH9/Z0A=",0)</f>
        <v>0</v>
      </c>
      <c r="BN21" t="e">
        <f>AND('Planilla_General_03-12-2012_9_3'!A325,"AAAAAH9/Z0E=")</f>
        <v>#VALUE!</v>
      </c>
      <c r="BO21" t="e">
        <f>AND('Planilla_General_03-12-2012_9_3'!B325,"AAAAAH9/Z0I=")</f>
        <v>#VALUE!</v>
      </c>
      <c r="BP21" t="e">
        <f>AND('Planilla_General_03-12-2012_9_3'!C325,"AAAAAH9/Z0M=")</f>
        <v>#VALUE!</v>
      </c>
      <c r="BQ21" t="e">
        <f>AND('Planilla_General_03-12-2012_9_3'!D325,"AAAAAH9/Z0Q=")</f>
        <v>#VALUE!</v>
      </c>
      <c r="BR21" t="e">
        <f>AND('Planilla_General_03-12-2012_9_3'!E325,"AAAAAH9/Z0U=")</f>
        <v>#VALUE!</v>
      </c>
      <c r="BS21" t="e">
        <f>AND('Planilla_General_03-12-2012_9_3'!F325,"AAAAAH9/Z0Y=")</f>
        <v>#VALUE!</v>
      </c>
      <c r="BT21" t="e">
        <f>AND('Planilla_General_03-12-2012_9_3'!G325,"AAAAAH9/Z0c=")</f>
        <v>#VALUE!</v>
      </c>
      <c r="BU21" t="e">
        <f>AND('Planilla_General_03-12-2012_9_3'!H325,"AAAAAH9/Z0g=")</f>
        <v>#VALUE!</v>
      </c>
      <c r="BV21" t="e">
        <f>AND('Planilla_General_03-12-2012_9_3'!I325,"AAAAAH9/Z0k=")</f>
        <v>#VALUE!</v>
      </c>
      <c r="BW21" t="e">
        <f>AND('Planilla_General_03-12-2012_9_3'!J325,"AAAAAH9/Z0o=")</f>
        <v>#VALUE!</v>
      </c>
      <c r="BX21" t="e">
        <f>AND('Planilla_General_03-12-2012_9_3'!K325,"AAAAAH9/Z0s=")</f>
        <v>#VALUE!</v>
      </c>
      <c r="BY21" t="e">
        <f>AND('Planilla_General_03-12-2012_9_3'!L325,"AAAAAH9/Z0w=")</f>
        <v>#VALUE!</v>
      </c>
      <c r="BZ21" t="e">
        <f>AND('Planilla_General_03-12-2012_9_3'!M325,"AAAAAH9/Z00=")</f>
        <v>#VALUE!</v>
      </c>
      <c r="CA21" t="e">
        <f>AND('Planilla_General_03-12-2012_9_3'!N325,"AAAAAH9/Z04=")</f>
        <v>#VALUE!</v>
      </c>
      <c r="CB21" t="e">
        <f>AND('Planilla_General_03-12-2012_9_3'!O325,"AAAAAH9/Z08=")</f>
        <v>#VALUE!</v>
      </c>
      <c r="CC21">
        <f>IF('Planilla_General_03-12-2012_9_3'!326:326,"AAAAAH9/Z1A=",0)</f>
        <v>0</v>
      </c>
      <c r="CD21" t="e">
        <f>AND('Planilla_General_03-12-2012_9_3'!A326,"AAAAAH9/Z1E=")</f>
        <v>#VALUE!</v>
      </c>
      <c r="CE21" t="e">
        <f>AND('Planilla_General_03-12-2012_9_3'!B326,"AAAAAH9/Z1I=")</f>
        <v>#VALUE!</v>
      </c>
      <c r="CF21" t="e">
        <f>AND('Planilla_General_03-12-2012_9_3'!C326,"AAAAAH9/Z1M=")</f>
        <v>#VALUE!</v>
      </c>
      <c r="CG21" t="e">
        <f>AND('Planilla_General_03-12-2012_9_3'!D326,"AAAAAH9/Z1Q=")</f>
        <v>#VALUE!</v>
      </c>
      <c r="CH21" t="e">
        <f>AND('Planilla_General_03-12-2012_9_3'!E326,"AAAAAH9/Z1U=")</f>
        <v>#VALUE!</v>
      </c>
      <c r="CI21" t="e">
        <f>AND('Planilla_General_03-12-2012_9_3'!F326,"AAAAAH9/Z1Y=")</f>
        <v>#VALUE!</v>
      </c>
      <c r="CJ21" t="e">
        <f>AND('Planilla_General_03-12-2012_9_3'!G326,"AAAAAH9/Z1c=")</f>
        <v>#VALUE!</v>
      </c>
      <c r="CK21" t="e">
        <f>AND('Planilla_General_03-12-2012_9_3'!H326,"AAAAAH9/Z1g=")</f>
        <v>#VALUE!</v>
      </c>
      <c r="CL21" t="e">
        <f>AND('Planilla_General_03-12-2012_9_3'!I326,"AAAAAH9/Z1k=")</f>
        <v>#VALUE!</v>
      </c>
      <c r="CM21" t="e">
        <f>AND('Planilla_General_03-12-2012_9_3'!J326,"AAAAAH9/Z1o=")</f>
        <v>#VALUE!</v>
      </c>
      <c r="CN21" t="e">
        <f>AND('Planilla_General_03-12-2012_9_3'!K326,"AAAAAH9/Z1s=")</f>
        <v>#VALUE!</v>
      </c>
      <c r="CO21" t="e">
        <f>AND('Planilla_General_03-12-2012_9_3'!L326,"AAAAAH9/Z1w=")</f>
        <v>#VALUE!</v>
      </c>
      <c r="CP21" t="e">
        <f>AND('Planilla_General_03-12-2012_9_3'!M326,"AAAAAH9/Z10=")</f>
        <v>#VALUE!</v>
      </c>
      <c r="CQ21" t="e">
        <f>AND('Planilla_General_03-12-2012_9_3'!N326,"AAAAAH9/Z14=")</f>
        <v>#VALUE!</v>
      </c>
      <c r="CR21" t="e">
        <f>AND('Planilla_General_03-12-2012_9_3'!O326,"AAAAAH9/Z18=")</f>
        <v>#VALUE!</v>
      </c>
      <c r="CS21">
        <f>IF('Planilla_General_03-12-2012_9_3'!327:327,"AAAAAH9/Z2A=",0)</f>
        <v>0</v>
      </c>
      <c r="CT21" t="e">
        <f>AND('Planilla_General_03-12-2012_9_3'!A327,"AAAAAH9/Z2E=")</f>
        <v>#VALUE!</v>
      </c>
      <c r="CU21" t="e">
        <f>AND('Planilla_General_03-12-2012_9_3'!B327,"AAAAAH9/Z2I=")</f>
        <v>#VALUE!</v>
      </c>
      <c r="CV21" t="e">
        <f>AND('Planilla_General_03-12-2012_9_3'!C327,"AAAAAH9/Z2M=")</f>
        <v>#VALUE!</v>
      </c>
      <c r="CW21" t="e">
        <f>AND('Planilla_General_03-12-2012_9_3'!D327,"AAAAAH9/Z2Q=")</f>
        <v>#VALUE!</v>
      </c>
      <c r="CX21" t="e">
        <f>AND('Planilla_General_03-12-2012_9_3'!E327,"AAAAAH9/Z2U=")</f>
        <v>#VALUE!</v>
      </c>
      <c r="CY21" t="e">
        <f>AND('Planilla_General_03-12-2012_9_3'!F327,"AAAAAH9/Z2Y=")</f>
        <v>#VALUE!</v>
      </c>
      <c r="CZ21" t="e">
        <f>AND('Planilla_General_03-12-2012_9_3'!G327,"AAAAAH9/Z2c=")</f>
        <v>#VALUE!</v>
      </c>
      <c r="DA21" t="e">
        <f>AND('Planilla_General_03-12-2012_9_3'!H327,"AAAAAH9/Z2g=")</f>
        <v>#VALUE!</v>
      </c>
      <c r="DB21" t="e">
        <f>AND('Planilla_General_03-12-2012_9_3'!I327,"AAAAAH9/Z2k=")</f>
        <v>#VALUE!</v>
      </c>
      <c r="DC21" t="e">
        <f>AND('Planilla_General_03-12-2012_9_3'!J327,"AAAAAH9/Z2o=")</f>
        <v>#VALUE!</v>
      </c>
      <c r="DD21" t="e">
        <f>AND('Planilla_General_03-12-2012_9_3'!K327,"AAAAAH9/Z2s=")</f>
        <v>#VALUE!</v>
      </c>
      <c r="DE21" t="e">
        <f>AND('Planilla_General_03-12-2012_9_3'!L327,"AAAAAH9/Z2w=")</f>
        <v>#VALUE!</v>
      </c>
      <c r="DF21" t="e">
        <f>AND('Planilla_General_03-12-2012_9_3'!M327,"AAAAAH9/Z20=")</f>
        <v>#VALUE!</v>
      </c>
      <c r="DG21" t="e">
        <f>AND('Planilla_General_03-12-2012_9_3'!N327,"AAAAAH9/Z24=")</f>
        <v>#VALUE!</v>
      </c>
      <c r="DH21" t="e">
        <f>AND('Planilla_General_03-12-2012_9_3'!O327,"AAAAAH9/Z28=")</f>
        <v>#VALUE!</v>
      </c>
      <c r="DI21">
        <f>IF('Planilla_General_03-12-2012_9_3'!328:328,"AAAAAH9/Z3A=",0)</f>
        <v>0</v>
      </c>
      <c r="DJ21" t="e">
        <f>AND('Planilla_General_03-12-2012_9_3'!A328,"AAAAAH9/Z3E=")</f>
        <v>#VALUE!</v>
      </c>
      <c r="DK21" t="e">
        <f>AND('Planilla_General_03-12-2012_9_3'!B328,"AAAAAH9/Z3I=")</f>
        <v>#VALUE!</v>
      </c>
      <c r="DL21" t="e">
        <f>AND('Planilla_General_03-12-2012_9_3'!C328,"AAAAAH9/Z3M=")</f>
        <v>#VALUE!</v>
      </c>
      <c r="DM21" t="e">
        <f>AND('Planilla_General_03-12-2012_9_3'!D328,"AAAAAH9/Z3Q=")</f>
        <v>#VALUE!</v>
      </c>
      <c r="DN21" t="e">
        <f>AND('Planilla_General_03-12-2012_9_3'!E328,"AAAAAH9/Z3U=")</f>
        <v>#VALUE!</v>
      </c>
      <c r="DO21" t="e">
        <f>AND('Planilla_General_03-12-2012_9_3'!F328,"AAAAAH9/Z3Y=")</f>
        <v>#VALUE!</v>
      </c>
      <c r="DP21" t="e">
        <f>AND('Planilla_General_03-12-2012_9_3'!G328,"AAAAAH9/Z3c=")</f>
        <v>#VALUE!</v>
      </c>
      <c r="DQ21" t="e">
        <f>AND('Planilla_General_03-12-2012_9_3'!H328,"AAAAAH9/Z3g=")</f>
        <v>#VALUE!</v>
      </c>
      <c r="DR21" t="e">
        <f>AND('Planilla_General_03-12-2012_9_3'!I328,"AAAAAH9/Z3k=")</f>
        <v>#VALUE!</v>
      </c>
      <c r="DS21" t="e">
        <f>AND('Planilla_General_03-12-2012_9_3'!J328,"AAAAAH9/Z3o=")</f>
        <v>#VALUE!</v>
      </c>
      <c r="DT21" t="e">
        <f>AND('Planilla_General_03-12-2012_9_3'!K328,"AAAAAH9/Z3s=")</f>
        <v>#VALUE!</v>
      </c>
      <c r="DU21" t="e">
        <f>AND('Planilla_General_03-12-2012_9_3'!L328,"AAAAAH9/Z3w=")</f>
        <v>#VALUE!</v>
      </c>
      <c r="DV21" t="e">
        <f>AND('Planilla_General_03-12-2012_9_3'!M328,"AAAAAH9/Z30=")</f>
        <v>#VALUE!</v>
      </c>
      <c r="DW21" t="e">
        <f>AND('Planilla_General_03-12-2012_9_3'!N328,"AAAAAH9/Z34=")</f>
        <v>#VALUE!</v>
      </c>
      <c r="DX21" t="e">
        <f>AND('Planilla_General_03-12-2012_9_3'!O328,"AAAAAH9/Z38=")</f>
        <v>#VALUE!</v>
      </c>
      <c r="DY21">
        <f>IF('Planilla_General_03-12-2012_9_3'!329:329,"AAAAAH9/Z4A=",0)</f>
        <v>0</v>
      </c>
      <c r="DZ21" t="e">
        <f>AND('Planilla_General_03-12-2012_9_3'!A329,"AAAAAH9/Z4E=")</f>
        <v>#VALUE!</v>
      </c>
      <c r="EA21" t="e">
        <f>AND('Planilla_General_03-12-2012_9_3'!B329,"AAAAAH9/Z4I=")</f>
        <v>#VALUE!</v>
      </c>
      <c r="EB21" t="e">
        <f>AND('Planilla_General_03-12-2012_9_3'!C329,"AAAAAH9/Z4M=")</f>
        <v>#VALUE!</v>
      </c>
      <c r="EC21" t="e">
        <f>AND('Planilla_General_03-12-2012_9_3'!D329,"AAAAAH9/Z4Q=")</f>
        <v>#VALUE!</v>
      </c>
      <c r="ED21" t="e">
        <f>AND('Planilla_General_03-12-2012_9_3'!E329,"AAAAAH9/Z4U=")</f>
        <v>#VALUE!</v>
      </c>
      <c r="EE21" t="e">
        <f>AND('Planilla_General_03-12-2012_9_3'!F329,"AAAAAH9/Z4Y=")</f>
        <v>#VALUE!</v>
      </c>
      <c r="EF21" t="e">
        <f>AND('Planilla_General_03-12-2012_9_3'!G329,"AAAAAH9/Z4c=")</f>
        <v>#VALUE!</v>
      </c>
      <c r="EG21" t="e">
        <f>AND('Planilla_General_03-12-2012_9_3'!H329,"AAAAAH9/Z4g=")</f>
        <v>#VALUE!</v>
      </c>
      <c r="EH21" t="e">
        <f>AND('Planilla_General_03-12-2012_9_3'!I329,"AAAAAH9/Z4k=")</f>
        <v>#VALUE!</v>
      </c>
      <c r="EI21" t="e">
        <f>AND('Planilla_General_03-12-2012_9_3'!J329,"AAAAAH9/Z4o=")</f>
        <v>#VALUE!</v>
      </c>
      <c r="EJ21" t="e">
        <f>AND('Planilla_General_03-12-2012_9_3'!K329,"AAAAAH9/Z4s=")</f>
        <v>#VALUE!</v>
      </c>
      <c r="EK21" t="e">
        <f>AND('Planilla_General_03-12-2012_9_3'!L329,"AAAAAH9/Z4w=")</f>
        <v>#VALUE!</v>
      </c>
      <c r="EL21" t="e">
        <f>AND('Planilla_General_03-12-2012_9_3'!M329,"AAAAAH9/Z40=")</f>
        <v>#VALUE!</v>
      </c>
      <c r="EM21" t="e">
        <f>AND('Planilla_General_03-12-2012_9_3'!N329,"AAAAAH9/Z44=")</f>
        <v>#VALUE!</v>
      </c>
      <c r="EN21" t="e">
        <f>AND('Planilla_General_03-12-2012_9_3'!O329,"AAAAAH9/Z48=")</f>
        <v>#VALUE!</v>
      </c>
      <c r="EO21">
        <f>IF('Planilla_General_03-12-2012_9_3'!330:330,"AAAAAH9/Z5A=",0)</f>
        <v>0</v>
      </c>
      <c r="EP21" t="e">
        <f>AND('Planilla_General_03-12-2012_9_3'!A330,"AAAAAH9/Z5E=")</f>
        <v>#VALUE!</v>
      </c>
      <c r="EQ21" t="e">
        <f>AND('Planilla_General_03-12-2012_9_3'!B330,"AAAAAH9/Z5I=")</f>
        <v>#VALUE!</v>
      </c>
      <c r="ER21" t="e">
        <f>AND('Planilla_General_03-12-2012_9_3'!C330,"AAAAAH9/Z5M=")</f>
        <v>#VALUE!</v>
      </c>
      <c r="ES21" t="e">
        <f>AND('Planilla_General_03-12-2012_9_3'!D330,"AAAAAH9/Z5Q=")</f>
        <v>#VALUE!</v>
      </c>
      <c r="ET21" t="e">
        <f>AND('Planilla_General_03-12-2012_9_3'!E330,"AAAAAH9/Z5U=")</f>
        <v>#VALUE!</v>
      </c>
      <c r="EU21" t="e">
        <f>AND('Planilla_General_03-12-2012_9_3'!F330,"AAAAAH9/Z5Y=")</f>
        <v>#VALUE!</v>
      </c>
      <c r="EV21" t="e">
        <f>AND('Planilla_General_03-12-2012_9_3'!G330,"AAAAAH9/Z5c=")</f>
        <v>#VALUE!</v>
      </c>
      <c r="EW21" t="e">
        <f>AND('Planilla_General_03-12-2012_9_3'!H330,"AAAAAH9/Z5g=")</f>
        <v>#VALUE!</v>
      </c>
      <c r="EX21" t="e">
        <f>AND('Planilla_General_03-12-2012_9_3'!I330,"AAAAAH9/Z5k=")</f>
        <v>#VALUE!</v>
      </c>
      <c r="EY21" t="e">
        <f>AND('Planilla_General_03-12-2012_9_3'!J330,"AAAAAH9/Z5o=")</f>
        <v>#VALUE!</v>
      </c>
      <c r="EZ21" t="e">
        <f>AND('Planilla_General_03-12-2012_9_3'!K330,"AAAAAH9/Z5s=")</f>
        <v>#VALUE!</v>
      </c>
      <c r="FA21" t="e">
        <f>AND('Planilla_General_03-12-2012_9_3'!L330,"AAAAAH9/Z5w=")</f>
        <v>#VALUE!</v>
      </c>
      <c r="FB21" t="e">
        <f>AND('Planilla_General_03-12-2012_9_3'!M330,"AAAAAH9/Z50=")</f>
        <v>#VALUE!</v>
      </c>
      <c r="FC21" t="e">
        <f>AND('Planilla_General_03-12-2012_9_3'!N330,"AAAAAH9/Z54=")</f>
        <v>#VALUE!</v>
      </c>
      <c r="FD21" t="e">
        <f>AND('Planilla_General_03-12-2012_9_3'!O330,"AAAAAH9/Z58=")</f>
        <v>#VALUE!</v>
      </c>
      <c r="FE21">
        <f>IF('Planilla_General_03-12-2012_9_3'!331:331,"AAAAAH9/Z6A=",0)</f>
        <v>0</v>
      </c>
      <c r="FF21" t="e">
        <f>AND('Planilla_General_03-12-2012_9_3'!A331,"AAAAAH9/Z6E=")</f>
        <v>#VALUE!</v>
      </c>
      <c r="FG21" t="e">
        <f>AND('Planilla_General_03-12-2012_9_3'!B331,"AAAAAH9/Z6I=")</f>
        <v>#VALUE!</v>
      </c>
      <c r="FH21" t="e">
        <f>AND('Planilla_General_03-12-2012_9_3'!C331,"AAAAAH9/Z6M=")</f>
        <v>#VALUE!</v>
      </c>
      <c r="FI21" t="e">
        <f>AND('Planilla_General_03-12-2012_9_3'!D331,"AAAAAH9/Z6Q=")</f>
        <v>#VALUE!</v>
      </c>
      <c r="FJ21" t="e">
        <f>AND('Planilla_General_03-12-2012_9_3'!E331,"AAAAAH9/Z6U=")</f>
        <v>#VALUE!</v>
      </c>
      <c r="FK21" t="e">
        <f>AND('Planilla_General_03-12-2012_9_3'!F331,"AAAAAH9/Z6Y=")</f>
        <v>#VALUE!</v>
      </c>
      <c r="FL21" t="e">
        <f>AND('Planilla_General_03-12-2012_9_3'!G331,"AAAAAH9/Z6c=")</f>
        <v>#VALUE!</v>
      </c>
      <c r="FM21" t="e">
        <f>AND('Planilla_General_03-12-2012_9_3'!H331,"AAAAAH9/Z6g=")</f>
        <v>#VALUE!</v>
      </c>
      <c r="FN21" t="e">
        <f>AND('Planilla_General_03-12-2012_9_3'!I331,"AAAAAH9/Z6k=")</f>
        <v>#VALUE!</v>
      </c>
      <c r="FO21" t="e">
        <f>AND('Planilla_General_03-12-2012_9_3'!J331,"AAAAAH9/Z6o=")</f>
        <v>#VALUE!</v>
      </c>
      <c r="FP21" t="e">
        <f>AND('Planilla_General_03-12-2012_9_3'!K331,"AAAAAH9/Z6s=")</f>
        <v>#VALUE!</v>
      </c>
      <c r="FQ21" t="e">
        <f>AND('Planilla_General_03-12-2012_9_3'!L331,"AAAAAH9/Z6w=")</f>
        <v>#VALUE!</v>
      </c>
      <c r="FR21" t="e">
        <f>AND('Planilla_General_03-12-2012_9_3'!M331,"AAAAAH9/Z60=")</f>
        <v>#VALUE!</v>
      </c>
      <c r="FS21" t="e">
        <f>AND('Planilla_General_03-12-2012_9_3'!N331,"AAAAAH9/Z64=")</f>
        <v>#VALUE!</v>
      </c>
      <c r="FT21" t="e">
        <f>AND('Planilla_General_03-12-2012_9_3'!O331,"AAAAAH9/Z68=")</f>
        <v>#VALUE!</v>
      </c>
      <c r="FU21">
        <f>IF('Planilla_General_03-12-2012_9_3'!332:332,"AAAAAH9/Z7A=",0)</f>
        <v>0</v>
      </c>
      <c r="FV21" t="e">
        <f>AND('Planilla_General_03-12-2012_9_3'!A332,"AAAAAH9/Z7E=")</f>
        <v>#VALUE!</v>
      </c>
      <c r="FW21" t="e">
        <f>AND('Planilla_General_03-12-2012_9_3'!B332,"AAAAAH9/Z7I=")</f>
        <v>#VALUE!</v>
      </c>
      <c r="FX21" t="e">
        <f>AND('Planilla_General_03-12-2012_9_3'!C332,"AAAAAH9/Z7M=")</f>
        <v>#VALUE!</v>
      </c>
      <c r="FY21" t="e">
        <f>AND('Planilla_General_03-12-2012_9_3'!D332,"AAAAAH9/Z7Q=")</f>
        <v>#VALUE!</v>
      </c>
      <c r="FZ21" t="e">
        <f>AND('Planilla_General_03-12-2012_9_3'!E332,"AAAAAH9/Z7U=")</f>
        <v>#VALUE!</v>
      </c>
      <c r="GA21" t="e">
        <f>AND('Planilla_General_03-12-2012_9_3'!F332,"AAAAAH9/Z7Y=")</f>
        <v>#VALUE!</v>
      </c>
      <c r="GB21" t="e">
        <f>AND('Planilla_General_03-12-2012_9_3'!G332,"AAAAAH9/Z7c=")</f>
        <v>#VALUE!</v>
      </c>
      <c r="GC21" t="e">
        <f>AND('Planilla_General_03-12-2012_9_3'!H332,"AAAAAH9/Z7g=")</f>
        <v>#VALUE!</v>
      </c>
      <c r="GD21" t="e">
        <f>AND('Planilla_General_03-12-2012_9_3'!I332,"AAAAAH9/Z7k=")</f>
        <v>#VALUE!</v>
      </c>
      <c r="GE21" t="e">
        <f>AND('Planilla_General_03-12-2012_9_3'!J332,"AAAAAH9/Z7o=")</f>
        <v>#VALUE!</v>
      </c>
      <c r="GF21" t="e">
        <f>AND('Planilla_General_03-12-2012_9_3'!K332,"AAAAAH9/Z7s=")</f>
        <v>#VALUE!</v>
      </c>
      <c r="GG21" t="e">
        <f>AND('Planilla_General_03-12-2012_9_3'!L332,"AAAAAH9/Z7w=")</f>
        <v>#VALUE!</v>
      </c>
      <c r="GH21" t="e">
        <f>AND('Planilla_General_03-12-2012_9_3'!M332,"AAAAAH9/Z70=")</f>
        <v>#VALUE!</v>
      </c>
      <c r="GI21" t="e">
        <f>AND('Planilla_General_03-12-2012_9_3'!N332,"AAAAAH9/Z74=")</f>
        <v>#VALUE!</v>
      </c>
      <c r="GJ21" t="e">
        <f>AND('Planilla_General_03-12-2012_9_3'!O332,"AAAAAH9/Z78=")</f>
        <v>#VALUE!</v>
      </c>
      <c r="GK21">
        <f>IF('Planilla_General_03-12-2012_9_3'!333:333,"AAAAAH9/Z8A=",0)</f>
        <v>0</v>
      </c>
      <c r="GL21" t="e">
        <f>AND('Planilla_General_03-12-2012_9_3'!A333,"AAAAAH9/Z8E=")</f>
        <v>#VALUE!</v>
      </c>
      <c r="GM21" t="e">
        <f>AND('Planilla_General_03-12-2012_9_3'!B333,"AAAAAH9/Z8I=")</f>
        <v>#VALUE!</v>
      </c>
      <c r="GN21" t="e">
        <f>AND('Planilla_General_03-12-2012_9_3'!C333,"AAAAAH9/Z8M=")</f>
        <v>#VALUE!</v>
      </c>
      <c r="GO21" t="e">
        <f>AND('Planilla_General_03-12-2012_9_3'!D333,"AAAAAH9/Z8Q=")</f>
        <v>#VALUE!</v>
      </c>
      <c r="GP21" t="e">
        <f>AND('Planilla_General_03-12-2012_9_3'!E333,"AAAAAH9/Z8U=")</f>
        <v>#VALUE!</v>
      </c>
      <c r="GQ21" t="e">
        <f>AND('Planilla_General_03-12-2012_9_3'!F333,"AAAAAH9/Z8Y=")</f>
        <v>#VALUE!</v>
      </c>
      <c r="GR21" t="e">
        <f>AND('Planilla_General_03-12-2012_9_3'!G333,"AAAAAH9/Z8c=")</f>
        <v>#VALUE!</v>
      </c>
      <c r="GS21" t="e">
        <f>AND('Planilla_General_03-12-2012_9_3'!H333,"AAAAAH9/Z8g=")</f>
        <v>#VALUE!</v>
      </c>
      <c r="GT21" t="e">
        <f>AND('Planilla_General_03-12-2012_9_3'!I333,"AAAAAH9/Z8k=")</f>
        <v>#VALUE!</v>
      </c>
      <c r="GU21" t="e">
        <f>AND('Planilla_General_03-12-2012_9_3'!J333,"AAAAAH9/Z8o=")</f>
        <v>#VALUE!</v>
      </c>
      <c r="GV21" t="e">
        <f>AND('Planilla_General_03-12-2012_9_3'!K333,"AAAAAH9/Z8s=")</f>
        <v>#VALUE!</v>
      </c>
      <c r="GW21" t="e">
        <f>AND('Planilla_General_03-12-2012_9_3'!L333,"AAAAAH9/Z8w=")</f>
        <v>#VALUE!</v>
      </c>
      <c r="GX21" t="e">
        <f>AND('Planilla_General_03-12-2012_9_3'!M333,"AAAAAH9/Z80=")</f>
        <v>#VALUE!</v>
      </c>
      <c r="GY21" t="e">
        <f>AND('Planilla_General_03-12-2012_9_3'!N333,"AAAAAH9/Z84=")</f>
        <v>#VALUE!</v>
      </c>
      <c r="GZ21" t="e">
        <f>AND('Planilla_General_03-12-2012_9_3'!O333,"AAAAAH9/Z88=")</f>
        <v>#VALUE!</v>
      </c>
      <c r="HA21">
        <f>IF('Planilla_General_03-12-2012_9_3'!334:334,"AAAAAH9/Z9A=",0)</f>
        <v>0</v>
      </c>
      <c r="HB21" t="e">
        <f>AND('Planilla_General_03-12-2012_9_3'!A334,"AAAAAH9/Z9E=")</f>
        <v>#VALUE!</v>
      </c>
      <c r="HC21" t="e">
        <f>AND('Planilla_General_03-12-2012_9_3'!B334,"AAAAAH9/Z9I=")</f>
        <v>#VALUE!</v>
      </c>
      <c r="HD21" t="e">
        <f>AND('Planilla_General_03-12-2012_9_3'!C334,"AAAAAH9/Z9M=")</f>
        <v>#VALUE!</v>
      </c>
      <c r="HE21" t="e">
        <f>AND('Planilla_General_03-12-2012_9_3'!D334,"AAAAAH9/Z9Q=")</f>
        <v>#VALUE!</v>
      </c>
      <c r="HF21" t="e">
        <f>AND('Planilla_General_03-12-2012_9_3'!E334,"AAAAAH9/Z9U=")</f>
        <v>#VALUE!</v>
      </c>
      <c r="HG21" t="e">
        <f>AND('Planilla_General_03-12-2012_9_3'!F334,"AAAAAH9/Z9Y=")</f>
        <v>#VALUE!</v>
      </c>
      <c r="HH21" t="e">
        <f>AND('Planilla_General_03-12-2012_9_3'!G334,"AAAAAH9/Z9c=")</f>
        <v>#VALUE!</v>
      </c>
      <c r="HI21" t="e">
        <f>AND('Planilla_General_03-12-2012_9_3'!H334,"AAAAAH9/Z9g=")</f>
        <v>#VALUE!</v>
      </c>
      <c r="HJ21" t="e">
        <f>AND('Planilla_General_03-12-2012_9_3'!I334,"AAAAAH9/Z9k=")</f>
        <v>#VALUE!</v>
      </c>
      <c r="HK21" t="e">
        <f>AND('Planilla_General_03-12-2012_9_3'!J334,"AAAAAH9/Z9o=")</f>
        <v>#VALUE!</v>
      </c>
      <c r="HL21" t="e">
        <f>AND('Planilla_General_03-12-2012_9_3'!K334,"AAAAAH9/Z9s=")</f>
        <v>#VALUE!</v>
      </c>
      <c r="HM21" t="e">
        <f>AND('Planilla_General_03-12-2012_9_3'!L334,"AAAAAH9/Z9w=")</f>
        <v>#VALUE!</v>
      </c>
      <c r="HN21" t="e">
        <f>AND('Planilla_General_03-12-2012_9_3'!M334,"AAAAAH9/Z90=")</f>
        <v>#VALUE!</v>
      </c>
      <c r="HO21" t="e">
        <f>AND('Planilla_General_03-12-2012_9_3'!N334,"AAAAAH9/Z94=")</f>
        <v>#VALUE!</v>
      </c>
      <c r="HP21" t="e">
        <f>AND('Planilla_General_03-12-2012_9_3'!O334,"AAAAAH9/Z98=")</f>
        <v>#VALUE!</v>
      </c>
      <c r="HQ21">
        <f>IF('Planilla_General_03-12-2012_9_3'!335:335,"AAAAAH9/Z+A=",0)</f>
        <v>0</v>
      </c>
      <c r="HR21" t="e">
        <f>AND('Planilla_General_03-12-2012_9_3'!A335,"AAAAAH9/Z+E=")</f>
        <v>#VALUE!</v>
      </c>
      <c r="HS21" t="e">
        <f>AND('Planilla_General_03-12-2012_9_3'!B335,"AAAAAH9/Z+I=")</f>
        <v>#VALUE!</v>
      </c>
      <c r="HT21" t="e">
        <f>AND('Planilla_General_03-12-2012_9_3'!C335,"AAAAAH9/Z+M=")</f>
        <v>#VALUE!</v>
      </c>
      <c r="HU21" t="e">
        <f>AND('Planilla_General_03-12-2012_9_3'!D335,"AAAAAH9/Z+Q=")</f>
        <v>#VALUE!</v>
      </c>
      <c r="HV21" t="e">
        <f>AND('Planilla_General_03-12-2012_9_3'!E335,"AAAAAH9/Z+U=")</f>
        <v>#VALUE!</v>
      </c>
      <c r="HW21" t="e">
        <f>AND('Planilla_General_03-12-2012_9_3'!F335,"AAAAAH9/Z+Y=")</f>
        <v>#VALUE!</v>
      </c>
      <c r="HX21" t="e">
        <f>AND('Planilla_General_03-12-2012_9_3'!G335,"AAAAAH9/Z+c=")</f>
        <v>#VALUE!</v>
      </c>
      <c r="HY21" t="e">
        <f>AND('Planilla_General_03-12-2012_9_3'!H335,"AAAAAH9/Z+g=")</f>
        <v>#VALUE!</v>
      </c>
      <c r="HZ21" t="e">
        <f>AND('Planilla_General_03-12-2012_9_3'!I335,"AAAAAH9/Z+k=")</f>
        <v>#VALUE!</v>
      </c>
      <c r="IA21" t="e">
        <f>AND('Planilla_General_03-12-2012_9_3'!J335,"AAAAAH9/Z+o=")</f>
        <v>#VALUE!</v>
      </c>
      <c r="IB21" t="e">
        <f>AND('Planilla_General_03-12-2012_9_3'!K335,"AAAAAH9/Z+s=")</f>
        <v>#VALUE!</v>
      </c>
      <c r="IC21" t="e">
        <f>AND('Planilla_General_03-12-2012_9_3'!L335,"AAAAAH9/Z+w=")</f>
        <v>#VALUE!</v>
      </c>
      <c r="ID21" t="e">
        <f>AND('Planilla_General_03-12-2012_9_3'!M335,"AAAAAH9/Z+0=")</f>
        <v>#VALUE!</v>
      </c>
      <c r="IE21" t="e">
        <f>AND('Planilla_General_03-12-2012_9_3'!N335,"AAAAAH9/Z+4=")</f>
        <v>#VALUE!</v>
      </c>
      <c r="IF21" t="e">
        <f>AND('Planilla_General_03-12-2012_9_3'!O335,"AAAAAH9/Z+8=")</f>
        <v>#VALUE!</v>
      </c>
      <c r="IG21">
        <f>IF('Planilla_General_03-12-2012_9_3'!336:336,"AAAAAH9/Z/A=",0)</f>
        <v>0</v>
      </c>
      <c r="IH21" t="e">
        <f>AND('Planilla_General_03-12-2012_9_3'!A336,"AAAAAH9/Z/E=")</f>
        <v>#VALUE!</v>
      </c>
      <c r="II21" t="e">
        <f>AND('Planilla_General_03-12-2012_9_3'!B336,"AAAAAH9/Z/I=")</f>
        <v>#VALUE!</v>
      </c>
      <c r="IJ21" t="e">
        <f>AND('Planilla_General_03-12-2012_9_3'!C336,"AAAAAH9/Z/M=")</f>
        <v>#VALUE!</v>
      </c>
      <c r="IK21" t="e">
        <f>AND('Planilla_General_03-12-2012_9_3'!D336,"AAAAAH9/Z/Q=")</f>
        <v>#VALUE!</v>
      </c>
      <c r="IL21" t="e">
        <f>AND('Planilla_General_03-12-2012_9_3'!E336,"AAAAAH9/Z/U=")</f>
        <v>#VALUE!</v>
      </c>
      <c r="IM21" t="e">
        <f>AND('Planilla_General_03-12-2012_9_3'!F336,"AAAAAH9/Z/Y=")</f>
        <v>#VALUE!</v>
      </c>
      <c r="IN21" t="e">
        <f>AND('Planilla_General_03-12-2012_9_3'!G336,"AAAAAH9/Z/c=")</f>
        <v>#VALUE!</v>
      </c>
      <c r="IO21" t="e">
        <f>AND('Planilla_General_03-12-2012_9_3'!H336,"AAAAAH9/Z/g=")</f>
        <v>#VALUE!</v>
      </c>
      <c r="IP21" t="e">
        <f>AND('Planilla_General_03-12-2012_9_3'!I336,"AAAAAH9/Z/k=")</f>
        <v>#VALUE!</v>
      </c>
      <c r="IQ21" t="e">
        <f>AND('Planilla_General_03-12-2012_9_3'!J336,"AAAAAH9/Z/o=")</f>
        <v>#VALUE!</v>
      </c>
      <c r="IR21" t="e">
        <f>AND('Planilla_General_03-12-2012_9_3'!K336,"AAAAAH9/Z/s=")</f>
        <v>#VALUE!</v>
      </c>
      <c r="IS21" t="e">
        <f>AND('Planilla_General_03-12-2012_9_3'!L336,"AAAAAH9/Z/w=")</f>
        <v>#VALUE!</v>
      </c>
      <c r="IT21" t="e">
        <f>AND('Planilla_General_03-12-2012_9_3'!M336,"AAAAAH9/Z/0=")</f>
        <v>#VALUE!</v>
      </c>
      <c r="IU21" t="e">
        <f>AND('Planilla_General_03-12-2012_9_3'!N336,"AAAAAH9/Z/4=")</f>
        <v>#VALUE!</v>
      </c>
      <c r="IV21" t="e">
        <f>AND('Planilla_General_03-12-2012_9_3'!O336,"AAAAAH9/Z/8=")</f>
        <v>#VALUE!</v>
      </c>
    </row>
    <row r="22" spans="1:256" x14ac:dyDescent="0.25">
      <c r="A22" t="e">
        <f>IF('Planilla_General_03-12-2012_9_3'!337:337,"AAAAAH/43wA=",0)</f>
        <v>#VALUE!</v>
      </c>
      <c r="B22" t="e">
        <f>AND('Planilla_General_03-12-2012_9_3'!A337,"AAAAAH/43wE=")</f>
        <v>#VALUE!</v>
      </c>
      <c r="C22" t="e">
        <f>AND('Planilla_General_03-12-2012_9_3'!B337,"AAAAAH/43wI=")</f>
        <v>#VALUE!</v>
      </c>
      <c r="D22" t="e">
        <f>AND('Planilla_General_03-12-2012_9_3'!C337,"AAAAAH/43wM=")</f>
        <v>#VALUE!</v>
      </c>
      <c r="E22" t="e">
        <f>AND('Planilla_General_03-12-2012_9_3'!D337,"AAAAAH/43wQ=")</f>
        <v>#VALUE!</v>
      </c>
      <c r="F22" t="e">
        <f>AND('Planilla_General_03-12-2012_9_3'!E337,"AAAAAH/43wU=")</f>
        <v>#VALUE!</v>
      </c>
      <c r="G22" t="e">
        <f>AND('Planilla_General_03-12-2012_9_3'!F337,"AAAAAH/43wY=")</f>
        <v>#VALUE!</v>
      </c>
      <c r="H22" t="e">
        <f>AND('Planilla_General_03-12-2012_9_3'!G337,"AAAAAH/43wc=")</f>
        <v>#VALUE!</v>
      </c>
      <c r="I22" t="e">
        <f>AND('Planilla_General_03-12-2012_9_3'!H337,"AAAAAH/43wg=")</f>
        <v>#VALUE!</v>
      </c>
      <c r="J22" t="e">
        <f>AND('Planilla_General_03-12-2012_9_3'!I337,"AAAAAH/43wk=")</f>
        <v>#VALUE!</v>
      </c>
      <c r="K22" t="e">
        <f>AND('Planilla_General_03-12-2012_9_3'!J337,"AAAAAH/43wo=")</f>
        <v>#VALUE!</v>
      </c>
      <c r="L22" t="e">
        <f>AND('Planilla_General_03-12-2012_9_3'!K337,"AAAAAH/43ws=")</f>
        <v>#VALUE!</v>
      </c>
      <c r="M22" t="e">
        <f>AND('Planilla_General_03-12-2012_9_3'!L337,"AAAAAH/43ww=")</f>
        <v>#VALUE!</v>
      </c>
      <c r="N22" t="e">
        <f>AND('Planilla_General_03-12-2012_9_3'!M337,"AAAAAH/43w0=")</f>
        <v>#VALUE!</v>
      </c>
      <c r="O22" t="e">
        <f>AND('Planilla_General_03-12-2012_9_3'!N337,"AAAAAH/43w4=")</f>
        <v>#VALUE!</v>
      </c>
      <c r="P22" t="e">
        <f>AND('Planilla_General_03-12-2012_9_3'!O337,"AAAAAH/43w8=")</f>
        <v>#VALUE!</v>
      </c>
      <c r="Q22">
        <f>IF('Planilla_General_03-12-2012_9_3'!338:338,"AAAAAH/43xA=",0)</f>
        <v>0</v>
      </c>
      <c r="R22" t="e">
        <f>AND('Planilla_General_03-12-2012_9_3'!A338,"AAAAAH/43xE=")</f>
        <v>#VALUE!</v>
      </c>
      <c r="S22" t="e">
        <f>AND('Planilla_General_03-12-2012_9_3'!B338,"AAAAAH/43xI=")</f>
        <v>#VALUE!</v>
      </c>
      <c r="T22" t="e">
        <f>AND('Planilla_General_03-12-2012_9_3'!C338,"AAAAAH/43xM=")</f>
        <v>#VALUE!</v>
      </c>
      <c r="U22" t="e">
        <f>AND('Planilla_General_03-12-2012_9_3'!D338,"AAAAAH/43xQ=")</f>
        <v>#VALUE!</v>
      </c>
      <c r="V22" t="e">
        <f>AND('Planilla_General_03-12-2012_9_3'!E338,"AAAAAH/43xU=")</f>
        <v>#VALUE!</v>
      </c>
      <c r="W22" t="e">
        <f>AND('Planilla_General_03-12-2012_9_3'!F338,"AAAAAH/43xY=")</f>
        <v>#VALUE!</v>
      </c>
      <c r="X22" t="e">
        <f>AND('Planilla_General_03-12-2012_9_3'!G338,"AAAAAH/43xc=")</f>
        <v>#VALUE!</v>
      </c>
      <c r="Y22" t="e">
        <f>AND('Planilla_General_03-12-2012_9_3'!H338,"AAAAAH/43xg=")</f>
        <v>#VALUE!</v>
      </c>
      <c r="Z22" t="e">
        <f>AND('Planilla_General_03-12-2012_9_3'!I338,"AAAAAH/43xk=")</f>
        <v>#VALUE!</v>
      </c>
      <c r="AA22" t="e">
        <f>AND('Planilla_General_03-12-2012_9_3'!J338,"AAAAAH/43xo=")</f>
        <v>#VALUE!</v>
      </c>
      <c r="AB22" t="e">
        <f>AND('Planilla_General_03-12-2012_9_3'!K338,"AAAAAH/43xs=")</f>
        <v>#VALUE!</v>
      </c>
      <c r="AC22" t="e">
        <f>AND('Planilla_General_03-12-2012_9_3'!L338,"AAAAAH/43xw=")</f>
        <v>#VALUE!</v>
      </c>
      <c r="AD22" t="e">
        <f>AND('Planilla_General_03-12-2012_9_3'!M338,"AAAAAH/43x0=")</f>
        <v>#VALUE!</v>
      </c>
      <c r="AE22" t="e">
        <f>AND('Planilla_General_03-12-2012_9_3'!N338,"AAAAAH/43x4=")</f>
        <v>#VALUE!</v>
      </c>
      <c r="AF22" t="e">
        <f>AND('Planilla_General_03-12-2012_9_3'!O338,"AAAAAH/43x8=")</f>
        <v>#VALUE!</v>
      </c>
      <c r="AG22">
        <f>IF('Planilla_General_03-12-2012_9_3'!339:339,"AAAAAH/43yA=",0)</f>
        <v>0</v>
      </c>
      <c r="AH22" t="e">
        <f>AND('Planilla_General_03-12-2012_9_3'!A339,"AAAAAH/43yE=")</f>
        <v>#VALUE!</v>
      </c>
      <c r="AI22" t="e">
        <f>AND('Planilla_General_03-12-2012_9_3'!B339,"AAAAAH/43yI=")</f>
        <v>#VALUE!</v>
      </c>
      <c r="AJ22" t="e">
        <f>AND('Planilla_General_03-12-2012_9_3'!C339,"AAAAAH/43yM=")</f>
        <v>#VALUE!</v>
      </c>
      <c r="AK22" t="e">
        <f>AND('Planilla_General_03-12-2012_9_3'!D339,"AAAAAH/43yQ=")</f>
        <v>#VALUE!</v>
      </c>
      <c r="AL22" t="e">
        <f>AND('Planilla_General_03-12-2012_9_3'!E339,"AAAAAH/43yU=")</f>
        <v>#VALUE!</v>
      </c>
      <c r="AM22" t="e">
        <f>AND('Planilla_General_03-12-2012_9_3'!F339,"AAAAAH/43yY=")</f>
        <v>#VALUE!</v>
      </c>
      <c r="AN22" t="e">
        <f>AND('Planilla_General_03-12-2012_9_3'!G339,"AAAAAH/43yc=")</f>
        <v>#VALUE!</v>
      </c>
      <c r="AO22" t="e">
        <f>AND('Planilla_General_03-12-2012_9_3'!H339,"AAAAAH/43yg=")</f>
        <v>#VALUE!</v>
      </c>
      <c r="AP22" t="e">
        <f>AND('Planilla_General_03-12-2012_9_3'!I339,"AAAAAH/43yk=")</f>
        <v>#VALUE!</v>
      </c>
      <c r="AQ22" t="e">
        <f>AND('Planilla_General_03-12-2012_9_3'!J339,"AAAAAH/43yo=")</f>
        <v>#VALUE!</v>
      </c>
      <c r="AR22" t="e">
        <f>AND('Planilla_General_03-12-2012_9_3'!K339,"AAAAAH/43ys=")</f>
        <v>#VALUE!</v>
      </c>
      <c r="AS22" t="e">
        <f>AND('Planilla_General_03-12-2012_9_3'!L339,"AAAAAH/43yw=")</f>
        <v>#VALUE!</v>
      </c>
      <c r="AT22" t="e">
        <f>AND('Planilla_General_03-12-2012_9_3'!M339,"AAAAAH/43y0=")</f>
        <v>#VALUE!</v>
      </c>
      <c r="AU22" t="e">
        <f>AND('Planilla_General_03-12-2012_9_3'!N339,"AAAAAH/43y4=")</f>
        <v>#VALUE!</v>
      </c>
      <c r="AV22" t="e">
        <f>AND('Planilla_General_03-12-2012_9_3'!O339,"AAAAAH/43y8=")</f>
        <v>#VALUE!</v>
      </c>
      <c r="AW22">
        <f>IF('Planilla_General_03-12-2012_9_3'!340:340,"AAAAAH/43zA=",0)</f>
        <v>0</v>
      </c>
      <c r="AX22" t="e">
        <f>AND('Planilla_General_03-12-2012_9_3'!A340,"AAAAAH/43zE=")</f>
        <v>#VALUE!</v>
      </c>
      <c r="AY22" t="e">
        <f>AND('Planilla_General_03-12-2012_9_3'!B340,"AAAAAH/43zI=")</f>
        <v>#VALUE!</v>
      </c>
      <c r="AZ22" t="e">
        <f>AND('Planilla_General_03-12-2012_9_3'!C340,"AAAAAH/43zM=")</f>
        <v>#VALUE!</v>
      </c>
      <c r="BA22" t="e">
        <f>AND('Planilla_General_03-12-2012_9_3'!D340,"AAAAAH/43zQ=")</f>
        <v>#VALUE!</v>
      </c>
      <c r="BB22" t="e">
        <f>AND('Planilla_General_03-12-2012_9_3'!E340,"AAAAAH/43zU=")</f>
        <v>#VALUE!</v>
      </c>
      <c r="BC22" t="e">
        <f>AND('Planilla_General_03-12-2012_9_3'!F340,"AAAAAH/43zY=")</f>
        <v>#VALUE!</v>
      </c>
      <c r="BD22" t="e">
        <f>AND('Planilla_General_03-12-2012_9_3'!G340,"AAAAAH/43zc=")</f>
        <v>#VALUE!</v>
      </c>
      <c r="BE22" t="e">
        <f>AND('Planilla_General_03-12-2012_9_3'!H340,"AAAAAH/43zg=")</f>
        <v>#VALUE!</v>
      </c>
      <c r="BF22" t="e">
        <f>AND('Planilla_General_03-12-2012_9_3'!I340,"AAAAAH/43zk=")</f>
        <v>#VALUE!</v>
      </c>
      <c r="BG22" t="e">
        <f>AND('Planilla_General_03-12-2012_9_3'!J340,"AAAAAH/43zo=")</f>
        <v>#VALUE!</v>
      </c>
      <c r="BH22" t="e">
        <f>AND('Planilla_General_03-12-2012_9_3'!K340,"AAAAAH/43zs=")</f>
        <v>#VALUE!</v>
      </c>
      <c r="BI22" t="e">
        <f>AND('Planilla_General_03-12-2012_9_3'!L340,"AAAAAH/43zw=")</f>
        <v>#VALUE!</v>
      </c>
      <c r="BJ22" t="e">
        <f>AND('Planilla_General_03-12-2012_9_3'!M340,"AAAAAH/43z0=")</f>
        <v>#VALUE!</v>
      </c>
      <c r="BK22" t="e">
        <f>AND('Planilla_General_03-12-2012_9_3'!N340,"AAAAAH/43z4=")</f>
        <v>#VALUE!</v>
      </c>
      <c r="BL22" t="e">
        <f>AND('Planilla_General_03-12-2012_9_3'!O340,"AAAAAH/43z8=")</f>
        <v>#VALUE!</v>
      </c>
      <c r="BM22">
        <f>IF('Planilla_General_03-12-2012_9_3'!341:341,"AAAAAH/430A=",0)</f>
        <v>0</v>
      </c>
      <c r="BN22" t="e">
        <f>AND('Planilla_General_03-12-2012_9_3'!A341,"AAAAAH/430E=")</f>
        <v>#VALUE!</v>
      </c>
      <c r="BO22" t="e">
        <f>AND('Planilla_General_03-12-2012_9_3'!B341,"AAAAAH/430I=")</f>
        <v>#VALUE!</v>
      </c>
      <c r="BP22" t="e">
        <f>AND('Planilla_General_03-12-2012_9_3'!C341,"AAAAAH/430M=")</f>
        <v>#VALUE!</v>
      </c>
      <c r="BQ22" t="e">
        <f>AND('Planilla_General_03-12-2012_9_3'!D341,"AAAAAH/430Q=")</f>
        <v>#VALUE!</v>
      </c>
      <c r="BR22" t="e">
        <f>AND('Planilla_General_03-12-2012_9_3'!E341,"AAAAAH/430U=")</f>
        <v>#VALUE!</v>
      </c>
      <c r="BS22" t="e">
        <f>AND('Planilla_General_03-12-2012_9_3'!F341,"AAAAAH/430Y=")</f>
        <v>#VALUE!</v>
      </c>
      <c r="BT22" t="e">
        <f>AND('Planilla_General_03-12-2012_9_3'!G341,"AAAAAH/430c=")</f>
        <v>#VALUE!</v>
      </c>
      <c r="BU22" t="e">
        <f>AND('Planilla_General_03-12-2012_9_3'!H341,"AAAAAH/430g=")</f>
        <v>#VALUE!</v>
      </c>
      <c r="BV22" t="e">
        <f>AND('Planilla_General_03-12-2012_9_3'!I341,"AAAAAH/430k=")</f>
        <v>#VALUE!</v>
      </c>
      <c r="BW22" t="e">
        <f>AND('Planilla_General_03-12-2012_9_3'!J341,"AAAAAH/430o=")</f>
        <v>#VALUE!</v>
      </c>
      <c r="BX22" t="e">
        <f>AND('Planilla_General_03-12-2012_9_3'!K341,"AAAAAH/430s=")</f>
        <v>#VALUE!</v>
      </c>
      <c r="BY22" t="e">
        <f>AND('Planilla_General_03-12-2012_9_3'!L341,"AAAAAH/430w=")</f>
        <v>#VALUE!</v>
      </c>
      <c r="BZ22" t="e">
        <f>AND('Planilla_General_03-12-2012_9_3'!M341,"AAAAAH/4300=")</f>
        <v>#VALUE!</v>
      </c>
      <c r="CA22" t="e">
        <f>AND('Planilla_General_03-12-2012_9_3'!N341,"AAAAAH/4304=")</f>
        <v>#VALUE!</v>
      </c>
      <c r="CB22" t="e">
        <f>AND('Planilla_General_03-12-2012_9_3'!O341,"AAAAAH/4308=")</f>
        <v>#VALUE!</v>
      </c>
      <c r="CC22">
        <f>IF('Planilla_General_03-12-2012_9_3'!342:342,"AAAAAH/431A=",0)</f>
        <v>0</v>
      </c>
      <c r="CD22" t="e">
        <f>AND('Planilla_General_03-12-2012_9_3'!A342,"AAAAAH/431E=")</f>
        <v>#VALUE!</v>
      </c>
      <c r="CE22" t="e">
        <f>AND('Planilla_General_03-12-2012_9_3'!B342,"AAAAAH/431I=")</f>
        <v>#VALUE!</v>
      </c>
      <c r="CF22" t="e">
        <f>AND('Planilla_General_03-12-2012_9_3'!C342,"AAAAAH/431M=")</f>
        <v>#VALUE!</v>
      </c>
      <c r="CG22" t="e">
        <f>AND('Planilla_General_03-12-2012_9_3'!D342,"AAAAAH/431Q=")</f>
        <v>#VALUE!</v>
      </c>
      <c r="CH22" t="e">
        <f>AND('Planilla_General_03-12-2012_9_3'!E342,"AAAAAH/431U=")</f>
        <v>#VALUE!</v>
      </c>
      <c r="CI22" t="e">
        <f>AND('Planilla_General_03-12-2012_9_3'!F342,"AAAAAH/431Y=")</f>
        <v>#VALUE!</v>
      </c>
      <c r="CJ22" t="e">
        <f>AND('Planilla_General_03-12-2012_9_3'!G342,"AAAAAH/431c=")</f>
        <v>#VALUE!</v>
      </c>
      <c r="CK22" t="e">
        <f>AND('Planilla_General_03-12-2012_9_3'!H342,"AAAAAH/431g=")</f>
        <v>#VALUE!</v>
      </c>
      <c r="CL22" t="e">
        <f>AND('Planilla_General_03-12-2012_9_3'!I342,"AAAAAH/431k=")</f>
        <v>#VALUE!</v>
      </c>
      <c r="CM22" t="e">
        <f>AND('Planilla_General_03-12-2012_9_3'!J342,"AAAAAH/431o=")</f>
        <v>#VALUE!</v>
      </c>
      <c r="CN22" t="e">
        <f>AND('Planilla_General_03-12-2012_9_3'!K342,"AAAAAH/431s=")</f>
        <v>#VALUE!</v>
      </c>
      <c r="CO22" t="e">
        <f>AND('Planilla_General_03-12-2012_9_3'!L342,"AAAAAH/431w=")</f>
        <v>#VALUE!</v>
      </c>
      <c r="CP22" t="e">
        <f>AND('Planilla_General_03-12-2012_9_3'!M342,"AAAAAH/4310=")</f>
        <v>#VALUE!</v>
      </c>
      <c r="CQ22" t="e">
        <f>AND('Planilla_General_03-12-2012_9_3'!N342,"AAAAAH/4314=")</f>
        <v>#VALUE!</v>
      </c>
      <c r="CR22" t="e">
        <f>AND('Planilla_General_03-12-2012_9_3'!O342,"AAAAAH/4318=")</f>
        <v>#VALUE!</v>
      </c>
      <c r="CS22">
        <f>IF('Planilla_General_03-12-2012_9_3'!343:343,"AAAAAH/432A=",0)</f>
        <v>0</v>
      </c>
      <c r="CT22" t="e">
        <f>AND('Planilla_General_03-12-2012_9_3'!A343,"AAAAAH/432E=")</f>
        <v>#VALUE!</v>
      </c>
      <c r="CU22" t="e">
        <f>AND('Planilla_General_03-12-2012_9_3'!B343,"AAAAAH/432I=")</f>
        <v>#VALUE!</v>
      </c>
      <c r="CV22" t="e">
        <f>AND('Planilla_General_03-12-2012_9_3'!C343,"AAAAAH/432M=")</f>
        <v>#VALUE!</v>
      </c>
      <c r="CW22" t="e">
        <f>AND('Planilla_General_03-12-2012_9_3'!D343,"AAAAAH/432Q=")</f>
        <v>#VALUE!</v>
      </c>
      <c r="CX22" t="e">
        <f>AND('Planilla_General_03-12-2012_9_3'!E343,"AAAAAH/432U=")</f>
        <v>#VALUE!</v>
      </c>
      <c r="CY22" t="e">
        <f>AND('Planilla_General_03-12-2012_9_3'!F343,"AAAAAH/432Y=")</f>
        <v>#VALUE!</v>
      </c>
      <c r="CZ22" t="e">
        <f>AND('Planilla_General_03-12-2012_9_3'!G343,"AAAAAH/432c=")</f>
        <v>#VALUE!</v>
      </c>
      <c r="DA22" t="e">
        <f>AND('Planilla_General_03-12-2012_9_3'!H343,"AAAAAH/432g=")</f>
        <v>#VALUE!</v>
      </c>
      <c r="DB22" t="e">
        <f>AND('Planilla_General_03-12-2012_9_3'!I343,"AAAAAH/432k=")</f>
        <v>#VALUE!</v>
      </c>
      <c r="DC22" t="e">
        <f>AND('Planilla_General_03-12-2012_9_3'!J343,"AAAAAH/432o=")</f>
        <v>#VALUE!</v>
      </c>
      <c r="DD22" t="e">
        <f>AND('Planilla_General_03-12-2012_9_3'!K343,"AAAAAH/432s=")</f>
        <v>#VALUE!</v>
      </c>
      <c r="DE22" t="e">
        <f>AND('Planilla_General_03-12-2012_9_3'!L343,"AAAAAH/432w=")</f>
        <v>#VALUE!</v>
      </c>
      <c r="DF22" t="e">
        <f>AND('Planilla_General_03-12-2012_9_3'!M343,"AAAAAH/4320=")</f>
        <v>#VALUE!</v>
      </c>
      <c r="DG22" t="e">
        <f>AND('Planilla_General_03-12-2012_9_3'!N343,"AAAAAH/4324=")</f>
        <v>#VALUE!</v>
      </c>
      <c r="DH22" t="e">
        <f>AND('Planilla_General_03-12-2012_9_3'!O343,"AAAAAH/4328=")</f>
        <v>#VALUE!</v>
      </c>
      <c r="DI22">
        <f>IF('Planilla_General_03-12-2012_9_3'!344:344,"AAAAAH/433A=",0)</f>
        <v>0</v>
      </c>
      <c r="DJ22" t="e">
        <f>AND('Planilla_General_03-12-2012_9_3'!A344,"AAAAAH/433E=")</f>
        <v>#VALUE!</v>
      </c>
      <c r="DK22" t="e">
        <f>AND('Planilla_General_03-12-2012_9_3'!B344,"AAAAAH/433I=")</f>
        <v>#VALUE!</v>
      </c>
      <c r="DL22" t="e">
        <f>AND('Planilla_General_03-12-2012_9_3'!C344,"AAAAAH/433M=")</f>
        <v>#VALUE!</v>
      </c>
      <c r="DM22" t="e">
        <f>AND('Planilla_General_03-12-2012_9_3'!D344,"AAAAAH/433Q=")</f>
        <v>#VALUE!</v>
      </c>
      <c r="DN22" t="e">
        <f>AND('Planilla_General_03-12-2012_9_3'!E344,"AAAAAH/433U=")</f>
        <v>#VALUE!</v>
      </c>
      <c r="DO22" t="e">
        <f>AND('Planilla_General_03-12-2012_9_3'!F344,"AAAAAH/433Y=")</f>
        <v>#VALUE!</v>
      </c>
      <c r="DP22" t="e">
        <f>AND('Planilla_General_03-12-2012_9_3'!G344,"AAAAAH/433c=")</f>
        <v>#VALUE!</v>
      </c>
      <c r="DQ22" t="e">
        <f>AND('Planilla_General_03-12-2012_9_3'!H344,"AAAAAH/433g=")</f>
        <v>#VALUE!</v>
      </c>
      <c r="DR22" t="e">
        <f>AND('Planilla_General_03-12-2012_9_3'!I344,"AAAAAH/433k=")</f>
        <v>#VALUE!</v>
      </c>
      <c r="DS22" t="e">
        <f>AND('Planilla_General_03-12-2012_9_3'!J344,"AAAAAH/433o=")</f>
        <v>#VALUE!</v>
      </c>
      <c r="DT22" t="e">
        <f>AND('Planilla_General_03-12-2012_9_3'!K344,"AAAAAH/433s=")</f>
        <v>#VALUE!</v>
      </c>
      <c r="DU22" t="e">
        <f>AND('Planilla_General_03-12-2012_9_3'!L344,"AAAAAH/433w=")</f>
        <v>#VALUE!</v>
      </c>
      <c r="DV22" t="e">
        <f>AND('Planilla_General_03-12-2012_9_3'!M344,"AAAAAH/4330=")</f>
        <v>#VALUE!</v>
      </c>
      <c r="DW22" t="e">
        <f>AND('Planilla_General_03-12-2012_9_3'!N344,"AAAAAH/4334=")</f>
        <v>#VALUE!</v>
      </c>
      <c r="DX22" t="e">
        <f>AND('Planilla_General_03-12-2012_9_3'!O344,"AAAAAH/4338=")</f>
        <v>#VALUE!</v>
      </c>
      <c r="DY22">
        <f>IF('Planilla_General_03-12-2012_9_3'!345:345,"AAAAAH/434A=",0)</f>
        <v>0</v>
      </c>
      <c r="DZ22" t="e">
        <f>AND('Planilla_General_03-12-2012_9_3'!A345,"AAAAAH/434E=")</f>
        <v>#VALUE!</v>
      </c>
      <c r="EA22" t="e">
        <f>AND('Planilla_General_03-12-2012_9_3'!B345,"AAAAAH/434I=")</f>
        <v>#VALUE!</v>
      </c>
      <c r="EB22" t="e">
        <f>AND('Planilla_General_03-12-2012_9_3'!C345,"AAAAAH/434M=")</f>
        <v>#VALUE!</v>
      </c>
      <c r="EC22" t="e">
        <f>AND('Planilla_General_03-12-2012_9_3'!D345,"AAAAAH/434Q=")</f>
        <v>#VALUE!</v>
      </c>
      <c r="ED22" t="e">
        <f>AND('Planilla_General_03-12-2012_9_3'!E345,"AAAAAH/434U=")</f>
        <v>#VALUE!</v>
      </c>
      <c r="EE22" t="e">
        <f>AND('Planilla_General_03-12-2012_9_3'!F345,"AAAAAH/434Y=")</f>
        <v>#VALUE!</v>
      </c>
      <c r="EF22" t="e">
        <f>AND('Planilla_General_03-12-2012_9_3'!G345,"AAAAAH/434c=")</f>
        <v>#VALUE!</v>
      </c>
      <c r="EG22" t="e">
        <f>AND('Planilla_General_03-12-2012_9_3'!H345,"AAAAAH/434g=")</f>
        <v>#VALUE!</v>
      </c>
      <c r="EH22" t="e">
        <f>AND('Planilla_General_03-12-2012_9_3'!I345,"AAAAAH/434k=")</f>
        <v>#VALUE!</v>
      </c>
      <c r="EI22" t="e">
        <f>AND('Planilla_General_03-12-2012_9_3'!J345,"AAAAAH/434o=")</f>
        <v>#VALUE!</v>
      </c>
      <c r="EJ22" t="e">
        <f>AND('Planilla_General_03-12-2012_9_3'!K345,"AAAAAH/434s=")</f>
        <v>#VALUE!</v>
      </c>
      <c r="EK22" t="e">
        <f>AND('Planilla_General_03-12-2012_9_3'!L345,"AAAAAH/434w=")</f>
        <v>#VALUE!</v>
      </c>
      <c r="EL22" t="e">
        <f>AND('Planilla_General_03-12-2012_9_3'!M345,"AAAAAH/4340=")</f>
        <v>#VALUE!</v>
      </c>
      <c r="EM22" t="e">
        <f>AND('Planilla_General_03-12-2012_9_3'!N345,"AAAAAH/4344=")</f>
        <v>#VALUE!</v>
      </c>
      <c r="EN22" t="e">
        <f>AND('Planilla_General_03-12-2012_9_3'!O345,"AAAAAH/4348=")</f>
        <v>#VALUE!</v>
      </c>
      <c r="EO22">
        <f>IF('Planilla_General_03-12-2012_9_3'!346:346,"AAAAAH/435A=",0)</f>
        <v>0</v>
      </c>
      <c r="EP22" t="e">
        <f>AND('Planilla_General_03-12-2012_9_3'!A346,"AAAAAH/435E=")</f>
        <v>#VALUE!</v>
      </c>
      <c r="EQ22" t="e">
        <f>AND('Planilla_General_03-12-2012_9_3'!B346,"AAAAAH/435I=")</f>
        <v>#VALUE!</v>
      </c>
      <c r="ER22" t="e">
        <f>AND('Planilla_General_03-12-2012_9_3'!C346,"AAAAAH/435M=")</f>
        <v>#VALUE!</v>
      </c>
      <c r="ES22" t="e">
        <f>AND('Planilla_General_03-12-2012_9_3'!D346,"AAAAAH/435Q=")</f>
        <v>#VALUE!</v>
      </c>
      <c r="ET22" t="e">
        <f>AND('Planilla_General_03-12-2012_9_3'!E346,"AAAAAH/435U=")</f>
        <v>#VALUE!</v>
      </c>
      <c r="EU22" t="e">
        <f>AND('Planilla_General_03-12-2012_9_3'!F346,"AAAAAH/435Y=")</f>
        <v>#VALUE!</v>
      </c>
      <c r="EV22" t="e">
        <f>AND('Planilla_General_03-12-2012_9_3'!G346,"AAAAAH/435c=")</f>
        <v>#VALUE!</v>
      </c>
      <c r="EW22" t="e">
        <f>AND('Planilla_General_03-12-2012_9_3'!H346,"AAAAAH/435g=")</f>
        <v>#VALUE!</v>
      </c>
      <c r="EX22" t="e">
        <f>AND('Planilla_General_03-12-2012_9_3'!I346,"AAAAAH/435k=")</f>
        <v>#VALUE!</v>
      </c>
      <c r="EY22" t="e">
        <f>AND('Planilla_General_03-12-2012_9_3'!J346,"AAAAAH/435o=")</f>
        <v>#VALUE!</v>
      </c>
      <c r="EZ22" t="e">
        <f>AND('Planilla_General_03-12-2012_9_3'!K346,"AAAAAH/435s=")</f>
        <v>#VALUE!</v>
      </c>
      <c r="FA22" t="e">
        <f>AND('Planilla_General_03-12-2012_9_3'!L346,"AAAAAH/435w=")</f>
        <v>#VALUE!</v>
      </c>
      <c r="FB22" t="e">
        <f>AND('Planilla_General_03-12-2012_9_3'!M346,"AAAAAH/4350=")</f>
        <v>#VALUE!</v>
      </c>
      <c r="FC22" t="e">
        <f>AND('Planilla_General_03-12-2012_9_3'!N346,"AAAAAH/4354=")</f>
        <v>#VALUE!</v>
      </c>
      <c r="FD22" t="e">
        <f>AND('Planilla_General_03-12-2012_9_3'!O346,"AAAAAH/4358=")</f>
        <v>#VALUE!</v>
      </c>
      <c r="FE22">
        <f>IF('Planilla_General_03-12-2012_9_3'!347:347,"AAAAAH/436A=",0)</f>
        <v>0</v>
      </c>
      <c r="FF22" t="e">
        <f>AND('Planilla_General_03-12-2012_9_3'!A347,"AAAAAH/436E=")</f>
        <v>#VALUE!</v>
      </c>
      <c r="FG22" t="e">
        <f>AND('Planilla_General_03-12-2012_9_3'!B347,"AAAAAH/436I=")</f>
        <v>#VALUE!</v>
      </c>
      <c r="FH22" t="e">
        <f>AND('Planilla_General_03-12-2012_9_3'!C347,"AAAAAH/436M=")</f>
        <v>#VALUE!</v>
      </c>
      <c r="FI22" t="e">
        <f>AND('Planilla_General_03-12-2012_9_3'!D347,"AAAAAH/436Q=")</f>
        <v>#VALUE!</v>
      </c>
      <c r="FJ22" t="e">
        <f>AND('Planilla_General_03-12-2012_9_3'!E347,"AAAAAH/436U=")</f>
        <v>#VALUE!</v>
      </c>
      <c r="FK22" t="e">
        <f>AND('Planilla_General_03-12-2012_9_3'!F347,"AAAAAH/436Y=")</f>
        <v>#VALUE!</v>
      </c>
      <c r="FL22" t="e">
        <f>AND('Planilla_General_03-12-2012_9_3'!G347,"AAAAAH/436c=")</f>
        <v>#VALUE!</v>
      </c>
      <c r="FM22" t="e">
        <f>AND('Planilla_General_03-12-2012_9_3'!H347,"AAAAAH/436g=")</f>
        <v>#VALUE!</v>
      </c>
      <c r="FN22" t="e">
        <f>AND('Planilla_General_03-12-2012_9_3'!I347,"AAAAAH/436k=")</f>
        <v>#VALUE!</v>
      </c>
      <c r="FO22" t="e">
        <f>AND('Planilla_General_03-12-2012_9_3'!J347,"AAAAAH/436o=")</f>
        <v>#VALUE!</v>
      </c>
      <c r="FP22" t="e">
        <f>AND('Planilla_General_03-12-2012_9_3'!K347,"AAAAAH/436s=")</f>
        <v>#VALUE!</v>
      </c>
      <c r="FQ22" t="e">
        <f>AND('Planilla_General_03-12-2012_9_3'!L347,"AAAAAH/436w=")</f>
        <v>#VALUE!</v>
      </c>
      <c r="FR22" t="e">
        <f>AND('Planilla_General_03-12-2012_9_3'!M347,"AAAAAH/4360=")</f>
        <v>#VALUE!</v>
      </c>
      <c r="FS22" t="e">
        <f>AND('Planilla_General_03-12-2012_9_3'!N347,"AAAAAH/4364=")</f>
        <v>#VALUE!</v>
      </c>
      <c r="FT22" t="e">
        <f>AND('Planilla_General_03-12-2012_9_3'!O347,"AAAAAH/4368=")</f>
        <v>#VALUE!</v>
      </c>
      <c r="FU22">
        <f>IF('Planilla_General_03-12-2012_9_3'!348:348,"AAAAAH/437A=",0)</f>
        <v>0</v>
      </c>
      <c r="FV22" t="e">
        <f>AND('Planilla_General_03-12-2012_9_3'!A348,"AAAAAH/437E=")</f>
        <v>#VALUE!</v>
      </c>
      <c r="FW22" t="e">
        <f>AND('Planilla_General_03-12-2012_9_3'!B348,"AAAAAH/437I=")</f>
        <v>#VALUE!</v>
      </c>
      <c r="FX22" t="e">
        <f>AND('Planilla_General_03-12-2012_9_3'!C348,"AAAAAH/437M=")</f>
        <v>#VALUE!</v>
      </c>
      <c r="FY22" t="e">
        <f>AND('Planilla_General_03-12-2012_9_3'!D348,"AAAAAH/437Q=")</f>
        <v>#VALUE!</v>
      </c>
      <c r="FZ22" t="e">
        <f>AND('Planilla_General_03-12-2012_9_3'!E348,"AAAAAH/437U=")</f>
        <v>#VALUE!</v>
      </c>
      <c r="GA22" t="e">
        <f>AND('Planilla_General_03-12-2012_9_3'!F348,"AAAAAH/437Y=")</f>
        <v>#VALUE!</v>
      </c>
      <c r="GB22" t="e">
        <f>AND('Planilla_General_03-12-2012_9_3'!G348,"AAAAAH/437c=")</f>
        <v>#VALUE!</v>
      </c>
      <c r="GC22" t="e">
        <f>AND('Planilla_General_03-12-2012_9_3'!H348,"AAAAAH/437g=")</f>
        <v>#VALUE!</v>
      </c>
      <c r="GD22" t="e">
        <f>AND('Planilla_General_03-12-2012_9_3'!I348,"AAAAAH/437k=")</f>
        <v>#VALUE!</v>
      </c>
      <c r="GE22" t="e">
        <f>AND('Planilla_General_03-12-2012_9_3'!J348,"AAAAAH/437o=")</f>
        <v>#VALUE!</v>
      </c>
      <c r="GF22" t="e">
        <f>AND('Planilla_General_03-12-2012_9_3'!K348,"AAAAAH/437s=")</f>
        <v>#VALUE!</v>
      </c>
      <c r="GG22" t="e">
        <f>AND('Planilla_General_03-12-2012_9_3'!L348,"AAAAAH/437w=")</f>
        <v>#VALUE!</v>
      </c>
      <c r="GH22" t="e">
        <f>AND('Planilla_General_03-12-2012_9_3'!M348,"AAAAAH/4370=")</f>
        <v>#VALUE!</v>
      </c>
      <c r="GI22" t="e">
        <f>AND('Planilla_General_03-12-2012_9_3'!N348,"AAAAAH/4374=")</f>
        <v>#VALUE!</v>
      </c>
      <c r="GJ22" t="e">
        <f>AND('Planilla_General_03-12-2012_9_3'!O348,"AAAAAH/4378=")</f>
        <v>#VALUE!</v>
      </c>
      <c r="GK22">
        <f>IF('Planilla_General_03-12-2012_9_3'!349:349,"AAAAAH/438A=",0)</f>
        <v>0</v>
      </c>
      <c r="GL22" t="e">
        <f>AND('Planilla_General_03-12-2012_9_3'!A349,"AAAAAH/438E=")</f>
        <v>#VALUE!</v>
      </c>
      <c r="GM22" t="e">
        <f>AND('Planilla_General_03-12-2012_9_3'!B349,"AAAAAH/438I=")</f>
        <v>#VALUE!</v>
      </c>
      <c r="GN22" t="e">
        <f>AND('Planilla_General_03-12-2012_9_3'!C349,"AAAAAH/438M=")</f>
        <v>#VALUE!</v>
      </c>
      <c r="GO22" t="e">
        <f>AND('Planilla_General_03-12-2012_9_3'!D349,"AAAAAH/438Q=")</f>
        <v>#VALUE!</v>
      </c>
      <c r="GP22" t="e">
        <f>AND('Planilla_General_03-12-2012_9_3'!E349,"AAAAAH/438U=")</f>
        <v>#VALUE!</v>
      </c>
      <c r="GQ22" t="e">
        <f>AND('Planilla_General_03-12-2012_9_3'!F349,"AAAAAH/438Y=")</f>
        <v>#VALUE!</v>
      </c>
      <c r="GR22" t="e">
        <f>AND('Planilla_General_03-12-2012_9_3'!G349,"AAAAAH/438c=")</f>
        <v>#VALUE!</v>
      </c>
      <c r="GS22" t="e">
        <f>AND('Planilla_General_03-12-2012_9_3'!H349,"AAAAAH/438g=")</f>
        <v>#VALUE!</v>
      </c>
      <c r="GT22" t="e">
        <f>AND('Planilla_General_03-12-2012_9_3'!I349,"AAAAAH/438k=")</f>
        <v>#VALUE!</v>
      </c>
      <c r="GU22" t="e">
        <f>AND('Planilla_General_03-12-2012_9_3'!J349,"AAAAAH/438o=")</f>
        <v>#VALUE!</v>
      </c>
      <c r="GV22" t="e">
        <f>AND('Planilla_General_03-12-2012_9_3'!K349,"AAAAAH/438s=")</f>
        <v>#VALUE!</v>
      </c>
      <c r="GW22" t="e">
        <f>AND('Planilla_General_03-12-2012_9_3'!L349,"AAAAAH/438w=")</f>
        <v>#VALUE!</v>
      </c>
      <c r="GX22" t="e">
        <f>AND('Planilla_General_03-12-2012_9_3'!M349,"AAAAAH/4380=")</f>
        <v>#VALUE!</v>
      </c>
      <c r="GY22" t="e">
        <f>AND('Planilla_General_03-12-2012_9_3'!N349,"AAAAAH/4384=")</f>
        <v>#VALUE!</v>
      </c>
      <c r="GZ22" t="e">
        <f>AND('Planilla_General_03-12-2012_9_3'!O349,"AAAAAH/4388=")</f>
        <v>#VALUE!</v>
      </c>
      <c r="HA22">
        <f>IF('Planilla_General_03-12-2012_9_3'!350:350,"AAAAAH/439A=",0)</f>
        <v>0</v>
      </c>
      <c r="HB22" t="e">
        <f>AND('Planilla_General_03-12-2012_9_3'!A350,"AAAAAH/439E=")</f>
        <v>#VALUE!</v>
      </c>
      <c r="HC22" t="e">
        <f>AND('Planilla_General_03-12-2012_9_3'!B350,"AAAAAH/439I=")</f>
        <v>#VALUE!</v>
      </c>
      <c r="HD22" t="e">
        <f>AND('Planilla_General_03-12-2012_9_3'!C350,"AAAAAH/439M=")</f>
        <v>#VALUE!</v>
      </c>
      <c r="HE22" t="e">
        <f>AND('Planilla_General_03-12-2012_9_3'!D350,"AAAAAH/439Q=")</f>
        <v>#VALUE!</v>
      </c>
      <c r="HF22" t="e">
        <f>AND('Planilla_General_03-12-2012_9_3'!E350,"AAAAAH/439U=")</f>
        <v>#VALUE!</v>
      </c>
      <c r="HG22" t="e">
        <f>AND('Planilla_General_03-12-2012_9_3'!F350,"AAAAAH/439Y=")</f>
        <v>#VALUE!</v>
      </c>
      <c r="HH22" t="e">
        <f>AND('Planilla_General_03-12-2012_9_3'!G350,"AAAAAH/439c=")</f>
        <v>#VALUE!</v>
      </c>
      <c r="HI22" t="e">
        <f>AND('Planilla_General_03-12-2012_9_3'!H350,"AAAAAH/439g=")</f>
        <v>#VALUE!</v>
      </c>
      <c r="HJ22" t="e">
        <f>AND('Planilla_General_03-12-2012_9_3'!I350,"AAAAAH/439k=")</f>
        <v>#VALUE!</v>
      </c>
      <c r="HK22" t="e">
        <f>AND('Planilla_General_03-12-2012_9_3'!J350,"AAAAAH/439o=")</f>
        <v>#VALUE!</v>
      </c>
      <c r="HL22" t="e">
        <f>AND('Planilla_General_03-12-2012_9_3'!K350,"AAAAAH/439s=")</f>
        <v>#VALUE!</v>
      </c>
      <c r="HM22" t="e">
        <f>AND('Planilla_General_03-12-2012_9_3'!L350,"AAAAAH/439w=")</f>
        <v>#VALUE!</v>
      </c>
      <c r="HN22" t="e">
        <f>AND('Planilla_General_03-12-2012_9_3'!M350,"AAAAAH/4390=")</f>
        <v>#VALUE!</v>
      </c>
      <c r="HO22" t="e">
        <f>AND('Planilla_General_03-12-2012_9_3'!N350,"AAAAAH/4394=")</f>
        <v>#VALUE!</v>
      </c>
      <c r="HP22" t="e">
        <f>AND('Planilla_General_03-12-2012_9_3'!O350,"AAAAAH/4398=")</f>
        <v>#VALUE!</v>
      </c>
      <c r="HQ22">
        <f>IF('Planilla_General_03-12-2012_9_3'!351:351,"AAAAAH/43+A=",0)</f>
        <v>0</v>
      </c>
      <c r="HR22" t="e">
        <f>AND('Planilla_General_03-12-2012_9_3'!A351,"AAAAAH/43+E=")</f>
        <v>#VALUE!</v>
      </c>
      <c r="HS22" t="e">
        <f>AND('Planilla_General_03-12-2012_9_3'!B351,"AAAAAH/43+I=")</f>
        <v>#VALUE!</v>
      </c>
      <c r="HT22" t="e">
        <f>AND('Planilla_General_03-12-2012_9_3'!C351,"AAAAAH/43+M=")</f>
        <v>#VALUE!</v>
      </c>
      <c r="HU22" t="e">
        <f>AND('Planilla_General_03-12-2012_9_3'!D351,"AAAAAH/43+Q=")</f>
        <v>#VALUE!</v>
      </c>
      <c r="HV22" t="e">
        <f>AND('Planilla_General_03-12-2012_9_3'!E351,"AAAAAH/43+U=")</f>
        <v>#VALUE!</v>
      </c>
      <c r="HW22" t="e">
        <f>AND('Planilla_General_03-12-2012_9_3'!F351,"AAAAAH/43+Y=")</f>
        <v>#VALUE!</v>
      </c>
      <c r="HX22" t="e">
        <f>AND('Planilla_General_03-12-2012_9_3'!G351,"AAAAAH/43+c=")</f>
        <v>#VALUE!</v>
      </c>
      <c r="HY22" t="e">
        <f>AND('Planilla_General_03-12-2012_9_3'!H351,"AAAAAH/43+g=")</f>
        <v>#VALUE!</v>
      </c>
      <c r="HZ22" t="e">
        <f>AND('Planilla_General_03-12-2012_9_3'!I351,"AAAAAH/43+k=")</f>
        <v>#VALUE!</v>
      </c>
      <c r="IA22" t="e">
        <f>AND('Planilla_General_03-12-2012_9_3'!J351,"AAAAAH/43+o=")</f>
        <v>#VALUE!</v>
      </c>
      <c r="IB22" t="e">
        <f>AND('Planilla_General_03-12-2012_9_3'!K351,"AAAAAH/43+s=")</f>
        <v>#VALUE!</v>
      </c>
      <c r="IC22" t="e">
        <f>AND('Planilla_General_03-12-2012_9_3'!L351,"AAAAAH/43+w=")</f>
        <v>#VALUE!</v>
      </c>
      <c r="ID22" t="e">
        <f>AND('Planilla_General_03-12-2012_9_3'!M351,"AAAAAH/43+0=")</f>
        <v>#VALUE!</v>
      </c>
      <c r="IE22" t="e">
        <f>AND('Planilla_General_03-12-2012_9_3'!N351,"AAAAAH/43+4=")</f>
        <v>#VALUE!</v>
      </c>
      <c r="IF22" t="e">
        <f>AND('Planilla_General_03-12-2012_9_3'!O351,"AAAAAH/43+8=")</f>
        <v>#VALUE!</v>
      </c>
      <c r="IG22">
        <f>IF('Planilla_General_03-12-2012_9_3'!352:352,"AAAAAH/43/A=",0)</f>
        <v>0</v>
      </c>
      <c r="IH22" t="e">
        <f>AND('Planilla_General_03-12-2012_9_3'!A352,"AAAAAH/43/E=")</f>
        <v>#VALUE!</v>
      </c>
      <c r="II22" t="e">
        <f>AND('Planilla_General_03-12-2012_9_3'!B352,"AAAAAH/43/I=")</f>
        <v>#VALUE!</v>
      </c>
      <c r="IJ22" t="e">
        <f>AND('Planilla_General_03-12-2012_9_3'!C352,"AAAAAH/43/M=")</f>
        <v>#VALUE!</v>
      </c>
      <c r="IK22" t="e">
        <f>AND('Planilla_General_03-12-2012_9_3'!D352,"AAAAAH/43/Q=")</f>
        <v>#VALUE!</v>
      </c>
      <c r="IL22" t="e">
        <f>AND('Planilla_General_03-12-2012_9_3'!E352,"AAAAAH/43/U=")</f>
        <v>#VALUE!</v>
      </c>
      <c r="IM22" t="e">
        <f>AND('Planilla_General_03-12-2012_9_3'!F352,"AAAAAH/43/Y=")</f>
        <v>#VALUE!</v>
      </c>
      <c r="IN22" t="e">
        <f>AND('Planilla_General_03-12-2012_9_3'!G352,"AAAAAH/43/c=")</f>
        <v>#VALUE!</v>
      </c>
      <c r="IO22" t="e">
        <f>AND('Planilla_General_03-12-2012_9_3'!H352,"AAAAAH/43/g=")</f>
        <v>#VALUE!</v>
      </c>
      <c r="IP22" t="e">
        <f>AND('Planilla_General_03-12-2012_9_3'!I352,"AAAAAH/43/k=")</f>
        <v>#VALUE!</v>
      </c>
      <c r="IQ22" t="e">
        <f>AND('Planilla_General_03-12-2012_9_3'!J352,"AAAAAH/43/o=")</f>
        <v>#VALUE!</v>
      </c>
      <c r="IR22" t="e">
        <f>AND('Planilla_General_03-12-2012_9_3'!K352,"AAAAAH/43/s=")</f>
        <v>#VALUE!</v>
      </c>
      <c r="IS22" t="e">
        <f>AND('Planilla_General_03-12-2012_9_3'!L352,"AAAAAH/43/w=")</f>
        <v>#VALUE!</v>
      </c>
      <c r="IT22" t="e">
        <f>AND('Planilla_General_03-12-2012_9_3'!M352,"AAAAAH/43/0=")</f>
        <v>#VALUE!</v>
      </c>
      <c r="IU22" t="e">
        <f>AND('Planilla_General_03-12-2012_9_3'!N352,"AAAAAH/43/4=")</f>
        <v>#VALUE!</v>
      </c>
      <c r="IV22" t="e">
        <f>AND('Planilla_General_03-12-2012_9_3'!O352,"AAAAAH/43/8=")</f>
        <v>#VALUE!</v>
      </c>
    </row>
    <row r="23" spans="1:256" x14ac:dyDescent="0.25">
      <c r="A23" t="e">
        <f>IF('Planilla_General_03-12-2012_9_3'!353:353,"AAAAAH5/9wA=",0)</f>
        <v>#VALUE!</v>
      </c>
      <c r="B23" t="e">
        <f>AND('Planilla_General_03-12-2012_9_3'!A353,"AAAAAH5/9wE=")</f>
        <v>#VALUE!</v>
      </c>
      <c r="C23" t="e">
        <f>AND('Planilla_General_03-12-2012_9_3'!B353,"AAAAAH5/9wI=")</f>
        <v>#VALUE!</v>
      </c>
      <c r="D23" t="e">
        <f>AND('Planilla_General_03-12-2012_9_3'!C353,"AAAAAH5/9wM=")</f>
        <v>#VALUE!</v>
      </c>
      <c r="E23" t="e">
        <f>AND('Planilla_General_03-12-2012_9_3'!D353,"AAAAAH5/9wQ=")</f>
        <v>#VALUE!</v>
      </c>
      <c r="F23" t="e">
        <f>AND('Planilla_General_03-12-2012_9_3'!E353,"AAAAAH5/9wU=")</f>
        <v>#VALUE!</v>
      </c>
      <c r="G23" t="e">
        <f>AND('Planilla_General_03-12-2012_9_3'!F353,"AAAAAH5/9wY=")</f>
        <v>#VALUE!</v>
      </c>
      <c r="H23" t="e">
        <f>AND('Planilla_General_03-12-2012_9_3'!G353,"AAAAAH5/9wc=")</f>
        <v>#VALUE!</v>
      </c>
      <c r="I23" t="e">
        <f>AND('Planilla_General_03-12-2012_9_3'!H353,"AAAAAH5/9wg=")</f>
        <v>#VALUE!</v>
      </c>
      <c r="J23" t="e">
        <f>AND('Planilla_General_03-12-2012_9_3'!I353,"AAAAAH5/9wk=")</f>
        <v>#VALUE!</v>
      </c>
      <c r="K23" t="e">
        <f>AND('Planilla_General_03-12-2012_9_3'!J353,"AAAAAH5/9wo=")</f>
        <v>#VALUE!</v>
      </c>
      <c r="L23" t="e">
        <f>AND('Planilla_General_03-12-2012_9_3'!K353,"AAAAAH5/9ws=")</f>
        <v>#VALUE!</v>
      </c>
      <c r="M23" t="e">
        <f>AND('Planilla_General_03-12-2012_9_3'!L353,"AAAAAH5/9ww=")</f>
        <v>#VALUE!</v>
      </c>
      <c r="N23" t="e">
        <f>AND('Planilla_General_03-12-2012_9_3'!M353,"AAAAAH5/9w0=")</f>
        <v>#VALUE!</v>
      </c>
      <c r="O23" t="e">
        <f>AND('Planilla_General_03-12-2012_9_3'!N353,"AAAAAH5/9w4=")</f>
        <v>#VALUE!</v>
      </c>
      <c r="P23" t="e">
        <f>AND('Planilla_General_03-12-2012_9_3'!O353,"AAAAAH5/9w8=")</f>
        <v>#VALUE!</v>
      </c>
      <c r="Q23">
        <f>IF('Planilla_General_03-12-2012_9_3'!354:354,"AAAAAH5/9xA=",0)</f>
        <v>0</v>
      </c>
      <c r="R23" t="e">
        <f>AND('Planilla_General_03-12-2012_9_3'!A354,"AAAAAH5/9xE=")</f>
        <v>#VALUE!</v>
      </c>
      <c r="S23" t="e">
        <f>AND('Planilla_General_03-12-2012_9_3'!B354,"AAAAAH5/9xI=")</f>
        <v>#VALUE!</v>
      </c>
      <c r="T23" t="e">
        <f>AND('Planilla_General_03-12-2012_9_3'!C354,"AAAAAH5/9xM=")</f>
        <v>#VALUE!</v>
      </c>
      <c r="U23" t="e">
        <f>AND('Planilla_General_03-12-2012_9_3'!D354,"AAAAAH5/9xQ=")</f>
        <v>#VALUE!</v>
      </c>
      <c r="V23" t="e">
        <f>AND('Planilla_General_03-12-2012_9_3'!E354,"AAAAAH5/9xU=")</f>
        <v>#VALUE!</v>
      </c>
      <c r="W23" t="e">
        <f>AND('Planilla_General_03-12-2012_9_3'!F354,"AAAAAH5/9xY=")</f>
        <v>#VALUE!</v>
      </c>
      <c r="X23" t="e">
        <f>AND('Planilla_General_03-12-2012_9_3'!G354,"AAAAAH5/9xc=")</f>
        <v>#VALUE!</v>
      </c>
      <c r="Y23" t="e">
        <f>AND('Planilla_General_03-12-2012_9_3'!H354,"AAAAAH5/9xg=")</f>
        <v>#VALUE!</v>
      </c>
      <c r="Z23" t="e">
        <f>AND('Planilla_General_03-12-2012_9_3'!I354,"AAAAAH5/9xk=")</f>
        <v>#VALUE!</v>
      </c>
      <c r="AA23" t="e">
        <f>AND('Planilla_General_03-12-2012_9_3'!J354,"AAAAAH5/9xo=")</f>
        <v>#VALUE!</v>
      </c>
      <c r="AB23" t="e">
        <f>AND('Planilla_General_03-12-2012_9_3'!K354,"AAAAAH5/9xs=")</f>
        <v>#VALUE!</v>
      </c>
      <c r="AC23" t="e">
        <f>AND('Planilla_General_03-12-2012_9_3'!L354,"AAAAAH5/9xw=")</f>
        <v>#VALUE!</v>
      </c>
      <c r="AD23" t="e">
        <f>AND('Planilla_General_03-12-2012_9_3'!M354,"AAAAAH5/9x0=")</f>
        <v>#VALUE!</v>
      </c>
      <c r="AE23" t="e">
        <f>AND('Planilla_General_03-12-2012_9_3'!N354,"AAAAAH5/9x4=")</f>
        <v>#VALUE!</v>
      </c>
      <c r="AF23" t="e">
        <f>AND('Planilla_General_03-12-2012_9_3'!O354,"AAAAAH5/9x8=")</f>
        <v>#VALUE!</v>
      </c>
      <c r="AG23">
        <f>IF('Planilla_General_03-12-2012_9_3'!355:355,"AAAAAH5/9yA=",0)</f>
        <v>0</v>
      </c>
      <c r="AH23" t="e">
        <f>AND('Planilla_General_03-12-2012_9_3'!A355,"AAAAAH5/9yE=")</f>
        <v>#VALUE!</v>
      </c>
      <c r="AI23" t="e">
        <f>AND('Planilla_General_03-12-2012_9_3'!B355,"AAAAAH5/9yI=")</f>
        <v>#VALUE!</v>
      </c>
      <c r="AJ23" t="e">
        <f>AND('Planilla_General_03-12-2012_9_3'!C355,"AAAAAH5/9yM=")</f>
        <v>#VALUE!</v>
      </c>
      <c r="AK23" t="e">
        <f>AND('Planilla_General_03-12-2012_9_3'!D355,"AAAAAH5/9yQ=")</f>
        <v>#VALUE!</v>
      </c>
      <c r="AL23" t="e">
        <f>AND('Planilla_General_03-12-2012_9_3'!E355,"AAAAAH5/9yU=")</f>
        <v>#VALUE!</v>
      </c>
      <c r="AM23" t="e">
        <f>AND('Planilla_General_03-12-2012_9_3'!F355,"AAAAAH5/9yY=")</f>
        <v>#VALUE!</v>
      </c>
      <c r="AN23" t="e">
        <f>AND('Planilla_General_03-12-2012_9_3'!G355,"AAAAAH5/9yc=")</f>
        <v>#VALUE!</v>
      </c>
      <c r="AO23" t="e">
        <f>AND('Planilla_General_03-12-2012_9_3'!H355,"AAAAAH5/9yg=")</f>
        <v>#VALUE!</v>
      </c>
      <c r="AP23" t="e">
        <f>AND('Planilla_General_03-12-2012_9_3'!I355,"AAAAAH5/9yk=")</f>
        <v>#VALUE!</v>
      </c>
      <c r="AQ23" t="e">
        <f>AND('Planilla_General_03-12-2012_9_3'!J355,"AAAAAH5/9yo=")</f>
        <v>#VALUE!</v>
      </c>
      <c r="AR23" t="e">
        <f>AND('Planilla_General_03-12-2012_9_3'!K355,"AAAAAH5/9ys=")</f>
        <v>#VALUE!</v>
      </c>
      <c r="AS23" t="e">
        <f>AND('Planilla_General_03-12-2012_9_3'!L355,"AAAAAH5/9yw=")</f>
        <v>#VALUE!</v>
      </c>
      <c r="AT23" t="e">
        <f>AND('Planilla_General_03-12-2012_9_3'!M355,"AAAAAH5/9y0=")</f>
        <v>#VALUE!</v>
      </c>
      <c r="AU23" t="e">
        <f>AND('Planilla_General_03-12-2012_9_3'!N355,"AAAAAH5/9y4=")</f>
        <v>#VALUE!</v>
      </c>
      <c r="AV23" t="e">
        <f>AND('Planilla_General_03-12-2012_9_3'!O355,"AAAAAH5/9y8=")</f>
        <v>#VALUE!</v>
      </c>
      <c r="AW23">
        <f>IF('Planilla_General_03-12-2012_9_3'!356:356,"AAAAAH5/9zA=",0)</f>
        <v>0</v>
      </c>
      <c r="AX23" t="e">
        <f>AND('Planilla_General_03-12-2012_9_3'!A356,"AAAAAH5/9zE=")</f>
        <v>#VALUE!</v>
      </c>
      <c r="AY23" t="e">
        <f>AND('Planilla_General_03-12-2012_9_3'!B356,"AAAAAH5/9zI=")</f>
        <v>#VALUE!</v>
      </c>
      <c r="AZ23" t="e">
        <f>AND('Planilla_General_03-12-2012_9_3'!C356,"AAAAAH5/9zM=")</f>
        <v>#VALUE!</v>
      </c>
      <c r="BA23" t="e">
        <f>AND('Planilla_General_03-12-2012_9_3'!D356,"AAAAAH5/9zQ=")</f>
        <v>#VALUE!</v>
      </c>
      <c r="BB23" t="e">
        <f>AND('Planilla_General_03-12-2012_9_3'!E356,"AAAAAH5/9zU=")</f>
        <v>#VALUE!</v>
      </c>
      <c r="BC23" t="e">
        <f>AND('Planilla_General_03-12-2012_9_3'!F356,"AAAAAH5/9zY=")</f>
        <v>#VALUE!</v>
      </c>
      <c r="BD23" t="e">
        <f>AND('Planilla_General_03-12-2012_9_3'!G356,"AAAAAH5/9zc=")</f>
        <v>#VALUE!</v>
      </c>
      <c r="BE23" t="e">
        <f>AND('Planilla_General_03-12-2012_9_3'!H356,"AAAAAH5/9zg=")</f>
        <v>#VALUE!</v>
      </c>
      <c r="BF23" t="e">
        <f>AND('Planilla_General_03-12-2012_9_3'!I356,"AAAAAH5/9zk=")</f>
        <v>#VALUE!</v>
      </c>
      <c r="BG23" t="e">
        <f>AND('Planilla_General_03-12-2012_9_3'!J356,"AAAAAH5/9zo=")</f>
        <v>#VALUE!</v>
      </c>
      <c r="BH23" t="e">
        <f>AND('Planilla_General_03-12-2012_9_3'!K356,"AAAAAH5/9zs=")</f>
        <v>#VALUE!</v>
      </c>
      <c r="BI23" t="e">
        <f>AND('Planilla_General_03-12-2012_9_3'!L356,"AAAAAH5/9zw=")</f>
        <v>#VALUE!</v>
      </c>
      <c r="BJ23" t="e">
        <f>AND('Planilla_General_03-12-2012_9_3'!M356,"AAAAAH5/9z0=")</f>
        <v>#VALUE!</v>
      </c>
      <c r="BK23" t="e">
        <f>AND('Planilla_General_03-12-2012_9_3'!N356,"AAAAAH5/9z4=")</f>
        <v>#VALUE!</v>
      </c>
      <c r="BL23" t="e">
        <f>AND('Planilla_General_03-12-2012_9_3'!O356,"AAAAAH5/9z8=")</f>
        <v>#VALUE!</v>
      </c>
      <c r="BM23">
        <f>IF('Planilla_General_03-12-2012_9_3'!357:357,"AAAAAH5/90A=",0)</f>
        <v>0</v>
      </c>
      <c r="BN23" t="e">
        <f>AND('Planilla_General_03-12-2012_9_3'!A357,"AAAAAH5/90E=")</f>
        <v>#VALUE!</v>
      </c>
      <c r="BO23" t="e">
        <f>AND('Planilla_General_03-12-2012_9_3'!B357,"AAAAAH5/90I=")</f>
        <v>#VALUE!</v>
      </c>
      <c r="BP23" t="e">
        <f>AND('Planilla_General_03-12-2012_9_3'!C357,"AAAAAH5/90M=")</f>
        <v>#VALUE!</v>
      </c>
      <c r="BQ23" t="e">
        <f>AND('Planilla_General_03-12-2012_9_3'!D357,"AAAAAH5/90Q=")</f>
        <v>#VALUE!</v>
      </c>
      <c r="BR23" t="e">
        <f>AND('Planilla_General_03-12-2012_9_3'!E357,"AAAAAH5/90U=")</f>
        <v>#VALUE!</v>
      </c>
      <c r="BS23" t="e">
        <f>AND('Planilla_General_03-12-2012_9_3'!F357,"AAAAAH5/90Y=")</f>
        <v>#VALUE!</v>
      </c>
      <c r="BT23" t="e">
        <f>AND('Planilla_General_03-12-2012_9_3'!G357,"AAAAAH5/90c=")</f>
        <v>#VALUE!</v>
      </c>
      <c r="BU23" t="e">
        <f>AND('Planilla_General_03-12-2012_9_3'!H357,"AAAAAH5/90g=")</f>
        <v>#VALUE!</v>
      </c>
      <c r="BV23" t="e">
        <f>AND('Planilla_General_03-12-2012_9_3'!I357,"AAAAAH5/90k=")</f>
        <v>#VALUE!</v>
      </c>
      <c r="BW23" t="e">
        <f>AND('Planilla_General_03-12-2012_9_3'!J357,"AAAAAH5/90o=")</f>
        <v>#VALUE!</v>
      </c>
      <c r="BX23" t="e">
        <f>AND('Planilla_General_03-12-2012_9_3'!K357,"AAAAAH5/90s=")</f>
        <v>#VALUE!</v>
      </c>
      <c r="BY23" t="e">
        <f>AND('Planilla_General_03-12-2012_9_3'!L357,"AAAAAH5/90w=")</f>
        <v>#VALUE!</v>
      </c>
      <c r="BZ23" t="e">
        <f>AND('Planilla_General_03-12-2012_9_3'!M357,"AAAAAH5/900=")</f>
        <v>#VALUE!</v>
      </c>
      <c r="CA23" t="e">
        <f>AND('Planilla_General_03-12-2012_9_3'!N357,"AAAAAH5/904=")</f>
        <v>#VALUE!</v>
      </c>
      <c r="CB23" t="e">
        <f>AND('Planilla_General_03-12-2012_9_3'!O357,"AAAAAH5/908=")</f>
        <v>#VALUE!</v>
      </c>
      <c r="CC23">
        <f>IF('Planilla_General_03-12-2012_9_3'!358:358,"AAAAAH5/91A=",0)</f>
        <v>0</v>
      </c>
      <c r="CD23" t="e">
        <f>AND('Planilla_General_03-12-2012_9_3'!A358,"AAAAAH5/91E=")</f>
        <v>#VALUE!</v>
      </c>
      <c r="CE23" t="e">
        <f>AND('Planilla_General_03-12-2012_9_3'!B358,"AAAAAH5/91I=")</f>
        <v>#VALUE!</v>
      </c>
      <c r="CF23" t="e">
        <f>AND('Planilla_General_03-12-2012_9_3'!C358,"AAAAAH5/91M=")</f>
        <v>#VALUE!</v>
      </c>
      <c r="CG23" t="e">
        <f>AND('Planilla_General_03-12-2012_9_3'!D358,"AAAAAH5/91Q=")</f>
        <v>#VALUE!</v>
      </c>
      <c r="CH23" t="e">
        <f>AND('Planilla_General_03-12-2012_9_3'!E358,"AAAAAH5/91U=")</f>
        <v>#VALUE!</v>
      </c>
      <c r="CI23" t="e">
        <f>AND('Planilla_General_03-12-2012_9_3'!F358,"AAAAAH5/91Y=")</f>
        <v>#VALUE!</v>
      </c>
      <c r="CJ23" t="e">
        <f>AND('Planilla_General_03-12-2012_9_3'!G358,"AAAAAH5/91c=")</f>
        <v>#VALUE!</v>
      </c>
      <c r="CK23" t="e">
        <f>AND('Planilla_General_03-12-2012_9_3'!H358,"AAAAAH5/91g=")</f>
        <v>#VALUE!</v>
      </c>
      <c r="CL23" t="e">
        <f>AND('Planilla_General_03-12-2012_9_3'!I358,"AAAAAH5/91k=")</f>
        <v>#VALUE!</v>
      </c>
      <c r="CM23" t="e">
        <f>AND('Planilla_General_03-12-2012_9_3'!J358,"AAAAAH5/91o=")</f>
        <v>#VALUE!</v>
      </c>
      <c r="CN23" t="e">
        <f>AND('Planilla_General_03-12-2012_9_3'!K358,"AAAAAH5/91s=")</f>
        <v>#VALUE!</v>
      </c>
      <c r="CO23" t="e">
        <f>AND('Planilla_General_03-12-2012_9_3'!L358,"AAAAAH5/91w=")</f>
        <v>#VALUE!</v>
      </c>
      <c r="CP23" t="e">
        <f>AND('Planilla_General_03-12-2012_9_3'!M358,"AAAAAH5/910=")</f>
        <v>#VALUE!</v>
      </c>
      <c r="CQ23" t="e">
        <f>AND('Planilla_General_03-12-2012_9_3'!N358,"AAAAAH5/914=")</f>
        <v>#VALUE!</v>
      </c>
      <c r="CR23" t="e">
        <f>AND('Planilla_General_03-12-2012_9_3'!O358,"AAAAAH5/918=")</f>
        <v>#VALUE!</v>
      </c>
      <c r="CS23">
        <f>IF('Planilla_General_03-12-2012_9_3'!359:359,"AAAAAH5/92A=",0)</f>
        <v>0</v>
      </c>
      <c r="CT23" t="e">
        <f>AND('Planilla_General_03-12-2012_9_3'!A359,"AAAAAH5/92E=")</f>
        <v>#VALUE!</v>
      </c>
      <c r="CU23" t="e">
        <f>AND('Planilla_General_03-12-2012_9_3'!B359,"AAAAAH5/92I=")</f>
        <v>#VALUE!</v>
      </c>
      <c r="CV23" t="e">
        <f>AND('Planilla_General_03-12-2012_9_3'!C359,"AAAAAH5/92M=")</f>
        <v>#VALUE!</v>
      </c>
      <c r="CW23" t="e">
        <f>AND('Planilla_General_03-12-2012_9_3'!D359,"AAAAAH5/92Q=")</f>
        <v>#VALUE!</v>
      </c>
      <c r="CX23" t="e">
        <f>AND('Planilla_General_03-12-2012_9_3'!E359,"AAAAAH5/92U=")</f>
        <v>#VALUE!</v>
      </c>
      <c r="CY23" t="e">
        <f>AND('Planilla_General_03-12-2012_9_3'!F359,"AAAAAH5/92Y=")</f>
        <v>#VALUE!</v>
      </c>
      <c r="CZ23" t="e">
        <f>AND('Planilla_General_03-12-2012_9_3'!G359,"AAAAAH5/92c=")</f>
        <v>#VALUE!</v>
      </c>
      <c r="DA23" t="e">
        <f>AND('Planilla_General_03-12-2012_9_3'!H359,"AAAAAH5/92g=")</f>
        <v>#VALUE!</v>
      </c>
      <c r="DB23" t="e">
        <f>AND('Planilla_General_03-12-2012_9_3'!I359,"AAAAAH5/92k=")</f>
        <v>#VALUE!</v>
      </c>
      <c r="DC23" t="e">
        <f>AND('Planilla_General_03-12-2012_9_3'!J359,"AAAAAH5/92o=")</f>
        <v>#VALUE!</v>
      </c>
      <c r="DD23" t="e">
        <f>AND('Planilla_General_03-12-2012_9_3'!K359,"AAAAAH5/92s=")</f>
        <v>#VALUE!</v>
      </c>
      <c r="DE23" t="e">
        <f>AND('Planilla_General_03-12-2012_9_3'!L359,"AAAAAH5/92w=")</f>
        <v>#VALUE!</v>
      </c>
      <c r="DF23" t="e">
        <f>AND('Planilla_General_03-12-2012_9_3'!M359,"AAAAAH5/920=")</f>
        <v>#VALUE!</v>
      </c>
      <c r="DG23" t="e">
        <f>AND('Planilla_General_03-12-2012_9_3'!N359,"AAAAAH5/924=")</f>
        <v>#VALUE!</v>
      </c>
      <c r="DH23" t="e">
        <f>AND('Planilla_General_03-12-2012_9_3'!O359,"AAAAAH5/928=")</f>
        <v>#VALUE!</v>
      </c>
      <c r="DI23">
        <f>IF('Planilla_General_03-12-2012_9_3'!360:360,"AAAAAH5/93A=",0)</f>
        <v>0</v>
      </c>
      <c r="DJ23" t="e">
        <f>AND('Planilla_General_03-12-2012_9_3'!A360,"AAAAAH5/93E=")</f>
        <v>#VALUE!</v>
      </c>
      <c r="DK23" t="e">
        <f>AND('Planilla_General_03-12-2012_9_3'!B360,"AAAAAH5/93I=")</f>
        <v>#VALUE!</v>
      </c>
      <c r="DL23" t="e">
        <f>AND('Planilla_General_03-12-2012_9_3'!C360,"AAAAAH5/93M=")</f>
        <v>#VALUE!</v>
      </c>
      <c r="DM23" t="e">
        <f>AND('Planilla_General_03-12-2012_9_3'!D360,"AAAAAH5/93Q=")</f>
        <v>#VALUE!</v>
      </c>
      <c r="DN23" t="e">
        <f>AND('Planilla_General_03-12-2012_9_3'!E360,"AAAAAH5/93U=")</f>
        <v>#VALUE!</v>
      </c>
      <c r="DO23" t="e">
        <f>AND('Planilla_General_03-12-2012_9_3'!F360,"AAAAAH5/93Y=")</f>
        <v>#VALUE!</v>
      </c>
      <c r="DP23" t="e">
        <f>AND('Planilla_General_03-12-2012_9_3'!G360,"AAAAAH5/93c=")</f>
        <v>#VALUE!</v>
      </c>
      <c r="DQ23" t="e">
        <f>AND('Planilla_General_03-12-2012_9_3'!H360,"AAAAAH5/93g=")</f>
        <v>#VALUE!</v>
      </c>
      <c r="DR23" t="e">
        <f>AND('Planilla_General_03-12-2012_9_3'!I360,"AAAAAH5/93k=")</f>
        <v>#VALUE!</v>
      </c>
      <c r="DS23" t="e">
        <f>AND('Planilla_General_03-12-2012_9_3'!J360,"AAAAAH5/93o=")</f>
        <v>#VALUE!</v>
      </c>
      <c r="DT23" t="e">
        <f>AND('Planilla_General_03-12-2012_9_3'!K360,"AAAAAH5/93s=")</f>
        <v>#VALUE!</v>
      </c>
      <c r="DU23" t="e">
        <f>AND('Planilla_General_03-12-2012_9_3'!L360,"AAAAAH5/93w=")</f>
        <v>#VALUE!</v>
      </c>
      <c r="DV23" t="e">
        <f>AND('Planilla_General_03-12-2012_9_3'!M360,"AAAAAH5/930=")</f>
        <v>#VALUE!</v>
      </c>
      <c r="DW23" t="e">
        <f>AND('Planilla_General_03-12-2012_9_3'!N360,"AAAAAH5/934=")</f>
        <v>#VALUE!</v>
      </c>
      <c r="DX23" t="e">
        <f>AND('Planilla_General_03-12-2012_9_3'!O360,"AAAAAH5/938=")</f>
        <v>#VALUE!</v>
      </c>
      <c r="DY23">
        <f>IF('Planilla_General_03-12-2012_9_3'!361:361,"AAAAAH5/94A=",0)</f>
        <v>0</v>
      </c>
      <c r="DZ23" t="e">
        <f>AND('Planilla_General_03-12-2012_9_3'!A361,"AAAAAH5/94E=")</f>
        <v>#VALUE!</v>
      </c>
      <c r="EA23" t="e">
        <f>AND('Planilla_General_03-12-2012_9_3'!B361,"AAAAAH5/94I=")</f>
        <v>#VALUE!</v>
      </c>
      <c r="EB23" t="e">
        <f>AND('Planilla_General_03-12-2012_9_3'!C361,"AAAAAH5/94M=")</f>
        <v>#VALUE!</v>
      </c>
      <c r="EC23" t="e">
        <f>AND('Planilla_General_03-12-2012_9_3'!D361,"AAAAAH5/94Q=")</f>
        <v>#VALUE!</v>
      </c>
      <c r="ED23" t="e">
        <f>AND('Planilla_General_03-12-2012_9_3'!E361,"AAAAAH5/94U=")</f>
        <v>#VALUE!</v>
      </c>
      <c r="EE23" t="e">
        <f>AND('Planilla_General_03-12-2012_9_3'!F361,"AAAAAH5/94Y=")</f>
        <v>#VALUE!</v>
      </c>
      <c r="EF23" t="e">
        <f>AND('Planilla_General_03-12-2012_9_3'!G361,"AAAAAH5/94c=")</f>
        <v>#VALUE!</v>
      </c>
      <c r="EG23" t="e">
        <f>AND('Planilla_General_03-12-2012_9_3'!H361,"AAAAAH5/94g=")</f>
        <v>#VALUE!</v>
      </c>
      <c r="EH23" t="e">
        <f>AND('Planilla_General_03-12-2012_9_3'!I361,"AAAAAH5/94k=")</f>
        <v>#VALUE!</v>
      </c>
      <c r="EI23" t="e">
        <f>AND('Planilla_General_03-12-2012_9_3'!J361,"AAAAAH5/94o=")</f>
        <v>#VALUE!</v>
      </c>
      <c r="EJ23" t="e">
        <f>AND('Planilla_General_03-12-2012_9_3'!K361,"AAAAAH5/94s=")</f>
        <v>#VALUE!</v>
      </c>
      <c r="EK23" t="e">
        <f>AND('Planilla_General_03-12-2012_9_3'!L361,"AAAAAH5/94w=")</f>
        <v>#VALUE!</v>
      </c>
      <c r="EL23" t="e">
        <f>AND('Planilla_General_03-12-2012_9_3'!M361,"AAAAAH5/940=")</f>
        <v>#VALUE!</v>
      </c>
      <c r="EM23" t="e">
        <f>AND('Planilla_General_03-12-2012_9_3'!N361,"AAAAAH5/944=")</f>
        <v>#VALUE!</v>
      </c>
      <c r="EN23" t="e">
        <f>AND('Planilla_General_03-12-2012_9_3'!O361,"AAAAAH5/948=")</f>
        <v>#VALUE!</v>
      </c>
      <c r="EO23">
        <f>IF('Planilla_General_03-12-2012_9_3'!362:362,"AAAAAH5/95A=",0)</f>
        <v>0</v>
      </c>
      <c r="EP23" t="e">
        <f>AND('Planilla_General_03-12-2012_9_3'!A362,"AAAAAH5/95E=")</f>
        <v>#VALUE!</v>
      </c>
      <c r="EQ23" t="e">
        <f>AND('Planilla_General_03-12-2012_9_3'!B362,"AAAAAH5/95I=")</f>
        <v>#VALUE!</v>
      </c>
      <c r="ER23" t="e">
        <f>AND('Planilla_General_03-12-2012_9_3'!C362,"AAAAAH5/95M=")</f>
        <v>#VALUE!</v>
      </c>
      <c r="ES23" t="e">
        <f>AND('Planilla_General_03-12-2012_9_3'!D362,"AAAAAH5/95Q=")</f>
        <v>#VALUE!</v>
      </c>
      <c r="ET23" t="e">
        <f>AND('Planilla_General_03-12-2012_9_3'!E362,"AAAAAH5/95U=")</f>
        <v>#VALUE!</v>
      </c>
      <c r="EU23" t="e">
        <f>AND('Planilla_General_03-12-2012_9_3'!F362,"AAAAAH5/95Y=")</f>
        <v>#VALUE!</v>
      </c>
      <c r="EV23" t="e">
        <f>AND('Planilla_General_03-12-2012_9_3'!G362,"AAAAAH5/95c=")</f>
        <v>#VALUE!</v>
      </c>
      <c r="EW23" t="e">
        <f>AND('Planilla_General_03-12-2012_9_3'!H362,"AAAAAH5/95g=")</f>
        <v>#VALUE!</v>
      </c>
      <c r="EX23" t="e">
        <f>AND('Planilla_General_03-12-2012_9_3'!I362,"AAAAAH5/95k=")</f>
        <v>#VALUE!</v>
      </c>
      <c r="EY23" t="e">
        <f>AND('Planilla_General_03-12-2012_9_3'!J362,"AAAAAH5/95o=")</f>
        <v>#VALUE!</v>
      </c>
      <c r="EZ23" t="e">
        <f>AND('Planilla_General_03-12-2012_9_3'!K362,"AAAAAH5/95s=")</f>
        <v>#VALUE!</v>
      </c>
      <c r="FA23" t="e">
        <f>AND('Planilla_General_03-12-2012_9_3'!L362,"AAAAAH5/95w=")</f>
        <v>#VALUE!</v>
      </c>
      <c r="FB23" t="e">
        <f>AND('Planilla_General_03-12-2012_9_3'!M362,"AAAAAH5/950=")</f>
        <v>#VALUE!</v>
      </c>
      <c r="FC23" t="e">
        <f>AND('Planilla_General_03-12-2012_9_3'!N362,"AAAAAH5/954=")</f>
        <v>#VALUE!</v>
      </c>
      <c r="FD23" t="e">
        <f>AND('Planilla_General_03-12-2012_9_3'!O362,"AAAAAH5/958=")</f>
        <v>#VALUE!</v>
      </c>
      <c r="FE23">
        <f>IF('Planilla_General_03-12-2012_9_3'!363:363,"AAAAAH5/96A=",0)</f>
        <v>0</v>
      </c>
      <c r="FF23" t="e">
        <f>AND('Planilla_General_03-12-2012_9_3'!A363,"AAAAAH5/96E=")</f>
        <v>#VALUE!</v>
      </c>
      <c r="FG23" t="e">
        <f>AND('Planilla_General_03-12-2012_9_3'!B363,"AAAAAH5/96I=")</f>
        <v>#VALUE!</v>
      </c>
      <c r="FH23" t="e">
        <f>AND('Planilla_General_03-12-2012_9_3'!C363,"AAAAAH5/96M=")</f>
        <v>#VALUE!</v>
      </c>
      <c r="FI23" t="e">
        <f>AND('Planilla_General_03-12-2012_9_3'!D363,"AAAAAH5/96Q=")</f>
        <v>#VALUE!</v>
      </c>
      <c r="FJ23" t="e">
        <f>AND('Planilla_General_03-12-2012_9_3'!E363,"AAAAAH5/96U=")</f>
        <v>#VALUE!</v>
      </c>
      <c r="FK23" t="e">
        <f>AND('Planilla_General_03-12-2012_9_3'!F363,"AAAAAH5/96Y=")</f>
        <v>#VALUE!</v>
      </c>
      <c r="FL23" t="e">
        <f>AND('Planilla_General_03-12-2012_9_3'!G363,"AAAAAH5/96c=")</f>
        <v>#VALUE!</v>
      </c>
      <c r="FM23" t="e">
        <f>AND('Planilla_General_03-12-2012_9_3'!H363,"AAAAAH5/96g=")</f>
        <v>#VALUE!</v>
      </c>
      <c r="FN23" t="e">
        <f>AND('Planilla_General_03-12-2012_9_3'!I363,"AAAAAH5/96k=")</f>
        <v>#VALUE!</v>
      </c>
      <c r="FO23" t="e">
        <f>AND('Planilla_General_03-12-2012_9_3'!J363,"AAAAAH5/96o=")</f>
        <v>#VALUE!</v>
      </c>
      <c r="FP23" t="e">
        <f>AND('Planilla_General_03-12-2012_9_3'!K363,"AAAAAH5/96s=")</f>
        <v>#VALUE!</v>
      </c>
      <c r="FQ23" t="e">
        <f>AND('Planilla_General_03-12-2012_9_3'!L363,"AAAAAH5/96w=")</f>
        <v>#VALUE!</v>
      </c>
      <c r="FR23" t="e">
        <f>AND('Planilla_General_03-12-2012_9_3'!M363,"AAAAAH5/960=")</f>
        <v>#VALUE!</v>
      </c>
      <c r="FS23" t="e">
        <f>AND('Planilla_General_03-12-2012_9_3'!N363,"AAAAAH5/964=")</f>
        <v>#VALUE!</v>
      </c>
      <c r="FT23" t="e">
        <f>AND('Planilla_General_03-12-2012_9_3'!O363,"AAAAAH5/968=")</f>
        <v>#VALUE!</v>
      </c>
      <c r="FU23">
        <f>IF('Planilla_General_03-12-2012_9_3'!364:364,"AAAAAH5/97A=",0)</f>
        <v>0</v>
      </c>
      <c r="FV23" t="e">
        <f>AND('Planilla_General_03-12-2012_9_3'!A364,"AAAAAH5/97E=")</f>
        <v>#VALUE!</v>
      </c>
      <c r="FW23" t="e">
        <f>AND('Planilla_General_03-12-2012_9_3'!B364,"AAAAAH5/97I=")</f>
        <v>#VALUE!</v>
      </c>
      <c r="FX23" t="e">
        <f>AND('Planilla_General_03-12-2012_9_3'!C364,"AAAAAH5/97M=")</f>
        <v>#VALUE!</v>
      </c>
      <c r="FY23" t="e">
        <f>AND('Planilla_General_03-12-2012_9_3'!D364,"AAAAAH5/97Q=")</f>
        <v>#VALUE!</v>
      </c>
      <c r="FZ23" t="e">
        <f>AND('Planilla_General_03-12-2012_9_3'!E364,"AAAAAH5/97U=")</f>
        <v>#VALUE!</v>
      </c>
      <c r="GA23" t="e">
        <f>AND('Planilla_General_03-12-2012_9_3'!F364,"AAAAAH5/97Y=")</f>
        <v>#VALUE!</v>
      </c>
      <c r="GB23" t="e">
        <f>AND('Planilla_General_03-12-2012_9_3'!G364,"AAAAAH5/97c=")</f>
        <v>#VALUE!</v>
      </c>
      <c r="GC23" t="e">
        <f>AND('Planilla_General_03-12-2012_9_3'!H364,"AAAAAH5/97g=")</f>
        <v>#VALUE!</v>
      </c>
      <c r="GD23" t="e">
        <f>AND('Planilla_General_03-12-2012_9_3'!I364,"AAAAAH5/97k=")</f>
        <v>#VALUE!</v>
      </c>
      <c r="GE23" t="e">
        <f>AND('Planilla_General_03-12-2012_9_3'!J364,"AAAAAH5/97o=")</f>
        <v>#VALUE!</v>
      </c>
      <c r="GF23" t="e">
        <f>AND('Planilla_General_03-12-2012_9_3'!K364,"AAAAAH5/97s=")</f>
        <v>#VALUE!</v>
      </c>
      <c r="GG23" t="e">
        <f>AND('Planilla_General_03-12-2012_9_3'!L364,"AAAAAH5/97w=")</f>
        <v>#VALUE!</v>
      </c>
      <c r="GH23" t="e">
        <f>AND('Planilla_General_03-12-2012_9_3'!M364,"AAAAAH5/970=")</f>
        <v>#VALUE!</v>
      </c>
      <c r="GI23" t="e">
        <f>AND('Planilla_General_03-12-2012_9_3'!N364,"AAAAAH5/974=")</f>
        <v>#VALUE!</v>
      </c>
      <c r="GJ23" t="e">
        <f>AND('Planilla_General_03-12-2012_9_3'!O364,"AAAAAH5/978=")</f>
        <v>#VALUE!</v>
      </c>
      <c r="GK23">
        <f>IF('Planilla_General_03-12-2012_9_3'!365:365,"AAAAAH5/98A=",0)</f>
        <v>0</v>
      </c>
      <c r="GL23" t="e">
        <f>AND('Planilla_General_03-12-2012_9_3'!A365,"AAAAAH5/98E=")</f>
        <v>#VALUE!</v>
      </c>
      <c r="GM23" t="e">
        <f>AND('Planilla_General_03-12-2012_9_3'!B365,"AAAAAH5/98I=")</f>
        <v>#VALUE!</v>
      </c>
      <c r="GN23" t="e">
        <f>AND('Planilla_General_03-12-2012_9_3'!C365,"AAAAAH5/98M=")</f>
        <v>#VALUE!</v>
      </c>
      <c r="GO23" t="e">
        <f>AND('Planilla_General_03-12-2012_9_3'!D365,"AAAAAH5/98Q=")</f>
        <v>#VALUE!</v>
      </c>
      <c r="GP23" t="e">
        <f>AND('Planilla_General_03-12-2012_9_3'!E365,"AAAAAH5/98U=")</f>
        <v>#VALUE!</v>
      </c>
      <c r="GQ23" t="e">
        <f>AND('Planilla_General_03-12-2012_9_3'!F365,"AAAAAH5/98Y=")</f>
        <v>#VALUE!</v>
      </c>
      <c r="GR23" t="e">
        <f>AND('Planilla_General_03-12-2012_9_3'!G365,"AAAAAH5/98c=")</f>
        <v>#VALUE!</v>
      </c>
      <c r="GS23" t="e">
        <f>AND('Planilla_General_03-12-2012_9_3'!H365,"AAAAAH5/98g=")</f>
        <v>#VALUE!</v>
      </c>
      <c r="GT23" t="e">
        <f>AND('Planilla_General_03-12-2012_9_3'!I365,"AAAAAH5/98k=")</f>
        <v>#VALUE!</v>
      </c>
      <c r="GU23" t="e">
        <f>AND('Planilla_General_03-12-2012_9_3'!J365,"AAAAAH5/98o=")</f>
        <v>#VALUE!</v>
      </c>
      <c r="GV23" t="e">
        <f>AND('Planilla_General_03-12-2012_9_3'!K365,"AAAAAH5/98s=")</f>
        <v>#VALUE!</v>
      </c>
      <c r="GW23" t="e">
        <f>AND('Planilla_General_03-12-2012_9_3'!L365,"AAAAAH5/98w=")</f>
        <v>#VALUE!</v>
      </c>
      <c r="GX23" t="e">
        <f>AND('Planilla_General_03-12-2012_9_3'!M365,"AAAAAH5/980=")</f>
        <v>#VALUE!</v>
      </c>
      <c r="GY23" t="e">
        <f>AND('Planilla_General_03-12-2012_9_3'!N365,"AAAAAH5/984=")</f>
        <v>#VALUE!</v>
      </c>
      <c r="GZ23" t="e">
        <f>AND('Planilla_General_03-12-2012_9_3'!O365,"AAAAAH5/988=")</f>
        <v>#VALUE!</v>
      </c>
      <c r="HA23">
        <f>IF('Planilla_General_03-12-2012_9_3'!366:366,"AAAAAH5/99A=",0)</f>
        <v>0</v>
      </c>
      <c r="HB23" t="e">
        <f>AND('Planilla_General_03-12-2012_9_3'!A366,"AAAAAH5/99E=")</f>
        <v>#VALUE!</v>
      </c>
      <c r="HC23" t="e">
        <f>AND('Planilla_General_03-12-2012_9_3'!B366,"AAAAAH5/99I=")</f>
        <v>#VALUE!</v>
      </c>
      <c r="HD23" t="e">
        <f>AND('Planilla_General_03-12-2012_9_3'!C366,"AAAAAH5/99M=")</f>
        <v>#VALUE!</v>
      </c>
      <c r="HE23" t="e">
        <f>AND('Planilla_General_03-12-2012_9_3'!D366,"AAAAAH5/99Q=")</f>
        <v>#VALUE!</v>
      </c>
      <c r="HF23" t="e">
        <f>AND('Planilla_General_03-12-2012_9_3'!E366,"AAAAAH5/99U=")</f>
        <v>#VALUE!</v>
      </c>
      <c r="HG23" t="e">
        <f>AND('Planilla_General_03-12-2012_9_3'!F366,"AAAAAH5/99Y=")</f>
        <v>#VALUE!</v>
      </c>
      <c r="HH23" t="e">
        <f>AND('Planilla_General_03-12-2012_9_3'!G366,"AAAAAH5/99c=")</f>
        <v>#VALUE!</v>
      </c>
      <c r="HI23" t="e">
        <f>AND('Planilla_General_03-12-2012_9_3'!H366,"AAAAAH5/99g=")</f>
        <v>#VALUE!</v>
      </c>
      <c r="HJ23" t="e">
        <f>AND('Planilla_General_03-12-2012_9_3'!I366,"AAAAAH5/99k=")</f>
        <v>#VALUE!</v>
      </c>
      <c r="HK23" t="e">
        <f>AND('Planilla_General_03-12-2012_9_3'!J366,"AAAAAH5/99o=")</f>
        <v>#VALUE!</v>
      </c>
      <c r="HL23" t="e">
        <f>AND('Planilla_General_03-12-2012_9_3'!K366,"AAAAAH5/99s=")</f>
        <v>#VALUE!</v>
      </c>
      <c r="HM23" t="e">
        <f>AND('Planilla_General_03-12-2012_9_3'!L366,"AAAAAH5/99w=")</f>
        <v>#VALUE!</v>
      </c>
      <c r="HN23" t="e">
        <f>AND('Planilla_General_03-12-2012_9_3'!M366,"AAAAAH5/990=")</f>
        <v>#VALUE!</v>
      </c>
      <c r="HO23" t="e">
        <f>AND('Planilla_General_03-12-2012_9_3'!N366,"AAAAAH5/994=")</f>
        <v>#VALUE!</v>
      </c>
      <c r="HP23" t="e">
        <f>AND('Planilla_General_03-12-2012_9_3'!O366,"AAAAAH5/998=")</f>
        <v>#VALUE!</v>
      </c>
      <c r="HQ23">
        <f>IF('Planilla_General_03-12-2012_9_3'!367:367,"AAAAAH5/9+A=",0)</f>
        <v>0</v>
      </c>
      <c r="HR23" t="e">
        <f>AND('Planilla_General_03-12-2012_9_3'!A367,"AAAAAH5/9+E=")</f>
        <v>#VALUE!</v>
      </c>
      <c r="HS23" t="e">
        <f>AND('Planilla_General_03-12-2012_9_3'!B367,"AAAAAH5/9+I=")</f>
        <v>#VALUE!</v>
      </c>
      <c r="HT23" t="e">
        <f>AND('Planilla_General_03-12-2012_9_3'!C367,"AAAAAH5/9+M=")</f>
        <v>#VALUE!</v>
      </c>
      <c r="HU23" t="e">
        <f>AND('Planilla_General_03-12-2012_9_3'!D367,"AAAAAH5/9+Q=")</f>
        <v>#VALUE!</v>
      </c>
      <c r="HV23" t="e">
        <f>AND('Planilla_General_03-12-2012_9_3'!E367,"AAAAAH5/9+U=")</f>
        <v>#VALUE!</v>
      </c>
      <c r="HW23" t="e">
        <f>AND('Planilla_General_03-12-2012_9_3'!F367,"AAAAAH5/9+Y=")</f>
        <v>#VALUE!</v>
      </c>
      <c r="HX23" t="e">
        <f>AND('Planilla_General_03-12-2012_9_3'!G367,"AAAAAH5/9+c=")</f>
        <v>#VALUE!</v>
      </c>
      <c r="HY23" t="e">
        <f>AND('Planilla_General_03-12-2012_9_3'!H367,"AAAAAH5/9+g=")</f>
        <v>#VALUE!</v>
      </c>
      <c r="HZ23" t="e">
        <f>AND('Planilla_General_03-12-2012_9_3'!I367,"AAAAAH5/9+k=")</f>
        <v>#VALUE!</v>
      </c>
      <c r="IA23" t="e">
        <f>AND('Planilla_General_03-12-2012_9_3'!J367,"AAAAAH5/9+o=")</f>
        <v>#VALUE!</v>
      </c>
      <c r="IB23" t="e">
        <f>AND('Planilla_General_03-12-2012_9_3'!K367,"AAAAAH5/9+s=")</f>
        <v>#VALUE!</v>
      </c>
      <c r="IC23" t="e">
        <f>AND('Planilla_General_03-12-2012_9_3'!L367,"AAAAAH5/9+w=")</f>
        <v>#VALUE!</v>
      </c>
      <c r="ID23" t="e">
        <f>AND('Planilla_General_03-12-2012_9_3'!M367,"AAAAAH5/9+0=")</f>
        <v>#VALUE!</v>
      </c>
      <c r="IE23" t="e">
        <f>AND('Planilla_General_03-12-2012_9_3'!N367,"AAAAAH5/9+4=")</f>
        <v>#VALUE!</v>
      </c>
      <c r="IF23" t="e">
        <f>AND('Planilla_General_03-12-2012_9_3'!O367,"AAAAAH5/9+8=")</f>
        <v>#VALUE!</v>
      </c>
      <c r="IG23">
        <f>IF('Planilla_General_03-12-2012_9_3'!368:368,"AAAAAH5/9/A=",0)</f>
        <v>0</v>
      </c>
      <c r="IH23" t="e">
        <f>AND('Planilla_General_03-12-2012_9_3'!A368,"AAAAAH5/9/E=")</f>
        <v>#VALUE!</v>
      </c>
      <c r="II23" t="e">
        <f>AND('Planilla_General_03-12-2012_9_3'!B368,"AAAAAH5/9/I=")</f>
        <v>#VALUE!</v>
      </c>
      <c r="IJ23" t="e">
        <f>AND('Planilla_General_03-12-2012_9_3'!C368,"AAAAAH5/9/M=")</f>
        <v>#VALUE!</v>
      </c>
      <c r="IK23" t="e">
        <f>AND('Planilla_General_03-12-2012_9_3'!D368,"AAAAAH5/9/Q=")</f>
        <v>#VALUE!</v>
      </c>
      <c r="IL23" t="e">
        <f>AND('Planilla_General_03-12-2012_9_3'!E368,"AAAAAH5/9/U=")</f>
        <v>#VALUE!</v>
      </c>
      <c r="IM23" t="e">
        <f>AND('Planilla_General_03-12-2012_9_3'!F368,"AAAAAH5/9/Y=")</f>
        <v>#VALUE!</v>
      </c>
      <c r="IN23" t="e">
        <f>AND('Planilla_General_03-12-2012_9_3'!G368,"AAAAAH5/9/c=")</f>
        <v>#VALUE!</v>
      </c>
      <c r="IO23" t="e">
        <f>AND('Planilla_General_03-12-2012_9_3'!H368,"AAAAAH5/9/g=")</f>
        <v>#VALUE!</v>
      </c>
      <c r="IP23" t="e">
        <f>AND('Planilla_General_03-12-2012_9_3'!I368,"AAAAAH5/9/k=")</f>
        <v>#VALUE!</v>
      </c>
      <c r="IQ23" t="e">
        <f>AND('Planilla_General_03-12-2012_9_3'!J368,"AAAAAH5/9/o=")</f>
        <v>#VALUE!</v>
      </c>
      <c r="IR23" t="e">
        <f>AND('Planilla_General_03-12-2012_9_3'!K368,"AAAAAH5/9/s=")</f>
        <v>#VALUE!</v>
      </c>
      <c r="IS23" t="e">
        <f>AND('Planilla_General_03-12-2012_9_3'!L368,"AAAAAH5/9/w=")</f>
        <v>#VALUE!</v>
      </c>
      <c r="IT23" t="e">
        <f>AND('Planilla_General_03-12-2012_9_3'!M368,"AAAAAH5/9/0=")</f>
        <v>#VALUE!</v>
      </c>
      <c r="IU23" t="e">
        <f>AND('Planilla_General_03-12-2012_9_3'!N368,"AAAAAH5/9/4=")</f>
        <v>#VALUE!</v>
      </c>
      <c r="IV23" t="e">
        <f>AND('Planilla_General_03-12-2012_9_3'!O368,"AAAAAH5/9/8=")</f>
        <v>#VALUE!</v>
      </c>
    </row>
    <row r="24" spans="1:256" x14ac:dyDescent="0.25">
      <c r="A24" t="e">
        <f>IF('Planilla_General_03-12-2012_9_3'!369:369,"AAAAAFztvwA=",0)</f>
        <v>#VALUE!</v>
      </c>
      <c r="B24" t="e">
        <f>AND('Planilla_General_03-12-2012_9_3'!A369,"AAAAAFztvwE=")</f>
        <v>#VALUE!</v>
      </c>
      <c r="C24" t="e">
        <f>AND('Planilla_General_03-12-2012_9_3'!B369,"AAAAAFztvwI=")</f>
        <v>#VALUE!</v>
      </c>
      <c r="D24" t="e">
        <f>AND('Planilla_General_03-12-2012_9_3'!C369,"AAAAAFztvwM=")</f>
        <v>#VALUE!</v>
      </c>
      <c r="E24" t="e">
        <f>AND('Planilla_General_03-12-2012_9_3'!D369,"AAAAAFztvwQ=")</f>
        <v>#VALUE!</v>
      </c>
      <c r="F24" t="e">
        <f>AND('Planilla_General_03-12-2012_9_3'!E369,"AAAAAFztvwU=")</f>
        <v>#VALUE!</v>
      </c>
      <c r="G24" t="e">
        <f>AND('Planilla_General_03-12-2012_9_3'!F369,"AAAAAFztvwY=")</f>
        <v>#VALUE!</v>
      </c>
      <c r="H24" t="e">
        <f>AND('Planilla_General_03-12-2012_9_3'!G369,"AAAAAFztvwc=")</f>
        <v>#VALUE!</v>
      </c>
      <c r="I24" t="e">
        <f>AND('Planilla_General_03-12-2012_9_3'!H369,"AAAAAFztvwg=")</f>
        <v>#VALUE!</v>
      </c>
      <c r="J24" t="e">
        <f>AND('Planilla_General_03-12-2012_9_3'!I369,"AAAAAFztvwk=")</f>
        <v>#VALUE!</v>
      </c>
      <c r="K24" t="e">
        <f>AND('Planilla_General_03-12-2012_9_3'!J369,"AAAAAFztvwo=")</f>
        <v>#VALUE!</v>
      </c>
      <c r="L24" t="e">
        <f>AND('Planilla_General_03-12-2012_9_3'!K369,"AAAAAFztvws=")</f>
        <v>#VALUE!</v>
      </c>
      <c r="M24" t="e">
        <f>AND('Planilla_General_03-12-2012_9_3'!L369,"AAAAAFztvww=")</f>
        <v>#VALUE!</v>
      </c>
      <c r="N24" t="e">
        <f>AND('Planilla_General_03-12-2012_9_3'!M369,"AAAAAFztvw0=")</f>
        <v>#VALUE!</v>
      </c>
      <c r="O24" t="e">
        <f>AND('Planilla_General_03-12-2012_9_3'!N369,"AAAAAFztvw4=")</f>
        <v>#VALUE!</v>
      </c>
      <c r="P24" t="e">
        <f>AND('Planilla_General_03-12-2012_9_3'!O369,"AAAAAFztvw8=")</f>
        <v>#VALUE!</v>
      </c>
      <c r="Q24">
        <f>IF('Planilla_General_03-12-2012_9_3'!370:370,"AAAAAFztvxA=",0)</f>
        <v>0</v>
      </c>
      <c r="R24" t="e">
        <f>AND('Planilla_General_03-12-2012_9_3'!A370,"AAAAAFztvxE=")</f>
        <v>#VALUE!</v>
      </c>
      <c r="S24" t="e">
        <f>AND('Planilla_General_03-12-2012_9_3'!B370,"AAAAAFztvxI=")</f>
        <v>#VALUE!</v>
      </c>
      <c r="T24" t="e">
        <f>AND('Planilla_General_03-12-2012_9_3'!C370,"AAAAAFztvxM=")</f>
        <v>#VALUE!</v>
      </c>
      <c r="U24" t="e">
        <f>AND('Planilla_General_03-12-2012_9_3'!D370,"AAAAAFztvxQ=")</f>
        <v>#VALUE!</v>
      </c>
      <c r="V24" t="e">
        <f>AND('Planilla_General_03-12-2012_9_3'!E370,"AAAAAFztvxU=")</f>
        <v>#VALUE!</v>
      </c>
      <c r="W24" t="e">
        <f>AND('Planilla_General_03-12-2012_9_3'!F370,"AAAAAFztvxY=")</f>
        <v>#VALUE!</v>
      </c>
      <c r="X24" t="e">
        <f>AND('Planilla_General_03-12-2012_9_3'!G370,"AAAAAFztvxc=")</f>
        <v>#VALUE!</v>
      </c>
      <c r="Y24" t="e">
        <f>AND('Planilla_General_03-12-2012_9_3'!H370,"AAAAAFztvxg=")</f>
        <v>#VALUE!</v>
      </c>
      <c r="Z24" t="e">
        <f>AND('Planilla_General_03-12-2012_9_3'!I370,"AAAAAFztvxk=")</f>
        <v>#VALUE!</v>
      </c>
      <c r="AA24" t="e">
        <f>AND('Planilla_General_03-12-2012_9_3'!J370,"AAAAAFztvxo=")</f>
        <v>#VALUE!</v>
      </c>
      <c r="AB24" t="e">
        <f>AND('Planilla_General_03-12-2012_9_3'!K370,"AAAAAFztvxs=")</f>
        <v>#VALUE!</v>
      </c>
      <c r="AC24" t="e">
        <f>AND('Planilla_General_03-12-2012_9_3'!L370,"AAAAAFztvxw=")</f>
        <v>#VALUE!</v>
      </c>
      <c r="AD24" t="e">
        <f>AND('Planilla_General_03-12-2012_9_3'!M370,"AAAAAFztvx0=")</f>
        <v>#VALUE!</v>
      </c>
      <c r="AE24" t="e">
        <f>AND('Planilla_General_03-12-2012_9_3'!N370,"AAAAAFztvx4=")</f>
        <v>#VALUE!</v>
      </c>
      <c r="AF24" t="e">
        <f>AND('Planilla_General_03-12-2012_9_3'!O370,"AAAAAFztvx8=")</f>
        <v>#VALUE!</v>
      </c>
      <c r="AG24">
        <f>IF('Planilla_General_03-12-2012_9_3'!371:371,"AAAAAFztvyA=",0)</f>
        <v>0</v>
      </c>
      <c r="AH24" t="e">
        <f>AND('Planilla_General_03-12-2012_9_3'!A371,"AAAAAFztvyE=")</f>
        <v>#VALUE!</v>
      </c>
      <c r="AI24" t="e">
        <f>AND('Planilla_General_03-12-2012_9_3'!B371,"AAAAAFztvyI=")</f>
        <v>#VALUE!</v>
      </c>
      <c r="AJ24" t="e">
        <f>AND('Planilla_General_03-12-2012_9_3'!C371,"AAAAAFztvyM=")</f>
        <v>#VALUE!</v>
      </c>
      <c r="AK24" t="e">
        <f>AND('Planilla_General_03-12-2012_9_3'!D371,"AAAAAFztvyQ=")</f>
        <v>#VALUE!</v>
      </c>
      <c r="AL24" t="e">
        <f>AND('Planilla_General_03-12-2012_9_3'!E371,"AAAAAFztvyU=")</f>
        <v>#VALUE!</v>
      </c>
      <c r="AM24" t="e">
        <f>AND('Planilla_General_03-12-2012_9_3'!F371,"AAAAAFztvyY=")</f>
        <v>#VALUE!</v>
      </c>
      <c r="AN24" t="e">
        <f>AND('Planilla_General_03-12-2012_9_3'!G371,"AAAAAFztvyc=")</f>
        <v>#VALUE!</v>
      </c>
      <c r="AO24" t="e">
        <f>AND('Planilla_General_03-12-2012_9_3'!H371,"AAAAAFztvyg=")</f>
        <v>#VALUE!</v>
      </c>
      <c r="AP24" t="e">
        <f>AND('Planilla_General_03-12-2012_9_3'!I371,"AAAAAFztvyk=")</f>
        <v>#VALUE!</v>
      </c>
      <c r="AQ24" t="e">
        <f>AND('Planilla_General_03-12-2012_9_3'!J371,"AAAAAFztvyo=")</f>
        <v>#VALUE!</v>
      </c>
      <c r="AR24" t="e">
        <f>AND('Planilla_General_03-12-2012_9_3'!K371,"AAAAAFztvys=")</f>
        <v>#VALUE!</v>
      </c>
      <c r="AS24" t="e">
        <f>AND('Planilla_General_03-12-2012_9_3'!L371,"AAAAAFztvyw=")</f>
        <v>#VALUE!</v>
      </c>
      <c r="AT24" t="e">
        <f>AND('Planilla_General_03-12-2012_9_3'!M371,"AAAAAFztvy0=")</f>
        <v>#VALUE!</v>
      </c>
      <c r="AU24" t="e">
        <f>AND('Planilla_General_03-12-2012_9_3'!N371,"AAAAAFztvy4=")</f>
        <v>#VALUE!</v>
      </c>
      <c r="AV24" t="e">
        <f>AND('Planilla_General_03-12-2012_9_3'!O371,"AAAAAFztvy8=")</f>
        <v>#VALUE!</v>
      </c>
      <c r="AW24">
        <f>IF('Planilla_General_03-12-2012_9_3'!372:372,"AAAAAFztvzA=",0)</f>
        <v>0</v>
      </c>
      <c r="AX24" t="e">
        <f>AND('Planilla_General_03-12-2012_9_3'!A372,"AAAAAFztvzE=")</f>
        <v>#VALUE!</v>
      </c>
      <c r="AY24" t="e">
        <f>AND('Planilla_General_03-12-2012_9_3'!B372,"AAAAAFztvzI=")</f>
        <v>#VALUE!</v>
      </c>
      <c r="AZ24" t="e">
        <f>AND('Planilla_General_03-12-2012_9_3'!C372,"AAAAAFztvzM=")</f>
        <v>#VALUE!</v>
      </c>
      <c r="BA24" t="e">
        <f>AND('Planilla_General_03-12-2012_9_3'!D372,"AAAAAFztvzQ=")</f>
        <v>#VALUE!</v>
      </c>
      <c r="BB24" t="e">
        <f>AND('Planilla_General_03-12-2012_9_3'!E372,"AAAAAFztvzU=")</f>
        <v>#VALUE!</v>
      </c>
      <c r="BC24" t="e">
        <f>AND('Planilla_General_03-12-2012_9_3'!F372,"AAAAAFztvzY=")</f>
        <v>#VALUE!</v>
      </c>
      <c r="BD24" t="e">
        <f>AND('Planilla_General_03-12-2012_9_3'!G372,"AAAAAFztvzc=")</f>
        <v>#VALUE!</v>
      </c>
      <c r="BE24" t="e">
        <f>AND('Planilla_General_03-12-2012_9_3'!H372,"AAAAAFztvzg=")</f>
        <v>#VALUE!</v>
      </c>
      <c r="BF24" t="e">
        <f>AND('Planilla_General_03-12-2012_9_3'!I372,"AAAAAFztvzk=")</f>
        <v>#VALUE!</v>
      </c>
      <c r="BG24" t="e">
        <f>AND('Planilla_General_03-12-2012_9_3'!J372,"AAAAAFztvzo=")</f>
        <v>#VALUE!</v>
      </c>
      <c r="BH24" t="e">
        <f>AND('Planilla_General_03-12-2012_9_3'!K372,"AAAAAFztvzs=")</f>
        <v>#VALUE!</v>
      </c>
      <c r="BI24" t="e">
        <f>AND('Planilla_General_03-12-2012_9_3'!L372,"AAAAAFztvzw=")</f>
        <v>#VALUE!</v>
      </c>
      <c r="BJ24" t="e">
        <f>AND('Planilla_General_03-12-2012_9_3'!M372,"AAAAAFztvz0=")</f>
        <v>#VALUE!</v>
      </c>
      <c r="BK24" t="e">
        <f>AND('Planilla_General_03-12-2012_9_3'!N372,"AAAAAFztvz4=")</f>
        <v>#VALUE!</v>
      </c>
      <c r="BL24" t="e">
        <f>AND('Planilla_General_03-12-2012_9_3'!O372,"AAAAAFztvz8=")</f>
        <v>#VALUE!</v>
      </c>
      <c r="BM24">
        <f>IF('Planilla_General_03-12-2012_9_3'!373:373,"AAAAAFztv0A=",0)</f>
        <v>0</v>
      </c>
      <c r="BN24" t="e">
        <f>AND('Planilla_General_03-12-2012_9_3'!A373,"AAAAAFztv0E=")</f>
        <v>#VALUE!</v>
      </c>
      <c r="BO24" t="e">
        <f>AND('Planilla_General_03-12-2012_9_3'!B373,"AAAAAFztv0I=")</f>
        <v>#VALUE!</v>
      </c>
      <c r="BP24" t="e">
        <f>AND('Planilla_General_03-12-2012_9_3'!C373,"AAAAAFztv0M=")</f>
        <v>#VALUE!</v>
      </c>
      <c r="BQ24" t="e">
        <f>AND('Planilla_General_03-12-2012_9_3'!D373,"AAAAAFztv0Q=")</f>
        <v>#VALUE!</v>
      </c>
      <c r="BR24" t="e">
        <f>AND('Planilla_General_03-12-2012_9_3'!E373,"AAAAAFztv0U=")</f>
        <v>#VALUE!</v>
      </c>
      <c r="BS24" t="e">
        <f>AND('Planilla_General_03-12-2012_9_3'!F373,"AAAAAFztv0Y=")</f>
        <v>#VALUE!</v>
      </c>
      <c r="BT24" t="e">
        <f>AND('Planilla_General_03-12-2012_9_3'!G373,"AAAAAFztv0c=")</f>
        <v>#VALUE!</v>
      </c>
      <c r="BU24" t="e">
        <f>AND('Planilla_General_03-12-2012_9_3'!H373,"AAAAAFztv0g=")</f>
        <v>#VALUE!</v>
      </c>
      <c r="BV24" t="e">
        <f>AND('Planilla_General_03-12-2012_9_3'!I373,"AAAAAFztv0k=")</f>
        <v>#VALUE!</v>
      </c>
      <c r="BW24" t="e">
        <f>AND('Planilla_General_03-12-2012_9_3'!J373,"AAAAAFztv0o=")</f>
        <v>#VALUE!</v>
      </c>
      <c r="BX24" t="e">
        <f>AND('Planilla_General_03-12-2012_9_3'!K373,"AAAAAFztv0s=")</f>
        <v>#VALUE!</v>
      </c>
      <c r="BY24" t="e">
        <f>AND('Planilla_General_03-12-2012_9_3'!L373,"AAAAAFztv0w=")</f>
        <v>#VALUE!</v>
      </c>
      <c r="BZ24" t="e">
        <f>AND('Planilla_General_03-12-2012_9_3'!M373,"AAAAAFztv00=")</f>
        <v>#VALUE!</v>
      </c>
      <c r="CA24" t="e">
        <f>AND('Planilla_General_03-12-2012_9_3'!N373,"AAAAAFztv04=")</f>
        <v>#VALUE!</v>
      </c>
      <c r="CB24" t="e">
        <f>AND('Planilla_General_03-12-2012_9_3'!O373,"AAAAAFztv08=")</f>
        <v>#VALUE!</v>
      </c>
      <c r="CC24">
        <f>IF('Planilla_General_03-12-2012_9_3'!374:374,"AAAAAFztv1A=",0)</f>
        <v>0</v>
      </c>
      <c r="CD24" t="e">
        <f>AND('Planilla_General_03-12-2012_9_3'!A374,"AAAAAFztv1E=")</f>
        <v>#VALUE!</v>
      </c>
      <c r="CE24" t="e">
        <f>AND('Planilla_General_03-12-2012_9_3'!B374,"AAAAAFztv1I=")</f>
        <v>#VALUE!</v>
      </c>
      <c r="CF24" t="e">
        <f>AND('Planilla_General_03-12-2012_9_3'!C374,"AAAAAFztv1M=")</f>
        <v>#VALUE!</v>
      </c>
      <c r="CG24" t="e">
        <f>AND('Planilla_General_03-12-2012_9_3'!D374,"AAAAAFztv1Q=")</f>
        <v>#VALUE!</v>
      </c>
      <c r="CH24" t="e">
        <f>AND('Planilla_General_03-12-2012_9_3'!E374,"AAAAAFztv1U=")</f>
        <v>#VALUE!</v>
      </c>
      <c r="CI24" t="e">
        <f>AND('Planilla_General_03-12-2012_9_3'!F374,"AAAAAFztv1Y=")</f>
        <v>#VALUE!</v>
      </c>
      <c r="CJ24" t="e">
        <f>AND('Planilla_General_03-12-2012_9_3'!G374,"AAAAAFztv1c=")</f>
        <v>#VALUE!</v>
      </c>
      <c r="CK24" t="e">
        <f>AND('Planilla_General_03-12-2012_9_3'!H374,"AAAAAFztv1g=")</f>
        <v>#VALUE!</v>
      </c>
      <c r="CL24" t="e">
        <f>AND('Planilla_General_03-12-2012_9_3'!I374,"AAAAAFztv1k=")</f>
        <v>#VALUE!</v>
      </c>
      <c r="CM24" t="e">
        <f>AND('Planilla_General_03-12-2012_9_3'!J374,"AAAAAFztv1o=")</f>
        <v>#VALUE!</v>
      </c>
      <c r="CN24" t="e">
        <f>AND('Planilla_General_03-12-2012_9_3'!K374,"AAAAAFztv1s=")</f>
        <v>#VALUE!</v>
      </c>
      <c r="CO24" t="e">
        <f>AND('Planilla_General_03-12-2012_9_3'!L374,"AAAAAFztv1w=")</f>
        <v>#VALUE!</v>
      </c>
      <c r="CP24" t="e">
        <f>AND('Planilla_General_03-12-2012_9_3'!M374,"AAAAAFztv10=")</f>
        <v>#VALUE!</v>
      </c>
      <c r="CQ24" t="e">
        <f>AND('Planilla_General_03-12-2012_9_3'!N374,"AAAAAFztv14=")</f>
        <v>#VALUE!</v>
      </c>
      <c r="CR24" t="e">
        <f>AND('Planilla_General_03-12-2012_9_3'!O374,"AAAAAFztv18=")</f>
        <v>#VALUE!</v>
      </c>
      <c r="CS24">
        <f>IF('Planilla_General_03-12-2012_9_3'!375:375,"AAAAAFztv2A=",0)</f>
        <v>0</v>
      </c>
      <c r="CT24" t="e">
        <f>AND('Planilla_General_03-12-2012_9_3'!A375,"AAAAAFztv2E=")</f>
        <v>#VALUE!</v>
      </c>
      <c r="CU24" t="e">
        <f>AND('Planilla_General_03-12-2012_9_3'!B375,"AAAAAFztv2I=")</f>
        <v>#VALUE!</v>
      </c>
      <c r="CV24" t="e">
        <f>AND('Planilla_General_03-12-2012_9_3'!C375,"AAAAAFztv2M=")</f>
        <v>#VALUE!</v>
      </c>
      <c r="CW24" t="e">
        <f>AND('Planilla_General_03-12-2012_9_3'!D375,"AAAAAFztv2Q=")</f>
        <v>#VALUE!</v>
      </c>
      <c r="CX24" t="e">
        <f>AND('Planilla_General_03-12-2012_9_3'!E375,"AAAAAFztv2U=")</f>
        <v>#VALUE!</v>
      </c>
      <c r="CY24" t="e">
        <f>AND('Planilla_General_03-12-2012_9_3'!F375,"AAAAAFztv2Y=")</f>
        <v>#VALUE!</v>
      </c>
      <c r="CZ24" t="e">
        <f>AND('Planilla_General_03-12-2012_9_3'!G375,"AAAAAFztv2c=")</f>
        <v>#VALUE!</v>
      </c>
      <c r="DA24" t="e">
        <f>AND('Planilla_General_03-12-2012_9_3'!H375,"AAAAAFztv2g=")</f>
        <v>#VALUE!</v>
      </c>
      <c r="DB24" t="e">
        <f>AND('Planilla_General_03-12-2012_9_3'!I375,"AAAAAFztv2k=")</f>
        <v>#VALUE!</v>
      </c>
      <c r="DC24" t="e">
        <f>AND('Planilla_General_03-12-2012_9_3'!J375,"AAAAAFztv2o=")</f>
        <v>#VALUE!</v>
      </c>
      <c r="DD24" t="e">
        <f>AND('Planilla_General_03-12-2012_9_3'!K375,"AAAAAFztv2s=")</f>
        <v>#VALUE!</v>
      </c>
      <c r="DE24" t="e">
        <f>AND('Planilla_General_03-12-2012_9_3'!L375,"AAAAAFztv2w=")</f>
        <v>#VALUE!</v>
      </c>
      <c r="DF24" t="e">
        <f>AND('Planilla_General_03-12-2012_9_3'!M375,"AAAAAFztv20=")</f>
        <v>#VALUE!</v>
      </c>
      <c r="DG24" t="e">
        <f>AND('Planilla_General_03-12-2012_9_3'!N375,"AAAAAFztv24=")</f>
        <v>#VALUE!</v>
      </c>
      <c r="DH24" t="e">
        <f>AND('Planilla_General_03-12-2012_9_3'!O375,"AAAAAFztv28=")</f>
        <v>#VALUE!</v>
      </c>
      <c r="DI24">
        <f>IF('Planilla_General_03-12-2012_9_3'!376:376,"AAAAAFztv3A=",0)</f>
        <v>0</v>
      </c>
      <c r="DJ24" t="e">
        <f>AND('Planilla_General_03-12-2012_9_3'!A376,"AAAAAFztv3E=")</f>
        <v>#VALUE!</v>
      </c>
      <c r="DK24" t="e">
        <f>AND('Planilla_General_03-12-2012_9_3'!B376,"AAAAAFztv3I=")</f>
        <v>#VALUE!</v>
      </c>
      <c r="DL24" t="e">
        <f>AND('Planilla_General_03-12-2012_9_3'!C376,"AAAAAFztv3M=")</f>
        <v>#VALUE!</v>
      </c>
      <c r="DM24" t="e">
        <f>AND('Planilla_General_03-12-2012_9_3'!D376,"AAAAAFztv3Q=")</f>
        <v>#VALUE!</v>
      </c>
      <c r="DN24" t="e">
        <f>AND('Planilla_General_03-12-2012_9_3'!E376,"AAAAAFztv3U=")</f>
        <v>#VALUE!</v>
      </c>
      <c r="DO24" t="e">
        <f>AND('Planilla_General_03-12-2012_9_3'!F376,"AAAAAFztv3Y=")</f>
        <v>#VALUE!</v>
      </c>
      <c r="DP24" t="e">
        <f>AND('Planilla_General_03-12-2012_9_3'!G376,"AAAAAFztv3c=")</f>
        <v>#VALUE!</v>
      </c>
      <c r="DQ24" t="e">
        <f>AND('Planilla_General_03-12-2012_9_3'!H376,"AAAAAFztv3g=")</f>
        <v>#VALUE!</v>
      </c>
      <c r="DR24" t="e">
        <f>AND('Planilla_General_03-12-2012_9_3'!I376,"AAAAAFztv3k=")</f>
        <v>#VALUE!</v>
      </c>
      <c r="DS24" t="e">
        <f>AND('Planilla_General_03-12-2012_9_3'!J376,"AAAAAFztv3o=")</f>
        <v>#VALUE!</v>
      </c>
      <c r="DT24" t="e">
        <f>AND('Planilla_General_03-12-2012_9_3'!K376,"AAAAAFztv3s=")</f>
        <v>#VALUE!</v>
      </c>
      <c r="DU24" t="e">
        <f>AND('Planilla_General_03-12-2012_9_3'!L376,"AAAAAFztv3w=")</f>
        <v>#VALUE!</v>
      </c>
      <c r="DV24" t="e">
        <f>AND('Planilla_General_03-12-2012_9_3'!M376,"AAAAAFztv30=")</f>
        <v>#VALUE!</v>
      </c>
      <c r="DW24" t="e">
        <f>AND('Planilla_General_03-12-2012_9_3'!N376,"AAAAAFztv34=")</f>
        <v>#VALUE!</v>
      </c>
      <c r="DX24" t="e">
        <f>AND('Planilla_General_03-12-2012_9_3'!O376,"AAAAAFztv38=")</f>
        <v>#VALUE!</v>
      </c>
      <c r="DY24">
        <f>IF('Planilla_General_03-12-2012_9_3'!377:377,"AAAAAFztv4A=",0)</f>
        <v>0</v>
      </c>
      <c r="DZ24" t="e">
        <f>AND('Planilla_General_03-12-2012_9_3'!A377,"AAAAAFztv4E=")</f>
        <v>#VALUE!</v>
      </c>
      <c r="EA24" t="e">
        <f>AND('Planilla_General_03-12-2012_9_3'!B377,"AAAAAFztv4I=")</f>
        <v>#VALUE!</v>
      </c>
      <c r="EB24" t="e">
        <f>AND('Planilla_General_03-12-2012_9_3'!C377,"AAAAAFztv4M=")</f>
        <v>#VALUE!</v>
      </c>
      <c r="EC24" t="e">
        <f>AND('Planilla_General_03-12-2012_9_3'!D377,"AAAAAFztv4Q=")</f>
        <v>#VALUE!</v>
      </c>
      <c r="ED24" t="e">
        <f>AND('Planilla_General_03-12-2012_9_3'!E377,"AAAAAFztv4U=")</f>
        <v>#VALUE!</v>
      </c>
      <c r="EE24" t="e">
        <f>AND('Planilla_General_03-12-2012_9_3'!F377,"AAAAAFztv4Y=")</f>
        <v>#VALUE!</v>
      </c>
      <c r="EF24" t="e">
        <f>AND('Planilla_General_03-12-2012_9_3'!G377,"AAAAAFztv4c=")</f>
        <v>#VALUE!</v>
      </c>
      <c r="EG24" t="e">
        <f>AND('Planilla_General_03-12-2012_9_3'!H377,"AAAAAFztv4g=")</f>
        <v>#VALUE!</v>
      </c>
      <c r="EH24" t="e">
        <f>AND('Planilla_General_03-12-2012_9_3'!I377,"AAAAAFztv4k=")</f>
        <v>#VALUE!</v>
      </c>
      <c r="EI24" t="e">
        <f>AND('Planilla_General_03-12-2012_9_3'!J377,"AAAAAFztv4o=")</f>
        <v>#VALUE!</v>
      </c>
      <c r="EJ24" t="e">
        <f>AND('Planilla_General_03-12-2012_9_3'!K377,"AAAAAFztv4s=")</f>
        <v>#VALUE!</v>
      </c>
      <c r="EK24" t="e">
        <f>AND('Planilla_General_03-12-2012_9_3'!L377,"AAAAAFztv4w=")</f>
        <v>#VALUE!</v>
      </c>
      <c r="EL24" t="e">
        <f>AND('Planilla_General_03-12-2012_9_3'!M377,"AAAAAFztv40=")</f>
        <v>#VALUE!</v>
      </c>
      <c r="EM24" t="e">
        <f>AND('Planilla_General_03-12-2012_9_3'!N377,"AAAAAFztv44=")</f>
        <v>#VALUE!</v>
      </c>
      <c r="EN24" t="e">
        <f>AND('Planilla_General_03-12-2012_9_3'!O377,"AAAAAFztv48=")</f>
        <v>#VALUE!</v>
      </c>
      <c r="EO24">
        <f>IF('Planilla_General_03-12-2012_9_3'!378:378,"AAAAAFztv5A=",0)</f>
        <v>0</v>
      </c>
      <c r="EP24" t="e">
        <f>AND('Planilla_General_03-12-2012_9_3'!A378,"AAAAAFztv5E=")</f>
        <v>#VALUE!</v>
      </c>
      <c r="EQ24" t="e">
        <f>AND('Planilla_General_03-12-2012_9_3'!B378,"AAAAAFztv5I=")</f>
        <v>#VALUE!</v>
      </c>
      <c r="ER24" t="e">
        <f>AND('Planilla_General_03-12-2012_9_3'!C378,"AAAAAFztv5M=")</f>
        <v>#VALUE!</v>
      </c>
      <c r="ES24" t="e">
        <f>AND('Planilla_General_03-12-2012_9_3'!D378,"AAAAAFztv5Q=")</f>
        <v>#VALUE!</v>
      </c>
      <c r="ET24" t="e">
        <f>AND('Planilla_General_03-12-2012_9_3'!E378,"AAAAAFztv5U=")</f>
        <v>#VALUE!</v>
      </c>
      <c r="EU24" t="e">
        <f>AND('Planilla_General_03-12-2012_9_3'!F378,"AAAAAFztv5Y=")</f>
        <v>#VALUE!</v>
      </c>
      <c r="EV24" t="e">
        <f>AND('Planilla_General_03-12-2012_9_3'!G378,"AAAAAFztv5c=")</f>
        <v>#VALUE!</v>
      </c>
      <c r="EW24" t="e">
        <f>AND('Planilla_General_03-12-2012_9_3'!H378,"AAAAAFztv5g=")</f>
        <v>#VALUE!</v>
      </c>
      <c r="EX24" t="e">
        <f>AND('Planilla_General_03-12-2012_9_3'!I378,"AAAAAFztv5k=")</f>
        <v>#VALUE!</v>
      </c>
      <c r="EY24" t="e">
        <f>AND('Planilla_General_03-12-2012_9_3'!J378,"AAAAAFztv5o=")</f>
        <v>#VALUE!</v>
      </c>
      <c r="EZ24" t="e">
        <f>AND('Planilla_General_03-12-2012_9_3'!K378,"AAAAAFztv5s=")</f>
        <v>#VALUE!</v>
      </c>
      <c r="FA24" t="e">
        <f>AND('Planilla_General_03-12-2012_9_3'!L378,"AAAAAFztv5w=")</f>
        <v>#VALUE!</v>
      </c>
      <c r="FB24" t="e">
        <f>AND('Planilla_General_03-12-2012_9_3'!M378,"AAAAAFztv50=")</f>
        <v>#VALUE!</v>
      </c>
      <c r="FC24" t="e">
        <f>AND('Planilla_General_03-12-2012_9_3'!N378,"AAAAAFztv54=")</f>
        <v>#VALUE!</v>
      </c>
      <c r="FD24" t="e">
        <f>AND('Planilla_General_03-12-2012_9_3'!O378,"AAAAAFztv58=")</f>
        <v>#VALUE!</v>
      </c>
      <c r="FE24">
        <f>IF('Planilla_General_03-12-2012_9_3'!379:379,"AAAAAFztv6A=",0)</f>
        <v>0</v>
      </c>
      <c r="FF24" t="e">
        <f>AND('Planilla_General_03-12-2012_9_3'!A379,"AAAAAFztv6E=")</f>
        <v>#VALUE!</v>
      </c>
      <c r="FG24" t="e">
        <f>AND('Planilla_General_03-12-2012_9_3'!B379,"AAAAAFztv6I=")</f>
        <v>#VALUE!</v>
      </c>
      <c r="FH24" t="e">
        <f>AND('Planilla_General_03-12-2012_9_3'!C379,"AAAAAFztv6M=")</f>
        <v>#VALUE!</v>
      </c>
      <c r="FI24" t="e">
        <f>AND('Planilla_General_03-12-2012_9_3'!D379,"AAAAAFztv6Q=")</f>
        <v>#VALUE!</v>
      </c>
      <c r="FJ24" t="e">
        <f>AND('Planilla_General_03-12-2012_9_3'!E379,"AAAAAFztv6U=")</f>
        <v>#VALUE!</v>
      </c>
      <c r="FK24" t="e">
        <f>AND('Planilla_General_03-12-2012_9_3'!F379,"AAAAAFztv6Y=")</f>
        <v>#VALUE!</v>
      </c>
      <c r="FL24" t="e">
        <f>AND('Planilla_General_03-12-2012_9_3'!G379,"AAAAAFztv6c=")</f>
        <v>#VALUE!</v>
      </c>
      <c r="FM24" t="e">
        <f>AND('Planilla_General_03-12-2012_9_3'!H379,"AAAAAFztv6g=")</f>
        <v>#VALUE!</v>
      </c>
      <c r="FN24" t="e">
        <f>AND('Planilla_General_03-12-2012_9_3'!I379,"AAAAAFztv6k=")</f>
        <v>#VALUE!</v>
      </c>
      <c r="FO24" t="e">
        <f>AND('Planilla_General_03-12-2012_9_3'!J379,"AAAAAFztv6o=")</f>
        <v>#VALUE!</v>
      </c>
      <c r="FP24" t="e">
        <f>AND('Planilla_General_03-12-2012_9_3'!K379,"AAAAAFztv6s=")</f>
        <v>#VALUE!</v>
      </c>
      <c r="FQ24" t="e">
        <f>AND('Planilla_General_03-12-2012_9_3'!L379,"AAAAAFztv6w=")</f>
        <v>#VALUE!</v>
      </c>
      <c r="FR24" t="e">
        <f>AND('Planilla_General_03-12-2012_9_3'!M379,"AAAAAFztv60=")</f>
        <v>#VALUE!</v>
      </c>
      <c r="FS24" t="e">
        <f>AND('Planilla_General_03-12-2012_9_3'!N379,"AAAAAFztv64=")</f>
        <v>#VALUE!</v>
      </c>
      <c r="FT24" t="e">
        <f>AND('Planilla_General_03-12-2012_9_3'!O379,"AAAAAFztv68=")</f>
        <v>#VALUE!</v>
      </c>
      <c r="FU24">
        <f>IF('Planilla_General_03-12-2012_9_3'!380:380,"AAAAAFztv7A=",0)</f>
        <v>0</v>
      </c>
      <c r="FV24" t="e">
        <f>AND('Planilla_General_03-12-2012_9_3'!A380,"AAAAAFztv7E=")</f>
        <v>#VALUE!</v>
      </c>
      <c r="FW24" t="e">
        <f>AND('Planilla_General_03-12-2012_9_3'!B380,"AAAAAFztv7I=")</f>
        <v>#VALUE!</v>
      </c>
      <c r="FX24" t="e">
        <f>AND('Planilla_General_03-12-2012_9_3'!C380,"AAAAAFztv7M=")</f>
        <v>#VALUE!</v>
      </c>
      <c r="FY24" t="e">
        <f>AND('Planilla_General_03-12-2012_9_3'!D380,"AAAAAFztv7Q=")</f>
        <v>#VALUE!</v>
      </c>
      <c r="FZ24" t="e">
        <f>AND('Planilla_General_03-12-2012_9_3'!E380,"AAAAAFztv7U=")</f>
        <v>#VALUE!</v>
      </c>
      <c r="GA24" t="e">
        <f>AND('Planilla_General_03-12-2012_9_3'!F380,"AAAAAFztv7Y=")</f>
        <v>#VALUE!</v>
      </c>
      <c r="GB24" t="e">
        <f>AND('Planilla_General_03-12-2012_9_3'!G380,"AAAAAFztv7c=")</f>
        <v>#VALUE!</v>
      </c>
      <c r="GC24" t="e">
        <f>AND('Planilla_General_03-12-2012_9_3'!H380,"AAAAAFztv7g=")</f>
        <v>#VALUE!</v>
      </c>
      <c r="GD24" t="e">
        <f>AND('Planilla_General_03-12-2012_9_3'!I380,"AAAAAFztv7k=")</f>
        <v>#VALUE!</v>
      </c>
      <c r="GE24" t="e">
        <f>AND('Planilla_General_03-12-2012_9_3'!J380,"AAAAAFztv7o=")</f>
        <v>#VALUE!</v>
      </c>
      <c r="GF24" t="e">
        <f>AND('Planilla_General_03-12-2012_9_3'!K380,"AAAAAFztv7s=")</f>
        <v>#VALUE!</v>
      </c>
      <c r="GG24" t="e">
        <f>AND('Planilla_General_03-12-2012_9_3'!L380,"AAAAAFztv7w=")</f>
        <v>#VALUE!</v>
      </c>
      <c r="GH24" t="e">
        <f>AND('Planilla_General_03-12-2012_9_3'!M380,"AAAAAFztv70=")</f>
        <v>#VALUE!</v>
      </c>
      <c r="GI24" t="e">
        <f>AND('Planilla_General_03-12-2012_9_3'!N380,"AAAAAFztv74=")</f>
        <v>#VALUE!</v>
      </c>
      <c r="GJ24" t="e">
        <f>AND('Planilla_General_03-12-2012_9_3'!O380,"AAAAAFztv78=")</f>
        <v>#VALUE!</v>
      </c>
      <c r="GK24">
        <f>IF('Planilla_General_03-12-2012_9_3'!381:381,"AAAAAFztv8A=",0)</f>
        <v>0</v>
      </c>
      <c r="GL24" t="e">
        <f>AND('Planilla_General_03-12-2012_9_3'!A381,"AAAAAFztv8E=")</f>
        <v>#VALUE!</v>
      </c>
      <c r="GM24" t="e">
        <f>AND('Planilla_General_03-12-2012_9_3'!B381,"AAAAAFztv8I=")</f>
        <v>#VALUE!</v>
      </c>
      <c r="GN24" t="e">
        <f>AND('Planilla_General_03-12-2012_9_3'!C381,"AAAAAFztv8M=")</f>
        <v>#VALUE!</v>
      </c>
      <c r="GO24" t="e">
        <f>AND('Planilla_General_03-12-2012_9_3'!D381,"AAAAAFztv8Q=")</f>
        <v>#VALUE!</v>
      </c>
      <c r="GP24" t="e">
        <f>AND('Planilla_General_03-12-2012_9_3'!E381,"AAAAAFztv8U=")</f>
        <v>#VALUE!</v>
      </c>
      <c r="GQ24" t="e">
        <f>AND('Planilla_General_03-12-2012_9_3'!F381,"AAAAAFztv8Y=")</f>
        <v>#VALUE!</v>
      </c>
      <c r="GR24" t="e">
        <f>AND('Planilla_General_03-12-2012_9_3'!G381,"AAAAAFztv8c=")</f>
        <v>#VALUE!</v>
      </c>
      <c r="GS24" t="e">
        <f>AND('Planilla_General_03-12-2012_9_3'!H381,"AAAAAFztv8g=")</f>
        <v>#VALUE!</v>
      </c>
      <c r="GT24" t="e">
        <f>AND('Planilla_General_03-12-2012_9_3'!I381,"AAAAAFztv8k=")</f>
        <v>#VALUE!</v>
      </c>
      <c r="GU24" t="e">
        <f>AND('Planilla_General_03-12-2012_9_3'!J381,"AAAAAFztv8o=")</f>
        <v>#VALUE!</v>
      </c>
      <c r="GV24" t="e">
        <f>AND('Planilla_General_03-12-2012_9_3'!K381,"AAAAAFztv8s=")</f>
        <v>#VALUE!</v>
      </c>
      <c r="GW24" t="e">
        <f>AND('Planilla_General_03-12-2012_9_3'!L381,"AAAAAFztv8w=")</f>
        <v>#VALUE!</v>
      </c>
      <c r="GX24" t="e">
        <f>AND('Planilla_General_03-12-2012_9_3'!M381,"AAAAAFztv80=")</f>
        <v>#VALUE!</v>
      </c>
      <c r="GY24" t="e">
        <f>AND('Planilla_General_03-12-2012_9_3'!N381,"AAAAAFztv84=")</f>
        <v>#VALUE!</v>
      </c>
      <c r="GZ24" t="e">
        <f>AND('Planilla_General_03-12-2012_9_3'!O381,"AAAAAFztv88=")</f>
        <v>#VALUE!</v>
      </c>
      <c r="HA24">
        <f>IF('Planilla_General_03-12-2012_9_3'!382:382,"AAAAAFztv9A=",0)</f>
        <v>0</v>
      </c>
      <c r="HB24" t="e">
        <f>AND('Planilla_General_03-12-2012_9_3'!A382,"AAAAAFztv9E=")</f>
        <v>#VALUE!</v>
      </c>
      <c r="HC24" t="e">
        <f>AND('Planilla_General_03-12-2012_9_3'!B382,"AAAAAFztv9I=")</f>
        <v>#VALUE!</v>
      </c>
      <c r="HD24" t="e">
        <f>AND('Planilla_General_03-12-2012_9_3'!C382,"AAAAAFztv9M=")</f>
        <v>#VALUE!</v>
      </c>
      <c r="HE24" t="e">
        <f>AND('Planilla_General_03-12-2012_9_3'!D382,"AAAAAFztv9Q=")</f>
        <v>#VALUE!</v>
      </c>
      <c r="HF24" t="e">
        <f>AND('Planilla_General_03-12-2012_9_3'!E382,"AAAAAFztv9U=")</f>
        <v>#VALUE!</v>
      </c>
      <c r="HG24" t="e">
        <f>AND('Planilla_General_03-12-2012_9_3'!F382,"AAAAAFztv9Y=")</f>
        <v>#VALUE!</v>
      </c>
      <c r="HH24" t="e">
        <f>AND('Planilla_General_03-12-2012_9_3'!G382,"AAAAAFztv9c=")</f>
        <v>#VALUE!</v>
      </c>
      <c r="HI24" t="e">
        <f>AND('Planilla_General_03-12-2012_9_3'!H382,"AAAAAFztv9g=")</f>
        <v>#VALUE!</v>
      </c>
      <c r="HJ24" t="e">
        <f>AND('Planilla_General_03-12-2012_9_3'!I382,"AAAAAFztv9k=")</f>
        <v>#VALUE!</v>
      </c>
      <c r="HK24" t="e">
        <f>AND('Planilla_General_03-12-2012_9_3'!J382,"AAAAAFztv9o=")</f>
        <v>#VALUE!</v>
      </c>
      <c r="HL24" t="e">
        <f>AND('Planilla_General_03-12-2012_9_3'!K382,"AAAAAFztv9s=")</f>
        <v>#VALUE!</v>
      </c>
      <c r="HM24" t="e">
        <f>AND('Planilla_General_03-12-2012_9_3'!L382,"AAAAAFztv9w=")</f>
        <v>#VALUE!</v>
      </c>
      <c r="HN24" t="e">
        <f>AND('Planilla_General_03-12-2012_9_3'!M382,"AAAAAFztv90=")</f>
        <v>#VALUE!</v>
      </c>
      <c r="HO24" t="e">
        <f>AND('Planilla_General_03-12-2012_9_3'!N382,"AAAAAFztv94=")</f>
        <v>#VALUE!</v>
      </c>
      <c r="HP24" t="e">
        <f>AND('Planilla_General_03-12-2012_9_3'!O382,"AAAAAFztv98=")</f>
        <v>#VALUE!</v>
      </c>
      <c r="HQ24">
        <f>IF('Planilla_General_03-12-2012_9_3'!383:383,"AAAAAFztv+A=",0)</f>
        <v>0</v>
      </c>
      <c r="HR24" t="e">
        <f>AND('Planilla_General_03-12-2012_9_3'!A383,"AAAAAFztv+E=")</f>
        <v>#VALUE!</v>
      </c>
      <c r="HS24" t="e">
        <f>AND('Planilla_General_03-12-2012_9_3'!B383,"AAAAAFztv+I=")</f>
        <v>#VALUE!</v>
      </c>
      <c r="HT24" t="e">
        <f>AND('Planilla_General_03-12-2012_9_3'!C383,"AAAAAFztv+M=")</f>
        <v>#VALUE!</v>
      </c>
      <c r="HU24" t="e">
        <f>AND('Planilla_General_03-12-2012_9_3'!D383,"AAAAAFztv+Q=")</f>
        <v>#VALUE!</v>
      </c>
      <c r="HV24" t="e">
        <f>AND('Planilla_General_03-12-2012_9_3'!E383,"AAAAAFztv+U=")</f>
        <v>#VALUE!</v>
      </c>
      <c r="HW24" t="e">
        <f>AND('Planilla_General_03-12-2012_9_3'!F383,"AAAAAFztv+Y=")</f>
        <v>#VALUE!</v>
      </c>
      <c r="HX24" t="e">
        <f>AND('Planilla_General_03-12-2012_9_3'!G383,"AAAAAFztv+c=")</f>
        <v>#VALUE!</v>
      </c>
      <c r="HY24" t="e">
        <f>AND('Planilla_General_03-12-2012_9_3'!H383,"AAAAAFztv+g=")</f>
        <v>#VALUE!</v>
      </c>
      <c r="HZ24" t="e">
        <f>AND('Planilla_General_03-12-2012_9_3'!I383,"AAAAAFztv+k=")</f>
        <v>#VALUE!</v>
      </c>
      <c r="IA24" t="e">
        <f>AND('Planilla_General_03-12-2012_9_3'!J383,"AAAAAFztv+o=")</f>
        <v>#VALUE!</v>
      </c>
      <c r="IB24" t="e">
        <f>AND('Planilla_General_03-12-2012_9_3'!K383,"AAAAAFztv+s=")</f>
        <v>#VALUE!</v>
      </c>
      <c r="IC24" t="e">
        <f>AND('Planilla_General_03-12-2012_9_3'!L383,"AAAAAFztv+w=")</f>
        <v>#VALUE!</v>
      </c>
      <c r="ID24" t="e">
        <f>AND('Planilla_General_03-12-2012_9_3'!M383,"AAAAAFztv+0=")</f>
        <v>#VALUE!</v>
      </c>
      <c r="IE24" t="e">
        <f>AND('Planilla_General_03-12-2012_9_3'!N383,"AAAAAFztv+4=")</f>
        <v>#VALUE!</v>
      </c>
      <c r="IF24" t="e">
        <f>AND('Planilla_General_03-12-2012_9_3'!O383,"AAAAAFztv+8=")</f>
        <v>#VALUE!</v>
      </c>
      <c r="IG24">
        <f>IF('Planilla_General_03-12-2012_9_3'!384:384,"AAAAAFztv/A=",0)</f>
        <v>0</v>
      </c>
      <c r="IH24" t="e">
        <f>AND('Planilla_General_03-12-2012_9_3'!A384,"AAAAAFztv/E=")</f>
        <v>#VALUE!</v>
      </c>
      <c r="II24" t="e">
        <f>AND('Planilla_General_03-12-2012_9_3'!B384,"AAAAAFztv/I=")</f>
        <v>#VALUE!</v>
      </c>
      <c r="IJ24" t="e">
        <f>AND('Planilla_General_03-12-2012_9_3'!C384,"AAAAAFztv/M=")</f>
        <v>#VALUE!</v>
      </c>
      <c r="IK24" t="e">
        <f>AND('Planilla_General_03-12-2012_9_3'!D384,"AAAAAFztv/Q=")</f>
        <v>#VALUE!</v>
      </c>
      <c r="IL24" t="e">
        <f>AND('Planilla_General_03-12-2012_9_3'!E384,"AAAAAFztv/U=")</f>
        <v>#VALUE!</v>
      </c>
      <c r="IM24" t="e">
        <f>AND('Planilla_General_03-12-2012_9_3'!F384,"AAAAAFztv/Y=")</f>
        <v>#VALUE!</v>
      </c>
      <c r="IN24" t="e">
        <f>AND('Planilla_General_03-12-2012_9_3'!G384,"AAAAAFztv/c=")</f>
        <v>#VALUE!</v>
      </c>
      <c r="IO24" t="e">
        <f>AND('Planilla_General_03-12-2012_9_3'!H384,"AAAAAFztv/g=")</f>
        <v>#VALUE!</v>
      </c>
      <c r="IP24" t="e">
        <f>AND('Planilla_General_03-12-2012_9_3'!I384,"AAAAAFztv/k=")</f>
        <v>#VALUE!</v>
      </c>
      <c r="IQ24" t="e">
        <f>AND('Planilla_General_03-12-2012_9_3'!J384,"AAAAAFztv/o=")</f>
        <v>#VALUE!</v>
      </c>
      <c r="IR24" t="e">
        <f>AND('Planilla_General_03-12-2012_9_3'!K384,"AAAAAFztv/s=")</f>
        <v>#VALUE!</v>
      </c>
      <c r="IS24" t="e">
        <f>AND('Planilla_General_03-12-2012_9_3'!L384,"AAAAAFztv/w=")</f>
        <v>#VALUE!</v>
      </c>
      <c r="IT24" t="e">
        <f>AND('Planilla_General_03-12-2012_9_3'!M384,"AAAAAFztv/0=")</f>
        <v>#VALUE!</v>
      </c>
      <c r="IU24" t="e">
        <f>AND('Planilla_General_03-12-2012_9_3'!N384,"AAAAAFztv/4=")</f>
        <v>#VALUE!</v>
      </c>
      <c r="IV24" t="e">
        <f>AND('Planilla_General_03-12-2012_9_3'!O384,"AAAAAFztv/8=")</f>
        <v>#VALUE!</v>
      </c>
    </row>
    <row r="25" spans="1:256" x14ac:dyDescent="0.25">
      <c r="A25" t="e">
        <f>IF('Planilla_General_03-12-2012_9_3'!385:385,"AAAAAHv3OgA=",0)</f>
        <v>#VALUE!</v>
      </c>
      <c r="B25" t="e">
        <f>AND('Planilla_General_03-12-2012_9_3'!A385,"AAAAAHv3OgE=")</f>
        <v>#VALUE!</v>
      </c>
      <c r="C25" t="e">
        <f>AND('Planilla_General_03-12-2012_9_3'!B385,"AAAAAHv3OgI=")</f>
        <v>#VALUE!</v>
      </c>
      <c r="D25" t="e">
        <f>AND('Planilla_General_03-12-2012_9_3'!C385,"AAAAAHv3OgM=")</f>
        <v>#VALUE!</v>
      </c>
      <c r="E25" t="e">
        <f>AND('Planilla_General_03-12-2012_9_3'!D385,"AAAAAHv3OgQ=")</f>
        <v>#VALUE!</v>
      </c>
      <c r="F25" t="e">
        <f>AND('Planilla_General_03-12-2012_9_3'!E385,"AAAAAHv3OgU=")</f>
        <v>#VALUE!</v>
      </c>
      <c r="G25" t="e">
        <f>AND('Planilla_General_03-12-2012_9_3'!F385,"AAAAAHv3OgY=")</f>
        <v>#VALUE!</v>
      </c>
      <c r="H25" t="e">
        <f>AND('Planilla_General_03-12-2012_9_3'!G385,"AAAAAHv3Ogc=")</f>
        <v>#VALUE!</v>
      </c>
      <c r="I25" t="e">
        <f>AND('Planilla_General_03-12-2012_9_3'!H385,"AAAAAHv3Ogg=")</f>
        <v>#VALUE!</v>
      </c>
      <c r="J25" t="e">
        <f>AND('Planilla_General_03-12-2012_9_3'!I385,"AAAAAHv3Ogk=")</f>
        <v>#VALUE!</v>
      </c>
      <c r="K25" t="e">
        <f>AND('Planilla_General_03-12-2012_9_3'!J385,"AAAAAHv3Ogo=")</f>
        <v>#VALUE!</v>
      </c>
      <c r="L25" t="e">
        <f>AND('Planilla_General_03-12-2012_9_3'!K385,"AAAAAHv3Ogs=")</f>
        <v>#VALUE!</v>
      </c>
      <c r="M25" t="e">
        <f>AND('Planilla_General_03-12-2012_9_3'!L385,"AAAAAHv3Ogw=")</f>
        <v>#VALUE!</v>
      </c>
      <c r="N25" t="e">
        <f>AND('Planilla_General_03-12-2012_9_3'!M385,"AAAAAHv3Og0=")</f>
        <v>#VALUE!</v>
      </c>
      <c r="O25" t="e">
        <f>AND('Planilla_General_03-12-2012_9_3'!N385,"AAAAAHv3Og4=")</f>
        <v>#VALUE!</v>
      </c>
      <c r="P25" t="e">
        <f>AND('Planilla_General_03-12-2012_9_3'!O385,"AAAAAHv3Og8=")</f>
        <v>#VALUE!</v>
      </c>
      <c r="Q25">
        <f>IF('Planilla_General_03-12-2012_9_3'!386:386,"AAAAAHv3OhA=",0)</f>
        <v>0</v>
      </c>
      <c r="R25" t="e">
        <f>AND('Planilla_General_03-12-2012_9_3'!A386,"AAAAAHv3OhE=")</f>
        <v>#VALUE!</v>
      </c>
      <c r="S25" t="e">
        <f>AND('Planilla_General_03-12-2012_9_3'!B386,"AAAAAHv3OhI=")</f>
        <v>#VALUE!</v>
      </c>
      <c r="T25" t="e">
        <f>AND('Planilla_General_03-12-2012_9_3'!C386,"AAAAAHv3OhM=")</f>
        <v>#VALUE!</v>
      </c>
      <c r="U25" t="e">
        <f>AND('Planilla_General_03-12-2012_9_3'!D386,"AAAAAHv3OhQ=")</f>
        <v>#VALUE!</v>
      </c>
      <c r="V25" t="e">
        <f>AND('Planilla_General_03-12-2012_9_3'!E386,"AAAAAHv3OhU=")</f>
        <v>#VALUE!</v>
      </c>
      <c r="W25" t="e">
        <f>AND('Planilla_General_03-12-2012_9_3'!F386,"AAAAAHv3OhY=")</f>
        <v>#VALUE!</v>
      </c>
      <c r="X25" t="e">
        <f>AND('Planilla_General_03-12-2012_9_3'!G386,"AAAAAHv3Ohc=")</f>
        <v>#VALUE!</v>
      </c>
      <c r="Y25" t="e">
        <f>AND('Planilla_General_03-12-2012_9_3'!H386,"AAAAAHv3Ohg=")</f>
        <v>#VALUE!</v>
      </c>
      <c r="Z25" t="e">
        <f>AND('Planilla_General_03-12-2012_9_3'!I386,"AAAAAHv3Ohk=")</f>
        <v>#VALUE!</v>
      </c>
      <c r="AA25" t="e">
        <f>AND('Planilla_General_03-12-2012_9_3'!J386,"AAAAAHv3Oho=")</f>
        <v>#VALUE!</v>
      </c>
      <c r="AB25" t="e">
        <f>AND('Planilla_General_03-12-2012_9_3'!K386,"AAAAAHv3Ohs=")</f>
        <v>#VALUE!</v>
      </c>
      <c r="AC25" t="e">
        <f>AND('Planilla_General_03-12-2012_9_3'!L386,"AAAAAHv3Ohw=")</f>
        <v>#VALUE!</v>
      </c>
      <c r="AD25" t="e">
        <f>AND('Planilla_General_03-12-2012_9_3'!M386,"AAAAAHv3Oh0=")</f>
        <v>#VALUE!</v>
      </c>
      <c r="AE25" t="e">
        <f>AND('Planilla_General_03-12-2012_9_3'!N386,"AAAAAHv3Oh4=")</f>
        <v>#VALUE!</v>
      </c>
      <c r="AF25" t="e">
        <f>AND('Planilla_General_03-12-2012_9_3'!O386,"AAAAAHv3Oh8=")</f>
        <v>#VALUE!</v>
      </c>
      <c r="AG25">
        <f>IF('Planilla_General_03-12-2012_9_3'!387:387,"AAAAAHv3OiA=",0)</f>
        <v>0</v>
      </c>
      <c r="AH25" t="e">
        <f>AND('Planilla_General_03-12-2012_9_3'!A387,"AAAAAHv3OiE=")</f>
        <v>#VALUE!</v>
      </c>
      <c r="AI25" t="e">
        <f>AND('Planilla_General_03-12-2012_9_3'!B387,"AAAAAHv3OiI=")</f>
        <v>#VALUE!</v>
      </c>
      <c r="AJ25" t="e">
        <f>AND('Planilla_General_03-12-2012_9_3'!C387,"AAAAAHv3OiM=")</f>
        <v>#VALUE!</v>
      </c>
      <c r="AK25" t="e">
        <f>AND('Planilla_General_03-12-2012_9_3'!D387,"AAAAAHv3OiQ=")</f>
        <v>#VALUE!</v>
      </c>
      <c r="AL25" t="e">
        <f>AND('Planilla_General_03-12-2012_9_3'!E387,"AAAAAHv3OiU=")</f>
        <v>#VALUE!</v>
      </c>
      <c r="AM25" t="e">
        <f>AND('Planilla_General_03-12-2012_9_3'!F387,"AAAAAHv3OiY=")</f>
        <v>#VALUE!</v>
      </c>
      <c r="AN25" t="e">
        <f>AND('Planilla_General_03-12-2012_9_3'!G387,"AAAAAHv3Oic=")</f>
        <v>#VALUE!</v>
      </c>
      <c r="AO25" t="e">
        <f>AND('Planilla_General_03-12-2012_9_3'!H387,"AAAAAHv3Oig=")</f>
        <v>#VALUE!</v>
      </c>
      <c r="AP25" t="e">
        <f>AND('Planilla_General_03-12-2012_9_3'!I387,"AAAAAHv3Oik=")</f>
        <v>#VALUE!</v>
      </c>
      <c r="AQ25" t="e">
        <f>AND('Planilla_General_03-12-2012_9_3'!J387,"AAAAAHv3Oio=")</f>
        <v>#VALUE!</v>
      </c>
      <c r="AR25" t="e">
        <f>AND('Planilla_General_03-12-2012_9_3'!K387,"AAAAAHv3Ois=")</f>
        <v>#VALUE!</v>
      </c>
      <c r="AS25" t="e">
        <f>AND('Planilla_General_03-12-2012_9_3'!L387,"AAAAAHv3Oiw=")</f>
        <v>#VALUE!</v>
      </c>
      <c r="AT25" t="e">
        <f>AND('Planilla_General_03-12-2012_9_3'!M387,"AAAAAHv3Oi0=")</f>
        <v>#VALUE!</v>
      </c>
      <c r="AU25" t="e">
        <f>AND('Planilla_General_03-12-2012_9_3'!N387,"AAAAAHv3Oi4=")</f>
        <v>#VALUE!</v>
      </c>
      <c r="AV25" t="e">
        <f>AND('Planilla_General_03-12-2012_9_3'!O387,"AAAAAHv3Oi8=")</f>
        <v>#VALUE!</v>
      </c>
      <c r="AW25">
        <f>IF('Planilla_General_03-12-2012_9_3'!388:388,"AAAAAHv3OjA=",0)</f>
        <v>0</v>
      </c>
      <c r="AX25" t="e">
        <f>AND('Planilla_General_03-12-2012_9_3'!A388,"AAAAAHv3OjE=")</f>
        <v>#VALUE!</v>
      </c>
      <c r="AY25" t="e">
        <f>AND('Planilla_General_03-12-2012_9_3'!B388,"AAAAAHv3OjI=")</f>
        <v>#VALUE!</v>
      </c>
      <c r="AZ25" t="e">
        <f>AND('Planilla_General_03-12-2012_9_3'!C388,"AAAAAHv3OjM=")</f>
        <v>#VALUE!</v>
      </c>
      <c r="BA25" t="e">
        <f>AND('Planilla_General_03-12-2012_9_3'!D388,"AAAAAHv3OjQ=")</f>
        <v>#VALUE!</v>
      </c>
      <c r="BB25" t="e">
        <f>AND('Planilla_General_03-12-2012_9_3'!E388,"AAAAAHv3OjU=")</f>
        <v>#VALUE!</v>
      </c>
      <c r="BC25" t="e">
        <f>AND('Planilla_General_03-12-2012_9_3'!F388,"AAAAAHv3OjY=")</f>
        <v>#VALUE!</v>
      </c>
      <c r="BD25" t="e">
        <f>AND('Planilla_General_03-12-2012_9_3'!G388,"AAAAAHv3Ojc=")</f>
        <v>#VALUE!</v>
      </c>
      <c r="BE25" t="e">
        <f>AND('Planilla_General_03-12-2012_9_3'!H388,"AAAAAHv3Ojg=")</f>
        <v>#VALUE!</v>
      </c>
      <c r="BF25" t="e">
        <f>AND('Planilla_General_03-12-2012_9_3'!I388,"AAAAAHv3Ojk=")</f>
        <v>#VALUE!</v>
      </c>
      <c r="BG25" t="e">
        <f>AND('Planilla_General_03-12-2012_9_3'!J388,"AAAAAHv3Ojo=")</f>
        <v>#VALUE!</v>
      </c>
      <c r="BH25" t="e">
        <f>AND('Planilla_General_03-12-2012_9_3'!K388,"AAAAAHv3Ojs=")</f>
        <v>#VALUE!</v>
      </c>
      <c r="BI25" t="e">
        <f>AND('Planilla_General_03-12-2012_9_3'!L388,"AAAAAHv3Ojw=")</f>
        <v>#VALUE!</v>
      </c>
      <c r="BJ25" t="e">
        <f>AND('Planilla_General_03-12-2012_9_3'!M388,"AAAAAHv3Oj0=")</f>
        <v>#VALUE!</v>
      </c>
      <c r="BK25" t="e">
        <f>AND('Planilla_General_03-12-2012_9_3'!N388,"AAAAAHv3Oj4=")</f>
        <v>#VALUE!</v>
      </c>
      <c r="BL25" t="e">
        <f>AND('Planilla_General_03-12-2012_9_3'!O388,"AAAAAHv3Oj8=")</f>
        <v>#VALUE!</v>
      </c>
      <c r="BM25">
        <f>IF('Planilla_General_03-12-2012_9_3'!389:389,"AAAAAHv3OkA=",0)</f>
        <v>0</v>
      </c>
      <c r="BN25" t="e">
        <f>AND('Planilla_General_03-12-2012_9_3'!A389,"AAAAAHv3OkE=")</f>
        <v>#VALUE!</v>
      </c>
      <c r="BO25" t="e">
        <f>AND('Planilla_General_03-12-2012_9_3'!B389,"AAAAAHv3OkI=")</f>
        <v>#VALUE!</v>
      </c>
      <c r="BP25" t="e">
        <f>AND('Planilla_General_03-12-2012_9_3'!C389,"AAAAAHv3OkM=")</f>
        <v>#VALUE!</v>
      </c>
      <c r="BQ25" t="e">
        <f>AND('Planilla_General_03-12-2012_9_3'!D389,"AAAAAHv3OkQ=")</f>
        <v>#VALUE!</v>
      </c>
      <c r="BR25" t="e">
        <f>AND('Planilla_General_03-12-2012_9_3'!E389,"AAAAAHv3OkU=")</f>
        <v>#VALUE!</v>
      </c>
      <c r="BS25" t="e">
        <f>AND('Planilla_General_03-12-2012_9_3'!F389,"AAAAAHv3OkY=")</f>
        <v>#VALUE!</v>
      </c>
      <c r="BT25" t="e">
        <f>AND('Planilla_General_03-12-2012_9_3'!G389,"AAAAAHv3Okc=")</f>
        <v>#VALUE!</v>
      </c>
      <c r="BU25" t="e">
        <f>AND('Planilla_General_03-12-2012_9_3'!H389,"AAAAAHv3Okg=")</f>
        <v>#VALUE!</v>
      </c>
      <c r="BV25" t="e">
        <f>AND('Planilla_General_03-12-2012_9_3'!I389,"AAAAAHv3Okk=")</f>
        <v>#VALUE!</v>
      </c>
      <c r="BW25" t="e">
        <f>AND('Planilla_General_03-12-2012_9_3'!J389,"AAAAAHv3Oko=")</f>
        <v>#VALUE!</v>
      </c>
      <c r="BX25" t="e">
        <f>AND('Planilla_General_03-12-2012_9_3'!K389,"AAAAAHv3Oks=")</f>
        <v>#VALUE!</v>
      </c>
      <c r="BY25" t="e">
        <f>AND('Planilla_General_03-12-2012_9_3'!L389,"AAAAAHv3Okw=")</f>
        <v>#VALUE!</v>
      </c>
      <c r="BZ25" t="e">
        <f>AND('Planilla_General_03-12-2012_9_3'!M389,"AAAAAHv3Ok0=")</f>
        <v>#VALUE!</v>
      </c>
      <c r="CA25" t="e">
        <f>AND('Planilla_General_03-12-2012_9_3'!N389,"AAAAAHv3Ok4=")</f>
        <v>#VALUE!</v>
      </c>
      <c r="CB25" t="e">
        <f>AND('Planilla_General_03-12-2012_9_3'!O389,"AAAAAHv3Ok8=")</f>
        <v>#VALUE!</v>
      </c>
      <c r="CC25">
        <f>IF('Planilla_General_03-12-2012_9_3'!390:390,"AAAAAHv3OlA=",0)</f>
        <v>0</v>
      </c>
      <c r="CD25" t="e">
        <f>AND('Planilla_General_03-12-2012_9_3'!A390,"AAAAAHv3OlE=")</f>
        <v>#VALUE!</v>
      </c>
      <c r="CE25" t="e">
        <f>AND('Planilla_General_03-12-2012_9_3'!B390,"AAAAAHv3OlI=")</f>
        <v>#VALUE!</v>
      </c>
      <c r="CF25" t="e">
        <f>AND('Planilla_General_03-12-2012_9_3'!C390,"AAAAAHv3OlM=")</f>
        <v>#VALUE!</v>
      </c>
      <c r="CG25" t="e">
        <f>AND('Planilla_General_03-12-2012_9_3'!D390,"AAAAAHv3OlQ=")</f>
        <v>#VALUE!</v>
      </c>
      <c r="CH25" t="e">
        <f>AND('Planilla_General_03-12-2012_9_3'!E390,"AAAAAHv3OlU=")</f>
        <v>#VALUE!</v>
      </c>
      <c r="CI25" t="e">
        <f>AND('Planilla_General_03-12-2012_9_3'!F390,"AAAAAHv3OlY=")</f>
        <v>#VALUE!</v>
      </c>
      <c r="CJ25" t="e">
        <f>AND('Planilla_General_03-12-2012_9_3'!G390,"AAAAAHv3Olc=")</f>
        <v>#VALUE!</v>
      </c>
      <c r="CK25" t="e">
        <f>AND('Planilla_General_03-12-2012_9_3'!H390,"AAAAAHv3Olg=")</f>
        <v>#VALUE!</v>
      </c>
      <c r="CL25" t="e">
        <f>AND('Planilla_General_03-12-2012_9_3'!I390,"AAAAAHv3Olk=")</f>
        <v>#VALUE!</v>
      </c>
      <c r="CM25" t="e">
        <f>AND('Planilla_General_03-12-2012_9_3'!J390,"AAAAAHv3Olo=")</f>
        <v>#VALUE!</v>
      </c>
      <c r="CN25" t="e">
        <f>AND('Planilla_General_03-12-2012_9_3'!K390,"AAAAAHv3Ols=")</f>
        <v>#VALUE!</v>
      </c>
      <c r="CO25" t="e">
        <f>AND('Planilla_General_03-12-2012_9_3'!L390,"AAAAAHv3Olw=")</f>
        <v>#VALUE!</v>
      </c>
      <c r="CP25" t="e">
        <f>AND('Planilla_General_03-12-2012_9_3'!M390,"AAAAAHv3Ol0=")</f>
        <v>#VALUE!</v>
      </c>
      <c r="CQ25" t="e">
        <f>AND('Planilla_General_03-12-2012_9_3'!N390,"AAAAAHv3Ol4=")</f>
        <v>#VALUE!</v>
      </c>
      <c r="CR25" t="e">
        <f>AND('Planilla_General_03-12-2012_9_3'!O390,"AAAAAHv3Ol8=")</f>
        <v>#VALUE!</v>
      </c>
      <c r="CS25">
        <f>IF('Planilla_General_03-12-2012_9_3'!391:391,"AAAAAHv3OmA=",0)</f>
        <v>0</v>
      </c>
      <c r="CT25" t="e">
        <f>AND('Planilla_General_03-12-2012_9_3'!A391,"AAAAAHv3OmE=")</f>
        <v>#VALUE!</v>
      </c>
      <c r="CU25" t="e">
        <f>AND('Planilla_General_03-12-2012_9_3'!B391,"AAAAAHv3OmI=")</f>
        <v>#VALUE!</v>
      </c>
      <c r="CV25" t="e">
        <f>AND('Planilla_General_03-12-2012_9_3'!C391,"AAAAAHv3OmM=")</f>
        <v>#VALUE!</v>
      </c>
      <c r="CW25" t="e">
        <f>AND('Planilla_General_03-12-2012_9_3'!D391,"AAAAAHv3OmQ=")</f>
        <v>#VALUE!</v>
      </c>
      <c r="CX25" t="e">
        <f>AND('Planilla_General_03-12-2012_9_3'!E391,"AAAAAHv3OmU=")</f>
        <v>#VALUE!</v>
      </c>
      <c r="CY25" t="e">
        <f>AND('Planilla_General_03-12-2012_9_3'!F391,"AAAAAHv3OmY=")</f>
        <v>#VALUE!</v>
      </c>
      <c r="CZ25" t="e">
        <f>AND('Planilla_General_03-12-2012_9_3'!G391,"AAAAAHv3Omc=")</f>
        <v>#VALUE!</v>
      </c>
      <c r="DA25" t="e">
        <f>AND('Planilla_General_03-12-2012_9_3'!H391,"AAAAAHv3Omg=")</f>
        <v>#VALUE!</v>
      </c>
      <c r="DB25" t="e">
        <f>AND('Planilla_General_03-12-2012_9_3'!I391,"AAAAAHv3Omk=")</f>
        <v>#VALUE!</v>
      </c>
      <c r="DC25" t="e">
        <f>AND('Planilla_General_03-12-2012_9_3'!J391,"AAAAAHv3Omo=")</f>
        <v>#VALUE!</v>
      </c>
      <c r="DD25" t="e">
        <f>AND('Planilla_General_03-12-2012_9_3'!K391,"AAAAAHv3Oms=")</f>
        <v>#VALUE!</v>
      </c>
      <c r="DE25" t="e">
        <f>AND('Planilla_General_03-12-2012_9_3'!L391,"AAAAAHv3Omw=")</f>
        <v>#VALUE!</v>
      </c>
      <c r="DF25" t="e">
        <f>AND('Planilla_General_03-12-2012_9_3'!M391,"AAAAAHv3Om0=")</f>
        <v>#VALUE!</v>
      </c>
      <c r="DG25" t="e">
        <f>AND('Planilla_General_03-12-2012_9_3'!N391,"AAAAAHv3Om4=")</f>
        <v>#VALUE!</v>
      </c>
      <c r="DH25" t="e">
        <f>AND('Planilla_General_03-12-2012_9_3'!O391,"AAAAAHv3Om8=")</f>
        <v>#VALUE!</v>
      </c>
      <c r="DI25">
        <f>IF('Planilla_General_03-12-2012_9_3'!392:392,"AAAAAHv3OnA=",0)</f>
        <v>0</v>
      </c>
      <c r="DJ25" t="e">
        <f>AND('Planilla_General_03-12-2012_9_3'!A392,"AAAAAHv3OnE=")</f>
        <v>#VALUE!</v>
      </c>
      <c r="DK25" t="e">
        <f>AND('Planilla_General_03-12-2012_9_3'!B392,"AAAAAHv3OnI=")</f>
        <v>#VALUE!</v>
      </c>
      <c r="DL25" t="e">
        <f>AND('Planilla_General_03-12-2012_9_3'!C392,"AAAAAHv3OnM=")</f>
        <v>#VALUE!</v>
      </c>
      <c r="DM25" t="e">
        <f>AND('Planilla_General_03-12-2012_9_3'!D392,"AAAAAHv3OnQ=")</f>
        <v>#VALUE!</v>
      </c>
      <c r="DN25" t="e">
        <f>AND('Planilla_General_03-12-2012_9_3'!E392,"AAAAAHv3OnU=")</f>
        <v>#VALUE!</v>
      </c>
      <c r="DO25" t="e">
        <f>AND('Planilla_General_03-12-2012_9_3'!F392,"AAAAAHv3OnY=")</f>
        <v>#VALUE!</v>
      </c>
      <c r="DP25" t="e">
        <f>AND('Planilla_General_03-12-2012_9_3'!G392,"AAAAAHv3Onc=")</f>
        <v>#VALUE!</v>
      </c>
      <c r="DQ25" t="e">
        <f>AND('Planilla_General_03-12-2012_9_3'!H392,"AAAAAHv3Ong=")</f>
        <v>#VALUE!</v>
      </c>
      <c r="DR25" t="e">
        <f>AND('Planilla_General_03-12-2012_9_3'!I392,"AAAAAHv3Onk=")</f>
        <v>#VALUE!</v>
      </c>
      <c r="DS25" t="e">
        <f>AND('Planilla_General_03-12-2012_9_3'!J392,"AAAAAHv3Ono=")</f>
        <v>#VALUE!</v>
      </c>
      <c r="DT25" t="e">
        <f>AND('Planilla_General_03-12-2012_9_3'!K392,"AAAAAHv3Ons=")</f>
        <v>#VALUE!</v>
      </c>
      <c r="DU25" t="e">
        <f>AND('Planilla_General_03-12-2012_9_3'!L392,"AAAAAHv3Onw=")</f>
        <v>#VALUE!</v>
      </c>
      <c r="DV25" t="e">
        <f>AND('Planilla_General_03-12-2012_9_3'!M392,"AAAAAHv3On0=")</f>
        <v>#VALUE!</v>
      </c>
      <c r="DW25" t="e">
        <f>AND('Planilla_General_03-12-2012_9_3'!N392,"AAAAAHv3On4=")</f>
        <v>#VALUE!</v>
      </c>
      <c r="DX25" t="e">
        <f>AND('Planilla_General_03-12-2012_9_3'!O392,"AAAAAHv3On8=")</f>
        <v>#VALUE!</v>
      </c>
      <c r="DY25">
        <f>IF('Planilla_General_03-12-2012_9_3'!393:393,"AAAAAHv3OoA=",0)</f>
        <v>0</v>
      </c>
      <c r="DZ25" t="e">
        <f>AND('Planilla_General_03-12-2012_9_3'!A393,"AAAAAHv3OoE=")</f>
        <v>#VALUE!</v>
      </c>
      <c r="EA25" t="e">
        <f>AND('Planilla_General_03-12-2012_9_3'!B393,"AAAAAHv3OoI=")</f>
        <v>#VALUE!</v>
      </c>
      <c r="EB25" t="e">
        <f>AND('Planilla_General_03-12-2012_9_3'!C393,"AAAAAHv3OoM=")</f>
        <v>#VALUE!</v>
      </c>
      <c r="EC25" t="e">
        <f>AND('Planilla_General_03-12-2012_9_3'!D393,"AAAAAHv3OoQ=")</f>
        <v>#VALUE!</v>
      </c>
      <c r="ED25" t="e">
        <f>AND('Planilla_General_03-12-2012_9_3'!E393,"AAAAAHv3OoU=")</f>
        <v>#VALUE!</v>
      </c>
      <c r="EE25" t="e">
        <f>AND('Planilla_General_03-12-2012_9_3'!F393,"AAAAAHv3OoY=")</f>
        <v>#VALUE!</v>
      </c>
      <c r="EF25" t="e">
        <f>AND('Planilla_General_03-12-2012_9_3'!G393,"AAAAAHv3Ooc=")</f>
        <v>#VALUE!</v>
      </c>
      <c r="EG25" t="e">
        <f>AND('Planilla_General_03-12-2012_9_3'!H393,"AAAAAHv3Oog=")</f>
        <v>#VALUE!</v>
      </c>
      <c r="EH25" t="e">
        <f>AND('Planilla_General_03-12-2012_9_3'!I393,"AAAAAHv3Ook=")</f>
        <v>#VALUE!</v>
      </c>
      <c r="EI25" t="e">
        <f>AND('Planilla_General_03-12-2012_9_3'!J393,"AAAAAHv3Ooo=")</f>
        <v>#VALUE!</v>
      </c>
      <c r="EJ25" t="e">
        <f>AND('Planilla_General_03-12-2012_9_3'!K393,"AAAAAHv3Oos=")</f>
        <v>#VALUE!</v>
      </c>
      <c r="EK25" t="e">
        <f>AND('Planilla_General_03-12-2012_9_3'!L393,"AAAAAHv3Oow=")</f>
        <v>#VALUE!</v>
      </c>
      <c r="EL25" t="e">
        <f>AND('Planilla_General_03-12-2012_9_3'!M393,"AAAAAHv3Oo0=")</f>
        <v>#VALUE!</v>
      </c>
      <c r="EM25" t="e">
        <f>AND('Planilla_General_03-12-2012_9_3'!N393,"AAAAAHv3Oo4=")</f>
        <v>#VALUE!</v>
      </c>
      <c r="EN25" t="e">
        <f>AND('Planilla_General_03-12-2012_9_3'!O393,"AAAAAHv3Oo8=")</f>
        <v>#VALUE!</v>
      </c>
      <c r="EO25">
        <f>IF('Planilla_General_03-12-2012_9_3'!394:394,"AAAAAHv3OpA=",0)</f>
        <v>0</v>
      </c>
      <c r="EP25" t="e">
        <f>AND('Planilla_General_03-12-2012_9_3'!A394,"AAAAAHv3OpE=")</f>
        <v>#VALUE!</v>
      </c>
      <c r="EQ25" t="e">
        <f>AND('Planilla_General_03-12-2012_9_3'!B394,"AAAAAHv3OpI=")</f>
        <v>#VALUE!</v>
      </c>
      <c r="ER25" t="e">
        <f>AND('Planilla_General_03-12-2012_9_3'!C394,"AAAAAHv3OpM=")</f>
        <v>#VALUE!</v>
      </c>
      <c r="ES25" t="e">
        <f>AND('Planilla_General_03-12-2012_9_3'!D394,"AAAAAHv3OpQ=")</f>
        <v>#VALUE!</v>
      </c>
      <c r="ET25" t="e">
        <f>AND('Planilla_General_03-12-2012_9_3'!E394,"AAAAAHv3OpU=")</f>
        <v>#VALUE!</v>
      </c>
      <c r="EU25" t="e">
        <f>AND('Planilla_General_03-12-2012_9_3'!F394,"AAAAAHv3OpY=")</f>
        <v>#VALUE!</v>
      </c>
      <c r="EV25" t="e">
        <f>AND('Planilla_General_03-12-2012_9_3'!G394,"AAAAAHv3Opc=")</f>
        <v>#VALUE!</v>
      </c>
      <c r="EW25" t="e">
        <f>AND('Planilla_General_03-12-2012_9_3'!H394,"AAAAAHv3Opg=")</f>
        <v>#VALUE!</v>
      </c>
      <c r="EX25" t="e">
        <f>AND('Planilla_General_03-12-2012_9_3'!I394,"AAAAAHv3Opk=")</f>
        <v>#VALUE!</v>
      </c>
      <c r="EY25" t="e">
        <f>AND('Planilla_General_03-12-2012_9_3'!J394,"AAAAAHv3Opo=")</f>
        <v>#VALUE!</v>
      </c>
      <c r="EZ25" t="e">
        <f>AND('Planilla_General_03-12-2012_9_3'!K394,"AAAAAHv3Ops=")</f>
        <v>#VALUE!</v>
      </c>
      <c r="FA25" t="e">
        <f>AND('Planilla_General_03-12-2012_9_3'!L394,"AAAAAHv3Opw=")</f>
        <v>#VALUE!</v>
      </c>
      <c r="FB25" t="e">
        <f>AND('Planilla_General_03-12-2012_9_3'!M394,"AAAAAHv3Op0=")</f>
        <v>#VALUE!</v>
      </c>
      <c r="FC25" t="e">
        <f>AND('Planilla_General_03-12-2012_9_3'!N394,"AAAAAHv3Op4=")</f>
        <v>#VALUE!</v>
      </c>
      <c r="FD25" t="e">
        <f>AND('Planilla_General_03-12-2012_9_3'!O394,"AAAAAHv3Op8=")</f>
        <v>#VALUE!</v>
      </c>
      <c r="FE25">
        <f>IF('Planilla_General_03-12-2012_9_3'!395:395,"AAAAAHv3OqA=",0)</f>
        <v>0</v>
      </c>
      <c r="FF25" t="e">
        <f>AND('Planilla_General_03-12-2012_9_3'!A395,"AAAAAHv3OqE=")</f>
        <v>#VALUE!</v>
      </c>
      <c r="FG25" t="e">
        <f>AND('Planilla_General_03-12-2012_9_3'!B395,"AAAAAHv3OqI=")</f>
        <v>#VALUE!</v>
      </c>
      <c r="FH25" t="e">
        <f>AND('Planilla_General_03-12-2012_9_3'!C395,"AAAAAHv3OqM=")</f>
        <v>#VALUE!</v>
      </c>
      <c r="FI25" t="e">
        <f>AND('Planilla_General_03-12-2012_9_3'!D395,"AAAAAHv3OqQ=")</f>
        <v>#VALUE!</v>
      </c>
      <c r="FJ25" t="e">
        <f>AND('Planilla_General_03-12-2012_9_3'!E395,"AAAAAHv3OqU=")</f>
        <v>#VALUE!</v>
      </c>
      <c r="FK25" t="e">
        <f>AND('Planilla_General_03-12-2012_9_3'!F395,"AAAAAHv3OqY=")</f>
        <v>#VALUE!</v>
      </c>
      <c r="FL25" t="e">
        <f>AND('Planilla_General_03-12-2012_9_3'!G395,"AAAAAHv3Oqc=")</f>
        <v>#VALUE!</v>
      </c>
      <c r="FM25" t="e">
        <f>AND('Planilla_General_03-12-2012_9_3'!H395,"AAAAAHv3Oqg=")</f>
        <v>#VALUE!</v>
      </c>
      <c r="FN25" t="e">
        <f>AND('Planilla_General_03-12-2012_9_3'!I395,"AAAAAHv3Oqk=")</f>
        <v>#VALUE!</v>
      </c>
      <c r="FO25" t="e">
        <f>AND('Planilla_General_03-12-2012_9_3'!J395,"AAAAAHv3Oqo=")</f>
        <v>#VALUE!</v>
      </c>
      <c r="FP25" t="e">
        <f>AND('Planilla_General_03-12-2012_9_3'!K395,"AAAAAHv3Oqs=")</f>
        <v>#VALUE!</v>
      </c>
      <c r="FQ25" t="e">
        <f>AND('Planilla_General_03-12-2012_9_3'!L395,"AAAAAHv3Oqw=")</f>
        <v>#VALUE!</v>
      </c>
      <c r="FR25" t="e">
        <f>AND('Planilla_General_03-12-2012_9_3'!M395,"AAAAAHv3Oq0=")</f>
        <v>#VALUE!</v>
      </c>
      <c r="FS25" t="e">
        <f>AND('Planilla_General_03-12-2012_9_3'!N395,"AAAAAHv3Oq4=")</f>
        <v>#VALUE!</v>
      </c>
      <c r="FT25" t="e">
        <f>AND('Planilla_General_03-12-2012_9_3'!O395,"AAAAAHv3Oq8=")</f>
        <v>#VALUE!</v>
      </c>
      <c r="FU25">
        <f>IF('Planilla_General_03-12-2012_9_3'!396:396,"AAAAAHv3OrA=",0)</f>
        <v>0</v>
      </c>
      <c r="FV25" t="e">
        <f>AND('Planilla_General_03-12-2012_9_3'!A396,"AAAAAHv3OrE=")</f>
        <v>#VALUE!</v>
      </c>
      <c r="FW25" t="e">
        <f>AND('Planilla_General_03-12-2012_9_3'!B396,"AAAAAHv3OrI=")</f>
        <v>#VALUE!</v>
      </c>
      <c r="FX25" t="e">
        <f>AND('Planilla_General_03-12-2012_9_3'!C396,"AAAAAHv3OrM=")</f>
        <v>#VALUE!</v>
      </c>
      <c r="FY25" t="e">
        <f>AND('Planilla_General_03-12-2012_9_3'!D396,"AAAAAHv3OrQ=")</f>
        <v>#VALUE!</v>
      </c>
      <c r="FZ25" t="e">
        <f>AND('Planilla_General_03-12-2012_9_3'!E396,"AAAAAHv3OrU=")</f>
        <v>#VALUE!</v>
      </c>
      <c r="GA25" t="e">
        <f>AND('Planilla_General_03-12-2012_9_3'!F396,"AAAAAHv3OrY=")</f>
        <v>#VALUE!</v>
      </c>
      <c r="GB25" t="e">
        <f>AND('Planilla_General_03-12-2012_9_3'!G396,"AAAAAHv3Orc=")</f>
        <v>#VALUE!</v>
      </c>
      <c r="GC25" t="e">
        <f>AND('Planilla_General_03-12-2012_9_3'!H396,"AAAAAHv3Org=")</f>
        <v>#VALUE!</v>
      </c>
      <c r="GD25" t="e">
        <f>AND('Planilla_General_03-12-2012_9_3'!I396,"AAAAAHv3Ork=")</f>
        <v>#VALUE!</v>
      </c>
      <c r="GE25" t="e">
        <f>AND('Planilla_General_03-12-2012_9_3'!J396,"AAAAAHv3Oro=")</f>
        <v>#VALUE!</v>
      </c>
      <c r="GF25" t="e">
        <f>AND('Planilla_General_03-12-2012_9_3'!K396,"AAAAAHv3Ors=")</f>
        <v>#VALUE!</v>
      </c>
      <c r="GG25" t="e">
        <f>AND('Planilla_General_03-12-2012_9_3'!L396,"AAAAAHv3Orw=")</f>
        <v>#VALUE!</v>
      </c>
      <c r="GH25" t="e">
        <f>AND('Planilla_General_03-12-2012_9_3'!M396,"AAAAAHv3Or0=")</f>
        <v>#VALUE!</v>
      </c>
      <c r="GI25" t="e">
        <f>AND('Planilla_General_03-12-2012_9_3'!N396,"AAAAAHv3Or4=")</f>
        <v>#VALUE!</v>
      </c>
      <c r="GJ25" t="e">
        <f>AND('Planilla_General_03-12-2012_9_3'!O396,"AAAAAHv3Or8=")</f>
        <v>#VALUE!</v>
      </c>
      <c r="GK25">
        <f>IF('Planilla_General_03-12-2012_9_3'!397:397,"AAAAAHv3OsA=",0)</f>
        <v>0</v>
      </c>
      <c r="GL25" t="e">
        <f>AND('Planilla_General_03-12-2012_9_3'!A397,"AAAAAHv3OsE=")</f>
        <v>#VALUE!</v>
      </c>
      <c r="GM25" t="e">
        <f>AND('Planilla_General_03-12-2012_9_3'!B397,"AAAAAHv3OsI=")</f>
        <v>#VALUE!</v>
      </c>
      <c r="GN25" t="e">
        <f>AND('Planilla_General_03-12-2012_9_3'!C397,"AAAAAHv3OsM=")</f>
        <v>#VALUE!</v>
      </c>
      <c r="GO25" t="e">
        <f>AND('Planilla_General_03-12-2012_9_3'!D397,"AAAAAHv3OsQ=")</f>
        <v>#VALUE!</v>
      </c>
      <c r="GP25" t="e">
        <f>AND('Planilla_General_03-12-2012_9_3'!E397,"AAAAAHv3OsU=")</f>
        <v>#VALUE!</v>
      </c>
      <c r="GQ25" t="e">
        <f>AND('Planilla_General_03-12-2012_9_3'!F397,"AAAAAHv3OsY=")</f>
        <v>#VALUE!</v>
      </c>
      <c r="GR25" t="e">
        <f>AND('Planilla_General_03-12-2012_9_3'!G397,"AAAAAHv3Osc=")</f>
        <v>#VALUE!</v>
      </c>
      <c r="GS25" t="e">
        <f>AND('Planilla_General_03-12-2012_9_3'!H397,"AAAAAHv3Osg=")</f>
        <v>#VALUE!</v>
      </c>
      <c r="GT25" t="e">
        <f>AND('Planilla_General_03-12-2012_9_3'!I397,"AAAAAHv3Osk=")</f>
        <v>#VALUE!</v>
      </c>
      <c r="GU25" t="e">
        <f>AND('Planilla_General_03-12-2012_9_3'!J397,"AAAAAHv3Oso=")</f>
        <v>#VALUE!</v>
      </c>
      <c r="GV25" t="e">
        <f>AND('Planilla_General_03-12-2012_9_3'!K397,"AAAAAHv3Oss=")</f>
        <v>#VALUE!</v>
      </c>
      <c r="GW25" t="e">
        <f>AND('Planilla_General_03-12-2012_9_3'!L397,"AAAAAHv3Osw=")</f>
        <v>#VALUE!</v>
      </c>
      <c r="GX25" t="e">
        <f>AND('Planilla_General_03-12-2012_9_3'!M397,"AAAAAHv3Os0=")</f>
        <v>#VALUE!</v>
      </c>
      <c r="GY25" t="e">
        <f>AND('Planilla_General_03-12-2012_9_3'!N397,"AAAAAHv3Os4=")</f>
        <v>#VALUE!</v>
      </c>
      <c r="GZ25" t="e">
        <f>AND('Planilla_General_03-12-2012_9_3'!O397,"AAAAAHv3Os8=")</f>
        <v>#VALUE!</v>
      </c>
      <c r="HA25">
        <f>IF('Planilla_General_03-12-2012_9_3'!398:398,"AAAAAHv3OtA=",0)</f>
        <v>0</v>
      </c>
      <c r="HB25" t="e">
        <f>AND('Planilla_General_03-12-2012_9_3'!A398,"AAAAAHv3OtE=")</f>
        <v>#VALUE!</v>
      </c>
      <c r="HC25" t="e">
        <f>AND('Planilla_General_03-12-2012_9_3'!B398,"AAAAAHv3OtI=")</f>
        <v>#VALUE!</v>
      </c>
      <c r="HD25" t="e">
        <f>AND('Planilla_General_03-12-2012_9_3'!C398,"AAAAAHv3OtM=")</f>
        <v>#VALUE!</v>
      </c>
      <c r="HE25" t="e">
        <f>AND('Planilla_General_03-12-2012_9_3'!D398,"AAAAAHv3OtQ=")</f>
        <v>#VALUE!</v>
      </c>
      <c r="HF25" t="e">
        <f>AND('Planilla_General_03-12-2012_9_3'!E398,"AAAAAHv3OtU=")</f>
        <v>#VALUE!</v>
      </c>
      <c r="HG25" t="e">
        <f>AND('Planilla_General_03-12-2012_9_3'!F398,"AAAAAHv3OtY=")</f>
        <v>#VALUE!</v>
      </c>
      <c r="HH25" t="e">
        <f>AND('Planilla_General_03-12-2012_9_3'!G398,"AAAAAHv3Otc=")</f>
        <v>#VALUE!</v>
      </c>
      <c r="HI25" t="e">
        <f>AND('Planilla_General_03-12-2012_9_3'!H398,"AAAAAHv3Otg=")</f>
        <v>#VALUE!</v>
      </c>
      <c r="HJ25" t="e">
        <f>AND('Planilla_General_03-12-2012_9_3'!I398,"AAAAAHv3Otk=")</f>
        <v>#VALUE!</v>
      </c>
      <c r="HK25" t="e">
        <f>AND('Planilla_General_03-12-2012_9_3'!J398,"AAAAAHv3Oto=")</f>
        <v>#VALUE!</v>
      </c>
      <c r="HL25" t="e">
        <f>AND('Planilla_General_03-12-2012_9_3'!K398,"AAAAAHv3Ots=")</f>
        <v>#VALUE!</v>
      </c>
      <c r="HM25" t="e">
        <f>AND('Planilla_General_03-12-2012_9_3'!L398,"AAAAAHv3Otw=")</f>
        <v>#VALUE!</v>
      </c>
      <c r="HN25" t="e">
        <f>AND('Planilla_General_03-12-2012_9_3'!M398,"AAAAAHv3Ot0=")</f>
        <v>#VALUE!</v>
      </c>
      <c r="HO25" t="e">
        <f>AND('Planilla_General_03-12-2012_9_3'!N398,"AAAAAHv3Ot4=")</f>
        <v>#VALUE!</v>
      </c>
      <c r="HP25" t="e">
        <f>AND('Planilla_General_03-12-2012_9_3'!O398,"AAAAAHv3Ot8=")</f>
        <v>#VALUE!</v>
      </c>
      <c r="HQ25">
        <f>IF('Planilla_General_03-12-2012_9_3'!399:399,"AAAAAHv3OuA=",0)</f>
        <v>0</v>
      </c>
      <c r="HR25" t="e">
        <f>AND('Planilla_General_03-12-2012_9_3'!A399,"AAAAAHv3OuE=")</f>
        <v>#VALUE!</v>
      </c>
      <c r="HS25" t="e">
        <f>AND('Planilla_General_03-12-2012_9_3'!B399,"AAAAAHv3OuI=")</f>
        <v>#VALUE!</v>
      </c>
      <c r="HT25" t="e">
        <f>AND('Planilla_General_03-12-2012_9_3'!C399,"AAAAAHv3OuM=")</f>
        <v>#VALUE!</v>
      </c>
      <c r="HU25" t="e">
        <f>AND('Planilla_General_03-12-2012_9_3'!D399,"AAAAAHv3OuQ=")</f>
        <v>#VALUE!</v>
      </c>
      <c r="HV25" t="e">
        <f>AND('Planilla_General_03-12-2012_9_3'!E399,"AAAAAHv3OuU=")</f>
        <v>#VALUE!</v>
      </c>
      <c r="HW25" t="e">
        <f>AND('Planilla_General_03-12-2012_9_3'!F399,"AAAAAHv3OuY=")</f>
        <v>#VALUE!</v>
      </c>
      <c r="HX25" t="e">
        <f>AND('Planilla_General_03-12-2012_9_3'!G399,"AAAAAHv3Ouc=")</f>
        <v>#VALUE!</v>
      </c>
      <c r="HY25" t="e">
        <f>AND('Planilla_General_03-12-2012_9_3'!H399,"AAAAAHv3Oug=")</f>
        <v>#VALUE!</v>
      </c>
      <c r="HZ25" t="e">
        <f>AND('Planilla_General_03-12-2012_9_3'!I399,"AAAAAHv3Ouk=")</f>
        <v>#VALUE!</v>
      </c>
      <c r="IA25" t="e">
        <f>AND('Planilla_General_03-12-2012_9_3'!J399,"AAAAAHv3Ouo=")</f>
        <v>#VALUE!</v>
      </c>
      <c r="IB25" t="e">
        <f>AND('Planilla_General_03-12-2012_9_3'!K399,"AAAAAHv3Ous=")</f>
        <v>#VALUE!</v>
      </c>
      <c r="IC25" t="e">
        <f>AND('Planilla_General_03-12-2012_9_3'!L399,"AAAAAHv3Ouw=")</f>
        <v>#VALUE!</v>
      </c>
      <c r="ID25" t="e">
        <f>AND('Planilla_General_03-12-2012_9_3'!M399,"AAAAAHv3Ou0=")</f>
        <v>#VALUE!</v>
      </c>
      <c r="IE25" t="e">
        <f>AND('Planilla_General_03-12-2012_9_3'!N399,"AAAAAHv3Ou4=")</f>
        <v>#VALUE!</v>
      </c>
      <c r="IF25" t="e">
        <f>AND('Planilla_General_03-12-2012_9_3'!O399,"AAAAAHv3Ou8=")</f>
        <v>#VALUE!</v>
      </c>
      <c r="IG25">
        <f>IF('Planilla_General_03-12-2012_9_3'!400:400,"AAAAAHv3OvA=",0)</f>
        <v>0</v>
      </c>
      <c r="IH25" t="e">
        <f>AND('Planilla_General_03-12-2012_9_3'!A400,"AAAAAHv3OvE=")</f>
        <v>#VALUE!</v>
      </c>
      <c r="II25" t="e">
        <f>AND('Planilla_General_03-12-2012_9_3'!B400,"AAAAAHv3OvI=")</f>
        <v>#VALUE!</v>
      </c>
      <c r="IJ25" t="e">
        <f>AND('Planilla_General_03-12-2012_9_3'!C400,"AAAAAHv3OvM=")</f>
        <v>#VALUE!</v>
      </c>
      <c r="IK25" t="e">
        <f>AND('Planilla_General_03-12-2012_9_3'!D400,"AAAAAHv3OvQ=")</f>
        <v>#VALUE!</v>
      </c>
      <c r="IL25" t="e">
        <f>AND('Planilla_General_03-12-2012_9_3'!E400,"AAAAAHv3OvU=")</f>
        <v>#VALUE!</v>
      </c>
      <c r="IM25" t="e">
        <f>AND('Planilla_General_03-12-2012_9_3'!F400,"AAAAAHv3OvY=")</f>
        <v>#VALUE!</v>
      </c>
      <c r="IN25" t="e">
        <f>AND('Planilla_General_03-12-2012_9_3'!G400,"AAAAAHv3Ovc=")</f>
        <v>#VALUE!</v>
      </c>
      <c r="IO25" t="e">
        <f>AND('Planilla_General_03-12-2012_9_3'!H400,"AAAAAHv3Ovg=")</f>
        <v>#VALUE!</v>
      </c>
      <c r="IP25" t="e">
        <f>AND('Planilla_General_03-12-2012_9_3'!I400,"AAAAAHv3Ovk=")</f>
        <v>#VALUE!</v>
      </c>
      <c r="IQ25" t="e">
        <f>AND('Planilla_General_03-12-2012_9_3'!J400,"AAAAAHv3Ovo=")</f>
        <v>#VALUE!</v>
      </c>
      <c r="IR25" t="e">
        <f>AND('Planilla_General_03-12-2012_9_3'!K400,"AAAAAHv3Ovs=")</f>
        <v>#VALUE!</v>
      </c>
      <c r="IS25" t="e">
        <f>AND('Planilla_General_03-12-2012_9_3'!L400,"AAAAAHv3Ovw=")</f>
        <v>#VALUE!</v>
      </c>
      <c r="IT25" t="e">
        <f>AND('Planilla_General_03-12-2012_9_3'!M400,"AAAAAHv3Ov0=")</f>
        <v>#VALUE!</v>
      </c>
      <c r="IU25" t="e">
        <f>AND('Planilla_General_03-12-2012_9_3'!N400,"AAAAAHv3Ov4=")</f>
        <v>#VALUE!</v>
      </c>
      <c r="IV25" t="e">
        <f>AND('Planilla_General_03-12-2012_9_3'!O400,"AAAAAHv3Ov8=")</f>
        <v>#VALUE!</v>
      </c>
    </row>
    <row r="26" spans="1:256" x14ac:dyDescent="0.25">
      <c r="A26" t="e">
        <f>IF('Planilla_General_03-12-2012_9_3'!401:401,"AAAAAC/d9gA=",0)</f>
        <v>#VALUE!</v>
      </c>
      <c r="B26" t="e">
        <f>AND('Planilla_General_03-12-2012_9_3'!A401,"AAAAAC/d9gE=")</f>
        <v>#VALUE!</v>
      </c>
      <c r="C26" t="e">
        <f>AND('Planilla_General_03-12-2012_9_3'!B401,"AAAAAC/d9gI=")</f>
        <v>#VALUE!</v>
      </c>
      <c r="D26" t="e">
        <f>AND('Planilla_General_03-12-2012_9_3'!C401,"AAAAAC/d9gM=")</f>
        <v>#VALUE!</v>
      </c>
      <c r="E26" t="e">
        <f>AND('Planilla_General_03-12-2012_9_3'!D401,"AAAAAC/d9gQ=")</f>
        <v>#VALUE!</v>
      </c>
      <c r="F26" t="e">
        <f>AND('Planilla_General_03-12-2012_9_3'!E401,"AAAAAC/d9gU=")</f>
        <v>#VALUE!</v>
      </c>
      <c r="G26" t="e">
        <f>AND('Planilla_General_03-12-2012_9_3'!F401,"AAAAAC/d9gY=")</f>
        <v>#VALUE!</v>
      </c>
      <c r="H26" t="e">
        <f>AND('Planilla_General_03-12-2012_9_3'!G401,"AAAAAC/d9gc=")</f>
        <v>#VALUE!</v>
      </c>
      <c r="I26" t="e">
        <f>AND('Planilla_General_03-12-2012_9_3'!H401,"AAAAAC/d9gg=")</f>
        <v>#VALUE!</v>
      </c>
      <c r="J26" t="e">
        <f>AND('Planilla_General_03-12-2012_9_3'!I401,"AAAAAC/d9gk=")</f>
        <v>#VALUE!</v>
      </c>
      <c r="K26" t="e">
        <f>AND('Planilla_General_03-12-2012_9_3'!J401,"AAAAAC/d9go=")</f>
        <v>#VALUE!</v>
      </c>
      <c r="L26" t="e">
        <f>AND('Planilla_General_03-12-2012_9_3'!K401,"AAAAAC/d9gs=")</f>
        <v>#VALUE!</v>
      </c>
      <c r="M26" t="e">
        <f>AND('Planilla_General_03-12-2012_9_3'!L401,"AAAAAC/d9gw=")</f>
        <v>#VALUE!</v>
      </c>
      <c r="N26" t="e">
        <f>AND('Planilla_General_03-12-2012_9_3'!M401,"AAAAAC/d9g0=")</f>
        <v>#VALUE!</v>
      </c>
      <c r="O26" t="e">
        <f>AND('Planilla_General_03-12-2012_9_3'!N401,"AAAAAC/d9g4=")</f>
        <v>#VALUE!</v>
      </c>
      <c r="P26" t="e">
        <f>AND('Planilla_General_03-12-2012_9_3'!O401,"AAAAAC/d9g8=")</f>
        <v>#VALUE!</v>
      </c>
      <c r="Q26">
        <f>IF('Planilla_General_03-12-2012_9_3'!402:402,"AAAAAC/d9hA=",0)</f>
        <v>0</v>
      </c>
      <c r="R26" t="e">
        <f>AND('Planilla_General_03-12-2012_9_3'!A402,"AAAAAC/d9hE=")</f>
        <v>#VALUE!</v>
      </c>
      <c r="S26" t="e">
        <f>AND('Planilla_General_03-12-2012_9_3'!B402,"AAAAAC/d9hI=")</f>
        <v>#VALUE!</v>
      </c>
      <c r="T26" t="e">
        <f>AND('Planilla_General_03-12-2012_9_3'!C402,"AAAAAC/d9hM=")</f>
        <v>#VALUE!</v>
      </c>
      <c r="U26" t="e">
        <f>AND('Planilla_General_03-12-2012_9_3'!D402,"AAAAAC/d9hQ=")</f>
        <v>#VALUE!</v>
      </c>
      <c r="V26" t="e">
        <f>AND('Planilla_General_03-12-2012_9_3'!E402,"AAAAAC/d9hU=")</f>
        <v>#VALUE!</v>
      </c>
      <c r="W26" t="e">
        <f>AND('Planilla_General_03-12-2012_9_3'!F402,"AAAAAC/d9hY=")</f>
        <v>#VALUE!</v>
      </c>
      <c r="X26" t="e">
        <f>AND('Planilla_General_03-12-2012_9_3'!G402,"AAAAAC/d9hc=")</f>
        <v>#VALUE!</v>
      </c>
      <c r="Y26" t="e">
        <f>AND('Planilla_General_03-12-2012_9_3'!H402,"AAAAAC/d9hg=")</f>
        <v>#VALUE!</v>
      </c>
      <c r="Z26" t="e">
        <f>AND('Planilla_General_03-12-2012_9_3'!I402,"AAAAAC/d9hk=")</f>
        <v>#VALUE!</v>
      </c>
      <c r="AA26" t="e">
        <f>AND('Planilla_General_03-12-2012_9_3'!J402,"AAAAAC/d9ho=")</f>
        <v>#VALUE!</v>
      </c>
      <c r="AB26" t="e">
        <f>AND('Planilla_General_03-12-2012_9_3'!K402,"AAAAAC/d9hs=")</f>
        <v>#VALUE!</v>
      </c>
      <c r="AC26" t="e">
        <f>AND('Planilla_General_03-12-2012_9_3'!L402,"AAAAAC/d9hw=")</f>
        <v>#VALUE!</v>
      </c>
      <c r="AD26" t="e">
        <f>AND('Planilla_General_03-12-2012_9_3'!M402,"AAAAAC/d9h0=")</f>
        <v>#VALUE!</v>
      </c>
      <c r="AE26" t="e">
        <f>AND('Planilla_General_03-12-2012_9_3'!N402,"AAAAAC/d9h4=")</f>
        <v>#VALUE!</v>
      </c>
      <c r="AF26" t="e">
        <f>AND('Planilla_General_03-12-2012_9_3'!O402,"AAAAAC/d9h8=")</f>
        <v>#VALUE!</v>
      </c>
      <c r="AG26">
        <f>IF('Planilla_General_03-12-2012_9_3'!403:403,"AAAAAC/d9iA=",0)</f>
        <v>0</v>
      </c>
      <c r="AH26" t="e">
        <f>AND('Planilla_General_03-12-2012_9_3'!A403,"AAAAAC/d9iE=")</f>
        <v>#VALUE!</v>
      </c>
      <c r="AI26" t="e">
        <f>AND('Planilla_General_03-12-2012_9_3'!B403,"AAAAAC/d9iI=")</f>
        <v>#VALUE!</v>
      </c>
      <c r="AJ26" t="e">
        <f>AND('Planilla_General_03-12-2012_9_3'!C403,"AAAAAC/d9iM=")</f>
        <v>#VALUE!</v>
      </c>
      <c r="AK26" t="e">
        <f>AND('Planilla_General_03-12-2012_9_3'!D403,"AAAAAC/d9iQ=")</f>
        <v>#VALUE!</v>
      </c>
      <c r="AL26" t="e">
        <f>AND('Planilla_General_03-12-2012_9_3'!E403,"AAAAAC/d9iU=")</f>
        <v>#VALUE!</v>
      </c>
      <c r="AM26" t="e">
        <f>AND('Planilla_General_03-12-2012_9_3'!F403,"AAAAAC/d9iY=")</f>
        <v>#VALUE!</v>
      </c>
      <c r="AN26" t="e">
        <f>AND('Planilla_General_03-12-2012_9_3'!G403,"AAAAAC/d9ic=")</f>
        <v>#VALUE!</v>
      </c>
      <c r="AO26" t="e">
        <f>AND('Planilla_General_03-12-2012_9_3'!H403,"AAAAAC/d9ig=")</f>
        <v>#VALUE!</v>
      </c>
      <c r="AP26" t="e">
        <f>AND('Planilla_General_03-12-2012_9_3'!I403,"AAAAAC/d9ik=")</f>
        <v>#VALUE!</v>
      </c>
      <c r="AQ26" t="e">
        <f>AND('Planilla_General_03-12-2012_9_3'!J403,"AAAAAC/d9io=")</f>
        <v>#VALUE!</v>
      </c>
      <c r="AR26" t="e">
        <f>AND('Planilla_General_03-12-2012_9_3'!K403,"AAAAAC/d9is=")</f>
        <v>#VALUE!</v>
      </c>
      <c r="AS26" t="e">
        <f>AND('Planilla_General_03-12-2012_9_3'!L403,"AAAAAC/d9iw=")</f>
        <v>#VALUE!</v>
      </c>
      <c r="AT26" t="e">
        <f>AND('Planilla_General_03-12-2012_9_3'!M403,"AAAAAC/d9i0=")</f>
        <v>#VALUE!</v>
      </c>
      <c r="AU26" t="e">
        <f>AND('Planilla_General_03-12-2012_9_3'!N403,"AAAAAC/d9i4=")</f>
        <v>#VALUE!</v>
      </c>
      <c r="AV26" t="e">
        <f>AND('Planilla_General_03-12-2012_9_3'!O403,"AAAAAC/d9i8=")</f>
        <v>#VALUE!</v>
      </c>
      <c r="AW26">
        <f>IF('Planilla_General_03-12-2012_9_3'!404:404,"AAAAAC/d9jA=",0)</f>
        <v>0</v>
      </c>
      <c r="AX26" t="e">
        <f>AND('Planilla_General_03-12-2012_9_3'!A404,"AAAAAC/d9jE=")</f>
        <v>#VALUE!</v>
      </c>
      <c r="AY26" t="e">
        <f>AND('Planilla_General_03-12-2012_9_3'!B404,"AAAAAC/d9jI=")</f>
        <v>#VALUE!</v>
      </c>
      <c r="AZ26" t="e">
        <f>AND('Planilla_General_03-12-2012_9_3'!C404,"AAAAAC/d9jM=")</f>
        <v>#VALUE!</v>
      </c>
      <c r="BA26" t="e">
        <f>AND('Planilla_General_03-12-2012_9_3'!D404,"AAAAAC/d9jQ=")</f>
        <v>#VALUE!</v>
      </c>
      <c r="BB26" t="e">
        <f>AND('Planilla_General_03-12-2012_9_3'!E404,"AAAAAC/d9jU=")</f>
        <v>#VALUE!</v>
      </c>
      <c r="BC26" t="e">
        <f>AND('Planilla_General_03-12-2012_9_3'!F404,"AAAAAC/d9jY=")</f>
        <v>#VALUE!</v>
      </c>
      <c r="BD26" t="e">
        <f>AND('Planilla_General_03-12-2012_9_3'!G404,"AAAAAC/d9jc=")</f>
        <v>#VALUE!</v>
      </c>
      <c r="BE26" t="e">
        <f>AND('Planilla_General_03-12-2012_9_3'!H404,"AAAAAC/d9jg=")</f>
        <v>#VALUE!</v>
      </c>
      <c r="BF26" t="e">
        <f>AND('Planilla_General_03-12-2012_9_3'!I404,"AAAAAC/d9jk=")</f>
        <v>#VALUE!</v>
      </c>
      <c r="BG26" t="e">
        <f>AND('Planilla_General_03-12-2012_9_3'!J404,"AAAAAC/d9jo=")</f>
        <v>#VALUE!</v>
      </c>
      <c r="BH26" t="e">
        <f>AND('Planilla_General_03-12-2012_9_3'!K404,"AAAAAC/d9js=")</f>
        <v>#VALUE!</v>
      </c>
      <c r="BI26" t="e">
        <f>AND('Planilla_General_03-12-2012_9_3'!L404,"AAAAAC/d9jw=")</f>
        <v>#VALUE!</v>
      </c>
      <c r="BJ26" t="e">
        <f>AND('Planilla_General_03-12-2012_9_3'!M404,"AAAAAC/d9j0=")</f>
        <v>#VALUE!</v>
      </c>
      <c r="BK26" t="e">
        <f>AND('Planilla_General_03-12-2012_9_3'!N404,"AAAAAC/d9j4=")</f>
        <v>#VALUE!</v>
      </c>
      <c r="BL26" t="e">
        <f>AND('Planilla_General_03-12-2012_9_3'!O404,"AAAAAC/d9j8=")</f>
        <v>#VALUE!</v>
      </c>
      <c r="BM26">
        <f>IF('Planilla_General_03-12-2012_9_3'!405:405,"AAAAAC/d9kA=",0)</f>
        <v>0</v>
      </c>
      <c r="BN26" t="e">
        <f>AND('Planilla_General_03-12-2012_9_3'!A405,"AAAAAC/d9kE=")</f>
        <v>#VALUE!</v>
      </c>
      <c r="BO26" t="e">
        <f>AND('Planilla_General_03-12-2012_9_3'!B405,"AAAAAC/d9kI=")</f>
        <v>#VALUE!</v>
      </c>
      <c r="BP26" t="e">
        <f>AND('Planilla_General_03-12-2012_9_3'!C405,"AAAAAC/d9kM=")</f>
        <v>#VALUE!</v>
      </c>
      <c r="BQ26" t="e">
        <f>AND('Planilla_General_03-12-2012_9_3'!D405,"AAAAAC/d9kQ=")</f>
        <v>#VALUE!</v>
      </c>
      <c r="BR26" t="e">
        <f>AND('Planilla_General_03-12-2012_9_3'!E405,"AAAAAC/d9kU=")</f>
        <v>#VALUE!</v>
      </c>
      <c r="BS26" t="e">
        <f>AND('Planilla_General_03-12-2012_9_3'!F405,"AAAAAC/d9kY=")</f>
        <v>#VALUE!</v>
      </c>
      <c r="BT26" t="e">
        <f>AND('Planilla_General_03-12-2012_9_3'!G405,"AAAAAC/d9kc=")</f>
        <v>#VALUE!</v>
      </c>
      <c r="BU26" t="e">
        <f>AND('Planilla_General_03-12-2012_9_3'!H405,"AAAAAC/d9kg=")</f>
        <v>#VALUE!</v>
      </c>
      <c r="BV26" t="e">
        <f>AND('Planilla_General_03-12-2012_9_3'!I405,"AAAAAC/d9kk=")</f>
        <v>#VALUE!</v>
      </c>
      <c r="BW26" t="e">
        <f>AND('Planilla_General_03-12-2012_9_3'!J405,"AAAAAC/d9ko=")</f>
        <v>#VALUE!</v>
      </c>
      <c r="BX26" t="e">
        <f>AND('Planilla_General_03-12-2012_9_3'!K405,"AAAAAC/d9ks=")</f>
        <v>#VALUE!</v>
      </c>
      <c r="BY26" t="e">
        <f>AND('Planilla_General_03-12-2012_9_3'!L405,"AAAAAC/d9kw=")</f>
        <v>#VALUE!</v>
      </c>
      <c r="BZ26" t="e">
        <f>AND('Planilla_General_03-12-2012_9_3'!M405,"AAAAAC/d9k0=")</f>
        <v>#VALUE!</v>
      </c>
      <c r="CA26" t="e">
        <f>AND('Planilla_General_03-12-2012_9_3'!N405,"AAAAAC/d9k4=")</f>
        <v>#VALUE!</v>
      </c>
      <c r="CB26" t="e">
        <f>AND('Planilla_General_03-12-2012_9_3'!O405,"AAAAAC/d9k8=")</f>
        <v>#VALUE!</v>
      </c>
      <c r="CC26">
        <f>IF('Planilla_General_03-12-2012_9_3'!406:406,"AAAAAC/d9lA=",0)</f>
        <v>0</v>
      </c>
      <c r="CD26" t="e">
        <f>AND('Planilla_General_03-12-2012_9_3'!A406,"AAAAAC/d9lE=")</f>
        <v>#VALUE!</v>
      </c>
      <c r="CE26" t="e">
        <f>AND('Planilla_General_03-12-2012_9_3'!B406,"AAAAAC/d9lI=")</f>
        <v>#VALUE!</v>
      </c>
      <c r="CF26" t="e">
        <f>AND('Planilla_General_03-12-2012_9_3'!C406,"AAAAAC/d9lM=")</f>
        <v>#VALUE!</v>
      </c>
      <c r="CG26" t="e">
        <f>AND('Planilla_General_03-12-2012_9_3'!D406,"AAAAAC/d9lQ=")</f>
        <v>#VALUE!</v>
      </c>
      <c r="CH26" t="e">
        <f>AND('Planilla_General_03-12-2012_9_3'!E406,"AAAAAC/d9lU=")</f>
        <v>#VALUE!</v>
      </c>
      <c r="CI26" t="e">
        <f>AND('Planilla_General_03-12-2012_9_3'!F406,"AAAAAC/d9lY=")</f>
        <v>#VALUE!</v>
      </c>
      <c r="CJ26" t="e">
        <f>AND('Planilla_General_03-12-2012_9_3'!G406,"AAAAAC/d9lc=")</f>
        <v>#VALUE!</v>
      </c>
      <c r="CK26" t="e">
        <f>AND('Planilla_General_03-12-2012_9_3'!H406,"AAAAAC/d9lg=")</f>
        <v>#VALUE!</v>
      </c>
      <c r="CL26" t="e">
        <f>AND('Planilla_General_03-12-2012_9_3'!I406,"AAAAAC/d9lk=")</f>
        <v>#VALUE!</v>
      </c>
      <c r="CM26" t="e">
        <f>AND('Planilla_General_03-12-2012_9_3'!J406,"AAAAAC/d9lo=")</f>
        <v>#VALUE!</v>
      </c>
      <c r="CN26" t="e">
        <f>AND('Planilla_General_03-12-2012_9_3'!K406,"AAAAAC/d9ls=")</f>
        <v>#VALUE!</v>
      </c>
      <c r="CO26" t="e">
        <f>AND('Planilla_General_03-12-2012_9_3'!L406,"AAAAAC/d9lw=")</f>
        <v>#VALUE!</v>
      </c>
      <c r="CP26" t="e">
        <f>AND('Planilla_General_03-12-2012_9_3'!M406,"AAAAAC/d9l0=")</f>
        <v>#VALUE!</v>
      </c>
      <c r="CQ26" t="e">
        <f>AND('Planilla_General_03-12-2012_9_3'!N406,"AAAAAC/d9l4=")</f>
        <v>#VALUE!</v>
      </c>
      <c r="CR26" t="e">
        <f>AND('Planilla_General_03-12-2012_9_3'!O406,"AAAAAC/d9l8=")</f>
        <v>#VALUE!</v>
      </c>
      <c r="CS26">
        <f>IF('Planilla_General_03-12-2012_9_3'!407:407,"AAAAAC/d9mA=",0)</f>
        <v>0</v>
      </c>
      <c r="CT26" t="e">
        <f>AND('Planilla_General_03-12-2012_9_3'!A407,"AAAAAC/d9mE=")</f>
        <v>#VALUE!</v>
      </c>
      <c r="CU26" t="e">
        <f>AND('Planilla_General_03-12-2012_9_3'!B407,"AAAAAC/d9mI=")</f>
        <v>#VALUE!</v>
      </c>
      <c r="CV26" t="e">
        <f>AND('Planilla_General_03-12-2012_9_3'!C407,"AAAAAC/d9mM=")</f>
        <v>#VALUE!</v>
      </c>
      <c r="CW26" t="e">
        <f>AND('Planilla_General_03-12-2012_9_3'!D407,"AAAAAC/d9mQ=")</f>
        <v>#VALUE!</v>
      </c>
      <c r="CX26" t="e">
        <f>AND('Planilla_General_03-12-2012_9_3'!E407,"AAAAAC/d9mU=")</f>
        <v>#VALUE!</v>
      </c>
      <c r="CY26" t="e">
        <f>AND('Planilla_General_03-12-2012_9_3'!F407,"AAAAAC/d9mY=")</f>
        <v>#VALUE!</v>
      </c>
      <c r="CZ26" t="e">
        <f>AND('Planilla_General_03-12-2012_9_3'!G407,"AAAAAC/d9mc=")</f>
        <v>#VALUE!</v>
      </c>
      <c r="DA26" t="e">
        <f>AND('Planilla_General_03-12-2012_9_3'!H407,"AAAAAC/d9mg=")</f>
        <v>#VALUE!</v>
      </c>
      <c r="DB26" t="e">
        <f>AND('Planilla_General_03-12-2012_9_3'!I407,"AAAAAC/d9mk=")</f>
        <v>#VALUE!</v>
      </c>
      <c r="DC26" t="e">
        <f>AND('Planilla_General_03-12-2012_9_3'!J407,"AAAAAC/d9mo=")</f>
        <v>#VALUE!</v>
      </c>
      <c r="DD26" t="e">
        <f>AND('Planilla_General_03-12-2012_9_3'!K407,"AAAAAC/d9ms=")</f>
        <v>#VALUE!</v>
      </c>
      <c r="DE26" t="e">
        <f>AND('Planilla_General_03-12-2012_9_3'!L407,"AAAAAC/d9mw=")</f>
        <v>#VALUE!</v>
      </c>
      <c r="DF26" t="e">
        <f>AND('Planilla_General_03-12-2012_9_3'!M407,"AAAAAC/d9m0=")</f>
        <v>#VALUE!</v>
      </c>
      <c r="DG26" t="e">
        <f>AND('Planilla_General_03-12-2012_9_3'!N407,"AAAAAC/d9m4=")</f>
        <v>#VALUE!</v>
      </c>
      <c r="DH26" t="e">
        <f>AND('Planilla_General_03-12-2012_9_3'!O407,"AAAAAC/d9m8=")</f>
        <v>#VALUE!</v>
      </c>
      <c r="DI26">
        <f>IF('Planilla_General_03-12-2012_9_3'!408:408,"AAAAAC/d9nA=",0)</f>
        <v>0</v>
      </c>
      <c r="DJ26" t="e">
        <f>AND('Planilla_General_03-12-2012_9_3'!A408,"AAAAAC/d9nE=")</f>
        <v>#VALUE!</v>
      </c>
      <c r="DK26" t="e">
        <f>AND('Planilla_General_03-12-2012_9_3'!B408,"AAAAAC/d9nI=")</f>
        <v>#VALUE!</v>
      </c>
      <c r="DL26" t="e">
        <f>AND('Planilla_General_03-12-2012_9_3'!C408,"AAAAAC/d9nM=")</f>
        <v>#VALUE!</v>
      </c>
      <c r="DM26" t="e">
        <f>AND('Planilla_General_03-12-2012_9_3'!D408,"AAAAAC/d9nQ=")</f>
        <v>#VALUE!</v>
      </c>
      <c r="DN26" t="e">
        <f>AND('Planilla_General_03-12-2012_9_3'!E408,"AAAAAC/d9nU=")</f>
        <v>#VALUE!</v>
      </c>
      <c r="DO26" t="e">
        <f>AND('Planilla_General_03-12-2012_9_3'!F408,"AAAAAC/d9nY=")</f>
        <v>#VALUE!</v>
      </c>
      <c r="DP26" t="e">
        <f>AND('Planilla_General_03-12-2012_9_3'!G408,"AAAAAC/d9nc=")</f>
        <v>#VALUE!</v>
      </c>
      <c r="DQ26" t="e">
        <f>AND('Planilla_General_03-12-2012_9_3'!H408,"AAAAAC/d9ng=")</f>
        <v>#VALUE!</v>
      </c>
      <c r="DR26" t="e">
        <f>AND('Planilla_General_03-12-2012_9_3'!I408,"AAAAAC/d9nk=")</f>
        <v>#VALUE!</v>
      </c>
      <c r="DS26" t="e">
        <f>AND('Planilla_General_03-12-2012_9_3'!J408,"AAAAAC/d9no=")</f>
        <v>#VALUE!</v>
      </c>
      <c r="DT26" t="e">
        <f>AND('Planilla_General_03-12-2012_9_3'!K408,"AAAAAC/d9ns=")</f>
        <v>#VALUE!</v>
      </c>
      <c r="DU26" t="e">
        <f>AND('Planilla_General_03-12-2012_9_3'!L408,"AAAAAC/d9nw=")</f>
        <v>#VALUE!</v>
      </c>
      <c r="DV26" t="e">
        <f>AND('Planilla_General_03-12-2012_9_3'!M408,"AAAAAC/d9n0=")</f>
        <v>#VALUE!</v>
      </c>
      <c r="DW26" t="e">
        <f>AND('Planilla_General_03-12-2012_9_3'!N408,"AAAAAC/d9n4=")</f>
        <v>#VALUE!</v>
      </c>
      <c r="DX26" t="e">
        <f>AND('Planilla_General_03-12-2012_9_3'!O408,"AAAAAC/d9n8=")</f>
        <v>#VALUE!</v>
      </c>
      <c r="DY26">
        <f>IF('Planilla_General_03-12-2012_9_3'!409:409,"AAAAAC/d9oA=",0)</f>
        <v>0</v>
      </c>
      <c r="DZ26" t="e">
        <f>AND('Planilla_General_03-12-2012_9_3'!A409,"AAAAAC/d9oE=")</f>
        <v>#VALUE!</v>
      </c>
      <c r="EA26" t="e">
        <f>AND('Planilla_General_03-12-2012_9_3'!B409,"AAAAAC/d9oI=")</f>
        <v>#VALUE!</v>
      </c>
      <c r="EB26" t="e">
        <f>AND('Planilla_General_03-12-2012_9_3'!C409,"AAAAAC/d9oM=")</f>
        <v>#VALUE!</v>
      </c>
      <c r="EC26" t="e">
        <f>AND('Planilla_General_03-12-2012_9_3'!D409,"AAAAAC/d9oQ=")</f>
        <v>#VALUE!</v>
      </c>
      <c r="ED26" t="e">
        <f>AND('Planilla_General_03-12-2012_9_3'!E409,"AAAAAC/d9oU=")</f>
        <v>#VALUE!</v>
      </c>
      <c r="EE26" t="e">
        <f>AND('Planilla_General_03-12-2012_9_3'!F409,"AAAAAC/d9oY=")</f>
        <v>#VALUE!</v>
      </c>
      <c r="EF26" t="e">
        <f>AND('Planilla_General_03-12-2012_9_3'!G409,"AAAAAC/d9oc=")</f>
        <v>#VALUE!</v>
      </c>
      <c r="EG26" t="e">
        <f>AND('Planilla_General_03-12-2012_9_3'!H409,"AAAAAC/d9og=")</f>
        <v>#VALUE!</v>
      </c>
      <c r="EH26" t="e">
        <f>AND('Planilla_General_03-12-2012_9_3'!I409,"AAAAAC/d9ok=")</f>
        <v>#VALUE!</v>
      </c>
      <c r="EI26" t="e">
        <f>AND('Planilla_General_03-12-2012_9_3'!J409,"AAAAAC/d9oo=")</f>
        <v>#VALUE!</v>
      </c>
      <c r="EJ26" t="e">
        <f>AND('Planilla_General_03-12-2012_9_3'!K409,"AAAAAC/d9os=")</f>
        <v>#VALUE!</v>
      </c>
      <c r="EK26" t="e">
        <f>AND('Planilla_General_03-12-2012_9_3'!L409,"AAAAAC/d9ow=")</f>
        <v>#VALUE!</v>
      </c>
      <c r="EL26" t="e">
        <f>AND('Planilla_General_03-12-2012_9_3'!M409,"AAAAAC/d9o0=")</f>
        <v>#VALUE!</v>
      </c>
      <c r="EM26" t="e">
        <f>AND('Planilla_General_03-12-2012_9_3'!N409,"AAAAAC/d9o4=")</f>
        <v>#VALUE!</v>
      </c>
      <c r="EN26" t="e">
        <f>AND('Planilla_General_03-12-2012_9_3'!O409,"AAAAAC/d9o8=")</f>
        <v>#VALUE!</v>
      </c>
      <c r="EO26">
        <f>IF('Planilla_General_03-12-2012_9_3'!410:410,"AAAAAC/d9pA=",0)</f>
        <v>0</v>
      </c>
      <c r="EP26" t="e">
        <f>AND('Planilla_General_03-12-2012_9_3'!A410,"AAAAAC/d9pE=")</f>
        <v>#VALUE!</v>
      </c>
      <c r="EQ26" t="e">
        <f>AND('Planilla_General_03-12-2012_9_3'!B410,"AAAAAC/d9pI=")</f>
        <v>#VALUE!</v>
      </c>
      <c r="ER26" t="e">
        <f>AND('Planilla_General_03-12-2012_9_3'!C410,"AAAAAC/d9pM=")</f>
        <v>#VALUE!</v>
      </c>
      <c r="ES26" t="e">
        <f>AND('Planilla_General_03-12-2012_9_3'!D410,"AAAAAC/d9pQ=")</f>
        <v>#VALUE!</v>
      </c>
      <c r="ET26" t="e">
        <f>AND('Planilla_General_03-12-2012_9_3'!E410,"AAAAAC/d9pU=")</f>
        <v>#VALUE!</v>
      </c>
      <c r="EU26" t="e">
        <f>AND('Planilla_General_03-12-2012_9_3'!F410,"AAAAAC/d9pY=")</f>
        <v>#VALUE!</v>
      </c>
      <c r="EV26" t="e">
        <f>AND('Planilla_General_03-12-2012_9_3'!G410,"AAAAAC/d9pc=")</f>
        <v>#VALUE!</v>
      </c>
      <c r="EW26" t="e">
        <f>AND('Planilla_General_03-12-2012_9_3'!H410,"AAAAAC/d9pg=")</f>
        <v>#VALUE!</v>
      </c>
      <c r="EX26" t="e">
        <f>AND('Planilla_General_03-12-2012_9_3'!I410,"AAAAAC/d9pk=")</f>
        <v>#VALUE!</v>
      </c>
      <c r="EY26" t="e">
        <f>AND('Planilla_General_03-12-2012_9_3'!J410,"AAAAAC/d9po=")</f>
        <v>#VALUE!</v>
      </c>
      <c r="EZ26" t="e">
        <f>AND('Planilla_General_03-12-2012_9_3'!K410,"AAAAAC/d9ps=")</f>
        <v>#VALUE!</v>
      </c>
      <c r="FA26" t="e">
        <f>AND('Planilla_General_03-12-2012_9_3'!L410,"AAAAAC/d9pw=")</f>
        <v>#VALUE!</v>
      </c>
      <c r="FB26" t="e">
        <f>AND('Planilla_General_03-12-2012_9_3'!M410,"AAAAAC/d9p0=")</f>
        <v>#VALUE!</v>
      </c>
      <c r="FC26" t="e">
        <f>AND('Planilla_General_03-12-2012_9_3'!N410,"AAAAAC/d9p4=")</f>
        <v>#VALUE!</v>
      </c>
      <c r="FD26" t="e">
        <f>AND('Planilla_General_03-12-2012_9_3'!O410,"AAAAAC/d9p8=")</f>
        <v>#VALUE!</v>
      </c>
      <c r="FE26">
        <f>IF('Planilla_General_03-12-2012_9_3'!411:411,"AAAAAC/d9qA=",0)</f>
        <v>0</v>
      </c>
      <c r="FF26" t="e">
        <f>AND('Planilla_General_03-12-2012_9_3'!A411,"AAAAAC/d9qE=")</f>
        <v>#VALUE!</v>
      </c>
      <c r="FG26" t="e">
        <f>AND('Planilla_General_03-12-2012_9_3'!B411,"AAAAAC/d9qI=")</f>
        <v>#VALUE!</v>
      </c>
      <c r="FH26" t="e">
        <f>AND('Planilla_General_03-12-2012_9_3'!C411,"AAAAAC/d9qM=")</f>
        <v>#VALUE!</v>
      </c>
      <c r="FI26" t="e">
        <f>AND('Planilla_General_03-12-2012_9_3'!D411,"AAAAAC/d9qQ=")</f>
        <v>#VALUE!</v>
      </c>
      <c r="FJ26" t="e">
        <f>AND('Planilla_General_03-12-2012_9_3'!E411,"AAAAAC/d9qU=")</f>
        <v>#VALUE!</v>
      </c>
      <c r="FK26" t="e">
        <f>AND('Planilla_General_03-12-2012_9_3'!F411,"AAAAAC/d9qY=")</f>
        <v>#VALUE!</v>
      </c>
      <c r="FL26" t="e">
        <f>AND('Planilla_General_03-12-2012_9_3'!G411,"AAAAAC/d9qc=")</f>
        <v>#VALUE!</v>
      </c>
      <c r="FM26" t="e">
        <f>AND('Planilla_General_03-12-2012_9_3'!H411,"AAAAAC/d9qg=")</f>
        <v>#VALUE!</v>
      </c>
      <c r="FN26" t="e">
        <f>AND('Planilla_General_03-12-2012_9_3'!I411,"AAAAAC/d9qk=")</f>
        <v>#VALUE!</v>
      </c>
      <c r="FO26" t="e">
        <f>AND('Planilla_General_03-12-2012_9_3'!J411,"AAAAAC/d9qo=")</f>
        <v>#VALUE!</v>
      </c>
      <c r="FP26" t="e">
        <f>AND('Planilla_General_03-12-2012_9_3'!K411,"AAAAAC/d9qs=")</f>
        <v>#VALUE!</v>
      </c>
      <c r="FQ26" t="e">
        <f>AND('Planilla_General_03-12-2012_9_3'!L411,"AAAAAC/d9qw=")</f>
        <v>#VALUE!</v>
      </c>
      <c r="FR26" t="e">
        <f>AND('Planilla_General_03-12-2012_9_3'!M411,"AAAAAC/d9q0=")</f>
        <v>#VALUE!</v>
      </c>
      <c r="FS26" t="e">
        <f>AND('Planilla_General_03-12-2012_9_3'!N411,"AAAAAC/d9q4=")</f>
        <v>#VALUE!</v>
      </c>
      <c r="FT26" t="e">
        <f>AND('Planilla_General_03-12-2012_9_3'!O411,"AAAAAC/d9q8=")</f>
        <v>#VALUE!</v>
      </c>
      <c r="FU26">
        <f>IF('Planilla_General_03-12-2012_9_3'!412:412,"AAAAAC/d9rA=",0)</f>
        <v>0</v>
      </c>
      <c r="FV26" t="e">
        <f>AND('Planilla_General_03-12-2012_9_3'!A412,"AAAAAC/d9rE=")</f>
        <v>#VALUE!</v>
      </c>
      <c r="FW26" t="e">
        <f>AND('Planilla_General_03-12-2012_9_3'!B412,"AAAAAC/d9rI=")</f>
        <v>#VALUE!</v>
      </c>
      <c r="FX26" t="e">
        <f>AND('Planilla_General_03-12-2012_9_3'!C412,"AAAAAC/d9rM=")</f>
        <v>#VALUE!</v>
      </c>
      <c r="FY26" t="e">
        <f>AND('Planilla_General_03-12-2012_9_3'!D412,"AAAAAC/d9rQ=")</f>
        <v>#VALUE!</v>
      </c>
      <c r="FZ26" t="e">
        <f>AND('Planilla_General_03-12-2012_9_3'!E412,"AAAAAC/d9rU=")</f>
        <v>#VALUE!</v>
      </c>
      <c r="GA26" t="e">
        <f>AND('Planilla_General_03-12-2012_9_3'!F412,"AAAAAC/d9rY=")</f>
        <v>#VALUE!</v>
      </c>
      <c r="GB26" t="e">
        <f>AND('Planilla_General_03-12-2012_9_3'!G412,"AAAAAC/d9rc=")</f>
        <v>#VALUE!</v>
      </c>
      <c r="GC26" t="e">
        <f>AND('Planilla_General_03-12-2012_9_3'!H412,"AAAAAC/d9rg=")</f>
        <v>#VALUE!</v>
      </c>
      <c r="GD26" t="e">
        <f>AND('Planilla_General_03-12-2012_9_3'!I412,"AAAAAC/d9rk=")</f>
        <v>#VALUE!</v>
      </c>
      <c r="GE26" t="e">
        <f>AND('Planilla_General_03-12-2012_9_3'!J412,"AAAAAC/d9ro=")</f>
        <v>#VALUE!</v>
      </c>
      <c r="GF26" t="e">
        <f>AND('Planilla_General_03-12-2012_9_3'!K412,"AAAAAC/d9rs=")</f>
        <v>#VALUE!</v>
      </c>
      <c r="GG26" t="e">
        <f>AND('Planilla_General_03-12-2012_9_3'!L412,"AAAAAC/d9rw=")</f>
        <v>#VALUE!</v>
      </c>
      <c r="GH26" t="e">
        <f>AND('Planilla_General_03-12-2012_9_3'!M412,"AAAAAC/d9r0=")</f>
        <v>#VALUE!</v>
      </c>
      <c r="GI26" t="e">
        <f>AND('Planilla_General_03-12-2012_9_3'!N412,"AAAAAC/d9r4=")</f>
        <v>#VALUE!</v>
      </c>
      <c r="GJ26" t="e">
        <f>AND('Planilla_General_03-12-2012_9_3'!O412,"AAAAAC/d9r8=")</f>
        <v>#VALUE!</v>
      </c>
      <c r="GK26">
        <f>IF('Planilla_General_03-12-2012_9_3'!413:413,"AAAAAC/d9sA=",0)</f>
        <v>0</v>
      </c>
      <c r="GL26" t="e">
        <f>AND('Planilla_General_03-12-2012_9_3'!A413,"AAAAAC/d9sE=")</f>
        <v>#VALUE!</v>
      </c>
      <c r="GM26" t="e">
        <f>AND('Planilla_General_03-12-2012_9_3'!B413,"AAAAAC/d9sI=")</f>
        <v>#VALUE!</v>
      </c>
      <c r="GN26" t="e">
        <f>AND('Planilla_General_03-12-2012_9_3'!C413,"AAAAAC/d9sM=")</f>
        <v>#VALUE!</v>
      </c>
      <c r="GO26" t="e">
        <f>AND('Planilla_General_03-12-2012_9_3'!D413,"AAAAAC/d9sQ=")</f>
        <v>#VALUE!</v>
      </c>
      <c r="GP26" t="e">
        <f>AND('Planilla_General_03-12-2012_9_3'!E413,"AAAAAC/d9sU=")</f>
        <v>#VALUE!</v>
      </c>
      <c r="GQ26" t="e">
        <f>AND('Planilla_General_03-12-2012_9_3'!F413,"AAAAAC/d9sY=")</f>
        <v>#VALUE!</v>
      </c>
      <c r="GR26" t="e">
        <f>AND('Planilla_General_03-12-2012_9_3'!G413,"AAAAAC/d9sc=")</f>
        <v>#VALUE!</v>
      </c>
      <c r="GS26" t="e">
        <f>AND('Planilla_General_03-12-2012_9_3'!H413,"AAAAAC/d9sg=")</f>
        <v>#VALUE!</v>
      </c>
      <c r="GT26" t="e">
        <f>AND('Planilla_General_03-12-2012_9_3'!I413,"AAAAAC/d9sk=")</f>
        <v>#VALUE!</v>
      </c>
      <c r="GU26" t="e">
        <f>AND('Planilla_General_03-12-2012_9_3'!J413,"AAAAAC/d9so=")</f>
        <v>#VALUE!</v>
      </c>
      <c r="GV26" t="e">
        <f>AND('Planilla_General_03-12-2012_9_3'!K413,"AAAAAC/d9ss=")</f>
        <v>#VALUE!</v>
      </c>
      <c r="GW26" t="e">
        <f>AND('Planilla_General_03-12-2012_9_3'!L413,"AAAAAC/d9sw=")</f>
        <v>#VALUE!</v>
      </c>
      <c r="GX26" t="e">
        <f>AND('Planilla_General_03-12-2012_9_3'!M413,"AAAAAC/d9s0=")</f>
        <v>#VALUE!</v>
      </c>
      <c r="GY26" t="e">
        <f>AND('Planilla_General_03-12-2012_9_3'!N413,"AAAAAC/d9s4=")</f>
        <v>#VALUE!</v>
      </c>
      <c r="GZ26" t="e">
        <f>AND('Planilla_General_03-12-2012_9_3'!O413,"AAAAAC/d9s8=")</f>
        <v>#VALUE!</v>
      </c>
      <c r="HA26">
        <f>IF('Planilla_General_03-12-2012_9_3'!414:414,"AAAAAC/d9tA=",0)</f>
        <v>0</v>
      </c>
      <c r="HB26" t="e">
        <f>AND('Planilla_General_03-12-2012_9_3'!A414,"AAAAAC/d9tE=")</f>
        <v>#VALUE!</v>
      </c>
      <c r="HC26" t="e">
        <f>AND('Planilla_General_03-12-2012_9_3'!B414,"AAAAAC/d9tI=")</f>
        <v>#VALUE!</v>
      </c>
      <c r="HD26" t="e">
        <f>AND('Planilla_General_03-12-2012_9_3'!C414,"AAAAAC/d9tM=")</f>
        <v>#VALUE!</v>
      </c>
      <c r="HE26" t="e">
        <f>AND('Planilla_General_03-12-2012_9_3'!D414,"AAAAAC/d9tQ=")</f>
        <v>#VALUE!</v>
      </c>
      <c r="HF26" t="e">
        <f>AND('Planilla_General_03-12-2012_9_3'!E414,"AAAAAC/d9tU=")</f>
        <v>#VALUE!</v>
      </c>
      <c r="HG26" t="e">
        <f>AND('Planilla_General_03-12-2012_9_3'!F414,"AAAAAC/d9tY=")</f>
        <v>#VALUE!</v>
      </c>
      <c r="HH26" t="e">
        <f>AND('Planilla_General_03-12-2012_9_3'!G414,"AAAAAC/d9tc=")</f>
        <v>#VALUE!</v>
      </c>
      <c r="HI26" t="e">
        <f>AND('Planilla_General_03-12-2012_9_3'!H414,"AAAAAC/d9tg=")</f>
        <v>#VALUE!</v>
      </c>
      <c r="HJ26" t="e">
        <f>AND('Planilla_General_03-12-2012_9_3'!I414,"AAAAAC/d9tk=")</f>
        <v>#VALUE!</v>
      </c>
      <c r="HK26" t="e">
        <f>AND('Planilla_General_03-12-2012_9_3'!J414,"AAAAAC/d9to=")</f>
        <v>#VALUE!</v>
      </c>
      <c r="HL26" t="e">
        <f>AND('Planilla_General_03-12-2012_9_3'!K414,"AAAAAC/d9ts=")</f>
        <v>#VALUE!</v>
      </c>
      <c r="HM26" t="e">
        <f>AND('Planilla_General_03-12-2012_9_3'!L414,"AAAAAC/d9tw=")</f>
        <v>#VALUE!</v>
      </c>
      <c r="HN26" t="e">
        <f>AND('Planilla_General_03-12-2012_9_3'!M414,"AAAAAC/d9t0=")</f>
        <v>#VALUE!</v>
      </c>
      <c r="HO26" t="e">
        <f>AND('Planilla_General_03-12-2012_9_3'!N414,"AAAAAC/d9t4=")</f>
        <v>#VALUE!</v>
      </c>
      <c r="HP26" t="e">
        <f>AND('Planilla_General_03-12-2012_9_3'!O414,"AAAAAC/d9t8=")</f>
        <v>#VALUE!</v>
      </c>
      <c r="HQ26">
        <f>IF('Planilla_General_03-12-2012_9_3'!415:415,"AAAAAC/d9uA=",0)</f>
        <v>0</v>
      </c>
      <c r="HR26" t="e">
        <f>AND('Planilla_General_03-12-2012_9_3'!A415,"AAAAAC/d9uE=")</f>
        <v>#VALUE!</v>
      </c>
      <c r="HS26" t="e">
        <f>AND('Planilla_General_03-12-2012_9_3'!B415,"AAAAAC/d9uI=")</f>
        <v>#VALUE!</v>
      </c>
      <c r="HT26" t="e">
        <f>AND('Planilla_General_03-12-2012_9_3'!C415,"AAAAAC/d9uM=")</f>
        <v>#VALUE!</v>
      </c>
      <c r="HU26" t="e">
        <f>AND('Planilla_General_03-12-2012_9_3'!D415,"AAAAAC/d9uQ=")</f>
        <v>#VALUE!</v>
      </c>
      <c r="HV26" t="e">
        <f>AND('Planilla_General_03-12-2012_9_3'!E415,"AAAAAC/d9uU=")</f>
        <v>#VALUE!</v>
      </c>
      <c r="HW26" t="e">
        <f>AND('Planilla_General_03-12-2012_9_3'!F415,"AAAAAC/d9uY=")</f>
        <v>#VALUE!</v>
      </c>
      <c r="HX26" t="e">
        <f>AND('Planilla_General_03-12-2012_9_3'!G415,"AAAAAC/d9uc=")</f>
        <v>#VALUE!</v>
      </c>
      <c r="HY26" t="e">
        <f>AND('Planilla_General_03-12-2012_9_3'!H415,"AAAAAC/d9ug=")</f>
        <v>#VALUE!</v>
      </c>
      <c r="HZ26" t="e">
        <f>AND('Planilla_General_03-12-2012_9_3'!I415,"AAAAAC/d9uk=")</f>
        <v>#VALUE!</v>
      </c>
      <c r="IA26" t="e">
        <f>AND('Planilla_General_03-12-2012_9_3'!J415,"AAAAAC/d9uo=")</f>
        <v>#VALUE!</v>
      </c>
      <c r="IB26" t="e">
        <f>AND('Planilla_General_03-12-2012_9_3'!K415,"AAAAAC/d9us=")</f>
        <v>#VALUE!</v>
      </c>
      <c r="IC26" t="e">
        <f>AND('Planilla_General_03-12-2012_9_3'!L415,"AAAAAC/d9uw=")</f>
        <v>#VALUE!</v>
      </c>
      <c r="ID26" t="e">
        <f>AND('Planilla_General_03-12-2012_9_3'!M415,"AAAAAC/d9u0=")</f>
        <v>#VALUE!</v>
      </c>
      <c r="IE26" t="e">
        <f>AND('Planilla_General_03-12-2012_9_3'!N415,"AAAAAC/d9u4=")</f>
        <v>#VALUE!</v>
      </c>
      <c r="IF26" t="e">
        <f>AND('Planilla_General_03-12-2012_9_3'!O415,"AAAAAC/d9u8=")</f>
        <v>#VALUE!</v>
      </c>
      <c r="IG26">
        <f>IF('Planilla_General_03-12-2012_9_3'!416:416,"AAAAAC/d9vA=",0)</f>
        <v>0</v>
      </c>
      <c r="IH26" t="e">
        <f>AND('Planilla_General_03-12-2012_9_3'!A416,"AAAAAC/d9vE=")</f>
        <v>#VALUE!</v>
      </c>
      <c r="II26" t="e">
        <f>AND('Planilla_General_03-12-2012_9_3'!B416,"AAAAAC/d9vI=")</f>
        <v>#VALUE!</v>
      </c>
      <c r="IJ26" t="e">
        <f>AND('Planilla_General_03-12-2012_9_3'!C416,"AAAAAC/d9vM=")</f>
        <v>#VALUE!</v>
      </c>
      <c r="IK26" t="e">
        <f>AND('Planilla_General_03-12-2012_9_3'!D416,"AAAAAC/d9vQ=")</f>
        <v>#VALUE!</v>
      </c>
      <c r="IL26" t="e">
        <f>AND('Planilla_General_03-12-2012_9_3'!E416,"AAAAAC/d9vU=")</f>
        <v>#VALUE!</v>
      </c>
      <c r="IM26" t="e">
        <f>AND('Planilla_General_03-12-2012_9_3'!F416,"AAAAAC/d9vY=")</f>
        <v>#VALUE!</v>
      </c>
      <c r="IN26" t="e">
        <f>AND('Planilla_General_03-12-2012_9_3'!G416,"AAAAAC/d9vc=")</f>
        <v>#VALUE!</v>
      </c>
      <c r="IO26" t="e">
        <f>AND('Planilla_General_03-12-2012_9_3'!H416,"AAAAAC/d9vg=")</f>
        <v>#VALUE!</v>
      </c>
      <c r="IP26" t="e">
        <f>AND('Planilla_General_03-12-2012_9_3'!I416,"AAAAAC/d9vk=")</f>
        <v>#VALUE!</v>
      </c>
      <c r="IQ26" t="e">
        <f>AND('Planilla_General_03-12-2012_9_3'!J416,"AAAAAC/d9vo=")</f>
        <v>#VALUE!</v>
      </c>
      <c r="IR26" t="e">
        <f>AND('Planilla_General_03-12-2012_9_3'!K416,"AAAAAC/d9vs=")</f>
        <v>#VALUE!</v>
      </c>
      <c r="IS26" t="e">
        <f>AND('Planilla_General_03-12-2012_9_3'!L416,"AAAAAC/d9vw=")</f>
        <v>#VALUE!</v>
      </c>
      <c r="IT26" t="e">
        <f>AND('Planilla_General_03-12-2012_9_3'!M416,"AAAAAC/d9v0=")</f>
        <v>#VALUE!</v>
      </c>
      <c r="IU26" t="e">
        <f>AND('Planilla_General_03-12-2012_9_3'!N416,"AAAAAC/d9v4=")</f>
        <v>#VALUE!</v>
      </c>
      <c r="IV26" t="e">
        <f>AND('Planilla_General_03-12-2012_9_3'!O416,"AAAAAC/d9v8=")</f>
        <v>#VALUE!</v>
      </c>
    </row>
    <row r="27" spans="1:256" x14ac:dyDescent="0.25">
      <c r="A27" t="e">
        <f>IF('Planilla_General_03-12-2012_9_3'!417:417,"AAAAAFW/PwA=",0)</f>
        <v>#VALUE!</v>
      </c>
      <c r="B27" t="e">
        <f>AND('Planilla_General_03-12-2012_9_3'!A417,"AAAAAFW/PwE=")</f>
        <v>#VALUE!</v>
      </c>
      <c r="C27" t="e">
        <f>AND('Planilla_General_03-12-2012_9_3'!B417,"AAAAAFW/PwI=")</f>
        <v>#VALUE!</v>
      </c>
      <c r="D27" t="e">
        <f>AND('Planilla_General_03-12-2012_9_3'!C417,"AAAAAFW/PwM=")</f>
        <v>#VALUE!</v>
      </c>
      <c r="E27" t="e">
        <f>AND('Planilla_General_03-12-2012_9_3'!D417,"AAAAAFW/PwQ=")</f>
        <v>#VALUE!</v>
      </c>
      <c r="F27" t="e">
        <f>AND('Planilla_General_03-12-2012_9_3'!E417,"AAAAAFW/PwU=")</f>
        <v>#VALUE!</v>
      </c>
      <c r="G27" t="e">
        <f>AND('Planilla_General_03-12-2012_9_3'!F417,"AAAAAFW/PwY=")</f>
        <v>#VALUE!</v>
      </c>
      <c r="H27" t="e">
        <f>AND('Planilla_General_03-12-2012_9_3'!G417,"AAAAAFW/Pwc=")</f>
        <v>#VALUE!</v>
      </c>
      <c r="I27" t="e">
        <f>AND('Planilla_General_03-12-2012_9_3'!H417,"AAAAAFW/Pwg=")</f>
        <v>#VALUE!</v>
      </c>
      <c r="J27" t="e">
        <f>AND('Planilla_General_03-12-2012_9_3'!I417,"AAAAAFW/Pwk=")</f>
        <v>#VALUE!</v>
      </c>
      <c r="K27" t="e">
        <f>AND('Planilla_General_03-12-2012_9_3'!J417,"AAAAAFW/Pwo=")</f>
        <v>#VALUE!</v>
      </c>
      <c r="L27" t="e">
        <f>AND('Planilla_General_03-12-2012_9_3'!K417,"AAAAAFW/Pws=")</f>
        <v>#VALUE!</v>
      </c>
      <c r="M27" t="e">
        <f>AND('Planilla_General_03-12-2012_9_3'!L417,"AAAAAFW/Pww=")</f>
        <v>#VALUE!</v>
      </c>
      <c r="N27" t="e">
        <f>AND('Planilla_General_03-12-2012_9_3'!M417,"AAAAAFW/Pw0=")</f>
        <v>#VALUE!</v>
      </c>
      <c r="O27" t="e">
        <f>AND('Planilla_General_03-12-2012_9_3'!N417,"AAAAAFW/Pw4=")</f>
        <v>#VALUE!</v>
      </c>
      <c r="P27" t="e">
        <f>AND('Planilla_General_03-12-2012_9_3'!O417,"AAAAAFW/Pw8=")</f>
        <v>#VALUE!</v>
      </c>
      <c r="Q27">
        <f>IF('Planilla_General_03-12-2012_9_3'!418:418,"AAAAAFW/PxA=",0)</f>
        <v>0</v>
      </c>
      <c r="R27" t="e">
        <f>AND('Planilla_General_03-12-2012_9_3'!A418,"AAAAAFW/PxE=")</f>
        <v>#VALUE!</v>
      </c>
      <c r="S27" t="e">
        <f>AND('Planilla_General_03-12-2012_9_3'!B418,"AAAAAFW/PxI=")</f>
        <v>#VALUE!</v>
      </c>
      <c r="T27" t="e">
        <f>AND('Planilla_General_03-12-2012_9_3'!C418,"AAAAAFW/PxM=")</f>
        <v>#VALUE!</v>
      </c>
      <c r="U27" t="e">
        <f>AND('Planilla_General_03-12-2012_9_3'!D418,"AAAAAFW/PxQ=")</f>
        <v>#VALUE!</v>
      </c>
      <c r="V27" t="e">
        <f>AND('Planilla_General_03-12-2012_9_3'!E418,"AAAAAFW/PxU=")</f>
        <v>#VALUE!</v>
      </c>
      <c r="W27" t="e">
        <f>AND('Planilla_General_03-12-2012_9_3'!F418,"AAAAAFW/PxY=")</f>
        <v>#VALUE!</v>
      </c>
      <c r="X27" t="e">
        <f>AND('Planilla_General_03-12-2012_9_3'!G418,"AAAAAFW/Pxc=")</f>
        <v>#VALUE!</v>
      </c>
      <c r="Y27" t="e">
        <f>AND('Planilla_General_03-12-2012_9_3'!H418,"AAAAAFW/Pxg=")</f>
        <v>#VALUE!</v>
      </c>
      <c r="Z27" t="e">
        <f>AND('Planilla_General_03-12-2012_9_3'!I418,"AAAAAFW/Pxk=")</f>
        <v>#VALUE!</v>
      </c>
      <c r="AA27" t="e">
        <f>AND('Planilla_General_03-12-2012_9_3'!J418,"AAAAAFW/Pxo=")</f>
        <v>#VALUE!</v>
      </c>
      <c r="AB27" t="e">
        <f>AND('Planilla_General_03-12-2012_9_3'!K418,"AAAAAFW/Pxs=")</f>
        <v>#VALUE!</v>
      </c>
      <c r="AC27" t="e">
        <f>AND('Planilla_General_03-12-2012_9_3'!L418,"AAAAAFW/Pxw=")</f>
        <v>#VALUE!</v>
      </c>
      <c r="AD27" t="e">
        <f>AND('Planilla_General_03-12-2012_9_3'!M418,"AAAAAFW/Px0=")</f>
        <v>#VALUE!</v>
      </c>
      <c r="AE27" t="e">
        <f>AND('Planilla_General_03-12-2012_9_3'!N418,"AAAAAFW/Px4=")</f>
        <v>#VALUE!</v>
      </c>
      <c r="AF27" t="e">
        <f>AND('Planilla_General_03-12-2012_9_3'!O418,"AAAAAFW/Px8=")</f>
        <v>#VALUE!</v>
      </c>
      <c r="AG27">
        <f>IF('Planilla_General_03-12-2012_9_3'!419:419,"AAAAAFW/PyA=",0)</f>
        <v>0</v>
      </c>
      <c r="AH27" t="e">
        <f>AND('Planilla_General_03-12-2012_9_3'!A419,"AAAAAFW/PyE=")</f>
        <v>#VALUE!</v>
      </c>
      <c r="AI27" t="e">
        <f>AND('Planilla_General_03-12-2012_9_3'!B419,"AAAAAFW/PyI=")</f>
        <v>#VALUE!</v>
      </c>
      <c r="AJ27" t="e">
        <f>AND('Planilla_General_03-12-2012_9_3'!C419,"AAAAAFW/PyM=")</f>
        <v>#VALUE!</v>
      </c>
      <c r="AK27" t="e">
        <f>AND('Planilla_General_03-12-2012_9_3'!D419,"AAAAAFW/PyQ=")</f>
        <v>#VALUE!</v>
      </c>
      <c r="AL27" t="e">
        <f>AND('Planilla_General_03-12-2012_9_3'!E419,"AAAAAFW/PyU=")</f>
        <v>#VALUE!</v>
      </c>
      <c r="AM27" t="e">
        <f>AND('Planilla_General_03-12-2012_9_3'!F419,"AAAAAFW/PyY=")</f>
        <v>#VALUE!</v>
      </c>
      <c r="AN27" t="e">
        <f>AND('Planilla_General_03-12-2012_9_3'!G419,"AAAAAFW/Pyc=")</f>
        <v>#VALUE!</v>
      </c>
      <c r="AO27" t="e">
        <f>AND('Planilla_General_03-12-2012_9_3'!H419,"AAAAAFW/Pyg=")</f>
        <v>#VALUE!</v>
      </c>
      <c r="AP27" t="e">
        <f>AND('Planilla_General_03-12-2012_9_3'!I419,"AAAAAFW/Pyk=")</f>
        <v>#VALUE!</v>
      </c>
      <c r="AQ27" t="e">
        <f>AND('Planilla_General_03-12-2012_9_3'!J419,"AAAAAFW/Pyo=")</f>
        <v>#VALUE!</v>
      </c>
      <c r="AR27" t="e">
        <f>AND('Planilla_General_03-12-2012_9_3'!K419,"AAAAAFW/Pys=")</f>
        <v>#VALUE!</v>
      </c>
      <c r="AS27" t="e">
        <f>AND('Planilla_General_03-12-2012_9_3'!L419,"AAAAAFW/Pyw=")</f>
        <v>#VALUE!</v>
      </c>
      <c r="AT27" t="e">
        <f>AND('Planilla_General_03-12-2012_9_3'!M419,"AAAAAFW/Py0=")</f>
        <v>#VALUE!</v>
      </c>
      <c r="AU27" t="e">
        <f>AND('Planilla_General_03-12-2012_9_3'!N419,"AAAAAFW/Py4=")</f>
        <v>#VALUE!</v>
      </c>
      <c r="AV27" t="e">
        <f>AND('Planilla_General_03-12-2012_9_3'!O419,"AAAAAFW/Py8=")</f>
        <v>#VALUE!</v>
      </c>
      <c r="AW27">
        <f>IF('Planilla_General_03-12-2012_9_3'!420:420,"AAAAAFW/PzA=",0)</f>
        <v>0</v>
      </c>
      <c r="AX27" t="e">
        <f>AND('Planilla_General_03-12-2012_9_3'!A420,"AAAAAFW/PzE=")</f>
        <v>#VALUE!</v>
      </c>
      <c r="AY27" t="e">
        <f>AND('Planilla_General_03-12-2012_9_3'!B420,"AAAAAFW/PzI=")</f>
        <v>#VALUE!</v>
      </c>
      <c r="AZ27" t="e">
        <f>AND('Planilla_General_03-12-2012_9_3'!C420,"AAAAAFW/PzM=")</f>
        <v>#VALUE!</v>
      </c>
      <c r="BA27" t="e">
        <f>AND('Planilla_General_03-12-2012_9_3'!D420,"AAAAAFW/PzQ=")</f>
        <v>#VALUE!</v>
      </c>
      <c r="BB27" t="e">
        <f>AND('Planilla_General_03-12-2012_9_3'!E420,"AAAAAFW/PzU=")</f>
        <v>#VALUE!</v>
      </c>
      <c r="BC27" t="e">
        <f>AND('Planilla_General_03-12-2012_9_3'!F420,"AAAAAFW/PzY=")</f>
        <v>#VALUE!</v>
      </c>
      <c r="BD27" t="e">
        <f>AND('Planilla_General_03-12-2012_9_3'!G420,"AAAAAFW/Pzc=")</f>
        <v>#VALUE!</v>
      </c>
      <c r="BE27" t="e">
        <f>AND('Planilla_General_03-12-2012_9_3'!H420,"AAAAAFW/Pzg=")</f>
        <v>#VALUE!</v>
      </c>
      <c r="BF27" t="e">
        <f>AND('Planilla_General_03-12-2012_9_3'!I420,"AAAAAFW/Pzk=")</f>
        <v>#VALUE!</v>
      </c>
      <c r="BG27" t="e">
        <f>AND('Planilla_General_03-12-2012_9_3'!J420,"AAAAAFW/Pzo=")</f>
        <v>#VALUE!</v>
      </c>
      <c r="BH27" t="e">
        <f>AND('Planilla_General_03-12-2012_9_3'!K420,"AAAAAFW/Pzs=")</f>
        <v>#VALUE!</v>
      </c>
      <c r="BI27" t="e">
        <f>AND('Planilla_General_03-12-2012_9_3'!L420,"AAAAAFW/Pzw=")</f>
        <v>#VALUE!</v>
      </c>
      <c r="BJ27" t="e">
        <f>AND('Planilla_General_03-12-2012_9_3'!M420,"AAAAAFW/Pz0=")</f>
        <v>#VALUE!</v>
      </c>
      <c r="BK27" t="e">
        <f>AND('Planilla_General_03-12-2012_9_3'!N420,"AAAAAFW/Pz4=")</f>
        <v>#VALUE!</v>
      </c>
      <c r="BL27" t="e">
        <f>AND('Planilla_General_03-12-2012_9_3'!O420,"AAAAAFW/Pz8=")</f>
        <v>#VALUE!</v>
      </c>
      <c r="BM27">
        <f>IF('Planilla_General_03-12-2012_9_3'!421:421,"AAAAAFW/P0A=",0)</f>
        <v>0</v>
      </c>
      <c r="BN27" t="e">
        <f>AND('Planilla_General_03-12-2012_9_3'!A421,"AAAAAFW/P0E=")</f>
        <v>#VALUE!</v>
      </c>
      <c r="BO27" t="e">
        <f>AND('Planilla_General_03-12-2012_9_3'!B421,"AAAAAFW/P0I=")</f>
        <v>#VALUE!</v>
      </c>
      <c r="BP27" t="e">
        <f>AND('Planilla_General_03-12-2012_9_3'!C421,"AAAAAFW/P0M=")</f>
        <v>#VALUE!</v>
      </c>
      <c r="BQ27" t="e">
        <f>AND('Planilla_General_03-12-2012_9_3'!D421,"AAAAAFW/P0Q=")</f>
        <v>#VALUE!</v>
      </c>
      <c r="BR27" t="e">
        <f>AND('Planilla_General_03-12-2012_9_3'!E421,"AAAAAFW/P0U=")</f>
        <v>#VALUE!</v>
      </c>
      <c r="BS27" t="e">
        <f>AND('Planilla_General_03-12-2012_9_3'!F421,"AAAAAFW/P0Y=")</f>
        <v>#VALUE!</v>
      </c>
      <c r="BT27" t="e">
        <f>AND('Planilla_General_03-12-2012_9_3'!G421,"AAAAAFW/P0c=")</f>
        <v>#VALUE!</v>
      </c>
      <c r="BU27" t="e">
        <f>AND('Planilla_General_03-12-2012_9_3'!H421,"AAAAAFW/P0g=")</f>
        <v>#VALUE!</v>
      </c>
      <c r="BV27" t="e">
        <f>AND('Planilla_General_03-12-2012_9_3'!I421,"AAAAAFW/P0k=")</f>
        <v>#VALUE!</v>
      </c>
      <c r="BW27" t="e">
        <f>AND('Planilla_General_03-12-2012_9_3'!J421,"AAAAAFW/P0o=")</f>
        <v>#VALUE!</v>
      </c>
      <c r="BX27" t="e">
        <f>AND('Planilla_General_03-12-2012_9_3'!K421,"AAAAAFW/P0s=")</f>
        <v>#VALUE!</v>
      </c>
      <c r="BY27" t="e">
        <f>AND('Planilla_General_03-12-2012_9_3'!L421,"AAAAAFW/P0w=")</f>
        <v>#VALUE!</v>
      </c>
      <c r="BZ27" t="e">
        <f>AND('Planilla_General_03-12-2012_9_3'!M421,"AAAAAFW/P00=")</f>
        <v>#VALUE!</v>
      </c>
      <c r="CA27" t="e">
        <f>AND('Planilla_General_03-12-2012_9_3'!N421,"AAAAAFW/P04=")</f>
        <v>#VALUE!</v>
      </c>
      <c r="CB27" t="e">
        <f>AND('Planilla_General_03-12-2012_9_3'!O421,"AAAAAFW/P08=")</f>
        <v>#VALUE!</v>
      </c>
      <c r="CC27">
        <f>IF('Planilla_General_03-12-2012_9_3'!422:422,"AAAAAFW/P1A=",0)</f>
        <v>0</v>
      </c>
      <c r="CD27" t="e">
        <f>AND('Planilla_General_03-12-2012_9_3'!A422,"AAAAAFW/P1E=")</f>
        <v>#VALUE!</v>
      </c>
      <c r="CE27" t="e">
        <f>AND('Planilla_General_03-12-2012_9_3'!B422,"AAAAAFW/P1I=")</f>
        <v>#VALUE!</v>
      </c>
      <c r="CF27" t="e">
        <f>AND('Planilla_General_03-12-2012_9_3'!C422,"AAAAAFW/P1M=")</f>
        <v>#VALUE!</v>
      </c>
      <c r="CG27" t="e">
        <f>AND('Planilla_General_03-12-2012_9_3'!D422,"AAAAAFW/P1Q=")</f>
        <v>#VALUE!</v>
      </c>
      <c r="CH27" t="e">
        <f>AND('Planilla_General_03-12-2012_9_3'!E422,"AAAAAFW/P1U=")</f>
        <v>#VALUE!</v>
      </c>
      <c r="CI27" t="e">
        <f>AND('Planilla_General_03-12-2012_9_3'!F422,"AAAAAFW/P1Y=")</f>
        <v>#VALUE!</v>
      </c>
      <c r="CJ27" t="e">
        <f>AND('Planilla_General_03-12-2012_9_3'!G422,"AAAAAFW/P1c=")</f>
        <v>#VALUE!</v>
      </c>
      <c r="CK27" t="e">
        <f>AND('Planilla_General_03-12-2012_9_3'!H422,"AAAAAFW/P1g=")</f>
        <v>#VALUE!</v>
      </c>
      <c r="CL27" t="e">
        <f>AND('Planilla_General_03-12-2012_9_3'!I422,"AAAAAFW/P1k=")</f>
        <v>#VALUE!</v>
      </c>
      <c r="CM27" t="e">
        <f>AND('Planilla_General_03-12-2012_9_3'!J422,"AAAAAFW/P1o=")</f>
        <v>#VALUE!</v>
      </c>
      <c r="CN27" t="e">
        <f>AND('Planilla_General_03-12-2012_9_3'!K422,"AAAAAFW/P1s=")</f>
        <v>#VALUE!</v>
      </c>
      <c r="CO27" t="e">
        <f>AND('Planilla_General_03-12-2012_9_3'!L422,"AAAAAFW/P1w=")</f>
        <v>#VALUE!</v>
      </c>
      <c r="CP27" t="e">
        <f>AND('Planilla_General_03-12-2012_9_3'!M422,"AAAAAFW/P10=")</f>
        <v>#VALUE!</v>
      </c>
      <c r="CQ27" t="e">
        <f>AND('Planilla_General_03-12-2012_9_3'!N422,"AAAAAFW/P14=")</f>
        <v>#VALUE!</v>
      </c>
      <c r="CR27" t="e">
        <f>AND('Planilla_General_03-12-2012_9_3'!O422,"AAAAAFW/P18=")</f>
        <v>#VALUE!</v>
      </c>
      <c r="CS27">
        <f>IF('Planilla_General_03-12-2012_9_3'!423:423,"AAAAAFW/P2A=",0)</f>
        <v>0</v>
      </c>
      <c r="CT27" t="e">
        <f>AND('Planilla_General_03-12-2012_9_3'!A423,"AAAAAFW/P2E=")</f>
        <v>#VALUE!</v>
      </c>
      <c r="CU27" t="e">
        <f>AND('Planilla_General_03-12-2012_9_3'!B423,"AAAAAFW/P2I=")</f>
        <v>#VALUE!</v>
      </c>
      <c r="CV27" t="e">
        <f>AND('Planilla_General_03-12-2012_9_3'!C423,"AAAAAFW/P2M=")</f>
        <v>#VALUE!</v>
      </c>
      <c r="CW27" t="e">
        <f>AND('Planilla_General_03-12-2012_9_3'!D423,"AAAAAFW/P2Q=")</f>
        <v>#VALUE!</v>
      </c>
      <c r="CX27" t="e">
        <f>AND('Planilla_General_03-12-2012_9_3'!E423,"AAAAAFW/P2U=")</f>
        <v>#VALUE!</v>
      </c>
      <c r="CY27" t="e">
        <f>AND('Planilla_General_03-12-2012_9_3'!F423,"AAAAAFW/P2Y=")</f>
        <v>#VALUE!</v>
      </c>
      <c r="CZ27" t="e">
        <f>AND('Planilla_General_03-12-2012_9_3'!G423,"AAAAAFW/P2c=")</f>
        <v>#VALUE!</v>
      </c>
      <c r="DA27" t="e">
        <f>AND('Planilla_General_03-12-2012_9_3'!H423,"AAAAAFW/P2g=")</f>
        <v>#VALUE!</v>
      </c>
      <c r="DB27" t="e">
        <f>AND('Planilla_General_03-12-2012_9_3'!I423,"AAAAAFW/P2k=")</f>
        <v>#VALUE!</v>
      </c>
      <c r="DC27" t="e">
        <f>AND('Planilla_General_03-12-2012_9_3'!J423,"AAAAAFW/P2o=")</f>
        <v>#VALUE!</v>
      </c>
      <c r="DD27" t="e">
        <f>AND('Planilla_General_03-12-2012_9_3'!K423,"AAAAAFW/P2s=")</f>
        <v>#VALUE!</v>
      </c>
      <c r="DE27" t="e">
        <f>AND('Planilla_General_03-12-2012_9_3'!L423,"AAAAAFW/P2w=")</f>
        <v>#VALUE!</v>
      </c>
      <c r="DF27" t="e">
        <f>AND('Planilla_General_03-12-2012_9_3'!M423,"AAAAAFW/P20=")</f>
        <v>#VALUE!</v>
      </c>
      <c r="DG27" t="e">
        <f>AND('Planilla_General_03-12-2012_9_3'!N423,"AAAAAFW/P24=")</f>
        <v>#VALUE!</v>
      </c>
      <c r="DH27" t="e">
        <f>AND('Planilla_General_03-12-2012_9_3'!O423,"AAAAAFW/P28=")</f>
        <v>#VALUE!</v>
      </c>
      <c r="DI27">
        <f>IF('Planilla_General_03-12-2012_9_3'!424:424,"AAAAAFW/P3A=",0)</f>
        <v>0</v>
      </c>
      <c r="DJ27" t="e">
        <f>AND('Planilla_General_03-12-2012_9_3'!A424,"AAAAAFW/P3E=")</f>
        <v>#VALUE!</v>
      </c>
      <c r="DK27" t="e">
        <f>AND('Planilla_General_03-12-2012_9_3'!B424,"AAAAAFW/P3I=")</f>
        <v>#VALUE!</v>
      </c>
      <c r="DL27" t="e">
        <f>AND('Planilla_General_03-12-2012_9_3'!C424,"AAAAAFW/P3M=")</f>
        <v>#VALUE!</v>
      </c>
      <c r="DM27" t="e">
        <f>AND('Planilla_General_03-12-2012_9_3'!D424,"AAAAAFW/P3Q=")</f>
        <v>#VALUE!</v>
      </c>
      <c r="DN27" t="e">
        <f>AND('Planilla_General_03-12-2012_9_3'!E424,"AAAAAFW/P3U=")</f>
        <v>#VALUE!</v>
      </c>
      <c r="DO27" t="e">
        <f>AND('Planilla_General_03-12-2012_9_3'!F424,"AAAAAFW/P3Y=")</f>
        <v>#VALUE!</v>
      </c>
      <c r="DP27" t="e">
        <f>AND('Planilla_General_03-12-2012_9_3'!G424,"AAAAAFW/P3c=")</f>
        <v>#VALUE!</v>
      </c>
      <c r="DQ27" t="e">
        <f>AND('Planilla_General_03-12-2012_9_3'!H424,"AAAAAFW/P3g=")</f>
        <v>#VALUE!</v>
      </c>
      <c r="DR27" t="e">
        <f>AND('Planilla_General_03-12-2012_9_3'!I424,"AAAAAFW/P3k=")</f>
        <v>#VALUE!</v>
      </c>
      <c r="DS27" t="e">
        <f>AND('Planilla_General_03-12-2012_9_3'!J424,"AAAAAFW/P3o=")</f>
        <v>#VALUE!</v>
      </c>
      <c r="DT27" t="e">
        <f>AND('Planilla_General_03-12-2012_9_3'!K424,"AAAAAFW/P3s=")</f>
        <v>#VALUE!</v>
      </c>
      <c r="DU27" t="e">
        <f>AND('Planilla_General_03-12-2012_9_3'!L424,"AAAAAFW/P3w=")</f>
        <v>#VALUE!</v>
      </c>
      <c r="DV27" t="e">
        <f>AND('Planilla_General_03-12-2012_9_3'!M424,"AAAAAFW/P30=")</f>
        <v>#VALUE!</v>
      </c>
      <c r="DW27" t="e">
        <f>AND('Planilla_General_03-12-2012_9_3'!N424,"AAAAAFW/P34=")</f>
        <v>#VALUE!</v>
      </c>
      <c r="DX27" t="e">
        <f>AND('Planilla_General_03-12-2012_9_3'!O424,"AAAAAFW/P38=")</f>
        <v>#VALUE!</v>
      </c>
      <c r="DY27">
        <f>IF('Planilla_General_03-12-2012_9_3'!425:425,"AAAAAFW/P4A=",0)</f>
        <v>0</v>
      </c>
      <c r="DZ27" t="e">
        <f>AND('Planilla_General_03-12-2012_9_3'!A425,"AAAAAFW/P4E=")</f>
        <v>#VALUE!</v>
      </c>
      <c r="EA27" t="e">
        <f>AND('Planilla_General_03-12-2012_9_3'!B425,"AAAAAFW/P4I=")</f>
        <v>#VALUE!</v>
      </c>
      <c r="EB27" t="e">
        <f>AND('Planilla_General_03-12-2012_9_3'!C425,"AAAAAFW/P4M=")</f>
        <v>#VALUE!</v>
      </c>
      <c r="EC27" t="e">
        <f>AND('Planilla_General_03-12-2012_9_3'!D425,"AAAAAFW/P4Q=")</f>
        <v>#VALUE!</v>
      </c>
      <c r="ED27" t="e">
        <f>AND('Planilla_General_03-12-2012_9_3'!E425,"AAAAAFW/P4U=")</f>
        <v>#VALUE!</v>
      </c>
      <c r="EE27" t="e">
        <f>AND('Planilla_General_03-12-2012_9_3'!F425,"AAAAAFW/P4Y=")</f>
        <v>#VALUE!</v>
      </c>
      <c r="EF27" t="e">
        <f>AND('Planilla_General_03-12-2012_9_3'!G425,"AAAAAFW/P4c=")</f>
        <v>#VALUE!</v>
      </c>
      <c r="EG27" t="e">
        <f>AND('Planilla_General_03-12-2012_9_3'!H425,"AAAAAFW/P4g=")</f>
        <v>#VALUE!</v>
      </c>
      <c r="EH27" t="e">
        <f>AND('Planilla_General_03-12-2012_9_3'!I425,"AAAAAFW/P4k=")</f>
        <v>#VALUE!</v>
      </c>
      <c r="EI27" t="e">
        <f>AND('Planilla_General_03-12-2012_9_3'!J425,"AAAAAFW/P4o=")</f>
        <v>#VALUE!</v>
      </c>
      <c r="EJ27" t="e">
        <f>AND('Planilla_General_03-12-2012_9_3'!K425,"AAAAAFW/P4s=")</f>
        <v>#VALUE!</v>
      </c>
      <c r="EK27" t="e">
        <f>AND('Planilla_General_03-12-2012_9_3'!L425,"AAAAAFW/P4w=")</f>
        <v>#VALUE!</v>
      </c>
      <c r="EL27" t="e">
        <f>AND('Planilla_General_03-12-2012_9_3'!M425,"AAAAAFW/P40=")</f>
        <v>#VALUE!</v>
      </c>
      <c r="EM27" t="e">
        <f>AND('Planilla_General_03-12-2012_9_3'!N425,"AAAAAFW/P44=")</f>
        <v>#VALUE!</v>
      </c>
      <c r="EN27" t="e">
        <f>AND('Planilla_General_03-12-2012_9_3'!O425,"AAAAAFW/P48=")</f>
        <v>#VALUE!</v>
      </c>
      <c r="EO27">
        <f>IF('Planilla_General_03-12-2012_9_3'!426:426,"AAAAAFW/P5A=",0)</f>
        <v>0</v>
      </c>
      <c r="EP27" t="e">
        <f>AND('Planilla_General_03-12-2012_9_3'!A426,"AAAAAFW/P5E=")</f>
        <v>#VALUE!</v>
      </c>
      <c r="EQ27" t="e">
        <f>AND('Planilla_General_03-12-2012_9_3'!B426,"AAAAAFW/P5I=")</f>
        <v>#VALUE!</v>
      </c>
      <c r="ER27" t="e">
        <f>AND('Planilla_General_03-12-2012_9_3'!C426,"AAAAAFW/P5M=")</f>
        <v>#VALUE!</v>
      </c>
      <c r="ES27" t="e">
        <f>AND('Planilla_General_03-12-2012_9_3'!D426,"AAAAAFW/P5Q=")</f>
        <v>#VALUE!</v>
      </c>
      <c r="ET27" t="e">
        <f>AND('Planilla_General_03-12-2012_9_3'!E426,"AAAAAFW/P5U=")</f>
        <v>#VALUE!</v>
      </c>
      <c r="EU27" t="e">
        <f>AND('Planilla_General_03-12-2012_9_3'!F426,"AAAAAFW/P5Y=")</f>
        <v>#VALUE!</v>
      </c>
      <c r="EV27" t="e">
        <f>AND('Planilla_General_03-12-2012_9_3'!G426,"AAAAAFW/P5c=")</f>
        <v>#VALUE!</v>
      </c>
      <c r="EW27" t="e">
        <f>AND('Planilla_General_03-12-2012_9_3'!H426,"AAAAAFW/P5g=")</f>
        <v>#VALUE!</v>
      </c>
      <c r="EX27" t="e">
        <f>AND('Planilla_General_03-12-2012_9_3'!I426,"AAAAAFW/P5k=")</f>
        <v>#VALUE!</v>
      </c>
      <c r="EY27" t="e">
        <f>AND('Planilla_General_03-12-2012_9_3'!J426,"AAAAAFW/P5o=")</f>
        <v>#VALUE!</v>
      </c>
      <c r="EZ27" t="e">
        <f>AND('Planilla_General_03-12-2012_9_3'!K426,"AAAAAFW/P5s=")</f>
        <v>#VALUE!</v>
      </c>
      <c r="FA27" t="e">
        <f>AND('Planilla_General_03-12-2012_9_3'!L426,"AAAAAFW/P5w=")</f>
        <v>#VALUE!</v>
      </c>
      <c r="FB27" t="e">
        <f>AND('Planilla_General_03-12-2012_9_3'!M426,"AAAAAFW/P50=")</f>
        <v>#VALUE!</v>
      </c>
      <c r="FC27" t="e">
        <f>AND('Planilla_General_03-12-2012_9_3'!N426,"AAAAAFW/P54=")</f>
        <v>#VALUE!</v>
      </c>
      <c r="FD27" t="e">
        <f>AND('Planilla_General_03-12-2012_9_3'!O426,"AAAAAFW/P58=")</f>
        <v>#VALUE!</v>
      </c>
      <c r="FE27">
        <f>IF('Planilla_General_03-12-2012_9_3'!427:427,"AAAAAFW/P6A=",0)</f>
        <v>0</v>
      </c>
      <c r="FF27" t="e">
        <f>AND('Planilla_General_03-12-2012_9_3'!A427,"AAAAAFW/P6E=")</f>
        <v>#VALUE!</v>
      </c>
      <c r="FG27" t="e">
        <f>AND('Planilla_General_03-12-2012_9_3'!B427,"AAAAAFW/P6I=")</f>
        <v>#VALUE!</v>
      </c>
      <c r="FH27" t="e">
        <f>AND('Planilla_General_03-12-2012_9_3'!C427,"AAAAAFW/P6M=")</f>
        <v>#VALUE!</v>
      </c>
      <c r="FI27" t="e">
        <f>AND('Planilla_General_03-12-2012_9_3'!D427,"AAAAAFW/P6Q=")</f>
        <v>#VALUE!</v>
      </c>
      <c r="FJ27" t="e">
        <f>AND('Planilla_General_03-12-2012_9_3'!E427,"AAAAAFW/P6U=")</f>
        <v>#VALUE!</v>
      </c>
      <c r="FK27" t="e">
        <f>AND('Planilla_General_03-12-2012_9_3'!F427,"AAAAAFW/P6Y=")</f>
        <v>#VALUE!</v>
      </c>
      <c r="FL27" t="e">
        <f>AND('Planilla_General_03-12-2012_9_3'!G427,"AAAAAFW/P6c=")</f>
        <v>#VALUE!</v>
      </c>
      <c r="FM27" t="e">
        <f>AND('Planilla_General_03-12-2012_9_3'!H427,"AAAAAFW/P6g=")</f>
        <v>#VALUE!</v>
      </c>
      <c r="FN27" t="e">
        <f>AND('Planilla_General_03-12-2012_9_3'!I427,"AAAAAFW/P6k=")</f>
        <v>#VALUE!</v>
      </c>
      <c r="FO27" t="e">
        <f>AND('Planilla_General_03-12-2012_9_3'!J427,"AAAAAFW/P6o=")</f>
        <v>#VALUE!</v>
      </c>
      <c r="FP27" t="e">
        <f>AND('Planilla_General_03-12-2012_9_3'!K427,"AAAAAFW/P6s=")</f>
        <v>#VALUE!</v>
      </c>
      <c r="FQ27" t="e">
        <f>AND('Planilla_General_03-12-2012_9_3'!L427,"AAAAAFW/P6w=")</f>
        <v>#VALUE!</v>
      </c>
      <c r="FR27" t="e">
        <f>AND('Planilla_General_03-12-2012_9_3'!M427,"AAAAAFW/P60=")</f>
        <v>#VALUE!</v>
      </c>
      <c r="FS27" t="e">
        <f>AND('Planilla_General_03-12-2012_9_3'!N427,"AAAAAFW/P64=")</f>
        <v>#VALUE!</v>
      </c>
      <c r="FT27" t="e">
        <f>AND('Planilla_General_03-12-2012_9_3'!O427,"AAAAAFW/P68=")</f>
        <v>#VALUE!</v>
      </c>
      <c r="FU27">
        <f>IF('Planilla_General_03-12-2012_9_3'!428:428,"AAAAAFW/P7A=",0)</f>
        <v>0</v>
      </c>
      <c r="FV27" t="e">
        <f>AND('Planilla_General_03-12-2012_9_3'!A428,"AAAAAFW/P7E=")</f>
        <v>#VALUE!</v>
      </c>
      <c r="FW27" t="e">
        <f>AND('Planilla_General_03-12-2012_9_3'!B428,"AAAAAFW/P7I=")</f>
        <v>#VALUE!</v>
      </c>
      <c r="FX27" t="e">
        <f>AND('Planilla_General_03-12-2012_9_3'!C428,"AAAAAFW/P7M=")</f>
        <v>#VALUE!</v>
      </c>
      <c r="FY27" t="e">
        <f>AND('Planilla_General_03-12-2012_9_3'!D428,"AAAAAFW/P7Q=")</f>
        <v>#VALUE!</v>
      </c>
      <c r="FZ27" t="e">
        <f>AND('Planilla_General_03-12-2012_9_3'!E428,"AAAAAFW/P7U=")</f>
        <v>#VALUE!</v>
      </c>
      <c r="GA27" t="e">
        <f>AND('Planilla_General_03-12-2012_9_3'!F428,"AAAAAFW/P7Y=")</f>
        <v>#VALUE!</v>
      </c>
      <c r="GB27" t="e">
        <f>AND('Planilla_General_03-12-2012_9_3'!G428,"AAAAAFW/P7c=")</f>
        <v>#VALUE!</v>
      </c>
      <c r="GC27" t="e">
        <f>AND('Planilla_General_03-12-2012_9_3'!H428,"AAAAAFW/P7g=")</f>
        <v>#VALUE!</v>
      </c>
      <c r="GD27" t="e">
        <f>AND('Planilla_General_03-12-2012_9_3'!I428,"AAAAAFW/P7k=")</f>
        <v>#VALUE!</v>
      </c>
      <c r="GE27" t="e">
        <f>AND('Planilla_General_03-12-2012_9_3'!J428,"AAAAAFW/P7o=")</f>
        <v>#VALUE!</v>
      </c>
      <c r="GF27" t="e">
        <f>AND('Planilla_General_03-12-2012_9_3'!K428,"AAAAAFW/P7s=")</f>
        <v>#VALUE!</v>
      </c>
      <c r="GG27" t="e">
        <f>AND('Planilla_General_03-12-2012_9_3'!L428,"AAAAAFW/P7w=")</f>
        <v>#VALUE!</v>
      </c>
      <c r="GH27" t="e">
        <f>AND('Planilla_General_03-12-2012_9_3'!M428,"AAAAAFW/P70=")</f>
        <v>#VALUE!</v>
      </c>
      <c r="GI27" t="e">
        <f>AND('Planilla_General_03-12-2012_9_3'!N428,"AAAAAFW/P74=")</f>
        <v>#VALUE!</v>
      </c>
      <c r="GJ27" t="e">
        <f>AND('Planilla_General_03-12-2012_9_3'!O428,"AAAAAFW/P78=")</f>
        <v>#VALUE!</v>
      </c>
      <c r="GK27">
        <f>IF('Planilla_General_03-12-2012_9_3'!429:429,"AAAAAFW/P8A=",0)</f>
        <v>0</v>
      </c>
      <c r="GL27" t="e">
        <f>AND('Planilla_General_03-12-2012_9_3'!A429,"AAAAAFW/P8E=")</f>
        <v>#VALUE!</v>
      </c>
      <c r="GM27" t="e">
        <f>AND('Planilla_General_03-12-2012_9_3'!B429,"AAAAAFW/P8I=")</f>
        <v>#VALUE!</v>
      </c>
      <c r="GN27" t="e">
        <f>AND('Planilla_General_03-12-2012_9_3'!C429,"AAAAAFW/P8M=")</f>
        <v>#VALUE!</v>
      </c>
      <c r="GO27" t="e">
        <f>AND('Planilla_General_03-12-2012_9_3'!D429,"AAAAAFW/P8Q=")</f>
        <v>#VALUE!</v>
      </c>
      <c r="GP27" t="e">
        <f>AND('Planilla_General_03-12-2012_9_3'!E429,"AAAAAFW/P8U=")</f>
        <v>#VALUE!</v>
      </c>
      <c r="GQ27" t="e">
        <f>AND('Planilla_General_03-12-2012_9_3'!F429,"AAAAAFW/P8Y=")</f>
        <v>#VALUE!</v>
      </c>
      <c r="GR27" t="e">
        <f>AND('Planilla_General_03-12-2012_9_3'!G429,"AAAAAFW/P8c=")</f>
        <v>#VALUE!</v>
      </c>
      <c r="GS27" t="e">
        <f>AND('Planilla_General_03-12-2012_9_3'!H429,"AAAAAFW/P8g=")</f>
        <v>#VALUE!</v>
      </c>
      <c r="GT27" t="e">
        <f>AND('Planilla_General_03-12-2012_9_3'!I429,"AAAAAFW/P8k=")</f>
        <v>#VALUE!</v>
      </c>
      <c r="GU27" t="e">
        <f>AND('Planilla_General_03-12-2012_9_3'!J429,"AAAAAFW/P8o=")</f>
        <v>#VALUE!</v>
      </c>
      <c r="GV27" t="e">
        <f>AND('Planilla_General_03-12-2012_9_3'!K429,"AAAAAFW/P8s=")</f>
        <v>#VALUE!</v>
      </c>
      <c r="GW27" t="e">
        <f>AND('Planilla_General_03-12-2012_9_3'!L429,"AAAAAFW/P8w=")</f>
        <v>#VALUE!</v>
      </c>
      <c r="GX27" t="e">
        <f>AND('Planilla_General_03-12-2012_9_3'!M429,"AAAAAFW/P80=")</f>
        <v>#VALUE!</v>
      </c>
      <c r="GY27" t="e">
        <f>AND('Planilla_General_03-12-2012_9_3'!N429,"AAAAAFW/P84=")</f>
        <v>#VALUE!</v>
      </c>
      <c r="GZ27" t="e">
        <f>AND('Planilla_General_03-12-2012_9_3'!O429,"AAAAAFW/P88=")</f>
        <v>#VALUE!</v>
      </c>
      <c r="HA27">
        <f>IF('Planilla_General_03-12-2012_9_3'!430:430,"AAAAAFW/P9A=",0)</f>
        <v>0</v>
      </c>
      <c r="HB27" t="e">
        <f>AND('Planilla_General_03-12-2012_9_3'!A430,"AAAAAFW/P9E=")</f>
        <v>#VALUE!</v>
      </c>
      <c r="HC27" t="e">
        <f>AND('Planilla_General_03-12-2012_9_3'!B430,"AAAAAFW/P9I=")</f>
        <v>#VALUE!</v>
      </c>
      <c r="HD27" t="e">
        <f>AND('Planilla_General_03-12-2012_9_3'!C430,"AAAAAFW/P9M=")</f>
        <v>#VALUE!</v>
      </c>
      <c r="HE27" t="e">
        <f>AND('Planilla_General_03-12-2012_9_3'!D430,"AAAAAFW/P9Q=")</f>
        <v>#VALUE!</v>
      </c>
      <c r="HF27" t="e">
        <f>AND('Planilla_General_03-12-2012_9_3'!E430,"AAAAAFW/P9U=")</f>
        <v>#VALUE!</v>
      </c>
      <c r="HG27" t="e">
        <f>AND('Planilla_General_03-12-2012_9_3'!F430,"AAAAAFW/P9Y=")</f>
        <v>#VALUE!</v>
      </c>
      <c r="HH27" t="e">
        <f>AND('Planilla_General_03-12-2012_9_3'!G430,"AAAAAFW/P9c=")</f>
        <v>#VALUE!</v>
      </c>
      <c r="HI27" t="e">
        <f>AND('Planilla_General_03-12-2012_9_3'!H430,"AAAAAFW/P9g=")</f>
        <v>#VALUE!</v>
      </c>
      <c r="HJ27" t="e">
        <f>AND('Planilla_General_03-12-2012_9_3'!I430,"AAAAAFW/P9k=")</f>
        <v>#VALUE!</v>
      </c>
      <c r="HK27" t="e">
        <f>AND('Planilla_General_03-12-2012_9_3'!J430,"AAAAAFW/P9o=")</f>
        <v>#VALUE!</v>
      </c>
      <c r="HL27" t="e">
        <f>AND('Planilla_General_03-12-2012_9_3'!K430,"AAAAAFW/P9s=")</f>
        <v>#VALUE!</v>
      </c>
      <c r="HM27" t="e">
        <f>AND('Planilla_General_03-12-2012_9_3'!L430,"AAAAAFW/P9w=")</f>
        <v>#VALUE!</v>
      </c>
      <c r="HN27" t="e">
        <f>AND('Planilla_General_03-12-2012_9_3'!M430,"AAAAAFW/P90=")</f>
        <v>#VALUE!</v>
      </c>
      <c r="HO27" t="e">
        <f>AND('Planilla_General_03-12-2012_9_3'!N430,"AAAAAFW/P94=")</f>
        <v>#VALUE!</v>
      </c>
      <c r="HP27" t="e">
        <f>AND('Planilla_General_03-12-2012_9_3'!O430,"AAAAAFW/P98=")</f>
        <v>#VALUE!</v>
      </c>
      <c r="HQ27">
        <f>IF('Planilla_General_03-12-2012_9_3'!431:431,"AAAAAFW/P+A=",0)</f>
        <v>0</v>
      </c>
      <c r="HR27" t="e">
        <f>AND('Planilla_General_03-12-2012_9_3'!A431,"AAAAAFW/P+E=")</f>
        <v>#VALUE!</v>
      </c>
      <c r="HS27" t="e">
        <f>AND('Planilla_General_03-12-2012_9_3'!B431,"AAAAAFW/P+I=")</f>
        <v>#VALUE!</v>
      </c>
      <c r="HT27" t="e">
        <f>AND('Planilla_General_03-12-2012_9_3'!C431,"AAAAAFW/P+M=")</f>
        <v>#VALUE!</v>
      </c>
      <c r="HU27" t="e">
        <f>AND('Planilla_General_03-12-2012_9_3'!D431,"AAAAAFW/P+Q=")</f>
        <v>#VALUE!</v>
      </c>
      <c r="HV27" t="e">
        <f>AND('Planilla_General_03-12-2012_9_3'!E431,"AAAAAFW/P+U=")</f>
        <v>#VALUE!</v>
      </c>
      <c r="HW27" t="e">
        <f>AND('Planilla_General_03-12-2012_9_3'!F431,"AAAAAFW/P+Y=")</f>
        <v>#VALUE!</v>
      </c>
      <c r="HX27" t="e">
        <f>AND('Planilla_General_03-12-2012_9_3'!G431,"AAAAAFW/P+c=")</f>
        <v>#VALUE!</v>
      </c>
      <c r="HY27" t="e">
        <f>AND('Planilla_General_03-12-2012_9_3'!H431,"AAAAAFW/P+g=")</f>
        <v>#VALUE!</v>
      </c>
      <c r="HZ27" t="e">
        <f>AND('Planilla_General_03-12-2012_9_3'!I431,"AAAAAFW/P+k=")</f>
        <v>#VALUE!</v>
      </c>
      <c r="IA27" t="e">
        <f>AND('Planilla_General_03-12-2012_9_3'!J431,"AAAAAFW/P+o=")</f>
        <v>#VALUE!</v>
      </c>
      <c r="IB27" t="e">
        <f>AND('Planilla_General_03-12-2012_9_3'!K431,"AAAAAFW/P+s=")</f>
        <v>#VALUE!</v>
      </c>
      <c r="IC27" t="e">
        <f>AND('Planilla_General_03-12-2012_9_3'!L431,"AAAAAFW/P+w=")</f>
        <v>#VALUE!</v>
      </c>
      <c r="ID27" t="e">
        <f>AND('Planilla_General_03-12-2012_9_3'!M431,"AAAAAFW/P+0=")</f>
        <v>#VALUE!</v>
      </c>
      <c r="IE27" t="e">
        <f>AND('Planilla_General_03-12-2012_9_3'!N431,"AAAAAFW/P+4=")</f>
        <v>#VALUE!</v>
      </c>
      <c r="IF27" t="e">
        <f>AND('Planilla_General_03-12-2012_9_3'!O431,"AAAAAFW/P+8=")</f>
        <v>#VALUE!</v>
      </c>
      <c r="IG27">
        <f>IF('Planilla_General_03-12-2012_9_3'!432:432,"AAAAAFW/P/A=",0)</f>
        <v>0</v>
      </c>
      <c r="IH27" t="e">
        <f>AND('Planilla_General_03-12-2012_9_3'!A432,"AAAAAFW/P/E=")</f>
        <v>#VALUE!</v>
      </c>
      <c r="II27" t="e">
        <f>AND('Planilla_General_03-12-2012_9_3'!B432,"AAAAAFW/P/I=")</f>
        <v>#VALUE!</v>
      </c>
      <c r="IJ27" t="e">
        <f>AND('Planilla_General_03-12-2012_9_3'!C432,"AAAAAFW/P/M=")</f>
        <v>#VALUE!</v>
      </c>
      <c r="IK27" t="e">
        <f>AND('Planilla_General_03-12-2012_9_3'!D432,"AAAAAFW/P/Q=")</f>
        <v>#VALUE!</v>
      </c>
      <c r="IL27" t="e">
        <f>AND('Planilla_General_03-12-2012_9_3'!E432,"AAAAAFW/P/U=")</f>
        <v>#VALUE!</v>
      </c>
      <c r="IM27" t="e">
        <f>AND('Planilla_General_03-12-2012_9_3'!F432,"AAAAAFW/P/Y=")</f>
        <v>#VALUE!</v>
      </c>
      <c r="IN27" t="e">
        <f>AND('Planilla_General_03-12-2012_9_3'!G432,"AAAAAFW/P/c=")</f>
        <v>#VALUE!</v>
      </c>
      <c r="IO27" t="e">
        <f>AND('Planilla_General_03-12-2012_9_3'!H432,"AAAAAFW/P/g=")</f>
        <v>#VALUE!</v>
      </c>
      <c r="IP27" t="e">
        <f>AND('Planilla_General_03-12-2012_9_3'!I432,"AAAAAFW/P/k=")</f>
        <v>#VALUE!</v>
      </c>
      <c r="IQ27" t="e">
        <f>AND('Planilla_General_03-12-2012_9_3'!J432,"AAAAAFW/P/o=")</f>
        <v>#VALUE!</v>
      </c>
      <c r="IR27" t="e">
        <f>AND('Planilla_General_03-12-2012_9_3'!K432,"AAAAAFW/P/s=")</f>
        <v>#VALUE!</v>
      </c>
      <c r="IS27" t="e">
        <f>AND('Planilla_General_03-12-2012_9_3'!L432,"AAAAAFW/P/w=")</f>
        <v>#VALUE!</v>
      </c>
      <c r="IT27" t="e">
        <f>AND('Planilla_General_03-12-2012_9_3'!M432,"AAAAAFW/P/0=")</f>
        <v>#VALUE!</v>
      </c>
      <c r="IU27" t="e">
        <f>AND('Planilla_General_03-12-2012_9_3'!N432,"AAAAAFW/P/4=")</f>
        <v>#VALUE!</v>
      </c>
      <c r="IV27" t="e">
        <f>AND('Planilla_General_03-12-2012_9_3'!O432,"AAAAAFW/P/8=")</f>
        <v>#VALUE!</v>
      </c>
    </row>
    <row r="28" spans="1:256" x14ac:dyDescent="0.25">
      <c r="A28" t="e">
        <f>IF('Planilla_General_03-12-2012_9_3'!433:433,"AAAAAH/qsgA=",0)</f>
        <v>#VALUE!</v>
      </c>
      <c r="B28" t="e">
        <f>AND('Planilla_General_03-12-2012_9_3'!A433,"AAAAAH/qsgE=")</f>
        <v>#VALUE!</v>
      </c>
      <c r="C28" t="e">
        <f>AND('Planilla_General_03-12-2012_9_3'!B433,"AAAAAH/qsgI=")</f>
        <v>#VALUE!</v>
      </c>
      <c r="D28" t="e">
        <f>AND('Planilla_General_03-12-2012_9_3'!C433,"AAAAAH/qsgM=")</f>
        <v>#VALUE!</v>
      </c>
      <c r="E28" t="e">
        <f>AND('Planilla_General_03-12-2012_9_3'!D433,"AAAAAH/qsgQ=")</f>
        <v>#VALUE!</v>
      </c>
      <c r="F28" t="e">
        <f>AND('Planilla_General_03-12-2012_9_3'!E433,"AAAAAH/qsgU=")</f>
        <v>#VALUE!</v>
      </c>
      <c r="G28" t="e">
        <f>AND('Planilla_General_03-12-2012_9_3'!F433,"AAAAAH/qsgY=")</f>
        <v>#VALUE!</v>
      </c>
      <c r="H28" t="e">
        <f>AND('Planilla_General_03-12-2012_9_3'!G433,"AAAAAH/qsgc=")</f>
        <v>#VALUE!</v>
      </c>
      <c r="I28" t="e">
        <f>AND('Planilla_General_03-12-2012_9_3'!H433,"AAAAAH/qsgg=")</f>
        <v>#VALUE!</v>
      </c>
      <c r="J28" t="e">
        <f>AND('Planilla_General_03-12-2012_9_3'!I433,"AAAAAH/qsgk=")</f>
        <v>#VALUE!</v>
      </c>
      <c r="K28" t="e">
        <f>AND('Planilla_General_03-12-2012_9_3'!J433,"AAAAAH/qsgo=")</f>
        <v>#VALUE!</v>
      </c>
      <c r="L28" t="e">
        <f>AND('Planilla_General_03-12-2012_9_3'!K433,"AAAAAH/qsgs=")</f>
        <v>#VALUE!</v>
      </c>
      <c r="M28" t="e">
        <f>AND('Planilla_General_03-12-2012_9_3'!L433,"AAAAAH/qsgw=")</f>
        <v>#VALUE!</v>
      </c>
      <c r="N28" t="e">
        <f>AND('Planilla_General_03-12-2012_9_3'!M433,"AAAAAH/qsg0=")</f>
        <v>#VALUE!</v>
      </c>
      <c r="O28" t="e">
        <f>AND('Planilla_General_03-12-2012_9_3'!N433,"AAAAAH/qsg4=")</f>
        <v>#VALUE!</v>
      </c>
      <c r="P28" t="e">
        <f>AND('Planilla_General_03-12-2012_9_3'!O433,"AAAAAH/qsg8=")</f>
        <v>#VALUE!</v>
      </c>
      <c r="Q28">
        <f>IF('Planilla_General_03-12-2012_9_3'!434:434,"AAAAAH/qshA=",0)</f>
        <v>0</v>
      </c>
      <c r="R28" t="e">
        <f>AND('Planilla_General_03-12-2012_9_3'!A434,"AAAAAH/qshE=")</f>
        <v>#VALUE!</v>
      </c>
      <c r="S28" t="e">
        <f>AND('Planilla_General_03-12-2012_9_3'!B434,"AAAAAH/qshI=")</f>
        <v>#VALUE!</v>
      </c>
      <c r="T28" t="e">
        <f>AND('Planilla_General_03-12-2012_9_3'!C434,"AAAAAH/qshM=")</f>
        <v>#VALUE!</v>
      </c>
      <c r="U28" t="e">
        <f>AND('Planilla_General_03-12-2012_9_3'!D434,"AAAAAH/qshQ=")</f>
        <v>#VALUE!</v>
      </c>
      <c r="V28" t="e">
        <f>AND('Planilla_General_03-12-2012_9_3'!E434,"AAAAAH/qshU=")</f>
        <v>#VALUE!</v>
      </c>
      <c r="W28" t="e">
        <f>AND('Planilla_General_03-12-2012_9_3'!F434,"AAAAAH/qshY=")</f>
        <v>#VALUE!</v>
      </c>
      <c r="X28" t="e">
        <f>AND('Planilla_General_03-12-2012_9_3'!G434,"AAAAAH/qshc=")</f>
        <v>#VALUE!</v>
      </c>
      <c r="Y28" t="e">
        <f>AND('Planilla_General_03-12-2012_9_3'!H434,"AAAAAH/qshg=")</f>
        <v>#VALUE!</v>
      </c>
      <c r="Z28" t="e">
        <f>AND('Planilla_General_03-12-2012_9_3'!I434,"AAAAAH/qshk=")</f>
        <v>#VALUE!</v>
      </c>
      <c r="AA28" t="e">
        <f>AND('Planilla_General_03-12-2012_9_3'!J434,"AAAAAH/qsho=")</f>
        <v>#VALUE!</v>
      </c>
      <c r="AB28" t="e">
        <f>AND('Planilla_General_03-12-2012_9_3'!K434,"AAAAAH/qshs=")</f>
        <v>#VALUE!</v>
      </c>
      <c r="AC28" t="e">
        <f>AND('Planilla_General_03-12-2012_9_3'!L434,"AAAAAH/qshw=")</f>
        <v>#VALUE!</v>
      </c>
      <c r="AD28" t="e">
        <f>AND('Planilla_General_03-12-2012_9_3'!M434,"AAAAAH/qsh0=")</f>
        <v>#VALUE!</v>
      </c>
      <c r="AE28" t="e">
        <f>AND('Planilla_General_03-12-2012_9_3'!N434,"AAAAAH/qsh4=")</f>
        <v>#VALUE!</v>
      </c>
      <c r="AF28" t="e">
        <f>AND('Planilla_General_03-12-2012_9_3'!O434,"AAAAAH/qsh8=")</f>
        <v>#VALUE!</v>
      </c>
      <c r="AG28">
        <f>IF('Planilla_General_03-12-2012_9_3'!435:435,"AAAAAH/qsiA=",0)</f>
        <v>0</v>
      </c>
      <c r="AH28" t="e">
        <f>AND('Planilla_General_03-12-2012_9_3'!A435,"AAAAAH/qsiE=")</f>
        <v>#VALUE!</v>
      </c>
      <c r="AI28" t="e">
        <f>AND('Planilla_General_03-12-2012_9_3'!B435,"AAAAAH/qsiI=")</f>
        <v>#VALUE!</v>
      </c>
      <c r="AJ28" t="e">
        <f>AND('Planilla_General_03-12-2012_9_3'!C435,"AAAAAH/qsiM=")</f>
        <v>#VALUE!</v>
      </c>
      <c r="AK28" t="e">
        <f>AND('Planilla_General_03-12-2012_9_3'!D435,"AAAAAH/qsiQ=")</f>
        <v>#VALUE!</v>
      </c>
      <c r="AL28" t="e">
        <f>AND('Planilla_General_03-12-2012_9_3'!E435,"AAAAAH/qsiU=")</f>
        <v>#VALUE!</v>
      </c>
      <c r="AM28" t="e">
        <f>AND('Planilla_General_03-12-2012_9_3'!F435,"AAAAAH/qsiY=")</f>
        <v>#VALUE!</v>
      </c>
      <c r="AN28" t="e">
        <f>AND('Planilla_General_03-12-2012_9_3'!G435,"AAAAAH/qsic=")</f>
        <v>#VALUE!</v>
      </c>
      <c r="AO28" t="e">
        <f>AND('Planilla_General_03-12-2012_9_3'!H435,"AAAAAH/qsig=")</f>
        <v>#VALUE!</v>
      </c>
      <c r="AP28" t="e">
        <f>AND('Planilla_General_03-12-2012_9_3'!I435,"AAAAAH/qsik=")</f>
        <v>#VALUE!</v>
      </c>
      <c r="AQ28" t="e">
        <f>AND('Planilla_General_03-12-2012_9_3'!J435,"AAAAAH/qsio=")</f>
        <v>#VALUE!</v>
      </c>
      <c r="AR28" t="e">
        <f>AND('Planilla_General_03-12-2012_9_3'!K435,"AAAAAH/qsis=")</f>
        <v>#VALUE!</v>
      </c>
      <c r="AS28" t="e">
        <f>AND('Planilla_General_03-12-2012_9_3'!L435,"AAAAAH/qsiw=")</f>
        <v>#VALUE!</v>
      </c>
      <c r="AT28" t="e">
        <f>AND('Planilla_General_03-12-2012_9_3'!M435,"AAAAAH/qsi0=")</f>
        <v>#VALUE!</v>
      </c>
      <c r="AU28" t="e">
        <f>AND('Planilla_General_03-12-2012_9_3'!N435,"AAAAAH/qsi4=")</f>
        <v>#VALUE!</v>
      </c>
      <c r="AV28" t="e">
        <f>AND('Planilla_General_03-12-2012_9_3'!O435,"AAAAAH/qsi8=")</f>
        <v>#VALUE!</v>
      </c>
      <c r="AW28">
        <f>IF('Planilla_General_03-12-2012_9_3'!436:436,"AAAAAH/qsjA=",0)</f>
        <v>0</v>
      </c>
      <c r="AX28" t="e">
        <f>AND('Planilla_General_03-12-2012_9_3'!A436,"AAAAAH/qsjE=")</f>
        <v>#VALUE!</v>
      </c>
      <c r="AY28" t="e">
        <f>AND('Planilla_General_03-12-2012_9_3'!B436,"AAAAAH/qsjI=")</f>
        <v>#VALUE!</v>
      </c>
      <c r="AZ28" t="e">
        <f>AND('Planilla_General_03-12-2012_9_3'!C436,"AAAAAH/qsjM=")</f>
        <v>#VALUE!</v>
      </c>
      <c r="BA28" t="e">
        <f>AND('Planilla_General_03-12-2012_9_3'!D436,"AAAAAH/qsjQ=")</f>
        <v>#VALUE!</v>
      </c>
      <c r="BB28" t="e">
        <f>AND('Planilla_General_03-12-2012_9_3'!E436,"AAAAAH/qsjU=")</f>
        <v>#VALUE!</v>
      </c>
      <c r="BC28" t="e">
        <f>AND('Planilla_General_03-12-2012_9_3'!F436,"AAAAAH/qsjY=")</f>
        <v>#VALUE!</v>
      </c>
      <c r="BD28" t="e">
        <f>AND('Planilla_General_03-12-2012_9_3'!G436,"AAAAAH/qsjc=")</f>
        <v>#VALUE!</v>
      </c>
      <c r="BE28" t="e">
        <f>AND('Planilla_General_03-12-2012_9_3'!H436,"AAAAAH/qsjg=")</f>
        <v>#VALUE!</v>
      </c>
      <c r="BF28" t="e">
        <f>AND('Planilla_General_03-12-2012_9_3'!I436,"AAAAAH/qsjk=")</f>
        <v>#VALUE!</v>
      </c>
      <c r="BG28" t="e">
        <f>AND('Planilla_General_03-12-2012_9_3'!J436,"AAAAAH/qsjo=")</f>
        <v>#VALUE!</v>
      </c>
      <c r="BH28" t="e">
        <f>AND('Planilla_General_03-12-2012_9_3'!K436,"AAAAAH/qsjs=")</f>
        <v>#VALUE!</v>
      </c>
      <c r="BI28" t="e">
        <f>AND('Planilla_General_03-12-2012_9_3'!L436,"AAAAAH/qsjw=")</f>
        <v>#VALUE!</v>
      </c>
      <c r="BJ28" t="e">
        <f>AND('Planilla_General_03-12-2012_9_3'!M436,"AAAAAH/qsj0=")</f>
        <v>#VALUE!</v>
      </c>
      <c r="BK28" t="e">
        <f>AND('Planilla_General_03-12-2012_9_3'!N436,"AAAAAH/qsj4=")</f>
        <v>#VALUE!</v>
      </c>
      <c r="BL28" t="e">
        <f>AND('Planilla_General_03-12-2012_9_3'!O436,"AAAAAH/qsj8=")</f>
        <v>#VALUE!</v>
      </c>
      <c r="BM28">
        <f>IF('Planilla_General_03-12-2012_9_3'!437:437,"AAAAAH/qskA=",0)</f>
        <v>0</v>
      </c>
      <c r="BN28" t="e">
        <f>AND('Planilla_General_03-12-2012_9_3'!A437,"AAAAAH/qskE=")</f>
        <v>#VALUE!</v>
      </c>
      <c r="BO28" t="e">
        <f>AND('Planilla_General_03-12-2012_9_3'!B437,"AAAAAH/qskI=")</f>
        <v>#VALUE!</v>
      </c>
      <c r="BP28" t="e">
        <f>AND('Planilla_General_03-12-2012_9_3'!C437,"AAAAAH/qskM=")</f>
        <v>#VALUE!</v>
      </c>
      <c r="BQ28" t="e">
        <f>AND('Planilla_General_03-12-2012_9_3'!D437,"AAAAAH/qskQ=")</f>
        <v>#VALUE!</v>
      </c>
      <c r="BR28" t="e">
        <f>AND('Planilla_General_03-12-2012_9_3'!E437,"AAAAAH/qskU=")</f>
        <v>#VALUE!</v>
      </c>
      <c r="BS28" t="e">
        <f>AND('Planilla_General_03-12-2012_9_3'!F437,"AAAAAH/qskY=")</f>
        <v>#VALUE!</v>
      </c>
      <c r="BT28" t="e">
        <f>AND('Planilla_General_03-12-2012_9_3'!G437,"AAAAAH/qskc=")</f>
        <v>#VALUE!</v>
      </c>
      <c r="BU28" t="e">
        <f>AND('Planilla_General_03-12-2012_9_3'!H437,"AAAAAH/qskg=")</f>
        <v>#VALUE!</v>
      </c>
      <c r="BV28" t="e">
        <f>AND('Planilla_General_03-12-2012_9_3'!I437,"AAAAAH/qskk=")</f>
        <v>#VALUE!</v>
      </c>
      <c r="BW28" t="e">
        <f>AND('Planilla_General_03-12-2012_9_3'!J437,"AAAAAH/qsko=")</f>
        <v>#VALUE!</v>
      </c>
      <c r="BX28" t="e">
        <f>AND('Planilla_General_03-12-2012_9_3'!K437,"AAAAAH/qsks=")</f>
        <v>#VALUE!</v>
      </c>
      <c r="BY28" t="e">
        <f>AND('Planilla_General_03-12-2012_9_3'!L437,"AAAAAH/qskw=")</f>
        <v>#VALUE!</v>
      </c>
      <c r="BZ28" t="e">
        <f>AND('Planilla_General_03-12-2012_9_3'!M437,"AAAAAH/qsk0=")</f>
        <v>#VALUE!</v>
      </c>
      <c r="CA28" t="e">
        <f>AND('Planilla_General_03-12-2012_9_3'!N437,"AAAAAH/qsk4=")</f>
        <v>#VALUE!</v>
      </c>
      <c r="CB28" t="e">
        <f>AND('Planilla_General_03-12-2012_9_3'!O437,"AAAAAH/qsk8=")</f>
        <v>#VALUE!</v>
      </c>
      <c r="CC28">
        <f>IF('Planilla_General_03-12-2012_9_3'!438:438,"AAAAAH/qslA=",0)</f>
        <v>0</v>
      </c>
      <c r="CD28" t="e">
        <f>AND('Planilla_General_03-12-2012_9_3'!A438,"AAAAAH/qslE=")</f>
        <v>#VALUE!</v>
      </c>
      <c r="CE28" t="e">
        <f>AND('Planilla_General_03-12-2012_9_3'!B438,"AAAAAH/qslI=")</f>
        <v>#VALUE!</v>
      </c>
      <c r="CF28" t="e">
        <f>AND('Planilla_General_03-12-2012_9_3'!C438,"AAAAAH/qslM=")</f>
        <v>#VALUE!</v>
      </c>
      <c r="CG28" t="e">
        <f>AND('Planilla_General_03-12-2012_9_3'!D438,"AAAAAH/qslQ=")</f>
        <v>#VALUE!</v>
      </c>
      <c r="CH28" t="e">
        <f>AND('Planilla_General_03-12-2012_9_3'!E438,"AAAAAH/qslU=")</f>
        <v>#VALUE!</v>
      </c>
      <c r="CI28" t="e">
        <f>AND('Planilla_General_03-12-2012_9_3'!F438,"AAAAAH/qslY=")</f>
        <v>#VALUE!</v>
      </c>
      <c r="CJ28" t="e">
        <f>AND('Planilla_General_03-12-2012_9_3'!G438,"AAAAAH/qslc=")</f>
        <v>#VALUE!</v>
      </c>
      <c r="CK28" t="e">
        <f>AND('Planilla_General_03-12-2012_9_3'!H438,"AAAAAH/qslg=")</f>
        <v>#VALUE!</v>
      </c>
      <c r="CL28" t="e">
        <f>AND('Planilla_General_03-12-2012_9_3'!I438,"AAAAAH/qslk=")</f>
        <v>#VALUE!</v>
      </c>
      <c r="CM28" t="e">
        <f>AND('Planilla_General_03-12-2012_9_3'!J438,"AAAAAH/qslo=")</f>
        <v>#VALUE!</v>
      </c>
      <c r="CN28" t="e">
        <f>AND('Planilla_General_03-12-2012_9_3'!K438,"AAAAAH/qsls=")</f>
        <v>#VALUE!</v>
      </c>
      <c r="CO28" t="e">
        <f>AND('Planilla_General_03-12-2012_9_3'!L438,"AAAAAH/qslw=")</f>
        <v>#VALUE!</v>
      </c>
      <c r="CP28" t="e">
        <f>AND('Planilla_General_03-12-2012_9_3'!M438,"AAAAAH/qsl0=")</f>
        <v>#VALUE!</v>
      </c>
      <c r="CQ28" t="e">
        <f>AND('Planilla_General_03-12-2012_9_3'!N438,"AAAAAH/qsl4=")</f>
        <v>#VALUE!</v>
      </c>
      <c r="CR28" t="e">
        <f>AND('Planilla_General_03-12-2012_9_3'!O438,"AAAAAH/qsl8=")</f>
        <v>#VALUE!</v>
      </c>
      <c r="CS28">
        <f>IF('Planilla_General_03-12-2012_9_3'!439:439,"AAAAAH/qsmA=",0)</f>
        <v>0</v>
      </c>
      <c r="CT28" t="e">
        <f>AND('Planilla_General_03-12-2012_9_3'!A439,"AAAAAH/qsmE=")</f>
        <v>#VALUE!</v>
      </c>
      <c r="CU28" t="e">
        <f>AND('Planilla_General_03-12-2012_9_3'!B439,"AAAAAH/qsmI=")</f>
        <v>#VALUE!</v>
      </c>
      <c r="CV28" t="e">
        <f>AND('Planilla_General_03-12-2012_9_3'!C439,"AAAAAH/qsmM=")</f>
        <v>#VALUE!</v>
      </c>
      <c r="CW28" t="e">
        <f>AND('Planilla_General_03-12-2012_9_3'!D439,"AAAAAH/qsmQ=")</f>
        <v>#VALUE!</v>
      </c>
      <c r="CX28" t="e">
        <f>AND('Planilla_General_03-12-2012_9_3'!E439,"AAAAAH/qsmU=")</f>
        <v>#VALUE!</v>
      </c>
      <c r="CY28" t="e">
        <f>AND('Planilla_General_03-12-2012_9_3'!F439,"AAAAAH/qsmY=")</f>
        <v>#VALUE!</v>
      </c>
      <c r="CZ28" t="e">
        <f>AND('Planilla_General_03-12-2012_9_3'!G439,"AAAAAH/qsmc=")</f>
        <v>#VALUE!</v>
      </c>
      <c r="DA28" t="e">
        <f>AND('Planilla_General_03-12-2012_9_3'!H439,"AAAAAH/qsmg=")</f>
        <v>#VALUE!</v>
      </c>
      <c r="DB28" t="e">
        <f>AND('Planilla_General_03-12-2012_9_3'!I439,"AAAAAH/qsmk=")</f>
        <v>#VALUE!</v>
      </c>
      <c r="DC28" t="e">
        <f>AND('Planilla_General_03-12-2012_9_3'!J439,"AAAAAH/qsmo=")</f>
        <v>#VALUE!</v>
      </c>
      <c r="DD28" t="e">
        <f>AND('Planilla_General_03-12-2012_9_3'!K439,"AAAAAH/qsms=")</f>
        <v>#VALUE!</v>
      </c>
      <c r="DE28" t="e">
        <f>AND('Planilla_General_03-12-2012_9_3'!L439,"AAAAAH/qsmw=")</f>
        <v>#VALUE!</v>
      </c>
      <c r="DF28" t="e">
        <f>AND('Planilla_General_03-12-2012_9_3'!M439,"AAAAAH/qsm0=")</f>
        <v>#VALUE!</v>
      </c>
      <c r="DG28" t="e">
        <f>AND('Planilla_General_03-12-2012_9_3'!N439,"AAAAAH/qsm4=")</f>
        <v>#VALUE!</v>
      </c>
      <c r="DH28" t="e">
        <f>AND('Planilla_General_03-12-2012_9_3'!O439,"AAAAAH/qsm8=")</f>
        <v>#VALUE!</v>
      </c>
      <c r="DI28">
        <f>IF('Planilla_General_03-12-2012_9_3'!440:440,"AAAAAH/qsnA=",0)</f>
        <v>0</v>
      </c>
      <c r="DJ28" t="e">
        <f>AND('Planilla_General_03-12-2012_9_3'!A440,"AAAAAH/qsnE=")</f>
        <v>#VALUE!</v>
      </c>
      <c r="DK28" t="e">
        <f>AND('Planilla_General_03-12-2012_9_3'!B440,"AAAAAH/qsnI=")</f>
        <v>#VALUE!</v>
      </c>
      <c r="DL28" t="e">
        <f>AND('Planilla_General_03-12-2012_9_3'!C440,"AAAAAH/qsnM=")</f>
        <v>#VALUE!</v>
      </c>
      <c r="DM28" t="e">
        <f>AND('Planilla_General_03-12-2012_9_3'!D440,"AAAAAH/qsnQ=")</f>
        <v>#VALUE!</v>
      </c>
      <c r="DN28" t="e">
        <f>AND('Planilla_General_03-12-2012_9_3'!E440,"AAAAAH/qsnU=")</f>
        <v>#VALUE!</v>
      </c>
      <c r="DO28" t="e">
        <f>AND('Planilla_General_03-12-2012_9_3'!F440,"AAAAAH/qsnY=")</f>
        <v>#VALUE!</v>
      </c>
      <c r="DP28" t="e">
        <f>AND('Planilla_General_03-12-2012_9_3'!G440,"AAAAAH/qsnc=")</f>
        <v>#VALUE!</v>
      </c>
      <c r="DQ28" t="e">
        <f>AND('Planilla_General_03-12-2012_9_3'!H440,"AAAAAH/qsng=")</f>
        <v>#VALUE!</v>
      </c>
      <c r="DR28" t="e">
        <f>AND('Planilla_General_03-12-2012_9_3'!I440,"AAAAAH/qsnk=")</f>
        <v>#VALUE!</v>
      </c>
      <c r="DS28" t="e">
        <f>AND('Planilla_General_03-12-2012_9_3'!J440,"AAAAAH/qsno=")</f>
        <v>#VALUE!</v>
      </c>
      <c r="DT28" t="e">
        <f>AND('Planilla_General_03-12-2012_9_3'!K440,"AAAAAH/qsns=")</f>
        <v>#VALUE!</v>
      </c>
      <c r="DU28" t="e">
        <f>AND('Planilla_General_03-12-2012_9_3'!L440,"AAAAAH/qsnw=")</f>
        <v>#VALUE!</v>
      </c>
      <c r="DV28" t="e">
        <f>AND('Planilla_General_03-12-2012_9_3'!M440,"AAAAAH/qsn0=")</f>
        <v>#VALUE!</v>
      </c>
      <c r="DW28" t="e">
        <f>AND('Planilla_General_03-12-2012_9_3'!N440,"AAAAAH/qsn4=")</f>
        <v>#VALUE!</v>
      </c>
      <c r="DX28" t="e">
        <f>AND('Planilla_General_03-12-2012_9_3'!O440,"AAAAAH/qsn8=")</f>
        <v>#VALUE!</v>
      </c>
      <c r="DY28">
        <f>IF('Planilla_General_03-12-2012_9_3'!441:441,"AAAAAH/qsoA=",0)</f>
        <v>0</v>
      </c>
      <c r="DZ28" t="e">
        <f>AND('Planilla_General_03-12-2012_9_3'!A441,"AAAAAH/qsoE=")</f>
        <v>#VALUE!</v>
      </c>
      <c r="EA28" t="e">
        <f>AND('Planilla_General_03-12-2012_9_3'!B441,"AAAAAH/qsoI=")</f>
        <v>#VALUE!</v>
      </c>
      <c r="EB28" t="e">
        <f>AND('Planilla_General_03-12-2012_9_3'!C441,"AAAAAH/qsoM=")</f>
        <v>#VALUE!</v>
      </c>
      <c r="EC28" t="e">
        <f>AND('Planilla_General_03-12-2012_9_3'!D441,"AAAAAH/qsoQ=")</f>
        <v>#VALUE!</v>
      </c>
      <c r="ED28" t="e">
        <f>AND('Planilla_General_03-12-2012_9_3'!E441,"AAAAAH/qsoU=")</f>
        <v>#VALUE!</v>
      </c>
      <c r="EE28" t="e">
        <f>AND('Planilla_General_03-12-2012_9_3'!F441,"AAAAAH/qsoY=")</f>
        <v>#VALUE!</v>
      </c>
      <c r="EF28" t="e">
        <f>AND('Planilla_General_03-12-2012_9_3'!G441,"AAAAAH/qsoc=")</f>
        <v>#VALUE!</v>
      </c>
      <c r="EG28" t="e">
        <f>AND('Planilla_General_03-12-2012_9_3'!H441,"AAAAAH/qsog=")</f>
        <v>#VALUE!</v>
      </c>
      <c r="EH28" t="e">
        <f>AND('Planilla_General_03-12-2012_9_3'!I441,"AAAAAH/qsok=")</f>
        <v>#VALUE!</v>
      </c>
      <c r="EI28" t="e">
        <f>AND('Planilla_General_03-12-2012_9_3'!J441,"AAAAAH/qsoo=")</f>
        <v>#VALUE!</v>
      </c>
      <c r="EJ28" t="e">
        <f>AND('Planilla_General_03-12-2012_9_3'!K441,"AAAAAH/qsos=")</f>
        <v>#VALUE!</v>
      </c>
      <c r="EK28" t="e">
        <f>AND('Planilla_General_03-12-2012_9_3'!L441,"AAAAAH/qsow=")</f>
        <v>#VALUE!</v>
      </c>
      <c r="EL28" t="e">
        <f>AND('Planilla_General_03-12-2012_9_3'!M441,"AAAAAH/qso0=")</f>
        <v>#VALUE!</v>
      </c>
      <c r="EM28" t="e">
        <f>AND('Planilla_General_03-12-2012_9_3'!N441,"AAAAAH/qso4=")</f>
        <v>#VALUE!</v>
      </c>
      <c r="EN28" t="e">
        <f>AND('Planilla_General_03-12-2012_9_3'!O441,"AAAAAH/qso8=")</f>
        <v>#VALUE!</v>
      </c>
      <c r="EO28">
        <f>IF('Planilla_General_03-12-2012_9_3'!442:442,"AAAAAH/qspA=",0)</f>
        <v>0</v>
      </c>
      <c r="EP28" t="e">
        <f>AND('Planilla_General_03-12-2012_9_3'!A442,"AAAAAH/qspE=")</f>
        <v>#VALUE!</v>
      </c>
      <c r="EQ28" t="e">
        <f>AND('Planilla_General_03-12-2012_9_3'!B442,"AAAAAH/qspI=")</f>
        <v>#VALUE!</v>
      </c>
      <c r="ER28" t="e">
        <f>AND('Planilla_General_03-12-2012_9_3'!C442,"AAAAAH/qspM=")</f>
        <v>#VALUE!</v>
      </c>
      <c r="ES28" t="e">
        <f>AND('Planilla_General_03-12-2012_9_3'!D442,"AAAAAH/qspQ=")</f>
        <v>#VALUE!</v>
      </c>
      <c r="ET28" t="e">
        <f>AND('Planilla_General_03-12-2012_9_3'!E442,"AAAAAH/qspU=")</f>
        <v>#VALUE!</v>
      </c>
      <c r="EU28" t="e">
        <f>AND('Planilla_General_03-12-2012_9_3'!F442,"AAAAAH/qspY=")</f>
        <v>#VALUE!</v>
      </c>
      <c r="EV28" t="e">
        <f>AND('Planilla_General_03-12-2012_9_3'!G442,"AAAAAH/qspc=")</f>
        <v>#VALUE!</v>
      </c>
      <c r="EW28" t="e">
        <f>AND('Planilla_General_03-12-2012_9_3'!H442,"AAAAAH/qspg=")</f>
        <v>#VALUE!</v>
      </c>
      <c r="EX28" t="e">
        <f>AND('Planilla_General_03-12-2012_9_3'!I442,"AAAAAH/qspk=")</f>
        <v>#VALUE!</v>
      </c>
      <c r="EY28" t="e">
        <f>AND('Planilla_General_03-12-2012_9_3'!J442,"AAAAAH/qspo=")</f>
        <v>#VALUE!</v>
      </c>
      <c r="EZ28" t="e">
        <f>AND('Planilla_General_03-12-2012_9_3'!K442,"AAAAAH/qsps=")</f>
        <v>#VALUE!</v>
      </c>
      <c r="FA28" t="e">
        <f>AND('Planilla_General_03-12-2012_9_3'!L442,"AAAAAH/qspw=")</f>
        <v>#VALUE!</v>
      </c>
      <c r="FB28" t="e">
        <f>AND('Planilla_General_03-12-2012_9_3'!M442,"AAAAAH/qsp0=")</f>
        <v>#VALUE!</v>
      </c>
      <c r="FC28" t="e">
        <f>AND('Planilla_General_03-12-2012_9_3'!N442,"AAAAAH/qsp4=")</f>
        <v>#VALUE!</v>
      </c>
      <c r="FD28" t="e">
        <f>AND('Planilla_General_03-12-2012_9_3'!O442,"AAAAAH/qsp8=")</f>
        <v>#VALUE!</v>
      </c>
      <c r="FE28">
        <f>IF('Planilla_General_03-12-2012_9_3'!443:443,"AAAAAH/qsqA=",0)</f>
        <v>0</v>
      </c>
      <c r="FF28" t="e">
        <f>AND('Planilla_General_03-12-2012_9_3'!A443,"AAAAAH/qsqE=")</f>
        <v>#VALUE!</v>
      </c>
      <c r="FG28" t="e">
        <f>AND('Planilla_General_03-12-2012_9_3'!B443,"AAAAAH/qsqI=")</f>
        <v>#VALUE!</v>
      </c>
      <c r="FH28" t="e">
        <f>AND('Planilla_General_03-12-2012_9_3'!C443,"AAAAAH/qsqM=")</f>
        <v>#VALUE!</v>
      </c>
      <c r="FI28" t="e">
        <f>AND('Planilla_General_03-12-2012_9_3'!D443,"AAAAAH/qsqQ=")</f>
        <v>#VALUE!</v>
      </c>
      <c r="FJ28" t="e">
        <f>AND('Planilla_General_03-12-2012_9_3'!E443,"AAAAAH/qsqU=")</f>
        <v>#VALUE!</v>
      </c>
      <c r="FK28" t="e">
        <f>AND('Planilla_General_03-12-2012_9_3'!F443,"AAAAAH/qsqY=")</f>
        <v>#VALUE!</v>
      </c>
      <c r="FL28" t="e">
        <f>AND('Planilla_General_03-12-2012_9_3'!G443,"AAAAAH/qsqc=")</f>
        <v>#VALUE!</v>
      </c>
      <c r="FM28" t="e">
        <f>AND('Planilla_General_03-12-2012_9_3'!H443,"AAAAAH/qsqg=")</f>
        <v>#VALUE!</v>
      </c>
      <c r="FN28" t="e">
        <f>AND('Planilla_General_03-12-2012_9_3'!I443,"AAAAAH/qsqk=")</f>
        <v>#VALUE!</v>
      </c>
      <c r="FO28" t="e">
        <f>AND('Planilla_General_03-12-2012_9_3'!J443,"AAAAAH/qsqo=")</f>
        <v>#VALUE!</v>
      </c>
      <c r="FP28" t="e">
        <f>AND('Planilla_General_03-12-2012_9_3'!K443,"AAAAAH/qsqs=")</f>
        <v>#VALUE!</v>
      </c>
      <c r="FQ28" t="e">
        <f>AND('Planilla_General_03-12-2012_9_3'!L443,"AAAAAH/qsqw=")</f>
        <v>#VALUE!</v>
      </c>
      <c r="FR28" t="e">
        <f>AND('Planilla_General_03-12-2012_9_3'!M443,"AAAAAH/qsq0=")</f>
        <v>#VALUE!</v>
      </c>
      <c r="FS28" t="e">
        <f>AND('Planilla_General_03-12-2012_9_3'!N443,"AAAAAH/qsq4=")</f>
        <v>#VALUE!</v>
      </c>
      <c r="FT28" t="e">
        <f>AND('Planilla_General_03-12-2012_9_3'!O443,"AAAAAH/qsq8=")</f>
        <v>#VALUE!</v>
      </c>
      <c r="FU28">
        <f>IF('Planilla_General_03-12-2012_9_3'!444:444,"AAAAAH/qsrA=",0)</f>
        <v>0</v>
      </c>
      <c r="FV28" t="e">
        <f>AND('Planilla_General_03-12-2012_9_3'!A444,"AAAAAH/qsrE=")</f>
        <v>#VALUE!</v>
      </c>
      <c r="FW28" t="e">
        <f>AND('Planilla_General_03-12-2012_9_3'!B444,"AAAAAH/qsrI=")</f>
        <v>#VALUE!</v>
      </c>
      <c r="FX28" t="e">
        <f>AND('Planilla_General_03-12-2012_9_3'!C444,"AAAAAH/qsrM=")</f>
        <v>#VALUE!</v>
      </c>
      <c r="FY28" t="e">
        <f>AND('Planilla_General_03-12-2012_9_3'!D444,"AAAAAH/qsrQ=")</f>
        <v>#VALUE!</v>
      </c>
      <c r="FZ28" t="e">
        <f>AND('Planilla_General_03-12-2012_9_3'!E444,"AAAAAH/qsrU=")</f>
        <v>#VALUE!</v>
      </c>
      <c r="GA28" t="e">
        <f>AND('Planilla_General_03-12-2012_9_3'!F444,"AAAAAH/qsrY=")</f>
        <v>#VALUE!</v>
      </c>
      <c r="GB28" t="e">
        <f>AND('Planilla_General_03-12-2012_9_3'!G444,"AAAAAH/qsrc=")</f>
        <v>#VALUE!</v>
      </c>
      <c r="GC28" t="e">
        <f>AND('Planilla_General_03-12-2012_9_3'!H444,"AAAAAH/qsrg=")</f>
        <v>#VALUE!</v>
      </c>
      <c r="GD28" t="e">
        <f>AND('Planilla_General_03-12-2012_9_3'!I444,"AAAAAH/qsrk=")</f>
        <v>#VALUE!</v>
      </c>
      <c r="GE28" t="e">
        <f>AND('Planilla_General_03-12-2012_9_3'!J444,"AAAAAH/qsro=")</f>
        <v>#VALUE!</v>
      </c>
      <c r="GF28" t="e">
        <f>AND('Planilla_General_03-12-2012_9_3'!K444,"AAAAAH/qsrs=")</f>
        <v>#VALUE!</v>
      </c>
      <c r="GG28" t="e">
        <f>AND('Planilla_General_03-12-2012_9_3'!L444,"AAAAAH/qsrw=")</f>
        <v>#VALUE!</v>
      </c>
      <c r="GH28" t="e">
        <f>AND('Planilla_General_03-12-2012_9_3'!M444,"AAAAAH/qsr0=")</f>
        <v>#VALUE!</v>
      </c>
      <c r="GI28" t="e">
        <f>AND('Planilla_General_03-12-2012_9_3'!N444,"AAAAAH/qsr4=")</f>
        <v>#VALUE!</v>
      </c>
      <c r="GJ28" t="e">
        <f>AND('Planilla_General_03-12-2012_9_3'!O444,"AAAAAH/qsr8=")</f>
        <v>#VALUE!</v>
      </c>
      <c r="GK28">
        <f>IF('Planilla_General_03-12-2012_9_3'!445:445,"AAAAAH/qssA=",0)</f>
        <v>0</v>
      </c>
      <c r="GL28" t="e">
        <f>AND('Planilla_General_03-12-2012_9_3'!A445,"AAAAAH/qssE=")</f>
        <v>#VALUE!</v>
      </c>
      <c r="GM28" t="e">
        <f>AND('Planilla_General_03-12-2012_9_3'!B445,"AAAAAH/qssI=")</f>
        <v>#VALUE!</v>
      </c>
      <c r="GN28" t="e">
        <f>AND('Planilla_General_03-12-2012_9_3'!C445,"AAAAAH/qssM=")</f>
        <v>#VALUE!</v>
      </c>
      <c r="GO28" t="e">
        <f>AND('Planilla_General_03-12-2012_9_3'!D445,"AAAAAH/qssQ=")</f>
        <v>#VALUE!</v>
      </c>
      <c r="GP28" t="e">
        <f>AND('Planilla_General_03-12-2012_9_3'!E445,"AAAAAH/qssU=")</f>
        <v>#VALUE!</v>
      </c>
      <c r="GQ28" t="e">
        <f>AND('Planilla_General_03-12-2012_9_3'!F445,"AAAAAH/qssY=")</f>
        <v>#VALUE!</v>
      </c>
      <c r="GR28" t="e">
        <f>AND('Planilla_General_03-12-2012_9_3'!G445,"AAAAAH/qssc=")</f>
        <v>#VALUE!</v>
      </c>
      <c r="GS28" t="e">
        <f>AND('Planilla_General_03-12-2012_9_3'!H445,"AAAAAH/qssg=")</f>
        <v>#VALUE!</v>
      </c>
      <c r="GT28" t="e">
        <f>AND('Planilla_General_03-12-2012_9_3'!I445,"AAAAAH/qssk=")</f>
        <v>#VALUE!</v>
      </c>
      <c r="GU28" t="e">
        <f>AND('Planilla_General_03-12-2012_9_3'!J445,"AAAAAH/qsso=")</f>
        <v>#VALUE!</v>
      </c>
      <c r="GV28" t="e">
        <f>AND('Planilla_General_03-12-2012_9_3'!K445,"AAAAAH/qsss=")</f>
        <v>#VALUE!</v>
      </c>
      <c r="GW28" t="e">
        <f>AND('Planilla_General_03-12-2012_9_3'!L445,"AAAAAH/qssw=")</f>
        <v>#VALUE!</v>
      </c>
      <c r="GX28" t="e">
        <f>AND('Planilla_General_03-12-2012_9_3'!M445,"AAAAAH/qss0=")</f>
        <v>#VALUE!</v>
      </c>
      <c r="GY28" t="e">
        <f>AND('Planilla_General_03-12-2012_9_3'!N445,"AAAAAH/qss4=")</f>
        <v>#VALUE!</v>
      </c>
      <c r="GZ28" t="e">
        <f>AND('Planilla_General_03-12-2012_9_3'!O445,"AAAAAH/qss8=")</f>
        <v>#VALUE!</v>
      </c>
      <c r="HA28">
        <f>IF('Planilla_General_03-12-2012_9_3'!446:446,"AAAAAH/qstA=",0)</f>
        <v>0</v>
      </c>
      <c r="HB28" t="e">
        <f>AND('Planilla_General_03-12-2012_9_3'!A446,"AAAAAH/qstE=")</f>
        <v>#VALUE!</v>
      </c>
      <c r="HC28" t="e">
        <f>AND('Planilla_General_03-12-2012_9_3'!B446,"AAAAAH/qstI=")</f>
        <v>#VALUE!</v>
      </c>
      <c r="HD28" t="e">
        <f>AND('Planilla_General_03-12-2012_9_3'!C446,"AAAAAH/qstM=")</f>
        <v>#VALUE!</v>
      </c>
      <c r="HE28" t="e">
        <f>AND('Planilla_General_03-12-2012_9_3'!D446,"AAAAAH/qstQ=")</f>
        <v>#VALUE!</v>
      </c>
      <c r="HF28" t="e">
        <f>AND('Planilla_General_03-12-2012_9_3'!E446,"AAAAAH/qstU=")</f>
        <v>#VALUE!</v>
      </c>
      <c r="HG28" t="e">
        <f>AND('Planilla_General_03-12-2012_9_3'!F446,"AAAAAH/qstY=")</f>
        <v>#VALUE!</v>
      </c>
      <c r="HH28" t="e">
        <f>AND('Planilla_General_03-12-2012_9_3'!G446,"AAAAAH/qstc=")</f>
        <v>#VALUE!</v>
      </c>
      <c r="HI28" t="e">
        <f>AND('Planilla_General_03-12-2012_9_3'!H446,"AAAAAH/qstg=")</f>
        <v>#VALUE!</v>
      </c>
      <c r="HJ28" t="e">
        <f>AND('Planilla_General_03-12-2012_9_3'!I446,"AAAAAH/qstk=")</f>
        <v>#VALUE!</v>
      </c>
      <c r="HK28" t="e">
        <f>AND('Planilla_General_03-12-2012_9_3'!J446,"AAAAAH/qsto=")</f>
        <v>#VALUE!</v>
      </c>
      <c r="HL28" t="e">
        <f>AND('Planilla_General_03-12-2012_9_3'!K446,"AAAAAH/qsts=")</f>
        <v>#VALUE!</v>
      </c>
      <c r="HM28" t="e">
        <f>AND('Planilla_General_03-12-2012_9_3'!L446,"AAAAAH/qstw=")</f>
        <v>#VALUE!</v>
      </c>
      <c r="HN28" t="e">
        <f>AND('Planilla_General_03-12-2012_9_3'!M446,"AAAAAH/qst0=")</f>
        <v>#VALUE!</v>
      </c>
      <c r="HO28" t="e">
        <f>AND('Planilla_General_03-12-2012_9_3'!N446,"AAAAAH/qst4=")</f>
        <v>#VALUE!</v>
      </c>
      <c r="HP28" t="e">
        <f>AND('Planilla_General_03-12-2012_9_3'!O446,"AAAAAH/qst8=")</f>
        <v>#VALUE!</v>
      </c>
      <c r="HQ28">
        <f>IF('Planilla_General_03-12-2012_9_3'!447:447,"AAAAAH/qsuA=",0)</f>
        <v>0</v>
      </c>
      <c r="HR28" t="e">
        <f>AND('Planilla_General_03-12-2012_9_3'!A447,"AAAAAH/qsuE=")</f>
        <v>#VALUE!</v>
      </c>
      <c r="HS28" t="e">
        <f>AND('Planilla_General_03-12-2012_9_3'!B447,"AAAAAH/qsuI=")</f>
        <v>#VALUE!</v>
      </c>
      <c r="HT28" t="e">
        <f>AND('Planilla_General_03-12-2012_9_3'!C447,"AAAAAH/qsuM=")</f>
        <v>#VALUE!</v>
      </c>
      <c r="HU28" t="e">
        <f>AND('Planilla_General_03-12-2012_9_3'!D447,"AAAAAH/qsuQ=")</f>
        <v>#VALUE!</v>
      </c>
      <c r="HV28" t="e">
        <f>AND('Planilla_General_03-12-2012_9_3'!E447,"AAAAAH/qsuU=")</f>
        <v>#VALUE!</v>
      </c>
      <c r="HW28" t="e">
        <f>AND('Planilla_General_03-12-2012_9_3'!F447,"AAAAAH/qsuY=")</f>
        <v>#VALUE!</v>
      </c>
      <c r="HX28" t="e">
        <f>AND('Planilla_General_03-12-2012_9_3'!G447,"AAAAAH/qsuc=")</f>
        <v>#VALUE!</v>
      </c>
      <c r="HY28" t="e">
        <f>AND('Planilla_General_03-12-2012_9_3'!H447,"AAAAAH/qsug=")</f>
        <v>#VALUE!</v>
      </c>
      <c r="HZ28" t="e">
        <f>AND('Planilla_General_03-12-2012_9_3'!I447,"AAAAAH/qsuk=")</f>
        <v>#VALUE!</v>
      </c>
      <c r="IA28" t="e">
        <f>AND('Planilla_General_03-12-2012_9_3'!J447,"AAAAAH/qsuo=")</f>
        <v>#VALUE!</v>
      </c>
      <c r="IB28" t="e">
        <f>AND('Planilla_General_03-12-2012_9_3'!K447,"AAAAAH/qsus=")</f>
        <v>#VALUE!</v>
      </c>
      <c r="IC28" t="e">
        <f>AND('Planilla_General_03-12-2012_9_3'!L447,"AAAAAH/qsuw=")</f>
        <v>#VALUE!</v>
      </c>
      <c r="ID28" t="e">
        <f>AND('Planilla_General_03-12-2012_9_3'!M447,"AAAAAH/qsu0=")</f>
        <v>#VALUE!</v>
      </c>
      <c r="IE28" t="e">
        <f>AND('Planilla_General_03-12-2012_9_3'!N447,"AAAAAH/qsu4=")</f>
        <v>#VALUE!</v>
      </c>
      <c r="IF28" t="e">
        <f>AND('Planilla_General_03-12-2012_9_3'!O447,"AAAAAH/qsu8=")</f>
        <v>#VALUE!</v>
      </c>
      <c r="IG28">
        <f>IF('Planilla_General_03-12-2012_9_3'!448:448,"AAAAAH/qsvA=",0)</f>
        <v>0</v>
      </c>
      <c r="IH28" t="e">
        <f>AND('Planilla_General_03-12-2012_9_3'!A448,"AAAAAH/qsvE=")</f>
        <v>#VALUE!</v>
      </c>
      <c r="II28" t="e">
        <f>AND('Planilla_General_03-12-2012_9_3'!B448,"AAAAAH/qsvI=")</f>
        <v>#VALUE!</v>
      </c>
      <c r="IJ28" t="e">
        <f>AND('Planilla_General_03-12-2012_9_3'!C448,"AAAAAH/qsvM=")</f>
        <v>#VALUE!</v>
      </c>
      <c r="IK28" t="e">
        <f>AND('Planilla_General_03-12-2012_9_3'!D448,"AAAAAH/qsvQ=")</f>
        <v>#VALUE!</v>
      </c>
      <c r="IL28" t="e">
        <f>AND('Planilla_General_03-12-2012_9_3'!E448,"AAAAAH/qsvU=")</f>
        <v>#VALUE!</v>
      </c>
      <c r="IM28" t="e">
        <f>AND('Planilla_General_03-12-2012_9_3'!F448,"AAAAAH/qsvY=")</f>
        <v>#VALUE!</v>
      </c>
      <c r="IN28" t="e">
        <f>AND('Planilla_General_03-12-2012_9_3'!G448,"AAAAAH/qsvc=")</f>
        <v>#VALUE!</v>
      </c>
      <c r="IO28" t="e">
        <f>AND('Planilla_General_03-12-2012_9_3'!H448,"AAAAAH/qsvg=")</f>
        <v>#VALUE!</v>
      </c>
      <c r="IP28" t="e">
        <f>AND('Planilla_General_03-12-2012_9_3'!I448,"AAAAAH/qsvk=")</f>
        <v>#VALUE!</v>
      </c>
      <c r="IQ28" t="e">
        <f>AND('Planilla_General_03-12-2012_9_3'!J448,"AAAAAH/qsvo=")</f>
        <v>#VALUE!</v>
      </c>
      <c r="IR28" t="e">
        <f>AND('Planilla_General_03-12-2012_9_3'!K448,"AAAAAH/qsvs=")</f>
        <v>#VALUE!</v>
      </c>
      <c r="IS28" t="e">
        <f>AND('Planilla_General_03-12-2012_9_3'!L448,"AAAAAH/qsvw=")</f>
        <v>#VALUE!</v>
      </c>
      <c r="IT28" t="e">
        <f>AND('Planilla_General_03-12-2012_9_3'!M448,"AAAAAH/qsv0=")</f>
        <v>#VALUE!</v>
      </c>
      <c r="IU28" t="e">
        <f>AND('Planilla_General_03-12-2012_9_3'!N448,"AAAAAH/qsv4=")</f>
        <v>#VALUE!</v>
      </c>
      <c r="IV28" t="e">
        <f>AND('Planilla_General_03-12-2012_9_3'!O448,"AAAAAH/qsv8=")</f>
        <v>#VALUE!</v>
      </c>
    </row>
    <row r="29" spans="1:256" x14ac:dyDescent="0.25">
      <c r="A29" t="e">
        <f>IF('Planilla_General_03-12-2012_9_3'!449:449,"AAAAAHuN/wA=",0)</f>
        <v>#VALUE!</v>
      </c>
      <c r="B29" t="e">
        <f>AND('Planilla_General_03-12-2012_9_3'!A449,"AAAAAHuN/wE=")</f>
        <v>#VALUE!</v>
      </c>
      <c r="C29" t="e">
        <f>AND('Planilla_General_03-12-2012_9_3'!B449,"AAAAAHuN/wI=")</f>
        <v>#VALUE!</v>
      </c>
      <c r="D29" t="e">
        <f>AND('Planilla_General_03-12-2012_9_3'!C449,"AAAAAHuN/wM=")</f>
        <v>#VALUE!</v>
      </c>
      <c r="E29" t="e">
        <f>AND('Planilla_General_03-12-2012_9_3'!D449,"AAAAAHuN/wQ=")</f>
        <v>#VALUE!</v>
      </c>
      <c r="F29" t="e">
        <f>AND('Planilla_General_03-12-2012_9_3'!E449,"AAAAAHuN/wU=")</f>
        <v>#VALUE!</v>
      </c>
      <c r="G29" t="e">
        <f>AND('Planilla_General_03-12-2012_9_3'!F449,"AAAAAHuN/wY=")</f>
        <v>#VALUE!</v>
      </c>
      <c r="H29" t="e">
        <f>AND('Planilla_General_03-12-2012_9_3'!G449,"AAAAAHuN/wc=")</f>
        <v>#VALUE!</v>
      </c>
      <c r="I29" t="e">
        <f>AND('Planilla_General_03-12-2012_9_3'!H449,"AAAAAHuN/wg=")</f>
        <v>#VALUE!</v>
      </c>
      <c r="J29" t="e">
        <f>AND('Planilla_General_03-12-2012_9_3'!I449,"AAAAAHuN/wk=")</f>
        <v>#VALUE!</v>
      </c>
      <c r="K29" t="e">
        <f>AND('Planilla_General_03-12-2012_9_3'!J449,"AAAAAHuN/wo=")</f>
        <v>#VALUE!</v>
      </c>
      <c r="L29" t="e">
        <f>AND('Planilla_General_03-12-2012_9_3'!K449,"AAAAAHuN/ws=")</f>
        <v>#VALUE!</v>
      </c>
      <c r="M29" t="e">
        <f>AND('Planilla_General_03-12-2012_9_3'!L449,"AAAAAHuN/ww=")</f>
        <v>#VALUE!</v>
      </c>
      <c r="N29" t="e">
        <f>AND('Planilla_General_03-12-2012_9_3'!M449,"AAAAAHuN/w0=")</f>
        <v>#VALUE!</v>
      </c>
      <c r="O29" t="e">
        <f>AND('Planilla_General_03-12-2012_9_3'!N449,"AAAAAHuN/w4=")</f>
        <v>#VALUE!</v>
      </c>
      <c r="P29" t="e">
        <f>AND('Planilla_General_03-12-2012_9_3'!O449,"AAAAAHuN/w8=")</f>
        <v>#VALUE!</v>
      </c>
      <c r="Q29">
        <f>IF('Planilla_General_03-12-2012_9_3'!450:450,"AAAAAHuN/xA=",0)</f>
        <v>0</v>
      </c>
      <c r="R29" t="e">
        <f>AND('Planilla_General_03-12-2012_9_3'!A450,"AAAAAHuN/xE=")</f>
        <v>#VALUE!</v>
      </c>
      <c r="S29" t="e">
        <f>AND('Planilla_General_03-12-2012_9_3'!B450,"AAAAAHuN/xI=")</f>
        <v>#VALUE!</v>
      </c>
      <c r="T29" t="e">
        <f>AND('Planilla_General_03-12-2012_9_3'!C450,"AAAAAHuN/xM=")</f>
        <v>#VALUE!</v>
      </c>
      <c r="U29" t="e">
        <f>AND('Planilla_General_03-12-2012_9_3'!D450,"AAAAAHuN/xQ=")</f>
        <v>#VALUE!</v>
      </c>
      <c r="V29" t="e">
        <f>AND('Planilla_General_03-12-2012_9_3'!E450,"AAAAAHuN/xU=")</f>
        <v>#VALUE!</v>
      </c>
      <c r="W29" t="e">
        <f>AND('Planilla_General_03-12-2012_9_3'!F450,"AAAAAHuN/xY=")</f>
        <v>#VALUE!</v>
      </c>
      <c r="X29" t="e">
        <f>AND('Planilla_General_03-12-2012_9_3'!G450,"AAAAAHuN/xc=")</f>
        <v>#VALUE!</v>
      </c>
      <c r="Y29" t="e">
        <f>AND('Planilla_General_03-12-2012_9_3'!H450,"AAAAAHuN/xg=")</f>
        <v>#VALUE!</v>
      </c>
      <c r="Z29" t="e">
        <f>AND('Planilla_General_03-12-2012_9_3'!I450,"AAAAAHuN/xk=")</f>
        <v>#VALUE!</v>
      </c>
      <c r="AA29" t="e">
        <f>AND('Planilla_General_03-12-2012_9_3'!J450,"AAAAAHuN/xo=")</f>
        <v>#VALUE!</v>
      </c>
      <c r="AB29" t="e">
        <f>AND('Planilla_General_03-12-2012_9_3'!K450,"AAAAAHuN/xs=")</f>
        <v>#VALUE!</v>
      </c>
      <c r="AC29" t="e">
        <f>AND('Planilla_General_03-12-2012_9_3'!L450,"AAAAAHuN/xw=")</f>
        <v>#VALUE!</v>
      </c>
      <c r="AD29" t="e">
        <f>AND('Planilla_General_03-12-2012_9_3'!M450,"AAAAAHuN/x0=")</f>
        <v>#VALUE!</v>
      </c>
      <c r="AE29" t="e">
        <f>AND('Planilla_General_03-12-2012_9_3'!N450,"AAAAAHuN/x4=")</f>
        <v>#VALUE!</v>
      </c>
      <c r="AF29" t="e">
        <f>AND('Planilla_General_03-12-2012_9_3'!O450,"AAAAAHuN/x8=")</f>
        <v>#VALUE!</v>
      </c>
      <c r="AG29">
        <f>IF('Planilla_General_03-12-2012_9_3'!451:451,"AAAAAHuN/yA=",0)</f>
        <v>0</v>
      </c>
      <c r="AH29" t="e">
        <f>AND('Planilla_General_03-12-2012_9_3'!A451,"AAAAAHuN/yE=")</f>
        <v>#VALUE!</v>
      </c>
      <c r="AI29" t="e">
        <f>AND('Planilla_General_03-12-2012_9_3'!B451,"AAAAAHuN/yI=")</f>
        <v>#VALUE!</v>
      </c>
      <c r="AJ29" t="e">
        <f>AND('Planilla_General_03-12-2012_9_3'!C451,"AAAAAHuN/yM=")</f>
        <v>#VALUE!</v>
      </c>
      <c r="AK29" t="e">
        <f>AND('Planilla_General_03-12-2012_9_3'!D451,"AAAAAHuN/yQ=")</f>
        <v>#VALUE!</v>
      </c>
      <c r="AL29" t="e">
        <f>AND('Planilla_General_03-12-2012_9_3'!E451,"AAAAAHuN/yU=")</f>
        <v>#VALUE!</v>
      </c>
      <c r="AM29" t="e">
        <f>AND('Planilla_General_03-12-2012_9_3'!F451,"AAAAAHuN/yY=")</f>
        <v>#VALUE!</v>
      </c>
      <c r="AN29" t="e">
        <f>AND('Planilla_General_03-12-2012_9_3'!G451,"AAAAAHuN/yc=")</f>
        <v>#VALUE!</v>
      </c>
      <c r="AO29" t="e">
        <f>AND('Planilla_General_03-12-2012_9_3'!H451,"AAAAAHuN/yg=")</f>
        <v>#VALUE!</v>
      </c>
      <c r="AP29" t="e">
        <f>AND('Planilla_General_03-12-2012_9_3'!I451,"AAAAAHuN/yk=")</f>
        <v>#VALUE!</v>
      </c>
      <c r="AQ29" t="e">
        <f>AND('Planilla_General_03-12-2012_9_3'!J451,"AAAAAHuN/yo=")</f>
        <v>#VALUE!</v>
      </c>
      <c r="AR29" t="e">
        <f>AND('Planilla_General_03-12-2012_9_3'!K451,"AAAAAHuN/ys=")</f>
        <v>#VALUE!</v>
      </c>
      <c r="AS29" t="e">
        <f>AND('Planilla_General_03-12-2012_9_3'!L451,"AAAAAHuN/yw=")</f>
        <v>#VALUE!</v>
      </c>
      <c r="AT29" t="e">
        <f>AND('Planilla_General_03-12-2012_9_3'!M451,"AAAAAHuN/y0=")</f>
        <v>#VALUE!</v>
      </c>
      <c r="AU29" t="e">
        <f>AND('Planilla_General_03-12-2012_9_3'!N451,"AAAAAHuN/y4=")</f>
        <v>#VALUE!</v>
      </c>
      <c r="AV29" t="e">
        <f>AND('Planilla_General_03-12-2012_9_3'!O451,"AAAAAHuN/y8=")</f>
        <v>#VALUE!</v>
      </c>
      <c r="AW29">
        <f>IF('Planilla_General_03-12-2012_9_3'!452:452,"AAAAAHuN/zA=",0)</f>
        <v>0</v>
      </c>
      <c r="AX29" t="e">
        <f>AND('Planilla_General_03-12-2012_9_3'!A452,"AAAAAHuN/zE=")</f>
        <v>#VALUE!</v>
      </c>
      <c r="AY29" t="e">
        <f>AND('Planilla_General_03-12-2012_9_3'!B452,"AAAAAHuN/zI=")</f>
        <v>#VALUE!</v>
      </c>
      <c r="AZ29" t="e">
        <f>AND('Planilla_General_03-12-2012_9_3'!C452,"AAAAAHuN/zM=")</f>
        <v>#VALUE!</v>
      </c>
      <c r="BA29" t="e">
        <f>AND('Planilla_General_03-12-2012_9_3'!D452,"AAAAAHuN/zQ=")</f>
        <v>#VALUE!</v>
      </c>
      <c r="BB29" t="e">
        <f>AND('Planilla_General_03-12-2012_9_3'!E452,"AAAAAHuN/zU=")</f>
        <v>#VALUE!</v>
      </c>
      <c r="BC29" t="e">
        <f>AND('Planilla_General_03-12-2012_9_3'!F452,"AAAAAHuN/zY=")</f>
        <v>#VALUE!</v>
      </c>
      <c r="BD29" t="e">
        <f>AND('Planilla_General_03-12-2012_9_3'!G452,"AAAAAHuN/zc=")</f>
        <v>#VALUE!</v>
      </c>
      <c r="BE29" t="e">
        <f>AND('Planilla_General_03-12-2012_9_3'!H452,"AAAAAHuN/zg=")</f>
        <v>#VALUE!</v>
      </c>
      <c r="BF29" t="e">
        <f>AND('Planilla_General_03-12-2012_9_3'!I452,"AAAAAHuN/zk=")</f>
        <v>#VALUE!</v>
      </c>
      <c r="BG29" t="e">
        <f>AND('Planilla_General_03-12-2012_9_3'!J452,"AAAAAHuN/zo=")</f>
        <v>#VALUE!</v>
      </c>
      <c r="BH29" t="e">
        <f>AND('Planilla_General_03-12-2012_9_3'!K452,"AAAAAHuN/zs=")</f>
        <v>#VALUE!</v>
      </c>
      <c r="BI29" t="e">
        <f>AND('Planilla_General_03-12-2012_9_3'!L452,"AAAAAHuN/zw=")</f>
        <v>#VALUE!</v>
      </c>
      <c r="BJ29" t="e">
        <f>AND('Planilla_General_03-12-2012_9_3'!M452,"AAAAAHuN/z0=")</f>
        <v>#VALUE!</v>
      </c>
      <c r="BK29" t="e">
        <f>AND('Planilla_General_03-12-2012_9_3'!N452,"AAAAAHuN/z4=")</f>
        <v>#VALUE!</v>
      </c>
      <c r="BL29" t="e">
        <f>AND('Planilla_General_03-12-2012_9_3'!O452,"AAAAAHuN/z8=")</f>
        <v>#VALUE!</v>
      </c>
      <c r="BM29">
        <f>IF('Planilla_General_03-12-2012_9_3'!453:453,"AAAAAHuN/0A=",0)</f>
        <v>0</v>
      </c>
      <c r="BN29" t="e">
        <f>AND('Planilla_General_03-12-2012_9_3'!A453,"AAAAAHuN/0E=")</f>
        <v>#VALUE!</v>
      </c>
      <c r="BO29" t="e">
        <f>AND('Planilla_General_03-12-2012_9_3'!B453,"AAAAAHuN/0I=")</f>
        <v>#VALUE!</v>
      </c>
      <c r="BP29" t="e">
        <f>AND('Planilla_General_03-12-2012_9_3'!C453,"AAAAAHuN/0M=")</f>
        <v>#VALUE!</v>
      </c>
      <c r="BQ29" t="e">
        <f>AND('Planilla_General_03-12-2012_9_3'!D453,"AAAAAHuN/0Q=")</f>
        <v>#VALUE!</v>
      </c>
      <c r="BR29" t="e">
        <f>AND('Planilla_General_03-12-2012_9_3'!E453,"AAAAAHuN/0U=")</f>
        <v>#VALUE!</v>
      </c>
      <c r="BS29" t="e">
        <f>AND('Planilla_General_03-12-2012_9_3'!F453,"AAAAAHuN/0Y=")</f>
        <v>#VALUE!</v>
      </c>
      <c r="BT29" t="e">
        <f>AND('Planilla_General_03-12-2012_9_3'!G453,"AAAAAHuN/0c=")</f>
        <v>#VALUE!</v>
      </c>
      <c r="BU29" t="e">
        <f>AND('Planilla_General_03-12-2012_9_3'!H453,"AAAAAHuN/0g=")</f>
        <v>#VALUE!</v>
      </c>
      <c r="BV29" t="e">
        <f>AND('Planilla_General_03-12-2012_9_3'!I453,"AAAAAHuN/0k=")</f>
        <v>#VALUE!</v>
      </c>
      <c r="BW29" t="e">
        <f>AND('Planilla_General_03-12-2012_9_3'!J453,"AAAAAHuN/0o=")</f>
        <v>#VALUE!</v>
      </c>
      <c r="BX29" t="e">
        <f>AND('Planilla_General_03-12-2012_9_3'!K453,"AAAAAHuN/0s=")</f>
        <v>#VALUE!</v>
      </c>
      <c r="BY29" t="e">
        <f>AND('Planilla_General_03-12-2012_9_3'!L453,"AAAAAHuN/0w=")</f>
        <v>#VALUE!</v>
      </c>
      <c r="BZ29" t="e">
        <f>AND('Planilla_General_03-12-2012_9_3'!M453,"AAAAAHuN/00=")</f>
        <v>#VALUE!</v>
      </c>
      <c r="CA29" t="e">
        <f>AND('Planilla_General_03-12-2012_9_3'!N453,"AAAAAHuN/04=")</f>
        <v>#VALUE!</v>
      </c>
      <c r="CB29" t="e">
        <f>AND('Planilla_General_03-12-2012_9_3'!O453,"AAAAAHuN/08=")</f>
        <v>#VALUE!</v>
      </c>
      <c r="CC29">
        <f>IF('Planilla_General_03-12-2012_9_3'!454:454,"AAAAAHuN/1A=",0)</f>
        <v>0</v>
      </c>
      <c r="CD29" t="e">
        <f>AND('Planilla_General_03-12-2012_9_3'!A454,"AAAAAHuN/1E=")</f>
        <v>#VALUE!</v>
      </c>
      <c r="CE29" t="e">
        <f>AND('Planilla_General_03-12-2012_9_3'!B454,"AAAAAHuN/1I=")</f>
        <v>#VALUE!</v>
      </c>
      <c r="CF29" t="e">
        <f>AND('Planilla_General_03-12-2012_9_3'!C454,"AAAAAHuN/1M=")</f>
        <v>#VALUE!</v>
      </c>
      <c r="CG29" t="e">
        <f>AND('Planilla_General_03-12-2012_9_3'!D454,"AAAAAHuN/1Q=")</f>
        <v>#VALUE!</v>
      </c>
      <c r="CH29" t="e">
        <f>AND('Planilla_General_03-12-2012_9_3'!E454,"AAAAAHuN/1U=")</f>
        <v>#VALUE!</v>
      </c>
      <c r="CI29" t="e">
        <f>AND('Planilla_General_03-12-2012_9_3'!F454,"AAAAAHuN/1Y=")</f>
        <v>#VALUE!</v>
      </c>
      <c r="CJ29" t="e">
        <f>AND('Planilla_General_03-12-2012_9_3'!G454,"AAAAAHuN/1c=")</f>
        <v>#VALUE!</v>
      </c>
      <c r="CK29" t="e">
        <f>AND('Planilla_General_03-12-2012_9_3'!H454,"AAAAAHuN/1g=")</f>
        <v>#VALUE!</v>
      </c>
      <c r="CL29" t="e">
        <f>AND('Planilla_General_03-12-2012_9_3'!I454,"AAAAAHuN/1k=")</f>
        <v>#VALUE!</v>
      </c>
      <c r="CM29" t="e">
        <f>AND('Planilla_General_03-12-2012_9_3'!J454,"AAAAAHuN/1o=")</f>
        <v>#VALUE!</v>
      </c>
      <c r="CN29" t="e">
        <f>AND('Planilla_General_03-12-2012_9_3'!K454,"AAAAAHuN/1s=")</f>
        <v>#VALUE!</v>
      </c>
      <c r="CO29" t="e">
        <f>AND('Planilla_General_03-12-2012_9_3'!L454,"AAAAAHuN/1w=")</f>
        <v>#VALUE!</v>
      </c>
      <c r="CP29" t="e">
        <f>AND('Planilla_General_03-12-2012_9_3'!M454,"AAAAAHuN/10=")</f>
        <v>#VALUE!</v>
      </c>
      <c r="CQ29" t="e">
        <f>AND('Planilla_General_03-12-2012_9_3'!N454,"AAAAAHuN/14=")</f>
        <v>#VALUE!</v>
      </c>
      <c r="CR29" t="e">
        <f>AND('Planilla_General_03-12-2012_9_3'!O454,"AAAAAHuN/18=")</f>
        <v>#VALUE!</v>
      </c>
      <c r="CS29">
        <f>IF('Planilla_General_03-12-2012_9_3'!455:455,"AAAAAHuN/2A=",0)</f>
        <v>0</v>
      </c>
      <c r="CT29" t="e">
        <f>AND('Planilla_General_03-12-2012_9_3'!A455,"AAAAAHuN/2E=")</f>
        <v>#VALUE!</v>
      </c>
      <c r="CU29" t="e">
        <f>AND('Planilla_General_03-12-2012_9_3'!B455,"AAAAAHuN/2I=")</f>
        <v>#VALUE!</v>
      </c>
      <c r="CV29" t="e">
        <f>AND('Planilla_General_03-12-2012_9_3'!C455,"AAAAAHuN/2M=")</f>
        <v>#VALUE!</v>
      </c>
      <c r="CW29" t="e">
        <f>AND('Planilla_General_03-12-2012_9_3'!D455,"AAAAAHuN/2Q=")</f>
        <v>#VALUE!</v>
      </c>
      <c r="CX29" t="e">
        <f>AND('Planilla_General_03-12-2012_9_3'!E455,"AAAAAHuN/2U=")</f>
        <v>#VALUE!</v>
      </c>
      <c r="CY29" t="e">
        <f>AND('Planilla_General_03-12-2012_9_3'!F455,"AAAAAHuN/2Y=")</f>
        <v>#VALUE!</v>
      </c>
      <c r="CZ29" t="e">
        <f>AND('Planilla_General_03-12-2012_9_3'!G455,"AAAAAHuN/2c=")</f>
        <v>#VALUE!</v>
      </c>
      <c r="DA29" t="e">
        <f>AND('Planilla_General_03-12-2012_9_3'!H455,"AAAAAHuN/2g=")</f>
        <v>#VALUE!</v>
      </c>
      <c r="DB29" t="e">
        <f>AND('Planilla_General_03-12-2012_9_3'!I455,"AAAAAHuN/2k=")</f>
        <v>#VALUE!</v>
      </c>
      <c r="DC29" t="e">
        <f>AND('Planilla_General_03-12-2012_9_3'!J455,"AAAAAHuN/2o=")</f>
        <v>#VALUE!</v>
      </c>
      <c r="DD29" t="e">
        <f>AND('Planilla_General_03-12-2012_9_3'!K455,"AAAAAHuN/2s=")</f>
        <v>#VALUE!</v>
      </c>
      <c r="DE29" t="e">
        <f>AND('Planilla_General_03-12-2012_9_3'!L455,"AAAAAHuN/2w=")</f>
        <v>#VALUE!</v>
      </c>
      <c r="DF29" t="e">
        <f>AND('Planilla_General_03-12-2012_9_3'!M455,"AAAAAHuN/20=")</f>
        <v>#VALUE!</v>
      </c>
      <c r="DG29" t="e">
        <f>AND('Planilla_General_03-12-2012_9_3'!N455,"AAAAAHuN/24=")</f>
        <v>#VALUE!</v>
      </c>
      <c r="DH29" t="e">
        <f>AND('Planilla_General_03-12-2012_9_3'!O455,"AAAAAHuN/28=")</f>
        <v>#VALUE!</v>
      </c>
      <c r="DI29">
        <f>IF('Planilla_General_03-12-2012_9_3'!456:456,"AAAAAHuN/3A=",0)</f>
        <v>0</v>
      </c>
      <c r="DJ29" t="e">
        <f>AND('Planilla_General_03-12-2012_9_3'!A456,"AAAAAHuN/3E=")</f>
        <v>#VALUE!</v>
      </c>
      <c r="DK29" t="e">
        <f>AND('Planilla_General_03-12-2012_9_3'!B456,"AAAAAHuN/3I=")</f>
        <v>#VALUE!</v>
      </c>
      <c r="DL29" t="e">
        <f>AND('Planilla_General_03-12-2012_9_3'!C456,"AAAAAHuN/3M=")</f>
        <v>#VALUE!</v>
      </c>
      <c r="DM29" t="e">
        <f>AND('Planilla_General_03-12-2012_9_3'!D456,"AAAAAHuN/3Q=")</f>
        <v>#VALUE!</v>
      </c>
      <c r="DN29" t="e">
        <f>AND('Planilla_General_03-12-2012_9_3'!E456,"AAAAAHuN/3U=")</f>
        <v>#VALUE!</v>
      </c>
      <c r="DO29" t="e">
        <f>AND('Planilla_General_03-12-2012_9_3'!F456,"AAAAAHuN/3Y=")</f>
        <v>#VALUE!</v>
      </c>
      <c r="DP29" t="e">
        <f>AND('Planilla_General_03-12-2012_9_3'!G456,"AAAAAHuN/3c=")</f>
        <v>#VALUE!</v>
      </c>
      <c r="DQ29" t="e">
        <f>AND('Planilla_General_03-12-2012_9_3'!H456,"AAAAAHuN/3g=")</f>
        <v>#VALUE!</v>
      </c>
      <c r="DR29" t="e">
        <f>AND('Planilla_General_03-12-2012_9_3'!I456,"AAAAAHuN/3k=")</f>
        <v>#VALUE!</v>
      </c>
      <c r="DS29" t="e">
        <f>AND('Planilla_General_03-12-2012_9_3'!J456,"AAAAAHuN/3o=")</f>
        <v>#VALUE!</v>
      </c>
      <c r="DT29" t="e">
        <f>AND('Planilla_General_03-12-2012_9_3'!K456,"AAAAAHuN/3s=")</f>
        <v>#VALUE!</v>
      </c>
      <c r="DU29" t="e">
        <f>AND('Planilla_General_03-12-2012_9_3'!L456,"AAAAAHuN/3w=")</f>
        <v>#VALUE!</v>
      </c>
      <c r="DV29" t="e">
        <f>AND('Planilla_General_03-12-2012_9_3'!M456,"AAAAAHuN/30=")</f>
        <v>#VALUE!</v>
      </c>
      <c r="DW29" t="e">
        <f>AND('Planilla_General_03-12-2012_9_3'!N456,"AAAAAHuN/34=")</f>
        <v>#VALUE!</v>
      </c>
      <c r="DX29" t="e">
        <f>AND('Planilla_General_03-12-2012_9_3'!O456,"AAAAAHuN/38=")</f>
        <v>#VALUE!</v>
      </c>
      <c r="DY29">
        <f>IF('Planilla_General_03-12-2012_9_3'!457:457,"AAAAAHuN/4A=",0)</f>
        <v>0</v>
      </c>
      <c r="DZ29" t="e">
        <f>AND('Planilla_General_03-12-2012_9_3'!A457,"AAAAAHuN/4E=")</f>
        <v>#VALUE!</v>
      </c>
      <c r="EA29" t="e">
        <f>AND('Planilla_General_03-12-2012_9_3'!B457,"AAAAAHuN/4I=")</f>
        <v>#VALUE!</v>
      </c>
      <c r="EB29" t="e">
        <f>AND('Planilla_General_03-12-2012_9_3'!C457,"AAAAAHuN/4M=")</f>
        <v>#VALUE!</v>
      </c>
      <c r="EC29" t="e">
        <f>AND('Planilla_General_03-12-2012_9_3'!D457,"AAAAAHuN/4Q=")</f>
        <v>#VALUE!</v>
      </c>
      <c r="ED29" t="e">
        <f>AND('Planilla_General_03-12-2012_9_3'!E457,"AAAAAHuN/4U=")</f>
        <v>#VALUE!</v>
      </c>
      <c r="EE29" t="e">
        <f>AND('Planilla_General_03-12-2012_9_3'!F457,"AAAAAHuN/4Y=")</f>
        <v>#VALUE!</v>
      </c>
      <c r="EF29" t="e">
        <f>AND('Planilla_General_03-12-2012_9_3'!G457,"AAAAAHuN/4c=")</f>
        <v>#VALUE!</v>
      </c>
      <c r="EG29" t="e">
        <f>AND('Planilla_General_03-12-2012_9_3'!H457,"AAAAAHuN/4g=")</f>
        <v>#VALUE!</v>
      </c>
      <c r="EH29" t="e">
        <f>AND('Planilla_General_03-12-2012_9_3'!I457,"AAAAAHuN/4k=")</f>
        <v>#VALUE!</v>
      </c>
      <c r="EI29" t="e">
        <f>AND('Planilla_General_03-12-2012_9_3'!J457,"AAAAAHuN/4o=")</f>
        <v>#VALUE!</v>
      </c>
      <c r="EJ29" t="e">
        <f>AND('Planilla_General_03-12-2012_9_3'!K457,"AAAAAHuN/4s=")</f>
        <v>#VALUE!</v>
      </c>
      <c r="EK29" t="e">
        <f>AND('Planilla_General_03-12-2012_9_3'!L457,"AAAAAHuN/4w=")</f>
        <v>#VALUE!</v>
      </c>
      <c r="EL29" t="e">
        <f>AND('Planilla_General_03-12-2012_9_3'!M457,"AAAAAHuN/40=")</f>
        <v>#VALUE!</v>
      </c>
      <c r="EM29" t="e">
        <f>AND('Planilla_General_03-12-2012_9_3'!N457,"AAAAAHuN/44=")</f>
        <v>#VALUE!</v>
      </c>
      <c r="EN29" t="e">
        <f>AND('Planilla_General_03-12-2012_9_3'!O457,"AAAAAHuN/48=")</f>
        <v>#VALUE!</v>
      </c>
      <c r="EO29">
        <f>IF('Planilla_General_03-12-2012_9_3'!458:458,"AAAAAHuN/5A=",0)</f>
        <v>0</v>
      </c>
      <c r="EP29" t="e">
        <f>AND('Planilla_General_03-12-2012_9_3'!A458,"AAAAAHuN/5E=")</f>
        <v>#VALUE!</v>
      </c>
      <c r="EQ29" t="e">
        <f>AND('Planilla_General_03-12-2012_9_3'!B458,"AAAAAHuN/5I=")</f>
        <v>#VALUE!</v>
      </c>
      <c r="ER29" t="e">
        <f>AND('Planilla_General_03-12-2012_9_3'!C458,"AAAAAHuN/5M=")</f>
        <v>#VALUE!</v>
      </c>
      <c r="ES29" t="e">
        <f>AND('Planilla_General_03-12-2012_9_3'!D458,"AAAAAHuN/5Q=")</f>
        <v>#VALUE!</v>
      </c>
      <c r="ET29" t="e">
        <f>AND('Planilla_General_03-12-2012_9_3'!E458,"AAAAAHuN/5U=")</f>
        <v>#VALUE!</v>
      </c>
      <c r="EU29" t="e">
        <f>AND('Planilla_General_03-12-2012_9_3'!F458,"AAAAAHuN/5Y=")</f>
        <v>#VALUE!</v>
      </c>
      <c r="EV29" t="e">
        <f>AND('Planilla_General_03-12-2012_9_3'!G458,"AAAAAHuN/5c=")</f>
        <v>#VALUE!</v>
      </c>
      <c r="EW29" t="e">
        <f>AND('Planilla_General_03-12-2012_9_3'!H458,"AAAAAHuN/5g=")</f>
        <v>#VALUE!</v>
      </c>
      <c r="EX29" t="e">
        <f>AND('Planilla_General_03-12-2012_9_3'!I458,"AAAAAHuN/5k=")</f>
        <v>#VALUE!</v>
      </c>
      <c r="EY29" t="e">
        <f>AND('Planilla_General_03-12-2012_9_3'!J458,"AAAAAHuN/5o=")</f>
        <v>#VALUE!</v>
      </c>
      <c r="EZ29" t="e">
        <f>AND('Planilla_General_03-12-2012_9_3'!K458,"AAAAAHuN/5s=")</f>
        <v>#VALUE!</v>
      </c>
      <c r="FA29" t="e">
        <f>AND('Planilla_General_03-12-2012_9_3'!L458,"AAAAAHuN/5w=")</f>
        <v>#VALUE!</v>
      </c>
      <c r="FB29" t="e">
        <f>AND('Planilla_General_03-12-2012_9_3'!M458,"AAAAAHuN/50=")</f>
        <v>#VALUE!</v>
      </c>
      <c r="FC29" t="e">
        <f>AND('Planilla_General_03-12-2012_9_3'!N458,"AAAAAHuN/54=")</f>
        <v>#VALUE!</v>
      </c>
      <c r="FD29" t="e">
        <f>AND('Planilla_General_03-12-2012_9_3'!O458,"AAAAAHuN/58=")</f>
        <v>#VALUE!</v>
      </c>
      <c r="FE29">
        <f>IF('Planilla_General_03-12-2012_9_3'!459:459,"AAAAAHuN/6A=",0)</f>
        <v>0</v>
      </c>
      <c r="FF29" t="e">
        <f>AND('Planilla_General_03-12-2012_9_3'!A459,"AAAAAHuN/6E=")</f>
        <v>#VALUE!</v>
      </c>
      <c r="FG29" t="e">
        <f>AND('Planilla_General_03-12-2012_9_3'!B459,"AAAAAHuN/6I=")</f>
        <v>#VALUE!</v>
      </c>
      <c r="FH29" t="e">
        <f>AND('Planilla_General_03-12-2012_9_3'!C459,"AAAAAHuN/6M=")</f>
        <v>#VALUE!</v>
      </c>
      <c r="FI29" t="e">
        <f>AND('Planilla_General_03-12-2012_9_3'!D459,"AAAAAHuN/6Q=")</f>
        <v>#VALUE!</v>
      </c>
      <c r="FJ29" t="e">
        <f>AND('Planilla_General_03-12-2012_9_3'!E459,"AAAAAHuN/6U=")</f>
        <v>#VALUE!</v>
      </c>
      <c r="FK29" t="e">
        <f>AND('Planilla_General_03-12-2012_9_3'!F459,"AAAAAHuN/6Y=")</f>
        <v>#VALUE!</v>
      </c>
      <c r="FL29" t="e">
        <f>AND('Planilla_General_03-12-2012_9_3'!G459,"AAAAAHuN/6c=")</f>
        <v>#VALUE!</v>
      </c>
      <c r="FM29" t="e">
        <f>AND('Planilla_General_03-12-2012_9_3'!H459,"AAAAAHuN/6g=")</f>
        <v>#VALUE!</v>
      </c>
      <c r="FN29" t="e">
        <f>AND('Planilla_General_03-12-2012_9_3'!I459,"AAAAAHuN/6k=")</f>
        <v>#VALUE!</v>
      </c>
      <c r="FO29" t="e">
        <f>AND('Planilla_General_03-12-2012_9_3'!J459,"AAAAAHuN/6o=")</f>
        <v>#VALUE!</v>
      </c>
      <c r="FP29" t="e">
        <f>AND('Planilla_General_03-12-2012_9_3'!K459,"AAAAAHuN/6s=")</f>
        <v>#VALUE!</v>
      </c>
      <c r="FQ29" t="e">
        <f>AND('Planilla_General_03-12-2012_9_3'!L459,"AAAAAHuN/6w=")</f>
        <v>#VALUE!</v>
      </c>
      <c r="FR29" t="e">
        <f>AND('Planilla_General_03-12-2012_9_3'!M459,"AAAAAHuN/60=")</f>
        <v>#VALUE!</v>
      </c>
      <c r="FS29" t="e">
        <f>AND('Planilla_General_03-12-2012_9_3'!N459,"AAAAAHuN/64=")</f>
        <v>#VALUE!</v>
      </c>
      <c r="FT29" t="e">
        <f>AND('Planilla_General_03-12-2012_9_3'!O459,"AAAAAHuN/68=")</f>
        <v>#VALUE!</v>
      </c>
      <c r="FU29">
        <f>IF('Planilla_General_03-12-2012_9_3'!460:460,"AAAAAHuN/7A=",0)</f>
        <v>0</v>
      </c>
      <c r="FV29" t="e">
        <f>AND('Planilla_General_03-12-2012_9_3'!A460,"AAAAAHuN/7E=")</f>
        <v>#VALUE!</v>
      </c>
      <c r="FW29" t="e">
        <f>AND('Planilla_General_03-12-2012_9_3'!B460,"AAAAAHuN/7I=")</f>
        <v>#VALUE!</v>
      </c>
      <c r="FX29" t="e">
        <f>AND('Planilla_General_03-12-2012_9_3'!C460,"AAAAAHuN/7M=")</f>
        <v>#VALUE!</v>
      </c>
      <c r="FY29" t="e">
        <f>AND('Planilla_General_03-12-2012_9_3'!D460,"AAAAAHuN/7Q=")</f>
        <v>#VALUE!</v>
      </c>
      <c r="FZ29" t="e">
        <f>AND('Planilla_General_03-12-2012_9_3'!E460,"AAAAAHuN/7U=")</f>
        <v>#VALUE!</v>
      </c>
      <c r="GA29" t="e">
        <f>AND('Planilla_General_03-12-2012_9_3'!F460,"AAAAAHuN/7Y=")</f>
        <v>#VALUE!</v>
      </c>
      <c r="GB29" t="e">
        <f>AND('Planilla_General_03-12-2012_9_3'!G460,"AAAAAHuN/7c=")</f>
        <v>#VALUE!</v>
      </c>
      <c r="GC29" t="e">
        <f>AND('Planilla_General_03-12-2012_9_3'!H460,"AAAAAHuN/7g=")</f>
        <v>#VALUE!</v>
      </c>
      <c r="GD29" t="e">
        <f>AND('Planilla_General_03-12-2012_9_3'!I460,"AAAAAHuN/7k=")</f>
        <v>#VALUE!</v>
      </c>
      <c r="GE29" t="e">
        <f>AND('Planilla_General_03-12-2012_9_3'!J460,"AAAAAHuN/7o=")</f>
        <v>#VALUE!</v>
      </c>
      <c r="GF29" t="e">
        <f>AND('Planilla_General_03-12-2012_9_3'!K460,"AAAAAHuN/7s=")</f>
        <v>#VALUE!</v>
      </c>
      <c r="GG29" t="e">
        <f>AND('Planilla_General_03-12-2012_9_3'!L460,"AAAAAHuN/7w=")</f>
        <v>#VALUE!</v>
      </c>
      <c r="GH29" t="e">
        <f>AND('Planilla_General_03-12-2012_9_3'!M460,"AAAAAHuN/70=")</f>
        <v>#VALUE!</v>
      </c>
      <c r="GI29" t="e">
        <f>AND('Planilla_General_03-12-2012_9_3'!N460,"AAAAAHuN/74=")</f>
        <v>#VALUE!</v>
      </c>
      <c r="GJ29" t="e">
        <f>AND('Planilla_General_03-12-2012_9_3'!O460,"AAAAAHuN/78=")</f>
        <v>#VALUE!</v>
      </c>
      <c r="GK29">
        <f>IF('Planilla_General_03-12-2012_9_3'!461:461,"AAAAAHuN/8A=",0)</f>
        <v>0</v>
      </c>
      <c r="GL29" t="e">
        <f>AND('Planilla_General_03-12-2012_9_3'!A461,"AAAAAHuN/8E=")</f>
        <v>#VALUE!</v>
      </c>
      <c r="GM29" t="e">
        <f>AND('Planilla_General_03-12-2012_9_3'!B461,"AAAAAHuN/8I=")</f>
        <v>#VALUE!</v>
      </c>
      <c r="GN29" t="e">
        <f>AND('Planilla_General_03-12-2012_9_3'!C461,"AAAAAHuN/8M=")</f>
        <v>#VALUE!</v>
      </c>
      <c r="GO29" t="e">
        <f>AND('Planilla_General_03-12-2012_9_3'!D461,"AAAAAHuN/8Q=")</f>
        <v>#VALUE!</v>
      </c>
      <c r="GP29" t="e">
        <f>AND('Planilla_General_03-12-2012_9_3'!E461,"AAAAAHuN/8U=")</f>
        <v>#VALUE!</v>
      </c>
      <c r="GQ29" t="e">
        <f>AND('Planilla_General_03-12-2012_9_3'!F461,"AAAAAHuN/8Y=")</f>
        <v>#VALUE!</v>
      </c>
      <c r="GR29" t="e">
        <f>AND('Planilla_General_03-12-2012_9_3'!G461,"AAAAAHuN/8c=")</f>
        <v>#VALUE!</v>
      </c>
      <c r="GS29" t="e">
        <f>AND('Planilla_General_03-12-2012_9_3'!H461,"AAAAAHuN/8g=")</f>
        <v>#VALUE!</v>
      </c>
      <c r="GT29" t="e">
        <f>AND('Planilla_General_03-12-2012_9_3'!I461,"AAAAAHuN/8k=")</f>
        <v>#VALUE!</v>
      </c>
      <c r="GU29" t="e">
        <f>AND('Planilla_General_03-12-2012_9_3'!J461,"AAAAAHuN/8o=")</f>
        <v>#VALUE!</v>
      </c>
      <c r="GV29" t="e">
        <f>AND('Planilla_General_03-12-2012_9_3'!K461,"AAAAAHuN/8s=")</f>
        <v>#VALUE!</v>
      </c>
      <c r="GW29" t="e">
        <f>AND('Planilla_General_03-12-2012_9_3'!L461,"AAAAAHuN/8w=")</f>
        <v>#VALUE!</v>
      </c>
      <c r="GX29" t="e">
        <f>AND('Planilla_General_03-12-2012_9_3'!M461,"AAAAAHuN/80=")</f>
        <v>#VALUE!</v>
      </c>
      <c r="GY29" t="e">
        <f>AND('Planilla_General_03-12-2012_9_3'!N461,"AAAAAHuN/84=")</f>
        <v>#VALUE!</v>
      </c>
      <c r="GZ29" t="e">
        <f>AND('Planilla_General_03-12-2012_9_3'!O461,"AAAAAHuN/88=")</f>
        <v>#VALUE!</v>
      </c>
      <c r="HA29">
        <f>IF('Planilla_General_03-12-2012_9_3'!462:462,"AAAAAHuN/9A=",0)</f>
        <v>0</v>
      </c>
      <c r="HB29" t="e">
        <f>AND('Planilla_General_03-12-2012_9_3'!A462,"AAAAAHuN/9E=")</f>
        <v>#VALUE!</v>
      </c>
      <c r="HC29" t="e">
        <f>AND('Planilla_General_03-12-2012_9_3'!B462,"AAAAAHuN/9I=")</f>
        <v>#VALUE!</v>
      </c>
      <c r="HD29" t="e">
        <f>AND('Planilla_General_03-12-2012_9_3'!C462,"AAAAAHuN/9M=")</f>
        <v>#VALUE!</v>
      </c>
      <c r="HE29" t="e">
        <f>AND('Planilla_General_03-12-2012_9_3'!D462,"AAAAAHuN/9Q=")</f>
        <v>#VALUE!</v>
      </c>
      <c r="HF29" t="e">
        <f>AND('Planilla_General_03-12-2012_9_3'!E462,"AAAAAHuN/9U=")</f>
        <v>#VALUE!</v>
      </c>
      <c r="HG29" t="e">
        <f>AND('Planilla_General_03-12-2012_9_3'!F462,"AAAAAHuN/9Y=")</f>
        <v>#VALUE!</v>
      </c>
      <c r="HH29" t="e">
        <f>AND('Planilla_General_03-12-2012_9_3'!G462,"AAAAAHuN/9c=")</f>
        <v>#VALUE!</v>
      </c>
      <c r="HI29" t="e">
        <f>AND('Planilla_General_03-12-2012_9_3'!H462,"AAAAAHuN/9g=")</f>
        <v>#VALUE!</v>
      </c>
      <c r="HJ29" t="e">
        <f>AND('Planilla_General_03-12-2012_9_3'!I462,"AAAAAHuN/9k=")</f>
        <v>#VALUE!</v>
      </c>
      <c r="HK29" t="e">
        <f>AND('Planilla_General_03-12-2012_9_3'!J462,"AAAAAHuN/9o=")</f>
        <v>#VALUE!</v>
      </c>
      <c r="HL29" t="e">
        <f>AND('Planilla_General_03-12-2012_9_3'!K462,"AAAAAHuN/9s=")</f>
        <v>#VALUE!</v>
      </c>
      <c r="HM29" t="e">
        <f>AND('Planilla_General_03-12-2012_9_3'!L462,"AAAAAHuN/9w=")</f>
        <v>#VALUE!</v>
      </c>
      <c r="HN29" t="e">
        <f>AND('Planilla_General_03-12-2012_9_3'!M462,"AAAAAHuN/90=")</f>
        <v>#VALUE!</v>
      </c>
      <c r="HO29" t="e">
        <f>AND('Planilla_General_03-12-2012_9_3'!N462,"AAAAAHuN/94=")</f>
        <v>#VALUE!</v>
      </c>
      <c r="HP29" t="e">
        <f>AND('Planilla_General_03-12-2012_9_3'!O462,"AAAAAHuN/98=")</f>
        <v>#VALUE!</v>
      </c>
      <c r="HQ29">
        <f>IF('Planilla_General_03-12-2012_9_3'!463:463,"AAAAAHuN/+A=",0)</f>
        <v>0</v>
      </c>
      <c r="HR29" t="e">
        <f>AND('Planilla_General_03-12-2012_9_3'!A463,"AAAAAHuN/+E=")</f>
        <v>#VALUE!</v>
      </c>
      <c r="HS29" t="e">
        <f>AND('Planilla_General_03-12-2012_9_3'!B463,"AAAAAHuN/+I=")</f>
        <v>#VALUE!</v>
      </c>
      <c r="HT29" t="e">
        <f>AND('Planilla_General_03-12-2012_9_3'!C463,"AAAAAHuN/+M=")</f>
        <v>#VALUE!</v>
      </c>
      <c r="HU29" t="e">
        <f>AND('Planilla_General_03-12-2012_9_3'!D463,"AAAAAHuN/+Q=")</f>
        <v>#VALUE!</v>
      </c>
      <c r="HV29" t="e">
        <f>AND('Planilla_General_03-12-2012_9_3'!E463,"AAAAAHuN/+U=")</f>
        <v>#VALUE!</v>
      </c>
      <c r="HW29" t="e">
        <f>AND('Planilla_General_03-12-2012_9_3'!F463,"AAAAAHuN/+Y=")</f>
        <v>#VALUE!</v>
      </c>
      <c r="HX29" t="e">
        <f>AND('Planilla_General_03-12-2012_9_3'!G463,"AAAAAHuN/+c=")</f>
        <v>#VALUE!</v>
      </c>
      <c r="HY29" t="e">
        <f>AND('Planilla_General_03-12-2012_9_3'!H463,"AAAAAHuN/+g=")</f>
        <v>#VALUE!</v>
      </c>
      <c r="HZ29" t="e">
        <f>AND('Planilla_General_03-12-2012_9_3'!I463,"AAAAAHuN/+k=")</f>
        <v>#VALUE!</v>
      </c>
      <c r="IA29" t="e">
        <f>AND('Planilla_General_03-12-2012_9_3'!J463,"AAAAAHuN/+o=")</f>
        <v>#VALUE!</v>
      </c>
      <c r="IB29" t="e">
        <f>AND('Planilla_General_03-12-2012_9_3'!K463,"AAAAAHuN/+s=")</f>
        <v>#VALUE!</v>
      </c>
      <c r="IC29" t="e">
        <f>AND('Planilla_General_03-12-2012_9_3'!L463,"AAAAAHuN/+w=")</f>
        <v>#VALUE!</v>
      </c>
      <c r="ID29" t="e">
        <f>AND('Planilla_General_03-12-2012_9_3'!M463,"AAAAAHuN/+0=")</f>
        <v>#VALUE!</v>
      </c>
      <c r="IE29" t="e">
        <f>AND('Planilla_General_03-12-2012_9_3'!N463,"AAAAAHuN/+4=")</f>
        <v>#VALUE!</v>
      </c>
      <c r="IF29" t="e">
        <f>AND('Planilla_General_03-12-2012_9_3'!O463,"AAAAAHuN/+8=")</f>
        <v>#VALUE!</v>
      </c>
      <c r="IG29">
        <f>IF('Planilla_General_03-12-2012_9_3'!464:464,"AAAAAHuN//A=",0)</f>
        <v>0</v>
      </c>
      <c r="IH29" t="e">
        <f>AND('Planilla_General_03-12-2012_9_3'!A464,"AAAAAHuN//E=")</f>
        <v>#VALUE!</v>
      </c>
      <c r="II29" t="e">
        <f>AND('Planilla_General_03-12-2012_9_3'!B464,"AAAAAHuN//I=")</f>
        <v>#VALUE!</v>
      </c>
      <c r="IJ29" t="e">
        <f>AND('Planilla_General_03-12-2012_9_3'!C464,"AAAAAHuN//M=")</f>
        <v>#VALUE!</v>
      </c>
      <c r="IK29" t="e">
        <f>AND('Planilla_General_03-12-2012_9_3'!D464,"AAAAAHuN//Q=")</f>
        <v>#VALUE!</v>
      </c>
      <c r="IL29" t="e">
        <f>AND('Planilla_General_03-12-2012_9_3'!E464,"AAAAAHuN//U=")</f>
        <v>#VALUE!</v>
      </c>
      <c r="IM29" t="e">
        <f>AND('Planilla_General_03-12-2012_9_3'!F464,"AAAAAHuN//Y=")</f>
        <v>#VALUE!</v>
      </c>
      <c r="IN29" t="e">
        <f>AND('Planilla_General_03-12-2012_9_3'!G464,"AAAAAHuN//c=")</f>
        <v>#VALUE!</v>
      </c>
      <c r="IO29" t="e">
        <f>AND('Planilla_General_03-12-2012_9_3'!H464,"AAAAAHuN//g=")</f>
        <v>#VALUE!</v>
      </c>
      <c r="IP29" t="e">
        <f>AND('Planilla_General_03-12-2012_9_3'!I464,"AAAAAHuN//k=")</f>
        <v>#VALUE!</v>
      </c>
      <c r="IQ29" t="e">
        <f>AND('Planilla_General_03-12-2012_9_3'!J464,"AAAAAHuN//o=")</f>
        <v>#VALUE!</v>
      </c>
      <c r="IR29" t="e">
        <f>AND('Planilla_General_03-12-2012_9_3'!K464,"AAAAAHuN//s=")</f>
        <v>#VALUE!</v>
      </c>
      <c r="IS29" t="e">
        <f>AND('Planilla_General_03-12-2012_9_3'!L464,"AAAAAHuN//w=")</f>
        <v>#VALUE!</v>
      </c>
      <c r="IT29" t="e">
        <f>AND('Planilla_General_03-12-2012_9_3'!M464,"AAAAAHuN//0=")</f>
        <v>#VALUE!</v>
      </c>
      <c r="IU29" t="e">
        <f>AND('Planilla_General_03-12-2012_9_3'!N464,"AAAAAHuN//4=")</f>
        <v>#VALUE!</v>
      </c>
      <c r="IV29" t="e">
        <f>AND('Planilla_General_03-12-2012_9_3'!O464,"AAAAAHuN//8=")</f>
        <v>#VALUE!</v>
      </c>
    </row>
    <row r="30" spans="1:256" x14ac:dyDescent="0.25">
      <c r="A30" t="e">
        <f>IF('Planilla_General_03-12-2012_9_3'!465:465,"AAAAAG39vQA=",0)</f>
        <v>#VALUE!</v>
      </c>
      <c r="B30" t="e">
        <f>AND('Planilla_General_03-12-2012_9_3'!A465,"AAAAAG39vQE=")</f>
        <v>#VALUE!</v>
      </c>
      <c r="C30" t="e">
        <f>AND('Planilla_General_03-12-2012_9_3'!B465,"AAAAAG39vQI=")</f>
        <v>#VALUE!</v>
      </c>
      <c r="D30" t="e">
        <f>AND('Planilla_General_03-12-2012_9_3'!C465,"AAAAAG39vQM=")</f>
        <v>#VALUE!</v>
      </c>
      <c r="E30" t="e">
        <f>AND('Planilla_General_03-12-2012_9_3'!D465,"AAAAAG39vQQ=")</f>
        <v>#VALUE!</v>
      </c>
      <c r="F30" t="e">
        <f>AND('Planilla_General_03-12-2012_9_3'!E465,"AAAAAG39vQU=")</f>
        <v>#VALUE!</v>
      </c>
      <c r="G30" t="e">
        <f>AND('Planilla_General_03-12-2012_9_3'!F465,"AAAAAG39vQY=")</f>
        <v>#VALUE!</v>
      </c>
      <c r="H30" t="e">
        <f>AND('Planilla_General_03-12-2012_9_3'!G465,"AAAAAG39vQc=")</f>
        <v>#VALUE!</v>
      </c>
      <c r="I30" t="e">
        <f>AND('Planilla_General_03-12-2012_9_3'!H465,"AAAAAG39vQg=")</f>
        <v>#VALUE!</v>
      </c>
      <c r="J30" t="e">
        <f>AND('Planilla_General_03-12-2012_9_3'!I465,"AAAAAG39vQk=")</f>
        <v>#VALUE!</v>
      </c>
      <c r="K30" t="e">
        <f>AND('Planilla_General_03-12-2012_9_3'!J465,"AAAAAG39vQo=")</f>
        <v>#VALUE!</v>
      </c>
      <c r="L30" t="e">
        <f>AND('Planilla_General_03-12-2012_9_3'!K465,"AAAAAG39vQs=")</f>
        <v>#VALUE!</v>
      </c>
      <c r="M30" t="e">
        <f>AND('Planilla_General_03-12-2012_9_3'!L465,"AAAAAG39vQw=")</f>
        <v>#VALUE!</v>
      </c>
      <c r="N30" t="e">
        <f>AND('Planilla_General_03-12-2012_9_3'!M465,"AAAAAG39vQ0=")</f>
        <v>#VALUE!</v>
      </c>
      <c r="O30" t="e">
        <f>AND('Planilla_General_03-12-2012_9_3'!N465,"AAAAAG39vQ4=")</f>
        <v>#VALUE!</v>
      </c>
      <c r="P30" t="e">
        <f>AND('Planilla_General_03-12-2012_9_3'!O465,"AAAAAG39vQ8=")</f>
        <v>#VALUE!</v>
      </c>
      <c r="Q30">
        <f>IF('Planilla_General_03-12-2012_9_3'!466:466,"AAAAAG39vRA=",0)</f>
        <v>0</v>
      </c>
      <c r="R30" t="e">
        <f>AND('Planilla_General_03-12-2012_9_3'!A466,"AAAAAG39vRE=")</f>
        <v>#VALUE!</v>
      </c>
      <c r="S30" t="e">
        <f>AND('Planilla_General_03-12-2012_9_3'!B466,"AAAAAG39vRI=")</f>
        <v>#VALUE!</v>
      </c>
      <c r="T30" t="e">
        <f>AND('Planilla_General_03-12-2012_9_3'!C466,"AAAAAG39vRM=")</f>
        <v>#VALUE!</v>
      </c>
      <c r="U30" t="e">
        <f>AND('Planilla_General_03-12-2012_9_3'!D466,"AAAAAG39vRQ=")</f>
        <v>#VALUE!</v>
      </c>
      <c r="V30" t="e">
        <f>AND('Planilla_General_03-12-2012_9_3'!E466,"AAAAAG39vRU=")</f>
        <v>#VALUE!</v>
      </c>
      <c r="W30" t="e">
        <f>AND('Planilla_General_03-12-2012_9_3'!F466,"AAAAAG39vRY=")</f>
        <v>#VALUE!</v>
      </c>
      <c r="X30" t="e">
        <f>AND('Planilla_General_03-12-2012_9_3'!G466,"AAAAAG39vRc=")</f>
        <v>#VALUE!</v>
      </c>
      <c r="Y30" t="e">
        <f>AND('Planilla_General_03-12-2012_9_3'!H466,"AAAAAG39vRg=")</f>
        <v>#VALUE!</v>
      </c>
      <c r="Z30" t="e">
        <f>AND('Planilla_General_03-12-2012_9_3'!I466,"AAAAAG39vRk=")</f>
        <v>#VALUE!</v>
      </c>
      <c r="AA30" t="e">
        <f>AND('Planilla_General_03-12-2012_9_3'!J466,"AAAAAG39vRo=")</f>
        <v>#VALUE!</v>
      </c>
      <c r="AB30" t="e">
        <f>AND('Planilla_General_03-12-2012_9_3'!K466,"AAAAAG39vRs=")</f>
        <v>#VALUE!</v>
      </c>
      <c r="AC30" t="e">
        <f>AND('Planilla_General_03-12-2012_9_3'!L466,"AAAAAG39vRw=")</f>
        <v>#VALUE!</v>
      </c>
      <c r="AD30" t="e">
        <f>AND('Planilla_General_03-12-2012_9_3'!M466,"AAAAAG39vR0=")</f>
        <v>#VALUE!</v>
      </c>
      <c r="AE30" t="e">
        <f>AND('Planilla_General_03-12-2012_9_3'!N466,"AAAAAG39vR4=")</f>
        <v>#VALUE!</v>
      </c>
      <c r="AF30" t="e">
        <f>AND('Planilla_General_03-12-2012_9_3'!O466,"AAAAAG39vR8=")</f>
        <v>#VALUE!</v>
      </c>
      <c r="AG30">
        <f>IF('Planilla_General_03-12-2012_9_3'!467:467,"AAAAAG39vSA=",0)</f>
        <v>0</v>
      </c>
      <c r="AH30" t="e">
        <f>AND('Planilla_General_03-12-2012_9_3'!A467,"AAAAAG39vSE=")</f>
        <v>#VALUE!</v>
      </c>
      <c r="AI30" t="e">
        <f>AND('Planilla_General_03-12-2012_9_3'!B467,"AAAAAG39vSI=")</f>
        <v>#VALUE!</v>
      </c>
      <c r="AJ30" t="e">
        <f>AND('Planilla_General_03-12-2012_9_3'!C467,"AAAAAG39vSM=")</f>
        <v>#VALUE!</v>
      </c>
      <c r="AK30" t="e">
        <f>AND('Planilla_General_03-12-2012_9_3'!D467,"AAAAAG39vSQ=")</f>
        <v>#VALUE!</v>
      </c>
      <c r="AL30" t="e">
        <f>AND('Planilla_General_03-12-2012_9_3'!E467,"AAAAAG39vSU=")</f>
        <v>#VALUE!</v>
      </c>
      <c r="AM30" t="e">
        <f>AND('Planilla_General_03-12-2012_9_3'!F467,"AAAAAG39vSY=")</f>
        <v>#VALUE!</v>
      </c>
      <c r="AN30" t="e">
        <f>AND('Planilla_General_03-12-2012_9_3'!G467,"AAAAAG39vSc=")</f>
        <v>#VALUE!</v>
      </c>
      <c r="AO30" t="e">
        <f>AND('Planilla_General_03-12-2012_9_3'!H467,"AAAAAG39vSg=")</f>
        <v>#VALUE!</v>
      </c>
      <c r="AP30" t="e">
        <f>AND('Planilla_General_03-12-2012_9_3'!I467,"AAAAAG39vSk=")</f>
        <v>#VALUE!</v>
      </c>
      <c r="AQ30" t="e">
        <f>AND('Planilla_General_03-12-2012_9_3'!J467,"AAAAAG39vSo=")</f>
        <v>#VALUE!</v>
      </c>
      <c r="AR30" t="e">
        <f>AND('Planilla_General_03-12-2012_9_3'!K467,"AAAAAG39vSs=")</f>
        <v>#VALUE!</v>
      </c>
      <c r="AS30" t="e">
        <f>AND('Planilla_General_03-12-2012_9_3'!L467,"AAAAAG39vSw=")</f>
        <v>#VALUE!</v>
      </c>
      <c r="AT30" t="e">
        <f>AND('Planilla_General_03-12-2012_9_3'!M467,"AAAAAG39vS0=")</f>
        <v>#VALUE!</v>
      </c>
      <c r="AU30" t="e">
        <f>AND('Planilla_General_03-12-2012_9_3'!N467,"AAAAAG39vS4=")</f>
        <v>#VALUE!</v>
      </c>
      <c r="AV30" t="e">
        <f>AND('Planilla_General_03-12-2012_9_3'!O467,"AAAAAG39vS8=")</f>
        <v>#VALUE!</v>
      </c>
      <c r="AW30">
        <f>IF('Planilla_General_03-12-2012_9_3'!468:468,"AAAAAG39vTA=",0)</f>
        <v>0</v>
      </c>
      <c r="AX30" t="e">
        <f>AND('Planilla_General_03-12-2012_9_3'!A468,"AAAAAG39vTE=")</f>
        <v>#VALUE!</v>
      </c>
      <c r="AY30" t="e">
        <f>AND('Planilla_General_03-12-2012_9_3'!B468,"AAAAAG39vTI=")</f>
        <v>#VALUE!</v>
      </c>
      <c r="AZ30" t="e">
        <f>AND('Planilla_General_03-12-2012_9_3'!C468,"AAAAAG39vTM=")</f>
        <v>#VALUE!</v>
      </c>
      <c r="BA30" t="e">
        <f>AND('Planilla_General_03-12-2012_9_3'!D468,"AAAAAG39vTQ=")</f>
        <v>#VALUE!</v>
      </c>
      <c r="BB30" t="e">
        <f>AND('Planilla_General_03-12-2012_9_3'!E468,"AAAAAG39vTU=")</f>
        <v>#VALUE!</v>
      </c>
      <c r="BC30" t="e">
        <f>AND('Planilla_General_03-12-2012_9_3'!F468,"AAAAAG39vTY=")</f>
        <v>#VALUE!</v>
      </c>
      <c r="BD30" t="e">
        <f>AND('Planilla_General_03-12-2012_9_3'!G468,"AAAAAG39vTc=")</f>
        <v>#VALUE!</v>
      </c>
      <c r="BE30" t="e">
        <f>AND('Planilla_General_03-12-2012_9_3'!H468,"AAAAAG39vTg=")</f>
        <v>#VALUE!</v>
      </c>
      <c r="BF30" t="e">
        <f>AND('Planilla_General_03-12-2012_9_3'!I468,"AAAAAG39vTk=")</f>
        <v>#VALUE!</v>
      </c>
      <c r="BG30" t="e">
        <f>AND('Planilla_General_03-12-2012_9_3'!J468,"AAAAAG39vTo=")</f>
        <v>#VALUE!</v>
      </c>
      <c r="BH30" t="e">
        <f>AND('Planilla_General_03-12-2012_9_3'!K468,"AAAAAG39vTs=")</f>
        <v>#VALUE!</v>
      </c>
      <c r="BI30" t="e">
        <f>AND('Planilla_General_03-12-2012_9_3'!L468,"AAAAAG39vTw=")</f>
        <v>#VALUE!</v>
      </c>
      <c r="BJ30" t="e">
        <f>AND('Planilla_General_03-12-2012_9_3'!M468,"AAAAAG39vT0=")</f>
        <v>#VALUE!</v>
      </c>
      <c r="BK30" t="e">
        <f>AND('Planilla_General_03-12-2012_9_3'!N468,"AAAAAG39vT4=")</f>
        <v>#VALUE!</v>
      </c>
      <c r="BL30" t="e">
        <f>AND('Planilla_General_03-12-2012_9_3'!O468,"AAAAAG39vT8=")</f>
        <v>#VALUE!</v>
      </c>
      <c r="BM30">
        <f>IF('Planilla_General_03-12-2012_9_3'!469:469,"AAAAAG39vUA=",0)</f>
        <v>0</v>
      </c>
      <c r="BN30" t="e">
        <f>AND('Planilla_General_03-12-2012_9_3'!A469,"AAAAAG39vUE=")</f>
        <v>#VALUE!</v>
      </c>
      <c r="BO30" t="e">
        <f>AND('Planilla_General_03-12-2012_9_3'!B469,"AAAAAG39vUI=")</f>
        <v>#VALUE!</v>
      </c>
      <c r="BP30" t="e">
        <f>AND('Planilla_General_03-12-2012_9_3'!C469,"AAAAAG39vUM=")</f>
        <v>#VALUE!</v>
      </c>
      <c r="BQ30" t="e">
        <f>AND('Planilla_General_03-12-2012_9_3'!D469,"AAAAAG39vUQ=")</f>
        <v>#VALUE!</v>
      </c>
      <c r="BR30" t="e">
        <f>AND('Planilla_General_03-12-2012_9_3'!E469,"AAAAAG39vUU=")</f>
        <v>#VALUE!</v>
      </c>
      <c r="BS30" t="e">
        <f>AND('Planilla_General_03-12-2012_9_3'!F469,"AAAAAG39vUY=")</f>
        <v>#VALUE!</v>
      </c>
      <c r="BT30" t="e">
        <f>AND('Planilla_General_03-12-2012_9_3'!G469,"AAAAAG39vUc=")</f>
        <v>#VALUE!</v>
      </c>
      <c r="BU30" t="e">
        <f>AND('Planilla_General_03-12-2012_9_3'!H469,"AAAAAG39vUg=")</f>
        <v>#VALUE!</v>
      </c>
      <c r="BV30" t="e">
        <f>AND('Planilla_General_03-12-2012_9_3'!I469,"AAAAAG39vUk=")</f>
        <v>#VALUE!</v>
      </c>
      <c r="BW30" t="e">
        <f>AND('Planilla_General_03-12-2012_9_3'!J469,"AAAAAG39vUo=")</f>
        <v>#VALUE!</v>
      </c>
      <c r="BX30" t="e">
        <f>AND('Planilla_General_03-12-2012_9_3'!K469,"AAAAAG39vUs=")</f>
        <v>#VALUE!</v>
      </c>
      <c r="BY30" t="e">
        <f>AND('Planilla_General_03-12-2012_9_3'!L469,"AAAAAG39vUw=")</f>
        <v>#VALUE!</v>
      </c>
      <c r="BZ30" t="e">
        <f>AND('Planilla_General_03-12-2012_9_3'!M469,"AAAAAG39vU0=")</f>
        <v>#VALUE!</v>
      </c>
      <c r="CA30" t="e">
        <f>AND('Planilla_General_03-12-2012_9_3'!N469,"AAAAAG39vU4=")</f>
        <v>#VALUE!</v>
      </c>
      <c r="CB30" t="e">
        <f>AND('Planilla_General_03-12-2012_9_3'!O469,"AAAAAG39vU8=")</f>
        <v>#VALUE!</v>
      </c>
      <c r="CC30">
        <f>IF('Planilla_General_03-12-2012_9_3'!470:470,"AAAAAG39vVA=",0)</f>
        <v>0</v>
      </c>
      <c r="CD30" t="e">
        <f>AND('Planilla_General_03-12-2012_9_3'!A470,"AAAAAG39vVE=")</f>
        <v>#VALUE!</v>
      </c>
      <c r="CE30" t="e">
        <f>AND('Planilla_General_03-12-2012_9_3'!B470,"AAAAAG39vVI=")</f>
        <v>#VALUE!</v>
      </c>
      <c r="CF30" t="e">
        <f>AND('Planilla_General_03-12-2012_9_3'!C470,"AAAAAG39vVM=")</f>
        <v>#VALUE!</v>
      </c>
      <c r="CG30" t="e">
        <f>AND('Planilla_General_03-12-2012_9_3'!D470,"AAAAAG39vVQ=")</f>
        <v>#VALUE!</v>
      </c>
      <c r="CH30" t="e">
        <f>AND('Planilla_General_03-12-2012_9_3'!E470,"AAAAAG39vVU=")</f>
        <v>#VALUE!</v>
      </c>
      <c r="CI30" t="e">
        <f>AND('Planilla_General_03-12-2012_9_3'!F470,"AAAAAG39vVY=")</f>
        <v>#VALUE!</v>
      </c>
      <c r="CJ30" t="e">
        <f>AND('Planilla_General_03-12-2012_9_3'!G470,"AAAAAG39vVc=")</f>
        <v>#VALUE!</v>
      </c>
      <c r="CK30" t="e">
        <f>AND('Planilla_General_03-12-2012_9_3'!H470,"AAAAAG39vVg=")</f>
        <v>#VALUE!</v>
      </c>
      <c r="CL30" t="e">
        <f>AND('Planilla_General_03-12-2012_9_3'!I470,"AAAAAG39vVk=")</f>
        <v>#VALUE!</v>
      </c>
      <c r="CM30" t="e">
        <f>AND('Planilla_General_03-12-2012_9_3'!J470,"AAAAAG39vVo=")</f>
        <v>#VALUE!</v>
      </c>
      <c r="CN30" t="e">
        <f>AND('Planilla_General_03-12-2012_9_3'!K470,"AAAAAG39vVs=")</f>
        <v>#VALUE!</v>
      </c>
      <c r="CO30" t="e">
        <f>AND('Planilla_General_03-12-2012_9_3'!L470,"AAAAAG39vVw=")</f>
        <v>#VALUE!</v>
      </c>
      <c r="CP30" t="e">
        <f>AND('Planilla_General_03-12-2012_9_3'!M470,"AAAAAG39vV0=")</f>
        <v>#VALUE!</v>
      </c>
      <c r="CQ30" t="e">
        <f>AND('Planilla_General_03-12-2012_9_3'!N470,"AAAAAG39vV4=")</f>
        <v>#VALUE!</v>
      </c>
      <c r="CR30" t="e">
        <f>AND('Planilla_General_03-12-2012_9_3'!O470,"AAAAAG39vV8=")</f>
        <v>#VALUE!</v>
      </c>
      <c r="CS30">
        <f>IF('Planilla_General_03-12-2012_9_3'!471:471,"AAAAAG39vWA=",0)</f>
        <v>0</v>
      </c>
      <c r="CT30" t="e">
        <f>AND('Planilla_General_03-12-2012_9_3'!A471,"AAAAAG39vWE=")</f>
        <v>#VALUE!</v>
      </c>
      <c r="CU30" t="e">
        <f>AND('Planilla_General_03-12-2012_9_3'!B471,"AAAAAG39vWI=")</f>
        <v>#VALUE!</v>
      </c>
      <c r="CV30" t="e">
        <f>AND('Planilla_General_03-12-2012_9_3'!C471,"AAAAAG39vWM=")</f>
        <v>#VALUE!</v>
      </c>
      <c r="CW30" t="e">
        <f>AND('Planilla_General_03-12-2012_9_3'!D471,"AAAAAG39vWQ=")</f>
        <v>#VALUE!</v>
      </c>
      <c r="CX30" t="e">
        <f>AND('Planilla_General_03-12-2012_9_3'!E471,"AAAAAG39vWU=")</f>
        <v>#VALUE!</v>
      </c>
      <c r="CY30" t="e">
        <f>AND('Planilla_General_03-12-2012_9_3'!F471,"AAAAAG39vWY=")</f>
        <v>#VALUE!</v>
      </c>
      <c r="CZ30" t="e">
        <f>AND('Planilla_General_03-12-2012_9_3'!G471,"AAAAAG39vWc=")</f>
        <v>#VALUE!</v>
      </c>
      <c r="DA30" t="e">
        <f>AND('Planilla_General_03-12-2012_9_3'!H471,"AAAAAG39vWg=")</f>
        <v>#VALUE!</v>
      </c>
      <c r="DB30" t="e">
        <f>AND('Planilla_General_03-12-2012_9_3'!I471,"AAAAAG39vWk=")</f>
        <v>#VALUE!</v>
      </c>
      <c r="DC30" t="e">
        <f>AND('Planilla_General_03-12-2012_9_3'!J471,"AAAAAG39vWo=")</f>
        <v>#VALUE!</v>
      </c>
      <c r="DD30" t="e">
        <f>AND('Planilla_General_03-12-2012_9_3'!K471,"AAAAAG39vWs=")</f>
        <v>#VALUE!</v>
      </c>
      <c r="DE30" t="e">
        <f>AND('Planilla_General_03-12-2012_9_3'!L471,"AAAAAG39vWw=")</f>
        <v>#VALUE!</v>
      </c>
      <c r="DF30" t="e">
        <f>AND('Planilla_General_03-12-2012_9_3'!M471,"AAAAAG39vW0=")</f>
        <v>#VALUE!</v>
      </c>
      <c r="DG30" t="e">
        <f>AND('Planilla_General_03-12-2012_9_3'!N471,"AAAAAG39vW4=")</f>
        <v>#VALUE!</v>
      </c>
      <c r="DH30" t="e">
        <f>AND('Planilla_General_03-12-2012_9_3'!O471,"AAAAAG39vW8=")</f>
        <v>#VALUE!</v>
      </c>
      <c r="DI30">
        <f>IF('Planilla_General_03-12-2012_9_3'!472:472,"AAAAAG39vXA=",0)</f>
        <v>0</v>
      </c>
      <c r="DJ30" t="e">
        <f>AND('Planilla_General_03-12-2012_9_3'!A472,"AAAAAG39vXE=")</f>
        <v>#VALUE!</v>
      </c>
      <c r="DK30" t="e">
        <f>AND('Planilla_General_03-12-2012_9_3'!B472,"AAAAAG39vXI=")</f>
        <v>#VALUE!</v>
      </c>
      <c r="DL30" t="e">
        <f>AND('Planilla_General_03-12-2012_9_3'!C472,"AAAAAG39vXM=")</f>
        <v>#VALUE!</v>
      </c>
      <c r="DM30" t="e">
        <f>AND('Planilla_General_03-12-2012_9_3'!D472,"AAAAAG39vXQ=")</f>
        <v>#VALUE!</v>
      </c>
      <c r="DN30" t="e">
        <f>AND('Planilla_General_03-12-2012_9_3'!E472,"AAAAAG39vXU=")</f>
        <v>#VALUE!</v>
      </c>
      <c r="DO30" t="e">
        <f>AND('Planilla_General_03-12-2012_9_3'!F472,"AAAAAG39vXY=")</f>
        <v>#VALUE!</v>
      </c>
      <c r="DP30" t="e">
        <f>AND('Planilla_General_03-12-2012_9_3'!G472,"AAAAAG39vXc=")</f>
        <v>#VALUE!</v>
      </c>
      <c r="DQ30" t="e">
        <f>AND('Planilla_General_03-12-2012_9_3'!H472,"AAAAAG39vXg=")</f>
        <v>#VALUE!</v>
      </c>
      <c r="DR30" t="e">
        <f>AND('Planilla_General_03-12-2012_9_3'!I472,"AAAAAG39vXk=")</f>
        <v>#VALUE!</v>
      </c>
      <c r="DS30" t="e">
        <f>AND('Planilla_General_03-12-2012_9_3'!J472,"AAAAAG39vXo=")</f>
        <v>#VALUE!</v>
      </c>
      <c r="DT30" t="e">
        <f>AND('Planilla_General_03-12-2012_9_3'!K472,"AAAAAG39vXs=")</f>
        <v>#VALUE!</v>
      </c>
      <c r="DU30" t="e">
        <f>AND('Planilla_General_03-12-2012_9_3'!L472,"AAAAAG39vXw=")</f>
        <v>#VALUE!</v>
      </c>
      <c r="DV30" t="e">
        <f>AND('Planilla_General_03-12-2012_9_3'!M472,"AAAAAG39vX0=")</f>
        <v>#VALUE!</v>
      </c>
      <c r="DW30" t="e">
        <f>AND('Planilla_General_03-12-2012_9_3'!N472,"AAAAAG39vX4=")</f>
        <v>#VALUE!</v>
      </c>
      <c r="DX30" t="e">
        <f>AND('Planilla_General_03-12-2012_9_3'!O472,"AAAAAG39vX8=")</f>
        <v>#VALUE!</v>
      </c>
      <c r="DY30">
        <f>IF('Planilla_General_03-12-2012_9_3'!473:473,"AAAAAG39vYA=",0)</f>
        <v>0</v>
      </c>
      <c r="DZ30" t="e">
        <f>AND('Planilla_General_03-12-2012_9_3'!A473,"AAAAAG39vYE=")</f>
        <v>#VALUE!</v>
      </c>
      <c r="EA30" t="e">
        <f>AND('Planilla_General_03-12-2012_9_3'!B473,"AAAAAG39vYI=")</f>
        <v>#VALUE!</v>
      </c>
      <c r="EB30" t="e">
        <f>AND('Planilla_General_03-12-2012_9_3'!C473,"AAAAAG39vYM=")</f>
        <v>#VALUE!</v>
      </c>
      <c r="EC30" t="e">
        <f>AND('Planilla_General_03-12-2012_9_3'!D473,"AAAAAG39vYQ=")</f>
        <v>#VALUE!</v>
      </c>
      <c r="ED30" t="e">
        <f>AND('Planilla_General_03-12-2012_9_3'!E473,"AAAAAG39vYU=")</f>
        <v>#VALUE!</v>
      </c>
      <c r="EE30" t="e">
        <f>AND('Planilla_General_03-12-2012_9_3'!F473,"AAAAAG39vYY=")</f>
        <v>#VALUE!</v>
      </c>
      <c r="EF30" t="e">
        <f>AND('Planilla_General_03-12-2012_9_3'!G473,"AAAAAG39vYc=")</f>
        <v>#VALUE!</v>
      </c>
      <c r="EG30" t="e">
        <f>AND('Planilla_General_03-12-2012_9_3'!H473,"AAAAAG39vYg=")</f>
        <v>#VALUE!</v>
      </c>
      <c r="EH30" t="e">
        <f>AND('Planilla_General_03-12-2012_9_3'!I473,"AAAAAG39vYk=")</f>
        <v>#VALUE!</v>
      </c>
      <c r="EI30" t="e">
        <f>AND('Planilla_General_03-12-2012_9_3'!J473,"AAAAAG39vYo=")</f>
        <v>#VALUE!</v>
      </c>
      <c r="EJ30" t="e">
        <f>AND('Planilla_General_03-12-2012_9_3'!K473,"AAAAAG39vYs=")</f>
        <v>#VALUE!</v>
      </c>
      <c r="EK30" t="e">
        <f>AND('Planilla_General_03-12-2012_9_3'!L473,"AAAAAG39vYw=")</f>
        <v>#VALUE!</v>
      </c>
      <c r="EL30" t="e">
        <f>AND('Planilla_General_03-12-2012_9_3'!M473,"AAAAAG39vY0=")</f>
        <v>#VALUE!</v>
      </c>
      <c r="EM30" t="e">
        <f>AND('Planilla_General_03-12-2012_9_3'!N473,"AAAAAG39vY4=")</f>
        <v>#VALUE!</v>
      </c>
      <c r="EN30" t="e">
        <f>AND('Planilla_General_03-12-2012_9_3'!O473,"AAAAAG39vY8=")</f>
        <v>#VALUE!</v>
      </c>
      <c r="EO30">
        <f>IF('Planilla_General_03-12-2012_9_3'!474:474,"AAAAAG39vZA=",0)</f>
        <v>0</v>
      </c>
      <c r="EP30" t="e">
        <f>AND('Planilla_General_03-12-2012_9_3'!A474,"AAAAAG39vZE=")</f>
        <v>#VALUE!</v>
      </c>
      <c r="EQ30" t="e">
        <f>AND('Planilla_General_03-12-2012_9_3'!B474,"AAAAAG39vZI=")</f>
        <v>#VALUE!</v>
      </c>
      <c r="ER30" t="e">
        <f>AND('Planilla_General_03-12-2012_9_3'!C474,"AAAAAG39vZM=")</f>
        <v>#VALUE!</v>
      </c>
      <c r="ES30" t="e">
        <f>AND('Planilla_General_03-12-2012_9_3'!D474,"AAAAAG39vZQ=")</f>
        <v>#VALUE!</v>
      </c>
      <c r="ET30" t="e">
        <f>AND('Planilla_General_03-12-2012_9_3'!E474,"AAAAAG39vZU=")</f>
        <v>#VALUE!</v>
      </c>
      <c r="EU30" t="e">
        <f>AND('Planilla_General_03-12-2012_9_3'!F474,"AAAAAG39vZY=")</f>
        <v>#VALUE!</v>
      </c>
      <c r="EV30" t="e">
        <f>AND('Planilla_General_03-12-2012_9_3'!G474,"AAAAAG39vZc=")</f>
        <v>#VALUE!</v>
      </c>
      <c r="EW30" t="e">
        <f>AND('Planilla_General_03-12-2012_9_3'!H474,"AAAAAG39vZg=")</f>
        <v>#VALUE!</v>
      </c>
      <c r="EX30" t="e">
        <f>AND('Planilla_General_03-12-2012_9_3'!I474,"AAAAAG39vZk=")</f>
        <v>#VALUE!</v>
      </c>
      <c r="EY30" t="e">
        <f>AND('Planilla_General_03-12-2012_9_3'!J474,"AAAAAG39vZo=")</f>
        <v>#VALUE!</v>
      </c>
      <c r="EZ30" t="e">
        <f>AND('Planilla_General_03-12-2012_9_3'!K474,"AAAAAG39vZs=")</f>
        <v>#VALUE!</v>
      </c>
      <c r="FA30" t="e">
        <f>AND('Planilla_General_03-12-2012_9_3'!L474,"AAAAAG39vZw=")</f>
        <v>#VALUE!</v>
      </c>
      <c r="FB30" t="e">
        <f>AND('Planilla_General_03-12-2012_9_3'!M474,"AAAAAG39vZ0=")</f>
        <v>#VALUE!</v>
      </c>
      <c r="FC30" t="e">
        <f>AND('Planilla_General_03-12-2012_9_3'!N474,"AAAAAG39vZ4=")</f>
        <v>#VALUE!</v>
      </c>
      <c r="FD30" t="e">
        <f>AND('Planilla_General_03-12-2012_9_3'!O474,"AAAAAG39vZ8=")</f>
        <v>#VALUE!</v>
      </c>
      <c r="FE30">
        <f>IF('Planilla_General_03-12-2012_9_3'!475:475,"AAAAAG39vaA=",0)</f>
        <v>0</v>
      </c>
      <c r="FF30" t="e">
        <f>AND('Planilla_General_03-12-2012_9_3'!A475,"AAAAAG39vaE=")</f>
        <v>#VALUE!</v>
      </c>
      <c r="FG30" t="e">
        <f>AND('Planilla_General_03-12-2012_9_3'!B475,"AAAAAG39vaI=")</f>
        <v>#VALUE!</v>
      </c>
      <c r="FH30" t="e">
        <f>AND('Planilla_General_03-12-2012_9_3'!C475,"AAAAAG39vaM=")</f>
        <v>#VALUE!</v>
      </c>
      <c r="FI30" t="e">
        <f>AND('Planilla_General_03-12-2012_9_3'!D475,"AAAAAG39vaQ=")</f>
        <v>#VALUE!</v>
      </c>
      <c r="FJ30" t="e">
        <f>AND('Planilla_General_03-12-2012_9_3'!E475,"AAAAAG39vaU=")</f>
        <v>#VALUE!</v>
      </c>
      <c r="FK30" t="e">
        <f>AND('Planilla_General_03-12-2012_9_3'!F475,"AAAAAG39vaY=")</f>
        <v>#VALUE!</v>
      </c>
      <c r="FL30" t="e">
        <f>AND('Planilla_General_03-12-2012_9_3'!G475,"AAAAAG39vac=")</f>
        <v>#VALUE!</v>
      </c>
      <c r="FM30" t="e">
        <f>AND('Planilla_General_03-12-2012_9_3'!H475,"AAAAAG39vag=")</f>
        <v>#VALUE!</v>
      </c>
      <c r="FN30" t="e">
        <f>AND('Planilla_General_03-12-2012_9_3'!I475,"AAAAAG39vak=")</f>
        <v>#VALUE!</v>
      </c>
      <c r="FO30" t="e">
        <f>AND('Planilla_General_03-12-2012_9_3'!J475,"AAAAAG39vao=")</f>
        <v>#VALUE!</v>
      </c>
      <c r="FP30" t="e">
        <f>AND('Planilla_General_03-12-2012_9_3'!K475,"AAAAAG39vas=")</f>
        <v>#VALUE!</v>
      </c>
      <c r="FQ30" t="e">
        <f>AND('Planilla_General_03-12-2012_9_3'!L475,"AAAAAG39vaw=")</f>
        <v>#VALUE!</v>
      </c>
      <c r="FR30" t="e">
        <f>AND('Planilla_General_03-12-2012_9_3'!M475,"AAAAAG39va0=")</f>
        <v>#VALUE!</v>
      </c>
      <c r="FS30" t="e">
        <f>AND('Planilla_General_03-12-2012_9_3'!N475,"AAAAAG39va4=")</f>
        <v>#VALUE!</v>
      </c>
      <c r="FT30" t="e">
        <f>AND('Planilla_General_03-12-2012_9_3'!O475,"AAAAAG39va8=")</f>
        <v>#VALUE!</v>
      </c>
      <c r="FU30">
        <f>IF('Planilla_General_03-12-2012_9_3'!476:476,"AAAAAG39vbA=",0)</f>
        <v>0</v>
      </c>
      <c r="FV30" t="e">
        <f>AND('Planilla_General_03-12-2012_9_3'!A476,"AAAAAG39vbE=")</f>
        <v>#VALUE!</v>
      </c>
      <c r="FW30" t="e">
        <f>AND('Planilla_General_03-12-2012_9_3'!B476,"AAAAAG39vbI=")</f>
        <v>#VALUE!</v>
      </c>
      <c r="FX30" t="e">
        <f>AND('Planilla_General_03-12-2012_9_3'!C476,"AAAAAG39vbM=")</f>
        <v>#VALUE!</v>
      </c>
      <c r="FY30" t="e">
        <f>AND('Planilla_General_03-12-2012_9_3'!D476,"AAAAAG39vbQ=")</f>
        <v>#VALUE!</v>
      </c>
      <c r="FZ30" t="e">
        <f>AND('Planilla_General_03-12-2012_9_3'!E476,"AAAAAG39vbU=")</f>
        <v>#VALUE!</v>
      </c>
      <c r="GA30" t="e">
        <f>AND('Planilla_General_03-12-2012_9_3'!F476,"AAAAAG39vbY=")</f>
        <v>#VALUE!</v>
      </c>
      <c r="GB30" t="e">
        <f>AND('Planilla_General_03-12-2012_9_3'!G476,"AAAAAG39vbc=")</f>
        <v>#VALUE!</v>
      </c>
      <c r="GC30" t="e">
        <f>AND('Planilla_General_03-12-2012_9_3'!H476,"AAAAAG39vbg=")</f>
        <v>#VALUE!</v>
      </c>
      <c r="GD30" t="e">
        <f>AND('Planilla_General_03-12-2012_9_3'!I476,"AAAAAG39vbk=")</f>
        <v>#VALUE!</v>
      </c>
      <c r="GE30" t="e">
        <f>AND('Planilla_General_03-12-2012_9_3'!J476,"AAAAAG39vbo=")</f>
        <v>#VALUE!</v>
      </c>
      <c r="GF30" t="e">
        <f>AND('Planilla_General_03-12-2012_9_3'!K476,"AAAAAG39vbs=")</f>
        <v>#VALUE!</v>
      </c>
      <c r="GG30" t="e">
        <f>AND('Planilla_General_03-12-2012_9_3'!L476,"AAAAAG39vbw=")</f>
        <v>#VALUE!</v>
      </c>
      <c r="GH30" t="e">
        <f>AND('Planilla_General_03-12-2012_9_3'!M476,"AAAAAG39vb0=")</f>
        <v>#VALUE!</v>
      </c>
      <c r="GI30" t="e">
        <f>AND('Planilla_General_03-12-2012_9_3'!N476,"AAAAAG39vb4=")</f>
        <v>#VALUE!</v>
      </c>
      <c r="GJ30" t="e">
        <f>AND('Planilla_General_03-12-2012_9_3'!O476,"AAAAAG39vb8=")</f>
        <v>#VALUE!</v>
      </c>
      <c r="GK30">
        <f>IF('Planilla_General_03-12-2012_9_3'!477:477,"AAAAAG39vcA=",0)</f>
        <v>0</v>
      </c>
      <c r="GL30" t="e">
        <f>AND('Planilla_General_03-12-2012_9_3'!A477,"AAAAAG39vcE=")</f>
        <v>#VALUE!</v>
      </c>
      <c r="GM30" t="e">
        <f>AND('Planilla_General_03-12-2012_9_3'!B477,"AAAAAG39vcI=")</f>
        <v>#VALUE!</v>
      </c>
      <c r="GN30" t="e">
        <f>AND('Planilla_General_03-12-2012_9_3'!C477,"AAAAAG39vcM=")</f>
        <v>#VALUE!</v>
      </c>
      <c r="GO30" t="e">
        <f>AND('Planilla_General_03-12-2012_9_3'!D477,"AAAAAG39vcQ=")</f>
        <v>#VALUE!</v>
      </c>
      <c r="GP30" t="e">
        <f>AND('Planilla_General_03-12-2012_9_3'!E477,"AAAAAG39vcU=")</f>
        <v>#VALUE!</v>
      </c>
      <c r="GQ30" t="e">
        <f>AND('Planilla_General_03-12-2012_9_3'!F477,"AAAAAG39vcY=")</f>
        <v>#VALUE!</v>
      </c>
      <c r="GR30" t="e">
        <f>AND('Planilla_General_03-12-2012_9_3'!G477,"AAAAAG39vcc=")</f>
        <v>#VALUE!</v>
      </c>
      <c r="GS30" t="e">
        <f>AND('Planilla_General_03-12-2012_9_3'!H477,"AAAAAG39vcg=")</f>
        <v>#VALUE!</v>
      </c>
      <c r="GT30" t="e">
        <f>AND('Planilla_General_03-12-2012_9_3'!I477,"AAAAAG39vck=")</f>
        <v>#VALUE!</v>
      </c>
      <c r="GU30" t="e">
        <f>AND('Planilla_General_03-12-2012_9_3'!J477,"AAAAAG39vco=")</f>
        <v>#VALUE!</v>
      </c>
      <c r="GV30" t="e">
        <f>AND('Planilla_General_03-12-2012_9_3'!K477,"AAAAAG39vcs=")</f>
        <v>#VALUE!</v>
      </c>
      <c r="GW30" t="e">
        <f>AND('Planilla_General_03-12-2012_9_3'!L477,"AAAAAG39vcw=")</f>
        <v>#VALUE!</v>
      </c>
      <c r="GX30" t="e">
        <f>AND('Planilla_General_03-12-2012_9_3'!M477,"AAAAAG39vc0=")</f>
        <v>#VALUE!</v>
      </c>
      <c r="GY30" t="e">
        <f>AND('Planilla_General_03-12-2012_9_3'!N477,"AAAAAG39vc4=")</f>
        <v>#VALUE!</v>
      </c>
      <c r="GZ30" t="e">
        <f>AND('Planilla_General_03-12-2012_9_3'!O477,"AAAAAG39vc8=")</f>
        <v>#VALUE!</v>
      </c>
      <c r="HA30">
        <f>IF('Planilla_General_03-12-2012_9_3'!478:478,"AAAAAG39vdA=",0)</f>
        <v>0</v>
      </c>
      <c r="HB30" t="e">
        <f>AND('Planilla_General_03-12-2012_9_3'!A478,"AAAAAG39vdE=")</f>
        <v>#VALUE!</v>
      </c>
      <c r="HC30" t="e">
        <f>AND('Planilla_General_03-12-2012_9_3'!B478,"AAAAAG39vdI=")</f>
        <v>#VALUE!</v>
      </c>
      <c r="HD30" t="e">
        <f>AND('Planilla_General_03-12-2012_9_3'!C478,"AAAAAG39vdM=")</f>
        <v>#VALUE!</v>
      </c>
      <c r="HE30" t="e">
        <f>AND('Planilla_General_03-12-2012_9_3'!D478,"AAAAAG39vdQ=")</f>
        <v>#VALUE!</v>
      </c>
      <c r="HF30" t="e">
        <f>AND('Planilla_General_03-12-2012_9_3'!E478,"AAAAAG39vdU=")</f>
        <v>#VALUE!</v>
      </c>
      <c r="HG30" t="e">
        <f>AND('Planilla_General_03-12-2012_9_3'!F478,"AAAAAG39vdY=")</f>
        <v>#VALUE!</v>
      </c>
      <c r="HH30" t="e">
        <f>AND('Planilla_General_03-12-2012_9_3'!G478,"AAAAAG39vdc=")</f>
        <v>#VALUE!</v>
      </c>
      <c r="HI30" t="e">
        <f>AND('Planilla_General_03-12-2012_9_3'!H478,"AAAAAG39vdg=")</f>
        <v>#VALUE!</v>
      </c>
      <c r="HJ30" t="e">
        <f>AND('Planilla_General_03-12-2012_9_3'!I478,"AAAAAG39vdk=")</f>
        <v>#VALUE!</v>
      </c>
      <c r="HK30" t="e">
        <f>AND('Planilla_General_03-12-2012_9_3'!J478,"AAAAAG39vdo=")</f>
        <v>#VALUE!</v>
      </c>
      <c r="HL30" t="e">
        <f>AND('Planilla_General_03-12-2012_9_3'!K478,"AAAAAG39vds=")</f>
        <v>#VALUE!</v>
      </c>
      <c r="HM30" t="e">
        <f>AND('Planilla_General_03-12-2012_9_3'!L478,"AAAAAG39vdw=")</f>
        <v>#VALUE!</v>
      </c>
      <c r="HN30" t="e">
        <f>AND('Planilla_General_03-12-2012_9_3'!M478,"AAAAAG39vd0=")</f>
        <v>#VALUE!</v>
      </c>
      <c r="HO30" t="e">
        <f>AND('Planilla_General_03-12-2012_9_3'!N478,"AAAAAG39vd4=")</f>
        <v>#VALUE!</v>
      </c>
      <c r="HP30" t="e">
        <f>AND('Planilla_General_03-12-2012_9_3'!O478,"AAAAAG39vd8=")</f>
        <v>#VALUE!</v>
      </c>
      <c r="HQ30">
        <f>IF('Planilla_General_03-12-2012_9_3'!479:479,"AAAAAG39veA=",0)</f>
        <v>0</v>
      </c>
      <c r="HR30" t="e">
        <f>AND('Planilla_General_03-12-2012_9_3'!A479,"AAAAAG39veE=")</f>
        <v>#VALUE!</v>
      </c>
      <c r="HS30" t="e">
        <f>AND('Planilla_General_03-12-2012_9_3'!B479,"AAAAAG39veI=")</f>
        <v>#VALUE!</v>
      </c>
      <c r="HT30" t="e">
        <f>AND('Planilla_General_03-12-2012_9_3'!C479,"AAAAAG39veM=")</f>
        <v>#VALUE!</v>
      </c>
      <c r="HU30" t="e">
        <f>AND('Planilla_General_03-12-2012_9_3'!D479,"AAAAAG39veQ=")</f>
        <v>#VALUE!</v>
      </c>
      <c r="HV30" t="e">
        <f>AND('Planilla_General_03-12-2012_9_3'!E479,"AAAAAG39veU=")</f>
        <v>#VALUE!</v>
      </c>
      <c r="HW30" t="e">
        <f>AND('Planilla_General_03-12-2012_9_3'!F479,"AAAAAG39veY=")</f>
        <v>#VALUE!</v>
      </c>
      <c r="HX30" t="e">
        <f>AND('Planilla_General_03-12-2012_9_3'!G479,"AAAAAG39vec=")</f>
        <v>#VALUE!</v>
      </c>
      <c r="HY30" t="e">
        <f>AND('Planilla_General_03-12-2012_9_3'!H479,"AAAAAG39veg=")</f>
        <v>#VALUE!</v>
      </c>
      <c r="HZ30" t="e">
        <f>AND('Planilla_General_03-12-2012_9_3'!I479,"AAAAAG39vek=")</f>
        <v>#VALUE!</v>
      </c>
      <c r="IA30" t="e">
        <f>AND('Planilla_General_03-12-2012_9_3'!J479,"AAAAAG39veo=")</f>
        <v>#VALUE!</v>
      </c>
      <c r="IB30" t="e">
        <f>AND('Planilla_General_03-12-2012_9_3'!K479,"AAAAAG39ves=")</f>
        <v>#VALUE!</v>
      </c>
      <c r="IC30" t="e">
        <f>AND('Planilla_General_03-12-2012_9_3'!L479,"AAAAAG39vew=")</f>
        <v>#VALUE!</v>
      </c>
      <c r="ID30" t="e">
        <f>AND('Planilla_General_03-12-2012_9_3'!M479,"AAAAAG39ve0=")</f>
        <v>#VALUE!</v>
      </c>
      <c r="IE30" t="e">
        <f>AND('Planilla_General_03-12-2012_9_3'!N479,"AAAAAG39ve4=")</f>
        <v>#VALUE!</v>
      </c>
      <c r="IF30" t="e">
        <f>AND('Planilla_General_03-12-2012_9_3'!O479,"AAAAAG39ve8=")</f>
        <v>#VALUE!</v>
      </c>
      <c r="IG30">
        <f>IF('Planilla_General_03-12-2012_9_3'!480:480,"AAAAAG39vfA=",0)</f>
        <v>0</v>
      </c>
      <c r="IH30" t="e">
        <f>AND('Planilla_General_03-12-2012_9_3'!A480,"AAAAAG39vfE=")</f>
        <v>#VALUE!</v>
      </c>
      <c r="II30" t="e">
        <f>AND('Planilla_General_03-12-2012_9_3'!B480,"AAAAAG39vfI=")</f>
        <v>#VALUE!</v>
      </c>
      <c r="IJ30" t="e">
        <f>AND('Planilla_General_03-12-2012_9_3'!C480,"AAAAAG39vfM=")</f>
        <v>#VALUE!</v>
      </c>
      <c r="IK30" t="e">
        <f>AND('Planilla_General_03-12-2012_9_3'!D480,"AAAAAG39vfQ=")</f>
        <v>#VALUE!</v>
      </c>
      <c r="IL30" t="e">
        <f>AND('Planilla_General_03-12-2012_9_3'!E480,"AAAAAG39vfU=")</f>
        <v>#VALUE!</v>
      </c>
      <c r="IM30" t="e">
        <f>AND('Planilla_General_03-12-2012_9_3'!F480,"AAAAAG39vfY=")</f>
        <v>#VALUE!</v>
      </c>
      <c r="IN30" t="e">
        <f>AND('Planilla_General_03-12-2012_9_3'!G480,"AAAAAG39vfc=")</f>
        <v>#VALUE!</v>
      </c>
      <c r="IO30" t="e">
        <f>AND('Planilla_General_03-12-2012_9_3'!H480,"AAAAAG39vfg=")</f>
        <v>#VALUE!</v>
      </c>
      <c r="IP30" t="e">
        <f>AND('Planilla_General_03-12-2012_9_3'!I480,"AAAAAG39vfk=")</f>
        <v>#VALUE!</v>
      </c>
      <c r="IQ30" t="e">
        <f>AND('Planilla_General_03-12-2012_9_3'!J480,"AAAAAG39vfo=")</f>
        <v>#VALUE!</v>
      </c>
      <c r="IR30" t="e">
        <f>AND('Planilla_General_03-12-2012_9_3'!K480,"AAAAAG39vfs=")</f>
        <v>#VALUE!</v>
      </c>
      <c r="IS30" t="e">
        <f>AND('Planilla_General_03-12-2012_9_3'!L480,"AAAAAG39vfw=")</f>
        <v>#VALUE!</v>
      </c>
      <c r="IT30" t="e">
        <f>AND('Planilla_General_03-12-2012_9_3'!M480,"AAAAAG39vf0=")</f>
        <v>#VALUE!</v>
      </c>
      <c r="IU30" t="e">
        <f>AND('Planilla_General_03-12-2012_9_3'!N480,"AAAAAG39vf4=")</f>
        <v>#VALUE!</v>
      </c>
      <c r="IV30" t="e">
        <f>AND('Planilla_General_03-12-2012_9_3'!O480,"AAAAAG39vf8=")</f>
        <v>#VALUE!</v>
      </c>
    </row>
    <row r="31" spans="1:256" x14ac:dyDescent="0.25">
      <c r="A31" t="e">
        <f>IF('Planilla_General_03-12-2012_9_3'!481:481,"AAAAAG9/1wA=",0)</f>
        <v>#VALUE!</v>
      </c>
      <c r="B31" t="e">
        <f>AND('Planilla_General_03-12-2012_9_3'!A481,"AAAAAG9/1wE=")</f>
        <v>#VALUE!</v>
      </c>
      <c r="C31" t="e">
        <f>AND('Planilla_General_03-12-2012_9_3'!B481,"AAAAAG9/1wI=")</f>
        <v>#VALUE!</v>
      </c>
      <c r="D31" t="e">
        <f>AND('Planilla_General_03-12-2012_9_3'!C481,"AAAAAG9/1wM=")</f>
        <v>#VALUE!</v>
      </c>
      <c r="E31" t="e">
        <f>AND('Planilla_General_03-12-2012_9_3'!D481,"AAAAAG9/1wQ=")</f>
        <v>#VALUE!</v>
      </c>
      <c r="F31" t="e">
        <f>AND('Planilla_General_03-12-2012_9_3'!E481,"AAAAAG9/1wU=")</f>
        <v>#VALUE!</v>
      </c>
      <c r="G31" t="e">
        <f>AND('Planilla_General_03-12-2012_9_3'!F481,"AAAAAG9/1wY=")</f>
        <v>#VALUE!</v>
      </c>
      <c r="H31" t="e">
        <f>AND('Planilla_General_03-12-2012_9_3'!G481,"AAAAAG9/1wc=")</f>
        <v>#VALUE!</v>
      </c>
      <c r="I31" t="e">
        <f>AND('Planilla_General_03-12-2012_9_3'!H481,"AAAAAG9/1wg=")</f>
        <v>#VALUE!</v>
      </c>
      <c r="J31" t="e">
        <f>AND('Planilla_General_03-12-2012_9_3'!I481,"AAAAAG9/1wk=")</f>
        <v>#VALUE!</v>
      </c>
      <c r="K31" t="e">
        <f>AND('Planilla_General_03-12-2012_9_3'!J481,"AAAAAG9/1wo=")</f>
        <v>#VALUE!</v>
      </c>
      <c r="L31" t="e">
        <f>AND('Planilla_General_03-12-2012_9_3'!K481,"AAAAAG9/1ws=")</f>
        <v>#VALUE!</v>
      </c>
      <c r="M31" t="e">
        <f>AND('Planilla_General_03-12-2012_9_3'!L481,"AAAAAG9/1ww=")</f>
        <v>#VALUE!</v>
      </c>
      <c r="N31" t="e">
        <f>AND('Planilla_General_03-12-2012_9_3'!M481,"AAAAAG9/1w0=")</f>
        <v>#VALUE!</v>
      </c>
      <c r="O31" t="e">
        <f>AND('Planilla_General_03-12-2012_9_3'!N481,"AAAAAG9/1w4=")</f>
        <v>#VALUE!</v>
      </c>
      <c r="P31" t="e">
        <f>AND('Planilla_General_03-12-2012_9_3'!O481,"AAAAAG9/1w8=")</f>
        <v>#VALUE!</v>
      </c>
      <c r="Q31">
        <f>IF('Planilla_General_03-12-2012_9_3'!482:482,"AAAAAG9/1xA=",0)</f>
        <v>0</v>
      </c>
      <c r="R31" t="e">
        <f>AND('Planilla_General_03-12-2012_9_3'!A482,"AAAAAG9/1xE=")</f>
        <v>#VALUE!</v>
      </c>
      <c r="S31" t="e">
        <f>AND('Planilla_General_03-12-2012_9_3'!B482,"AAAAAG9/1xI=")</f>
        <v>#VALUE!</v>
      </c>
      <c r="T31" t="e">
        <f>AND('Planilla_General_03-12-2012_9_3'!C482,"AAAAAG9/1xM=")</f>
        <v>#VALUE!</v>
      </c>
      <c r="U31" t="e">
        <f>AND('Planilla_General_03-12-2012_9_3'!D482,"AAAAAG9/1xQ=")</f>
        <v>#VALUE!</v>
      </c>
      <c r="V31" t="e">
        <f>AND('Planilla_General_03-12-2012_9_3'!E482,"AAAAAG9/1xU=")</f>
        <v>#VALUE!</v>
      </c>
      <c r="W31" t="e">
        <f>AND('Planilla_General_03-12-2012_9_3'!F482,"AAAAAG9/1xY=")</f>
        <v>#VALUE!</v>
      </c>
      <c r="X31" t="e">
        <f>AND('Planilla_General_03-12-2012_9_3'!G482,"AAAAAG9/1xc=")</f>
        <v>#VALUE!</v>
      </c>
      <c r="Y31" t="e">
        <f>AND('Planilla_General_03-12-2012_9_3'!H482,"AAAAAG9/1xg=")</f>
        <v>#VALUE!</v>
      </c>
      <c r="Z31" t="e">
        <f>AND('Planilla_General_03-12-2012_9_3'!I482,"AAAAAG9/1xk=")</f>
        <v>#VALUE!</v>
      </c>
      <c r="AA31" t="e">
        <f>AND('Planilla_General_03-12-2012_9_3'!J482,"AAAAAG9/1xo=")</f>
        <v>#VALUE!</v>
      </c>
      <c r="AB31" t="e">
        <f>AND('Planilla_General_03-12-2012_9_3'!K482,"AAAAAG9/1xs=")</f>
        <v>#VALUE!</v>
      </c>
      <c r="AC31" t="e">
        <f>AND('Planilla_General_03-12-2012_9_3'!L482,"AAAAAG9/1xw=")</f>
        <v>#VALUE!</v>
      </c>
      <c r="AD31" t="e">
        <f>AND('Planilla_General_03-12-2012_9_3'!M482,"AAAAAG9/1x0=")</f>
        <v>#VALUE!</v>
      </c>
      <c r="AE31" t="e">
        <f>AND('Planilla_General_03-12-2012_9_3'!N482,"AAAAAG9/1x4=")</f>
        <v>#VALUE!</v>
      </c>
      <c r="AF31" t="e">
        <f>AND('Planilla_General_03-12-2012_9_3'!O482,"AAAAAG9/1x8=")</f>
        <v>#VALUE!</v>
      </c>
      <c r="AG31">
        <f>IF('Planilla_General_03-12-2012_9_3'!483:483,"AAAAAG9/1yA=",0)</f>
        <v>0</v>
      </c>
      <c r="AH31" t="e">
        <f>AND('Planilla_General_03-12-2012_9_3'!A483,"AAAAAG9/1yE=")</f>
        <v>#VALUE!</v>
      </c>
      <c r="AI31" t="e">
        <f>AND('Planilla_General_03-12-2012_9_3'!B483,"AAAAAG9/1yI=")</f>
        <v>#VALUE!</v>
      </c>
      <c r="AJ31" t="e">
        <f>AND('Planilla_General_03-12-2012_9_3'!C483,"AAAAAG9/1yM=")</f>
        <v>#VALUE!</v>
      </c>
      <c r="AK31" t="e">
        <f>AND('Planilla_General_03-12-2012_9_3'!D483,"AAAAAG9/1yQ=")</f>
        <v>#VALUE!</v>
      </c>
      <c r="AL31" t="e">
        <f>AND('Planilla_General_03-12-2012_9_3'!E483,"AAAAAG9/1yU=")</f>
        <v>#VALUE!</v>
      </c>
      <c r="AM31" t="e">
        <f>AND('Planilla_General_03-12-2012_9_3'!F483,"AAAAAG9/1yY=")</f>
        <v>#VALUE!</v>
      </c>
      <c r="AN31" t="e">
        <f>AND('Planilla_General_03-12-2012_9_3'!G483,"AAAAAG9/1yc=")</f>
        <v>#VALUE!</v>
      </c>
      <c r="AO31" t="e">
        <f>AND('Planilla_General_03-12-2012_9_3'!H483,"AAAAAG9/1yg=")</f>
        <v>#VALUE!</v>
      </c>
      <c r="AP31" t="e">
        <f>AND('Planilla_General_03-12-2012_9_3'!I483,"AAAAAG9/1yk=")</f>
        <v>#VALUE!</v>
      </c>
      <c r="AQ31" t="e">
        <f>AND('Planilla_General_03-12-2012_9_3'!J483,"AAAAAG9/1yo=")</f>
        <v>#VALUE!</v>
      </c>
      <c r="AR31" t="e">
        <f>AND('Planilla_General_03-12-2012_9_3'!K483,"AAAAAG9/1ys=")</f>
        <v>#VALUE!</v>
      </c>
      <c r="AS31" t="e">
        <f>AND('Planilla_General_03-12-2012_9_3'!L483,"AAAAAG9/1yw=")</f>
        <v>#VALUE!</v>
      </c>
      <c r="AT31" t="e">
        <f>AND('Planilla_General_03-12-2012_9_3'!M483,"AAAAAG9/1y0=")</f>
        <v>#VALUE!</v>
      </c>
      <c r="AU31" t="e">
        <f>AND('Planilla_General_03-12-2012_9_3'!N483,"AAAAAG9/1y4=")</f>
        <v>#VALUE!</v>
      </c>
      <c r="AV31" t="e">
        <f>AND('Planilla_General_03-12-2012_9_3'!O483,"AAAAAG9/1y8=")</f>
        <v>#VALUE!</v>
      </c>
      <c r="AW31">
        <f>IF('Planilla_General_03-12-2012_9_3'!484:484,"AAAAAG9/1zA=",0)</f>
        <v>0</v>
      </c>
      <c r="AX31" t="e">
        <f>AND('Planilla_General_03-12-2012_9_3'!A484,"AAAAAG9/1zE=")</f>
        <v>#VALUE!</v>
      </c>
      <c r="AY31" t="e">
        <f>AND('Planilla_General_03-12-2012_9_3'!B484,"AAAAAG9/1zI=")</f>
        <v>#VALUE!</v>
      </c>
      <c r="AZ31" t="e">
        <f>AND('Planilla_General_03-12-2012_9_3'!C484,"AAAAAG9/1zM=")</f>
        <v>#VALUE!</v>
      </c>
      <c r="BA31" t="e">
        <f>AND('Planilla_General_03-12-2012_9_3'!D484,"AAAAAG9/1zQ=")</f>
        <v>#VALUE!</v>
      </c>
      <c r="BB31" t="e">
        <f>AND('Planilla_General_03-12-2012_9_3'!E484,"AAAAAG9/1zU=")</f>
        <v>#VALUE!</v>
      </c>
      <c r="BC31" t="e">
        <f>AND('Planilla_General_03-12-2012_9_3'!F484,"AAAAAG9/1zY=")</f>
        <v>#VALUE!</v>
      </c>
      <c r="BD31" t="e">
        <f>AND('Planilla_General_03-12-2012_9_3'!G484,"AAAAAG9/1zc=")</f>
        <v>#VALUE!</v>
      </c>
      <c r="BE31" t="e">
        <f>AND('Planilla_General_03-12-2012_9_3'!H484,"AAAAAG9/1zg=")</f>
        <v>#VALUE!</v>
      </c>
      <c r="BF31" t="e">
        <f>AND('Planilla_General_03-12-2012_9_3'!I484,"AAAAAG9/1zk=")</f>
        <v>#VALUE!</v>
      </c>
      <c r="BG31" t="e">
        <f>AND('Planilla_General_03-12-2012_9_3'!J484,"AAAAAG9/1zo=")</f>
        <v>#VALUE!</v>
      </c>
      <c r="BH31" t="e">
        <f>AND('Planilla_General_03-12-2012_9_3'!K484,"AAAAAG9/1zs=")</f>
        <v>#VALUE!</v>
      </c>
      <c r="BI31" t="e">
        <f>AND('Planilla_General_03-12-2012_9_3'!L484,"AAAAAG9/1zw=")</f>
        <v>#VALUE!</v>
      </c>
      <c r="BJ31" t="e">
        <f>AND('Planilla_General_03-12-2012_9_3'!M484,"AAAAAG9/1z0=")</f>
        <v>#VALUE!</v>
      </c>
      <c r="BK31" t="e">
        <f>AND('Planilla_General_03-12-2012_9_3'!N484,"AAAAAG9/1z4=")</f>
        <v>#VALUE!</v>
      </c>
      <c r="BL31" t="e">
        <f>AND('Planilla_General_03-12-2012_9_3'!O484,"AAAAAG9/1z8=")</f>
        <v>#VALUE!</v>
      </c>
      <c r="BM31">
        <f>IF('Planilla_General_03-12-2012_9_3'!485:485,"AAAAAG9/10A=",0)</f>
        <v>0</v>
      </c>
      <c r="BN31" t="e">
        <f>AND('Planilla_General_03-12-2012_9_3'!A485,"AAAAAG9/10E=")</f>
        <v>#VALUE!</v>
      </c>
      <c r="BO31" t="e">
        <f>AND('Planilla_General_03-12-2012_9_3'!B485,"AAAAAG9/10I=")</f>
        <v>#VALUE!</v>
      </c>
      <c r="BP31" t="e">
        <f>AND('Planilla_General_03-12-2012_9_3'!C485,"AAAAAG9/10M=")</f>
        <v>#VALUE!</v>
      </c>
      <c r="BQ31" t="e">
        <f>AND('Planilla_General_03-12-2012_9_3'!D485,"AAAAAG9/10Q=")</f>
        <v>#VALUE!</v>
      </c>
      <c r="BR31" t="e">
        <f>AND('Planilla_General_03-12-2012_9_3'!E485,"AAAAAG9/10U=")</f>
        <v>#VALUE!</v>
      </c>
      <c r="BS31" t="e">
        <f>AND('Planilla_General_03-12-2012_9_3'!F485,"AAAAAG9/10Y=")</f>
        <v>#VALUE!</v>
      </c>
      <c r="BT31" t="e">
        <f>AND('Planilla_General_03-12-2012_9_3'!G485,"AAAAAG9/10c=")</f>
        <v>#VALUE!</v>
      </c>
      <c r="BU31" t="e">
        <f>AND('Planilla_General_03-12-2012_9_3'!H485,"AAAAAG9/10g=")</f>
        <v>#VALUE!</v>
      </c>
      <c r="BV31" t="e">
        <f>AND('Planilla_General_03-12-2012_9_3'!I485,"AAAAAG9/10k=")</f>
        <v>#VALUE!</v>
      </c>
      <c r="BW31" t="e">
        <f>AND('Planilla_General_03-12-2012_9_3'!J485,"AAAAAG9/10o=")</f>
        <v>#VALUE!</v>
      </c>
      <c r="BX31" t="e">
        <f>AND('Planilla_General_03-12-2012_9_3'!K485,"AAAAAG9/10s=")</f>
        <v>#VALUE!</v>
      </c>
      <c r="BY31" t="e">
        <f>AND('Planilla_General_03-12-2012_9_3'!L485,"AAAAAG9/10w=")</f>
        <v>#VALUE!</v>
      </c>
      <c r="BZ31" t="e">
        <f>AND('Planilla_General_03-12-2012_9_3'!M485,"AAAAAG9/100=")</f>
        <v>#VALUE!</v>
      </c>
      <c r="CA31" t="e">
        <f>AND('Planilla_General_03-12-2012_9_3'!N485,"AAAAAG9/104=")</f>
        <v>#VALUE!</v>
      </c>
      <c r="CB31" t="e">
        <f>AND('Planilla_General_03-12-2012_9_3'!O485,"AAAAAG9/108=")</f>
        <v>#VALUE!</v>
      </c>
      <c r="CC31">
        <f>IF('Planilla_General_03-12-2012_9_3'!486:486,"AAAAAG9/11A=",0)</f>
        <v>0</v>
      </c>
      <c r="CD31" t="e">
        <f>AND('Planilla_General_03-12-2012_9_3'!A486,"AAAAAG9/11E=")</f>
        <v>#VALUE!</v>
      </c>
      <c r="CE31" t="e">
        <f>AND('Planilla_General_03-12-2012_9_3'!B486,"AAAAAG9/11I=")</f>
        <v>#VALUE!</v>
      </c>
      <c r="CF31" t="e">
        <f>AND('Planilla_General_03-12-2012_9_3'!C486,"AAAAAG9/11M=")</f>
        <v>#VALUE!</v>
      </c>
      <c r="CG31" t="e">
        <f>AND('Planilla_General_03-12-2012_9_3'!D486,"AAAAAG9/11Q=")</f>
        <v>#VALUE!</v>
      </c>
      <c r="CH31" t="e">
        <f>AND('Planilla_General_03-12-2012_9_3'!E486,"AAAAAG9/11U=")</f>
        <v>#VALUE!</v>
      </c>
      <c r="CI31" t="e">
        <f>AND('Planilla_General_03-12-2012_9_3'!F486,"AAAAAG9/11Y=")</f>
        <v>#VALUE!</v>
      </c>
      <c r="CJ31" t="e">
        <f>AND('Planilla_General_03-12-2012_9_3'!G486,"AAAAAG9/11c=")</f>
        <v>#VALUE!</v>
      </c>
      <c r="CK31" t="e">
        <f>AND('Planilla_General_03-12-2012_9_3'!H486,"AAAAAG9/11g=")</f>
        <v>#VALUE!</v>
      </c>
      <c r="CL31" t="e">
        <f>AND('Planilla_General_03-12-2012_9_3'!I486,"AAAAAG9/11k=")</f>
        <v>#VALUE!</v>
      </c>
      <c r="CM31" t="e">
        <f>AND('Planilla_General_03-12-2012_9_3'!J486,"AAAAAG9/11o=")</f>
        <v>#VALUE!</v>
      </c>
      <c r="CN31" t="e">
        <f>AND('Planilla_General_03-12-2012_9_3'!K486,"AAAAAG9/11s=")</f>
        <v>#VALUE!</v>
      </c>
      <c r="CO31" t="e">
        <f>AND('Planilla_General_03-12-2012_9_3'!L486,"AAAAAG9/11w=")</f>
        <v>#VALUE!</v>
      </c>
      <c r="CP31" t="e">
        <f>AND('Planilla_General_03-12-2012_9_3'!M486,"AAAAAG9/110=")</f>
        <v>#VALUE!</v>
      </c>
      <c r="CQ31" t="e">
        <f>AND('Planilla_General_03-12-2012_9_3'!N486,"AAAAAG9/114=")</f>
        <v>#VALUE!</v>
      </c>
      <c r="CR31" t="e">
        <f>AND('Planilla_General_03-12-2012_9_3'!O486,"AAAAAG9/118=")</f>
        <v>#VALUE!</v>
      </c>
      <c r="CS31">
        <f>IF('Planilla_General_03-12-2012_9_3'!487:487,"AAAAAG9/12A=",0)</f>
        <v>0</v>
      </c>
      <c r="CT31" t="e">
        <f>AND('Planilla_General_03-12-2012_9_3'!A487,"AAAAAG9/12E=")</f>
        <v>#VALUE!</v>
      </c>
      <c r="CU31" t="e">
        <f>AND('Planilla_General_03-12-2012_9_3'!B487,"AAAAAG9/12I=")</f>
        <v>#VALUE!</v>
      </c>
      <c r="CV31" t="e">
        <f>AND('Planilla_General_03-12-2012_9_3'!C487,"AAAAAG9/12M=")</f>
        <v>#VALUE!</v>
      </c>
      <c r="CW31" t="e">
        <f>AND('Planilla_General_03-12-2012_9_3'!D487,"AAAAAG9/12Q=")</f>
        <v>#VALUE!</v>
      </c>
      <c r="CX31" t="e">
        <f>AND('Planilla_General_03-12-2012_9_3'!E487,"AAAAAG9/12U=")</f>
        <v>#VALUE!</v>
      </c>
      <c r="CY31" t="e">
        <f>AND('Planilla_General_03-12-2012_9_3'!F487,"AAAAAG9/12Y=")</f>
        <v>#VALUE!</v>
      </c>
      <c r="CZ31" t="e">
        <f>AND('Planilla_General_03-12-2012_9_3'!G487,"AAAAAG9/12c=")</f>
        <v>#VALUE!</v>
      </c>
      <c r="DA31" t="e">
        <f>AND('Planilla_General_03-12-2012_9_3'!H487,"AAAAAG9/12g=")</f>
        <v>#VALUE!</v>
      </c>
      <c r="DB31" t="e">
        <f>AND('Planilla_General_03-12-2012_9_3'!I487,"AAAAAG9/12k=")</f>
        <v>#VALUE!</v>
      </c>
      <c r="DC31" t="e">
        <f>AND('Planilla_General_03-12-2012_9_3'!J487,"AAAAAG9/12o=")</f>
        <v>#VALUE!</v>
      </c>
      <c r="DD31" t="e">
        <f>AND('Planilla_General_03-12-2012_9_3'!K487,"AAAAAG9/12s=")</f>
        <v>#VALUE!</v>
      </c>
      <c r="DE31" t="e">
        <f>AND('Planilla_General_03-12-2012_9_3'!L487,"AAAAAG9/12w=")</f>
        <v>#VALUE!</v>
      </c>
      <c r="DF31" t="e">
        <f>AND('Planilla_General_03-12-2012_9_3'!M487,"AAAAAG9/120=")</f>
        <v>#VALUE!</v>
      </c>
      <c r="DG31" t="e">
        <f>AND('Planilla_General_03-12-2012_9_3'!N487,"AAAAAG9/124=")</f>
        <v>#VALUE!</v>
      </c>
      <c r="DH31" t="e">
        <f>AND('Planilla_General_03-12-2012_9_3'!O487,"AAAAAG9/128=")</f>
        <v>#VALUE!</v>
      </c>
      <c r="DI31">
        <f>IF('Planilla_General_03-12-2012_9_3'!488:488,"AAAAAG9/13A=",0)</f>
        <v>0</v>
      </c>
      <c r="DJ31" t="e">
        <f>AND('Planilla_General_03-12-2012_9_3'!A488,"AAAAAG9/13E=")</f>
        <v>#VALUE!</v>
      </c>
      <c r="DK31" t="e">
        <f>AND('Planilla_General_03-12-2012_9_3'!B488,"AAAAAG9/13I=")</f>
        <v>#VALUE!</v>
      </c>
      <c r="DL31" t="e">
        <f>AND('Planilla_General_03-12-2012_9_3'!C488,"AAAAAG9/13M=")</f>
        <v>#VALUE!</v>
      </c>
      <c r="DM31" t="e">
        <f>AND('Planilla_General_03-12-2012_9_3'!D488,"AAAAAG9/13Q=")</f>
        <v>#VALUE!</v>
      </c>
      <c r="DN31" t="e">
        <f>AND('Planilla_General_03-12-2012_9_3'!E488,"AAAAAG9/13U=")</f>
        <v>#VALUE!</v>
      </c>
      <c r="DO31" t="e">
        <f>AND('Planilla_General_03-12-2012_9_3'!F488,"AAAAAG9/13Y=")</f>
        <v>#VALUE!</v>
      </c>
      <c r="DP31" t="e">
        <f>AND('Planilla_General_03-12-2012_9_3'!G488,"AAAAAG9/13c=")</f>
        <v>#VALUE!</v>
      </c>
      <c r="DQ31" t="e">
        <f>AND('Planilla_General_03-12-2012_9_3'!H488,"AAAAAG9/13g=")</f>
        <v>#VALUE!</v>
      </c>
      <c r="DR31" t="e">
        <f>AND('Planilla_General_03-12-2012_9_3'!I488,"AAAAAG9/13k=")</f>
        <v>#VALUE!</v>
      </c>
      <c r="DS31" t="e">
        <f>AND('Planilla_General_03-12-2012_9_3'!J488,"AAAAAG9/13o=")</f>
        <v>#VALUE!</v>
      </c>
      <c r="DT31" t="e">
        <f>AND('Planilla_General_03-12-2012_9_3'!K488,"AAAAAG9/13s=")</f>
        <v>#VALUE!</v>
      </c>
      <c r="DU31" t="e">
        <f>AND('Planilla_General_03-12-2012_9_3'!L488,"AAAAAG9/13w=")</f>
        <v>#VALUE!</v>
      </c>
      <c r="DV31" t="e">
        <f>AND('Planilla_General_03-12-2012_9_3'!M488,"AAAAAG9/130=")</f>
        <v>#VALUE!</v>
      </c>
      <c r="DW31" t="e">
        <f>AND('Planilla_General_03-12-2012_9_3'!N488,"AAAAAG9/134=")</f>
        <v>#VALUE!</v>
      </c>
      <c r="DX31" t="e">
        <f>AND('Planilla_General_03-12-2012_9_3'!O488,"AAAAAG9/138=")</f>
        <v>#VALUE!</v>
      </c>
      <c r="DY31">
        <f>IF('Planilla_General_03-12-2012_9_3'!489:489,"AAAAAG9/14A=",0)</f>
        <v>0</v>
      </c>
      <c r="DZ31" t="e">
        <f>AND('Planilla_General_03-12-2012_9_3'!A489,"AAAAAG9/14E=")</f>
        <v>#VALUE!</v>
      </c>
      <c r="EA31" t="e">
        <f>AND('Planilla_General_03-12-2012_9_3'!B489,"AAAAAG9/14I=")</f>
        <v>#VALUE!</v>
      </c>
      <c r="EB31" t="e">
        <f>AND('Planilla_General_03-12-2012_9_3'!C489,"AAAAAG9/14M=")</f>
        <v>#VALUE!</v>
      </c>
      <c r="EC31" t="e">
        <f>AND('Planilla_General_03-12-2012_9_3'!D489,"AAAAAG9/14Q=")</f>
        <v>#VALUE!</v>
      </c>
      <c r="ED31" t="e">
        <f>AND('Planilla_General_03-12-2012_9_3'!E489,"AAAAAG9/14U=")</f>
        <v>#VALUE!</v>
      </c>
      <c r="EE31" t="e">
        <f>AND('Planilla_General_03-12-2012_9_3'!F489,"AAAAAG9/14Y=")</f>
        <v>#VALUE!</v>
      </c>
      <c r="EF31" t="e">
        <f>AND('Planilla_General_03-12-2012_9_3'!G489,"AAAAAG9/14c=")</f>
        <v>#VALUE!</v>
      </c>
      <c r="EG31" t="e">
        <f>AND('Planilla_General_03-12-2012_9_3'!H489,"AAAAAG9/14g=")</f>
        <v>#VALUE!</v>
      </c>
      <c r="EH31" t="e">
        <f>AND('Planilla_General_03-12-2012_9_3'!I489,"AAAAAG9/14k=")</f>
        <v>#VALUE!</v>
      </c>
      <c r="EI31" t="e">
        <f>AND('Planilla_General_03-12-2012_9_3'!J489,"AAAAAG9/14o=")</f>
        <v>#VALUE!</v>
      </c>
      <c r="EJ31" t="e">
        <f>AND('Planilla_General_03-12-2012_9_3'!K489,"AAAAAG9/14s=")</f>
        <v>#VALUE!</v>
      </c>
      <c r="EK31" t="e">
        <f>AND('Planilla_General_03-12-2012_9_3'!L489,"AAAAAG9/14w=")</f>
        <v>#VALUE!</v>
      </c>
      <c r="EL31" t="e">
        <f>AND('Planilla_General_03-12-2012_9_3'!M489,"AAAAAG9/140=")</f>
        <v>#VALUE!</v>
      </c>
      <c r="EM31" t="e">
        <f>AND('Planilla_General_03-12-2012_9_3'!N489,"AAAAAG9/144=")</f>
        <v>#VALUE!</v>
      </c>
      <c r="EN31" t="e">
        <f>AND('Planilla_General_03-12-2012_9_3'!O489,"AAAAAG9/148=")</f>
        <v>#VALUE!</v>
      </c>
      <c r="EO31">
        <f>IF('Planilla_General_03-12-2012_9_3'!490:490,"AAAAAG9/15A=",0)</f>
        <v>0</v>
      </c>
      <c r="EP31" t="e">
        <f>AND('Planilla_General_03-12-2012_9_3'!A490,"AAAAAG9/15E=")</f>
        <v>#VALUE!</v>
      </c>
      <c r="EQ31" t="e">
        <f>AND('Planilla_General_03-12-2012_9_3'!B490,"AAAAAG9/15I=")</f>
        <v>#VALUE!</v>
      </c>
      <c r="ER31" t="e">
        <f>AND('Planilla_General_03-12-2012_9_3'!C490,"AAAAAG9/15M=")</f>
        <v>#VALUE!</v>
      </c>
      <c r="ES31" t="e">
        <f>AND('Planilla_General_03-12-2012_9_3'!D490,"AAAAAG9/15Q=")</f>
        <v>#VALUE!</v>
      </c>
      <c r="ET31" t="e">
        <f>AND('Planilla_General_03-12-2012_9_3'!E490,"AAAAAG9/15U=")</f>
        <v>#VALUE!</v>
      </c>
      <c r="EU31" t="e">
        <f>AND('Planilla_General_03-12-2012_9_3'!F490,"AAAAAG9/15Y=")</f>
        <v>#VALUE!</v>
      </c>
      <c r="EV31" t="e">
        <f>AND('Planilla_General_03-12-2012_9_3'!G490,"AAAAAG9/15c=")</f>
        <v>#VALUE!</v>
      </c>
      <c r="EW31" t="e">
        <f>AND('Planilla_General_03-12-2012_9_3'!H490,"AAAAAG9/15g=")</f>
        <v>#VALUE!</v>
      </c>
      <c r="EX31" t="e">
        <f>AND('Planilla_General_03-12-2012_9_3'!I490,"AAAAAG9/15k=")</f>
        <v>#VALUE!</v>
      </c>
      <c r="EY31" t="e">
        <f>AND('Planilla_General_03-12-2012_9_3'!J490,"AAAAAG9/15o=")</f>
        <v>#VALUE!</v>
      </c>
      <c r="EZ31" t="e">
        <f>AND('Planilla_General_03-12-2012_9_3'!K490,"AAAAAG9/15s=")</f>
        <v>#VALUE!</v>
      </c>
      <c r="FA31" t="e">
        <f>AND('Planilla_General_03-12-2012_9_3'!L490,"AAAAAG9/15w=")</f>
        <v>#VALUE!</v>
      </c>
      <c r="FB31" t="e">
        <f>AND('Planilla_General_03-12-2012_9_3'!M490,"AAAAAG9/150=")</f>
        <v>#VALUE!</v>
      </c>
      <c r="FC31" t="e">
        <f>AND('Planilla_General_03-12-2012_9_3'!N490,"AAAAAG9/154=")</f>
        <v>#VALUE!</v>
      </c>
      <c r="FD31" t="e">
        <f>AND('Planilla_General_03-12-2012_9_3'!O490,"AAAAAG9/158=")</f>
        <v>#VALUE!</v>
      </c>
      <c r="FE31">
        <f>IF('Planilla_General_03-12-2012_9_3'!491:491,"AAAAAG9/16A=",0)</f>
        <v>0</v>
      </c>
      <c r="FF31" t="e">
        <f>AND('Planilla_General_03-12-2012_9_3'!A491,"AAAAAG9/16E=")</f>
        <v>#VALUE!</v>
      </c>
      <c r="FG31" t="e">
        <f>AND('Planilla_General_03-12-2012_9_3'!B491,"AAAAAG9/16I=")</f>
        <v>#VALUE!</v>
      </c>
      <c r="FH31" t="e">
        <f>AND('Planilla_General_03-12-2012_9_3'!C491,"AAAAAG9/16M=")</f>
        <v>#VALUE!</v>
      </c>
      <c r="FI31" t="e">
        <f>AND('Planilla_General_03-12-2012_9_3'!D491,"AAAAAG9/16Q=")</f>
        <v>#VALUE!</v>
      </c>
      <c r="FJ31" t="e">
        <f>AND('Planilla_General_03-12-2012_9_3'!E491,"AAAAAG9/16U=")</f>
        <v>#VALUE!</v>
      </c>
      <c r="FK31" t="e">
        <f>AND('Planilla_General_03-12-2012_9_3'!F491,"AAAAAG9/16Y=")</f>
        <v>#VALUE!</v>
      </c>
      <c r="FL31" t="e">
        <f>AND('Planilla_General_03-12-2012_9_3'!G491,"AAAAAG9/16c=")</f>
        <v>#VALUE!</v>
      </c>
      <c r="FM31" t="e">
        <f>AND('Planilla_General_03-12-2012_9_3'!H491,"AAAAAG9/16g=")</f>
        <v>#VALUE!</v>
      </c>
      <c r="FN31" t="e">
        <f>AND('Planilla_General_03-12-2012_9_3'!I491,"AAAAAG9/16k=")</f>
        <v>#VALUE!</v>
      </c>
      <c r="FO31" t="e">
        <f>AND('Planilla_General_03-12-2012_9_3'!J491,"AAAAAG9/16o=")</f>
        <v>#VALUE!</v>
      </c>
      <c r="FP31" t="e">
        <f>AND('Planilla_General_03-12-2012_9_3'!K491,"AAAAAG9/16s=")</f>
        <v>#VALUE!</v>
      </c>
      <c r="FQ31" t="e">
        <f>AND('Planilla_General_03-12-2012_9_3'!L491,"AAAAAG9/16w=")</f>
        <v>#VALUE!</v>
      </c>
      <c r="FR31" t="e">
        <f>AND('Planilla_General_03-12-2012_9_3'!M491,"AAAAAG9/160=")</f>
        <v>#VALUE!</v>
      </c>
      <c r="FS31" t="e">
        <f>AND('Planilla_General_03-12-2012_9_3'!N491,"AAAAAG9/164=")</f>
        <v>#VALUE!</v>
      </c>
      <c r="FT31" t="e">
        <f>AND('Planilla_General_03-12-2012_9_3'!O491,"AAAAAG9/168=")</f>
        <v>#VALUE!</v>
      </c>
      <c r="FU31">
        <f>IF('Planilla_General_03-12-2012_9_3'!492:492,"AAAAAG9/17A=",0)</f>
        <v>0</v>
      </c>
      <c r="FV31" t="e">
        <f>AND('Planilla_General_03-12-2012_9_3'!A492,"AAAAAG9/17E=")</f>
        <v>#VALUE!</v>
      </c>
      <c r="FW31" t="e">
        <f>AND('Planilla_General_03-12-2012_9_3'!B492,"AAAAAG9/17I=")</f>
        <v>#VALUE!</v>
      </c>
      <c r="FX31" t="e">
        <f>AND('Planilla_General_03-12-2012_9_3'!C492,"AAAAAG9/17M=")</f>
        <v>#VALUE!</v>
      </c>
      <c r="FY31" t="e">
        <f>AND('Planilla_General_03-12-2012_9_3'!D492,"AAAAAG9/17Q=")</f>
        <v>#VALUE!</v>
      </c>
      <c r="FZ31" t="e">
        <f>AND('Planilla_General_03-12-2012_9_3'!E492,"AAAAAG9/17U=")</f>
        <v>#VALUE!</v>
      </c>
      <c r="GA31" t="e">
        <f>AND('Planilla_General_03-12-2012_9_3'!F492,"AAAAAG9/17Y=")</f>
        <v>#VALUE!</v>
      </c>
      <c r="GB31" t="e">
        <f>AND('Planilla_General_03-12-2012_9_3'!G492,"AAAAAG9/17c=")</f>
        <v>#VALUE!</v>
      </c>
      <c r="GC31" t="e">
        <f>AND('Planilla_General_03-12-2012_9_3'!H492,"AAAAAG9/17g=")</f>
        <v>#VALUE!</v>
      </c>
      <c r="GD31" t="e">
        <f>AND('Planilla_General_03-12-2012_9_3'!I492,"AAAAAG9/17k=")</f>
        <v>#VALUE!</v>
      </c>
      <c r="GE31" t="e">
        <f>AND('Planilla_General_03-12-2012_9_3'!J492,"AAAAAG9/17o=")</f>
        <v>#VALUE!</v>
      </c>
      <c r="GF31" t="e">
        <f>AND('Planilla_General_03-12-2012_9_3'!K492,"AAAAAG9/17s=")</f>
        <v>#VALUE!</v>
      </c>
      <c r="GG31" t="e">
        <f>AND('Planilla_General_03-12-2012_9_3'!L492,"AAAAAG9/17w=")</f>
        <v>#VALUE!</v>
      </c>
      <c r="GH31" t="e">
        <f>AND('Planilla_General_03-12-2012_9_3'!M492,"AAAAAG9/170=")</f>
        <v>#VALUE!</v>
      </c>
      <c r="GI31" t="e">
        <f>AND('Planilla_General_03-12-2012_9_3'!N492,"AAAAAG9/174=")</f>
        <v>#VALUE!</v>
      </c>
      <c r="GJ31" t="e">
        <f>AND('Planilla_General_03-12-2012_9_3'!O492,"AAAAAG9/178=")</f>
        <v>#VALUE!</v>
      </c>
      <c r="GK31">
        <f>IF('Planilla_General_03-12-2012_9_3'!493:493,"AAAAAG9/18A=",0)</f>
        <v>0</v>
      </c>
      <c r="GL31" t="e">
        <f>AND('Planilla_General_03-12-2012_9_3'!A493,"AAAAAG9/18E=")</f>
        <v>#VALUE!</v>
      </c>
      <c r="GM31" t="e">
        <f>AND('Planilla_General_03-12-2012_9_3'!B493,"AAAAAG9/18I=")</f>
        <v>#VALUE!</v>
      </c>
      <c r="GN31" t="e">
        <f>AND('Planilla_General_03-12-2012_9_3'!C493,"AAAAAG9/18M=")</f>
        <v>#VALUE!</v>
      </c>
      <c r="GO31" t="e">
        <f>AND('Planilla_General_03-12-2012_9_3'!D493,"AAAAAG9/18Q=")</f>
        <v>#VALUE!</v>
      </c>
      <c r="GP31" t="e">
        <f>AND('Planilla_General_03-12-2012_9_3'!E493,"AAAAAG9/18U=")</f>
        <v>#VALUE!</v>
      </c>
      <c r="GQ31" t="e">
        <f>AND('Planilla_General_03-12-2012_9_3'!F493,"AAAAAG9/18Y=")</f>
        <v>#VALUE!</v>
      </c>
      <c r="GR31" t="e">
        <f>AND('Planilla_General_03-12-2012_9_3'!G493,"AAAAAG9/18c=")</f>
        <v>#VALUE!</v>
      </c>
      <c r="GS31" t="e">
        <f>AND('Planilla_General_03-12-2012_9_3'!H493,"AAAAAG9/18g=")</f>
        <v>#VALUE!</v>
      </c>
      <c r="GT31" t="e">
        <f>AND('Planilla_General_03-12-2012_9_3'!I493,"AAAAAG9/18k=")</f>
        <v>#VALUE!</v>
      </c>
      <c r="GU31" t="e">
        <f>AND('Planilla_General_03-12-2012_9_3'!J493,"AAAAAG9/18o=")</f>
        <v>#VALUE!</v>
      </c>
      <c r="GV31" t="e">
        <f>AND('Planilla_General_03-12-2012_9_3'!K493,"AAAAAG9/18s=")</f>
        <v>#VALUE!</v>
      </c>
      <c r="GW31" t="e">
        <f>AND('Planilla_General_03-12-2012_9_3'!L493,"AAAAAG9/18w=")</f>
        <v>#VALUE!</v>
      </c>
      <c r="GX31" t="e">
        <f>AND('Planilla_General_03-12-2012_9_3'!M493,"AAAAAG9/180=")</f>
        <v>#VALUE!</v>
      </c>
      <c r="GY31" t="e">
        <f>AND('Planilla_General_03-12-2012_9_3'!N493,"AAAAAG9/184=")</f>
        <v>#VALUE!</v>
      </c>
      <c r="GZ31" t="e">
        <f>AND('Planilla_General_03-12-2012_9_3'!O493,"AAAAAG9/188=")</f>
        <v>#VALUE!</v>
      </c>
      <c r="HA31">
        <f>IF('Planilla_General_03-12-2012_9_3'!494:494,"AAAAAG9/19A=",0)</f>
        <v>0</v>
      </c>
      <c r="HB31" t="e">
        <f>AND('Planilla_General_03-12-2012_9_3'!A494,"AAAAAG9/19E=")</f>
        <v>#VALUE!</v>
      </c>
      <c r="HC31" t="e">
        <f>AND('Planilla_General_03-12-2012_9_3'!B494,"AAAAAG9/19I=")</f>
        <v>#VALUE!</v>
      </c>
      <c r="HD31" t="e">
        <f>AND('Planilla_General_03-12-2012_9_3'!C494,"AAAAAG9/19M=")</f>
        <v>#VALUE!</v>
      </c>
      <c r="HE31" t="e">
        <f>AND('Planilla_General_03-12-2012_9_3'!D494,"AAAAAG9/19Q=")</f>
        <v>#VALUE!</v>
      </c>
      <c r="HF31" t="e">
        <f>AND('Planilla_General_03-12-2012_9_3'!E494,"AAAAAG9/19U=")</f>
        <v>#VALUE!</v>
      </c>
      <c r="HG31" t="e">
        <f>AND('Planilla_General_03-12-2012_9_3'!F494,"AAAAAG9/19Y=")</f>
        <v>#VALUE!</v>
      </c>
      <c r="HH31" t="e">
        <f>AND('Planilla_General_03-12-2012_9_3'!G494,"AAAAAG9/19c=")</f>
        <v>#VALUE!</v>
      </c>
      <c r="HI31" t="e">
        <f>AND('Planilla_General_03-12-2012_9_3'!H494,"AAAAAG9/19g=")</f>
        <v>#VALUE!</v>
      </c>
      <c r="HJ31" t="e">
        <f>AND('Planilla_General_03-12-2012_9_3'!I494,"AAAAAG9/19k=")</f>
        <v>#VALUE!</v>
      </c>
      <c r="HK31" t="e">
        <f>AND('Planilla_General_03-12-2012_9_3'!J494,"AAAAAG9/19o=")</f>
        <v>#VALUE!</v>
      </c>
      <c r="HL31" t="e">
        <f>AND('Planilla_General_03-12-2012_9_3'!K494,"AAAAAG9/19s=")</f>
        <v>#VALUE!</v>
      </c>
      <c r="HM31" t="e">
        <f>AND('Planilla_General_03-12-2012_9_3'!L494,"AAAAAG9/19w=")</f>
        <v>#VALUE!</v>
      </c>
      <c r="HN31" t="e">
        <f>AND('Planilla_General_03-12-2012_9_3'!M494,"AAAAAG9/190=")</f>
        <v>#VALUE!</v>
      </c>
      <c r="HO31" t="e">
        <f>AND('Planilla_General_03-12-2012_9_3'!N494,"AAAAAG9/194=")</f>
        <v>#VALUE!</v>
      </c>
      <c r="HP31" t="e">
        <f>AND('Planilla_General_03-12-2012_9_3'!O494,"AAAAAG9/198=")</f>
        <v>#VALUE!</v>
      </c>
      <c r="HQ31">
        <f>IF('Planilla_General_03-12-2012_9_3'!495:495,"AAAAAG9/1+A=",0)</f>
        <v>0</v>
      </c>
      <c r="HR31" t="e">
        <f>AND('Planilla_General_03-12-2012_9_3'!A495,"AAAAAG9/1+E=")</f>
        <v>#VALUE!</v>
      </c>
      <c r="HS31" t="e">
        <f>AND('Planilla_General_03-12-2012_9_3'!B495,"AAAAAG9/1+I=")</f>
        <v>#VALUE!</v>
      </c>
      <c r="HT31" t="e">
        <f>AND('Planilla_General_03-12-2012_9_3'!C495,"AAAAAG9/1+M=")</f>
        <v>#VALUE!</v>
      </c>
      <c r="HU31" t="e">
        <f>AND('Planilla_General_03-12-2012_9_3'!D495,"AAAAAG9/1+Q=")</f>
        <v>#VALUE!</v>
      </c>
      <c r="HV31" t="e">
        <f>AND('Planilla_General_03-12-2012_9_3'!E495,"AAAAAG9/1+U=")</f>
        <v>#VALUE!</v>
      </c>
      <c r="HW31" t="e">
        <f>AND('Planilla_General_03-12-2012_9_3'!F495,"AAAAAG9/1+Y=")</f>
        <v>#VALUE!</v>
      </c>
      <c r="HX31" t="e">
        <f>AND('Planilla_General_03-12-2012_9_3'!G495,"AAAAAG9/1+c=")</f>
        <v>#VALUE!</v>
      </c>
      <c r="HY31" t="e">
        <f>AND('Planilla_General_03-12-2012_9_3'!H495,"AAAAAG9/1+g=")</f>
        <v>#VALUE!</v>
      </c>
      <c r="HZ31" t="e">
        <f>AND('Planilla_General_03-12-2012_9_3'!I495,"AAAAAG9/1+k=")</f>
        <v>#VALUE!</v>
      </c>
      <c r="IA31" t="e">
        <f>AND('Planilla_General_03-12-2012_9_3'!J495,"AAAAAG9/1+o=")</f>
        <v>#VALUE!</v>
      </c>
      <c r="IB31" t="e">
        <f>AND('Planilla_General_03-12-2012_9_3'!K495,"AAAAAG9/1+s=")</f>
        <v>#VALUE!</v>
      </c>
      <c r="IC31" t="e">
        <f>AND('Planilla_General_03-12-2012_9_3'!L495,"AAAAAG9/1+w=")</f>
        <v>#VALUE!</v>
      </c>
      <c r="ID31" t="e">
        <f>AND('Planilla_General_03-12-2012_9_3'!M495,"AAAAAG9/1+0=")</f>
        <v>#VALUE!</v>
      </c>
      <c r="IE31" t="e">
        <f>AND('Planilla_General_03-12-2012_9_3'!N495,"AAAAAG9/1+4=")</f>
        <v>#VALUE!</v>
      </c>
      <c r="IF31" t="e">
        <f>AND('Planilla_General_03-12-2012_9_3'!O495,"AAAAAG9/1+8=")</f>
        <v>#VALUE!</v>
      </c>
      <c r="IG31">
        <f>IF('Planilla_General_03-12-2012_9_3'!496:496,"AAAAAG9/1/A=",0)</f>
        <v>0</v>
      </c>
      <c r="IH31" t="e">
        <f>AND('Planilla_General_03-12-2012_9_3'!A496,"AAAAAG9/1/E=")</f>
        <v>#VALUE!</v>
      </c>
      <c r="II31" t="e">
        <f>AND('Planilla_General_03-12-2012_9_3'!B496,"AAAAAG9/1/I=")</f>
        <v>#VALUE!</v>
      </c>
      <c r="IJ31" t="e">
        <f>AND('Planilla_General_03-12-2012_9_3'!C496,"AAAAAG9/1/M=")</f>
        <v>#VALUE!</v>
      </c>
      <c r="IK31" t="e">
        <f>AND('Planilla_General_03-12-2012_9_3'!D496,"AAAAAG9/1/Q=")</f>
        <v>#VALUE!</v>
      </c>
      <c r="IL31" t="e">
        <f>AND('Planilla_General_03-12-2012_9_3'!E496,"AAAAAG9/1/U=")</f>
        <v>#VALUE!</v>
      </c>
      <c r="IM31" t="e">
        <f>AND('Planilla_General_03-12-2012_9_3'!F496,"AAAAAG9/1/Y=")</f>
        <v>#VALUE!</v>
      </c>
      <c r="IN31" t="e">
        <f>AND('Planilla_General_03-12-2012_9_3'!G496,"AAAAAG9/1/c=")</f>
        <v>#VALUE!</v>
      </c>
      <c r="IO31" t="e">
        <f>AND('Planilla_General_03-12-2012_9_3'!H496,"AAAAAG9/1/g=")</f>
        <v>#VALUE!</v>
      </c>
      <c r="IP31" t="e">
        <f>AND('Planilla_General_03-12-2012_9_3'!I496,"AAAAAG9/1/k=")</f>
        <v>#VALUE!</v>
      </c>
      <c r="IQ31" t="e">
        <f>AND('Planilla_General_03-12-2012_9_3'!J496,"AAAAAG9/1/o=")</f>
        <v>#VALUE!</v>
      </c>
      <c r="IR31" t="e">
        <f>AND('Planilla_General_03-12-2012_9_3'!K496,"AAAAAG9/1/s=")</f>
        <v>#VALUE!</v>
      </c>
      <c r="IS31" t="e">
        <f>AND('Planilla_General_03-12-2012_9_3'!L496,"AAAAAG9/1/w=")</f>
        <v>#VALUE!</v>
      </c>
      <c r="IT31" t="e">
        <f>AND('Planilla_General_03-12-2012_9_3'!M496,"AAAAAG9/1/0=")</f>
        <v>#VALUE!</v>
      </c>
      <c r="IU31" t="e">
        <f>AND('Planilla_General_03-12-2012_9_3'!N496,"AAAAAG9/1/4=")</f>
        <v>#VALUE!</v>
      </c>
      <c r="IV31" t="e">
        <f>AND('Planilla_General_03-12-2012_9_3'!O496,"AAAAAG9/1/8=")</f>
        <v>#VALUE!</v>
      </c>
    </row>
    <row r="32" spans="1:256" x14ac:dyDescent="0.25">
      <c r="A32" t="e">
        <f>IF('Planilla_General_03-12-2012_9_3'!497:497,"AAAAAHPamwA=",0)</f>
        <v>#VALUE!</v>
      </c>
      <c r="B32" t="e">
        <f>AND('Planilla_General_03-12-2012_9_3'!A497,"AAAAAHPamwE=")</f>
        <v>#VALUE!</v>
      </c>
      <c r="C32" t="e">
        <f>AND('Planilla_General_03-12-2012_9_3'!B497,"AAAAAHPamwI=")</f>
        <v>#VALUE!</v>
      </c>
      <c r="D32" t="e">
        <f>AND('Planilla_General_03-12-2012_9_3'!C497,"AAAAAHPamwM=")</f>
        <v>#VALUE!</v>
      </c>
      <c r="E32" t="e">
        <f>AND('Planilla_General_03-12-2012_9_3'!D497,"AAAAAHPamwQ=")</f>
        <v>#VALUE!</v>
      </c>
      <c r="F32" t="e">
        <f>AND('Planilla_General_03-12-2012_9_3'!E497,"AAAAAHPamwU=")</f>
        <v>#VALUE!</v>
      </c>
      <c r="G32" t="e">
        <f>AND('Planilla_General_03-12-2012_9_3'!F497,"AAAAAHPamwY=")</f>
        <v>#VALUE!</v>
      </c>
      <c r="H32" t="e">
        <f>AND('Planilla_General_03-12-2012_9_3'!G497,"AAAAAHPamwc=")</f>
        <v>#VALUE!</v>
      </c>
      <c r="I32" t="e">
        <f>AND('Planilla_General_03-12-2012_9_3'!H497,"AAAAAHPamwg=")</f>
        <v>#VALUE!</v>
      </c>
      <c r="J32" t="e">
        <f>AND('Planilla_General_03-12-2012_9_3'!I497,"AAAAAHPamwk=")</f>
        <v>#VALUE!</v>
      </c>
      <c r="K32" t="e">
        <f>AND('Planilla_General_03-12-2012_9_3'!J497,"AAAAAHPamwo=")</f>
        <v>#VALUE!</v>
      </c>
      <c r="L32" t="e">
        <f>AND('Planilla_General_03-12-2012_9_3'!K497,"AAAAAHPamws=")</f>
        <v>#VALUE!</v>
      </c>
      <c r="M32" t="e">
        <f>AND('Planilla_General_03-12-2012_9_3'!L497,"AAAAAHPamww=")</f>
        <v>#VALUE!</v>
      </c>
      <c r="N32" t="e">
        <f>AND('Planilla_General_03-12-2012_9_3'!M497,"AAAAAHPamw0=")</f>
        <v>#VALUE!</v>
      </c>
      <c r="O32" t="e">
        <f>AND('Planilla_General_03-12-2012_9_3'!N497,"AAAAAHPamw4=")</f>
        <v>#VALUE!</v>
      </c>
      <c r="P32" t="e">
        <f>AND('Planilla_General_03-12-2012_9_3'!O497,"AAAAAHPamw8=")</f>
        <v>#VALUE!</v>
      </c>
      <c r="Q32">
        <f>IF('Planilla_General_03-12-2012_9_3'!498:498,"AAAAAHPamxA=",0)</f>
        <v>0</v>
      </c>
      <c r="R32" t="e">
        <f>AND('Planilla_General_03-12-2012_9_3'!A498,"AAAAAHPamxE=")</f>
        <v>#VALUE!</v>
      </c>
      <c r="S32" t="e">
        <f>AND('Planilla_General_03-12-2012_9_3'!B498,"AAAAAHPamxI=")</f>
        <v>#VALUE!</v>
      </c>
      <c r="T32" t="e">
        <f>AND('Planilla_General_03-12-2012_9_3'!C498,"AAAAAHPamxM=")</f>
        <v>#VALUE!</v>
      </c>
      <c r="U32" t="e">
        <f>AND('Planilla_General_03-12-2012_9_3'!D498,"AAAAAHPamxQ=")</f>
        <v>#VALUE!</v>
      </c>
      <c r="V32" t="e">
        <f>AND('Planilla_General_03-12-2012_9_3'!E498,"AAAAAHPamxU=")</f>
        <v>#VALUE!</v>
      </c>
      <c r="W32" t="e">
        <f>AND('Planilla_General_03-12-2012_9_3'!F498,"AAAAAHPamxY=")</f>
        <v>#VALUE!</v>
      </c>
      <c r="X32" t="e">
        <f>AND('Planilla_General_03-12-2012_9_3'!G498,"AAAAAHPamxc=")</f>
        <v>#VALUE!</v>
      </c>
      <c r="Y32" t="e">
        <f>AND('Planilla_General_03-12-2012_9_3'!H498,"AAAAAHPamxg=")</f>
        <v>#VALUE!</v>
      </c>
      <c r="Z32" t="e">
        <f>AND('Planilla_General_03-12-2012_9_3'!I498,"AAAAAHPamxk=")</f>
        <v>#VALUE!</v>
      </c>
      <c r="AA32" t="e">
        <f>AND('Planilla_General_03-12-2012_9_3'!J498,"AAAAAHPamxo=")</f>
        <v>#VALUE!</v>
      </c>
      <c r="AB32" t="e">
        <f>AND('Planilla_General_03-12-2012_9_3'!K498,"AAAAAHPamxs=")</f>
        <v>#VALUE!</v>
      </c>
      <c r="AC32" t="e">
        <f>AND('Planilla_General_03-12-2012_9_3'!L498,"AAAAAHPamxw=")</f>
        <v>#VALUE!</v>
      </c>
      <c r="AD32" t="e">
        <f>AND('Planilla_General_03-12-2012_9_3'!M498,"AAAAAHPamx0=")</f>
        <v>#VALUE!</v>
      </c>
      <c r="AE32" t="e">
        <f>AND('Planilla_General_03-12-2012_9_3'!N498,"AAAAAHPamx4=")</f>
        <v>#VALUE!</v>
      </c>
      <c r="AF32" t="e">
        <f>AND('Planilla_General_03-12-2012_9_3'!O498,"AAAAAHPamx8=")</f>
        <v>#VALUE!</v>
      </c>
      <c r="AG32">
        <f>IF('Planilla_General_03-12-2012_9_3'!499:499,"AAAAAHPamyA=",0)</f>
        <v>0</v>
      </c>
      <c r="AH32" t="e">
        <f>AND('Planilla_General_03-12-2012_9_3'!A499,"AAAAAHPamyE=")</f>
        <v>#VALUE!</v>
      </c>
      <c r="AI32" t="e">
        <f>AND('Planilla_General_03-12-2012_9_3'!B499,"AAAAAHPamyI=")</f>
        <v>#VALUE!</v>
      </c>
      <c r="AJ32" t="e">
        <f>AND('Planilla_General_03-12-2012_9_3'!C499,"AAAAAHPamyM=")</f>
        <v>#VALUE!</v>
      </c>
      <c r="AK32" t="e">
        <f>AND('Planilla_General_03-12-2012_9_3'!D499,"AAAAAHPamyQ=")</f>
        <v>#VALUE!</v>
      </c>
      <c r="AL32" t="e">
        <f>AND('Planilla_General_03-12-2012_9_3'!E499,"AAAAAHPamyU=")</f>
        <v>#VALUE!</v>
      </c>
      <c r="AM32" t="e">
        <f>AND('Planilla_General_03-12-2012_9_3'!F499,"AAAAAHPamyY=")</f>
        <v>#VALUE!</v>
      </c>
      <c r="AN32" t="e">
        <f>AND('Planilla_General_03-12-2012_9_3'!G499,"AAAAAHPamyc=")</f>
        <v>#VALUE!</v>
      </c>
      <c r="AO32" t="e">
        <f>AND('Planilla_General_03-12-2012_9_3'!H499,"AAAAAHPamyg=")</f>
        <v>#VALUE!</v>
      </c>
      <c r="AP32" t="e">
        <f>AND('Planilla_General_03-12-2012_9_3'!I499,"AAAAAHPamyk=")</f>
        <v>#VALUE!</v>
      </c>
      <c r="AQ32" t="e">
        <f>AND('Planilla_General_03-12-2012_9_3'!J499,"AAAAAHPamyo=")</f>
        <v>#VALUE!</v>
      </c>
      <c r="AR32" t="e">
        <f>AND('Planilla_General_03-12-2012_9_3'!K499,"AAAAAHPamys=")</f>
        <v>#VALUE!</v>
      </c>
      <c r="AS32" t="e">
        <f>AND('Planilla_General_03-12-2012_9_3'!L499,"AAAAAHPamyw=")</f>
        <v>#VALUE!</v>
      </c>
      <c r="AT32" t="e">
        <f>AND('Planilla_General_03-12-2012_9_3'!M499,"AAAAAHPamy0=")</f>
        <v>#VALUE!</v>
      </c>
      <c r="AU32" t="e">
        <f>AND('Planilla_General_03-12-2012_9_3'!N499,"AAAAAHPamy4=")</f>
        <v>#VALUE!</v>
      </c>
      <c r="AV32" t="e">
        <f>AND('Planilla_General_03-12-2012_9_3'!O499,"AAAAAHPamy8=")</f>
        <v>#VALUE!</v>
      </c>
      <c r="AW32">
        <f>IF('Planilla_General_03-12-2012_9_3'!500:500,"AAAAAHPamzA=",0)</f>
        <v>0</v>
      </c>
      <c r="AX32" t="e">
        <f>AND('Planilla_General_03-12-2012_9_3'!A500,"AAAAAHPamzE=")</f>
        <v>#VALUE!</v>
      </c>
      <c r="AY32" t="e">
        <f>AND('Planilla_General_03-12-2012_9_3'!B500,"AAAAAHPamzI=")</f>
        <v>#VALUE!</v>
      </c>
      <c r="AZ32" t="e">
        <f>AND('Planilla_General_03-12-2012_9_3'!C500,"AAAAAHPamzM=")</f>
        <v>#VALUE!</v>
      </c>
      <c r="BA32" t="e">
        <f>AND('Planilla_General_03-12-2012_9_3'!D500,"AAAAAHPamzQ=")</f>
        <v>#VALUE!</v>
      </c>
      <c r="BB32" t="e">
        <f>AND('Planilla_General_03-12-2012_9_3'!E500,"AAAAAHPamzU=")</f>
        <v>#VALUE!</v>
      </c>
      <c r="BC32" t="e">
        <f>AND('Planilla_General_03-12-2012_9_3'!F500,"AAAAAHPamzY=")</f>
        <v>#VALUE!</v>
      </c>
      <c r="BD32" t="e">
        <f>AND('Planilla_General_03-12-2012_9_3'!G500,"AAAAAHPamzc=")</f>
        <v>#VALUE!</v>
      </c>
      <c r="BE32" t="e">
        <f>AND('Planilla_General_03-12-2012_9_3'!H500,"AAAAAHPamzg=")</f>
        <v>#VALUE!</v>
      </c>
      <c r="BF32" t="e">
        <f>AND('Planilla_General_03-12-2012_9_3'!I500,"AAAAAHPamzk=")</f>
        <v>#VALUE!</v>
      </c>
      <c r="BG32" t="e">
        <f>AND('Planilla_General_03-12-2012_9_3'!J500,"AAAAAHPamzo=")</f>
        <v>#VALUE!</v>
      </c>
      <c r="BH32" t="e">
        <f>AND('Planilla_General_03-12-2012_9_3'!K500,"AAAAAHPamzs=")</f>
        <v>#VALUE!</v>
      </c>
      <c r="BI32" t="e">
        <f>AND('Planilla_General_03-12-2012_9_3'!L500,"AAAAAHPamzw=")</f>
        <v>#VALUE!</v>
      </c>
      <c r="BJ32" t="e">
        <f>AND('Planilla_General_03-12-2012_9_3'!M500,"AAAAAHPamz0=")</f>
        <v>#VALUE!</v>
      </c>
      <c r="BK32" t="e">
        <f>AND('Planilla_General_03-12-2012_9_3'!N500,"AAAAAHPamz4=")</f>
        <v>#VALUE!</v>
      </c>
      <c r="BL32" t="e">
        <f>AND('Planilla_General_03-12-2012_9_3'!O500,"AAAAAHPamz8=")</f>
        <v>#VALUE!</v>
      </c>
      <c r="BM32">
        <f>IF('Planilla_General_03-12-2012_9_3'!501:501,"AAAAAHPam0A=",0)</f>
        <v>0</v>
      </c>
      <c r="BN32" t="e">
        <f>AND('Planilla_General_03-12-2012_9_3'!A501,"AAAAAHPam0E=")</f>
        <v>#VALUE!</v>
      </c>
      <c r="BO32" t="e">
        <f>AND('Planilla_General_03-12-2012_9_3'!B501,"AAAAAHPam0I=")</f>
        <v>#VALUE!</v>
      </c>
      <c r="BP32" t="e">
        <f>AND('Planilla_General_03-12-2012_9_3'!C501,"AAAAAHPam0M=")</f>
        <v>#VALUE!</v>
      </c>
      <c r="BQ32" t="e">
        <f>AND('Planilla_General_03-12-2012_9_3'!D501,"AAAAAHPam0Q=")</f>
        <v>#VALUE!</v>
      </c>
      <c r="BR32" t="e">
        <f>AND('Planilla_General_03-12-2012_9_3'!E501,"AAAAAHPam0U=")</f>
        <v>#VALUE!</v>
      </c>
      <c r="BS32" t="e">
        <f>AND('Planilla_General_03-12-2012_9_3'!F501,"AAAAAHPam0Y=")</f>
        <v>#VALUE!</v>
      </c>
      <c r="BT32" t="e">
        <f>AND('Planilla_General_03-12-2012_9_3'!G501,"AAAAAHPam0c=")</f>
        <v>#VALUE!</v>
      </c>
      <c r="BU32" t="e">
        <f>AND('Planilla_General_03-12-2012_9_3'!H501,"AAAAAHPam0g=")</f>
        <v>#VALUE!</v>
      </c>
      <c r="BV32" t="e">
        <f>AND('Planilla_General_03-12-2012_9_3'!I501,"AAAAAHPam0k=")</f>
        <v>#VALUE!</v>
      </c>
      <c r="BW32" t="e">
        <f>AND('Planilla_General_03-12-2012_9_3'!J501,"AAAAAHPam0o=")</f>
        <v>#VALUE!</v>
      </c>
      <c r="BX32" t="e">
        <f>AND('Planilla_General_03-12-2012_9_3'!K501,"AAAAAHPam0s=")</f>
        <v>#VALUE!</v>
      </c>
      <c r="BY32" t="e">
        <f>AND('Planilla_General_03-12-2012_9_3'!L501,"AAAAAHPam0w=")</f>
        <v>#VALUE!</v>
      </c>
      <c r="BZ32" t="e">
        <f>AND('Planilla_General_03-12-2012_9_3'!M501,"AAAAAHPam00=")</f>
        <v>#VALUE!</v>
      </c>
      <c r="CA32" t="e">
        <f>AND('Planilla_General_03-12-2012_9_3'!N501,"AAAAAHPam04=")</f>
        <v>#VALUE!</v>
      </c>
      <c r="CB32" t="e">
        <f>AND('Planilla_General_03-12-2012_9_3'!O501,"AAAAAHPam08=")</f>
        <v>#VALUE!</v>
      </c>
      <c r="CC32">
        <f>IF('Planilla_General_03-12-2012_9_3'!502:502,"AAAAAHPam1A=",0)</f>
        <v>0</v>
      </c>
      <c r="CD32" t="e">
        <f>AND('Planilla_General_03-12-2012_9_3'!A502,"AAAAAHPam1E=")</f>
        <v>#VALUE!</v>
      </c>
      <c r="CE32" t="e">
        <f>AND('Planilla_General_03-12-2012_9_3'!B502,"AAAAAHPam1I=")</f>
        <v>#VALUE!</v>
      </c>
      <c r="CF32" t="e">
        <f>AND('Planilla_General_03-12-2012_9_3'!C502,"AAAAAHPam1M=")</f>
        <v>#VALUE!</v>
      </c>
      <c r="CG32" t="e">
        <f>AND('Planilla_General_03-12-2012_9_3'!D502,"AAAAAHPam1Q=")</f>
        <v>#VALUE!</v>
      </c>
      <c r="CH32" t="e">
        <f>AND('Planilla_General_03-12-2012_9_3'!E502,"AAAAAHPam1U=")</f>
        <v>#VALUE!</v>
      </c>
      <c r="CI32" t="e">
        <f>AND('Planilla_General_03-12-2012_9_3'!F502,"AAAAAHPam1Y=")</f>
        <v>#VALUE!</v>
      </c>
      <c r="CJ32" t="e">
        <f>AND('Planilla_General_03-12-2012_9_3'!G502,"AAAAAHPam1c=")</f>
        <v>#VALUE!</v>
      </c>
      <c r="CK32" t="e">
        <f>AND('Planilla_General_03-12-2012_9_3'!H502,"AAAAAHPam1g=")</f>
        <v>#VALUE!</v>
      </c>
      <c r="CL32" t="e">
        <f>AND('Planilla_General_03-12-2012_9_3'!I502,"AAAAAHPam1k=")</f>
        <v>#VALUE!</v>
      </c>
      <c r="CM32" t="e">
        <f>AND('Planilla_General_03-12-2012_9_3'!J502,"AAAAAHPam1o=")</f>
        <v>#VALUE!</v>
      </c>
      <c r="CN32" t="e">
        <f>AND('Planilla_General_03-12-2012_9_3'!K502,"AAAAAHPam1s=")</f>
        <v>#VALUE!</v>
      </c>
      <c r="CO32" t="e">
        <f>AND('Planilla_General_03-12-2012_9_3'!L502,"AAAAAHPam1w=")</f>
        <v>#VALUE!</v>
      </c>
      <c r="CP32" t="e">
        <f>AND('Planilla_General_03-12-2012_9_3'!M502,"AAAAAHPam10=")</f>
        <v>#VALUE!</v>
      </c>
      <c r="CQ32" t="e">
        <f>AND('Planilla_General_03-12-2012_9_3'!N502,"AAAAAHPam14=")</f>
        <v>#VALUE!</v>
      </c>
      <c r="CR32" t="e">
        <f>AND('Planilla_General_03-12-2012_9_3'!O502,"AAAAAHPam18=")</f>
        <v>#VALUE!</v>
      </c>
      <c r="CS32">
        <f>IF('Planilla_General_03-12-2012_9_3'!503:503,"AAAAAHPam2A=",0)</f>
        <v>0</v>
      </c>
      <c r="CT32" t="e">
        <f>AND('Planilla_General_03-12-2012_9_3'!A503,"AAAAAHPam2E=")</f>
        <v>#VALUE!</v>
      </c>
      <c r="CU32" t="e">
        <f>AND('Planilla_General_03-12-2012_9_3'!B503,"AAAAAHPam2I=")</f>
        <v>#VALUE!</v>
      </c>
      <c r="CV32" t="e">
        <f>AND('Planilla_General_03-12-2012_9_3'!C503,"AAAAAHPam2M=")</f>
        <v>#VALUE!</v>
      </c>
      <c r="CW32" t="e">
        <f>AND('Planilla_General_03-12-2012_9_3'!D503,"AAAAAHPam2Q=")</f>
        <v>#VALUE!</v>
      </c>
      <c r="CX32" t="e">
        <f>AND('Planilla_General_03-12-2012_9_3'!E503,"AAAAAHPam2U=")</f>
        <v>#VALUE!</v>
      </c>
      <c r="CY32" t="e">
        <f>AND('Planilla_General_03-12-2012_9_3'!F503,"AAAAAHPam2Y=")</f>
        <v>#VALUE!</v>
      </c>
      <c r="CZ32" t="e">
        <f>AND('Planilla_General_03-12-2012_9_3'!G503,"AAAAAHPam2c=")</f>
        <v>#VALUE!</v>
      </c>
      <c r="DA32" t="e">
        <f>AND('Planilla_General_03-12-2012_9_3'!H503,"AAAAAHPam2g=")</f>
        <v>#VALUE!</v>
      </c>
      <c r="DB32" t="e">
        <f>AND('Planilla_General_03-12-2012_9_3'!I503,"AAAAAHPam2k=")</f>
        <v>#VALUE!</v>
      </c>
      <c r="DC32" t="e">
        <f>AND('Planilla_General_03-12-2012_9_3'!J503,"AAAAAHPam2o=")</f>
        <v>#VALUE!</v>
      </c>
      <c r="DD32" t="e">
        <f>AND('Planilla_General_03-12-2012_9_3'!K503,"AAAAAHPam2s=")</f>
        <v>#VALUE!</v>
      </c>
      <c r="DE32" t="e">
        <f>AND('Planilla_General_03-12-2012_9_3'!L503,"AAAAAHPam2w=")</f>
        <v>#VALUE!</v>
      </c>
      <c r="DF32" t="e">
        <f>AND('Planilla_General_03-12-2012_9_3'!M503,"AAAAAHPam20=")</f>
        <v>#VALUE!</v>
      </c>
      <c r="DG32" t="e">
        <f>AND('Planilla_General_03-12-2012_9_3'!N503,"AAAAAHPam24=")</f>
        <v>#VALUE!</v>
      </c>
      <c r="DH32" t="e">
        <f>AND('Planilla_General_03-12-2012_9_3'!O503,"AAAAAHPam28=")</f>
        <v>#VALUE!</v>
      </c>
      <c r="DI32">
        <f>IF('Planilla_General_03-12-2012_9_3'!504:504,"AAAAAHPam3A=",0)</f>
        <v>0</v>
      </c>
      <c r="DJ32" t="e">
        <f>AND('Planilla_General_03-12-2012_9_3'!A504,"AAAAAHPam3E=")</f>
        <v>#VALUE!</v>
      </c>
      <c r="DK32" t="e">
        <f>AND('Planilla_General_03-12-2012_9_3'!B504,"AAAAAHPam3I=")</f>
        <v>#VALUE!</v>
      </c>
      <c r="DL32" t="e">
        <f>AND('Planilla_General_03-12-2012_9_3'!C504,"AAAAAHPam3M=")</f>
        <v>#VALUE!</v>
      </c>
      <c r="DM32" t="e">
        <f>AND('Planilla_General_03-12-2012_9_3'!D504,"AAAAAHPam3Q=")</f>
        <v>#VALUE!</v>
      </c>
      <c r="DN32" t="e">
        <f>AND('Planilla_General_03-12-2012_9_3'!E504,"AAAAAHPam3U=")</f>
        <v>#VALUE!</v>
      </c>
      <c r="DO32" t="e">
        <f>AND('Planilla_General_03-12-2012_9_3'!F504,"AAAAAHPam3Y=")</f>
        <v>#VALUE!</v>
      </c>
      <c r="DP32" t="e">
        <f>AND('Planilla_General_03-12-2012_9_3'!G504,"AAAAAHPam3c=")</f>
        <v>#VALUE!</v>
      </c>
      <c r="DQ32" t="e">
        <f>AND('Planilla_General_03-12-2012_9_3'!H504,"AAAAAHPam3g=")</f>
        <v>#VALUE!</v>
      </c>
      <c r="DR32" t="e">
        <f>AND('Planilla_General_03-12-2012_9_3'!I504,"AAAAAHPam3k=")</f>
        <v>#VALUE!</v>
      </c>
      <c r="DS32" t="e">
        <f>AND('Planilla_General_03-12-2012_9_3'!J504,"AAAAAHPam3o=")</f>
        <v>#VALUE!</v>
      </c>
      <c r="DT32" t="e">
        <f>AND('Planilla_General_03-12-2012_9_3'!K504,"AAAAAHPam3s=")</f>
        <v>#VALUE!</v>
      </c>
      <c r="DU32" t="e">
        <f>AND('Planilla_General_03-12-2012_9_3'!L504,"AAAAAHPam3w=")</f>
        <v>#VALUE!</v>
      </c>
      <c r="DV32" t="e">
        <f>AND('Planilla_General_03-12-2012_9_3'!M504,"AAAAAHPam30=")</f>
        <v>#VALUE!</v>
      </c>
      <c r="DW32" t="e">
        <f>AND('Planilla_General_03-12-2012_9_3'!N504,"AAAAAHPam34=")</f>
        <v>#VALUE!</v>
      </c>
      <c r="DX32" t="e">
        <f>AND('Planilla_General_03-12-2012_9_3'!O504,"AAAAAHPam38=")</f>
        <v>#VALUE!</v>
      </c>
      <c r="DY32">
        <f>IF('Planilla_General_03-12-2012_9_3'!505:505,"AAAAAHPam4A=",0)</f>
        <v>0</v>
      </c>
      <c r="DZ32" t="e">
        <f>AND('Planilla_General_03-12-2012_9_3'!A505,"AAAAAHPam4E=")</f>
        <v>#VALUE!</v>
      </c>
      <c r="EA32" t="e">
        <f>AND('Planilla_General_03-12-2012_9_3'!B505,"AAAAAHPam4I=")</f>
        <v>#VALUE!</v>
      </c>
      <c r="EB32" t="e">
        <f>AND('Planilla_General_03-12-2012_9_3'!C505,"AAAAAHPam4M=")</f>
        <v>#VALUE!</v>
      </c>
      <c r="EC32" t="e">
        <f>AND('Planilla_General_03-12-2012_9_3'!D505,"AAAAAHPam4Q=")</f>
        <v>#VALUE!</v>
      </c>
      <c r="ED32" t="e">
        <f>AND('Planilla_General_03-12-2012_9_3'!E505,"AAAAAHPam4U=")</f>
        <v>#VALUE!</v>
      </c>
      <c r="EE32" t="e">
        <f>AND('Planilla_General_03-12-2012_9_3'!F505,"AAAAAHPam4Y=")</f>
        <v>#VALUE!</v>
      </c>
      <c r="EF32" t="e">
        <f>AND('Planilla_General_03-12-2012_9_3'!G505,"AAAAAHPam4c=")</f>
        <v>#VALUE!</v>
      </c>
      <c r="EG32" t="e">
        <f>AND('Planilla_General_03-12-2012_9_3'!H505,"AAAAAHPam4g=")</f>
        <v>#VALUE!</v>
      </c>
      <c r="EH32" t="e">
        <f>AND('Planilla_General_03-12-2012_9_3'!I505,"AAAAAHPam4k=")</f>
        <v>#VALUE!</v>
      </c>
      <c r="EI32" t="e">
        <f>AND('Planilla_General_03-12-2012_9_3'!J505,"AAAAAHPam4o=")</f>
        <v>#VALUE!</v>
      </c>
      <c r="EJ32" t="e">
        <f>AND('Planilla_General_03-12-2012_9_3'!K505,"AAAAAHPam4s=")</f>
        <v>#VALUE!</v>
      </c>
      <c r="EK32" t="e">
        <f>AND('Planilla_General_03-12-2012_9_3'!L505,"AAAAAHPam4w=")</f>
        <v>#VALUE!</v>
      </c>
      <c r="EL32" t="e">
        <f>AND('Planilla_General_03-12-2012_9_3'!M505,"AAAAAHPam40=")</f>
        <v>#VALUE!</v>
      </c>
      <c r="EM32" t="e">
        <f>AND('Planilla_General_03-12-2012_9_3'!N505,"AAAAAHPam44=")</f>
        <v>#VALUE!</v>
      </c>
      <c r="EN32" t="e">
        <f>AND('Planilla_General_03-12-2012_9_3'!O505,"AAAAAHPam48=")</f>
        <v>#VALUE!</v>
      </c>
      <c r="EO32">
        <f>IF('Planilla_General_03-12-2012_9_3'!506:506,"AAAAAHPam5A=",0)</f>
        <v>0</v>
      </c>
      <c r="EP32" t="e">
        <f>AND('Planilla_General_03-12-2012_9_3'!A506,"AAAAAHPam5E=")</f>
        <v>#VALUE!</v>
      </c>
      <c r="EQ32" t="e">
        <f>AND('Planilla_General_03-12-2012_9_3'!B506,"AAAAAHPam5I=")</f>
        <v>#VALUE!</v>
      </c>
      <c r="ER32" t="e">
        <f>AND('Planilla_General_03-12-2012_9_3'!C506,"AAAAAHPam5M=")</f>
        <v>#VALUE!</v>
      </c>
      <c r="ES32" t="e">
        <f>AND('Planilla_General_03-12-2012_9_3'!D506,"AAAAAHPam5Q=")</f>
        <v>#VALUE!</v>
      </c>
      <c r="ET32" t="e">
        <f>AND('Planilla_General_03-12-2012_9_3'!E506,"AAAAAHPam5U=")</f>
        <v>#VALUE!</v>
      </c>
      <c r="EU32" t="e">
        <f>AND('Planilla_General_03-12-2012_9_3'!F506,"AAAAAHPam5Y=")</f>
        <v>#VALUE!</v>
      </c>
      <c r="EV32" t="e">
        <f>AND('Planilla_General_03-12-2012_9_3'!G506,"AAAAAHPam5c=")</f>
        <v>#VALUE!</v>
      </c>
      <c r="EW32" t="e">
        <f>AND('Planilla_General_03-12-2012_9_3'!H506,"AAAAAHPam5g=")</f>
        <v>#VALUE!</v>
      </c>
      <c r="EX32" t="e">
        <f>AND('Planilla_General_03-12-2012_9_3'!I506,"AAAAAHPam5k=")</f>
        <v>#VALUE!</v>
      </c>
      <c r="EY32" t="e">
        <f>AND('Planilla_General_03-12-2012_9_3'!J506,"AAAAAHPam5o=")</f>
        <v>#VALUE!</v>
      </c>
      <c r="EZ32" t="e">
        <f>AND('Planilla_General_03-12-2012_9_3'!K506,"AAAAAHPam5s=")</f>
        <v>#VALUE!</v>
      </c>
      <c r="FA32" t="e">
        <f>AND('Planilla_General_03-12-2012_9_3'!L506,"AAAAAHPam5w=")</f>
        <v>#VALUE!</v>
      </c>
      <c r="FB32" t="e">
        <f>AND('Planilla_General_03-12-2012_9_3'!M506,"AAAAAHPam50=")</f>
        <v>#VALUE!</v>
      </c>
      <c r="FC32" t="e">
        <f>AND('Planilla_General_03-12-2012_9_3'!N506,"AAAAAHPam54=")</f>
        <v>#VALUE!</v>
      </c>
      <c r="FD32" t="e">
        <f>AND('Planilla_General_03-12-2012_9_3'!O506,"AAAAAHPam58=")</f>
        <v>#VALUE!</v>
      </c>
      <c r="FE32">
        <f>IF('Planilla_General_03-12-2012_9_3'!507:507,"AAAAAHPam6A=",0)</f>
        <v>0</v>
      </c>
      <c r="FF32" t="e">
        <f>AND('Planilla_General_03-12-2012_9_3'!A507,"AAAAAHPam6E=")</f>
        <v>#VALUE!</v>
      </c>
      <c r="FG32" t="e">
        <f>AND('Planilla_General_03-12-2012_9_3'!B507,"AAAAAHPam6I=")</f>
        <v>#VALUE!</v>
      </c>
      <c r="FH32" t="e">
        <f>AND('Planilla_General_03-12-2012_9_3'!C507,"AAAAAHPam6M=")</f>
        <v>#VALUE!</v>
      </c>
      <c r="FI32" t="e">
        <f>AND('Planilla_General_03-12-2012_9_3'!D507,"AAAAAHPam6Q=")</f>
        <v>#VALUE!</v>
      </c>
      <c r="FJ32" t="e">
        <f>AND('Planilla_General_03-12-2012_9_3'!E507,"AAAAAHPam6U=")</f>
        <v>#VALUE!</v>
      </c>
      <c r="FK32" t="e">
        <f>AND('Planilla_General_03-12-2012_9_3'!F507,"AAAAAHPam6Y=")</f>
        <v>#VALUE!</v>
      </c>
      <c r="FL32" t="e">
        <f>AND('Planilla_General_03-12-2012_9_3'!G507,"AAAAAHPam6c=")</f>
        <v>#VALUE!</v>
      </c>
      <c r="FM32" t="e">
        <f>AND('Planilla_General_03-12-2012_9_3'!H507,"AAAAAHPam6g=")</f>
        <v>#VALUE!</v>
      </c>
      <c r="FN32" t="e">
        <f>AND('Planilla_General_03-12-2012_9_3'!I507,"AAAAAHPam6k=")</f>
        <v>#VALUE!</v>
      </c>
      <c r="FO32" t="e">
        <f>AND('Planilla_General_03-12-2012_9_3'!J507,"AAAAAHPam6o=")</f>
        <v>#VALUE!</v>
      </c>
      <c r="FP32" t="e">
        <f>AND('Planilla_General_03-12-2012_9_3'!K507,"AAAAAHPam6s=")</f>
        <v>#VALUE!</v>
      </c>
      <c r="FQ32" t="e">
        <f>AND('Planilla_General_03-12-2012_9_3'!L507,"AAAAAHPam6w=")</f>
        <v>#VALUE!</v>
      </c>
      <c r="FR32" t="e">
        <f>AND('Planilla_General_03-12-2012_9_3'!M507,"AAAAAHPam60=")</f>
        <v>#VALUE!</v>
      </c>
      <c r="FS32" t="e">
        <f>AND('Planilla_General_03-12-2012_9_3'!N507,"AAAAAHPam64=")</f>
        <v>#VALUE!</v>
      </c>
      <c r="FT32" t="e">
        <f>AND('Planilla_General_03-12-2012_9_3'!O507,"AAAAAHPam68=")</f>
        <v>#VALUE!</v>
      </c>
      <c r="FU32">
        <f>IF('Planilla_General_03-12-2012_9_3'!508:508,"AAAAAHPam7A=",0)</f>
        <v>0</v>
      </c>
      <c r="FV32" t="e">
        <f>AND('Planilla_General_03-12-2012_9_3'!A508,"AAAAAHPam7E=")</f>
        <v>#VALUE!</v>
      </c>
      <c r="FW32" t="e">
        <f>AND('Planilla_General_03-12-2012_9_3'!B508,"AAAAAHPam7I=")</f>
        <v>#VALUE!</v>
      </c>
      <c r="FX32" t="e">
        <f>AND('Planilla_General_03-12-2012_9_3'!C508,"AAAAAHPam7M=")</f>
        <v>#VALUE!</v>
      </c>
      <c r="FY32" t="e">
        <f>AND('Planilla_General_03-12-2012_9_3'!D508,"AAAAAHPam7Q=")</f>
        <v>#VALUE!</v>
      </c>
      <c r="FZ32" t="e">
        <f>AND('Planilla_General_03-12-2012_9_3'!E508,"AAAAAHPam7U=")</f>
        <v>#VALUE!</v>
      </c>
      <c r="GA32" t="e">
        <f>AND('Planilla_General_03-12-2012_9_3'!F508,"AAAAAHPam7Y=")</f>
        <v>#VALUE!</v>
      </c>
      <c r="GB32" t="e">
        <f>AND('Planilla_General_03-12-2012_9_3'!G508,"AAAAAHPam7c=")</f>
        <v>#VALUE!</v>
      </c>
      <c r="GC32" t="e">
        <f>AND('Planilla_General_03-12-2012_9_3'!H508,"AAAAAHPam7g=")</f>
        <v>#VALUE!</v>
      </c>
      <c r="GD32" t="e">
        <f>AND('Planilla_General_03-12-2012_9_3'!I508,"AAAAAHPam7k=")</f>
        <v>#VALUE!</v>
      </c>
      <c r="GE32" t="e">
        <f>AND('Planilla_General_03-12-2012_9_3'!J508,"AAAAAHPam7o=")</f>
        <v>#VALUE!</v>
      </c>
      <c r="GF32" t="e">
        <f>AND('Planilla_General_03-12-2012_9_3'!K508,"AAAAAHPam7s=")</f>
        <v>#VALUE!</v>
      </c>
      <c r="GG32" t="e">
        <f>AND('Planilla_General_03-12-2012_9_3'!L508,"AAAAAHPam7w=")</f>
        <v>#VALUE!</v>
      </c>
      <c r="GH32" t="e">
        <f>AND('Planilla_General_03-12-2012_9_3'!M508,"AAAAAHPam70=")</f>
        <v>#VALUE!</v>
      </c>
      <c r="GI32" t="e">
        <f>AND('Planilla_General_03-12-2012_9_3'!N508,"AAAAAHPam74=")</f>
        <v>#VALUE!</v>
      </c>
      <c r="GJ32" t="e">
        <f>AND('Planilla_General_03-12-2012_9_3'!O508,"AAAAAHPam78=")</f>
        <v>#VALUE!</v>
      </c>
      <c r="GK32">
        <f>IF('Planilla_General_03-12-2012_9_3'!509:509,"AAAAAHPam8A=",0)</f>
        <v>0</v>
      </c>
      <c r="GL32" t="e">
        <f>AND('Planilla_General_03-12-2012_9_3'!A509,"AAAAAHPam8E=")</f>
        <v>#VALUE!</v>
      </c>
      <c r="GM32" t="e">
        <f>AND('Planilla_General_03-12-2012_9_3'!B509,"AAAAAHPam8I=")</f>
        <v>#VALUE!</v>
      </c>
      <c r="GN32" t="e">
        <f>AND('Planilla_General_03-12-2012_9_3'!C509,"AAAAAHPam8M=")</f>
        <v>#VALUE!</v>
      </c>
      <c r="GO32" t="e">
        <f>AND('Planilla_General_03-12-2012_9_3'!D509,"AAAAAHPam8Q=")</f>
        <v>#VALUE!</v>
      </c>
      <c r="GP32" t="e">
        <f>AND('Planilla_General_03-12-2012_9_3'!E509,"AAAAAHPam8U=")</f>
        <v>#VALUE!</v>
      </c>
      <c r="GQ32" t="e">
        <f>AND('Planilla_General_03-12-2012_9_3'!F509,"AAAAAHPam8Y=")</f>
        <v>#VALUE!</v>
      </c>
      <c r="GR32" t="e">
        <f>AND('Planilla_General_03-12-2012_9_3'!G509,"AAAAAHPam8c=")</f>
        <v>#VALUE!</v>
      </c>
      <c r="GS32" t="e">
        <f>AND('Planilla_General_03-12-2012_9_3'!H509,"AAAAAHPam8g=")</f>
        <v>#VALUE!</v>
      </c>
      <c r="GT32" t="e">
        <f>AND('Planilla_General_03-12-2012_9_3'!I509,"AAAAAHPam8k=")</f>
        <v>#VALUE!</v>
      </c>
      <c r="GU32" t="e">
        <f>AND('Planilla_General_03-12-2012_9_3'!J509,"AAAAAHPam8o=")</f>
        <v>#VALUE!</v>
      </c>
      <c r="GV32" t="e">
        <f>AND('Planilla_General_03-12-2012_9_3'!K509,"AAAAAHPam8s=")</f>
        <v>#VALUE!</v>
      </c>
      <c r="GW32" t="e">
        <f>AND('Planilla_General_03-12-2012_9_3'!L509,"AAAAAHPam8w=")</f>
        <v>#VALUE!</v>
      </c>
      <c r="GX32" t="e">
        <f>AND('Planilla_General_03-12-2012_9_3'!M509,"AAAAAHPam80=")</f>
        <v>#VALUE!</v>
      </c>
      <c r="GY32" t="e">
        <f>AND('Planilla_General_03-12-2012_9_3'!N509,"AAAAAHPam84=")</f>
        <v>#VALUE!</v>
      </c>
      <c r="GZ32" t="e">
        <f>AND('Planilla_General_03-12-2012_9_3'!O509,"AAAAAHPam88=")</f>
        <v>#VALUE!</v>
      </c>
      <c r="HA32">
        <f>IF('Planilla_General_03-12-2012_9_3'!510:510,"AAAAAHPam9A=",0)</f>
        <v>0</v>
      </c>
      <c r="HB32" t="e">
        <f>AND('Planilla_General_03-12-2012_9_3'!A510,"AAAAAHPam9E=")</f>
        <v>#VALUE!</v>
      </c>
      <c r="HC32" t="e">
        <f>AND('Planilla_General_03-12-2012_9_3'!B510,"AAAAAHPam9I=")</f>
        <v>#VALUE!</v>
      </c>
      <c r="HD32" t="e">
        <f>AND('Planilla_General_03-12-2012_9_3'!C510,"AAAAAHPam9M=")</f>
        <v>#VALUE!</v>
      </c>
      <c r="HE32" t="e">
        <f>AND('Planilla_General_03-12-2012_9_3'!D510,"AAAAAHPam9Q=")</f>
        <v>#VALUE!</v>
      </c>
      <c r="HF32" t="e">
        <f>AND('Planilla_General_03-12-2012_9_3'!E510,"AAAAAHPam9U=")</f>
        <v>#VALUE!</v>
      </c>
      <c r="HG32" t="e">
        <f>AND('Planilla_General_03-12-2012_9_3'!F510,"AAAAAHPam9Y=")</f>
        <v>#VALUE!</v>
      </c>
      <c r="HH32" t="e">
        <f>AND('Planilla_General_03-12-2012_9_3'!G510,"AAAAAHPam9c=")</f>
        <v>#VALUE!</v>
      </c>
      <c r="HI32" t="e">
        <f>AND('Planilla_General_03-12-2012_9_3'!H510,"AAAAAHPam9g=")</f>
        <v>#VALUE!</v>
      </c>
      <c r="HJ32" t="e">
        <f>AND('Planilla_General_03-12-2012_9_3'!I510,"AAAAAHPam9k=")</f>
        <v>#VALUE!</v>
      </c>
      <c r="HK32" t="e">
        <f>AND('Planilla_General_03-12-2012_9_3'!J510,"AAAAAHPam9o=")</f>
        <v>#VALUE!</v>
      </c>
      <c r="HL32" t="e">
        <f>AND('Planilla_General_03-12-2012_9_3'!K510,"AAAAAHPam9s=")</f>
        <v>#VALUE!</v>
      </c>
      <c r="HM32" t="e">
        <f>AND('Planilla_General_03-12-2012_9_3'!L510,"AAAAAHPam9w=")</f>
        <v>#VALUE!</v>
      </c>
      <c r="HN32" t="e">
        <f>AND('Planilla_General_03-12-2012_9_3'!M510,"AAAAAHPam90=")</f>
        <v>#VALUE!</v>
      </c>
      <c r="HO32" t="e">
        <f>AND('Planilla_General_03-12-2012_9_3'!N510,"AAAAAHPam94=")</f>
        <v>#VALUE!</v>
      </c>
      <c r="HP32" t="e">
        <f>AND('Planilla_General_03-12-2012_9_3'!O510,"AAAAAHPam98=")</f>
        <v>#VALUE!</v>
      </c>
      <c r="HQ32">
        <f>IF('Planilla_General_03-12-2012_9_3'!511:511,"AAAAAHPam+A=",0)</f>
        <v>0</v>
      </c>
      <c r="HR32" t="e">
        <f>AND('Planilla_General_03-12-2012_9_3'!A511,"AAAAAHPam+E=")</f>
        <v>#VALUE!</v>
      </c>
      <c r="HS32" t="e">
        <f>AND('Planilla_General_03-12-2012_9_3'!B511,"AAAAAHPam+I=")</f>
        <v>#VALUE!</v>
      </c>
      <c r="HT32" t="e">
        <f>AND('Planilla_General_03-12-2012_9_3'!C511,"AAAAAHPam+M=")</f>
        <v>#VALUE!</v>
      </c>
      <c r="HU32" t="e">
        <f>AND('Planilla_General_03-12-2012_9_3'!D511,"AAAAAHPam+Q=")</f>
        <v>#VALUE!</v>
      </c>
      <c r="HV32" t="e">
        <f>AND('Planilla_General_03-12-2012_9_3'!E511,"AAAAAHPam+U=")</f>
        <v>#VALUE!</v>
      </c>
      <c r="HW32" t="e">
        <f>AND('Planilla_General_03-12-2012_9_3'!F511,"AAAAAHPam+Y=")</f>
        <v>#VALUE!</v>
      </c>
      <c r="HX32" t="e">
        <f>AND('Planilla_General_03-12-2012_9_3'!G511,"AAAAAHPam+c=")</f>
        <v>#VALUE!</v>
      </c>
      <c r="HY32" t="e">
        <f>AND('Planilla_General_03-12-2012_9_3'!H511,"AAAAAHPam+g=")</f>
        <v>#VALUE!</v>
      </c>
      <c r="HZ32" t="e">
        <f>AND('Planilla_General_03-12-2012_9_3'!I511,"AAAAAHPam+k=")</f>
        <v>#VALUE!</v>
      </c>
      <c r="IA32" t="e">
        <f>AND('Planilla_General_03-12-2012_9_3'!J511,"AAAAAHPam+o=")</f>
        <v>#VALUE!</v>
      </c>
      <c r="IB32" t="e">
        <f>AND('Planilla_General_03-12-2012_9_3'!K511,"AAAAAHPam+s=")</f>
        <v>#VALUE!</v>
      </c>
      <c r="IC32" t="e">
        <f>AND('Planilla_General_03-12-2012_9_3'!L511,"AAAAAHPam+w=")</f>
        <v>#VALUE!</v>
      </c>
      <c r="ID32" t="e">
        <f>AND('Planilla_General_03-12-2012_9_3'!M511,"AAAAAHPam+0=")</f>
        <v>#VALUE!</v>
      </c>
      <c r="IE32" t="e">
        <f>AND('Planilla_General_03-12-2012_9_3'!N511,"AAAAAHPam+4=")</f>
        <v>#VALUE!</v>
      </c>
      <c r="IF32" t="e">
        <f>AND('Planilla_General_03-12-2012_9_3'!O511,"AAAAAHPam+8=")</f>
        <v>#VALUE!</v>
      </c>
      <c r="IG32">
        <f>IF('Planilla_General_03-12-2012_9_3'!512:512,"AAAAAHPam/A=",0)</f>
        <v>0</v>
      </c>
      <c r="IH32" t="e">
        <f>AND('Planilla_General_03-12-2012_9_3'!A512,"AAAAAHPam/E=")</f>
        <v>#VALUE!</v>
      </c>
      <c r="II32" t="e">
        <f>AND('Planilla_General_03-12-2012_9_3'!B512,"AAAAAHPam/I=")</f>
        <v>#VALUE!</v>
      </c>
      <c r="IJ32" t="e">
        <f>AND('Planilla_General_03-12-2012_9_3'!C512,"AAAAAHPam/M=")</f>
        <v>#VALUE!</v>
      </c>
      <c r="IK32" t="e">
        <f>AND('Planilla_General_03-12-2012_9_3'!D512,"AAAAAHPam/Q=")</f>
        <v>#VALUE!</v>
      </c>
      <c r="IL32" t="e">
        <f>AND('Planilla_General_03-12-2012_9_3'!E512,"AAAAAHPam/U=")</f>
        <v>#VALUE!</v>
      </c>
      <c r="IM32" t="e">
        <f>AND('Planilla_General_03-12-2012_9_3'!F512,"AAAAAHPam/Y=")</f>
        <v>#VALUE!</v>
      </c>
      <c r="IN32" t="e">
        <f>AND('Planilla_General_03-12-2012_9_3'!G512,"AAAAAHPam/c=")</f>
        <v>#VALUE!</v>
      </c>
      <c r="IO32" t="e">
        <f>AND('Planilla_General_03-12-2012_9_3'!H512,"AAAAAHPam/g=")</f>
        <v>#VALUE!</v>
      </c>
      <c r="IP32" t="e">
        <f>AND('Planilla_General_03-12-2012_9_3'!I512,"AAAAAHPam/k=")</f>
        <v>#VALUE!</v>
      </c>
      <c r="IQ32" t="e">
        <f>AND('Planilla_General_03-12-2012_9_3'!J512,"AAAAAHPam/o=")</f>
        <v>#VALUE!</v>
      </c>
      <c r="IR32" t="e">
        <f>AND('Planilla_General_03-12-2012_9_3'!K512,"AAAAAHPam/s=")</f>
        <v>#VALUE!</v>
      </c>
      <c r="IS32" t="e">
        <f>AND('Planilla_General_03-12-2012_9_3'!L512,"AAAAAHPam/w=")</f>
        <v>#VALUE!</v>
      </c>
      <c r="IT32" t="e">
        <f>AND('Planilla_General_03-12-2012_9_3'!M512,"AAAAAHPam/0=")</f>
        <v>#VALUE!</v>
      </c>
      <c r="IU32" t="e">
        <f>AND('Planilla_General_03-12-2012_9_3'!N512,"AAAAAHPam/4=")</f>
        <v>#VALUE!</v>
      </c>
      <c r="IV32" t="e">
        <f>AND('Planilla_General_03-12-2012_9_3'!O512,"AAAAAHPam/8=")</f>
        <v>#VALUE!</v>
      </c>
    </row>
    <row r="33" spans="1:256" x14ac:dyDescent="0.25">
      <c r="A33" t="e">
        <f>IF('Planilla_General_03-12-2012_9_3'!513:513,"AAAAAB/1twA=",0)</f>
        <v>#VALUE!</v>
      </c>
      <c r="B33" t="e">
        <f>AND('Planilla_General_03-12-2012_9_3'!A513,"AAAAAB/1twE=")</f>
        <v>#VALUE!</v>
      </c>
      <c r="C33" t="e">
        <f>AND('Planilla_General_03-12-2012_9_3'!B513,"AAAAAB/1twI=")</f>
        <v>#VALUE!</v>
      </c>
      <c r="D33" t="e">
        <f>AND('Planilla_General_03-12-2012_9_3'!C513,"AAAAAB/1twM=")</f>
        <v>#VALUE!</v>
      </c>
      <c r="E33" t="e">
        <f>AND('Planilla_General_03-12-2012_9_3'!D513,"AAAAAB/1twQ=")</f>
        <v>#VALUE!</v>
      </c>
      <c r="F33" t="e">
        <f>AND('Planilla_General_03-12-2012_9_3'!E513,"AAAAAB/1twU=")</f>
        <v>#VALUE!</v>
      </c>
      <c r="G33" t="e">
        <f>AND('Planilla_General_03-12-2012_9_3'!F513,"AAAAAB/1twY=")</f>
        <v>#VALUE!</v>
      </c>
      <c r="H33" t="e">
        <f>AND('Planilla_General_03-12-2012_9_3'!G513,"AAAAAB/1twc=")</f>
        <v>#VALUE!</v>
      </c>
      <c r="I33" t="e">
        <f>AND('Planilla_General_03-12-2012_9_3'!H513,"AAAAAB/1twg=")</f>
        <v>#VALUE!</v>
      </c>
      <c r="J33" t="e">
        <f>AND('Planilla_General_03-12-2012_9_3'!I513,"AAAAAB/1twk=")</f>
        <v>#VALUE!</v>
      </c>
      <c r="K33" t="e">
        <f>AND('Planilla_General_03-12-2012_9_3'!J513,"AAAAAB/1two=")</f>
        <v>#VALUE!</v>
      </c>
      <c r="L33" t="e">
        <f>AND('Planilla_General_03-12-2012_9_3'!K513,"AAAAAB/1tws=")</f>
        <v>#VALUE!</v>
      </c>
      <c r="M33" t="e">
        <f>AND('Planilla_General_03-12-2012_9_3'!L513,"AAAAAB/1tww=")</f>
        <v>#VALUE!</v>
      </c>
      <c r="N33" t="e">
        <f>AND('Planilla_General_03-12-2012_9_3'!M513,"AAAAAB/1tw0=")</f>
        <v>#VALUE!</v>
      </c>
      <c r="O33" t="e">
        <f>AND('Planilla_General_03-12-2012_9_3'!N513,"AAAAAB/1tw4=")</f>
        <v>#VALUE!</v>
      </c>
      <c r="P33" t="e">
        <f>AND('Planilla_General_03-12-2012_9_3'!O513,"AAAAAB/1tw8=")</f>
        <v>#VALUE!</v>
      </c>
      <c r="Q33">
        <f>IF('Planilla_General_03-12-2012_9_3'!514:514,"AAAAAB/1txA=",0)</f>
        <v>0</v>
      </c>
      <c r="R33" t="e">
        <f>AND('Planilla_General_03-12-2012_9_3'!A514,"AAAAAB/1txE=")</f>
        <v>#VALUE!</v>
      </c>
      <c r="S33" t="e">
        <f>AND('Planilla_General_03-12-2012_9_3'!B514,"AAAAAB/1txI=")</f>
        <v>#VALUE!</v>
      </c>
      <c r="T33" t="e">
        <f>AND('Planilla_General_03-12-2012_9_3'!C514,"AAAAAB/1txM=")</f>
        <v>#VALUE!</v>
      </c>
      <c r="U33" t="e">
        <f>AND('Planilla_General_03-12-2012_9_3'!D514,"AAAAAB/1txQ=")</f>
        <v>#VALUE!</v>
      </c>
      <c r="V33" t="e">
        <f>AND('Planilla_General_03-12-2012_9_3'!E514,"AAAAAB/1txU=")</f>
        <v>#VALUE!</v>
      </c>
      <c r="W33" t="e">
        <f>AND('Planilla_General_03-12-2012_9_3'!F514,"AAAAAB/1txY=")</f>
        <v>#VALUE!</v>
      </c>
      <c r="X33" t="e">
        <f>AND('Planilla_General_03-12-2012_9_3'!G514,"AAAAAB/1txc=")</f>
        <v>#VALUE!</v>
      </c>
      <c r="Y33" t="e">
        <f>AND('Planilla_General_03-12-2012_9_3'!H514,"AAAAAB/1txg=")</f>
        <v>#VALUE!</v>
      </c>
      <c r="Z33" t="e">
        <f>AND('Planilla_General_03-12-2012_9_3'!I514,"AAAAAB/1txk=")</f>
        <v>#VALUE!</v>
      </c>
      <c r="AA33" t="e">
        <f>AND('Planilla_General_03-12-2012_9_3'!J514,"AAAAAB/1txo=")</f>
        <v>#VALUE!</v>
      </c>
      <c r="AB33" t="e">
        <f>AND('Planilla_General_03-12-2012_9_3'!K514,"AAAAAB/1txs=")</f>
        <v>#VALUE!</v>
      </c>
      <c r="AC33" t="e">
        <f>AND('Planilla_General_03-12-2012_9_3'!L514,"AAAAAB/1txw=")</f>
        <v>#VALUE!</v>
      </c>
      <c r="AD33" t="e">
        <f>AND('Planilla_General_03-12-2012_9_3'!M514,"AAAAAB/1tx0=")</f>
        <v>#VALUE!</v>
      </c>
      <c r="AE33" t="e">
        <f>AND('Planilla_General_03-12-2012_9_3'!N514,"AAAAAB/1tx4=")</f>
        <v>#VALUE!</v>
      </c>
      <c r="AF33" t="e">
        <f>AND('Planilla_General_03-12-2012_9_3'!O514,"AAAAAB/1tx8=")</f>
        <v>#VALUE!</v>
      </c>
      <c r="AG33">
        <f>IF('Planilla_General_03-12-2012_9_3'!515:515,"AAAAAB/1tyA=",0)</f>
        <v>0</v>
      </c>
      <c r="AH33" t="e">
        <f>AND('Planilla_General_03-12-2012_9_3'!A515,"AAAAAB/1tyE=")</f>
        <v>#VALUE!</v>
      </c>
      <c r="AI33" t="e">
        <f>AND('Planilla_General_03-12-2012_9_3'!B515,"AAAAAB/1tyI=")</f>
        <v>#VALUE!</v>
      </c>
      <c r="AJ33" t="e">
        <f>AND('Planilla_General_03-12-2012_9_3'!C515,"AAAAAB/1tyM=")</f>
        <v>#VALUE!</v>
      </c>
      <c r="AK33" t="e">
        <f>AND('Planilla_General_03-12-2012_9_3'!D515,"AAAAAB/1tyQ=")</f>
        <v>#VALUE!</v>
      </c>
      <c r="AL33" t="e">
        <f>AND('Planilla_General_03-12-2012_9_3'!E515,"AAAAAB/1tyU=")</f>
        <v>#VALUE!</v>
      </c>
      <c r="AM33" t="e">
        <f>AND('Planilla_General_03-12-2012_9_3'!F515,"AAAAAB/1tyY=")</f>
        <v>#VALUE!</v>
      </c>
      <c r="AN33" t="e">
        <f>AND('Planilla_General_03-12-2012_9_3'!G515,"AAAAAB/1tyc=")</f>
        <v>#VALUE!</v>
      </c>
      <c r="AO33" t="e">
        <f>AND('Planilla_General_03-12-2012_9_3'!H515,"AAAAAB/1tyg=")</f>
        <v>#VALUE!</v>
      </c>
      <c r="AP33" t="e">
        <f>AND('Planilla_General_03-12-2012_9_3'!I515,"AAAAAB/1tyk=")</f>
        <v>#VALUE!</v>
      </c>
      <c r="AQ33" t="e">
        <f>AND('Planilla_General_03-12-2012_9_3'!J515,"AAAAAB/1tyo=")</f>
        <v>#VALUE!</v>
      </c>
      <c r="AR33" t="e">
        <f>AND('Planilla_General_03-12-2012_9_3'!K515,"AAAAAB/1tys=")</f>
        <v>#VALUE!</v>
      </c>
      <c r="AS33" t="e">
        <f>AND('Planilla_General_03-12-2012_9_3'!L515,"AAAAAB/1tyw=")</f>
        <v>#VALUE!</v>
      </c>
      <c r="AT33" t="e">
        <f>AND('Planilla_General_03-12-2012_9_3'!M515,"AAAAAB/1ty0=")</f>
        <v>#VALUE!</v>
      </c>
      <c r="AU33" t="e">
        <f>AND('Planilla_General_03-12-2012_9_3'!N515,"AAAAAB/1ty4=")</f>
        <v>#VALUE!</v>
      </c>
      <c r="AV33" t="e">
        <f>AND('Planilla_General_03-12-2012_9_3'!O515,"AAAAAB/1ty8=")</f>
        <v>#VALUE!</v>
      </c>
      <c r="AW33">
        <f>IF('Planilla_General_03-12-2012_9_3'!516:516,"AAAAAB/1tzA=",0)</f>
        <v>0</v>
      </c>
      <c r="AX33" t="e">
        <f>AND('Planilla_General_03-12-2012_9_3'!A516,"AAAAAB/1tzE=")</f>
        <v>#VALUE!</v>
      </c>
      <c r="AY33" t="e">
        <f>AND('Planilla_General_03-12-2012_9_3'!B516,"AAAAAB/1tzI=")</f>
        <v>#VALUE!</v>
      </c>
      <c r="AZ33" t="e">
        <f>AND('Planilla_General_03-12-2012_9_3'!C516,"AAAAAB/1tzM=")</f>
        <v>#VALUE!</v>
      </c>
      <c r="BA33" t="e">
        <f>AND('Planilla_General_03-12-2012_9_3'!D516,"AAAAAB/1tzQ=")</f>
        <v>#VALUE!</v>
      </c>
      <c r="BB33" t="e">
        <f>AND('Planilla_General_03-12-2012_9_3'!E516,"AAAAAB/1tzU=")</f>
        <v>#VALUE!</v>
      </c>
      <c r="BC33" t="e">
        <f>AND('Planilla_General_03-12-2012_9_3'!F516,"AAAAAB/1tzY=")</f>
        <v>#VALUE!</v>
      </c>
      <c r="BD33" t="e">
        <f>AND('Planilla_General_03-12-2012_9_3'!G516,"AAAAAB/1tzc=")</f>
        <v>#VALUE!</v>
      </c>
      <c r="BE33" t="e">
        <f>AND('Planilla_General_03-12-2012_9_3'!H516,"AAAAAB/1tzg=")</f>
        <v>#VALUE!</v>
      </c>
      <c r="BF33" t="e">
        <f>AND('Planilla_General_03-12-2012_9_3'!I516,"AAAAAB/1tzk=")</f>
        <v>#VALUE!</v>
      </c>
      <c r="BG33" t="e">
        <f>AND('Planilla_General_03-12-2012_9_3'!J516,"AAAAAB/1tzo=")</f>
        <v>#VALUE!</v>
      </c>
      <c r="BH33" t="e">
        <f>AND('Planilla_General_03-12-2012_9_3'!K516,"AAAAAB/1tzs=")</f>
        <v>#VALUE!</v>
      </c>
      <c r="BI33" t="e">
        <f>AND('Planilla_General_03-12-2012_9_3'!L516,"AAAAAB/1tzw=")</f>
        <v>#VALUE!</v>
      </c>
      <c r="BJ33" t="e">
        <f>AND('Planilla_General_03-12-2012_9_3'!M516,"AAAAAB/1tz0=")</f>
        <v>#VALUE!</v>
      </c>
      <c r="BK33" t="e">
        <f>AND('Planilla_General_03-12-2012_9_3'!N516,"AAAAAB/1tz4=")</f>
        <v>#VALUE!</v>
      </c>
      <c r="BL33" t="e">
        <f>AND('Planilla_General_03-12-2012_9_3'!O516,"AAAAAB/1tz8=")</f>
        <v>#VALUE!</v>
      </c>
      <c r="BM33">
        <f>IF('Planilla_General_03-12-2012_9_3'!517:517,"AAAAAB/1t0A=",0)</f>
        <v>0</v>
      </c>
      <c r="BN33" t="e">
        <f>AND('Planilla_General_03-12-2012_9_3'!A517,"AAAAAB/1t0E=")</f>
        <v>#VALUE!</v>
      </c>
      <c r="BO33" t="e">
        <f>AND('Planilla_General_03-12-2012_9_3'!B517,"AAAAAB/1t0I=")</f>
        <v>#VALUE!</v>
      </c>
      <c r="BP33" t="e">
        <f>AND('Planilla_General_03-12-2012_9_3'!C517,"AAAAAB/1t0M=")</f>
        <v>#VALUE!</v>
      </c>
      <c r="BQ33" t="e">
        <f>AND('Planilla_General_03-12-2012_9_3'!D517,"AAAAAB/1t0Q=")</f>
        <v>#VALUE!</v>
      </c>
      <c r="BR33" t="e">
        <f>AND('Planilla_General_03-12-2012_9_3'!E517,"AAAAAB/1t0U=")</f>
        <v>#VALUE!</v>
      </c>
      <c r="BS33" t="e">
        <f>AND('Planilla_General_03-12-2012_9_3'!F517,"AAAAAB/1t0Y=")</f>
        <v>#VALUE!</v>
      </c>
      <c r="BT33" t="e">
        <f>AND('Planilla_General_03-12-2012_9_3'!G517,"AAAAAB/1t0c=")</f>
        <v>#VALUE!</v>
      </c>
      <c r="BU33" t="e">
        <f>AND('Planilla_General_03-12-2012_9_3'!H517,"AAAAAB/1t0g=")</f>
        <v>#VALUE!</v>
      </c>
      <c r="BV33" t="e">
        <f>AND('Planilla_General_03-12-2012_9_3'!I517,"AAAAAB/1t0k=")</f>
        <v>#VALUE!</v>
      </c>
      <c r="BW33" t="e">
        <f>AND('Planilla_General_03-12-2012_9_3'!J517,"AAAAAB/1t0o=")</f>
        <v>#VALUE!</v>
      </c>
      <c r="BX33" t="e">
        <f>AND('Planilla_General_03-12-2012_9_3'!K517,"AAAAAB/1t0s=")</f>
        <v>#VALUE!</v>
      </c>
      <c r="BY33" t="e">
        <f>AND('Planilla_General_03-12-2012_9_3'!L517,"AAAAAB/1t0w=")</f>
        <v>#VALUE!</v>
      </c>
      <c r="BZ33" t="e">
        <f>AND('Planilla_General_03-12-2012_9_3'!M517,"AAAAAB/1t00=")</f>
        <v>#VALUE!</v>
      </c>
      <c r="CA33" t="e">
        <f>AND('Planilla_General_03-12-2012_9_3'!N517,"AAAAAB/1t04=")</f>
        <v>#VALUE!</v>
      </c>
      <c r="CB33" t="e">
        <f>AND('Planilla_General_03-12-2012_9_3'!O517,"AAAAAB/1t08=")</f>
        <v>#VALUE!</v>
      </c>
      <c r="CC33">
        <f>IF('Planilla_General_03-12-2012_9_3'!518:518,"AAAAAB/1t1A=",0)</f>
        <v>0</v>
      </c>
      <c r="CD33" t="e">
        <f>AND('Planilla_General_03-12-2012_9_3'!A518,"AAAAAB/1t1E=")</f>
        <v>#VALUE!</v>
      </c>
      <c r="CE33" t="e">
        <f>AND('Planilla_General_03-12-2012_9_3'!B518,"AAAAAB/1t1I=")</f>
        <v>#VALUE!</v>
      </c>
      <c r="CF33" t="e">
        <f>AND('Planilla_General_03-12-2012_9_3'!C518,"AAAAAB/1t1M=")</f>
        <v>#VALUE!</v>
      </c>
      <c r="CG33" t="e">
        <f>AND('Planilla_General_03-12-2012_9_3'!D518,"AAAAAB/1t1Q=")</f>
        <v>#VALUE!</v>
      </c>
      <c r="CH33" t="e">
        <f>AND('Planilla_General_03-12-2012_9_3'!E518,"AAAAAB/1t1U=")</f>
        <v>#VALUE!</v>
      </c>
      <c r="CI33" t="e">
        <f>AND('Planilla_General_03-12-2012_9_3'!F518,"AAAAAB/1t1Y=")</f>
        <v>#VALUE!</v>
      </c>
      <c r="CJ33" t="e">
        <f>AND('Planilla_General_03-12-2012_9_3'!G518,"AAAAAB/1t1c=")</f>
        <v>#VALUE!</v>
      </c>
      <c r="CK33" t="e">
        <f>AND('Planilla_General_03-12-2012_9_3'!H518,"AAAAAB/1t1g=")</f>
        <v>#VALUE!</v>
      </c>
      <c r="CL33" t="e">
        <f>AND('Planilla_General_03-12-2012_9_3'!I518,"AAAAAB/1t1k=")</f>
        <v>#VALUE!</v>
      </c>
      <c r="CM33" t="e">
        <f>AND('Planilla_General_03-12-2012_9_3'!J518,"AAAAAB/1t1o=")</f>
        <v>#VALUE!</v>
      </c>
      <c r="CN33" t="e">
        <f>AND('Planilla_General_03-12-2012_9_3'!K518,"AAAAAB/1t1s=")</f>
        <v>#VALUE!</v>
      </c>
      <c r="CO33" t="e">
        <f>AND('Planilla_General_03-12-2012_9_3'!L518,"AAAAAB/1t1w=")</f>
        <v>#VALUE!</v>
      </c>
      <c r="CP33" t="e">
        <f>AND('Planilla_General_03-12-2012_9_3'!M518,"AAAAAB/1t10=")</f>
        <v>#VALUE!</v>
      </c>
      <c r="CQ33" t="e">
        <f>AND('Planilla_General_03-12-2012_9_3'!N518,"AAAAAB/1t14=")</f>
        <v>#VALUE!</v>
      </c>
      <c r="CR33" t="e">
        <f>AND('Planilla_General_03-12-2012_9_3'!O518,"AAAAAB/1t18=")</f>
        <v>#VALUE!</v>
      </c>
      <c r="CS33">
        <f>IF('Planilla_General_03-12-2012_9_3'!519:519,"AAAAAB/1t2A=",0)</f>
        <v>0</v>
      </c>
      <c r="CT33" t="e">
        <f>AND('Planilla_General_03-12-2012_9_3'!A519,"AAAAAB/1t2E=")</f>
        <v>#VALUE!</v>
      </c>
      <c r="CU33" t="e">
        <f>AND('Planilla_General_03-12-2012_9_3'!B519,"AAAAAB/1t2I=")</f>
        <v>#VALUE!</v>
      </c>
      <c r="CV33" t="e">
        <f>AND('Planilla_General_03-12-2012_9_3'!C519,"AAAAAB/1t2M=")</f>
        <v>#VALUE!</v>
      </c>
      <c r="CW33" t="e">
        <f>AND('Planilla_General_03-12-2012_9_3'!D519,"AAAAAB/1t2Q=")</f>
        <v>#VALUE!</v>
      </c>
      <c r="CX33" t="e">
        <f>AND('Planilla_General_03-12-2012_9_3'!E519,"AAAAAB/1t2U=")</f>
        <v>#VALUE!</v>
      </c>
      <c r="CY33" t="e">
        <f>AND('Planilla_General_03-12-2012_9_3'!F519,"AAAAAB/1t2Y=")</f>
        <v>#VALUE!</v>
      </c>
      <c r="CZ33" t="e">
        <f>AND('Planilla_General_03-12-2012_9_3'!G519,"AAAAAB/1t2c=")</f>
        <v>#VALUE!</v>
      </c>
      <c r="DA33" t="e">
        <f>AND('Planilla_General_03-12-2012_9_3'!H519,"AAAAAB/1t2g=")</f>
        <v>#VALUE!</v>
      </c>
      <c r="DB33" t="e">
        <f>AND('Planilla_General_03-12-2012_9_3'!I519,"AAAAAB/1t2k=")</f>
        <v>#VALUE!</v>
      </c>
      <c r="DC33" t="e">
        <f>AND('Planilla_General_03-12-2012_9_3'!J519,"AAAAAB/1t2o=")</f>
        <v>#VALUE!</v>
      </c>
      <c r="DD33" t="e">
        <f>AND('Planilla_General_03-12-2012_9_3'!K519,"AAAAAB/1t2s=")</f>
        <v>#VALUE!</v>
      </c>
      <c r="DE33" t="e">
        <f>AND('Planilla_General_03-12-2012_9_3'!L519,"AAAAAB/1t2w=")</f>
        <v>#VALUE!</v>
      </c>
      <c r="DF33" t="e">
        <f>AND('Planilla_General_03-12-2012_9_3'!M519,"AAAAAB/1t20=")</f>
        <v>#VALUE!</v>
      </c>
      <c r="DG33" t="e">
        <f>AND('Planilla_General_03-12-2012_9_3'!N519,"AAAAAB/1t24=")</f>
        <v>#VALUE!</v>
      </c>
      <c r="DH33" t="e">
        <f>AND('Planilla_General_03-12-2012_9_3'!O519,"AAAAAB/1t28=")</f>
        <v>#VALUE!</v>
      </c>
      <c r="DI33">
        <f>IF('Planilla_General_03-12-2012_9_3'!520:520,"AAAAAB/1t3A=",0)</f>
        <v>0</v>
      </c>
      <c r="DJ33" t="e">
        <f>AND('Planilla_General_03-12-2012_9_3'!A520,"AAAAAB/1t3E=")</f>
        <v>#VALUE!</v>
      </c>
      <c r="DK33" t="e">
        <f>AND('Planilla_General_03-12-2012_9_3'!B520,"AAAAAB/1t3I=")</f>
        <v>#VALUE!</v>
      </c>
      <c r="DL33" t="e">
        <f>AND('Planilla_General_03-12-2012_9_3'!C520,"AAAAAB/1t3M=")</f>
        <v>#VALUE!</v>
      </c>
      <c r="DM33" t="e">
        <f>AND('Planilla_General_03-12-2012_9_3'!D520,"AAAAAB/1t3Q=")</f>
        <v>#VALUE!</v>
      </c>
      <c r="DN33" t="e">
        <f>AND('Planilla_General_03-12-2012_9_3'!E520,"AAAAAB/1t3U=")</f>
        <v>#VALUE!</v>
      </c>
      <c r="DO33" t="e">
        <f>AND('Planilla_General_03-12-2012_9_3'!F520,"AAAAAB/1t3Y=")</f>
        <v>#VALUE!</v>
      </c>
      <c r="DP33" t="e">
        <f>AND('Planilla_General_03-12-2012_9_3'!G520,"AAAAAB/1t3c=")</f>
        <v>#VALUE!</v>
      </c>
      <c r="DQ33" t="e">
        <f>AND('Planilla_General_03-12-2012_9_3'!H520,"AAAAAB/1t3g=")</f>
        <v>#VALUE!</v>
      </c>
      <c r="DR33" t="e">
        <f>AND('Planilla_General_03-12-2012_9_3'!I520,"AAAAAB/1t3k=")</f>
        <v>#VALUE!</v>
      </c>
      <c r="DS33" t="e">
        <f>AND('Planilla_General_03-12-2012_9_3'!J520,"AAAAAB/1t3o=")</f>
        <v>#VALUE!</v>
      </c>
      <c r="DT33" t="e">
        <f>AND('Planilla_General_03-12-2012_9_3'!K520,"AAAAAB/1t3s=")</f>
        <v>#VALUE!</v>
      </c>
      <c r="DU33" t="e">
        <f>AND('Planilla_General_03-12-2012_9_3'!L520,"AAAAAB/1t3w=")</f>
        <v>#VALUE!</v>
      </c>
      <c r="DV33" t="e">
        <f>AND('Planilla_General_03-12-2012_9_3'!M520,"AAAAAB/1t30=")</f>
        <v>#VALUE!</v>
      </c>
      <c r="DW33" t="e">
        <f>AND('Planilla_General_03-12-2012_9_3'!N520,"AAAAAB/1t34=")</f>
        <v>#VALUE!</v>
      </c>
      <c r="DX33" t="e">
        <f>AND('Planilla_General_03-12-2012_9_3'!O520,"AAAAAB/1t38=")</f>
        <v>#VALUE!</v>
      </c>
      <c r="DY33">
        <f>IF('Planilla_General_03-12-2012_9_3'!521:521,"AAAAAB/1t4A=",0)</f>
        <v>0</v>
      </c>
      <c r="DZ33" t="e">
        <f>AND('Planilla_General_03-12-2012_9_3'!A521,"AAAAAB/1t4E=")</f>
        <v>#VALUE!</v>
      </c>
      <c r="EA33" t="e">
        <f>AND('Planilla_General_03-12-2012_9_3'!B521,"AAAAAB/1t4I=")</f>
        <v>#VALUE!</v>
      </c>
      <c r="EB33" t="e">
        <f>AND('Planilla_General_03-12-2012_9_3'!C521,"AAAAAB/1t4M=")</f>
        <v>#VALUE!</v>
      </c>
      <c r="EC33" t="e">
        <f>AND('Planilla_General_03-12-2012_9_3'!D521,"AAAAAB/1t4Q=")</f>
        <v>#VALUE!</v>
      </c>
      <c r="ED33" t="e">
        <f>AND('Planilla_General_03-12-2012_9_3'!E521,"AAAAAB/1t4U=")</f>
        <v>#VALUE!</v>
      </c>
      <c r="EE33" t="e">
        <f>AND('Planilla_General_03-12-2012_9_3'!F521,"AAAAAB/1t4Y=")</f>
        <v>#VALUE!</v>
      </c>
      <c r="EF33" t="e">
        <f>AND('Planilla_General_03-12-2012_9_3'!G521,"AAAAAB/1t4c=")</f>
        <v>#VALUE!</v>
      </c>
      <c r="EG33" t="e">
        <f>AND('Planilla_General_03-12-2012_9_3'!H521,"AAAAAB/1t4g=")</f>
        <v>#VALUE!</v>
      </c>
      <c r="EH33" t="e">
        <f>AND('Planilla_General_03-12-2012_9_3'!I521,"AAAAAB/1t4k=")</f>
        <v>#VALUE!</v>
      </c>
      <c r="EI33" t="e">
        <f>AND('Planilla_General_03-12-2012_9_3'!J521,"AAAAAB/1t4o=")</f>
        <v>#VALUE!</v>
      </c>
      <c r="EJ33" t="e">
        <f>AND('Planilla_General_03-12-2012_9_3'!K521,"AAAAAB/1t4s=")</f>
        <v>#VALUE!</v>
      </c>
      <c r="EK33" t="e">
        <f>AND('Planilla_General_03-12-2012_9_3'!L521,"AAAAAB/1t4w=")</f>
        <v>#VALUE!</v>
      </c>
      <c r="EL33" t="e">
        <f>AND('Planilla_General_03-12-2012_9_3'!M521,"AAAAAB/1t40=")</f>
        <v>#VALUE!</v>
      </c>
      <c r="EM33" t="e">
        <f>AND('Planilla_General_03-12-2012_9_3'!N521,"AAAAAB/1t44=")</f>
        <v>#VALUE!</v>
      </c>
      <c r="EN33" t="e">
        <f>AND('Planilla_General_03-12-2012_9_3'!O521,"AAAAAB/1t48=")</f>
        <v>#VALUE!</v>
      </c>
      <c r="EO33">
        <f>IF('Planilla_General_03-12-2012_9_3'!522:522,"AAAAAB/1t5A=",0)</f>
        <v>0</v>
      </c>
      <c r="EP33" t="e">
        <f>AND('Planilla_General_03-12-2012_9_3'!A522,"AAAAAB/1t5E=")</f>
        <v>#VALUE!</v>
      </c>
      <c r="EQ33" t="e">
        <f>AND('Planilla_General_03-12-2012_9_3'!B522,"AAAAAB/1t5I=")</f>
        <v>#VALUE!</v>
      </c>
      <c r="ER33" t="e">
        <f>AND('Planilla_General_03-12-2012_9_3'!C522,"AAAAAB/1t5M=")</f>
        <v>#VALUE!</v>
      </c>
      <c r="ES33" t="e">
        <f>AND('Planilla_General_03-12-2012_9_3'!D522,"AAAAAB/1t5Q=")</f>
        <v>#VALUE!</v>
      </c>
      <c r="ET33" t="e">
        <f>AND('Planilla_General_03-12-2012_9_3'!E522,"AAAAAB/1t5U=")</f>
        <v>#VALUE!</v>
      </c>
      <c r="EU33" t="e">
        <f>AND('Planilla_General_03-12-2012_9_3'!F522,"AAAAAB/1t5Y=")</f>
        <v>#VALUE!</v>
      </c>
      <c r="EV33" t="e">
        <f>AND('Planilla_General_03-12-2012_9_3'!G522,"AAAAAB/1t5c=")</f>
        <v>#VALUE!</v>
      </c>
      <c r="EW33" t="e">
        <f>AND('Planilla_General_03-12-2012_9_3'!H522,"AAAAAB/1t5g=")</f>
        <v>#VALUE!</v>
      </c>
      <c r="EX33" t="e">
        <f>AND('Planilla_General_03-12-2012_9_3'!I522,"AAAAAB/1t5k=")</f>
        <v>#VALUE!</v>
      </c>
      <c r="EY33" t="e">
        <f>AND('Planilla_General_03-12-2012_9_3'!J522,"AAAAAB/1t5o=")</f>
        <v>#VALUE!</v>
      </c>
      <c r="EZ33" t="e">
        <f>AND('Planilla_General_03-12-2012_9_3'!K522,"AAAAAB/1t5s=")</f>
        <v>#VALUE!</v>
      </c>
      <c r="FA33" t="e">
        <f>AND('Planilla_General_03-12-2012_9_3'!L522,"AAAAAB/1t5w=")</f>
        <v>#VALUE!</v>
      </c>
      <c r="FB33" t="e">
        <f>AND('Planilla_General_03-12-2012_9_3'!M522,"AAAAAB/1t50=")</f>
        <v>#VALUE!</v>
      </c>
      <c r="FC33" t="e">
        <f>AND('Planilla_General_03-12-2012_9_3'!N522,"AAAAAB/1t54=")</f>
        <v>#VALUE!</v>
      </c>
      <c r="FD33" t="e">
        <f>AND('Planilla_General_03-12-2012_9_3'!O522,"AAAAAB/1t58=")</f>
        <v>#VALUE!</v>
      </c>
      <c r="FE33">
        <f>IF('Planilla_General_03-12-2012_9_3'!523:523,"AAAAAB/1t6A=",0)</f>
        <v>0</v>
      </c>
      <c r="FF33" t="e">
        <f>AND('Planilla_General_03-12-2012_9_3'!A523,"AAAAAB/1t6E=")</f>
        <v>#VALUE!</v>
      </c>
      <c r="FG33" t="e">
        <f>AND('Planilla_General_03-12-2012_9_3'!B523,"AAAAAB/1t6I=")</f>
        <v>#VALUE!</v>
      </c>
      <c r="FH33" t="e">
        <f>AND('Planilla_General_03-12-2012_9_3'!C523,"AAAAAB/1t6M=")</f>
        <v>#VALUE!</v>
      </c>
      <c r="FI33" t="e">
        <f>AND('Planilla_General_03-12-2012_9_3'!D523,"AAAAAB/1t6Q=")</f>
        <v>#VALUE!</v>
      </c>
      <c r="FJ33" t="e">
        <f>AND('Planilla_General_03-12-2012_9_3'!E523,"AAAAAB/1t6U=")</f>
        <v>#VALUE!</v>
      </c>
      <c r="FK33" t="e">
        <f>AND('Planilla_General_03-12-2012_9_3'!F523,"AAAAAB/1t6Y=")</f>
        <v>#VALUE!</v>
      </c>
      <c r="FL33" t="e">
        <f>AND('Planilla_General_03-12-2012_9_3'!G523,"AAAAAB/1t6c=")</f>
        <v>#VALUE!</v>
      </c>
      <c r="FM33" t="e">
        <f>AND('Planilla_General_03-12-2012_9_3'!H523,"AAAAAB/1t6g=")</f>
        <v>#VALUE!</v>
      </c>
      <c r="FN33" t="e">
        <f>AND('Planilla_General_03-12-2012_9_3'!I523,"AAAAAB/1t6k=")</f>
        <v>#VALUE!</v>
      </c>
      <c r="FO33" t="e">
        <f>AND('Planilla_General_03-12-2012_9_3'!J523,"AAAAAB/1t6o=")</f>
        <v>#VALUE!</v>
      </c>
      <c r="FP33" t="e">
        <f>AND('Planilla_General_03-12-2012_9_3'!K523,"AAAAAB/1t6s=")</f>
        <v>#VALUE!</v>
      </c>
      <c r="FQ33" t="e">
        <f>AND('Planilla_General_03-12-2012_9_3'!L523,"AAAAAB/1t6w=")</f>
        <v>#VALUE!</v>
      </c>
      <c r="FR33" t="e">
        <f>AND('Planilla_General_03-12-2012_9_3'!M523,"AAAAAB/1t60=")</f>
        <v>#VALUE!</v>
      </c>
      <c r="FS33" t="e">
        <f>AND('Planilla_General_03-12-2012_9_3'!N523,"AAAAAB/1t64=")</f>
        <v>#VALUE!</v>
      </c>
      <c r="FT33" t="e">
        <f>AND('Planilla_General_03-12-2012_9_3'!O523,"AAAAAB/1t68=")</f>
        <v>#VALUE!</v>
      </c>
      <c r="FU33">
        <f>IF('Planilla_General_03-12-2012_9_3'!524:524,"AAAAAB/1t7A=",0)</f>
        <v>0</v>
      </c>
      <c r="FV33" t="e">
        <f>AND('Planilla_General_03-12-2012_9_3'!A524,"AAAAAB/1t7E=")</f>
        <v>#VALUE!</v>
      </c>
      <c r="FW33" t="e">
        <f>AND('Planilla_General_03-12-2012_9_3'!B524,"AAAAAB/1t7I=")</f>
        <v>#VALUE!</v>
      </c>
      <c r="FX33" t="e">
        <f>AND('Planilla_General_03-12-2012_9_3'!C524,"AAAAAB/1t7M=")</f>
        <v>#VALUE!</v>
      </c>
      <c r="FY33" t="e">
        <f>AND('Planilla_General_03-12-2012_9_3'!D524,"AAAAAB/1t7Q=")</f>
        <v>#VALUE!</v>
      </c>
      <c r="FZ33" t="e">
        <f>AND('Planilla_General_03-12-2012_9_3'!E524,"AAAAAB/1t7U=")</f>
        <v>#VALUE!</v>
      </c>
      <c r="GA33" t="e">
        <f>AND('Planilla_General_03-12-2012_9_3'!F524,"AAAAAB/1t7Y=")</f>
        <v>#VALUE!</v>
      </c>
      <c r="GB33" t="e">
        <f>AND('Planilla_General_03-12-2012_9_3'!G524,"AAAAAB/1t7c=")</f>
        <v>#VALUE!</v>
      </c>
      <c r="GC33" t="e">
        <f>AND('Planilla_General_03-12-2012_9_3'!H524,"AAAAAB/1t7g=")</f>
        <v>#VALUE!</v>
      </c>
      <c r="GD33" t="e">
        <f>AND('Planilla_General_03-12-2012_9_3'!I524,"AAAAAB/1t7k=")</f>
        <v>#VALUE!</v>
      </c>
      <c r="GE33" t="e">
        <f>AND('Planilla_General_03-12-2012_9_3'!J524,"AAAAAB/1t7o=")</f>
        <v>#VALUE!</v>
      </c>
      <c r="GF33" t="e">
        <f>AND('Planilla_General_03-12-2012_9_3'!K524,"AAAAAB/1t7s=")</f>
        <v>#VALUE!</v>
      </c>
      <c r="GG33" t="e">
        <f>AND('Planilla_General_03-12-2012_9_3'!L524,"AAAAAB/1t7w=")</f>
        <v>#VALUE!</v>
      </c>
      <c r="GH33" t="e">
        <f>AND('Planilla_General_03-12-2012_9_3'!M524,"AAAAAB/1t70=")</f>
        <v>#VALUE!</v>
      </c>
      <c r="GI33" t="e">
        <f>AND('Planilla_General_03-12-2012_9_3'!N524,"AAAAAB/1t74=")</f>
        <v>#VALUE!</v>
      </c>
      <c r="GJ33" t="e">
        <f>AND('Planilla_General_03-12-2012_9_3'!O524,"AAAAAB/1t78=")</f>
        <v>#VALUE!</v>
      </c>
      <c r="GK33">
        <f>IF('Planilla_General_03-12-2012_9_3'!525:525,"AAAAAB/1t8A=",0)</f>
        <v>0</v>
      </c>
      <c r="GL33" t="e">
        <f>AND('Planilla_General_03-12-2012_9_3'!A525,"AAAAAB/1t8E=")</f>
        <v>#VALUE!</v>
      </c>
      <c r="GM33" t="e">
        <f>AND('Planilla_General_03-12-2012_9_3'!B525,"AAAAAB/1t8I=")</f>
        <v>#VALUE!</v>
      </c>
      <c r="GN33" t="e">
        <f>AND('Planilla_General_03-12-2012_9_3'!C525,"AAAAAB/1t8M=")</f>
        <v>#VALUE!</v>
      </c>
      <c r="GO33" t="e">
        <f>AND('Planilla_General_03-12-2012_9_3'!D525,"AAAAAB/1t8Q=")</f>
        <v>#VALUE!</v>
      </c>
      <c r="GP33" t="e">
        <f>AND('Planilla_General_03-12-2012_9_3'!E525,"AAAAAB/1t8U=")</f>
        <v>#VALUE!</v>
      </c>
      <c r="GQ33" t="e">
        <f>AND('Planilla_General_03-12-2012_9_3'!F525,"AAAAAB/1t8Y=")</f>
        <v>#VALUE!</v>
      </c>
      <c r="GR33" t="e">
        <f>AND('Planilla_General_03-12-2012_9_3'!G525,"AAAAAB/1t8c=")</f>
        <v>#VALUE!</v>
      </c>
      <c r="GS33" t="e">
        <f>AND('Planilla_General_03-12-2012_9_3'!H525,"AAAAAB/1t8g=")</f>
        <v>#VALUE!</v>
      </c>
      <c r="GT33" t="e">
        <f>AND('Planilla_General_03-12-2012_9_3'!I525,"AAAAAB/1t8k=")</f>
        <v>#VALUE!</v>
      </c>
      <c r="GU33" t="e">
        <f>AND('Planilla_General_03-12-2012_9_3'!J525,"AAAAAB/1t8o=")</f>
        <v>#VALUE!</v>
      </c>
      <c r="GV33" t="e">
        <f>AND('Planilla_General_03-12-2012_9_3'!K525,"AAAAAB/1t8s=")</f>
        <v>#VALUE!</v>
      </c>
      <c r="GW33" t="e">
        <f>AND('Planilla_General_03-12-2012_9_3'!L525,"AAAAAB/1t8w=")</f>
        <v>#VALUE!</v>
      </c>
      <c r="GX33" t="e">
        <f>AND('Planilla_General_03-12-2012_9_3'!M525,"AAAAAB/1t80=")</f>
        <v>#VALUE!</v>
      </c>
      <c r="GY33" t="e">
        <f>AND('Planilla_General_03-12-2012_9_3'!N525,"AAAAAB/1t84=")</f>
        <v>#VALUE!</v>
      </c>
      <c r="GZ33" t="e">
        <f>AND('Planilla_General_03-12-2012_9_3'!O525,"AAAAAB/1t88=")</f>
        <v>#VALUE!</v>
      </c>
      <c r="HA33">
        <f>IF('Planilla_General_03-12-2012_9_3'!526:526,"AAAAAB/1t9A=",0)</f>
        <v>0</v>
      </c>
      <c r="HB33" t="e">
        <f>AND('Planilla_General_03-12-2012_9_3'!A526,"AAAAAB/1t9E=")</f>
        <v>#VALUE!</v>
      </c>
      <c r="HC33" t="e">
        <f>AND('Planilla_General_03-12-2012_9_3'!B526,"AAAAAB/1t9I=")</f>
        <v>#VALUE!</v>
      </c>
      <c r="HD33" t="e">
        <f>AND('Planilla_General_03-12-2012_9_3'!C526,"AAAAAB/1t9M=")</f>
        <v>#VALUE!</v>
      </c>
      <c r="HE33" t="e">
        <f>AND('Planilla_General_03-12-2012_9_3'!D526,"AAAAAB/1t9Q=")</f>
        <v>#VALUE!</v>
      </c>
      <c r="HF33" t="e">
        <f>AND('Planilla_General_03-12-2012_9_3'!E526,"AAAAAB/1t9U=")</f>
        <v>#VALUE!</v>
      </c>
      <c r="HG33" t="e">
        <f>AND('Planilla_General_03-12-2012_9_3'!F526,"AAAAAB/1t9Y=")</f>
        <v>#VALUE!</v>
      </c>
      <c r="HH33" t="e">
        <f>AND('Planilla_General_03-12-2012_9_3'!G526,"AAAAAB/1t9c=")</f>
        <v>#VALUE!</v>
      </c>
      <c r="HI33" t="e">
        <f>AND('Planilla_General_03-12-2012_9_3'!H526,"AAAAAB/1t9g=")</f>
        <v>#VALUE!</v>
      </c>
      <c r="HJ33" t="e">
        <f>AND('Planilla_General_03-12-2012_9_3'!I526,"AAAAAB/1t9k=")</f>
        <v>#VALUE!</v>
      </c>
      <c r="HK33" t="e">
        <f>AND('Planilla_General_03-12-2012_9_3'!J526,"AAAAAB/1t9o=")</f>
        <v>#VALUE!</v>
      </c>
      <c r="HL33" t="e">
        <f>AND('Planilla_General_03-12-2012_9_3'!K526,"AAAAAB/1t9s=")</f>
        <v>#VALUE!</v>
      </c>
      <c r="HM33" t="e">
        <f>AND('Planilla_General_03-12-2012_9_3'!L526,"AAAAAB/1t9w=")</f>
        <v>#VALUE!</v>
      </c>
      <c r="HN33" t="e">
        <f>AND('Planilla_General_03-12-2012_9_3'!M526,"AAAAAB/1t90=")</f>
        <v>#VALUE!</v>
      </c>
      <c r="HO33" t="e">
        <f>AND('Planilla_General_03-12-2012_9_3'!N526,"AAAAAB/1t94=")</f>
        <v>#VALUE!</v>
      </c>
      <c r="HP33" t="e">
        <f>AND('Planilla_General_03-12-2012_9_3'!O526,"AAAAAB/1t98=")</f>
        <v>#VALUE!</v>
      </c>
      <c r="HQ33">
        <f>IF('Planilla_General_03-12-2012_9_3'!527:527,"AAAAAB/1t+A=",0)</f>
        <v>0</v>
      </c>
      <c r="HR33" t="e">
        <f>AND('Planilla_General_03-12-2012_9_3'!A527,"AAAAAB/1t+E=")</f>
        <v>#VALUE!</v>
      </c>
      <c r="HS33" t="e">
        <f>AND('Planilla_General_03-12-2012_9_3'!B527,"AAAAAB/1t+I=")</f>
        <v>#VALUE!</v>
      </c>
      <c r="HT33" t="e">
        <f>AND('Planilla_General_03-12-2012_9_3'!C527,"AAAAAB/1t+M=")</f>
        <v>#VALUE!</v>
      </c>
      <c r="HU33" t="e">
        <f>AND('Planilla_General_03-12-2012_9_3'!D527,"AAAAAB/1t+Q=")</f>
        <v>#VALUE!</v>
      </c>
      <c r="HV33" t="e">
        <f>AND('Planilla_General_03-12-2012_9_3'!E527,"AAAAAB/1t+U=")</f>
        <v>#VALUE!</v>
      </c>
      <c r="HW33" t="e">
        <f>AND('Planilla_General_03-12-2012_9_3'!F527,"AAAAAB/1t+Y=")</f>
        <v>#VALUE!</v>
      </c>
      <c r="HX33" t="e">
        <f>AND('Planilla_General_03-12-2012_9_3'!G527,"AAAAAB/1t+c=")</f>
        <v>#VALUE!</v>
      </c>
      <c r="HY33" t="e">
        <f>AND('Planilla_General_03-12-2012_9_3'!H527,"AAAAAB/1t+g=")</f>
        <v>#VALUE!</v>
      </c>
      <c r="HZ33" t="e">
        <f>AND('Planilla_General_03-12-2012_9_3'!I527,"AAAAAB/1t+k=")</f>
        <v>#VALUE!</v>
      </c>
      <c r="IA33" t="e">
        <f>AND('Planilla_General_03-12-2012_9_3'!J527,"AAAAAB/1t+o=")</f>
        <v>#VALUE!</v>
      </c>
      <c r="IB33" t="e">
        <f>AND('Planilla_General_03-12-2012_9_3'!K527,"AAAAAB/1t+s=")</f>
        <v>#VALUE!</v>
      </c>
      <c r="IC33" t="e">
        <f>AND('Planilla_General_03-12-2012_9_3'!L527,"AAAAAB/1t+w=")</f>
        <v>#VALUE!</v>
      </c>
      <c r="ID33" t="e">
        <f>AND('Planilla_General_03-12-2012_9_3'!M527,"AAAAAB/1t+0=")</f>
        <v>#VALUE!</v>
      </c>
      <c r="IE33" t="e">
        <f>AND('Planilla_General_03-12-2012_9_3'!N527,"AAAAAB/1t+4=")</f>
        <v>#VALUE!</v>
      </c>
      <c r="IF33" t="e">
        <f>AND('Planilla_General_03-12-2012_9_3'!O527,"AAAAAB/1t+8=")</f>
        <v>#VALUE!</v>
      </c>
      <c r="IG33">
        <f>IF('Planilla_General_03-12-2012_9_3'!528:528,"AAAAAB/1t/A=",0)</f>
        <v>0</v>
      </c>
      <c r="IH33" t="e">
        <f>AND('Planilla_General_03-12-2012_9_3'!A528,"AAAAAB/1t/E=")</f>
        <v>#VALUE!</v>
      </c>
      <c r="II33" t="e">
        <f>AND('Planilla_General_03-12-2012_9_3'!B528,"AAAAAB/1t/I=")</f>
        <v>#VALUE!</v>
      </c>
      <c r="IJ33" t="e">
        <f>AND('Planilla_General_03-12-2012_9_3'!C528,"AAAAAB/1t/M=")</f>
        <v>#VALUE!</v>
      </c>
      <c r="IK33" t="e">
        <f>AND('Planilla_General_03-12-2012_9_3'!D528,"AAAAAB/1t/Q=")</f>
        <v>#VALUE!</v>
      </c>
      <c r="IL33" t="e">
        <f>AND('Planilla_General_03-12-2012_9_3'!E528,"AAAAAB/1t/U=")</f>
        <v>#VALUE!</v>
      </c>
      <c r="IM33" t="e">
        <f>AND('Planilla_General_03-12-2012_9_3'!F528,"AAAAAB/1t/Y=")</f>
        <v>#VALUE!</v>
      </c>
      <c r="IN33" t="e">
        <f>AND('Planilla_General_03-12-2012_9_3'!G528,"AAAAAB/1t/c=")</f>
        <v>#VALUE!</v>
      </c>
      <c r="IO33" t="e">
        <f>AND('Planilla_General_03-12-2012_9_3'!H528,"AAAAAB/1t/g=")</f>
        <v>#VALUE!</v>
      </c>
      <c r="IP33" t="e">
        <f>AND('Planilla_General_03-12-2012_9_3'!I528,"AAAAAB/1t/k=")</f>
        <v>#VALUE!</v>
      </c>
      <c r="IQ33" t="e">
        <f>AND('Planilla_General_03-12-2012_9_3'!J528,"AAAAAB/1t/o=")</f>
        <v>#VALUE!</v>
      </c>
      <c r="IR33" t="e">
        <f>AND('Planilla_General_03-12-2012_9_3'!K528,"AAAAAB/1t/s=")</f>
        <v>#VALUE!</v>
      </c>
      <c r="IS33" t="e">
        <f>AND('Planilla_General_03-12-2012_9_3'!L528,"AAAAAB/1t/w=")</f>
        <v>#VALUE!</v>
      </c>
      <c r="IT33" t="e">
        <f>AND('Planilla_General_03-12-2012_9_3'!M528,"AAAAAB/1t/0=")</f>
        <v>#VALUE!</v>
      </c>
      <c r="IU33" t="e">
        <f>AND('Planilla_General_03-12-2012_9_3'!N528,"AAAAAB/1t/4=")</f>
        <v>#VALUE!</v>
      </c>
      <c r="IV33" t="e">
        <f>AND('Planilla_General_03-12-2012_9_3'!O528,"AAAAAB/1t/8=")</f>
        <v>#VALUE!</v>
      </c>
    </row>
    <row r="34" spans="1:256" x14ac:dyDescent="0.25">
      <c r="A34" t="e">
        <f>IF('Planilla_General_03-12-2012_9_3'!529:529,"AAAAAHUP/QA=",0)</f>
        <v>#VALUE!</v>
      </c>
      <c r="B34" t="e">
        <f>AND('Planilla_General_03-12-2012_9_3'!A529,"AAAAAHUP/QE=")</f>
        <v>#VALUE!</v>
      </c>
      <c r="C34" t="e">
        <f>AND('Planilla_General_03-12-2012_9_3'!B529,"AAAAAHUP/QI=")</f>
        <v>#VALUE!</v>
      </c>
      <c r="D34" t="e">
        <f>AND('Planilla_General_03-12-2012_9_3'!C529,"AAAAAHUP/QM=")</f>
        <v>#VALUE!</v>
      </c>
      <c r="E34" t="e">
        <f>AND('Planilla_General_03-12-2012_9_3'!D529,"AAAAAHUP/QQ=")</f>
        <v>#VALUE!</v>
      </c>
      <c r="F34" t="e">
        <f>AND('Planilla_General_03-12-2012_9_3'!E529,"AAAAAHUP/QU=")</f>
        <v>#VALUE!</v>
      </c>
      <c r="G34" t="e">
        <f>AND('Planilla_General_03-12-2012_9_3'!F529,"AAAAAHUP/QY=")</f>
        <v>#VALUE!</v>
      </c>
      <c r="H34" t="e">
        <f>AND('Planilla_General_03-12-2012_9_3'!G529,"AAAAAHUP/Qc=")</f>
        <v>#VALUE!</v>
      </c>
      <c r="I34" t="e">
        <f>AND('Planilla_General_03-12-2012_9_3'!H529,"AAAAAHUP/Qg=")</f>
        <v>#VALUE!</v>
      </c>
      <c r="J34" t="e">
        <f>AND('Planilla_General_03-12-2012_9_3'!I529,"AAAAAHUP/Qk=")</f>
        <v>#VALUE!</v>
      </c>
      <c r="K34" t="e">
        <f>AND('Planilla_General_03-12-2012_9_3'!J529,"AAAAAHUP/Qo=")</f>
        <v>#VALUE!</v>
      </c>
      <c r="L34" t="e">
        <f>AND('Planilla_General_03-12-2012_9_3'!K529,"AAAAAHUP/Qs=")</f>
        <v>#VALUE!</v>
      </c>
      <c r="M34" t="e">
        <f>AND('Planilla_General_03-12-2012_9_3'!L529,"AAAAAHUP/Qw=")</f>
        <v>#VALUE!</v>
      </c>
      <c r="N34" t="e">
        <f>AND('Planilla_General_03-12-2012_9_3'!M529,"AAAAAHUP/Q0=")</f>
        <v>#VALUE!</v>
      </c>
      <c r="O34" t="e">
        <f>AND('Planilla_General_03-12-2012_9_3'!N529,"AAAAAHUP/Q4=")</f>
        <v>#VALUE!</v>
      </c>
      <c r="P34" t="e">
        <f>AND('Planilla_General_03-12-2012_9_3'!O529,"AAAAAHUP/Q8=")</f>
        <v>#VALUE!</v>
      </c>
      <c r="Q34">
        <f>IF('Planilla_General_03-12-2012_9_3'!530:530,"AAAAAHUP/RA=",0)</f>
        <v>0</v>
      </c>
      <c r="R34" t="e">
        <f>AND('Planilla_General_03-12-2012_9_3'!A530,"AAAAAHUP/RE=")</f>
        <v>#VALUE!</v>
      </c>
      <c r="S34" t="e">
        <f>AND('Planilla_General_03-12-2012_9_3'!B530,"AAAAAHUP/RI=")</f>
        <v>#VALUE!</v>
      </c>
      <c r="T34" t="e">
        <f>AND('Planilla_General_03-12-2012_9_3'!C530,"AAAAAHUP/RM=")</f>
        <v>#VALUE!</v>
      </c>
      <c r="U34" t="e">
        <f>AND('Planilla_General_03-12-2012_9_3'!D530,"AAAAAHUP/RQ=")</f>
        <v>#VALUE!</v>
      </c>
      <c r="V34" t="e">
        <f>AND('Planilla_General_03-12-2012_9_3'!E530,"AAAAAHUP/RU=")</f>
        <v>#VALUE!</v>
      </c>
      <c r="W34" t="e">
        <f>AND('Planilla_General_03-12-2012_9_3'!F530,"AAAAAHUP/RY=")</f>
        <v>#VALUE!</v>
      </c>
      <c r="X34" t="e">
        <f>AND('Planilla_General_03-12-2012_9_3'!G530,"AAAAAHUP/Rc=")</f>
        <v>#VALUE!</v>
      </c>
      <c r="Y34" t="e">
        <f>AND('Planilla_General_03-12-2012_9_3'!H530,"AAAAAHUP/Rg=")</f>
        <v>#VALUE!</v>
      </c>
      <c r="Z34" t="e">
        <f>AND('Planilla_General_03-12-2012_9_3'!I530,"AAAAAHUP/Rk=")</f>
        <v>#VALUE!</v>
      </c>
      <c r="AA34" t="e">
        <f>AND('Planilla_General_03-12-2012_9_3'!J530,"AAAAAHUP/Ro=")</f>
        <v>#VALUE!</v>
      </c>
      <c r="AB34" t="e">
        <f>AND('Planilla_General_03-12-2012_9_3'!K530,"AAAAAHUP/Rs=")</f>
        <v>#VALUE!</v>
      </c>
      <c r="AC34" t="e">
        <f>AND('Planilla_General_03-12-2012_9_3'!L530,"AAAAAHUP/Rw=")</f>
        <v>#VALUE!</v>
      </c>
      <c r="AD34" t="e">
        <f>AND('Planilla_General_03-12-2012_9_3'!M530,"AAAAAHUP/R0=")</f>
        <v>#VALUE!</v>
      </c>
      <c r="AE34" t="e">
        <f>AND('Planilla_General_03-12-2012_9_3'!N530,"AAAAAHUP/R4=")</f>
        <v>#VALUE!</v>
      </c>
      <c r="AF34" t="e">
        <f>AND('Planilla_General_03-12-2012_9_3'!O530,"AAAAAHUP/R8=")</f>
        <v>#VALUE!</v>
      </c>
      <c r="AG34">
        <f>IF('Planilla_General_03-12-2012_9_3'!531:531,"AAAAAHUP/SA=",0)</f>
        <v>0</v>
      </c>
      <c r="AH34" t="e">
        <f>AND('Planilla_General_03-12-2012_9_3'!A531,"AAAAAHUP/SE=")</f>
        <v>#VALUE!</v>
      </c>
      <c r="AI34" t="e">
        <f>AND('Planilla_General_03-12-2012_9_3'!B531,"AAAAAHUP/SI=")</f>
        <v>#VALUE!</v>
      </c>
      <c r="AJ34" t="e">
        <f>AND('Planilla_General_03-12-2012_9_3'!C531,"AAAAAHUP/SM=")</f>
        <v>#VALUE!</v>
      </c>
      <c r="AK34" t="e">
        <f>AND('Planilla_General_03-12-2012_9_3'!D531,"AAAAAHUP/SQ=")</f>
        <v>#VALUE!</v>
      </c>
      <c r="AL34" t="e">
        <f>AND('Planilla_General_03-12-2012_9_3'!E531,"AAAAAHUP/SU=")</f>
        <v>#VALUE!</v>
      </c>
      <c r="AM34" t="e">
        <f>AND('Planilla_General_03-12-2012_9_3'!F531,"AAAAAHUP/SY=")</f>
        <v>#VALUE!</v>
      </c>
      <c r="AN34" t="e">
        <f>AND('Planilla_General_03-12-2012_9_3'!G531,"AAAAAHUP/Sc=")</f>
        <v>#VALUE!</v>
      </c>
      <c r="AO34" t="e">
        <f>AND('Planilla_General_03-12-2012_9_3'!H531,"AAAAAHUP/Sg=")</f>
        <v>#VALUE!</v>
      </c>
      <c r="AP34" t="e">
        <f>AND('Planilla_General_03-12-2012_9_3'!I531,"AAAAAHUP/Sk=")</f>
        <v>#VALUE!</v>
      </c>
      <c r="AQ34" t="e">
        <f>AND('Planilla_General_03-12-2012_9_3'!J531,"AAAAAHUP/So=")</f>
        <v>#VALUE!</v>
      </c>
      <c r="AR34" t="e">
        <f>AND('Planilla_General_03-12-2012_9_3'!K531,"AAAAAHUP/Ss=")</f>
        <v>#VALUE!</v>
      </c>
      <c r="AS34" t="e">
        <f>AND('Planilla_General_03-12-2012_9_3'!L531,"AAAAAHUP/Sw=")</f>
        <v>#VALUE!</v>
      </c>
      <c r="AT34" t="e">
        <f>AND('Planilla_General_03-12-2012_9_3'!M531,"AAAAAHUP/S0=")</f>
        <v>#VALUE!</v>
      </c>
      <c r="AU34" t="e">
        <f>AND('Planilla_General_03-12-2012_9_3'!N531,"AAAAAHUP/S4=")</f>
        <v>#VALUE!</v>
      </c>
      <c r="AV34" t="e">
        <f>AND('Planilla_General_03-12-2012_9_3'!O531,"AAAAAHUP/S8=")</f>
        <v>#VALUE!</v>
      </c>
      <c r="AW34">
        <f>IF('Planilla_General_03-12-2012_9_3'!532:532,"AAAAAHUP/TA=",0)</f>
        <v>0</v>
      </c>
      <c r="AX34" t="e">
        <f>AND('Planilla_General_03-12-2012_9_3'!A532,"AAAAAHUP/TE=")</f>
        <v>#VALUE!</v>
      </c>
      <c r="AY34" t="e">
        <f>AND('Planilla_General_03-12-2012_9_3'!B532,"AAAAAHUP/TI=")</f>
        <v>#VALUE!</v>
      </c>
      <c r="AZ34" t="e">
        <f>AND('Planilla_General_03-12-2012_9_3'!C532,"AAAAAHUP/TM=")</f>
        <v>#VALUE!</v>
      </c>
      <c r="BA34" t="e">
        <f>AND('Planilla_General_03-12-2012_9_3'!D532,"AAAAAHUP/TQ=")</f>
        <v>#VALUE!</v>
      </c>
      <c r="BB34" t="e">
        <f>AND('Planilla_General_03-12-2012_9_3'!E532,"AAAAAHUP/TU=")</f>
        <v>#VALUE!</v>
      </c>
      <c r="BC34" t="e">
        <f>AND('Planilla_General_03-12-2012_9_3'!F532,"AAAAAHUP/TY=")</f>
        <v>#VALUE!</v>
      </c>
      <c r="BD34" t="e">
        <f>AND('Planilla_General_03-12-2012_9_3'!G532,"AAAAAHUP/Tc=")</f>
        <v>#VALUE!</v>
      </c>
      <c r="BE34" t="e">
        <f>AND('Planilla_General_03-12-2012_9_3'!H532,"AAAAAHUP/Tg=")</f>
        <v>#VALUE!</v>
      </c>
      <c r="BF34" t="e">
        <f>AND('Planilla_General_03-12-2012_9_3'!I532,"AAAAAHUP/Tk=")</f>
        <v>#VALUE!</v>
      </c>
      <c r="BG34" t="e">
        <f>AND('Planilla_General_03-12-2012_9_3'!J532,"AAAAAHUP/To=")</f>
        <v>#VALUE!</v>
      </c>
      <c r="BH34" t="e">
        <f>AND('Planilla_General_03-12-2012_9_3'!K532,"AAAAAHUP/Ts=")</f>
        <v>#VALUE!</v>
      </c>
      <c r="BI34" t="e">
        <f>AND('Planilla_General_03-12-2012_9_3'!L532,"AAAAAHUP/Tw=")</f>
        <v>#VALUE!</v>
      </c>
      <c r="BJ34" t="e">
        <f>AND('Planilla_General_03-12-2012_9_3'!M532,"AAAAAHUP/T0=")</f>
        <v>#VALUE!</v>
      </c>
      <c r="BK34" t="e">
        <f>AND('Planilla_General_03-12-2012_9_3'!N532,"AAAAAHUP/T4=")</f>
        <v>#VALUE!</v>
      </c>
      <c r="BL34" t="e">
        <f>AND('Planilla_General_03-12-2012_9_3'!O532,"AAAAAHUP/T8=")</f>
        <v>#VALUE!</v>
      </c>
      <c r="BM34">
        <f>IF('Planilla_General_03-12-2012_9_3'!533:533,"AAAAAHUP/UA=",0)</f>
        <v>0</v>
      </c>
      <c r="BN34" t="e">
        <f>AND('Planilla_General_03-12-2012_9_3'!A533,"AAAAAHUP/UE=")</f>
        <v>#VALUE!</v>
      </c>
      <c r="BO34" t="e">
        <f>AND('Planilla_General_03-12-2012_9_3'!B533,"AAAAAHUP/UI=")</f>
        <v>#VALUE!</v>
      </c>
      <c r="BP34" t="e">
        <f>AND('Planilla_General_03-12-2012_9_3'!C533,"AAAAAHUP/UM=")</f>
        <v>#VALUE!</v>
      </c>
      <c r="BQ34" t="e">
        <f>AND('Planilla_General_03-12-2012_9_3'!D533,"AAAAAHUP/UQ=")</f>
        <v>#VALUE!</v>
      </c>
      <c r="BR34" t="e">
        <f>AND('Planilla_General_03-12-2012_9_3'!E533,"AAAAAHUP/UU=")</f>
        <v>#VALUE!</v>
      </c>
      <c r="BS34" t="e">
        <f>AND('Planilla_General_03-12-2012_9_3'!F533,"AAAAAHUP/UY=")</f>
        <v>#VALUE!</v>
      </c>
      <c r="BT34" t="e">
        <f>AND('Planilla_General_03-12-2012_9_3'!G533,"AAAAAHUP/Uc=")</f>
        <v>#VALUE!</v>
      </c>
      <c r="BU34" t="e">
        <f>AND('Planilla_General_03-12-2012_9_3'!H533,"AAAAAHUP/Ug=")</f>
        <v>#VALUE!</v>
      </c>
      <c r="BV34" t="e">
        <f>AND('Planilla_General_03-12-2012_9_3'!I533,"AAAAAHUP/Uk=")</f>
        <v>#VALUE!</v>
      </c>
      <c r="BW34" t="e">
        <f>AND('Planilla_General_03-12-2012_9_3'!J533,"AAAAAHUP/Uo=")</f>
        <v>#VALUE!</v>
      </c>
      <c r="BX34" t="e">
        <f>AND('Planilla_General_03-12-2012_9_3'!K533,"AAAAAHUP/Us=")</f>
        <v>#VALUE!</v>
      </c>
      <c r="BY34" t="e">
        <f>AND('Planilla_General_03-12-2012_9_3'!L533,"AAAAAHUP/Uw=")</f>
        <v>#VALUE!</v>
      </c>
      <c r="BZ34" t="e">
        <f>AND('Planilla_General_03-12-2012_9_3'!M533,"AAAAAHUP/U0=")</f>
        <v>#VALUE!</v>
      </c>
      <c r="CA34" t="e">
        <f>AND('Planilla_General_03-12-2012_9_3'!N533,"AAAAAHUP/U4=")</f>
        <v>#VALUE!</v>
      </c>
      <c r="CB34" t="e">
        <f>AND('Planilla_General_03-12-2012_9_3'!O533,"AAAAAHUP/U8=")</f>
        <v>#VALUE!</v>
      </c>
      <c r="CC34">
        <f>IF('Planilla_General_03-12-2012_9_3'!534:534,"AAAAAHUP/VA=",0)</f>
        <v>0</v>
      </c>
      <c r="CD34" t="e">
        <f>AND('Planilla_General_03-12-2012_9_3'!A534,"AAAAAHUP/VE=")</f>
        <v>#VALUE!</v>
      </c>
      <c r="CE34" t="e">
        <f>AND('Planilla_General_03-12-2012_9_3'!B534,"AAAAAHUP/VI=")</f>
        <v>#VALUE!</v>
      </c>
      <c r="CF34" t="e">
        <f>AND('Planilla_General_03-12-2012_9_3'!C534,"AAAAAHUP/VM=")</f>
        <v>#VALUE!</v>
      </c>
      <c r="CG34" t="e">
        <f>AND('Planilla_General_03-12-2012_9_3'!D534,"AAAAAHUP/VQ=")</f>
        <v>#VALUE!</v>
      </c>
      <c r="CH34" t="e">
        <f>AND('Planilla_General_03-12-2012_9_3'!E534,"AAAAAHUP/VU=")</f>
        <v>#VALUE!</v>
      </c>
      <c r="CI34" t="e">
        <f>AND('Planilla_General_03-12-2012_9_3'!F534,"AAAAAHUP/VY=")</f>
        <v>#VALUE!</v>
      </c>
      <c r="CJ34" t="e">
        <f>AND('Planilla_General_03-12-2012_9_3'!G534,"AAAAAHUP/Vc=")</f>
        <v>#VALUE!</v>
      </c>
      <c r="CK34" t="e">
        <f>AND('Planilla_General_03-12-2012_9_3'!H534,"AAAAAHUP/Vg=")</f>
        <v>#VALUE!</v>
      </c>
      <c r="CL34" t="e">
        <f>AND('Planilla_General_03-12-2012_9_3'!I534,"AAAAAHUP/Vk=")</f>
        <v>#VALUE!</v>
      </c>
      <c r="CM34" t="e">
        <f>AND('Planilla_General_03-12-2012_9_3'!J534,"AAAAAHUP/Vo=")</f>
        <v>#VALUE!</v>
      </c>
      <c r="CN34" t="e">
        <f>AND('Planilla_General_03-12-2012_9_3'!K534,"AAAAAHUP/Vs=")</f>
        <v>#VALUE!</v>
      </c>
      <c r="CO34" t="e">
        <f>AND('Planilla_General_03-12-2012_9_3'!L534,"AAAAAHUP/Vw=")</f>
        <v>#VALUE!</v>
      </c>
      <c r="CP34" t="e">
        <f>AND('Planilla_General_03-12-2012_9_3'!M534,"AAAAAHUP/V0=")</f>
        <v>#VALUE!</v>
      </c>
      <c r="CQ34" t="e">
        <f>AND('Planilla_General_03-12-2012_9_3'!N534,"AAAAAHUP/V4=")</f>
        <v>#VALUE!</v>
      </c>
      <c r="CR34" t="e">
        <f>AND('Planilla_General_03-12-2012_9_3'!O534,"AAAAAHUP/V8=")</f>
        <v>#VALUE!</v>
      </c>
      <c r="CS34">
        <f>IF('Planilla_General_03-12-2012_9_3'!535:535,"AAAAAHUP/WA=",0)</f>
        <v>0</v>
      </c>
      <c r="CT34" t="e">
        <f>AND('Planilla_General_03-12-2012_9_3'!A535,"AAAAAHUP/WE=")</f>
        <v>#VALUE!</v>
      </c>
      <c r="CU34" t="e">
        <f>AND('Planilla_General_03-12-2012_9_3'!B535,"AAAAAHUP/WI=")</f>
        <v>#VALUE!</v>
      </c>
      <c r="CV34" t="e">
        <f>AND('Planilla_General_03-12-2012_9_3'!C535,"AAAAAHUP/WM=")</f>
        <v>#VALUE!</v>
      </c>
      <c r="CW34" t="e">
        <f>AND('Planilla_General_03-12-2012_9_3'!D535,"AAAAAHUP/WQ=")</f>
        <v>#VALUE!</v>
      </c>
      <c r="CX34" t="e">
        <f>AND('Planilla_General_03-12-2012_9_3'!E535,"AAAAAHUP/WU=")</f>
        <v>#VALUE!</v>
      </c>
      <c r="CY34" t="e">
        <f>AND('Planilla_General_03-12-2012_9_3'!F535,"AAAAAHUP/WY=")</f>
        <v>#VALUE!</v>
      </c>
      <c r="CZ34" t="e">
        <f>AND('Planilla_General_03-12-2012_9_3'!G535,"AAAAAHUP/Wc=")</f>
        <v>#VALUE!</v>
      </c>
      <c r="DA34" t="e">
        <f>AND('Planilla_General_03-12-2012_9_3'!H535,"AAAAAHUP/Wg=")</f>
        <v>#VALUE!</v>
      </c>
      <c r="DB34" t="e">
        <f>AND('Planilla_General_03-12-2012_9_3'!I535,"AAAAAHUP/Wk=")</f>
        <v>#VALUE!</v>
      </c>
      <c r="DC34" t="e">
        <f>AND('Planilla_General_03-12-2012_9_3'!J535,"AAAAAHUP/Wo=")</f>
        <v>#VALUE!</v>
      </c>
      <c r="DD34" t="e">
        <f>AND('Planilla_General_03-12-2012_9_3'!K535,"AAAAAHUP/Ws=")</f>
        <v>#VALUE!</v>
      </c>
      <c r="DE34" t="e">
        <f>AND('Planilla_General_03-12-2012_9_3'!L535,"AAAAAHUP/Ww=")</f>
        <v>#VALUE!</v>
      </c>
      <c r="DF34" t="e">
        <f>AND('Planilla_General_03-12-2012_9_3'!M535,"AAAAAHUP/W0=")</f>
        <v>#VALUE!</v>
      </c>
      <c r="DG34" t="e">
        <f>AND('Planilla_General_03-12-2012_9_3'!N535,"AAAAAHUP/W4=")</f>
        <v>#VALUE!</v>
      </c>
      <c r="DH34" t="e">
        <f>AND('Planilla_General_03-12-2012_9_3'!O535,"AAAAAHUP/W8=")</f>
        <v>#VALUE!</v>
      </c>
      <c r="DI34">
        <f>IF('Planilla_General_03-12-2012_9_3'!536:536,"AAAAAHUP/XA=",0)</f>
        <v>0</v>
      </c>
      <c r="DJ34" t="e">
        <f>AND('Planilla_General_03-12-2012_9_3'!A536,"AAAAAHUP/XE=")</f>
        <v>#VALUE!</v>
      </c>
      <c r="DK34" t="e">
        <f>AND('Planilla_General_03-12-2012_9_3'!B536,"AAAAAHUP/XI=")</f>
        <v>#VALUE!</v>
      </c>
      <c r="DL34" t="e">
        <f>AND('Planilla_General_03-12-2012_9_3'!C536,"AAAAAHUP/XM=")</f>
        <v>#VALUE!</v>
      </c>
      <c r="DM34" t="e">
        <f>AND('Planilla_General_03-12-2012_9_3'!D536,"AAAAAHUP/XQ=")</f>
        <v>#VALUE!</v>
      </c>
      <c r="DN34" t="e">
        <f>AND('Planilla_General_03-12-2012_9_3'!E536,"AAAAAHUP/XU=")</f>
        <v>#VALUE!</v>
      </c>
      <c r="DO34" t="e">
        <f>AND('Planilla_General_03-12-2012_9_3'!F536,"AAAAAHUP/XY=")</f>
        <v>#VALUE!</v>
      </c>
      <c r="DP34" t="e">
        <f>AND('Planilla_General_03-12-2012_9_3'!G536,"AAAAAHUP/Xc=")</f>
        <v>#VALUE!</v>
      </c>
      <c r="DQ34" t="e">
        <f>AND('Planilla_General_03-12-2012_9_3'!H536,"AAAAAHUP/Xg=")</f>
        <v>#VALUE!</v>
      </c>
      <c r="DR34" t="e">
        <f>AND('Planilla_General_03-12-2012_9_3'!I536,"AAAAAHUP/Xk=")</f>
        <v>#VALUE!</v>
      </c>
      <c r="DS34" t="e">
        <f>AND('Planilla_General_03-12-2012_9_3'!J536,"AAAAAHUP/Xo=")</f>
        <v>#VALUE!</v>
      </c>
      <c r="DT34" t="e">
        <f>AND('Planilla_General_03-12-2012_9_3'!K536,"AAAAAHUP/Xs=")</f>
        <v>#VALUE!</v>
      </c>
      <c r="DU34" t="e">
        <f>AND('Planilla_General_03-12-2012_9_3'!L536,"AAAAAHUP/Xw=")</f>
        <v>#VALUE!</v>
      </c>
      <c r="DV34" t="e">
        <f>AND('Planilla_General_03-12-2012_9_3'!M536,"AAAAAHUP/X0=")</f>
        <v>#VALUE!</v>
      </c>
      <c r="DW34" t="e">
        <f>AND('Planilla_General_03-12-2012_9_3'!N536,"AAAAAHUP/X4=")</f>
        <v>#VALUE!</v>
      </c>
      <c r="DX34" t="e">
        <f>AND('Planilla_General_03-12-2012_9_3'!O536,"AAAAAHUP/X8=")</f>
        <v>#VALUE!</v>
      </c>
      <c r="DY34">
        <f>IF('Planilla_General_03-12-2012_9_3'!537:537,"AAAAAHUP/YA=",0)</f>
        <v>0</v>
      </c>
      <c r="DZ34" t="e">
        <f>AND('Planilla_General_03-12-2012_9_3'!A537,"AAAAAHUP/YE=")</f>
        <v>#VALUE!</v>
      </c>
      <c r="EA34" t="e">
        <f>AND('Planilla_General_03-12-2012_9_3'!B537,"AAAAAHUP/YI=")</f>
        <v>#VALUE!</v>
      </c>
      <c r="EB34" t="e">
        <f>AND('Planilla_General_03-12-2012_9_3'!C537,"AAAAAHUP/YM=")</f>
        <v>#VALUE!</v>
      </c>
      <c r="EC34" t="e">
        <f>AND('Planilla_General_03-12-2012_9_3'!D537,"AAAAAHUP/YQ=")</f>
        <v>#VALUE!</v>
      </c>
      <c r="ED34" t="e">
        <f>AND('Planilla_General_03-12-2012_9_3'!E537,"AAAAAHUP/YU=")</f>
        <v>#VALUE!</v>
      </c>
      <c r="EE34" t="e">
        <f>AND('Planilla_General_03-12-2012_9_3'!F537,"AAAAAHUP/YY=")</f>
        <v>#VALUE!</v>
      </c>
      <c r="EF34" t="e">
        <f>AND('Planilla_General_03-12-2012_9_3'!G537,"AAAAAHUP/Yc=")</f>
        <v>#VALUE!</v>
      </c>
      <c r="EG34" t="e">
        <f>AND('Planilla_General_03-12-2012_9_3'!H537,"AAAAAHUP/Yg=")</f>
        <v>#VALUE!</v>
      </c>
      <c r="EH34" t="e">
        <f>AND('Planilla_General_03-12-2012_9_3'!I537,"AAAAAHUP/Yk=")</f>
        <v>#VALUE!</v>
      </c>
      <c r="EI34" t="e">
        <f>AND('Planilla_General_03-12-2012_9_3'!J537,"AAAAAHUP/Yo=")</f>
        <v>#VALUE!</v>
      </c>
      <c r="EJ34" t="e">
        <f>AND('Planilla_General_03-12-2012_9_3'!K537,"AAAAAHUP/Ys=")</f>
        <v>#VALUE!</v>
      </c>
      <c r="EK34" t="e">
        <f>AND('Planilla_General_03-12-2012_9_3'!L537,"AAAAAHUP/Yw=")</f>
        <v>#VALUE!</v>
      </c>
      <c r="EL34" t="e">
        <f>AND('Planilla_General_03-12-2012_9_3'!M537,"AAAAAHUP/Y0=")</f>
        <v>#VALUE!</v>
      </c>
      <c r="EM34" t="e">
        <f>AND('Planilla_General_03-12-2012_9_3'!N537,"AAAAAHUP/Y4=")</f>
        <v>#VALUE!</v>
      </c>
      <c r="EN34" t="e">
        <f>AND('Planilla_General_03-12-2012_9_3'!O537,"AAAAAHUP/Y8=")</f>
        <v>#VALUE!</v>
      </c>
      <c r="EO34">
        <f>IF('Planilla_General_03-12-2012_9_3'!538:538,"AAAAAHUP/ZA=",0)</f>
        <v>0</v>
      </c>
      <c r="EP34" t="e">
        <f>AND('Planilla_General_03-12-2012_9_3'!A538,"AAAAAHUP/ZE=")</f>
        <v>#VALUE!</v>
      </c>
      <c r="EQ34" t="e">
        <f>AND('Planilla_General_03-12-2012_9_3'!B538,"AAAAAHUP/ZI=")</f>
        <v>#VALUE!</v>
      </c>
      <c r="ER34" t="e">
        <f>AND('Planilla_General_03-12-2012_9_3'!C538,"AAAAAHUP/ZM=")</f>
        <v>#VALUE!</v>
      </c>
      <c r="ES34" t="e">
        <f>AND('Planilla_General_03-12-2012_9_3'!D538,"AAAAAHUP/ZQ=")</f>
        <v>#VALUE!</v>
      </c>
      <c r="ET34" t="e">
        <f>AND('Planilla_General_03-12-2012_9_3'!E538,"AAAAAHUP/ZU=")</f>
        <v>#VALUE!</v>
      </c>
      <c r="EU34" t="e">
        <f>AND('Planilla_General_03-12-2012_9_3'!F538,"AAAAAHUP/ZY=")</f>
        <v>#VALUE!</v>
      </c>
      <c r="EV34" t="e">
        <f>AND('Planilla_General_03-12-2012_9_3'!G538,"AAAAAHUP/Zc=")</f>
        <v>#VALUE!</v>
      </c>
      <c r="EW34" t="e">
        <f>AND('Planilla_General_03-12-2012_9_3'!H538,"AAAAAHUP/Zg=")</f>
        <v>#VALUE!</v>
      </c>
      <c r="EX34" t="e">
        <f>AND('Planilla_General_03-12-2012_9_3'!I538,"AAAAAHUP/Zk=")</f>
        <v>#VALUE!</v>
      </c>
      <c r="EY34" t="e">
        <f>AND('Planilla_General_03-12-2012_9_3'!J538,"AAAAAHUP/Zo=")</f>
        <v>#VALUE!</v>
      </c>
      <c r="EZ34" t="e">
        <f>AND('Planilla_General_03-12-2012_9_3'!K538,"AAAAAHUP/Zs=")</f>
        <v>#VALUE!</v>
      </c>
      <c r="FA34" t="e">
        <f>AND('Planilla_General_03-12-2012_9_3'!L538,"AAAAAHUP/Zw=")</f>
        <v>#VALUE!</v>
      </c>
      <c r="FB34" t="e">
        <f>AND('Planilla_General_03-12-2012_9_3'!M538,"AAAAAHUP/Z0=")</f>
        <v>#VALUE!</v>
      </c>
      <c r="FC34" t="e">
        <f>AND('Planilla_General_03-12-2012_9_3'!N538,"AAAAAHUP/Z4=")</f>
        <v>#VALUE!</v>
      </c>
      <c r="FD34" t="e">
        <f>AND('Planilla_General_03-12-2012_9_3'!O538,"AAAAAHUP/Z8=")</f>
        <v>#VALUE!</v>
      </c>
      <c r="FE34">
        <f>IF('Planilla_General_03-12-2012_9_3'!539:539,"AAAAAHUP/aA=",0)</f>
        <v>0</v>
      </c>
      <c r="FF34" t="e">
        <f>AND('Planilla_General_03-12-2012_9_3'!A539,"AAAAAHUP/aE=")</f>
        <v>#VALUE!</v>
      </c>
      <c r="FG34" t="e">
        <f>AND('Planilla_General_03-12-2012_9_3'!B539,"AAAAAHUP/aI=")</f>
        <v>#VALUE!</v>
      </c>
      <c r="FH34" t="e">
        <f>AND('Planilla_General_03-12-2012_9_3'!C539,"AAAAAHUP/aM=")</f>
        <v>#VALUE!</v>
      </c>
      <c r="FI34" t="e">
        <f>AND('Planilla_General_03-12-2012_9_3'!D539,"AAAAAHUP/aQ=")</f>
        <v>#VALUE!</v>
      </c>
      <c r="FJ34" t="e">
        <f>AND('Planilla_General_03-12-2012_9_3'!E539,"AAAAAHUP/aU=")</f>
        <v>#VALUE!</v>
      </c>
      <c r="FK34" t="e">
        <f>AND('Planilla_General_03-12-2012_9_3'!F539,"AAAAAHUP/aY=")</f>
        <v>#VALUE!</v>
      </c>
      <c r="FL34" t="e">
        <f>AND('Planilla_General_03-12-2012_9_3'!G539,"AAAAAHUP/ac=")</f>
        <v>#VALUE!</v>
      </c>
      <c r="FM34" t="e">
        <f>AND('Planilla_General_03-12-2012_9_3'!H539,"AAAAAHUP/ag=")</f>
        <v>#VALUE!</v>
      </c>
      <c r="FN34" t="e">
        <f>AND('Planilla_General_03-12-2012_9_3'!I539,"AAAAAHUP/ak=")</f>
        <v>#VALUE!</v>
      </c>
      <c r="FO34" t="e">
        <f>AND('Planilla_General_03-12-2012_9_3'!J539,"AAAAAHUP/ao=")</f>
        <v>#VALUE!</v>
      </c>
      <c r="FP34" t="e">
        <f>AND('Planilla_General_03-12-2012_9_3'!K539,"AAAAAHUP/as=")</f>
        <v>#VALUE!</v>
      </c>
      <c r="FQ34" t="e">
        <f>AND('Planilla_General_03-12-2012_9_3'!L539,"AAAAAHUP/aw=")</f>
        <v>#VALUE!</v>
      </c>
      <c r="FR34" t="e">
        <f>AND('Planilla_General_03-12-2012_9_3'!M539,"AAAAAHUP/a0=")</f>
        <v>#VALUE!</v>
      </c>
      <c r="FS34" t="e">
        <f>AND('Planilla_General_03-12-2012_9_3'!N539,"AAAAAHUP/a4=")</f>
        <v>#VALUE!</v>
      </c>
      <c r="FT34" t="e">
        <f>AND('Planilla_General_03-12-2012_9_3'!O539,"AAAAAHUP/a8=")</f>
        <v>#VALUE!</v>
      </c>
      <c r="FU34">
        <f>IF('Planilla_General_03-12-2012_9_3'!540:540,"AAAAAHUP/bA=",0)</f>
        <v>0</v>
      </c>
      <c r="FV34" t="e">
        <f>AND('Planilla_General_03-12-2012_9_3'!A540,"AAAAAHUP/bE=")</f>
        <v>#VALUE!</v>
      </c>
      <c r="FW34" t="e">
        <f>AND('Planilla_General_03-12-2012_9_3'!B540,"AAAAAHUP/bI=")</f>
        <v>#VALUE!</v>
      </c>
      <c r="FX34" t="e">
        <f>AND('Planilla_General_03-12-2012_9_3'!C540,"AAAAAHUP/bM=")</f>
        <v>#VALUE!</v>
      </c>
      <c r="FY34" t="e">
        <f>AND('Planilla_General_03-12-2012_9_3'!D540,"AAAAAHUP/bQ=")</f>
        <v>#VALUE!</v>
      </c>
      <c r="FZ34" t="e">
        <f>AND('Planilla_General_03-12-2012_9_3'!E540,"AAAAAHUP/bU=")</f>
        <v>#VALUE!</v>
      </c>
      <c r="GA34" t="e">
        <f>AND('Planilla_General_03-12-2012_9_3'!F540,"AAAAAHUP/bY=")</f>
        <v>#VALUE!</v>
      </c>
      <c r="GB34" t="e">
        <f>AND('Planilla_General_03-12-2012_9_3'!G540,"AAAAAHUP/bc=")</f>
        <v>#VALUE!</v>
      </c>
      <c r="GC34" t="e">
        <f>AND('Planilla_General_03-12-2012_9_3'!H540,"AAAAAHUP/bg=")</f>
        <v>#VALUE!</v>
      </c>
      <c r="GD34" t="e">
        <f>AND('Planilla_General_03-12-2012_9_3'!I540,"AAAAAHUP/bk=")</f>
        <v>#VALUE!</v>
      </c>
      <c r="GE34" t="e">
        <f>AND('Planilla_General_03-12-2012_9_3'!J540,"AAAAAHUP/bo=")</f>
        <v>#VALUE!</v>
      </c>
      <c r="GF34" t="e">
        <f>AND('Planilla_General_03-12-2012_9_3'!K540,"AAAAAHUP/bs=")</f>
        <v>#VALUE!</v>
      </c>
      <c r="GG34" t="e">
        <f>AND('Planilla_General_03-12-2012_9_3'!L540,"AAAAAHUP/bw=")</f>
        <v>#VALUE!</v>
      </c>
      <c r="GH34" t="e">
        <f>AND('Planilla_General_03-12-2012_9_3'!M540,"AAAAAHUP/b0=")</f>
        <v>#VALUE!</v>
      </c>
      <c r="GI34" t="e">
        <f>AND('Planilla_General_03-12-2012_9_3'!N540,"AAAAAHUP/b4=")</f>
        <v>#VALUE!</v>
      </c>
      <c r="GJ34" t="e">
        <f>AND('Planilla_General_03-12-2012_9_3'!O540,"AAAAAHUP/b8=")</f>
        <v>#VALUE!</v>
      </c>
      <c r="GK34">
        <f>IF('Planilla_General_03-12-2012_9_3'!541:541,"AAAAAHUP/cA=",0)</f>
        <v>0</v>
      </c>
      <c r="GL34" t="e">
        <f>AND('Planilla_General_03-12-2012_9_3'!A541,"AAAAAHUP/cE=")</f>
        <v>#VALUE!</v>
      </c>
      <c r="GM34" t="e">
        <f>AND('Planilla_General_03-12-2012_9_3'!B541,"AAAAAHUP/cI=")</f>
        <v>#VALUE!</v>
      </c>
      <c r="GN34" t="e">
        <f>AND('Planilla_General_03-12-2012_9_3'!C541,"AAAAAHUP/cM=")</f>
        <v>#VALUE!</v>
      </c>
      <c r="GO34" t="e">
        <f>AND('Planilla_General_03-12-2012_9_3'!D541,"AAAAAHUP/cQ=")</f>
        <v>#VALUE!</v>
      </c>
      <c r="GP34" t="e">
        <f>AND('Planilla_General_03-12-2012_9_3'!E541,"AAAAAHUP/cU=")</f>
        <v>#VALUE!</v>
      </c>
      <c r="GQ34" t="e">
        <f>AND('Planilla_General_03-12-2012_9_3'!F541,"AAAAAHUP/cY=")</f>
        <v>#VALUE!</v>
      </c>
      <c r="GR34" t="e">
        <f>AND('Planilla_General_03-12-2012_9_3'!G541,"AAAAAHUP/cc=")</f>
        <v>#VALUE!</v>
      </c>
      <c r="GS34" t="e">
        <f>AND('Planilla_General_03-12-2012_9_3'!H541,"AAAAAHUP/cg=")</f>
        <v>#VALUE!</v>
      </c>
      <c r="GT34" t="e">
        <f>AND('Planilla_General_03-12-2012_9_3'!I541,"AAAAAHUP/ck=")</f>
        <v>#VALUE!</v>
      </c>
      <c r="GU34" t="e">
        <f>AND('Planilla_General_03-12-2012_9_3'!J541,"AAAAAHUP/co=")</f>
        <v>#VALUE!</v>
      </c>
      <c r="GV34" t="e">
        <f>AND('Planilla_General_03-12-2012_9_3'!K541,"AAAAAHUP/cs=")</f>
        <v>#VALUE!</v>
      </c>
      <c r="GW34" t="e">
        <f>AND('Planilla_General_03-12-2012_9_3'!L541,"AAAAAHUP/cw=")</f>
        <v>#VALUE!</v>
      </c>
      <c r="GX34" t="e">
        <f>AND('Planilla_General_03-12-2012_9_3'!M541,"AAAAAHUP/c0=")</f>
        <v>#VALUE!</v>
      </c>
      <c r="GY34" t="e">
        <f>AND('Planilla_General_03-12-2012_9_3'!N541,"AAAAAHUP/c4=")</f>
        <v>#VALUE!</v>
      </c>
      <c r="GZ34" t="e">
        <f>AND('Planilla_General_03-12-2012_9_3'!O541,"AAAAAHUP/c8=")</f>
        <v>#VALUE!</v>
      </c>
      <c r="HA34">
        <f>IF('Planilla_General_03-12-2012_9_3'!542:542,"AAAAAHUP/dA=",0)</f>
        <v>0</v>
      </c>
      <c r="HB34" t="e">
        <f>AND('Planilla_General_03-12-2012_9_3'!A542,"AAAAAHUP/dE=")</f>
        <v>#VALUE!</v>
      </c>
      <c r="HC34" t="e">
        <f>AND('Planilla_General_03-12-2012_9_3'!B542,"AAAAAHUP/dI=")</f>
        <v>#VALUE!</v>
      </c>
      <c r="HD34" t="e">
        <f>AND('Planilla_General_03-12-2012_9_3'!C542,"AAAAAHUP/dM=")</f>
        <v>#VALUE!</v>
      </c>
      <c r="HE34" t="e">
        <f>AND('Planilla_General_03-12-2012_9_3'!D542,"AAAAAHUP/dQ=")</f>
        <v>#VALUE!</v>
      </c>
      <c r="HF34" t="e">
        <f>AND('Planilla_General_03-12-2012_9_3'!E542,"AAAAAHUP/dU=")</f>
        <v>#VALUE!</v>
      </c>
      <c r="HG34" t="e">
        <f>AND('Planilla_General_03-12-2012_9_3'!F542,"AAAAAHUP/dY=")</f>
        <v>#VALUE!</v>
      </c>
      <c r="HH34" t="e">
        <f>AND('Planilla_General_03-12-2012_9_3'!G542,"AAAAAHUP/dc=")</f>
        <v>#VALUE!</v>
      </c>
      <c r="HI34" t="e">
        <f>AND('Planilla_General_03-12-2012_9_3'!H542,"AAAAAHUP/dg=")</f>
        <v>#VALUE!</v>
      </c>
      <c r="HJ34" t="e">
        <f>AND('Planilla_General_03-12-2012_9_3'!I542,"AAAAAHUP/dk=")</f>
        <v>#VALUE!</v>
      </c>
      <c r="HK34" t="e">
        <f>AND('Planilla_General_03-12-2012_9_3'!J542,"AAAAAHUP/do=")</f>
        <v>#VALUE!</v>
      </c>
      <c r="HL34" t="e">
        <f>AND('Planilla_General_03-12-2012_9_3'!K542,"AAAAAHUP/ds=")</f>
        <v>#VALUE!</v>
      </c>
      <c r="HM34" t="e">
        <f>AND('Planilla_General_03-12-2012_9_3'!L542,"AAAAAHUP/dw=")</f>
        <v>#VALUE!</v>
      </c>
      <c r="HN34" t="e">
        <f>AND('Planilla_General_03-12-2012_9_3'!M542,"AAAAAHUP/d0=")</f>
        <v>#VALUE!</v>
      </c>
      <c r="HO34" t="e">
        <f>AND('Planilla_General_03-12-2012_9_3'!N542,"AAAAAHUP/d4=")</f>
        <v>#VALUE!</v>
      </c>
      <c r="HP34" t="e">
        <f>AND('Planilla_General_03-12-2012_9_3'!O542,"AAAAAHUP/d8=")</f>
        <v>#VALUE!</v>
      </c>
      <c r="HQ34">
        <f>IF('Planilla_General_03-12-2012_9_3'!543:543,"AAAAAHUP/eA=",0)</f>
        <v>0</v>
      </c>
      <c r="HR34" t="e">
        <f>AND('Planilla_General_03-12-2012_9_3'!A543,"AAAAAHUP/eE=")</f>
        <v>#VALUE!</v>
      </c>
      <c r="HS34" t="e">
        <f>AND('Planilla_General_03-12-2012_9_3'!B543,"AAAAAHUP/eI=")</f>
        <v>#VALUE!</v>
      </c>
      <c r="HT34" t="e">
        <f>AND('Planilla_General_03-12-2012_9_3'!C543,"AAAAAHUP/eM=")</f>
        <v>#VALUE!</v>
      </c>
      <c r="HU34" t="e">
        <f>AND('Planilla_General_03-12-2012_9_3'!D543,"AAAAAHUP/eQ=")</f>
        <v>#VALUE!</v>
      </c>
      <c r="HV34" t="e">
        <f>AND('Planilla_General_03-12-2012_9_3'!E543,"AAAAAHUP/eU=")</f>
        <v>#VALUE!</v>
      </c>
      <c r="HW34" t="e">
        <f>AND('Planilla_General_03-12-2012_9_3'!F543,"AAAAAHUP/eY=")</f>
        <v>#VALUE!</v>
      </c>
      <c r="HX34" t="e">
        <f>AND('Planilla_General_03-12-2012_9_3'!G543,"AAAAAHUP/ec=")</f>
        <v>#VALUE!</v>
      </c>
      <c r="HY34" t="e">
        <f>AND('Planilla_General_03-12-2012_9_3'!H543,"AAAAAHUP/eg=")</f>
        <v>#VALUE!</v>
      </c>
      <c r="HZ34" t="e">
        <f>AND('Planilla_General_03-12-2012_9_3'!I543,"AAAAAHUP/ek=")</f>
        <v>#VALUE!</v>
      </c>
      <c r="IA34" t="e">
        <f>AND('Planilla_General_03-12-2012_9_3'!J543,"AAAAAHUP/eo=")</f>
        <v>#VALUE!</v>
      </c>
      <c r="IB34" t="e">
        <f>AND('Planilla_General_03-12-2012_9_3'!K543,"AAAAAHUP/es=")</f>
        <v>#VALUE!</v>
      </c>
      <c r="IC34" t="e">
        <f>AND('Planilla_General_03-12-2012_9_3'!L543,"AAAAAHUP/ew=")</f>
        <v>#VALUE!</v>
      </c>
      <c r="ID34" t="e">
        <f>AND('Planilla_General_03-12-2012_9_3'!M543,"AAAAAHUP/e0=")</f>
        <v>#VALUE!</v>
      </c>
      <c r="IE34" t="e">
        <f>AND('Planilla_General_03-12-2012_9_3'!N543,"AAAAAHUP/e4=")</f>
        <v>#VALUE!</v>
      </c>
      <c r="IF34" t="e">
        <f>AND('Planilla_General_03-12-2012_9_3'!O543,"AAAAAHUP/e8=")</f>
        <v>#VALUE!</v>
      </c>
      <c r="IG34">
        <f>IF('Planilla_General_03-12-2012_9_3'!544:544,"AAAAAHUP/fA=",0)</f>
        <v>0</v>
      </c>
      <c r="IH34" t="e">
        <f>AND('Planilla_General_03-12-2012_9_3'!A544,"AAAAAHUP/fE=")</f>
        <v>#VALUE!</v>
      </c>
      <c r="II34" t="e">
        <f>AND('Planilla_General_03-12-2012_9_3'!B544,"AAAAAHUP/fI=")</f>
        <v>#VALUE!</v>
      </c>
      <c r="IJ34" t="e">
        <f>AND('Planilla_General_03-12-2012_9_3'!C544,"AAAAAHUP/fM=")</f>
        <v>#VALUE!</v>
      </c>
      <c r="IK34" t="e">
        <f>AND('Planilla_General_03-12-2012_9_3'!D544,"AAAAAHUP/fQ=")</f>
        <v>#VALUE!</v>
      </c>
      <c r="IL34" t="e">
        <f>AND('Planilla_General_03-12-2012_9_3'!E544,"AAAAAHUP/fU=")</f>
        <v>#VALUE!</v>
      </c>
      <c r="IM34" t="e">
        <f>AND('Planilla_General_03-12-2012_9_3'!F544,"AAAAAHUP/fY=")</f>
        <v>#VALUE!</v>
      </c>
      <c r="IN34" t="e">
        <f>AND('Planilla_General_03-12-2012_9_3'!G544,"AAAAAHUP/fc=")</f>
        <v>#VALUE!</v>
      </c>
      <c r="IO34" t="e">
        <f>AND('Planilla_General_03-12-2012_9_3'!H544,"AAAAAHUP/fg=")</f>
        <v>#VALUE!</v>
      </c>
      <c r="IP34" t="e">
        <f>AND('Planilla_General_03-12-2012_9_3'!I544,"AAAAAHUP/fk=")</f>
        <v>#VALUE!</v>
      </c>
      <c r="IQ34" t="e">
        <f>AND('Planilla_General_03-12-2012_9_3'!J544,"AAAAAHUP/fo=")</f>
        <v>#VALUE!</v>
      </c>
      <c r="IR34" t="e">
        <f>AND('Planilla_General_03-12-2012_9_3'!K544,"AAAAAHUP/fs=")</f>
        <v>#VALUE!</v>
      </c>
      <c r="IS34" t="e">
        <f>AND('Planilla_General_03-12-2012_9_3'!L544,"AAAAAHUP/fw=")</f>
        <v>#VALUE!</v>
      </c>
      <c r="IT34" t="e">
        <f>AND('Planilla_General_03-12-2012_9_3'!M544,"AAAAAHUP/f0=")</f>
        <v>#VALUE!</v>
      </c>
      <c r="IU34" t="e">
        <f>AND('Planilla_General_03-12-2012_9_3'!N544,"AAAAAHUP/f4=")</f>
        <v>#VALUE!</v>
      </c>
      <c r="IV34" t="e">
        <f>AND('Planilla_General_03-12-2012_9_3'!O544,"AAAAAHUP/f8=")</f>
        <v>#VALUE!</v>
      </c>
    </row>
    <row r="35" spans="1:256" x14ac:dyDescent="0.25">
      <c r="A35" t="e">
        <f>IF('Planilla_General_03-12-2012_9_3'!545:545,"AAAAAH2++AA=",0)</f>
        <v>#VALUE!</v>
      </c>
      <c r="B35" t="e">
        <f>AND('Planilla_General_03-12-2012_9_3'!A545,"AAAAAH2++AE=")</f>
        <v>#VALUE!</v>
      </c>
      <c r="C35" t="e">
        <f>AND('Planilla_General_03-12-2012_9_3'!B545,"AAAAAH2++AI=")</f>
        <v>#VALUE!</v>
      </c>
      <c r="D35" t="e">
        <f>AND('Planilla_General_03-12-2012_9_3'!C545,"AAAAAH2++AM=")</f>
        <v>#VALUE!</v>
      </c>
      <c r="E35" t="e">
        <f>AND('Planilla_General_03-12-2012_9_3'!D545,"AAAAAH2++AQ=")</f>
        <v>#VALUE!</v>
      </c>
      <c r="F35" t="e">
        <f>AND('Planilla_General_03-12-2012_9_3'!E545,"AAAAAH2++AU=")</f>
        <v>#VALUE!</v>
      </c>
      <c r="G35" t="e">
        <f>AND('Planilla_General_03-12-2012_9_3'!F545,"AAAAAH2++AY=")</f>
        <v>#VALUE!</v>
      </c>
      <c r="H35" t="e">
        <f>AND('Planilla_General_03-12-2012_9_3'!G545,"AAAAAH2++Ac=")</f>
        <v>#VALUE!</v>
      </c>
      <c r="I35" t="e">
        <f>AND('Planilla_General_03-12-2012_9_3'!H545,"AAAAAH2++Ag=")</f>
        <v>#VALUE!</v>
      </c>
      <c r="J35" t="e">
        <f>AND('Planilla_General_03-12-2012_9_3'!I545,"AAAAAH2++Ak=")</f>
        <v>#VALUE!</v>
      </c>
      <c r="K35" t="e">
        <f>AND('Planilla_General_03-12-2012_9_3'!J545,"AAAAAH2++Ao=")</f>
        <v>#VALUE!</v>
      </c>
      <c r="L35" t="e">
        <f>AND('Planilla_General_03-12-2012_9_3'!K545,"AAAAAH2++As=")</f>
        <v>#VALUE!</v>
      </c>
      <c r="M35" t="e">
        <f>AND('Planilla_General_03-12-2012_9_3'!L545,"AAAAAH2++Aw=")</f>
        <v>#VALUE!</v>
      </c>
      <c r="N35" t="e">
        <f>AND('Planilla_General_03-12-2012_9_3'!M545,"AAAAAH2++A0=")</f>
        <v>#VALUE!</v>
      </c>
      <c r="O35" t="e">
        <f>AND('Planilla_General_03-12-2012_9_3'!N545,"AAAAAH2++A4=")</f>
        <v>#VALUE!</v>
      </c>
      <c r="P35" t="e">
        <f>AND('Planilla_General_03-12-2012_9_3'!O545,"AAAAAH2++A8=")</f>
        <v>#VALUE!</v>
      </c>
      <c r="Q35">
        <f>IF('Planilla_General_03-12-2012_9_3'!546:546,"AAAAAH2++BA=",0)</f>
        <v>0</v>
      </c>
      <c r="R35" t="e">
        <f>AND('Planilla_General_03-12-2012_9_3'!A546,"AAAAAH2++BE=")</f>
        <v>#VALUE!</v>
      </c>
      <c r="S35" t="e">
        <f>AND('Planilla_General_03-12-2012_9_3'!B546,"AAAAAH2++BI=")</f>
        <v>#VALUE!</v>
      </c>
      <c r="T35" t="e">
        <f>AND('Planilla_General_03-12-2012_9_3'!C546,"AAAAAH2++BM=")</f>
        <v>#VALUE!</v>
      </c>
      <c r="U35" t="e">
        <f>AND('Planilla_General_03-12-2012_9_3'!D546,"AAAAAH2++BQ=")</f>
        <v>#VALUE!</v>
      </c>
      <c r="V35" t="e">
        <f>AND('Planilla_General_03-12-2012_9_3'!E546,"AAAAAH2++BU=")</f>
        <v>#VALUE!</v>
      </c>
      <c r="W35" t="e">
        <f>AND('Planilla_General_03-12-2012_9_3'!F546,"AAAAAH2++BY=")</f>
        <v>#VALUE!</v>
      </c>
      <c r="X35" t="e">
        <f>AND('Planilla_General_03-12-2012_9_3'!G546,"AAAAAH2++Bc=")</f>
        <v>#VALUE!</v>
      </c>
      <c r="Y35" t="e">
        <f>AND('Planilla_General_03-12-2012_9_3'!H546,"AAAAAH2++Bg=")</f>
        <v>#VALUE!</v>
      </c>
      <c r="Z35" t="e">
        <f>AND('Planilla_General_03-12-2012_9_3'!I546,"AAAAAH2++Bk=")</f>
        <v>#VALUE!</v>
      </c>
      <c r="AA35" t="e">
        <f>AND('Planilla_General_03-12-2012_9_3'!J546,"AAAAAH2++Bo=")</f>
        <v>#VALUE!</v>
      </c>
      <c r="AB35" t="e">
        <f>AND('Planilla_General_03-12-2012_9_3'!K546,"AAAAAH2++Bs=")</f>
        <v>#VALUE!</v>
      </c>
      <c r="AC35" t="e">
        <f>AND('Planilla_General_03-12-2012_9_3'!L546,"AAAAAH2++Bw=")</f>
        <v>#VALUE!</v>
      </c>
      <c r="AD35" t="e">
        <f>AND('Planilla_General_03-12-2012_9_3'!M546,"AAAAAH2++B0=")</f>
        <v>#VALUE!</v>
      </c>
      <c r="AE35" t="e">
        <f>AND('Planilla_General_03-12-2012_9_3'!N546,"AAAAAH2++B4=")</f>
        <v>#VALUE!</v>
      </c>
      <c r="AF35" t="e">
        <f>AND('Planilla_General_03-12-2012_9_3'!O546,"AAAAAH2++B8=")</f>
        <v>#VALUE!</v>
      </c>
      <c r="AG35">
        <f>IF('Planilla_General_03-12-2012_9_3'!547:547,"AAAAAH2++CA=",0)</f>
        <v>0</v>
      </c>
      <c r="AH35" t="e">
        <f>AND('Planilla_General_03-12-2012_9_3'!A547,"AAAAAH2++CE=")</f>
        <v>#VALUE!</v>
      </c>
      <c r="AI35" t="e">
        <f>AND('Planilla_General_03-12-2012_9_3'!B547,"AAAAAH2++CI=")</f>
        <v>#VALUE!</v>
      </c>
      <c r="AJ35" t="e">
        <f>AND('Planilla_General_03-12-2012_9_3'!C547,"AAAAAH2++CM=")</f>
        <v>#VALUE!</v>
      </c>
      <c r="AK35" t="e">
        <f>AND('Planilla_General_03-12-2012_9_3'!D547,"AAAAAH2++CQ=")</f>
        <v>#VALUE!</v>
      </c>
      <c r="AL35" t="e">
        <f>AND('Planilla_General_03-12-2012_9_3'!E547,"AAAAAH2++CU=")</f>
        <v>#VALUE!</v>
      </c>
      <c r="AM35" t="e">
        <f>AND('Planilla_General_03-12-2012_9_3'!F547,"AAAAAH2++CY=")</f>
        <v>#VALUE!</v>
      </c>
      <c r="AN35" t="e">
        <f>AND('Planilla_General_03-12-2012_9_3'!G547,"AAAAAH2++Cc=")</f>
        <v>#VALUE!</v>
      </c>
      <c r="AO35" t="e">
        <f>AND('Planilla_General_03-12-2012_9_3'!H547,"AAAAAH2++Cg=")</f>
        <v>#VALUE!</v>
      </c>
      <c r="AP35" t="e">
        <f>AND('Planilla_General_03-12-2012_9_3'!I547,"AAAAAH2++Ck=")</f>
        <v>#VALUE!</v>
      </c>
      <c r="AQ35" t="e">
        <f>AND('Planilla_General_03-12-2012_9_3'!J547,"AAAAAH2++Co=")</f>
        <v>#VALUE!</v>
      </c>
      <c r="AR35" t="e">
        <f>AND('Planilla_General_03-12-2012_9_3'!K547,"AAAAAH2++Cs=")</f>
        <v>#VALUE!</v>
      </c>
      <c r="AS35" t="e">
        <f>AND('Planilla_General_03-12-2012_9_3'!L547,"AAAAAH2++Cw=")</f>
        <v>#VALUE!</v>
      </c>
      <c r="AT35" t="e">
        <f>AND('Planilla_General_03-12-2012_9_3'!M547,"AAAAAH2++C0=")</f>
        <v>#VALUE!</v>
      </c>
      <c r="AU35" t="e">
        <f>AND('Planilla_General_03-12-2012_9_3'!N547,"AAAAAH2++C4=")</f>
        <v>#VALUE!</v>
      </c>
      <c r="AV35" t="e">
        <f>AND('Planilla_General_03-12-2012_9_3'!O547,"AAAAAH2++C8=")</f>
        <v>#VALUE!</v>
      </c>
      <c r="AW35">
        <f>IF('Planilla_General_03-12-2012_9_3'!548:548,"AAAAAH2++DA=",0)</f>
        <v>0</v>
      </c>
      <c r="AX35" t="e">
        <f>AND('Planilla_General_03-12-2012_9_3'!A548,"AAAAAH2++DE=")</f>
        <v>#VALUE!</v>
      </c>
      <c r="AY35" t="e">
        <f>AND('Planilla_General_03-12-2012_9_3'!B548,"AAAAAH2++DI=")</f>
        <v>#VALUE!</v>
      </c>
      <c r="AZ35" t="e">
        <f>AND('Planilla_General_03-12-2012_9_3'!C548,"AAAAAH2++DM=")</f>
        <v>#VALUE!</v>
      </c>
      <c r="BA35" t="e">
        <f>AND('Planilla_General_03-12-2012_9_3'!D548,"AAAAAH2++DQ=")</f>
        <v>#VALUE!</v>
      </c>
      <c r="BB35" t="e">
        <f>AND('Planilla_General_03-12-2012_9_3'!E548,"AAAAAH2++DU=")</f>
        <v>#VALUE!</v>
      </c>
      <c r="BC35" t="e">
        <f>AND('Planilla_General_03-12-2012_9_3'!F548,"AAAAAH2++DY=")</f>
        <v>#VALUE!</v>
      </c>
      <c r="BD35" t="e">
        <f>AND('Planilla_General_03-12-2012_9_3'!G548,"AAAAAH2++Dc=")</f>
        <v>#VALUE!</v>
      </c>
      <c r="BE35" t="e">
        <f>AND('Planilla_General_03-12-2012_9_3'!H548,"AAAAAH2++Dg=")</f>
        <v>#VALUE!</v>
      </c>
      <c r="BF35" t="e">
        <f>AND('Planilla_General_03-12-2012_9_3'!I548,"AAAAAH2++Dk=")</f>
        <v>#VALUE!</v>
      </c>
      <c r="BG35" t="e">
        <f>AND('Planilla_General_03-12-2012_9_3'!J548,"AAAAAH2++Do=")</f>
        <v>#VALUE!</v>
      </c>
      <c r="BH35" t="e">
        <f>AND('Planilla_General_03-12-2012_9_3'!K548,"AAAAAH2++Ds=")</f>
        <v>#VALUE!</v>
      </c>
      <c r="BI35" t="e">
        <f>AND('Planilla_General_03-12-2012_9_3'!L548,"AAAAAH2++Dw=")</f>
        <v>#VALUE!</v>
      </c>
      <c r="BJ35" t="e">
        <f>AND('Planilla_General_03-12-2012_9_3'!M548,"AAAAAH2++D0=")</f>
        <v>#VALUE!</v>
      </c>
      <c r="BK35" t="e">
        <f>AND('Planilla_General_03-12-2012_9_3'!N548,"AAAAAH2++D4=")</f>
        <v>#VALUE!</v>
      </c>
      <c r="BL35" t="e">
        <f>AND('Planilla_General_03-12-2012_9_3'!O548,"AAAAAH2++D8=")</f>
        <v>#VALUE!</v>
      </c>
      <c r="BM35">
        <f>IF('Planilla_General_03-12-2012_9_3'!549:549,"AAAAAH2++EA=",0)</f>
        <v>0</v>
      </c>
      <c r="BN35" t="e">
        <f>AND('Planilla_General_03-12-2012_9_3'!A549,"AAAAAH2++EE=")</f>
        <v>#VALUE!</v>
      </c>
      <c r="BO35" t="e">
        <f>AND('Planilla_General_03-12-2012_9_3'!B549,"AAAAAH2++EI=")</f>
        <v>#VALUE!</v>
      </c>
      <c r="BP35" t="e">
        <f>AND('Planilla_General_03-12-2012_9_3'!C549,"AAAAAH2++EM=")</f>
        <v>#VALUE!</v>
      </c>
      <c r="BQ35" t="e">
        <f>AND('Planilla_General_03-12-2012_9_3'!D549,"AAAAAH2++EQ=")</f>
        <v>#VALUE!</v>
      </c>
      <c r="BR35" t="e">
        <f>AND('Planilla_General_03-12-2012_9_3'!E549,"AAAAAH2++EU=")</f>
        <v>#VALUE!</v>
      </c>
      <c r="BS35" t="e">
        <f>AND('Planilla_General_03-12-2012_9_3'!F549,"AAAAAH2++EY=")</f>
        <v>#VALUE!</v>
      </c>
      <c r="BT35" t="e">
        <f>AND('Planilla_General_03-12-2012_9_3'!G549,"AAAAAH2++Ec=")</f>
        <v>#VALUE!</v>
      </c>
      <c r="BU35" t="e">
        <f>AND('Planilla_General_03-12-2012_9_3'!H549,"AAAAAH2++Eg=")</f>
        <v>#VALUE!</v>
      </c>
      <c r="BV35" t="e">
        <f>AND('Planilla_General_03-12-2012_9_3'!I549,"AAAAAH2++Ek=")</f>
        <v>#VALUE!</v>
      </c>
      <c r="BW35" t="e">
        <f>AND('Planilla_General_03-12-2012_9_3'!J549,"AAAAAH2++Eo=")</f>
        <v>#VALUE!</v>
      </c>
      <c r="BX35" t="e">
        <f>AND('Planilla_General_03-12-2012_9_3'!K549,"AAAAAH2++Es=")</f>
        <v>#VALUE!</v>
      </c>
      <c r="BY35" t="e">
        <f>AND('Planilla_General_03-12-2012_9_3'!L549,"AAAAAH2++Ew=")</f>
        <v>#VALUE!</v>
      </c>
      <c r="BZ35" t="e">
        <f>AND('Planilla_General_03-12-2012_9_3'!M549,"AAAAAH2++E0=")</f>
        <v>#VALUE!</v>
      </c>
      <c r="CA35" t="e">
        <f>AND('Planilla_General_03-12-2012_9_3'!N549,"AAAAAH2++E4=")</f>
        <v>#VALUE!</v>
      </c>
      <c r="CB35" t="e">
        <f>AND('Planilla_General_03-12-2012_9_3'!O549,"AAAAAH2++E8=")</f>
        <v>#VALUE!</v>
      </c>
      <c r="CC35">
        <f>IF('Planilla_General_03-12-2012_9_3'!550:550,"AAAAAH2++FA=",0)</f>
        <v>0</v>
      </c>
      <c r="CD35" t="e">
        <f>AND('Planilla_General_03-12-2012_9_3'!A550,"AAAAAH2++FE=")</f>
        <v>#VALUE!</v>
      </c>
      <c r="CE35" t="e">
        <f>AND('Planilla_General_03-12-2012_9_3'!B550,"AAAAAH2++FI=")</f>
        <v>#VALUE!</v>
      </c>
      <c r="CF35" t="e">
        <f>AND('Planilla_General_03-12-2012_9_3'!C550,"AAAAAH2++FM=")</f>
        <v>#VALUE!</v>
      </c>
      <c r="CG35" t="e">
        <f>AND('Planilla_General_03-12-2012_9_3'!D550,"AAAAAH2++FQ=")</f>
        <v>#VALUE!</v>
      </c>
      <c r="CH35" t="e">
        <f>AND('Planilla_General_03-12-2012_9_3'!E550,"AAAAAH2++FU=")</f>
        <v>#VALUE!</v>
      </c>
      <c r="CI35" t="e">
        <f>AND('Planilla_General_03-12-2012_9_3'!F550,"AAAAAH2++FY=")</f>
        <v>#VALUE!</v>
      </c>
      <c r="CJ35" t="e">
        <f>AND('Planilla_General_03-12-2012_9_3'!G550,"AAAAAH2++Fc=")</f>
        <v>#VALUE!</v>
      </c>
      <c r="CK35" t="e">
        <f>AND('Planilla_General_03-12-2012_9_3'!H550,"AAAAAH2++Fg=")</f>
        <v>#VALUE!</v>
      </c>
      <c r="CL35" t="e">
        <f>AND('Planilla_General_03-12-2012_9_3'!I550,"AAAAAH2++Fk=")</f>
        <v>#VALUE!</v>
      </c>
      <c r="CM35" t="e">
        <f>AND('Planilla_General_03-12-2012_9_3'!J550,"AAAAAH2++Fo=")</f>
        <v>#VALUE!</v>
      </c>
      <c r="CN35" t="e">
        <f>AND('Planilla_General_03-12-2012_9_3'!K550,"AAAAAH2++Fs=")</f>
        <v>#VALUE!</v>
      </c>
      <c r="CO35" t="e">
        <f>AND('Planilla_General_03-12-2012_9_3'!L550,"AAAAAH2++Fw=")</f>
        <v>#VALUE!</v>
      </c>
      <c r="CP35" t="e">
        <f>AND('Planilla_General_03-12-2012_9_3'!M550,"AAAAAH2++F0=")</f>
        <v>#VALUE!</v>
      </c>
      <c r="CQ35" t="e">
        <f>AND('Planilla_General_03-12-2012_9_3'!N550,"AAAAAH2++F4=")</f>
        <v>#VALUE!</v>
      </c>
      <c r="CR35" t="e">
        <f>AND('Planilla_General_03-12-2012_9_3'!O550,"AAAAAH2++F8=")</f>
        <v>#VALUE!</v>
      </c>
      <c r="CS35">
        <f>IF('Planilla_General_03-12-2012_9_3'!551:551,"AAAAAH2++GA=",0)</f>
        <v>0</v>
      </c>
      <c r="CT35" t="e">
        <f>AND('Planilla_General_03-12-2012_9_3'!A551,"AAAAAH2++GE=")</f>
        <v>#VALUE!</v>
      </c>
      <c r="CU35" t="e">
        <f>AND('Planilla_General_03-12-2012_9_3'!B551,"AAAAAH2++GI=")</f>
        <v>#VALUE!</v>
      </c>
      <c r="CV35" t="e">
        <f>AND('Planilla_General_03-12-2012_9_3'!C551,"AAAAAH2++GM=")</f>
        <v>#VALUE!</v>
      </c>
      <c r="CW35" t="e">
        <f>AND('Planilla_General_03-12-2012_9_3'!D551,"AAAAAH2++GQ=")</f>
        <v>#VALUE!</v>
      </c>
      <c r="CX35" t="e">
        <f>AND('Planilla_General_03-12-2012_9_3'!E551,"AAAAAH2++GU=")</f>
        <v>#VALUE!</v>
      </c>
      <c r="CY35" t="e">
        <f>AND('Planilla_General_03-12-2012_9_3'!F551,"AAAAAH2++GY=")</f>
        <v>#VALUE!</v>
      </c>
      <c r="CZ35" t="e">
        <f>AND('Planilla_General_03-12-2012_9_3'!G551,"AAAAAH2++Gc=")</f>
        <v>#VALUE!</v>
      </c>
      <c r="DA35" t="e">
        <f>AND('Planilla_General_03-12-2012_9_3'!H551,"AAAAAH2++Gg=")</f>
        <v>#VALUE!</v>
      </c>
      <c r="DB35" t="e">
        <f>AND('Planilla_General_03-12-2012_9_3'!I551,"AAAAAH2++Gk=")</f>
        <v>#VALUE!</v>
      </c>
      <c r="DC35" t="e">
        <f>AND('Planilla_General_03-12-2012_9_3'!J551,"AAAAAH2++Go=")</f>
        <v>#VALUE!</v>
      </c>
      <c r="DD35" t="e">
        <f>AND('Planilla_General_03-12-2012_9_3'!K551,"AAAAAH2++Gs=")</f>
        <v>#VALUE!</v>
      </c>
      <c r="DE35" t="e">
        <f>AND('Planilla_General_03-12-2012_9_3'!L551,"AAAAAH2++Gw=")</f>
        <v>#VALUE!</v>
      </c>
      <c r="DF35" t="e">
        <f>AND('Planilla_General_03-12-2012_9_3'!M551,"AAAAAH2++G0=")</f>
        <v>#VALUE!</v>
      </c>
      <c r="DG35" t="e">
        <f>AND('Planilla_General_03-12-2012_9_3'!N551,"AAAAAH2++G4=")</f>
        <v>#VALUE!</v>
      </c>
      <c r="DH35" t="e">
        <f>AND('Planilla_General_03-12-2012_9_3'!O551,"AAAAAH2++G8=")</f>
        <v>#VALUE!</v>
      </c>
      <c r="DI35">
        <f>IF('Planilla_General_03-12-2012_9_3'!552:552,"AAAAAH2++HA=",0)</f>
        <v>0</v>
      </c>
      <c r="DJ35" t="e">
        <f>AND('Planilla_General_03-12-2012_9_3'!A552,"AAAAAH2++HE=")</f>
        <v>#VALUE!</v>
      </c>
      <c r="DK35" t="e">
        <f>AND('Planilla_General_03-12-2012_9_3'!B552,"AAAAAH2++HI=")</f>
        <v>#VALUE!</v>
      </c>
      <c r="DL35" t="e">
        <f>AND('Planilla_General_03-12-2012_9_3'!C552,"AAAAAH2++HM=")</f>
        <v>#VALUE!</v>
      </c>
      <c r="DM35" t="e">
        <f>AND('Planilla_General_03-12-2012_9_3'!D552,"AAAAAH2++HQ=")</f>
        <v>#VALUE!</v>
      </c>
      <c r="DN35" t="e">
        <f>AND('Planilla_General_03-12-2012_9_3'!E552,"AAAAAH2++HU=")</f>
        <v>#VALUE!</v>
      </c>
      <c r="DO35" t="e">
        <f>AND('Planilla_General_03-12-2012_9_3'!F552,"AAAAAH2++HY=")</f>
        <v>#VALUE!</v>
      </c>
      <c r="DP35" t="e">
        <f>AND('Planilla_General_03-12-2012_9_3'!G552,"AAAAAH2++Hc=")</f>
        <v>#VALUE!</v>
      </c>
      <c r="DQ35" t="e">
        <f>AND('Planilla_General_03-12-2012_9_3'!H552,"AAAAAH2++Hg=")</f>
        <v>#VALUE!</v>
      </c>
      <c r="DR35" t="e">
        <f>AND('Planilla_General_03-12-2012_9_3'!I552,"AAAAAH2++Hk=")</f>
        <v>#VALUE!</v>
      </c>
      <c r="DS35" t="e">
        <f>AND('Planilla_General_03-12-2012_9_3'!J552,"AAAAAH2++Ho=")</f>
        <v>#VALUE!</v>
      </c>
      <c r="DT35" t="e">
        <f>AND('Planilla_General_03-12-2012_9_3'!K552,"AAAAAH2++Hs=")</f>
        <v>#VALUE!</v>
      </c>
      <c r="DU35" t="e">
        <f>AND('Planilla_General_03-12-2012_9_3'!L552,"AAAAAH2++Hw=")</f>
        <v>#VALUE!</v>
      </c>
      <c r="DV35" t="e">
        <f>AND('Planilla_General_03-12-2012_9_3'!M552,"AAAAAH2++H0=")</f>
        <v>#VALUE!</v>
      </c>
      <c r="DW35" t="e">
        <f>AND('Planilla_General_03-12-2012_9_3'!N552,"AAAAAH2++H4=")</f>
        <v>#VALUE!</v>
      </c>
      <c r="DX35" t="e">
        <f>AND('Planilla_General_03-12-2012_9_3'!O552,"AAAAAH2++H8=")</f>
        <v>#VALUE!</v>
      </c>
      <c r="DY35">
        <f>IF('Planilla_General_03-12-2012_9_3'!553:553,"AAAAAH2++IA=",0)</f>
        <v>0</v>
      </c>
      <c r="DZ35" t="e">
        <f>AND('Planilla_General_03-12-2012_9_3'!A553,"AAAAAH2++IE=")</f>
        <v>#VALUE!</v>
      </c>
      <c r="EA35" t="e">
        <f>AND('Planilla_General_03-12-2012_9_3'!B553,"AAAAAH2++II=")</f>
        <v>#VALUE!</v>
      </c>
      <c r="EB35" t="e">
        <f>AND('Planilla_General_03-12-2012_9_3'!C553,"AAAAAH2++IM=")</f>
        <v>#VALUE!</v>
      </c>
      <c r="EC35" t="e">
        <f>AND('Planilla_General_03-12-2012_9_3'!D553,"AAAAAH2++IQ=")</f>
        <v>#VALUE!</v>
      </c>
      <c r="ED35" t="e">
        <f>AND('Planilla_General_03-12-2012_9_3'!E553,"AAAAAH2++IU=")</f>
        <v>#VALUE!</v>
      </c>
      <c r="EE35" t="e">
        <f>AND('Planilla_General_03-12-2012_9_3'!F553,"AAAAAH2++IY=")</f>
        <v>#VALUE!</v>
      </c>
      <c r="EF35" t="e">
        <f>AND('Planilla_General_03-12-2012_9_3'!G553,"AAAAAH2++Ic=")</f>
        <v>#VALUE!</v>
      </c>
      <c r="EG35" t="e">
        <f>AND('Planilla_General_03-12-2012_9_3'!H553,"AAAAAH2++Ig=")</f>
        <v>#VALUE!</v>
      </c>
      <c r="EH35" t="e">
        <f>AND('Planilla_General_03-12-2012_9_3'!I553,"AAAAAH2++Ik=")</f>
        <v>#VALUE!</v>
      </c>
      <c r="EI35" t="e">
        <f>AND('Planilla_General_03-12-2012_9_3'!J553,"AAAAAH2++Io=")</f>
        <v>#VALUE!</v>
      </c>
      <c r="EJ35" t="e">
        <f>AND('Planilla_General_03-12-2012_9_3'!K553,"AAAAAH2++Is=")</f>
        <v>#VALUE!</v>
      </c>
      <c r="EK35" t="e">
        <f>AND('Planilla_General_03-12-2012_9_3'!L553,"AAAAAH2++Iw=")</f>
        <v>#VALUE!</v>
      </c>
      <c r="EL35" t="e">
        <f>AND('Planilla_General_03-12-2012_9_3'!M553,"AAAAAH2++I0=")</f>
        <v>#VALUE!</v>
      </c>
      <c r="EM35" t="e">
        <f>AND('Planilla_General_03-12-2012_9_3'!N553,"AAAAAH2++I4=")</f>
        <v>#VALUE!</v>
      </c>
      <c r="EN35" t="e">
        <f>AND('Planilla_General_03-12-2012_9_3'!O553,"AAAAAH2++I8=")</f>
        <v>#VALUE!</v>
      </c>
      <c r="EO35">
        <f>IF('Planilla_General_03-12-2012_9_3'!554:554,"AAAAAH2++JA=",0)</f>
        <v>0</v>
      </c>
      <c r="EP35" t="e">
        <f>AND('Planilla_General_03-12-2012_9_3'!A554,"AAAAAH2++JE=")</f>
        <v>#VALUE!</v>
      </c>
      <c r="EQ35" t="e">
        <f>AND('Planilla_General_03-12-2012_9_3'!B554,"AAAAAH2++JI=")</f>
        <v>#VALUE!</v>
      </c>
      <c r="ER35" t="e">
        <f>AND('Planilla_General_03-12-2012_9_3'!C554,"AAAAAH2++JM=")</f>
        <v>#VALUE!</v>
      </c>
      <c r="ES35" t="e">
        <f>AND('Planilla_General_03-12-2012_9_3'!D554,"AAAAAH2++JQ=")</f>
        <v>#VALUE!</v>
      </c>
      <c r="ET35" t="e">
        <f>AND('Planilla_General_03-12-2012_9_3'!E554,"AAAAAH2++JU=")</f>
        <v>#VALUE!</v>
      </c>
      <c r="EU35" t="e">
        <f>AND('Planilla_General_03-12-2012_9_3'!F554,"AAAAAH2++JY=")</f>
        <v>#VALUE!</v>
      </c>
      <c r="EV35" t="e">
        <f>AND('Planilla_General_03-12-2012_9_3'!G554,"AAAAAH2++Jc=")</f>
        <v>#VALUE!</v>
      </c>
      <c r="EW35" t="e">
        <f>AND('Planilla_General_03-12-2012_9_3'!H554,"AAAAAH2++Jg=")</f>
        <v>#VALUE!</v>
      </c>
      <c r="EX35" t="e">
        <f>AND('Planilla_General_03-12-2012_9_3'!I554,"AAAAAH2++Jk=")</f>
        <v>#VALUE!</v>
      </c>
      <c r="EY35" t="e">
        <f>AND('Planilla_General_03-12-2012_9_3'!J554,"AAAAAH2++Jo=")</f>
        <v>#VALUE!</v>
      </c>
      <c r="EZ35" t="e">
        <f>AND('Planilla_General_03-12-2012_9_3'!K554,"AAAAAH2++Js=")</f>
        <v>#VALUE!</v>
      </c>
      <c r="FA35" t="e">
        <f>AND('Planilla_General_03-12-2012_9_3'!L554,"AAAAAH2++Jw=")</f>
        <v>#VALUE!</v>
      </c>
      <c r="FB35" t="e">
        <f>AND('Planilla_General_03-12-2012_9_3'!M554,"AAAAAH2++J0=")</f>
        <v>#VALUE!</v>
      </c>
      <c r="FC35" t="e">
        <f>AND('Planilla_General_03-12-2012_9_3'!N554,"AAAAAH2++J4=")</f>
        <v>#VALUE!</v>
      </c>
      <c r="FD35" t="e">
        <f>AND('Planilla_General_03-12-2012_9_3'!O554,"AAAAAH2++J8=")</f>
        <v>#VALUE!</v>
      </c>
      <c r="FE35">
        <f>IF('Planilla_General_03-12-2012_9_3'!555:555,"AAAAAH2++KA=",0)</f>
        <v>0</v>
      </c>
      <c r="FF35" t="e">
        <f>AND('Planilla_General_03-12-2012_9_3'!A555,"AAAAAH2++KE=")</f>
        <v>#VALUE!</v>
      </c>
      <c r="FG35" t="e">
        <f>AND('Planilla_General_03-12-2012_9_3'!B555,"AAAAAH2++KI=")</f>
        <v>#VALUE!</v>
      </c>
      <c r="FH35" t="e">
        <f>AND('Planilla_General_03-12-2012_9_3'!C555,"AAAAAH2++KM=")</f>
        <v>#VALUE!</v>
      </c>
      <c r="FI35" t="e">
        <f>AND('Planilla_General_03-12-2012_9_3'!D555,"AAAAAH2++KQ=")</f>
        <v>#VALUE!</v>
      </c>
      <c r="FJ35" t="e">
        <f>AND('Planilla_General_03-12-2012_9_3'!E555,"AAAAAH2++KU=")</f>
        <v>#VALUE!</v>
      </c>
      <c r="FK35" t="e">
        <f>AND('Planilla_General_03-12-2012_9_3'!F555,"AAAAAH2++KY=")</f>
        <v>#VALUE!</v>
      </c>
      <c r="FL35" t="e">
        <f>AND('Planilla_General_03-12-2012_9_3'!G555,"AAAAAH2++Kc=")</f>
        <v>#VALUE!</v>
      </c>
      <c r="FM35" t="e">
        <f>AND('Planilla_General_03-12-2012_9_3'!H555,"AAAAAH2++Kg=")</f>
        <v>#VALUE!</v>
      </c>
      <c r="FN35" t="e">
        <f>AND('Planilla_General_03-12-2012_9_3'!I555,"AAAAAH2++Kk=")</f>
        <v>#VALUE!</v>
      </c>
      <c r="FO35" t="e">
        <f>AND('Planilla_General_03-12-2012_9_3'!J555,"AAAAAH2++Ko=")</f>
        <v>#VALUE!</v>
      </c>
      <c r="FP35" t="e">
        <f>AND('Planilla_General_03-12-2012_9_3'!K555,"AAAAAH2++Ks=")</f>
        <v>#VALUE!</v>
      </c>
      <c r="FQ35" t="e">
        <f>AND('Planilla_General_03-12-2012_9_3'!L555,"AAAAAH2++Kw=")</f>
        <v>#VALUE!</v>
      </c>
      <c r="FR35" t="e">
        <f>AND('Planilla_General_03-12-2012_9_3'!M555,"AAAAAH2++K0=")</f>
        <v>#VALUE!</v>
      </c>
      <c r="FS35" t="e">
        <f>AND('Planilla_General_03-12-2012_9_3'!N555,"AAAAAH2++K4=")</f>
        <v>#VALUE!</v>
      </c>
      <c r="FT35" t="e">
        <f>AND('Planilla_General_03-12-2012_9_3'!O555,"AAAAAH2++K8=")</f>
        <v>#VALUE!</v>
      </c>
      <c r="FU35">
        <f>IF('Planilla_General_03-12-2012_9_3'!556:556,"AAAAAH2++LA=",0)</f>
        <v>0</v>
      </c>
      <c r="FV35" t="e">
        <f>AND('Planilla_General_03-12-2012_9_3'!A556,"AAAAAH2++LE=")</f>
        <v>#VALUE!</v>
      </c>
      <c r="FW35" t="e">
        <f>AND('Planilla_General_03-12-2012_9_3'!B556,"AAAAAH2++LI=")</f>
        <v>#VALUE!</v>
      </c>
      <c r="FX35" t="e">
        <f>AND('Planilla_General_03-12-2012_9_3'!C556,"AAAAAH2++LM=")</f>
        <v>#VALUE!</v>
      </c>
      <c r="FY35" t="e">
        <f>AND('Planilla_General_03-12-2012_9_3'!D556,"AAAAAH2++LQ=")</f>
        <v>#VALUE!</v>
      </c>
      <c r="FZ35" t="e">
        <f>AND('Planilla_General_03-12-2012_9_3'!E556,"AAAAAH2++LU=")</f>
        <v>#VALUE!</v>
      </c>
      <c r="GA35" t="e">
        <f>AND('Planilla_General_03-12-2012_9_3'!F556,"AAAAAH2++LY=")</f>
        <v>#VALUE!</v>
      </c>
      <c r="GB35" t="e">
        <f>AND('Planilla_General_03-12-2012_9_3'!G556,"AAAAAH2++Lc=")</f>
        <v>#VALUE!</v>
      </c>
      <c r="GC35" t="e">
        <f>AND('Planilla_General_03-12-2012_9_3'!H556,"AAAAAH2++Lg=")</f>
        <v>#VALUE!</v>
      </c>
      <c r="GD35" t="e">
        <f>AND('Planilla_General_03-12-2012_9_3'!I556,"AAAAAH2++Lk=")</f>
        <v>#VALUE!</v>
      </c>
      <c r="GE35" t="e">
        <f>AND('Planilla_General_03-12-2012_9_3'!J556,"AAAAAH2++Lo=")</f>
        <v>#VALUE!</v>
      </c>
      <c r="GF35" t="e">
        <f>AND('Planilla_General_03-12-2012_9_3'!K556,"AAAAAH2++Ls=")</f>
        <v>#VALUE!</v>
      </c>
      <c r="GG35" t="e">
        <f>AND('Planilla_General_03-12-2012_9_3'!L556,"AAAAAH2++Lw=")</f>
        <v>#VALUE!</v>
      </c>
      <c r="GH35" t="e">
        <f>AND('Planilla_General_03-12-2012_9_3'!M556,"AAAAAH2++L0=")</f>
        <v>#VALUE!</v>
      </c>
      <c r="GI35" t="e">
        <f>AND('Planilla_General_03-12-2012_9_3'!N556,"AAAAAH2++L4=")</f>
        <v>#VALUE!</v>
      </c>
      <c r="GJ35" t="e">
        <f>AND('Planilla_General_03-12-2012_9_3'!O556,"AAAAAH2++L8=")</f>
        <v>#VALUE!</v>
      </c>
      <c r="GK35">
        <f>IF('Planilla_General_03-12-2012_9_3'!557:557,"AAAAAH2++MA=",0)</f>
        <v>0</v>
      </c>
      <c r="GL35" t="e">
        <f>AND('Planilla_General_03-12-2012_9_3'!A557,"AAAAAH2++ME=")</f>
        <v>#VALUE!</v>
      </c>
      <c r="GM35" t="e">
        <f>AND('Planilla_General_03-12-2012_9_3'!B557,"AAAAAH2++MI=")</f>
        <v>#VALUE!</v>
      </c>
      <c r="GN35" t="e">
        <f>AND('Planilla_General_03-12-2012_9_3'!C557,"AAAAAH2++MM=")</f>
        <v>#VALUE!</v>
      </c>
      <c r="GO35" t="e">
        <f>AND('Planilla_General_03-12-2012_9_3'!D557,"AAAAAH2++MQ=")</f>
        <v>#VALUE!</v>
      </c>
      <c r="GP35" t="e">
        <f>AND('Planilla_General_03-12-2012_9_3'!E557,"AAAAAH2++MU=")</f>
        <v>#VALUE!</v>
      </c>
      <c r="GQ35" t="e">
        <f>AND('Planilla_General_03-12-2012_9_3'!F557,"AAAAAH2++MY=")</f>
        <v>#VALUE!</v>
      </c>
      <c r="GR35" t="e">
        <f>AND('Planilla_General_03-12-2012_9_3'!G557,"AAAAAH2++Mc=")</f>
        <v>#VALUE!</v>
      </c>
      <c r="GS35" t="e">
        <f>AND('Planilla_General_03-12-2012_9_3'!H557,"AAAAAH2++Mg=")</f>
        <v>#VALUE!</v>
      </c>
      <c r="GT35" t="e">
        <f>AND('Planilla_General_03-12-2012_9_3'!I557,"AAAAAH2++Mk=")</f>
        <v>#VALUE!</v>
      </c>
      <c r="GU35" t="e">
        <f>AND('Planilla_General_03-12-2012_9_3'!J557,"AAAAAH2++Mo=")</f>
        <v>#VALUE!</v>
      </c>
      <c r="GV35" t="e">
        <f>AND('Planilla_General_03-12-2012_9_3'!K557,"AAAAAH2++Ms=")</f>
        <v>#VALUE!</v>
      </c>
      <c r="GW35" t="e">
        <f>AND('Planilla_General_03-12-2012_9_3'!L557,"AAAAAH2++Mw=")</f>
        <v>#VALUE!</v>
      </c>
      <c r="GX35" t="e">
        <f>AND('Planilla_General_03-12-2012_9_3'!M557,"AAAAAH2++M0=")</f>
        <v>#VALUE!</v>
      </c>
      <c r="GY35" t="e">
        <f>AND('Planilla_General_03-12-2012_9_3'!N557,"AAAAAH2++M4=")</f>
        <v>#VALUE!</v>
      </c>
      <c r="GZ35" t="e">
        <f>AND('Planilla_General_03-12-2012_9_3'!O557,"AAAAAH2++M8=")</f>
        <v>#VALUE!</v>
      </c>
      <c r="HA35">
        <f>IF('Planilla_General_03-12-2012_9_3'!558:558,"AAAAAH2++NA=",0)</f>
        <v>0</v>
      </c>
      <c r="HB35" t="e">
        <f>AND('Planilla_General_03-12-2012_9_3'!A558,"AAAAAH2++NE=")</f>
        <v>#VALUE!</v>
      </c>
      <c r="HC35" t="e">
        <f>AND('Planilla_General_03-12-2012_9_3'!B558,"AAAAAH2++NI=")</f>
        <v>#VALUE!</v>
      </c>
      <c r="HD35" t="e">
        <f>AND('Planilla_General_03-12-2012_9_3'!C558,"AAAAAH2++NM=")</f>
        <v>#VALUE!</v>
      </c>
      <c r="HE35" t="e">
        <f>AND('Planilla_General_03-12-2012_9_3'!D558,"AAAAAH2++NQ=")</f>
        <v>#VALUE!</v>
      </c>
      <c r="HF35" t="e">
        <f>AND('Planilla_General_03-12-2012_9_3'!E558,"AAAAAH2++NU=")</f>
        <v>#VALUE!</v>
      </c>
      <c r="HG35" t="e">
        <f>AND('Planilla_General_03-12-2012_9_3'!F558,"AAAAAH2++NY=")</f>
        <v>#VALUE!</v>
      </c>
      <c r="HH35" t="e">
        <f>AND('Planilla_General_03-12-2012_9_3'!G558,"AAAAAH2++Nc=")</f>
        <v>#VALUE!</v>
      </c>
      <c r="HI35" t="e">
        <f>AND('Planilla_General_03-12-2012_9_3'!H558,"AAAAAH2++Ng=")</f>
        <v>#VALUE!</v>
      </c>
      <c r="HJ35" t="e">
        <f>AND('Planilla_General_03-12-2012_9_3'!I558,"AAAAAH2++Nk=")</f>
        <v>#VALUE!</v>
      </c>
      <c r="HK35" t="e">
        <f>AND('Planilla_General_03-12-2012_9_3'!J558,"AAAAAH2++No=")</f>
        <v>#VALUE!</v>
      </c>
      <c r="HL35" t="e">
        <f>AND('Planilla_General_03-12-2012_9_3'!K558,"AAAAAH2++Ns=")</f>
        <v>#VALUE!</v>
      </c>
      <c r="HM35" t="e">
        <f>AND('Planilla_General_03-12-2012_9_3'!L558,"AAAAAH2++Nw=")</f>
        <v>#VALUE!</v>
      </c>
      <c r="HN35" t="e">
        <f>AND('Planilla_General_03-12-2012_9_3'!M558,"AAAAAH2++N0=")</f>
        <v>#VALUE!</v>
      </c>
      <c r="HO35" t="e">
        <f>AND('Planilla_General_03-12-2012_9_3'!N558,"AAAAAH2++N4=")</f>
        <v>#VALUE!</v>
      </c>
      <c r="HP35" t="e">
        <f>AND('Planilla_General_03-12-2012_9_3'!O558,"AAAAAH2++N8=")</f>
        <v>#VALUE!</v>
      </c>
      <c r="HQ35">
        <f>IF('Planilla_General_03-12-2012_9_3'!559:559,"AAAAAH2++OA=",0)</f>
        <v>0</v>
      </c>
      <c r="HR35" t="e">
        <f>AND('Planilla_General_03-12-2012_9_3'!A559,"AAAAAH2++OE=")</f>
        <v>#VALUE!</v>
      </c>
      <c r="HS35" t="e">
        <f>AND('Planilla_General_03-12-2012_9_3'!B559,"AAAAAH2++OI=")</f>
        <v>#VALUE!</v>
      </c>
      <c r="HT35" t="e">
        <f>AND('Planilla_General_03-12-2012_9_3'!C559,"AAAAAH2++OM=")</f>
        <v>#VALUE!</v>
      </c>
      <c r="HU35" t="e">
        <f>AND('Planilla_General_03-12-2012_9_3'!D559,"AAAAAH2++OQ=")</f>
        <v>#VALUE!</v>
      </c>
      <c r="HV35" t="e">
        <f>AND('Planilla_General_03-12-2012_9_3'!E559,"AAAAAH2++OU=")</f>
        <v>#VALUE!</v>
      </c>
      <c r="HW35" t="e">
        <f>AND('Planilla_General_03-12-2012_9_3'!F559,"AAAAAH2++OY=")</f>
        <v>#VALUE!</v>
      </c>
      <c r="HX35" t="e">
        <f>AND('Planilla_General_03-12-2012_9_3'!G559,"AAAAAH2++Oc=")</f>
        <v>#VALUE!</v>
      </c>
      <c r="HY35" t="e">
        <f>AND('Planilla_General_03-12-2012_9_3'!H559,"AAAAAH2++Og=")</f>
        <v>#VALUE!</v>
      </c>
      <c r="HZ35" t="e">
        <f>AND('Planilla_General_03-12-2012_9_3'!I559,"AAAAAH2++Ok=")</f>
        <v>#VALUE!</v>
      </c>
      <c r="IA35" t="e">
        <f>AND('Planilla_General_03-12-2012_9_3'!J559,"AAAAAH2++Oo=")</f>
        <v>#VALUE!</v>
      </c>
      <c r="IB35" t="e">
        <f>AND('Planilla_General_03-12-2012_9_3'!K559,"AAAAAH2++Os=")</f>
        <v>#VALUE!</v>
      </c>
      <c r="IC35" t="e">
        <f>AND('Planilla_General_03-12-2012_9_3'!L559,"AAAAAH2++Ow=")</f>
        <v>#VALUE!</v>
      </c>
      <c r="ID35" t="e">
        <f>AND('Planilla_General_03-12-2012_9_3'!M559,"AAAAAH2++O0=")</f>
        <v>#VALUE!</v>
      </c>
      <c r="IE35" t="e">
        <f>AND('Planilla_General_03-12-2012_9_3'!N559,"AAAAAH2++O4=")</f>
        <v>#VALUE!</v>
      </c>
      <c r="IF35" t="e">
        <f>AND('Planilla_General_03-12-2012_9_3'!O559,"AAAAAH2++O8=")</f>
        <v>#VALUE!</v>
      </c>
      <c r="IG35">
        <f>IF('Planilla_General_03-12-2012_9_3'!560:560,"AAAAAH2++PA=",0)</f>
        <v>0</v>
      </c>
      <c r="IH35" t="e">
        <f>AND('Planilla_General_03-12-2012_9_3'!A560,"AAAAAH2++PE=")</f>
        <v>#VALUE!</v>
      </c>
      <c r="II35" t="e">
        <f>AND('Planilla_General_03-12-2012_9_3'!B560,"AAAAAH2++PI=")</f>
        <v>#VALUE!</v>
      </c>
      <c r="IJ35" t="e">
        <f>AND('Planilla_General_03-12-2012_9_3'!C560,"AAAAAH2++PM=")</f>
        <v>#VALUE!</v>
      </c>
      <c r="IK35" t="e">
        <f>AND('Planilla_General_03-12-2012_9_3'!D560,"AAAAAH2++PQ=")</f>
        <v>#VALUE!</v>
      </c>
      <c r="IL35" t="e">
        <f>AND('Planilla_General_03-12-2012_9_3'!E560,"AAAAAH2++PU=")</f>
        <v>#VALUE!</v>
      </c>
      <c r="IM35" t="e">
        <f>AND('Planilla_General_03-12-2012_9_3'!F560,"AAAAAH2++PY=")</f>
        <v>#VALUE!</v>
      </c>
      <c r="IN35" t="e">
        <f>AND('Planilla_General_03-12-2012_9_3'!G560,"AAAAAH2++Pc=")</f>
        <v>#VALUE!</v>
      </c>
      <c r="IO35" t="e">
        <f>AND('Planilla_General_03-12-2012_9_3'!H560,"AAAAAH2++Pg=")</f>
        <v>#VALUE!</v>
      </c>
      <c r="IP35" t="e">
        <f>AND('Planilla_General_03-12-2012_9_3'!I560,"AAAAAH2++Pk=")</f>
        <v>#VALUE!</v>
      </c>
      <c r="IQ35" t="e">
        <f>AND('Planilla_General_03-12-2012_9_3'!J560,"AAAAAH2++Po=")</f>
        <v>#VALUE!</v>
      </c>
      <c r="IR35" t="e">
        <f>AND('Planilla_General_03-12-2012_9_3'!K560,"AAAAAH2++Ps=")</f>
        <v>#VALUE!</v>
      </c>
      <c r="IS35" t="e">
        <f>AND('Planilla_General_03-12-2012_9_3'!L560,"AAAAAH2++Pw=")</f>
        <v>#VALUE!</v>
      </c>
      <c r="IT35" t="e">
        <f>AND('Planilla_General_03-12-2012_9_3'!M560,"AAAAAH2++P0=")</f>
        <v>#VALUE!</v>
      </c>
      <c r="IU35" t="e">
        <f>AND('Planilla_General_03-12-2012_9_3'!N560,"AAAAAH2++P4=")</f>
        <v>#VALUE!</v>
      </c>
      <c r="IV35" t="e">
        <f>AND('Planilla_General_03-12-2012_9_3'!O560,"AAAAAH2++P8=")</f>
        <v>#VALUE!</v>
      </c>
    </row>
    <row r="36" spans="1:256" x14ac:dyDescent="0.25">
      <c r="A36" t="e">
        <f>IF('Planilla_General_03-12-2012_9_3'!561:561,"AAAAAH//7wA=",0)</f>
        <v>#VALUE!</v>
      </c>
      <c r="B36" t="e">
        <f>AND('Planilla_General_03-12-2012_9_3'!A561,"AAAAAH//7wE=")</f>
        <v>#VALUE!</v>
      </c>
      <c r="C36" t="e">
        <f>AND('Planilla_General_03-12-2012_9_3'!B561,"AAAAAH//7wI=")</f>
        <v>#VALUE!</v>
      </c>
      <c r="D36" t="e">
        <f>AND('Planilla_General_03-12-2012_9_3'!C561,"AAAAAH//7wM=")</f>
        <v>#VALUE!</v>
      </c>
      <c r="E36" t="e">
        <f>AND('Planilla_General_03-12-2012_9_3'!D561,"AAAAAH//7wQ=")</f>
        <v>#VALUE!</v>
      </c>
      <c r="F36" t="e">
        <f>AND('Planilla_General_03-12-2012_9_3'!E561,"AAAAAH//7wU=")</f>
        <v>#VALUE!</v>
      </c>
      <c r="G36" t="e">
        <f>AND('Planilla_General_03-12-2012_9_3'!F561,"AAAAAH//7wY=")</f>
        <v>#VALUE!</v>
      </c>
      <c r="H36" t="e">
        <f>AND('Planilla_General_03-12-2012_9_3'!G561,"AAAAAH//7wc=")</f>
        <v>#VALUE!</v>
      </c>
      <c r="I36" t="e">
        <f>AND('Planilla_General_03-12-2012_9_3'!H561,"AAAAAH//7wg=")</f>
        <v>#VALUE!</v>
      </c>
      <c r="J36" t="e">
        <f>AND('Planilla_General_03-12-2012_9_3'!I561,"AAAAAH//7wk=")</f>
        <v>#VALUE!</v>
      </c>
      <c r="K36" t="e">
        <f>AND('Planilla_General_03-12-2012_9_3'!J561,"AAAAAH//7wo=")</f>
        <v>#VALUE!</v>
      </c>
      <c r="L36" t="e">
        <f>AND('Planilla_General_03-12-2012_9_3'!K561,"AAAAAH//7ws=")</f>
        <v>#VALUE!</v>
      </c>
      <c r="M36" t="e">
        <f>AND('Planilla_General_03-12-2012_9_3'!L561,"AAAAAH//7ww=")</f>
        <v>#VALUE!</v>
      </c>
      <c r="N36" t="e">
        <f>AND('Planilla_General_03-12-2012_9_3'!M561,"AAAAAH//7w0=")</f>
        <v>#VALUE!</v>
      </c>
      <c r="O36" t="e">
        <f>AND('Planilla_General_03-12-2012_9_3'!N561,"AAAAAH//7w4=")</f>
        <v>#VALUE!</v>
      </c>
      <c r="P36" t="e">
        <f>AND('Planilla_General_03-12-2012_9_3'!O561,"AAAAAH//7w8=")</f>
        <v>#VALUE!</v>
      </c>
      <c r="Q36">
        <f>IF('Planilla_General_03-12-2012_9_3'!562:562,"AAAAAH//7xA=",0)</f>
        <v>0</v>
      </c>
      <c r="R36" t="e">
        <f>AND('Planilla_General_03-12-2012_9_3'!A562,"AAAAAH//7xE=")</f>
        <v>#VALUE!</v>
      </c>
      <c r="S36" t="e">
        <f>AND('Planilla_General_03-12-2012_9_3'!B562,"AAAAAH//7xI=")</f>
        <v>#VALUE!</v>
      </c>
      <c r="T36" t="e">
        <f>AND('Planilla_General_03-12-2012_9_3'!C562,"AAAAAH//7xM=")</f>
        <v>#VALUE!</v>
      </c>
      <c r="U36" t="e">
        <f>AND('Planilla_General_03-12-2012_9_3'!D562,"AAAAAH//7xQ=")</f>
        <v>#VALUE!</v>
      </c>
      <c r="V36" t="e">
        <f>AND('Planilla_General_03-12-2012_9_3'!E562,"AAAAAH//7xU=")</f>
        <v>#VALUE!</v>
      </c>
      <c r="W36" t="e">
        <f>AND('Planilla_General_03-12-2012_9_3'!F562,"AAAAAH//7xY=")</f>
        <v>#VALUE!</v>
      </c>
      <c r="X36" t="e">
        <f>AND('Planilla_General_03-12-2012_9_3'!G562,"AAAAAH//7xc=")</f>
        <v>#VALUE!</v>
      </c>
      <c r="Y36" t="e">
        <f>AND('Planilla_General_03-12-2012_9_3'!H562,"AAAAAH//7xg=")</f>
        <v>#VALUE!</v>
      </c>
      <c r="Z36" t="e">
        <f>AND('Planilla_General_03-12-2012_9_3'!I562,"AAAAAH//7xk=")</f>
        <v>#VALUE!</v>
      </c>
      <c r="AA36" t="e">
        <f>AND('Planilla_General_03-12-2012_9_3'!J562,"AAAAAH//7xo=")</f>
        <v>#VALUE!</v>
      </c>
      <c r="AB36" t="e">
        <f>AND('Planilla_General_03-12-2012_9_3'!K562,"AAAAAH//7xs=")</f>
        <v>#VALUE!</v>
      </c>
      <c r="AC36" t="e">
        <f>AND('Planilla_General_03-12-2012_9_3'!L562,"AAAAAH//7xw=")</f>
        <v>#VALUE!</v>
      </c>
      <c r="AD36" t="e">
        <f>AND('Planilla_General_03-12-2012_9_3'!M562,"AAAAAH//7x0=")</f>
        <v>#VALUE!</v>
      </c>
      <c r="AE36" t="e">
        <f>AND('Planilla_General_03-12-2012_9_3'!N562,"AAAAAH//7x4=")</f>
        <v>#VALUE!</v>
      </c>
      <c r="AF36" t="e">
        <f>AND('Planilla_General_03-12-2012_9_3'!O562,"AAAAAH//7x8=")</f>
        <v>#VALUE!</v>
      </c>
      <c r="AG36">
        <f>IF('Planilla_General_03-12-2012_9_3'!563:563,"AAAAAH//7yA=",0)</f>
        <v>0</v>
      </c>
      <c r="AH36" t="e">
        <f>AND('Planilla_General_03-12-2012_9_3'!A563,"AAAAAH//7yE=")</f>
        <v>#VALUE!</v>
      </c>
      <c r="AI36" t="e">
        <f>AND('Planilla_General_03-12-2012_9_3'!B563,"AAAAAH//7yI=")</f>
        <v>#VALUE!</v>
      </c>
      <c r="AJ36" t="e">
        <f>AND('Planilla_General_03-12-2012_9_3'!C563,"AAAAAH//7yM=")</f>
        <v>#VALUE!</v>
      </c>
      <c r="AK36" t="e">
        <f>AND('Planilla_General_03-12-2012_9_3'!D563,"AAAAAH//7yQ=")</f>
        <v>#VALUE!</v>
      </c>
      <c r="AL36" t="e">
        <f>AND('Planilla_General_03-12-2012_9_3'!E563,"AAAAAH//7yU=")</f>
        <v>#VALUE!</v>
      </c>
      <c r="AM36" t="e">
        <f>AND('Planilla_General_03-12-2012_9_3'!F563,"AAAAAH//7yY=")</f>
        <v>#VALUE!</v>
      </c>
      <c r="AN36" t="e">
        <f>AND('Planilla_General_03-12-2012_9_3'!G563,"AAAAAH//7yc=")</f>
        <v>#VALUE!</v>
      </c>
      <c r="AO36" t="e">
        <f>AND('Planilla_General_03-12-2012_9_3'!H563,"AAAAAH//7yg=")</f>
        <v>#VALUE!</v>
      </c>
      <c r="AP36" t="e">
        <f>AND('Planilla_General_03-12-2012_9_3'!I563,"AAAAAH//7yk=")</f>
        <v>#VALUE!</v>
      </c>
      <c r="AQ36" t="e">
        <f>AND('Planilla_General_03-12-2012_9_3'!J563,"AAAAAH//7yo=")</f>
        <v>#VALUE!</v>
      </c>
      <c r="AR36" t="e">
        <f>AND('Planilla_General_03-12-2012_9_3'!K563,"AAAAAH//7ys=")</f>
        <v>#VALUE!</v>
      </c>
      <c r="AS36" t="e">
        <f>AND('Planilla_General_03-12-2012_9_3'!L563,"AAAAAH//7yw=")</f>
        <v>#VALUE!</v>
      </c>
      <c r="AT36" t="e">
        <f>AND('Planilla_General_03-12-2012_9_3'!M563,"AAAAAH//7y0=")</f>
        <v>#VALUE!</v>
      </c>
      <c r="AU36" t="e">
        <f>AND('Planilla_General_03-12-2012_9_3'!N563,"AAAAAH//7y4=")</f>
        <v>#VALUE!</v>
      </c>
      <c r="AV36" t="e">
        <f>AND('Planilla_General_03-12-2012_9_3'!O563,"AAAAAH//7y8=")</f>
        <v>#VALUE!</v>
      </c>
      <c r="AW36">
        <f>IF('Planilla_General_03-12-2012_9_3'!564:564,"AAAAAH//7zA=",0)</f>
        <v>0</v>
      </c>
      <c r="AX36" t="e">
        <f>AND('Planilla_General_03-12-2012_9_3'!A564,"AAAAAH//7zE=")</f>
        <v>#VALUE!</v>
      </c>
      <c r="AY36" t="e">
        <f>AND('Planilla_General_03-12-2012_9_3'!B564,"AAAAAH//7zI=")</f>
        <v>#VALUE!</v>
      </c>
      <c r="AZ36" t="e">
        <f>AND('Planilla_General_03-12-2012_9_3'!C564,"AAAAAH//7zM=")</f>
        <v>#VALUE!</v>
      </c>
      <c r="BA36" t="e">
        <f>AND('Planilla_General_03-12-2012_9_3'!D564,"AAAAAH//7zQ=")</f>
        <v>#VALUE!</v>
      </c>
      <c r="BB36" t="e">
        <f>AND('Planilla_General_03-12-2012_9_3'!E564,"AAAAAH//7zU=")</f>
        <v>#VALUE!</v>
      </c>
      <c r="BC36" t="e">
        <f>AND('Planilla_General_03-12-2012_9_3'!F564,"AAAAAH//7zY=")</f>
        <v>#VALUE!</v>
      </c>
      <c r="BD36" t="e">
        <f>AND('Planilla_General_03-12-2012_9_3'!G564,"AAAAAH//7zc=")</f>
        <v>#VALUE!</v>
      </c>
      <c r="BE36" t="e">
        <f>AND('Planilla_General_03-12-2012_9_3'!H564,"AAAAAH//7zg=")</f>
        <v>#VALUE!</v>
      </c>
      <c r="BF36" t="e">
        <f>AND('Planilla_General_03-12-2012_9_3'!I564,"AAAAAH//7zk=")</f>
        <v>#VALUE!</v>
      </c>
      <c r="BG36" t="e">
        <f>AND('Planilla_General_03-12-2012_9_3'!J564,"AAAAAH//7zo=")</f>
        <v>#VALUE!</v>
      </c>
      <c r="BH36" t="e">
        <f>AND('Planilla_General_03-12-2012_9_3'!K564,"AAAAAH//7zs=")</f>
        <v>#VALUE!</v>
      </c>
      <c r="BI36" t="e">
        <f>AND('Planilla_General_03-12-2012_9_3'!L564,"AAAAAH//7zw=")</f>
        <v>#VALUE!</v>
      </c>
      <c r="BJ36" t="e">
        <f>AND('Planilla_General_03-12-2012_9_3'!M564,"AAAAAH//7z0=")</f>
        <v>#VALUE!</v>
      </c>
      <c r="BK36" t="e">
        <f>AND('Planilla_General_03-12-2012_9_3'!N564,"AAAAAH//7z4=")</f>
        <v>#VALUE!</v>
      </c>
      <c r="BL36" t="e">
        <f>AND('Planilla_General_03-12-2012_9_3'!O564,"AAAAAH//7z8=")</f>
        <v>#VALUE!</v>
      </c>
      <c r="BM36">
        <f>IF('Planilla_General_03-12-2012_9_3'!565:565,"AAAAAH//70A=",0)</f>
        <v>0</v>
      </c>
      <c r="BN36" t="e">
        <f>AND('Planilla_General_03-12-2012_9_3'!A565,"AAAAAH//70E=")</f>
        <v>#VALUE!</v>
      </c>
      <c r="BO36" t="e">
        <f>AND('Planilla_General_03-12-2012_9_3'!B565,"AAAAAH//70I=")</f>
        <v>#VALUE!</v>
      </c>
      <c r="BP36" t="e">
        <f>AND('Planilla_General_03-12-2012_9_3'!C565,"AAAAAH//70M=")</f>
        <v>#VALUE!</v>
      </c>
      <c r="BQ36" t="e">
        <f>AND('Planilla_General_03-12-2012_9_3'!D565,"AAAAAH//70Q=")</f>
        <v>#VALUE!</v>
      </c>
      <c r="BR36" t="e">
        <f>AND('Planilla_General_03-12-2012_9_3'!E565,"AAAAAH//70U=")</f>
        <v>#VALUE!</v>
      </c>
      <c r="BS36" t="e">
        <f>AND('Planilla_General_03-12-2012_9_3'!F565,"AAAAAH//70Y=")</f>
        <v>#VALUE!</v>
      </c>
      <c r="BT36" t="e">
        <f>AND('Planilla_General_03-12-2012_9_3'!G565,"AAAAAH//70c=")</f>
        <v>#VALUE!</v>
      </c>
      <c r="BU36" t="e">
        <f>AND('Planilla_General_03-12-2012_9_3'!H565,"AAAAAH//70g=")</f>
        <v>#VALUE!</v>
      </c>
      <c r="BV36" t="e">
        <f>AND('Planilla_General_03-12-2012_9_3'!I565,"AAAAAH//70k=")</f>
        <v>#VALUE!</v>
      </c>
      <c r="BW36" t="e">
        <f>AND('Planilla_General_03-12-2012_9_3'!J565,"AAAAAH//70o=")</f>
        <v>#VALUE!</v>
      </c>
      <c r="BX36" t="e">
        <f>AND('Planilla_General_03-12-2012_9_3'!K565,"AAAAAH//70s=")</f>
        <v>#VALUE!</v>
      </c>
      <c r="BY36" t="e">
        <f>AND('Planilla_General_03-12-2012_9_3'!L565,"AAAAAH//70w=")</f>
        <v>#VALUE!</v>
      </c>
      <c r="BZ36" t="e">
        <f>AND('Planilla_General_03-12-2012_9_3'!M565,"AAAAAH//700=")</f>
        <v>#VALUE!</v>
      </c>
      <c r="CA36" t="e">
        <f>AND('Planilla_General_03-12-2012_9_3'!N565,"AAAAAH//704=")</f>
        <v>#VALUE!</v>
      </c>
      <c r="CB36" t="e">
        <f>AND('Planilla_General_03-12-2012_9_3'!O565,"AAAAAH//708=")</f>
        <v>#VALUE!</v>
      </c>
      <c r="CC36">
        <f>IF('Planilla_General_03-12-2012_9_3'!566:566,"AAAAAH//71A=",0)</f>
        <v>0</v>
      </c>
      <c r="CD36" t="e">
        <f>AND('Planilla_General_03-12-2012_9_3'!A566,"AAAAAH//71E=")</f>
        <v>#VALUE!</v>
      </c>
      <c r="CE36" t="e">
        <f>AND('Planilla_General_03-12-2012_9_3'!B566,"AAAAAH//71I=")</f>
        <v>#VALUE!</v>
      </c>
      <c r="CF36" t="e">
        <f>AND('Planilla_General_03-12-2012_9_3'!C566,"AAAAAH//71M=")</f>
        <v>#VALUE!</v>
      </c>
      <c r="CG36" t="e">
        <f>AND('Planilla_General_03-12-2012_9_3'!D566,"AAAAAH//71Q=")</f>
        <v>#VALUE!</v>
      </c>
      <c r="CH36" t="e">
        <f>AND('Planilla_General_03-12-2012_9_3'!E566,"AAAAAH//71U=")</f>
        <v>#VALUE!</v>
      </c>
      <c r="CI36" t="e">
        <f>AND('Planilla_General_03-12-2012_9_3'!F566,"AAAAAH//71Y=")</f>
        <v>#VALUE!</v>
      </c>
      <c r="CJ36" t="e">
        <f>AND('Planilla_General_03-12-2012_9_3'!G566,"AAAAAH//71c=")</f>
        <v>#VALUE!</v>
      </c>
      <c r="CK36" t="e">
        <f>AND('Planilla_General_03-12-2012_9_3'!H566,"AAAAAH//71g=")</f>
        <v>#VALUE!</v>
      </c>
      <c r="CL36" t="e">
        <f>AND('Planilla_General_03-12-2012_9_3'!I566,"AAAAAH//71k=")</f>
        <v>#VALUE!</v>
      </c>
      <c r="CM36" t="e">
        <f>AND('Planilla_General_03-12-2012_9_3'!J566,"AAAAAH//71o=")</f>
        <v>#VALUE!</v>
      </c>
      <c r="CN36" t="e">
        <f>AND('Planilla_General_03-12-2012_9_3'!K566,"AAAAAH//71s=")</f>
        <v>#VALUE!</v>
      </c>
      <c r="CO36" t="e">
        <f>AND('Planilla_General_03-12-2012_9_3'!L566,"AAAAAH//71w=")</f>
        <v>#VALUE!</v>
      </c>
      <c r="CP36" t="e">
        <f>AND('Planilla_General_03-12-2012_9_3'!M566,"AAAAAH//710=")</f>
        <v>#VALUE!</v>
      </c>
      <c r="CQ36" t="e">
        <f>AND('Planilla_General_03-12-2012_9_3'!N566,"AAAAAH//714=")</f>
        <v>#VALUE!</v>
      </c>
      <c r="CR36" t="e">
        <f>AND('Planilla_General_03-12-2012_9_3'!O566,"AAAAAH//718=")</f>
        <v>#VALUE!</v>
      </c>
      <c r="CS36">
        <f>IF('Planilla_General_03-12-2012_9_3'!567:567,"AAAAAH//72A=",0)</f>
        <v>0</v>
      </c>
      <c r="CT36" t="e">
        <f>AND('Planilla_General_03-12-2012_9_3'!A567,"AAAAAH//72E=")</f>
        <v>#VALUE!</v>
      </c>
      <c r="CU36" t="e">
        <f>AND('Planilla_General_03-12-2012_9_3'!B567,"AAAAAH//72I=")</f>
        <v>#VALUE!</v>
      </c>
      <c r="CV36" t="e">
        <f>AND('Planilla_General_03-12-2012_9_3'!C567,"AAAAAH//72M=")</f>
        <v>#VALUE!</v>
      </c>
      <c r="CW36" t="e">
        <f>AND('Planilla_General_03-12-2012_9_3'!D567,"AAAAAH//72Q=")</f>
        <v>#VALUE!</v>
      </c>
      <c r="CX36" t="e">
        <f>AND('Planilla_General_03-12-2012_9_3'!E567,"AAAAAH//72U=")</f>
        <v>#VALUE!</v>
      </c>
      <c r="CY36" t="e">
        <f>AND('Planilla_General_03-12-2012_9_3'!F567,"AAAAAH//72Y=")</f>
        <v>#VALUE!</v>
      </c>
      <c r="CZ36" t="e">
        <f>AND('Planilla_General_03-12-2012_9_3'!G567,"AAAAAH//72c=")</f>
        <v>#VALUE!</v>
      </c>
      <c r="DA36" t="e">
        <f>AND('Planilla_General_03-12-2012_9_3'!H567,"AAAAAH//72g=")</f>
        <v>#VALUE!</v>
      </c>
      <c r="DB36" t="e">
        <f>AND('Planilla_General_03-12-2012_9_3'!I567,"AAAAAH//72k=")</f>
        <v>#VALUE!</v>
      </c>
      <c r="DC36" t="e">
        <f>AND('Planilla_General_03-12-2012_9_3'!J567,"AAAAAH//72o=")</f>
        <v>#VALUE!</v>
      </c>
      <c r="DD36" t="e">
        <f>AND('Planilla_General_03-12-2012_9_3'!K567,"AAAAAH//72s=")</f>
        <v>#VALUE!</v>
      </c>
      <c r="DE36" t="e">
        <f>AND('Planilla_General_03-12-2012_9_3'!L567,"AAAAAH//72w=")</f>
        <v>#VALUE!</v>
      </c>
      <c r="DF36" t="e">
        <f>AND('Planilla_General_03-12-2012_9_3'!M567,"AAAAAH//720=")</f>
        <v>#VALUE!</v>
      </c>
      <c r="DG36" t="e">
        <f>AND('Planilla_General_03-12-2012_9_3'!N567,"AAAAAH//724=")</f>
        <v>#VALUE!</v>
      </c>
      <c r="DH36" t="e">
        <f>AND('Planilla_General_03-12-2012_9_3'!O567,"AAAAAH//728=")</f>
        <v>#VALUE!</v>
      </c>
      <c r="DI36">
        <f>IF('Planilla_General_03-12-2012_9_3'!568:568,"AAAAAH//73A=",0)</f>
        <v>0</v>
      </c>
      <c r="DJ36" t="e">
        <f>AND('Planilla_General_03-12-2012_9_3'!A568,"AAAAAH//73E=")</f>
        <v>#VALUE!</v>
      </c>
      <c r="DK36" t="e">
        <f>AND('Planilla_General_03-12-2012_9_3'!B568,"AAAAAH//73I=")</f>
        <v>#VALUE!</v>
      </c>
      <c r="DL36" t="e">
        <f>AND('Planilla_General_03-12-2012_9_3'!C568,"AAAAAH//73M=")</f>
        <v>#VALUE!</v>
      </c>
      <c r="DM36" t="e">
        <f>AND('Planilla_General_03-12-2012_9_3'!D568,"AAAAAH//73Q=")</f>
        <v>#VALUE!</v>
      </c>
      <c r="DN36" t="e">
        <f>AND('Planilla_General_03-12-2012_9_3'!E568,"AAAAAH//73U=")</f>
        <v>#VALUE!</v>
      </c>
      <c r="DO36" t="e">
        <f>AND('Planilla_General_03-12-2012_9_3'!F568,"AAAAAH//73Y=")</f>
        <v>#VALUE!</v>
      </c>
      <c r="DP36" t="e">
        <f>AND('Planilla_General_03-12-2012_9_3'!G568,"AAAAAH//73c=")</f>
        <v>#VALUE!</v>
      </c>
      <c r="DQ36" t="e">
        <f>AND('Planilla_General_03-12-2012_9_3'!H568,"AAAAAH//73g=")</f>
        <v>#VALUE!</v>
      </c>
      <c r="DR36" t="e">
        <f>AND('Planilla_General_03-12-2012_9_3'!I568,"AAAAAH//73k=")</f>
        <v>#VALUE!</v>
      </c>
      <c r="DS36" t="e">
        <f>AND('Planilla_General_03-12-2012_9_3'!J568,"AAAAAH//73o=")</f>
        <v>#VALUE!</v>
      </c>
      <c r="DT36" t="e">
        <f>AND('Planilla_General_03-12-2012_9_3'!K568,"AAAAAH//73s=")</f>
        <v>#VALUE!</v>
      </c>
      <c r="DU36" t="e">
        <f>AND('Planilla_General_03-12-2012_9_3'!L568,"AAAAAH//73w=")</f>
        <v>#VALUE!</v>
      </c>
      <c r="DV36" t="e">
        <f>AND('Planilla_General_03-12-2012_9_3'!M568,"AAAAAH//730=")</f>
        <v>#VALUE!</v>
      </c>
      <c r="DW36" t="e">
        <f>AND('Planilla_General_03-12-2012_9_3'!N568,"AAAAAH//734=")</f>
        <v>#VALUE!</v>
      </c>
      <c r="DX36" t="e">
        <f>AND('Planilla_General_03-12-2012_9_3'!O568,"AAAAAH//738=")</f>
        <v>#VALUE!</v>
      </c>
      <c r="DY36">
        <f>IF('Planilla_General_03-12-2012_9_3'!569:569,"AAAAAH//74A=",0)</f>
        <v>0</v>
      </c>
      <c r="DZ36" t="e">
        <f>AND('Planilla_General_03-12-2012_9_3'!A569,"AAAAAH//74E=")</f>
        <v>#VALUE!</v>
      </c>
      <c r="EA36" t="e">
        <f>AND('Planilla_General_03-12-2012_9_3'!B569,"AAAAAH//74I=")</f>
        <v>#VALUE!</v>
      </c>
      <c r="EB36" t="e">
        <f>AND('Planilla_General_03-12-2012_9_3'!C569,"AAAAAH//74M=")</f>
        <v>#VALUE!</v>
      </c>
      <c r="EC36" t="e">
        <f>AND('Planilla_General_03-12-2012_9_3'!D569,"AAAAAH//74Q=")</f>
        <v>#VALUE!</v>
      </c>
      <c r="ED36" t="e">
        <f>AND('Planilla_General_03-12-2012_9_3'!E569,"AAAAAH//74U=")</f>
        <v>#VALUE!</v>
      </c>
      <c r="EE36" t="e">
        <f>AND('Planilla_General_03-12-2012_9_3'!F569,"AAAAAH//74Y=")</f>
        <v>#VALUE!</v>
      </c>
      <c r="EF36" t="e">
        <f>AND('Planilla_General_03-12-2012_9_3'!G569,"AAAAAH//74c=")</f>
        <v>#VALUE!</v>
      </c>
      <c r="EG36" t="e">
        <f>AND('Planilla_General_03-12-2012_9_3'!H569,"AAAAAH//74g=")</f>
        <v>#VALUE!</v>
      </c>
      <c r="EH36" t="e">
        <f>AND('Planilla_General_03-12-2012_9_3'!I569,"AAAAAH//74k=")</f>
        <v>#VALUE!</v>
      </c>
      <c r="EI36" t="e">
        <f>AND('Planilla_General_03-12-2012_9_3'!J569,"AAAAAH//74o=")</f>
        <v>#VALUE!</v>
      </c>
      <c r="EJ36" t="e">
        <f>AND('Planilla_General_03-12-2012_9_3'!K569,"AAAAAH//74s=")</f>
        <v>#VALUE!</v>
      </c>
      <c r="EK36" t="e">
        <f>AND('Planilla_General_03-12-2012_9_3'!L569,"AAAAAH//74w=")</f>
        <v>#VALUE!</v>
      </c>
      <c r="EL36" t="e">
        <f>AND('Planilla_General_03-12-2012_9_3'!M569,"AAAAAH//740=")</f>
        <v>#VALUE!</v>
      </c>
      <c r="EM36" t="e">
        <f>AND('Planilla_General_03-12-2012_9_3'!N569,"AAAAAH//744=")</f>
        <v>#VALUE!</v>
      </c>
      <c r="EN36" t="e">
        <f>AND('Planilla_General_03-12-2012_9_3'!O569,"AAAAAH//748=")</f>
        <v>#VALUE!</v>
      </c>
      <c r="EO36">
        <f>IF('Planilla_General_03-12-2012_9_3'!570:570,"AAAAAH//75A=",0)</f>
        <v>0</v>
      </c>
      <c r="EP36" t="e">
        <f>AND('Planilla_General_03-12-2012_9_3'!A570,"AAAAAH//75E=")</f>
        <v>#VALUE!</v>
      </c>
      <c r="EQ36" t="e">
        <f>AND('Planilla_General_03-12-2012_9_3'!B570,"AAAAAH//75I=")</f>
        <v>#VALUE!</v>
      </c>
      <c r="ER36" t="e">
        <f>AND('Planilla_General_03-12-2012_9_3'!C570,"AAAAAH//75M=")</f>
        <v>#VALUE!</v>
      </c>
      <c r="ES36" t="e">
        <f>AND('Planilla_General_03-12-2012_9_3'!D570,"AAAAAH//75Q=")</f>
        <v>#VALUE!</v>
      </c>
      <c r="ET36" t="e">
        <f>AND('Planilla_General_03-12-2012_9_3'!E570,"AAAAAH//75U=")</f>
        <v>#VALUE!</v>
      </c>
      <c r="EU36" t="e">
        <f>AND('Planilla_General_03-12-2012_9_3'!F570,"AAAAAH//75Y=")</f>
        <v>#VALUE!</v>
      </c>
      <c r="EV36" t="e">
        <f>AND('Planilla_General_03-12-2012_9_3'!G570,"AAAAAH//75c=")</f>
        <v>#VALUE!</v>
      </c>
      <c r="EW36" t="e">
        <f>AND('Planilla_General_03-12-2012_9_3'!H570,"AAAAAH//75g=")</f>
        <v>#VALUE!</v>
      </c>
      <c r="EX36" t="e">
        <f>AND('Planilla_General_03-12-2012_9_3'!I570,"AAAAAH//75k=")</f>
        <v>#VALUE!</v>
      </c>
      <c r="EY36" t="e">
        <f>AND('Planilla_General_03-12-2012_9_3'!J570,"AAAAAH//75o=")</f>
        <v>#VALUE!</v>
      </c>
      <c r="EZ36" t="e">
        <f>AND('Planilla_General_03-12-2012_9_3'!K570,"AAAAAH//75s=")</f>
        <v>#VALUE!</v>
      </c>
      <c r="FA36" t="e">
        <f>AND('Planilla_General_03-12-2012_9_3'!L570,"AAAAAH//75w=")</f>
        <v>#VALUE!</v>
      </c>
      <c r="FB36" t="e">
        <f>AND('Planilla_General_03-12-2012_9_3'!M570,"AAAAAH//750=")</f>
        <v>#VALUE!</v>
      </c>
      <c r="FC36" t="e">
        <f>AND('Planilla_General_03-12-2012_9_3'!N570,"AAAAAH//754=")</f>
        <v>#VALUE!</v>
      </c>
      <c r="FD36" t="e">
        <f>AND('Planilla_General_03-12-2012_9_3'!O570,"AAAAAH//758=")</f>
        <v>#VALUE!</v>
      </c>
      <c r="FE36">
        <f>IF('Planilla_General_03-12-2012_9_3'!571:571,"AAAAAH//76A=",0)</f>
        <v>0</v>
      </c>
      <c r="FF36" t="e">
        <f>AND('Planilla_General_03-12-2012_9_3'!A571,"AAAAAH//76E=")</f>
        <v>#VALUE!</v>
      </c>
      <c r="FG36" t="e">
        <f>AND('Planilla_General_03-12-2012_9_3'!B571,"AAAAAH//76I=")</f>
        <v>#VALUE!</v>
      </c>
      <c r="FH36" t="e">
        <f>AND('Planilla_General_03-12-2012_9_3'!C571,"AAAAAH//76M=")</f>
        <v>#VALUE!</v>
      </c>
      <c r="FI36" t="e">
        <f>AND('Planilla_General_03-12-2012_9_3'!D571,"AAAAAH//76Q=")</f>
        <v>#VALUE!</v>
      </c>
      <c r="FJ36" t="e">
        <f>AND('Planilla_General_03-12-2012_9_3'!E571,"AAAAAH//76U=")</f>
        <v>#VALUE!</v>
      </c>
      <c r="FK36" t="e">
        <f>AND('Planilla_General_03-12-2012_9_3'!F571,"AAAAAH//76Y=")</f>
        <v>#VALUE!</v>
      </c>
      <c r="FL36" t="e">
        <f>AND('Planilla_General_03-12-2012_9_3'!G571,"AAAAAH//76c=")</f>
        <v>#VALUE!</v>
      </c>
      <c r="FM36" t="e">
        <f>AND('Planilla_General_03-12-2012_9_3'!H571,"AAAAAH//76g=")</f>
        <v>#VALUE!</v>
      </c>
      <c r="FN36" t="e">
        <f>AND('Planilla_General_03-12-2012_9_3'!I571,"AAAAAH//76k=")</f>
        <v>#VALUE!</v>
      </c>
      <c r="FO36" t="e">
        <f>AND('Planilla_General_03-12-2012_9_3'!J571,"AAAAAH//76o=")</f>
        <v>#VALUE!</v>
      </c>
      <c r="FP36" t="e">
        <f>AND('Planilla_General_03-12-2012_9_3'!K571,"AAAAAH//76s=")</f>
        <v>#VALUE!</v>
      </c>
      <c r="FQ36" t="e">
        <f>AND('Planilla_General_03-12-2012_9_3'!L571,"AAAAAH//76w=")</f>
        <v>#VALUE!</v>
      </c>
      <c r="FR36" t="e">
        <f>AND('Planilla_General_03-12-2012_9_3'!M571,"AAAAAH//760=")</f>
        <v>#VALUE!</v>
      </c>
      <c r="FS36" t="e">
        <f>AND('Planilla_General_03-12-2012_9_3'!N571,"AAAAAH//764=")</f>
        <v>#VALUE!</v>
      </c>
      <c r="FT36" t="e">
        <f>AND('Planilla_General_03-12-2012_9_3'!O571,"AAAAAH//768=")</f>
        <v>#VALUE!</v>
      </c>
      <c r="FU36">
        <f>IF('Planilla_General_03-12-2012_9_3'!572:572,"AAAAAH//77A=",0)</f>
        <v>0</v>
      </c>
      <c r="FV36" t="e">
        <f>AND('Planilla_General_03-12-2012_9_3'!A572,"AAAAAH//77E=")</f>
        <v>#VALUE!</v>
      </c>
      <c r="FW36" t="e">
        <f>AND('Planilla_General_03-12-2012_9_3'!B572,"AAAAAH//77I=")</f>
        <v>#VALUE!</v>
      </c>
      <c r="FX36" t="e">
        <f>AND('Planilla_General_03-12-2012_9_3'!C572,"AAAAAH//77M=")</f>
        <v>#VALUE!</v>
      </c>
      <c r="FY36" t="e">
        <f>AND('Planilla_General_03-12-2012_9_3'!D572,"AAAAAH//77Q=")</f>
        <v>#VALUE!</v>
      </c>
      <c r="FZ36" t="e">
        <f>AND('Planilla_General_03-12-2012_9_3'!E572,"AAAAAH//77U=")</f>
        <v>#VALUE!</v>
      </c>
      <c r="GA36" t="e">
        <f>AND('Planilla_General_03-12-2012_9_3'!F572,"AAAAAH//77Y=")</f>
        <v>#VALUE!</v>
      </c>
      <c r="GB36" t="e">
        <f>AND('Planilla_General_03-12-2012_9_3'!G572,"AAAAAH//77c=")</f>
        <v>#VALUE!</v>
      </c>
      <c r="GC36" t="e">
        <f>AND('Planilla_General_03-12-2012_9_3'!H572,"AAAAAH//77g=")</f>
        <v>#VALUE!</v>
      </c>
      <c r="GD36" t="e">
        <f>AND('Planilla_General_03-12-2012_9_3'!I572,"AAAAAH//77k=")</f>
        <v>#VALUE!</v>
      </c>
      <c r="GE36" t="e">
        <f>AND('Planilla_General_03-12-2012_9_3'!J572,"AAAAAH//77o=")</f>
        <v>#VALUE!</v>
      </c>
      <c r="GF36" t="e">
        <f>AND('Planilla_General_03-12-2012_9_3'!K572,"AAAAAH//77s=")</f>
        <v>#VALUE!</v>
      </c>
      <c r="GG36" t="e">
        <f>AND('Planilla_General_03-12-2012_9_3'!L572,"AAAAAH//77w=")</f>
        <v>#VALUE!</v>
      </c>
      <c r="GH36" t="e">
        <f>AND('Planilla_General_03-12-2012_9_3'!M572,"AAAAAH//770=")</f>
        <v>#VALUE!</v>
      </c>
      <c r="GI36" t="e">
        <f>AND('Planilla_General_03-12-2012_9_3'!N572,"AAAAAH//774=")</f>
        <v>#VALUE!</v>
      </c>
      <c r="GJ36" t="e">
        <f>AND('Planilla_General_03-12-2012_9_3'!O572,"AAAAAH//778=")</f>
        <v>#VALUE!</v>
      </c>
      <c r="GK36">
        <f>IF('Planilla_General_03-12-2012_9_3'!573:573,"AAAAAH//78A=",0)</f>
        <v>0</v>
      </c>
      <c r="GL36" t="e">
        <f>AND('Planilla_General_03-12-2012_9_3'!A573,"AAAAAH//78E=")</f>
        <v>#VALUE!</v>
      </c>
      <c r="GM36" t="e">
        <f>AND('Planilla_General_03-12-2012_9_3'!B573,"AAAAAH//78I=")</f>
        <v>#VALUE!</v>
      </c>
      <c r="GN36" t="e">
        <f>AND('Planilla_General_03-12-2012_9_3'!C573,"AAAAAH//78M=")</f>
        <v>#VALUE!</v>
      </c>
      <c r="GO36" t="e">
        <f>AND('Planilla_General_03-12-2012_9_3'!D573,"AAAAAH//78Q=")</f>
        <v>#VALUE!</v>
      </c>
      <c r="GP36" t="e">
        <f>AND('Planilla_General_03-12-2012_9_3'!E573,"AAAAAH//78U=")</f>
        <v>#VALUE!</v>
      </c>
      <c r="GQ36" t="e">
        <f>AND('Planilla_General_03-12-2012_9_3'!F573,"AAAAAH//78Y=")</f>
        <v>#VALUE!</v>
      </c>
      <c r="GR36" t="e">
        <f>AND('Planilla_General_03-12-2012_9_3'!G573,"AAAAAH//78c=")</f>
        <v>#VALUE!</v>
      </c>
      <c r="GS36" t="e">
        <f>AND('Planilla_General_03-12-2012_9_3'!H573,"AAAAAH//78g=")</f>
        <v>#VALUE!</v>
      </c>
      <c r="GT36" t="e">
        <f>AND('Planilla_General_03-12-2012_9_3'!I573,"AAAAAH//78k=")</f>
        <v>#VALUE!</v>
      </c>
      <c r="GU36" t="e">
        <f>AND('Planilla_General_03-12-2012_9_3'!J573,"AAAAAH//78o=")</f>
        <v>#VALUE!</v>
      </c>
      <c r="GV36" t="e">
        <f>AND('Planilla_General_03-12-2012_9_3'!K573,"AAAAAH//78s=")</f>
        <v>#VALUE!</v>
      </c>
      <c r="GW36" t="e">
        <f>AND('Planilla_General_03-12-2012_9_3'!L573,"AAAAAH//78w=")</f>
        <v>#VALUE!</v>
      </c>
      <c r="GX36" t="e">
        <f>AND('Planilla_General_03-12-2012_9_3'!M573,"AAAAAH//780=")</f>
        <v>#VALUE!</v>
      </c>
      <c r="GY36" t="e">
        <f>AND('Planilla_General_03-12-2012_9_3'!N573,"AAAAAH//784=")</f>
        <v>#VALUE!</v>
      </c>
      <c r="GZ36" t="e">
        <f>AND('Planilla_General_03-12-2012_9_3'!O573,"AAAAAH//788=")</f>
        <v>#VALUE!</v>
      </c>
      <c r="HA36">
        <f>IF('Planilla_General_03-12-2012_9_3'!574:574,"AAAAAH//79A=",0)</f>
        <v>0</v>
      </c>
      <c r="HB36" t="e">
        <f>AND('Planilla_General_03-12-2012_9_3'!A574,"AAAAAH//79E=")</f>
        <v>#VALUE!</v>
      </c>
      <c r="HC36" t="e">
        <f>AND('Planilla_General_03-12-2012_9_3'!B574,"AAAAAH//79I=")</f>
        <v>#VALUE!</v>
      </c>
      <c r="HD36" t="e">
        <f>AND('Planilla_General_03-12-2012_9_3'!C574,"AAAAAH//79M=")</f>
        <v>#VALUE!</v>
      </c>
      <c r="HE36" t="e">
        <f>AND('Planilla_General_03-12-2012_9_3'!D574,"AAAAAH//79Q=")</f>
        <v>#VALUE!</v>
      </c>
      <c r="HF36" t="e">
        <f>AND('Planilla_General_03-12-2012_9_3'!E574,"AAAAAH//79U=")</f>
        <v>#VALUE!</v>
      </c>
      <c r="HG36" t="e">
        <f>AND('Planilla_General_03-12-2012_9_3'!F574,"AAAAAH//79Y=")</f>
        <v>#VALUE!</v>
      </c>
      <c r="HH36" t="e">
        <f>AND('Planilla_General_03-12-2012_9_3'!G574,"AAAAAH//79c=")</f>
        <v>#VALUE!</v>
      </c>
      <c r="HI36" t="e">
        <f>AND('Planilla_General_03-12-2012_9_3'!H574,"AAAAAH//79g=")</f>
        <v>#VALUE!</v>
      </c>
      <c r="HJ36" t="e">
        <f>AND('Planilla_General_03-12-2012_9_3'!I574,"AAAAAH//79k=")</f>
        <v>#VALUE!</v>
      </c>
      <c r="HK36" t="e">
        <f>AND('Planilla_General_03-12-2012_9_3'!J574,"AAAAAH//79o=")</f>
        <v>#VALUE!</v>
      </c>
      <c r="HL36" t="e">
        <f>AND('Planilla_General_03-12-2012_9_3'!K574,"AAAAAH//79s=")</f>
        <v>#VALUE!</v>
      </c>
      <c r="HM36" t="e">
        <f>AND('Planilla_General_03-12-2012_9_3'!L574,"AAAAAH//79w=")</f>
        <v>#VALUE!</v>
      </c>
      <c r="HN36" t="e">
        <f>AND('Planilla_General_03-12-2012_9_3'!M574,"AAAAAH//790=")</f>
        <v>#VALUE!</v>
      </c>
      <c r="HO36" t="e">
        <f>AND('Planilla_General_03-12-2012_9_3'!N574,"AAAAAH//794=")</f>
        <v>#VALUE!</v>
      </c>
      <c r="HP36" t="e">
        <f>AND('Planilla_General_03-12-2012_9_3'!O574,"AAAAAH//798=")</f>
        <v>#VALUE!</v>
      </c>
      <c r="HQ36">
        <f>IF('Planilla_General_03-12-2012_9_3'!575:575,"AAAAAH//7+A=",0)</f>
        <v>0</v>
      </c>
      <c r="HR36" t="e">
        <f>AND('Planilla_General_03-12-2012_9_3'!A575,"AAAAAH//7+E=")</f>
        <v>#VALUE!</v>
      </c>
      <c r="HS36" t="e">
        <f>AND('Planilla_General_03-12-2012_9_3'!B575,"AAAAAH//7+I=")</f>
        <v>#VALUE!</v>
      </c>
      <c r="HT36" t="e">
        <f>AND('Planilla_General_03-12-2012_9_3'!C575,"AAAAAH//7+M=")</f>
        <v>#VALUE!</v>
      </c>
      <c r="HU36" t="e">
        <f>AND('Planilla_General_03-12-2012_9_3'!D575,"AAAAAH//7+Q=")</f>
        <v>#VALUE!</v>
      </c>
      <c r="HV36" t="e">
        <f>AND('Planilla_General_03-12-2012_9_3'!E575,"AAAAAH//7+U=")</f>
        <v>#VALUE!</v>
      </c>
      <c r="HW36" t="e">
        <f>AND('Planilla_General_03-12-2012_9_3'!F575,"AAAAAH//7+Y=")</f>
        <v>#VALUE!</v>
      </c>
      <c r="HX36" t="e">
        <f>AND('Planilla_General_03-12-2012_9_3'!G575,"AAAAAH//7+c=")</f>
        <v>#VALUE!</v>
      </c>
      <c r="HY36" t="e">
        <f>AND('Planilla_General_03-12-2012_9_3'!H575,"AAAAAH//7+g=")</f>
        <v>#VALUE!</v>
      </c>
      <c r="HZ36" t="e">
        <f>AND('Planilla_General_03-12-2012_9_3'!I575,"AAAAAH//7+k=")</f>
        <v>#VALUE!</v>
      </c>
      <c r="IA36" t="e">
        <f>AND('Planilla_General_03-12-2012_9_3'!J575,"AAAAAH//7+o=")</f>
        <v>#VALUE!</v>
      </c>
      <c r="IB36" t="e">
        <f>AND('Planilla_General_03-12-2012_9_3'!K575,"AAAAAH//7+s=")</f>
        <v>#VALUE!</v>
      </c>
      <c r="IC36" t="e">
        <f>AND('Planilla_General_03-12-2012_9_3'!L575,"AAAAAH//7+w=")</f>
        <v>#VALUE!</v>
      </c>
      <c r="ID36" t="e">
        <f>AND('Planilla_General_03-12-2012_9_3'!M575,"AAAAAH//7+0=")</f>
        <v>#VALUE!</v>
      </c>
      <c r="IE36" t="e">
        <f>AND('Planilla_General_03-12-2012_9_3'!N575,"AAAAAH//7+4=")</f>
        <v>#VALUE!</v>
      </c>
      <c r="IF36" t="e">
        <f>AND('Planilla_General_03-12-2012_9_3'!O575,"AAAAAH//7+8=")</f>
        <v>#VALUE!</v>
      </c>
      <c r="IG36">
        <f>IF('Planilla_General_03-12-2012_9_3'!576:576,"AAAAAH//7/A=",0)</f>
        <v>0</v>
      </c>
      <c r="IH36" t="e">
        <f>AND('Planilla_General_03-12-2012_9_3'!A576,"AAAAAH//7/E=")</f>
        <v>#VALUE!</v>
      </c>
      <c r="II36" t="e">
        <f>AND('Planilla_General_03-12-2012_9_3'!B576,"AAAAAH//7/I=")</f>
        <v>#VALUE!</v>
      </c>
      <c r="IJ36" t="e">
        <f>AND('Planilla_General_03-12-2012_9_3'!C576,"AAAAAH//7/M=")</f>
        <v>#VALUE!</v>
      </c>
      <c r="IK36" t="e">
        <f>AND('Planilla_General_03-12-2012_9_3'!D576,"AAAAAH//7/Q=")</f>
        <v>#VALUE!</v>
      </c>
      <c r="IL36" t="e">
        <f>AND('Planilla_General_03-12-2012_9_3'!E576,"AAAAAH//7/U=")</f>
        <v>#VALUE!</v>
      </c>
      <c r="IM36" t="e">
        <f>AND('Planilla_General_03-12-2012_9_3'!F576,"AAAAAH//7/Y=")</f>
        <v>#VALUE!</v>
      </c>
      <c r="IN36" t="e">
        <f>AND('Planilla_General_03-12-2012_9_3'!G576,"AAAAAH//7/c=")</f>
        <v>#VALUE!</v>
      </c>
      <c r="IO36" t="e">
        <f>AND('Planilla_General_03-12-2012_9_3'!H576,"AAAAAH//7/g=")</f>
        <v>#VALUE!</v>
      </c>
      <c r="IP36" t="e">
        <f>AND('Planilla_General_03-12-2012_9_3'!I576,"AAAAAH//7/k=")</f>
        <v>#VALUE!</v>
      </c>
      <c r="IQ36" t="e">
        <f>AND('Planilla_General_03-12-2012_9_3'!J576,"AAAAAH//7/o=")</f>
        <v>#VALUE!</v>
      </c>
      <c r="IR36" t="e">
        <f>AND('Planilla_General_03-12-2012_9_3'!K576,"AAAAAH//7/s=")</f>
        <v>#VALUE!</v>
      </c>
      <c r="IS36" t="e">
        <f>AND('Planilla_General_03-12-2012_9_3'!L576,"AAAAAH//7/w=")</f>
        <v>#VALUE!</v>
      </c>
      <c r="IT36" t="e">
        <f>AND('Planilla_General_03-12-2012_9_3'!M576,"AAAAAH//7/0=")</f>
        <v>#VALUE!</v>
      </c>
      <c r="IU36" t="e">
        <f>AND('Planilla_General_03-12-2012_9_3'!N576,"AAAAAH//7/4=")</f>
        <v>#VALUE!</v>
      </c>
      <c r="IV36" t="e">
        <f>AND('Planilla_General_03-12-2012_9_3'!O576,"AAAAAH//7/8=")</f>
        <v>#VALUE!</v>
      </c>
    </row>
    <row r="37" spans="1:256" x14ac:dyDescent="0.25">
      <c r="A37" t="e">
        <f>IF('Planilla_General_03-12-2012_9_3'!577:577,"AAAAADy1twA=",0)</f>
        <v>#VALUE!</v>
      </c>
      <c r="B37" t="e">
        <f>AND('Planilla_General_03-12-2012_9_3'!A577,"AAAAADy1twE=")</f>
        <v>#VALUE!</v>
      </c>
      <c r="C37" t="e">
        <f>AND('Planilla_General_03-12-2012_9_3'!B577,"AAAAADy1twI=")</f>
        <v>#VALUE!</v>
      </c>
      <c r="D37" t="e">
        <f>AND('Planilla_General_03-12-2012_9_3'!C577,"AAAAADy1twM=")</f>
        <v>#VALUE!</v>
      </c>
      <c r="E37" t="e">
        <f>AND('Planilla_General_03-12-2012_9_3'!D577,"AAAAADy1twQ=")</f>
        <v>#VALUE!</v>
      </c>
      <c r="F37" t="e">
        <f>AND('Planilla_General_03-12-2012_9_3'!E577,"AAAAADy1twU=")</f>
        <v>#VALUE!</v>
      </c>
      <c r="G37" t="e">
        <f>AND('Planilla_General_03-12-2012_9_3'!F577,"AAAAADy1twY=")</f>
        <v>#VALUE!</v>
      </c>
      <c r="H37" t="e">
        <f>AND('Planilla_General_03-12-2012_9_3'!G577,"AAAAADy1twc=")</f>
        <v>#VALUE!</v>
      </c>
      <c r="I37" t="e">
        <f>AND('Planilla_General_03-12-2012_9_3'!H577,"AAAAADy1twg=")</f>
        <v>#VALUE!</v>
      </c>
      <c r="J37" t="e">
        <f>AND('Planilla_General_03-12-2012_9_3'!I577,"AAAAADy1twk=")</f>
        <v>#VALUE!</v>
      </c>
      <c r="K37" t="e">
        <f>AND('Planilla_General_03-12-2012_9_3'!J577,"AAAAADy1two=")</f>
        <v>#VALUE!</v>
      </c>
      <c r="L37" t="e">
        <f>AND('Planilla_General_03-12-2012_9_3'!K577,"AAAAADy1tws=")</f>
        <v>#VALUE!</v>
      </c>
      <c r="M37" t="e">
        <f>AND('Planilla_General_03-12-2012_9_3'!L577,"AAAAADy1tww=")</f>
        <v>#VALUE!</v>
      </c>
      <c r="N37" t="e">
        <f>AND('Planilla_General_03-12-2012_9_3'!M577,"AAAAADy1tw0=")</f>
        <v>#VALUE!</v>
      </c>
      <c r="O37" t="e">
        <f>AND('Planilla_General_03-12-2012_9_3'!N577,"AAAAADy1tw4=")</f>
        <v>#VALUE!</v>
      </c>
      <c r="P37" t="e">
        <f>AND('Planilla_General_03-12-2012_9_3'!O577,"AAAAADy1tw8=")</f>
        <v>#VALUE!</v>
      </c>
      <c r="Q37">
        <f>IF('Planilla_General_03-12-2012_9_3'!578:578,"AAAAADy1txA=",0)</f>
        <v>0</v>
      </c>
      <c r="R37" t="e">
        <f>AND('Planilla_General_03-12-2012_9_3'!A578,"AAAAADy1txE=")</f>
        <v>#VALUE!</v>
      </c>
      <c r="S37" t="e">
        <f>AND('Planilla_General_03-12-2012_9_3'!B578,"AAAAADy1txI=")</f>
        <v>#VALUE!</v>
      </c>
      <c r="T37" t="e">
        <f>AND('Planilla_General_03-12-2012_9_3'!C578,"AAAAADy1txM=")</f>
        <v>#VALUE!</v>
      </c>
      <c r="U37" t="e">
        <f>AND('Planilla_General_03-12-2012_9_3'!D578,"AAAAADy1txQ=")</f>
        <v>#VALUE!</v>
      </c>
      <c r="V37" t="e">
        <f>AND('Planilla_General_03-12-2012_9_3'!E578,"AAAAADy1txU=")</f>
        <v>#VALUE!</v>
      </c>
      <c r="W37" t="e">
        <f>AND('Planilla_General_03-12-2012_9_3'!F578,"AAAAADy1txY=")</f>
        <v>#VALUE!</v>
      </c>
      <c r="X37" t="e">
        <f>AND('Planilla_General_03-12-2012_9_3'!G578,"AAAAADy1txc=")</f>
        <v>#VALUE!</v>
      </c>
      <c r="Y37" t="e">
        <f>AND('Planilla_General_03-12-2012_9_3'!H578,"AAAAADy1txg=")</f>
        <v>#VALUE!</v>
      </c>
      <c r="Z37" t="e">
        <f>AND('Planilla_General_03-12-2012_9_3'!I578,"AAAAADy1txk=")</f>
        <v>#VALUE!</v>
      </c>
      <c r="AA37" t="e">
        <f>AND('Planilla_General_03-12-2012_9_3'!J578,"AAAAADy1txo=")</f>
        <v>#VALUE!</v>
      </c>
      <c r="AB37" t="e">
        <f>AND('Planilla_General_03-12-2012_9_3'!K578,"AAAAADy1txs=")</f>
        <v>#VALUE!</v>
      </c>
      <c r="AC37" t="e">
        <f>AND('Planilla_General_03-12-2012_9_3'!L578,"AAAAADy1txw=")</f>
        <v>#VALUE!</v>
      </c>
      <c r="AD37" t="e">
        <f>AND('Planilla_General_03-12-2012_9_3'!M578,"AAAAADy1tx0=")</f>
        <v>#VALUE!</v>
      </c>
      <c r="AE37" t="e">
        <f>AND('Planilla_General_03-12-2012_9_3'!N578,"AAAAADy1tx4=")</f>
        <v>#VALUE!</v>
      </c>
      <c r="AF37" t="e">
        <f>AND('Planilla_General_03-12-2012_9_3'!O578,"AAAAADy1tx8=")</f>
        <v>#VALUE!</v>
      </c>
      <c r="AG37">
        <f>IF('Planilla_General_03-12-2012_9_3'!579:579,"AAAAADy1tyA=",0)</f>
        <v>0</v>
      </c>
      <c r="AH37" t="e">
        <f>AND('Planilla_General_03-12-2012_9_3'!A579,"AAAAADy1tyE=")</f>
        <v>#VALUE!</v>
      </c>
      <c r="AI37" t="e">
        <f>AND('Planilla_General_03-12-2012_9_3'!B579,"AAAAADy1tyI=")</f>
        <v>#VALUE!</v>
      </c>
      <c r="AJ37" t="e">
        <f>AND('Planilla_General_03-12-2012_9_3'!C579,"AAAAADy1tyM=")</f>
        <v>#VALUE!</v>
      </c>
      <c r="AK37" t="e">
        <f>AND('Planilla_General_03-12-2012_9_3'!D579,"AAAAADy1tyQ=")</f>
        <v>#VALUE!</v>
      </c>
      <c r="AL37" t="e">
        <f>AND('Planilla_General_03-12-2012_9_3'!E579,"AAAAADy1tyU=")</f>
        <v>#VALUE!</v>
      </c>
      <c r="AM37" t="e">
        <f>AND('Planilla_General_03-12-2012_9_3'!F579,"AAAAADy1tyY=")</f>
        <v>#VALUE!</v>
      </c>
      <c r="AN37" t="e">
        <f>AND('Planilla_General_03-12-2012_9_3'!G579,"AAAAADy1tyc=")</f>
        <v>#VALUE!</v>
      </c>
      <c r="AO37" t="e">
        <f>AND('Planilla_General_03-12-2012_9_3'!H579,"AAAAADy1tyg=")</f>
        <v>#VALUE!</v>
      </c>
      <c r="AP37" t="e">
        <f>AND('Planilla_General_03-12-2012_9_3'!I579,"AAAAADy1tyk=")</f>
        <v>#VALUE!</v>
      </c>
      <c r="AQ37" t="e">
        <f>AND('Planilla_General_03-12-2012_9_3'!J579,"AAAAADy1tyo=")</f>
        <v>#VALUE!</v>
      </c>
      <c r="AR37" t="e">
        <f>AND('Planilla_General_03-12-2012_9_3'!K579,"AAAAADy1tys=")</f>
        <v>#VALUE!</v>
      </c>
      <c r="AS37" t="e">
        <f>AND('Planilla_General_03-12-2012_9_3'!L579,"AAAAADy1tyw=")</f>
        <v>#VALUE!</v>
      </c>
      <c r="AT37" t="e">
        <f>AND('Planilla_General_03-12-2012_9_3'!M579,"AAAAADy1ty0=")</f>
        <v>#VALUE!</v>
      </c>
      <c r="AU37" t="e">
        <f>AND('Planilla_General_03-12-2012_9_3'!N579,"AAAAADy1ty4=")</f>
        <v>#VALUE!</v>
      </c>
      <c r="AV37" t="e">
        <f>AND('Planilla_General_03-12-2012_9_3'!O579,"AAAAADy1ty8=")</f>
        <v>#VALUE!</v>
      </c>
      <c r="AW37">
        <f>IF('Planilla_General_03-12-2012_9_3'!580:580,"AAAAADy1tzA=",0)</f>
        <v>0</v>
      </c>
      <c r="AX37" t="e">
        <f>AND('Planilla_General_03-12-2012_9_3'!A580,"AAAAADy1tzE=")</f>
        <v>#VALUE!</v>
      </c>
      <c r="AY37" t="e">
        <f>AND('Planilla_General_03-12-2012_9_3'!B580,"AAAAADy1tzI=")</f>
        <v>#VALUE!</v>
      </c>
      <c r="AZ37" t="e">
        <f>AND('Planilla_General_03-12-2012_9_3'!C580,"AAAAADy1tzM=")</f>
        <v>#VALUE!</v>
      </c>
      <c r="BA37" t="e">
        <f>AND('Planilla_General_03-12-2012_9_3'!D580,"AAAAADy1tzQ=")</f>
        <v>#VALUE!</v>
      </c>
      <c r="BB37" t="e">
        <f>AND('Planilla_General_03-12-2012_9_3'!E580,"AAAAADy1tzU=")</f>
        <v>#VALUE!</v>
      </c>
      <c r="BC37" t="e">
        <f>AND('Planilla_General_03-12-2012_9_3'!F580,"AAAAADy1tzY=")</f>
        <v>#VALUE!</v>
      </c>
      <c r="BD37" t="e">
        <f>AND('Planilla_General_03-12-2012_9_3'!G580,"AAAAADy1tzc=")</f>
        <v>#VALUE!</v>
      </c>
      <c r="BE37" t="e">
        <f>AND('Planilla_General_03-12-2012_9_3'!H580,"AAAAADy1tzg=")</f>
        <v>#VALUE!</v>
      </c>
      <c r="BF37" t="e">
        <f>AND('Planilla_General_03-12-2012_9_3'!I580,"AAAAADy1tzk=")</f>
        <v>#VALUE!</v>
      </c>
      <c r="BG37" t="e">
        <f>AND('Planilla_General_03-12-2012_9_3'!J580,"AAAAADy1tzo=")</f>
        <v>#VALUE!</v>
      </c>
      <c r="BH37" t="e">
        <f>AND('Planilla_General_03-12-2012_9_3'!K580,"AAAAADy1tzs=")</f>
        <v>#VALUE!</v>
      </c>
      <c r="BI37" t="e">
        <f>AND('Planilla_General_03-12-2012_9_3'!L580,"AAAAADy1tzw=")</f>
        <v>#VALUE!</v>
      </c>
      <c r="BJ37" t="e">
        <f>AND('Planilla_General_03-12-2012_9_3'!M580,"AAAAADy1tz0=")</f>
        <v>#VALUE!</v>
      </c>
      <c r="BK37" t="e">
        <f>AND('Planilla_General_03-12-2012_9_3'!N580,"AAAAADy1tz4=")</f>
        <v>#VALUE!</v>
      </c>
      <c r="BL37" t="e">
        <f>AND('Planilla_General_03-12-2012_9_3'!O580,"AAAAADy1tz8=")</f>
        <v>#VALUE!</v>
      </c>
      <c r="BM37">
        <f>IF('Planilla_General_03-12-2012_9_3'!581:581,"AAAAADy1t0A=",0)</f>
        <v>0</v>
      </c>
      <c r="BN37" t="e">
        <f>AND('Planilla_General_03-12-2012_9_3'!A581,"AAAAADy1t0E=")</f>
        <v>#VALUE!</v>
      </c>
      <c r="BO37" t="e">
        <f>AND('Planilla_General_03-12-2012_9_3'!B581,"AAAAADy1t0I=")</f>
        <v>#VALUE!</v>
      </c>
      <c r="BP37" t="e">
        <f>AND('Planilla_General_03-12-2012_9_3'!C581,"AAAAADy1t0M=")</f>
        <v>#VALUE!</v>
      </c>
      <c r="BQ37" t="e">
        <f>AND('Planilla_General_03-12-2012_9_3'!D581,"AAAAADy1t0Q=")</f>
        <v>#VALUE!</v>
      </c>
      <c r="BR37" t="e">
        <f>AND('Planilla_General_03-12-2012_9_3'!E581,"AAAAADy1t0U=")</f>
        <v>#VALUE!</v>
      </c>
      <c r="BS37" t="e">
        <f>AND('Planilla_General_03-12-2012_9_3'!F581,"AAAAADy1t0Y=")</f>
        <v>#VALUE!</v>
      </c>
      <c r="BT37" t="e">
        <f>AND('Planilla_General_03-12-2012_9_3'!G581,"AAAAADy1t0c=")</f>
        <v>#VALUE!</v>
      </c>
      <c r="BU37" t="e">
        <f>AND('Planilla_General_03-12-2012_9_3'!H581,"AAAAADy1t0g=")</f>
        <v>#VALUE!</v>
      </c>
      <c r="BV37" t="e">
        <f>AND('Planilla_General_03-12-2012_9_3'!I581,"AAAAADy1t0k=")</f>
        <v>#VALUE!</v>
      </c>
      <c r="BW37" t="e">
        <f>AND('Planilla_General_03-12-2012_9_3'!J581,"AAAAADy1t0o=")</f>
        <v>#VALUE!</v>
      </c>
      <c r="BX37" t="e">
        <f>AND('Planilla_General_03-12-2012_9_3'!K581,"AAAAADy1t0s=")</f>
        <v>#VALUE!</v>
      </c>
      <c r="BY37" t="e">
        <f>AND('Planilla_General_03-12-2012_9_3'!L581,"AAAAADy1t0w=")</f>
        <v>#VALUE!</v>
      </c>
      <c r="BZ37" t="e">
        <f>AND('Planilla_General_03-12-2012_9_3'!M581,"AAAAADy1t00=")</f>
        <v>#VALUE!</v>
      </c>
      <c r="CA37" t="e">
        <f>AND('Planilla_General_03-12-2012_9_3'!N581,"AAAAADy1t04=")</f>
        <v>#VALUE!</v>
      </c>
      <c r="CB37" t="e">
        <f>AND('Planilla_General_03-12-2012_9_3'!O581,"AAAAADy1t08=")</f>
        <v>#VALUE!</v>
      </c>
      <c r="CC37">
        <f>IF('Planilla_General_03-12-2012_9_3'!582:582,"AAAAADy1t1A=",0)</f>
        <v>0</v>
      </c>
      <c r="CD37" t="e">
        <f>AND('Planilla_General_03-12-2012_9_3'!A582,"AAAAADy1t1E=")</f>
        <v>#VALUE!</v>
      </c>
      <c r="CE37" t="e">
        <f>AND('Planilla_General_03-12-2012_9_3'!B582,"AAAAADy1t1I=")</f>
        <v>#VALUE!</v>
      </c>
      <c r="CF37" t="e">
        <f>AND('Planilla_General_03-12-2012_9_3'!C582,"AAAAADy1t1M=")</f>
        <v>#VALUE!</v>
      </c>
      <c r="CG37" t="e">
        <f>AND('Planilla_General_03-12-2012_9_3'!D582,"AAAAADy1t1Q=")</f>
        <v>#VALUE!</v>
      </c>
      <c r="CH37" t="e">
        <f>AND('Planilla_General_03-12-2012_9_3'!E582,"AAAAADy1t1U=")</f>
        <v>#VALUE!</v>
      </c>
      <c r="CI37" t="e">
        <f>AND('Planilla_General_03-12-2012_9_3'!F582,"AAAAADy1t1Y=")</f>
        <v>#VALUE!</v>
      </c>
      <c r="CJ37" t="e">
        <f>AND('Planilla_General_03-12-2012_9_3'!G582,"AAAAADy1t1c=")</f>
        <v>#VALUE!</v>
      </c>
      <c r="CK37" t="e">
        <f>AND('Planilla_General_03-12-2012_9_3'!H582,"AAAAADy1t1g=")</f>
        <v>#VALUE!</v>
      </c>
      <c r="CL37" t="e">
        <f>AND('Planilla_General_03-12-2012_9_3'!I582,"AAAAADy1t1k=")</f>
        <v>#VALUE!</v>
      </c>
      <c r="CM37" t="e">
        <f>AND('Planilla_General_03-12-2012_9_3'!J582,"AAAAADy1t1o=")</f>
        <v>#VALUE!</v>
      </c>
      <c r="CN37" t="e">
        <f>AND('Planilla_General_03-12-2012_9_3'!K582,"AAAAADy1t1s=")</f>
        <v>#VALUE!</v>
      </c>
      <c r="CO37" t="e">
        <f>AND('Planilla_General_03-12-2012_9_3'!L582,"AAAAADy1t1w=")</f>
        <v>#VALUE!</v>
      </c>
      <c r="CP37" t="e">
        <f>AND('Planilla_General_03-12-2012_9_3'!M582,"AAAAADy1t10=")</f>
        <v>#VALUE!</v>
      </c>
      <c r="CQ37" t="e">
        <f>AND('Planilla_General_03-12-2012_9_3'!N582,"AAAAADy1t14=")</f>
        <v>#VALUE!</v>
      </c>
      <c r="CR37" t="e">
        <f>AND('Planilla_General_03-12-2012_9_3'!O582,"AAAAADy1t18=")</f>
        <v>#VALUE!</v>
      </c>
      <c r="CS37">
        <f>IF('Planilla_General_03-12-2012_9_3'!583:583,"AAAAADy1t2A=",0)</f>
        <v>0</v>
      </c>
      <c r="CT37" t="e">
        <f>AND('Planilla_General_03-12-2012_9_3'!A583,"AAAAADy1t2E=")</f>
        <v>#VALUE!</v>
      </c>
      <c r="CU37" t="e">
        <f>AND('Planilla_General_03-12-2012_9_3'!B583,"AAAAADy1t2I=")</f>
        <v>#VALUE!</v>
      </c>
      <c r="CV37" t="e">
        <f>AND('Planilla_General_03-12-2012_9_3'!C583,"AAAAADy1t2M=")</f>
        <v>#VALUE!</v>
      </c>
      <c r="CW37" t="e">
        <f>AND('Planilla_General_03-12-2012_9_3'!D583,"AAAAADy1t2Q=")</f>
        <v>#VALUE!</v>
      </c>
      <c r="CX37" t="e">
        <f>AND('Planilla_General_03-12-2012_9_3'!E583,"AAAAADy1t2U=")</f>
        <v>#VALUE!</v>
      </c>
      <c r="CY37" t="e">
        <f>AND('Planilla_General_03-12-2012_9_3'!F583,"AAAAADy1t2Y=")</f>
        <v>#VALUE!</v>
      </c>
      <c r="CZ37" t="e">
        <f>AND('Planilla_General_03-12-2012_9_3'!G583,"AAAAADy1t2c=")</f>
        <v>#VALUE!</v>
      </c>
      <c r="DA37" t="e">
        <f>AND('Planilla_General_03-12-2012_9_3'!H583,"AAAAADy1t2g=")</f>
        <v>#VALUE!</v>
      </c>
      <c r="DB37" t="e">
        <f>AND('Planilla_General_03-12-2012_9_3'!I583,"AAAAADy1t2k=")</f>
        <v>#VALUE!</v>
      </c>
      <c r="DC37" t="e">
        <f>AND('Planilla_General_03-12-2012_9_3'!J583,"AAAAADy1t2o=")</f>
        <v>#VALUE!</v>
      </c>
      <c r="DD37" t="e">
        <f>AND('Planilla_General_03-12-2012_9_3'!K583,"AAAAADy1t2s=")</f>
        <v>#VALUE!</v>
      </c>
      <c r="DE37" t="e">
        <f>AND('Planilla_General_03-12-2012_9_3'!L583,"AAAAADy1t2w=")</f>
        <v>#VALUE!</v>
      </c>
      <c r="DF37" t="e">
        <f>AND('Planilla_General_03-12-2012_9_3'!M583,"AAAAADy1t20=")</f>
        <v>#VALUE!</v>
      </c>
      <c r="DG37" t="e">
        <f>AND('Planilla_General_03-12-2012_9_3'!N583,"AAAAADy1t24=")</f>
        <v>#VALUE!</v>
      </c>
      <c r="DH37" t="e">
        <f>AND('Planilla_General_03-12-2012_9_3'!O583,"AAAAADy1t28=")</f>
        <v>#VALUE!</v>
      </c>
      <c r="DI37">
        <f>IF('Planilla_General_03-12-2012_9_3'!584:584,"AAAAADy1t3A=",0)</f>
        <v>0</v>
      </c>
      <c r="DJ37" t="e">
        <f>AND('Planilla_General_03-12-2012_9_3'!A584,"AAAAADy1t3E=")</f>
        <v>#VALUE!</v>
      </c>
      <c r="DK37" t="e">
        <f>AND('Planilla_General_03-12-2012_9_3'!B584,"AAAAADy1t3I=")</f>
        <v>#VALUE!</v>
      </c>
      <c r="DL37" t="e">
        <f>AND('Planilla_General_03-12-2012_9_3'!C584,"AAAAADy1t3M=")</f>
        <v>#VALUE!</v>
      </c>
      <c r="DM37" t="e">
        <f>AND('Planilla_General_03-12-2012_9_3'!D584,"AAAAADy1t3Q=")</f>
        <v>#VALUE!</v>
      </c>
      <c r="DN37" t="e">
        <f>AND('Planilla_General_03-12-2012_9_3'!E584,"AAAAADy1t3U=")</f>
        <v>#VALUE!</v>
      </c>
      <c r="DO37" t="e">
        <f>AND('Planilla_General_03-12-2012_9_3'!F584,"AAAAADy1t3Y=")</f>
        <v>#VALUE!</v>
      </c>
      <c r="DP37" t="e">
        <f>AND('Planilla_General_03-12-2012_9_3'!G584,"AAAAADy1t3c=")</f>
        <v>#VALUE!</v>
      </c>
      <c r="DQ37" t="e">
        <f>AND('Planilla_General_03-12-2012_9_3'!H584,"AAAAADy1t3g=")</f>
        <v>#VALUE!</v>
      </c>
      <c r="DR37" t="e">
        <f>AND('Planilla_General_03-12-2012_9_3'!I584,"AAAAADy1t3k=")</f>
        <v>#VALUE!</v>
      </c>
      <c r="DS37" t="e">
        <f>AND('Planilla_General_03-12-2012_9_3'!J584,"AAAAADy1t3o=")</f>
        <v>#VALUE!</v>
      </c>
      <c r="DT37" t="e">
        <f>AND('Planilla_General_03-12-2012_9_3'!K584,"AAAAADy1t3s=")</f>
        <v>#VALUE!</v>
      </c>
      <c r="DU37" t="e">
        <f>AND('Planilla_General_03-12-2012_9_3'!L584,"AAAAADy1t3w=")</f>
        <v>#VALUE!</v>
      </c>
      <c r="DV37" t="e">
        <f>AND('Planilla_General_03-12-2012_9_3'!M584,"AAAAADy1t30=")</f>
        <v>#VALUE!</v>
      </c>
      <c r="DW37" t="e">
        <f>AND('Planilla_General_03-12-2012_9_3'!N584,"AAAAADy1t34=")</f>
        <v>#VALUE!</v>
      </c>
      <c r="DX37" t="e">
        <f>AND('Planilla_General_03-12-2012_9_3'!O584,"AAAAADy1t38=")</f>
        <v>#VALUE!</v>
      </c>
      <c r="DY37">
        <f>IF('Planilla_General_03-12-2012_9_3'!585:585,"AAAAADy1t4A=",0)</f>
        <v>0</v>
      </c>
      <c r="DZ37" t="e">
        <f>AND('Planilla_General_03-12-2012_9_3'!A585,"AAAAADy1t4E=")</f>
        <v>#VALUE!</v>
      </c>
      <c r="EA37" t="e">
        <f>AND('Planilla_General_03-12-2012_9_3'!B585,"AAAAADy1t4I=")</f>
        <v>#VALUE!</v>
      </c>
      <c r="EB37" t="e">
        <f>AND('Planilla_General_03-12-2012_9_3'!C585,"AAAAADy1t4M=")</f>
        <v>#VALUE!</v>
      </c>
      <c r="EC37" t="e">
        <f>AND('Planilla_General_03-12-2012_9_3'!D585,"AAAAADy1t4Q=")</f>
        <v>#VALUE!</v>
      </c>
      <c r="ED37" t="e">
        <f>AND('Planilla_General_03-12-2012_9_3'!E585,"AAAAADy1t4U=")</f>
        <v>#VALUE!</v>
      </c>
      <c r="EE37" t="e">
        <f>AND('Planilla_General_03-12-2012_9_3'!F585,"AAAAADy1t4Y=")</f>
        <v>#VALUE!</v>
      </c>
      <c r="EF37" t="e">
        <f>AND('Planilla_General_03-12-2012_9_3'!G585,"AAAAADy1t4c=")</f>
        <v>#VALUE!</v>
      </c>
      <c r="EG37" t="e">
        <f>AND('Planilla_General_03-12-2012_9_3'!H585,"AAAAADy1t4g=")</f>
        <v>#VALUE!</v>
      </c>
      <c r="EH37" t="e">
        <f>AND('Planilla_General_03-12-2012_9_3'!I585,"AAAAADy1t4k=")</f>
        <v>#VALUE!</v>
      </c>
      <c r="EI37" t="e">
        <f>AND('Planilla_General_03-12-2012_9_3'!J585,"AAAAADy1t4o=")</f>
        <v>#VALUE!</v>
      </c>
      <c r="EJ37" t="e">
        <f>AND('Planilla_General_03-12-2012_9_3'!K585,"AAAAADy1t4s=")</f>
        <v>#VALUE!</v>
      </c>
      <c r="EK37" t="e">
        <f>AND('Planilla_General_03-12-2012_9_3'!L585,"AAAAADy1t4w=")</f>
        <v>#VALUE!</v>
      </c>
      <c r="EL37" t="e">
        <f>AND('Planilla_General_03-12-2012_9_3'!M585,"AAAAADy1t40=")</f>
        <v>#VALUE!</v>
      </c>
      <c r="EM37" t="e">
        <f>AND('Planilla_General_03-12-2012_9_3'!N585,"AAAAADy1t44=")</f>
        <v>#VALUE!</v>
      </c>
      <c r="EN37" t="e">
        <f>AND('Planilla_General_03-12-2012_9_3'!O585,"AAAAADy1t48=")</f>
        <v>#VALUE!</v>
      </c>
      <c r="EO37">
        <f>IF('Planilla_General_03-12-2012_9_3'!586:586,"AAAAADy1t5A=",0)</f>
        <v>0</v>
      </c>
      <c r="EP37" t="e">
        <f>AND('Planilla_General_03-12-2012_9_3'!A586,"AAAAADy1t5E=")</f>
        <v>#VALUE!</v>
      </c>
      <c r="EQ37" t="e">
        <f>AND('Planilla_General_03-12-2012_9_3'!B586,"AAAAADy1t5I=")</f>
        <v>#VALUE!</v>
      </c>
      <c r="ER37" t="e">
        <f>AND('Planilla_General_03-12-2012_9_3'!C586,"AAAAADy1t5M=")</f>
        <v>#VALUE!</v>
      </c>
      <c r="ES37" t="e">
        <f>AND('Planilla_General_03-12-2012_9_3'!D586,"AAAAADy1t5Q=")</f>
        <v>#VALUE!</v>
      </c>
      <c r="ET37" t="e">
        <f>AND('Planilla_General_03-12-2012_9_3'!E586,"AAAAADy1t5U=")</f>
        <v>#VALUE!</v>
      </c>
      <c r="EU37" t="e">
        <f>AND('Planilla_General_03-12-2012_9_3'!F586,"AAAAADy1t5Y=")</f>
        <v>#VALUE!</v>
      </c>
      <c r="EV37" t="e">
        <f>AND('Planilla_General_03-12-2012_9_3'!G586,"AAAAADy1t5c=")</f>
        <v>#VALUE!</v>
      </c>
      <c r="EW37" t="e">
        <f>AND('Planilla_General_03-12-2012_9_3'!H586,"AAAAADy1t5g=")</f>
        <v>#VALUE!</v>
      </c>
      <c r="EX37" t="e">
        <f>AND('Planilla_General_03-12-2012_9_3'!I586,"AAAAADy1t5k=")</f>
        <v>#VALUE!</v>
      </c>
      <c r="EY37" t="e">
        <f>AND('Planilla_General_03-12-2012_9_3'!J586,"AAAAADy1t5o=")</f>
        <v>#VALUE!</v>
      </c>
      <c r="EZ37" t="e">
        <f>AND('Planilla_General_03-12-2012_9_3'!K586,"AAAAADy1t5s=")</f>
        <v>#VALUE!</v>
      </c>
      <c r="FA37" t="e">
        <f>AND('Planilla_General_03-12-2012_9_3'!L586,"AAAAADy1t5w=")</f>
        <v>#VALUE!</v>
      </c>
      <c r="FB37" t="e">
        <f>AND('Planilla_General_03-12-2012_9_3'!M586,"AAAAADy1t50=")</f>
        <v>#VALUE!</v>
      </c>
      <c r="FC37" t="e">
        <f>AND('Planilla_General_03-12-2012_9_3'!N586,"AAAAADy1t54=")</f>
        <v>#VALUE!</v>
      </c>
      <c r="FD37" t="e">
        <f>AND('Planilla_General_03-12-2012_9_3'!O586,"AAAAADy1t58=")</f>
        <v>#VALUE!</v>
      </c>
      <c r="FE37">
        <f>IF('Planilla_General_03-12-2012_9_3'!587:587,"AAAAADy1t6A=",0)</f>
        <v>0</v>
      </c>
      <c r="FF37" t="e">
        <f>AND('Planilla_General_03-12-2012_9_3'!A587,"AAAAADy1t6E=")</f>
        <v>#VALUE!</v>
      </c>
      <c r="FG37" t="e">
        <f>AND('Planilla_General_03-12-2012_9_3'!B587,"AAAAADy1t6I=")</f>
        <v>#VALUE!</v>
      </c>
      <c r="FH37" t="e">
        <f>AND('Planilla_General_03-12-2012_9_3'!C587,"AAAAADy1t6M=")</f>
        <v>#VALUE!</v>
      </c>
      <c r="FI37" t="e">
        <f>AND('Planilla_General_03-12-2012_9_3'!D587,"AAAAADy1t6Q=")</f>
        <v>#VALUE!</v>
      </c>
      <c r="FJ37" t="e">
        <f>AND('Planilla_General_03-12-2012_9_3'!E587,"AAAAADy1t6U=")</f>
        <v>#VALUE!</v>
      </c>
      <c r="FK37" t="e">
        <f>AND('Planilla_General_03-12-2012_9_3'!F587,"AAAAADy1t6Y=")</f>
        <v>#VALUE!</v>
      </c>
      <c r="FL37" t="e">
        <f>AND('Planilla_General_03-12-2012_9_3'!G587,"AAAAADy1t6c=")</f>
        <v>#VALUE!</v>
      </c>
      <c r="FM37" t="e">
        <f>AND('Planilla_General_03-12-2012_9_3'!H587,"AAAAADy1t6g=")</f>
        <v>#VALUE!</v>
      </c>
      <c r="FN37" t="e">
        <f>AND('Planilla_General_03-12-2012_9_3'!I587,"AAAAADy1t6k=")</f>
        <v>#VALUE!</v>
      </c>
      <c r="FO37" t="e">
        <f>AND('Planilla_General_03-12-2012_9_3'!J587,"AAAAADy1t6o=")</f>
        <v>#VALUE!</v>
      </c>
      <c r="FP37" t="e">
        <f>AND('Planilla_General_03-12-2012_9_3'!K587,"AAAAADy1t6s=")</f>
        <v>#VALUE!</v>
      </c>
      <c r="FQ37" t="e">
        <f>AND('Planilla_General_03-12-2012_9_3'!L587,"AAAAADy1t6w=")</f>
        <v>#VALUE!</v>
      </c>
      <c r="FR37" t="e">
        <f>AND('Planilla_General_03-12-2012_9_3'!M587,"AAAAADy1t60=")</f>
        <v>#VALUE!</v>
      </c>
      <c r="FS37" t="e">
        <f>AND('Planilla_General_03-12-2012_9_3'!N587,"AAAAADy1t64=")</f>
        <v>#VALUE!</v>
      </c>
      <c r="FT37" t="e">
        <f>AND('Planilla_General_03-12-2012_9_3'!O587,"AAAAADy1t68=")</f>
        <v>#VALUE!</v>
      </c>
      <c r="FU37">
        <f>IF('Planilla_General_03-12-2012_9_3'!588:588,"AAAAADy1t7A=",0)</f>
        <v>0</v>
      </c>
      <c r="FV37" t="e">
        <f>AND('Planilla_General_03-12-2012_9_3'!A588,"AAAAADy1t7E=")</f>
        <v>#VALUE!</v>
      </c>
      <c r="FW37" t="e">
        <f>AND('Planilla_General_03-12-2012_9_3'!B588,"AAAAADy1t7I=")</f>
        <v>#VALUE!</v>
      </c>
      <c r="FX37" t="e">
        <f>AND('Planilla_General_03-12-2012_9_3'!C588,"AAAAADy1t7M=")</f>
        <v>#VALUE!</v>
      </c>
      <c r="FY37" t="e">
        <f>AND('Planilla_General_03-12-2012_9_3'!D588,"AAAAADy1t7Q=")</f>
        <v>#VALUE!</v>
      </c>
      <c r="FZ37" t="e">
        <f>AND('Planilla_General_03-12-2012_9_3'!E588,"AAAAADy1t7U=")</f>
        <v>#VALUE!</v>
      </c>
      <c r="GA37" t="e">
        <f>AND('Planilla_General_03-12-2012_9_3'!F588,"AAAAADy1t7Y=")</f>
        <v>#VALUE!</v>
      </c>
      <c r="GB37" t="e">
        <f>AND('Planilla_General_03-12-2012_9_3'!G588,"AAAAADy1t7c=")</f>
        <v>#VALUE!</v>
      </c>
      <c r="GC37" t="e">
        <f>AND('Planilla_General_03-12-2012_9_3'!H588,"AAAAADy1t7g=")</f>
        <v>#VALUE!</v>
      </c>
      <c r="GD37" t="e">
        <f>AND('Planilla_General_03-12-2012_9_3'!I588,"AAAAADy1t7k=")</f>
        <v>#VALUE!</v>
      </c>
      <c r="GE37" t="e">
        <f>AND('Planilla_General_03-12-2012_9_3'!J588,"AAAAADy1t7o=")</f>
        <v>#VALUE!</v>
      </c>
      <c r="GF37" t="e">
        <f>AND('Planilla_General_03-12-2012_9_3'!K588,"AAAAADy1t7s=")</f>
        <v>#VALUE!</v>
      </c>
      <c r="GG37" t="e">
        <f>AND('Planilla_General_03-12-2012_9_3'!L588,"AAAAADy1t7w=")</f>
        <v>#VALUE!</v>
      </c>
      <c r="GH37" t="e">
        <f>AND('Planilla_General_03-12-2012_9_3'!M588,"AAAAADy1t70=")</f>
        <v>#VALUE!</v>
      </c>
      <c r="GI37" t="e">
        <f>AND('Planilla_General_03-12-2012_9_3'!N588,"AAAAADy1t74=")</f>
        <v>#VALUE!</v>
      </c>
      <c r="GJ37" t="e">
        <f>AND('Planilla_General_03-12-2012_9_3'!O588,"AAAAADy1t78=")</f>
        <v>#VALUE!</v>
      </c>
      <c r="GK37">
        <f>IF('Planilla_General_03-12-2012_9_3'!589:589,"AAAAADy1t8A=",0)</f>
        <v>0</v>
      </c>
      <c r="GL37" t="e">
        <f>AND('Planilla_General_03-12-2012_9_3'!A589,"AAAAADy1t8E=")</f>
        <v>#VALUE!</v>
      </c>
      <c r="GM37" t="e">
        <f>AND('Planilla_General_03-12-2012_9_3'!B589,"AAAAADy1t8I=")</f>
        <v>#VALUE!</v>
      </c>
      <c r="GN37" t="e">
        <f>AND('Planilla_General_03-12-2012_9_3'!C589,"AAAAADy1t8M=")</f>
        <v>#VALUE!</v>
      </c>
      <c r="GO37" t="e">
        <f>AND('Planilla_General_03-12-2012_9_3'!D589,"AAAAADy1t8Q=")</f>
        <v>#VALUE!</v>
      </c>
      <c r="GP37" t="e">
        <f>AND('Planilla_General_03-12-2012_9_3'!E589,"AAAAADy1t8U=")</f>
        <v>#VALUE!</v>
      </c>
      <c r="GQ37" t="e">
        <f>AND('Planilla_General_03-12-2012_9_3'!F589,"AAAAADy1t8Y=")</f>
        <v>#VALUE!</v>
      </c>
      <c r="GR37" t="e">
        <f>AND('Planilla_General_03-12-2012_9_3'!G589,"AAAAADy1t8c=")</f>
        <v>#VALUE!</v>
      </c>
      <c r="GS37" t="e">
        <f>AND('Planilla_General_03-12-2012_9_3'!H589,"AAAAADy1t8g=")</f>
        <v>#VALUE!</v>
      </c>
      <c r="GT37" t="e">
        <f>AND('Planilla_General_03-12-2012_9_3'!I589,"AAAAADy1t8k=")</f>
        <v>#VALUE!</v>
      </c>
      <c r="GU37" t="e">
        <f>AND('Planilla_General_03-12-2012_9_3'!J589,"AAAAADy1t8o=")</f>
        <v>#VALUE!</v>
      </c>
      <c r="GV37" t="e">
        <f>AND('Planilla_General_03-12-2012_9_3'!K589,"AAAAADy1t8s=")</f>
        <v>#VALUE!</v>
      </c>
      <c r="GW37" t="e">
        <f>AND('Planilla_General_03-12-2012_9_3'!L589,"AAAAADy1t8w=")</f>
        <v>#VALUE!</v>
      </c>
      <c r="GX37" t="e">
        <f>AND('Planilla_General_03-12-2012_9_3'!M589,"AAAAADy1t80=")</f>
        <v>#VALUE!</v>
      </c>
      <c r="GY37" t="e">
        <f>AND('Planilla_General_03-12-2012_9_3'!N589,"AAAAADy1t84=")</f>
        <v>#VALUE!</v>
      </c>
      <c r="GZ37" t="e">
        <f>AND('Planilla_General_03-12-2012_9_3'!O589,"AAAAADy1t88=")</f>
        <v>#VALUE!</v>
      </c>
      <c r="HA37">
        <f>IF('Planilla_General_03-12-2012_9_3'!590:590,"AAAAADy1t9A=",0)</f>
        <v>0</v>
      </c>
      <c r="HB37" t="e">
        <f>AND('Planilla_General_03-12-2012_9_3'!A590,"AAAAADy1t9E=")</f>
        <v>#VALUE!</v>
      </c>
      <c r="HC37" t="e">
        <f>AND('Planilla_General_03-12-2012_9_3'!B590,"AAAAADy1t9I=")</f>
        <v>#VALUE!</v>
      </c>
      <c r="HD37" t="e">
        <f>AND('Planilla_General_03-12-2012_9_3'!C590,"AAAAADy1t9M=")</f>
        <v>#VALUE!</v>
      </c>
      <c r="HE37" t="e">
        <f>AND('Planilla_General_03-12-2012_9_3'!D590,"AAAAADy1t9Q=")</f>
        <v>#VALUE!</v>
      </c>
      <c r="HF37" t="e">
        <f>AND('Planilla_General_03-12-2012_9_3'!E590,"AAAAADy1t9U=")</f>
        <v>#VALUE!</v>
      </c>
      <c r="HG37" t="e">
        <f>AND('Planilla_General_03-12-2012_9_3'!F590,"AAAAADy1t9Y=")</f>
        <v>#VALUE!</v>
      </c>
      <c r="HH37" t="e">
        <f>AND('Planilla_General_03-12-2012_9_3'!G590,"AAAAADy1t9c=")</f>
        <v>#VALUE!</v>
      </c>
      <c r="HI37" t="e">
        <f>AND('Planilla_General_03-12-2012_9_3'!H590,"AAAAADy1t9g=")</f>
        <v>#VALUE!</v>
      </c>
      <c r="HJ37" t="e">
        <f>AND('Planilla_General_03-12-2012_9_3'!I590,"AAAAADy1t9k=")</f>
        <v>#VALUE!</v>
      </c>
      <c r="HK37" t="e">
        <f>AND('Planilla_General_03-12-2012_9_3'!J590,"AAAAADy1t9o=")</f>
        <v>#VALUE!</v>
      </c>
      <c r="HL37" t="e">
        <f>AND('Planilla_General_03-12-2012_9_3'!K590,"AAAAADy1t9s=")</f>
        <v>#VALUE!</v>
      </c>
      <c r="HM37" t="e">
        <f>AND('Planilla_General_03-12-2012_9_3'!L590,"AAAAADy1t9w=")</f>
        <v>#VALUE!</v>
      </c>
      <c r="HN37" t="e">
        <f>AND('Planilla_General_03-12-2012_9_3'!M590,"AAAAADy1t90=")</f>
        <v>#VALUE!</v>
      </c>
      <c r="HO37" t="e">
        <f>AND('Planilla_General_03-12-2012_9_3'!N590,"AAAAADy1t94=")</f>
        <v>#VALUE!</v>
      </c>
      <c r="HP37" t="e">
        <f>AND('Planilla_General_03-12-2012_9_3'!O590,"AAAAADy1t98=")</f>
        <v>#VALUE!</v>
      </c>
      <c r="HQ37">
        <f>IF('Planilla_General_03-12-2012_9_3'!591:591,"AAAAADy1t+A=",0)</f>
        <v>0</v>
      </c>
      <c r="HR37" t="e">
        <f>AND('Planilla_General_03-12-2012_9_3'!A591,"AAAAADy1t+E=")</f>
        <v>#VALUE!</v>
      </c>
      <c r="HS37" t="e">
        <f>AND('Planilla_General_03-12-2012_9_3'!B591,"AAAAADy1t+I=")</f>
        <v>#VALUE!</v>
      </c>
      <c r="HT37" t="e">
        <f>AND('Planilla_General_03-12-2012_9_3'!C591,"AAAAADy1t+M=")</f>
        <v>#VALUE!</v>
      </c>
      <c r="HU37" t="e">
        <f>AND('Planilla_General_03-12-2012_9_3'!D591,"AAAAADy1t+Q=")</f>
        <v>#VALUE!</v>
      </c>
      <c r="HV37" t="e">
        <f>AND('Planilla_General_03-12-2012_9_3'!E591,"AAAAADy1t+U=")</f>
        <v>#VALUE!</v>
      </c>
      <c r="HW37" t="e">
        <f>AND('Planilla_General_03-12-2012_9_3'!F591,"AAAAADy1t+Y=")</f>
        <v>#VALUE!</v>
      </c>
      <c r="HX37" t="e">
        <f>AND('Planilla_General_03-12-2012_9_3'!G591,"AAAAADy1t+c=")</f>
        <v>#VALUE!</v>
      </c>
      <c r="HY37" t="e">
        <f>AND('Planilla_General_03-12-2012_9_3'!H591,"AAAAADy1t+g=")</f>
        <v>#VALUE!</v>
      </c>
      <c r="HZ37" t="e">
        <f>AND('Planilla_General_03-12-2012_9_3'!I591,"AAAAADy1t+k=")</f>
        <v>#VALUE!</v>
      </c>
      <c r="IA37" t="e">
        <f>AND('Planilla_General_03-12-2012_9_3'!J591,"AAAAADy1t+o=")</f>
        <v>#VALUE!</v>
      </c>
      <c r="IB37" t="e">
        <f>AND('Planilla_General_03-12-2012_9_3'!K591,"AAAAADy1t+s=")</f>
        <v>#VALUE!</v>
      </c>
      <c r="IC37" t="e">
        <f>AND('Planilla_General_03-12-2012_9_3'!L591,"AAAAADy1t+w=")</f>
        <v>#VALUE!</v>
      </c>
      <c r="ID37" t="e">
        <f>AND('Planilla_General_03-12-2012_9_3'!M591,"AAAAADy1t+0=")</f>
        <v>#VALUE!</v>
      </c>
      <c r="IE37" t="e">
        <f>AND('Planilla_General_03-12-2012_9_3'!N591,"AAAAADy1t+4=")</f>
        <v>#VALUE!</v>
      </c>
      <c r="IF37" t="e">
        <f>AND('Planilla_General_03-12-2012_9_3'!O591,"AAAAADy1t+8=")</f>
        <v>#VALUE!</v>
      </c>
      <c r="IG37">
        <f>IF('Planilla_General_03-12-2012_9_3'!592:592,"AAAAADy1t/A=",0)</f>
        <v>0</v>
      </c>
      <c r="IH37" t="e">
        <f>AND('Planilla_General_03-12-2012_9_3'!A592,"AAAAADy1t/E=")</f>
        <v>#VALUE!</v>
      </c>
      <c r="II37" t="e">
        <f>AND('Planilla_General_03-12-2012_9_3'!B592,"AAAAADy1t/I=")</f>
        <v>#VALUE!</v>
      </c>
      <c r="IJ37" t="e">
        <f>AND('Planilla_General_03-12-2012_9_3'!C592,"AAAAADy1t/M=")</f>
        <v>#VALUE!</v>
      </c>
      <c r="IK37" t="e">
        <f>AND('Planilla_General_03-12-2012_9_3'!D592,"AAAAADy1t/Q=")</f>
        <v>#VALUE!</v>
      </c>
      <c r="IL37" t="e">
        <f>AND('Planilla_General_03-12-2012_9_3'!E592,"AAAAADy1t/U=")</f>
        <v>#VALUE!</v>
      </c>
      <c r="IM37" t="e">
        <f>AND('Planilla_General_03-12-2012_9_3'!F592,"AAAAADy1t/Y=")</f>
        <v>#VALUE!</v>
      </c>
      <c r="IN37" t="e">
        <f>AND('Planilla_General_03-12-2012_9_3'!G592,"AAAAADy1t/c=")</f>
        <v>#VALUE!</v>
      </c>
      <c r="IO37" t="e">
        <f>AND('Planilla_General_03-12-2012_9_3'!H592,"AAAAADy1t/g=")</f>
        <v>#VALUE!</v>
      </c>
      <c r="IP37" t="e">
        <f>AND('Planilla_General_03-12-2012_9_3'!I592,"AAAAADy1t/k=")</f>
        <v>#VALUE!</v>
      </c>
      <c r="IQ37" t="e">
        <f>AND('Planilla_General_03-12-2012_9_3'!J592,"AAAAADy1t/o=")</f>
        <v>#VALUE!</v>
      </c>
      <c r="IR37" t="e">
        <f>AND('Planilla_General_03-12-2012_9_3'!K592,"AAAAADy1t/s=")</f>
        <v>#VALUE!</v>
      </c>
      <c r="IS37" t="e">
        <f>AND('Planilla_General_03-12-2012_9_3'!L592,"AAAAADy1t/w=")</f>
        <v>#VALUE!</v>
      </c>
      <c r="IT37" t="e">
        <f>AND('Planilla_General_03-12-2012_9_3'!M592,"AAAAADy1t/0=")</f>
        <v>#VALUE!</v>
      </c>
      <c r="IU37" t="e">
        <f>AND('Planilla_General_03-12-2012_9_3'!N592,"AAAAADy1t/4=")</f>
        <v>#VALUE!</v>
      </c>
      <c r="IV37" t="e">
        <f>AND('Planilla_General_03-12-2012_9_3'!O592,"AAAAADy1t/8=")</f>
        <v>#VALUE!</v>
      </c>
    </row>
    <row r="38" spans="1:256" x14ac:dyDescent="0.25">
      <c r="A38" t="e">
        <f>IF('Planilla_General_03-12-2012_9_3'!593:593,"AAAAAH7y9wA=",0)</f>
        <v>#VALUE!</v>
      </c>
      <c r="B38" t="e">
        <f>AND('Planilla_General_03-12-2012_9_3'!A593,"AAAAAH7y9wE=")</f>
        <v>#VALUE!</v>
      </c>
      <c r="C38" t="e">
        <f>AND('Planilla_General_03-12-2012_9_3'!B593,"AAAAAH7y9wI=")</f>
        <v>#VALUE!</v>
      </c>
      <c r="D38" t="e">
        <f>AND('Planilla_General_03-12-2012_9_3'!C593,"AAAAAH7y9wM=")</f>
        <v>#VALUE!</v>
      </c>
      <c r="E38" t="e">
        <f>AND('Planilla_General_03-12-2012_9_3'!D593,"AAAAAH7y9wQ=")</f>
        <v>#VALUE!</v>
      </c>
      <c r="F38" t="e">
        <f>AND('Planilla_General_03-12-2012_9_3'!E593,"AAAAAH7y9wU=")</f>
        <v>#VALUE!</v>
      </c>
      <c r="G38" t="e">
        <f>AND('Planilla_General_03-12-2012_9_3'!F593,"AAAAAH7y9wY=")</f>
        <v>#VALUE!</v>
      </c>
      <c r="H38" t="e">
        <f>AND('Planilla_General_03-12-2012_9_3'!G593,"AAAAAH7y9wc=")</f>
        <v>#VALUE!</v>
      </c>
      <c r="I38" t="e">
        <f>AND('Planilla_General_03-12-2012_9_3'!H593,"AAAAAH7y9wg=")</f>
        <v>#VALUE!</v>
      </c>
      <c r="J38" t="e">
        <f>AND('Planilla_General_03-12-2012_9_3'!I593,"AAAAAH7y9wk=")</f>
        <v>#VALUE!</v>
      </c>
      <c r="K38" t="e">
        <f>AND('Planilla_General_03-12-2012_9_3'!J593,"AAAAAH7y9wo=")</f>
        <v>#VALUE!</v>
      </c>
      <c r="L38" t="e">
        <f>AND('Planilla_General_03-12-2012_9_3'!K593,"AAAAAH7y9ws=")</f>
        <v>#VALUE!</v>
      </c>
      <c r="M38" t="e">
        <f>AND('Planilla_General_03-12-2012_9_3'!L593,"AAAAAH7y9ww=")</f>
        <v>#VALUE!</v>
      </c>
      <c r="N38" t="e">
        <f>AND('Planilla_General_03-12-2012_9_3'!M593,"AAAAAH7y9w0=")</f>
        <v>#VALUE!</v>
      </c>
      <c r="O38" t="e">
        <f>AND('Planilla_General_03-12-2012_9_3'!N593,"AAAAAH7y9w4=")</f>
        <v>#VALUE!</v>
      </c>
      <c r="P38" t="e">
        <f>AND('Planilla_General_03-12-2012_9_3'!O593,"AAAAAH7y9w8=")</f>
        <v>#VALUE!</v>
      </c>
      <c r="Q38">
        <f>IF('Planilla_General_03-12-2012_9_3'!594:594,"AAAAAH7y9xA=",0)</f>
        <v>0</v>
      </c>
      <c r="R38" t="e">
        <f>AND('Planilla_General_03-12-2012_9_3'!A594,"AAAAAH7y9xE=")</f>
        <v>#VALUE!</v>
      </c>
      <c r="S38" t="e">
        <f>AND('Planilla_General_03-12-2012_9_3'!B594,"AAAAAH7y9xI=")</f>
        <v>#VALUE!</v>
      </c>
      <c r="T38" t="e">
        <f>AND('Planilla_General_03-12-2012_9_3'!C594,"AAAAAH7y9xM=")</f>
        <v>#VALUE!</v>
      </c>
      <c r="U38" t="e">
        <f>AND('Planilla_General_03-12-2012_9_3'!D594,"AAAAAH7y9xQ=")</f>
        <v>#VALUE!</v>
      </c>
      <c r="V38" t="e">
        <f>AND('Planilla_General_03-12-2012_9_3'!E594,"AAAAAH7y9xU=")</f>
        <v>#VALUE!</v>
      </c>
      <c r="W38" t="e">
        <f>AND('Planilla_General_03-12-2012_9_3'!F594,"AAAAAH7y9xY=")</f>
        <v>#VALUE!</v>
      </c>
      <c r="X38" t="e">
        <f>AND('Planilla_General_03-12-2012_9_3'!G594,"AAAAAH7y9xc=")</f>
        <v>#VALUE!</v>
      </c>
      <c r="Y38" t="e">
        <f>AND('Planilla_General_03-12-2012_9_3'!H594,"AAAAAH7y9xg=")</f>
        <v>#VALUE!</v>
      </c>
      <c r="Z38" t="e">
        <f>AND('Planilla_General_03-12-2012_9_3'!I594,"AAAAAH7y9xk=")</f>
        <v>#VALUE!</v>
      </c>
      <c r="AA38" t="e">
        <f>AND('Planilla_General_03-12-2012_9_3'!J594,"AAAAAH7y9xo=")</f>
        <v>#VALUE!</v>
      </c>
      <c r="AB38" t="e">
        <f>AND('Planilla_General_03-12-2012_9_3'!K594,"AAAAAH7y9xs=")</f>
        <v>#VALUE!</v>
      </c>
      <c r="AC38" t="e">
        <f>AND('Planilla_General_03-12-2012_9_3'!L594,"AAAAAH7y9xw=")</f>
        <v>#VALUE!</v>
      </c>
      <c r="AD38" t="e">
        <f>AND('Planilla_General_03-12-2012_9_3'!M594,"AAAAAH7y9x0=")</f>
        <v>#VALUE!</v>
      </c>
      <c r="AE38" t="e">
        <f>AND('Planilla_General_03-12-2012_9_3'!N594,"AAAAAH7y9x4=")</f>
        <v>#VALUE!</v>
      </c>
      <c r="AF38" t="e">
        <f>AND('Planilla_General_03-12-2012_9_3'!O594,"AAAAAH7y9x8=")</f>
        <v>#VALUE!</v>
      </c>
      <c r="AG38">
        <f>IF('Planilla_General_03-12-2012_9_3'!595:595,"AAAAAH7y9yA=",0)</f>
        <v>0</v>
      </c>
      <c r="AH38" t="e">
        <f>AND('Planilla_General_03-12-2012_9_3'!A595,"AAAAAH7y9yE=")</f>
        <v>#VALUE!</v>
      </c>
      <c r="AI38" t="e">
        <f>AND('Planilla_General_03-12-2012_9_3'!B595,"AAAAAH7y9yI=")</f>
        <v>#VALUE!</v>
      </c>
      <c r="AJ38" t="e">
        <f>AND('Planilla_General_03-12-2012_9_3'!C595,"AAAAAH7y9yM=")</f>
        <v>#VALUE!</v>
      </c>
      <c r="AK38" t="e">
        <f>AND('Planilla_General_03-12-2012_9_3'!D595,"AAAAAH7y9yQ=")</f>
        <v>#VALUE!</v>
      </c>
      <c r="AL38" t="e">
        <f>AND('Planilla_General_03-12-2012_9_3'!E595,"AAAAAH7y9yU=")</f>
        <v>#VALUE!</v>
      </c>
      <c r="AM38" t="e">
        <f>AND('Planilla_General_03-12-2012_9_3'!F595,"AAAAAH7y9yY=")</f>
        <v>#VALUE!</v>
      </c>
      <c r="AN38" t="e">
        <f>AND('Planilla_General_03-12-2012_9_3'!G595,"AAAAAH7y9yc=")</f>
        <v>#VALUE!</v>
      </c>
      <c r="AO38" t="e">
        <f>AND('Planilla_General_03-12-2012_9_3'!H595,"AAAAAH7y9yg=")</f>
        <v>#VALUE!</v>
      </c>
      <c r="AP38" t="e">
        <f>AND('Planilla_General_03-12-2012_9_3'!I595,"AAAAAH7y9yk=")</f>
        <v>#VALUE!</v>
      </c>
      <c r="AQ38" t="e">
        <f>AND('Planilla_General_03-12-2012_9_3'!J595,"AAAAAH7y9yo=")</f>
        <v>#VALUE!</v>
      </c>
      <c r="AR38" t="e">
        <f>AND('Planilla_General_03-12-2012_9_3'!K595,"AAAAAH7y9ys=")</f>
        <v>#VALUE!</v>
      </c>
      <c r="AS38" t="e">
        <f>AND('Planilla_General_03-12-2012_9_3'!L595,"AAAAAH7y9yw=")</f>
        <v>#VALUE!</v>
      </c>
      <c r="AT38" t="e">
        <f>AND('Planilla_General_03-12-2012_9_3'!M595,"AAAAAH7y9y0=")</f>
        <v>#VALUE!</v>
      </c>
      <c r="AU38" t="e">
        <f>AND('Planilla_General_03-12-2012_9_3'!N595,"AAAAAH7y9y4=")</f>
        <v>#VALUE!</v>
      </c>
      <c r="AV38" t="e">
        <f>AND('Planilla_General_03-12-2012_9_3'!O595,"AAAAAH7y9y8=")</f>
        <v>#VALUE!</v>
      </c>
      <c r="AW38">
        <f>IF('Planilla_General_03-12-2012_9_3'!596:596,"AAAAAH7y9zA=",0)</f>
        <v>0</v>
      </c>
      <c r="AX38" t="e">
        <f>AND('Planilla_General_03-12-2012_9_3'!A596,"AAAAAH7y9zE=")</f>
        <v>#VALUE!</v>
      </c>
      <c r="AY38" t="e">
        <f>AND('Planilla_General_03-12-2012_9_3'!B596,"AAAAAH7y9zI=")</f>
        <v>#VALUE!</v>
      </c>
      <c r="AZ38" t="e">
        <f>AND('Planilla_General_03-12-2012_9_3'!C596,"AAAAAH7y9zM=")</f>
        <v>#VALUE!</v>
      </c>
      <c r="BA38" t="e">
        <f>AND('Planilla_General_03-12-2012_9_3'!D596,"AAAAAH7y9zQ=")</f>
        <v>#VALUE!</v>
      </c>
      <c r="BB38" t="e">
        <f>AND('Planilla_General_03-12-2012_9_3'!E596,"AAAAAH7y9zU=")</f>
        <v>#VALUE!</v>
      </c>
      <c r="BC38" t="e">
        <f>AND('Planilla_General_03-12-2012_9_3'!F596,"AAAAAH7y9zY=")</f>
        <v>#VALUE!</v>
      </c>
      <c r="BD38" t="e">
        <f>AND('Planilla_General_03-12-2012_9_3'!G596,"AAAAAH7y9zc=")</f>
        <v>#VALUE!</v>
      </c>
      <c r="BE38" t="e">
        <f>AND('Planilla_General_03-12-2012_9_3'!H596,"AAAAAH7y9zg=")</f>
        <v>#VALUE!</v>
      </c>
      <c r="BF38" t="e">
        <f>AND('Planilla_General_03-12-2012_9_3'!I596,"AAAAAH7y9zk=")</f>
        <v>#VALUE!</v>
      </c>
      <c r="BG38" t="e">
        <f>AND('Planilla_General_03-12-2012_9_3'!J596,"AAAAAH7y9zo=")</f>
        <v>#VALUE!</v>
      </c>
      <c r="BH38" t="e">
        <f>AND('Planilla_General_03-12-2012_9_3'!K596,"AAAAAH7y9zs=")</f>
        <v>#VALUE!</v>
      </c>
      <c r="BI38" t="e">
        <f>AND('Planilla_General_03-12-2012_9_3'!L596,"AAAAAH7y9zw=")</f>
        <v>#VALUE!</v>
      </c>
      <c r="BJ38" t="e">
        <f>AND('Planilla_General_03-12-2012_9_3'!M596,"AAAAAH7y9z0=")</f>
        <v>#VALUE!</v>
      </c>
      <c r="BK38" t="e">
        <f>AND('Planilla_General_03-12-2012_9_3'!N596,"AAAAAH7y9z4=")</f>
        <v>#VALUE!</v>
      </c>
      <c r="BL38" t="e">
        <f>AND('Planilla_General_03-12-2012_9_3'!O596,"AAAAAH7y9z8=")</f>
        <v>#VALUE!</v>
      </c>
      <c r="BM38">
        <f>IF('Planilla_General_03-12-2012_9_3'!597:597,"AAAAAH7y90A=",0)</f>
        <v>0</v>
      </c>
      <c r="BN38" t="e">
        <f>AND('Planilla_General_03-12-2012_9_3'!A597,"AAAAAH7y90E=")</f>
        <v>#VALUE!</v>
      </c>
      <c r="BO38" t="e">
        <f>AND('Planilla_General_03-12-2012_9_3'!B597,"AAAAAH7y90I=")</f>
        <v>#VALUE!</v>
      </c>
      <c r="BP38" t="e">
        <f>AND('Planilla_General_03-12-2012_9_3'!C597,"AAAAAH7y90M=")</f>
        <v>#VALUE!</v>
      </c>
      <c r="BQ38" t="e">
        <f>AND('Planilla_General_03-12-2012_9_3'!D597,"AAAAAH7y90Q=")</f>
        <v>#VALUE!</v>
      </c>
      <c r="BR38" t="e">
        <f>AND('Planilla_General_03-12-2012_9_3'!E597,"AAAAAH7y90U=")</f>
        <v>#VALUE!</v>
      </c>
      <c r="BS38" t="e">
        <f>AND('Planilla_General_03-12-2012_9_3'!F597,"AAAAAH7y90Y=")</f>
        <v>#VALUE!</v>
      </c>
      <c r="BT38" t="e">
        <f>AND('Planilla_General_03-12-2012_9_3'!G597,"AAAAAH7y90c=")</f>
        <v>#VALUE!</v>
      </c>
      <c r="BU38" t="e">
        <f>AND('Planilla_General_03-12-2012_9_3'!H597,"AAAAAH7y90g=")</f>
        <v>#VALUE!</v>
      </c>
      <c r="BV38" t="e">
        <f>AND('Planilla_General_03-12-2012_9_3'!I597,"AAAAAH7y90k=")</f>
        <v>#VALUE!</v>
      </c>
      <c r="BW38" t="e">
        <f>AND('Planilla_General_03-12-2012_9_3'!J597,"AAAAAH7y90o=")</f>
        <v>#VALUE!</v>
      </c>
      <c r="BX38" t="e">
        <f>AND('Planilla_General_03-12-2012_9_3'!K597,"AAAAAH7y90s=")</f>
        <v>#VALUE!</v>
      </c>
      <c r="BY38" t="e">
        <f>AND('Planilla_General_03-12-2012_9_3'!L597,"AAAAAH7y90w=")</f>
        <v>#VALUE!</v>
      </c>
      <c r="BZ38" t="e">
        <f>AND('Planilla_General_03-12-2012_9_3'!M597,"AAAAAH7y900=")</f>
        <v>#VALUE!</v>
      </c>
      <c r="CA38" t="e">
        <f>AND('Planilla_General_03-12-2012_9_3'!N597,"AAAAAH7y904=")</f>
        <v>#VALUE!</v>
      </c>
      <c r="CB38" t="e">
        <f>AND('Planilla_General_03-12-2012_9_3'!O597,"AAAAAH7y908=")</f>
        <v>#VALUE!</v>
      </c>
      <c r="CC38">
        <f>IF('Planilla_General_03-12-2012_9_3'!598:598,"AAAAAH7y91A=",0)</f>
        <v>0</v>
      </c>
      <c r="CD38" t="e">
        <f>AND('Planilla_General_03-12-2012_9_3'!A598,"AAAAAH7y91E=")</f>
        <v>#VALUE!</v>
      </c>
      <c r="CE38" t="e">
        <f>AND('Planilla_General_03-12-2012_9_3'!B598,"AAAAAH7y91I=")</f>
        <v>#VALUE!</v>
      </c>
      <c r="CF38" t="e">
        <f>AND('Planilla_General_03-12-2012_9_3'!C598,"AAAAAH7y91M=")</f>
        <v>#VALUE!</v>
      </c>
      <c r="CG38" t="e">
        <f>AND('Planilla_General_03-12-2012_9_3'!D598,"AAAAAH7y91Q=")</f>
        <v>#VALUE!</v>
      </c>
      <c r="CH38" t="e">
        <f>AND('Planilla_General_03-12-2012_9_3'!E598,"AAAAAH7y91U=")</f>
        <v>#VALUE!</v>
      </c>
      <c r="CI38" t="e">
        <f>AND('Planilla_General_03-12-2012_9_3'!F598,"AAAAAH7y91Y=")</f>
        <v>#VALUE!</v>
      </c>
      <c r="CJ38" t="e">
        <f>AND('Planilla_General_03-12-2012_9_3'!G598,"AAAAAH7y91c=")</f>
        <v>#VALUE!</v>
      </c>
      <c r="CK38" t="e">
        <f>AND('Planilla_General_03-12-2012_9_3'!H598,"AAAAAH7y91g=")</f>
        <v>#VALUE!</v>
      </c>
      <c r="CL38" t="e">
        <f>AND('Planilla_General_03-12-2012_9_3'!I598,"AAAAAH7y91k=")</f>
        <v>#VALUE!</v>
      </c>
      <c r="CM38" t="e">
        <f>AND('Planilla_General_03-12-2012_9_3'!J598,"AAAAAH7y91o=")</f>
        <v>#VALUE!</v>
      </c>
      <c r="CN38" t="e">
        <f>AND('Planilla_General_03-12-2012_9_3'!K598,"AAAAAH7y91s=")</f>
        <v>#VALUE!</v>
      </c>
      <c r="CO38" t="e">
        <f>AND('Planilla_General_03-12-2012_9_3'!L598,"AAAAAH7y91w=")</f>
        <v>#VALUE!</v>
      </c>
      <c r="CP38" t="e">
        <f>AND('Planilla_General_03-12-2012_9_3'!M598,"AAAAAH7y910=")</f>
        <v>#VALUE!</v>
      </c>
      <c r="CQ38" t="e">
        <f>AND('Planilla_General_03-12-2012_9_3'!N598,"AAAAAH7y914=")</f>
        <v>#VALUE!</v>
      </c>
      <c r="CR38" t="e">
        <f>AND('Planilla_General_03-12-2012_9_3'!O598,"AAAAAH7y918=")</f>
        <v>#VALUE!</v>
      </c>
      <c r="CS38">
        <f>IF('Planilla_General_03-12-2012_9_3'!599:599,"AAAAAH7y92A=",0)</f>
        <v>0</v>
      </c>
      <c r="CT38" t="e">
        <f>AND('Planilla_General_03-12-2012_9_3'!A599,"AAAAAH7y92E=")</f>
        <v>#VALUE!</v>
      </c>
      <c r="CU38" t="e">
        <f>AND('Planilla_General_03-12-2012_9_3'!B599,"AAAAAH7y92I=")</f>
        <v>#VALUE!</v>
      </c>
      <c r="CV38" t="e">
        <f>AND('Planilla_General_03-12-2012_9_3'!C599,"AAAAAH7y92M=")</f>
        <v>#VALUE!</v>
      </c>
      <c r="CW38" t="e">
        <f>AND('Planilla_General_03-12-2012_9_3'!D599,"AAAAAH7y92Q=")</f>
        <v>#VALUE!</v>
      </c>
      <c r="CX38" t="e">
        <f>AND('Planilla_General_03-12-2012_9_3'!E599,"AAAAAH7y92U=")</f>
        <v>#VALUE!</v>
      </c>
      <c r="CY38" t="e">
        <f>AND('Planilla_General_03-12-2012_9_3'!F599,"AAAAAH7y92Y=")</f>
        <v>#VALUE!</v>
      </c>
      <c r="CZ38" t="e">
        <f>AND('Planilla_General_03-12-2012_9_3'!G599,"AAAAAH7y92c=")</f>
        <v>#VALUE!</v>
      </c>
      <c r="DA38" t="e">
        <f>AND('Planilla_General_03-12-2012_9_3'!H599,"AAAAAH7y92g=")</f>
        <v>#VALUE!</v>
      </c>
      <c r="DB38" t="e">
        <f>AND('Planilla_General_03-12-2012_9_3'!I599,"AAAAAH7y92k=")</f>
        <v>#VALUE!</v>
      </c>
      <c r="DC38" t="e">
        <f>AND('Planilla_General_03-12-2012_9_3'!J599,"AAAAAH7y92o=")</f>
        <v>#VALUE!</v>
      </c>
      <c r="DD38" t="e">
        <f>AND('Planilla_General_03-12-2012_9_3'!K599,"AAAAAH7y92s=")</f>
        <v>#VALUE!</v>
      </c>
      <c r="DE38" t="e">
        <f>AND('Planilla_General_03-12-2012_9_3'!L599,"AAAAAH7y92w=")</f>
        <v>#VALUE!</v>
      </c>
      <c r="DF38" t="e">
        <f>AND('Planilla_General_03-12-2012_9_3'!M599,"AAAAAH7y920=")</f>
        <v>#VALUE!</v>
      </c>
      <c r="DG38" t="e">
        <f>AND('Planilla_General_03-12-2012_9_3'!N599,"AAAAAH7y924=")</f>
        <v>#VALUE!</v>
      </c>
      <c r="DH38" t="e">
        <f>AND('Planilla_General_03-12-2012_9_3'!O599,"AAAAAH7y928=")</f>
        <v>#VALUE!</v>
      </c>
      <c r="DI38">
        <f>IF('Planilla_General_03-12-2012_9_3'!600:600,"AAAAAH7y93A=",0)</f>
        <v>0</v>
      </c>
      <c r="DJ38" t="e">
        <f>AND('Planilla_General_03-12-2012_9_3'!A600,"AAAAAH7y93E=")</f>
        <v>#VALUE!</v>
      </c>
      <c r="DK38" t="e">
        <f>AND('Planilla_General_03-12-2012_9_3'!B600,"AAAAAH7y93I=")</f>
        <v>#VALUE!</v>
      </c>
      <c r="DL38" t="e">
        <f>AND('Planilla_General_03-12-2012_9_3'!C600,"AAAAAH7y93M=")</f>
        <v>#VALUE!</v>
      </c>
      <c r="DM38" t="e">
        <f>AND('Planilla_General_03-12-2012_9_3'!D600,"AAAAAH7y93Q=")</f>
        <v>#VALUE!</v>
      </c>
      <c r="DN38" t="e">
        <f>AND('Planilla_General_03-12-2012_9_3'!E600,"AAAAAH7y93U=")</f>
        <v>#VALUE!</v>
      </c>
      <c r="DO38" t="e">
        <f>AND('Planilla_General_03-12-2012_9_3'!F600,"AAAAAH7y93Y=")</f>
        <v>#VALUE!</v>
      </c>
      <c r="DP38" t="e">
        <f>AND('Planilla_General_03-12-2012_9_3'!G600,"AAAAAH7y93c=")</f>
        <v>#VALUE!</v>
      </c>
      <c r="DQ38" t="e">
        <f>AND('Planilla_General_03-12-2012_9_3'!H600,"AAAAAH7y93g=")</f>
        <v>#VALUE!</v>
      </c>
      <c r="DR38" t="e">
        <f>AND('Planilla_General_03-12-2012_9_3'!I600,"AAAAAH7y93k=")</f>
        <v>#VALUE!</v>
      </c>
      <c r="DS38" t="e">
        <f>AND('Planilla_General_03-12-2012_9_3'!J600,"AAAAAH7y93o=")</f>
        <v>#VALUE!</v>
      </c>
      <c r="DT38" t="e">
        <f>AND('Planilla_General_03-12-2012_9_3'!K600,"AAAAAH7y93s=")</f>
        <v>#VALUE!</v>
      </c>
      <c r="DU38" t="e">
        <f>AND('Planilla_General_03-12-2012_9_3'!L600,"AAAAAH7y93w=")</f>
        <v>#VALUE!</v>
      </c>
      <c r="DV38" t="e">
        <f>AND('Planilla_General_03-12-2012_9_3'!M600,"AAAAAH7y930=")</f>
        <v>#VALUE!</v>
      </c>
      <c r="DW38" t="e">
        <f>AND('Planilla_General_03-12-2012_9_3'!N600,"AAAAAH7y934=")</f>
        <v>#VALUE!</v>
      </c>
      <c r="DX38" t="e">
        <f>AND('Planilla_General_03-12-2012_9_3'!O600,"AAAAAH7y938=")</f>
        <v>#VALUE!</v>
      </c>
      <c r="DY38">
        <f>IF('Planilla_General_03-12-2012_9_3'!601:601,"AAAAAH7y94A=",0)</f>
        <v>0</v>
      </c>
      <c r="DZ38" t="e">
        <f>AND('Planilla_General_03-12-2012_9_3'!A601,"AAAAAH7y94E=")</f>
        <v>#VALUE!</v>
      </c>
      <c r="EA38" t="e">
        <f>AND('Planilla_General_03-12-2012_9_3'!B601,"AAAAAH7y94I=")</f>
        <v>#VALUE!</v>
      </c>
      <c r="EB38" t="e">
        <f>AND('Planilla_General_03-12-2012_9_3'!C601,"AAAAAH7y94M=")</f>
        <v>#VALUE!</v>
      </c>
      <c r="EC38" t="e">
        <f>AND('Planilla_General_03-12-2012_9_3'!D601,"AAAAAH7y94Q=")</f>
        <v>#VALUE!</v>
      </c>
      <c r="ED38" t="e">
        <f>AND('Planilla_General_03-12-2012_9_3'!E601,"AAAAAH7y94U=")</f>
        <v>#VALUE!</v>
      </c>
      <c r="EE38" t="e">
        <f>AND('Planilla_General_03-12-2012_9_3'!F601,"AAAAAH7y94Y=")</f>
        <v>#VALUE!</v>
      </c>
      <c r="EF38" t="e">
        <f>AND('Planilla_General_03-12-2012_9_3'!G601,"AAAAAH7y94c=")</f>
        <v>#VALUE!</v>
      </c>
      <c r="EG38" t="e">
        <f>AND('Planilla_General_03-12-2012_9_3'!H601,"AAAAAH7y94g=")</f>
        <v>#VALUE!</v>
      </c>
      <c r="EH38" t="e">
        <f>AND('Planilla_General_03-12-2012_9_3'!I601,"AAAAAH7y94k=")</f>
        <v>#VALUE!</v>
      </c>
      <c r="EI38" t="e">
        <f>AND('Planilla_General_03-12-2012_9_3'!J601,"AAAAAH7y94o=")</f>
        <v>#VALUE!</v>
      </c>
      <c r="EJ38" t="e">
        <f>AND('Planilla_General_03-12-2012_9_3'!K601,"AAAAAH7y94s=")</f>
        <v>#VALUE!</v>
      </c>
      <c r="EK38" t="e">
        <f>AND('Planilla_General_03-12-2012_9_3'!L601,"AAAAAH7y94w=")</f>
        <v>#VALUE!</v>
      </c>
      <c r="EL38" t="e">
        <f>AND('Planilla_General_03-12-2012_9_3'!M601,"AAAAAH7y940=")</f>
        <v>#VALUE!</v>
      </c>
      <c r="EM38" t="e">
        <f>AND('Planilla_General_03-12-2012_9_3'!N601,"AAAAAH7y944=")</f>
        <v>#VALUE!</v>
      </c>
      <c r="EN38" t="e">
        <f>AND('Planilla_General_03-12-2012_9_3'!O601,"AAAAAH7y948=")</f>
        <v>#VALUE!</v>
      </c>
      <c r="EO38">
        <f>IF('Planilla_General_03-12-2012_9_3'!602:602,"AAAAAH7y95A=",0)</f>
        <v>0</v>
      </c>
      <c r="EP38" t="e">
        <f>AND('Planilla_General_03-12-2012_9_3'!A602,"AAAAAH7y95E=")</f>
        <v>#VALUE!</v>
      </c>
      <c r="EQ38" t="e">
        <f>AND('Planilla_General_03-12-2012_9_3'!B602,"AAAAAH7y95I=")</f>
        <v>#VALUE!</v>
      </c>
      <c r="ER38" t="e">
        <f>AND('Planilla_General_03-12-2012_9_3'!C602,"AAAAAH7y95M=")</f>
        <v>#VALUE!</v>
      </c>
      <c r="ES38" t="e">
        <f>AND('Planilla_General_03-12-2012_9_3'!D602,"AAAAAH7y95Q=")</f>
        <v>#VALUE!</v>
      </c>
      <c r="ET38" t="e">
        <f>AND('Planilla_General_03-12-2012_9_3'!E602,"AAAAAH7y95U=")</f>
        <v>#VALUE!</v>
      </c>
      <c r="EU38" t="e">
        <f>AND('Planilla_General_03-12-2012_9_3'!F602,"AAAAAH7y95Y=")</f>
        <v>#VALUE!</v>
      </c>
      <c r="EV38" t="e">
        <f>AND('Planilla_General_03-12-2012_9_3'!G602,"AAAAAH7y95c=")</f>
        <v>#VALUE!</v>
      </c>
      <c r="EW38" t="e">
        <f>AND('Planilla_General_03-12-2012_9_3'!H602,"AAAAAH7y95g=")</f>
        <v>#VALUE!</v>
      </c>
      <c r="EX38" t="e">
        <f>AND('Planilla_General_03-12-2012_9_3'!I602,"AAAAAH7y95k=")</f>
        <v>#VALUE!</v>
      </c>
      <c r="EY38" t="e">
        <f>AND('Planilla_General_03-12-2012_9_3'!J602,"AAAAAH7y95o=")</f>
        <v>#VALUE!</v>
      </c>
      <c r="EZ38" t="e">
        <f>AND('Planilla_General_03-12-2012_9_3'!K602,"AAAAAH7y95s=")</f>
        <v>#VALUE!</v>
      </c>
      <c r="FA38" t="e">
        <f>AND('Planilla_General_03-12-2012_9_3'!L602,"AAAAAH7y95w=")</f>
        <v>#VALUE!</v>
      </c>
      <c r="FB38" t="e">
        <f>AND('Planilla_General_03-12-2012_9_3'!M602,"AAAAAH7y950=")</f>
        <v>#VALUE!</v>
      </c>
      <c r="FC38" t="e">
        <f>AND('Planilla_General_03-12-2012_9_3'!N602,"AAAAAH7y954=")</f>
        <v>#VALUE!</v>
      </c>
      <c r="FD38" t="e">
        <f>AND('Planilla_General_03-12-2012_9_3'!O602,"AAAAAH7y958=")</f>
        <v>#VALUE!</v>
      </c>
      <c r="FE38">
        <f>IF('Planilla_General_03-12-2012_9_3'!603:603,"AAAAAH7y96A=",0)</f>
        <v>0</v>
      </c>
      <c r="FF38" t="e">
        <f>AND('Planilla_General_03-12-2012_9_3'!A603,"AAAAAH7y96E=")</f>
        <v>#VALUE!</v>
      </c>
      <c r="FG38" t="e">
        <f>AND('Planilla_General_03-12-2012_9_3'!B603,"AAAAAH7y96I=")</f>
        <v>#VALUE!</v>
      </c>
      <c r="FH38" t="e">
        <f>AND('Planilla_General_03-12-2012_9_3'!C603,"AAAAAH7y96M=")</f>
        <v>#VALUE!</v>
      </c>
      <c r="FI38" t="e">
        <f>AND('Planilla_General_03-12-2012_9_3'!D603,"AAAAAH7y96Q=")</f>
        <v>#VALUE!</v>
      </c>
      <c r="FJ38" t="e">
        <f>AND('Planilla_General_03-12-2012_9_3'!E603,"AAAAAH7y96U=")</f>
        <v>#VALUE!</v>
      </c>
      <c r="FK38" t="e">
        <f>AND('Planilla_General_03-12-2012_9_3'!F603,"AAAAAH7y96Y=")</f>
        <v>#VALUE!</v>
      </c>
      <c r="FL38" t="e">
        <f>AND('Planilla_General_03-12-2012_9_3'!G603,"AAAAAH7y96c=")</f>
        <v>#VALUE!</v>
      </c>
      <c r="FM38" t="e">
        <f>AND('Planilla_General_03-12-2012_9_3'!H603,"AAAAAH7y96g=")</f>
        <v>#VALUE!</v>
      </c>
      <c r="FN38" t="e">
        <f>AND('Planilla_General_03-12-2012_9_3'!I603,"AAAAAH7y96k=")</f>
        <v>#VALUE!</v>
      </c>
      <c r="FO38" t="e">
        <f>AND('Planilla_General_03-12-2012_9_3'!J603,"AAAAAH7y96o=")</f>
        <v>#VALUE!</v>
      </c>
      <c r="FP38" t="e">
        <f>AND('Planilla_General_03-12-2012_9_3'!K603,"AAAAAH7y96s=")</f>
        <v>#VALUE!</v>
      </c>
      <c r="FQ38" t="e">
        <f>AND('Planilla_General_03-12-2012_9_3'!L603,"AAAAAH7y96w=")</f>
        <v>#VALUE!</v>
      </c>
      <c r="FR38" t="e">
        <f>AND('Planilla_General_03-12-2012_9_3'!M603,"AAAAAH7y960=")</f>
        <v>#VALUE!</v>
      </c>
      <c r="FS38" t="e">
        <f>AND('Planilla_General_03-12-2012_9_3'!N603,"AAAAAH7y964=")</f>
        <v>#VALUE!</v>
      </c>
      <c r="FT38" t="e">
        <f>AND('Planilla_General_03-12-2012_9_3'!O603,"AAAAAH7y968=")</f>
        <v>#VALUE!</v>
      </c>
      <c r="FU38">
        <f>IF('Planilla_General_03-12-2012_9_3'!604:604,"AAAAAH7y97A=",0)</f>
        <v>0</v>
      </c>
      <c r="FV38" t="e">
        <f>AND('Planilla_General_03-12-2012_9_3'!A604,"AAAAAH7y97E=")</f>
        <v>#VALUE!</v>
      </c>
      <c r="FW38" t="e">
        <f>AND('Planilla_General_03-12-2012_9_3'!B604,"AAAAAH7y97I=")</f>
        <v>#VALUE!</v>
      </c>
      <c r="FX38" t="e">
        <f>AND('Planilla_General_03-12-2012_9_3'!C604,"AAAAAH7y97M=")</f>
        <v>#VALUE!</v>
      </c>
      <c r="FY38" t="e">
        <f>AND('Planilla_General_03-12-2012_9_3'!D604,"AAAAAH7y97Q=")</f>
        <v>#VALUE!</v>
      </c>
      <c r="FZ38" t="e">
        <f>AND('Planilla_General_03-12-2012_9_3'!E604,"AAAAAH7y97U=")</f>
        <v>#VALUE!</v>
      </c>
      <c r="GA38" t="e">
        <f>AND('Planilla_General_03-12-2012_9_3'!F604,"AAAAAH7y97Y=")</f>
        <v>#VALUE!</v>
      </c>
      <c r="GB38" t="e">
        <f>AND('Planilla_General_03-12-2012_9_3'!G604,"AAAAAH7y97c=")</f>
        <v>#VALUE!</v>
      </c>
      <c r="GC38" t="e">
        <f>AND('Planilla_General_03-12-2012_9_3'!H604,"AAAAAH7y97g=")</f>
        <v>#VALUE!</v>
      </c>
      <c r="GD38" t="e">
        <f>AND('Planilla_General_03-12-2012_9_3'!I604,"AAAAAH7y97k=")</f>
        <v>#VALUE!</v>
      </c>
      <c r="GE38" t="e">
        <f>AND('Planilla_General_03-12-2012_9_3'!J604,"AAAAAH7y97o=")</f>
        <v>#VALUE!</v>
      </c>
      <c r="GF38" t="e">
        <f>AND('Planilla_General_03-12-2012_9_3'!K604,"AAAAAH7y97s=")</f>
        <v>#VALUE!</v>
      </c>
      <c r="GG38" t="e">
        <f>AND('Planilla_General_03-12-2012_9_3'!L604,"AAAAAH7y97w=")</f>
        <v>#VALUE!</v>
      </c>
      <c r="GH38" t="e">
        <f>AND('Planilla_General_03-12-2012_9_3'!M604,"AAAAAH7y970=")</f>
        <v>#VALUE!</v>
      </c>
      <c r="GI38" t="e">
        <f>AND('Planilla_General_03-12-2012_9_3'!N604,"AAAAAH7y974=")</f>
        <v>#VALUE!</v>
      </c>
      <c r="GJ38" t="e">
        <f>AND('Planilla_General_03-12-2012_9_3'!O604,"AAAAAH7y978=")</f>
        <v>#VALUE!</v>
      </c>
      <c r="GK38">
        <f>IF('Planilla_General_03-12-2012_9_3'!605:605,"AAAAAH7y98A=",0)</f>
        <v>0</v>
      </c>
      <c r="GL38" t="e">
        <f>AND('Planilla_General_03-12-2012_9_3'!A605,"AAAAAH7y98E=")</f>
        <v>#VALUE!</v>
      </c>
      <c r="GM38" t="e">
        <f>AND('Planilla_General_03-12-2012_9_3'!B605,"AAAAAH7y98I=")</f>
        <v>#VALUE!</v>
      </c>
      <c r="GN38" t="e">
        <f>AND('Planilla_General_03-12-2012_9_3'!C605,"AAAAAH7y98M=")</f>
        <v>#VALUE!</v>
      </c>
      <c r="GO38" t="e">
        <f>AND('Planilla_General_03-12-2012_9_3'!D605,"AAAAAH7y98Q=")</f>
        <v>#VALUE!</v>
      </c>
      <c r="GP38" t="e">
        <f>AND('Planilla_General_03-12-2012_9_3'!E605,"AAAAAH7y98U=")</f>
        <v>#VALUE!</v>
      </c>
      <c r="GQ38" t="e">
        <f>AND('Planilla_General_03-12-2012_9_3'!F605,"AAAAAH7y98Y=")</f>
        <v>#VALUE!</v>
      </c>
      <c r="GR38" t="e">
        <f>AND('Planilla_General_03-12-2012_9_3'!G605,"AAAAAH7y98c=")</f>
        <v>#VALUE!</v>
      </c>
      <c r="GS38" t="e">
        <f>AND('Planilla_General_03-12-2012_9_3'!H605,"AAAAAH7y98g=")</f>
        <v>#VALUE!</v>
      </c>
      <c r="GT38" t="e">
        <f>AND('Planilla_General_03-12-2012_9_3'!I605,"AAAAAH7y98k=")</f>
        <v>#VALUE!</v>
      </c>
      <c r="GU38" t="e">
        <f>AND('Planilla_General_03-12-2012_9_3'!J605,"AAAAAH7y98o=")</f>
        <v>#VALUE!</v>
      </c>
      <c r="GV38" t="e">
        <f>AND('Planilla_General_03-12-2012_9_3'!K605,"AAAAAH7y98s=")</f>
        <v>#VALUE!</v>
      </c>
      <c r="GW38" t="e">
        <f>AND('Planilla_General_03-12-2012_9_3'!L605,"AAAAAH7y98w=")</f>
        <v>#VALUE!</v>
      </c>
      <c r="GX38" t="e">
        <f>AND('Planilla_General_03-12-2012_9_3'!M605,"AAAAAH7y980=")</f>
        <v>#VALUE!</v>
      </c>
      <c r="GY38" t="e">
        <f>AND('Planilla_General_03-12-2012_9_3'!N605,"AAAAAH7y984=")</f>
        <v>#VALUE!</v>
      </c>
      <c r="GZ38" t="e">
        <f>AND('Planilla_General_03-12-2012_9_3'!O605,"AAAAAH7y988=")</f>
        <v>#VALUE!</v>
      </c>
      <c r="HA38">
        <f>IF('Planilla_General_03-12-2012_9_3'!606:606,"AAAAAH7y99A=",0)</f>
        <v>0</v>
      </c>
      <c r="HB38" t="e">
        <f>AND('Planilla_General_03-12-2012_9_3'!A606,"AAAAAH7y99E=")</f>
        <v>#VALUE!</v>
      </c>
      <c r="HC38" t="e">
        <f>AND('Planilla_General_03-12-2012_9_3'!B606,"AAAAAH7y99I=")</f>
        <v>#VALUE!</v>
      </c>
      <c r="HD38" t="e">
        <f>AND('Planilla_General_03-12-2012_9_3'!C606,"AAAAAH7y99M=")</f>
        <v>#VALUE!</v>
      </c>
      <c r="HE38" t="e">
        <f>AND('Planilla_General_03-12-2012_9_3'!D606,"AAAAAH7y99Q=")</f>
        <v>#VALUE!</v>
      </c>
      <c r="HF38" t="e">
        <f>AND('Planilla_General_03-12-2012_9_3'!E606,"AAAAAH7y99U=")</f>
        <v>#VALUE!</v>
      </c>
      <c r="HG38" t="e">
        <f>AND('Planilla_General_03-12-2012_9_3'!F606,"AAAAAH7y99Y=")</f>
        <v>#VALUE!</v>
      </c>
      <c r="HH38" t="e">
        <f>AND('Planilla_General_03-12-2012_9_3'!G606,"AAAAAH7y99c=")</f>
        <v>#VALUE!</v>
      </c>
      <c r="HI38" t="e">
        <f>AND('Planilla_General_03-12-2012_9_3'!H606,"AAAAAH7y99g=")</f>
        <v>#VALUE!</v>
      </c>
      <c r="HJ38" t="e">
        <f>AND('Planilla_General_03-12-2012_9_3'!I606,"AAAAAH7y99k=")</f>
        <v>#VALUE!</v>
      </c>
      <c r="HK38" t="e">
        <f>AND('Planilla_General_03-12-2012_9_3'!J606,"AAAAAH7y99o=")</f>
        <v>#VALUE!</v>
      </c>
      <c r="HL38" t="e">
        <f>AND('Planilla_General_03-12-2012_9_3'!K606,"AAAAAH7y99s=")</f>
        <v>#VALUE!</v>
      </c>
      <c r="HM38" t="e">
        <f>AND('Planilla_General_03-12-2012_9_3'!L606,"AAAAAH7y99w=")</f>
        <v>#VALUE!</v>
      </c>
      <c r="HN38" t="e">
        <f>AND('Planilla_General_03-12-2012_9_3'!M606,"AAAAAH7y990=")</f>
        <v>#VALUE!</v>
      </c>
      <c r="HO38" t="e">
        <f>AND('Planilla_General_03-12-2012_9_3'!N606,"AAAAAH7y994=")</f>
        <v>#VALUE!</v>
      </c>
      <c r="HP38" t="e">
        <f>AND('Planilla_General_03-12-2012_9_3'!O606,"AAAAAH7y998=")</f>
        <v>#VALUE!</v>
      </c>
      <c r="HQ38">
        <f>IF('Planilla_General_03-12-2012_9_3'!607:607,"AAAAAH7y9+A=",0)</f>
        <v>0</v>
      </c>
      <c r="HR38" t="e">
        <f>AND('Planilla_General_03-12-2012_9_3'!A607,"AAAAAH7y9+E=")</f>
        <v>#VALUE!</v>
      </c>
      <c r="HS38" t="e">
        <f>AND('Planilla_General_03-12-2012_9_3'!B607,"AAAAAH7y9+I=")</f>
        <v>#VALUE!</v>
      </c>
      <c r="HT38" t="e">
        <f>AND('Planilla_General_03-12-2012_9_3'!C607,"AAAAAH7y9+M=")</f>
        <v>#VALUE!</v>
      </c>
      <c r="HU38" t="e">
        <f>AND('Planilla_General_03-12-2012_9_3'!D607,"AAAAAH7y9+Q=")</f>
        <v>#VALUE!</v>
      </c>
      <c r="HV38" t="e">
        <f>AND('Planilla_General_03-12-2012_9_3'!E607,"AAAAAH7y9+U=")</f>
        <v>#VALUE!</v>
      </c>
      <c r="HW38" t="e">
        <f>AND('Planilla_General_03-12-2012_9_3'!F607,"AAAAAH7y9+Y=")</f>
        <v>#VALUE!</v>
      </c>
      <c r="HX38" t="e">
        <f>AND('Planilla_General_03-12-2012_9_3'!G607,"AAAAAH7y9+c=")</f>
        <v>#VALUE!</v>
      </c>
      <c r="HY38" t="e">
        <f>AND('Planilla_General_03-12-2012_9_3'!H607,"AAAAAH7y9+g=")</f>
        <v>#VALUE!</v>
      </c>
      <c r="HZ38" t="e">
        <f>AND('Planilla_General_03-12-2012_9_3'!I607,"AAAAAH7y9+k=")</f>
        <v>#VALUE!</v>
      </c>
      <c r="IA38" t="e">
        <f>AND('Planilla_General_03-12-2012_9_3'!J607,"AAAAAH7y9+o=")</f>
        <v>#VALUE!</v>
      </c>
      <c r="IB38" t="e">
        <f>AND('Planilla_General_03-12-2012_9_3'!K607,"AAAAAH7y9+s=")</f>
        <v>#VALUE!</v>
      </c>
      <c r="IC38" t="e">
        <f>AND('Planilla_General_03-12-2012_9_3'!L607,"AAAAAH7y9+w=")</f>
        <v>#VALUE!</v>
      </c>
      <c r="ID38" t="e">
        <f>AND('Planilla_General_03-12-2012_9_3'!M607,"AAAAAH7y9+0=")</f>
        <v>#VALUE!</v>
      </c>
      <c r="IE38" t="e">
        <f>AND('Planilla_General_03-12-2012_9_3'!N607,"AAAAAH7y9+4=")</f>
        <v>#VALUE!</v>
      </c>
      <c r="IF38" t="e">
        <f>AND('Planilla_General_03-12-2012_9_3'!O607,"AAAAAH7y9+8=")</f>
        <v>#VALUE!</v>
      </c>
      <c r="IG38">
        <f>IF('Planilla_General_03-12-2012_9_3'!608:608,"AAAAAH7y9/A=",0)</f>
        <v>0</v>
      </c>
      <c r="IH38" t="e">
        <f>AND('Planilla_General_03-12-2012_9_3'!A608,"AAAAAH7y9/E=")</f>
        <v>#VALUE!</v>
      </c>
      <c r="II38" t="e">
        <f>AND('Planilla_General_03-12-2012_9_3'!B608,"AAAAAH7y9/I=")</f>
        <v>#VALUE!</v>
      </c>
      <c r="IJ38" t="e">
        <f>AND('Planilla_General_03-12-2012_9_3'!C608,"AAAAAH7y9/M=")</f>
        <v>#VALUE!</v>
      </c>
      <c r="IK38" t="e">
        <f>AND('Planilla_General_03-12-2012_9_3'!D608,"AAAAAH7y9/Q=")</f>
        <v>#VALUE!</v>
      </c>
      <c r="IL38" t="e">
        <f>AND('Planilla_General_03-12-2012_9_3'!E608,"AAAAAH7y9/U=")</f>
        <v>#VALUE!</v>
      </c>
      <c r="IM38" t="e">
        <f>AND('Planilla_General_03-12-2012_9_3'!F608,"AAAAAH7y9/Y=")</f>
        <v>#VALUE!</v>
      </c>
      <c r="IN38" t="e">
        <f>AND('Planilla_General_03-12-2012_9_3'!G608,"AAAAAH7y9/c=")</f>
        <v>#VALUE!</v>
      </c>
      <c r="IO38" t="e">
        <f>AND('Planilla_General_03-12-2012_9_3'!H608,"AAAAAH7y9/g=")</f>
        <v>#VALUE!</v>
      </c>
      <c r="IP38" t="e">
        <f>AND('Planilla_General_03-12-2012_9_3'!I608,"AAAAAH7y9/k=")</f>
        <v>#VALUE!</v>
      </c>
      <c r="IQ38" t="e">
        <f>AND('Planilla_General_03-12-2012_9_3'!J608,"AAAAAH7y9/o=")</f>
        <v>#VALUE!</v>
      </c>
      <c r="IR38" t="e">
        <f>AND('Planilla_General_03-12-2012_9_3'!K608,"AAAAAH7y9/s=")</f>
        <v>#VALUE!</v>
      </c>
      <c r="IS38" t="e">
        <f>AND('Planilla_General_03-12-2012_9_3'!L608,"AAAAAH7y9/w=")</f>
        <v>#VALUE!</v>
      </c>
      <c r="IT38" t="e">
        <f>AND('Planilla_General_03-12-2012_9_3'!M608,"AAAAAH7y9/0=")</f>
        <v>#VALUE!</v>
      </c>
      <c r="IU38" t="e">
        <f>AND('Planilla_General_03-12-2012_9_3'!N608,"AAAAAH7y9/4=")</f>
        <v>#VALUE!</v>
      </c>
      <c r="IV38" t="e">
        <f>AND('Planilla_General_03-12-2012_9_3'!O608,"AAAAAH7y9/8=")</f>
        <v>#VALUE!</v>
      </c>
    </row>
    <row r="39" spans="1:256" x14ac:dyDescent="0.25">
      <c r="A39" t="e">
        <f>IF('Planilla_General_03-12-2012_9_3'!609:609,"AAAAAG9S/wA=",0)</f>
        <v>#VALUE!</v>
      </c>
      <c r="B39" t="e">
        <f>AND('Planilla_General_03-12-2012_9_3'!A609,"AAAAAG9S/wE=")</f>
        <v>#VALUE!</v>
      </c>
      <c r="C39" t="e">
        <f>AND('Planilla_General_03-12-2012_9_3'!B609,"AAAAAG9S/wI=")</f>
        <v>#VALUE!</v>
      </c>
      <c r="D39" t="e">
        <f>AND('Planilla_General_03-12-2012_9_3'!C609,"AAAAAG9S/wM=")</f>
        <v>#VALUE!</v>
      </c>
      <c r="E39" t="e">
        <f>AND('Planilla_General_03-12-2012_9_3'!D609,"AAAAAG9S/wQ=")</f>
        <v>#VALUE!</v>
      </c>
      <c r="F39" t="e">
        <f>AND('Planilla_General_03-12-2012_9_3'!E609,"AAAAAG9S/wU=")</f>
        <v>#VALUE!</v>
      </c>
      <c r="G39" t="e">
        <f>AND('Planilla_General_03-12-2012_9_3'!F609,"AAAAAG9S/wY=")</f>
        <v>#VALUE!</v>
      </c>
      <c r="H39" t="e">
        <f>AND('Planilla_General_03-12-2012_9_3'!G609,"AAAAAG9S/wc=")</f>
        <v>#VALUE!</v>
      </c>
      <c r="I39" t="e">
        <f>AND('Planilla_General_03-12-2012_9_3'!H609,"AAAAAG9S/wg=")</f>
        <v>#VALUE!</v>
      </c>
      <c r="J39" t="e">
        <f>AND('Planilla_General_03-12-2012_9_3'!I609,"AAAAAG9S/wk=")</f>
        <v>#VALUE!</v>
      </c>
      <c r="K39" t="e">
        <f>AND('Planilla_General_03-12-2012_9_3'!J609,"AAAAAG9S/wo=")</f>
        <v>#VALUE!</v>
      </c>
      <c r="L39" t="e">
        <f>AND('Planilla_General_03-12-2012_9_3'!K609,"AAAAAG9S/ws=")</f>
        <v>#VALUE!</v>
      </c>
      <c r="M39" t="e">
        <f>AND('Planilla_General_03-12-2012_9_3'!L609,"AAAAAG9S/ww=")</f>
        <v>#VALUE!</v>
      </c>
      <c r="N39" t="e">
        <f>AND('Planilla_General_03-12-2012_9_3'!M609,"AAAAAG9S/w0=")</f>
        <v>#VALUE!</v>
      </c>
      <c r="O39" t="e">
        <f>AND('Planilla_General_03-12-2012_9_3'!N609,"AAAAAG9S/w4=")</f>
        <v>#VALUE!</v>
      </c>
      <c r="P39" t="e">
        <f>AND('Planilla_General_03-12-2012_9_3'!O609,"AAAAAG9S/w8=")</f>
        <v>#VALUE!</v>
      </c>
      <c r="Q39">
        <f>IF('Planilla_General_03-12-2012_9_3'!610:610,"AAAAAG9S/xA=",0)</f>
        <v>0</v>
      </c>
      <c r="R39" t="e">
        <f>AND('Planilla_General_03-12-2012_9_3'!A610,"AAAAAG9S/xE=")</f>
        <v>#VALUE!</v>
      </c>
      <c r="S39" t="e">
        <f>AND('Planilla_General_03-12-2012_9_3'!B610,"AAAAAG9S/xI=")</f>
        <v>#VALUE!</v>
      </c>
      <c r="T39" t="e">
        <f>AND('Planilla_General_03-12-2012_9_3'!C610,"AAAAAG9S/xM=")</f>
        <v>#VALUE!</v>
      </c>
      <c r="U39" t="e">
        <f>AND('Planilla_General_03-12-2012_9_3'!D610,"AAAAAG9S/xQ=")</f>
        <v>#VALUE!</v>
      </c>
      <c r="V39" t="e">
        <f>AND('Planilla_General_03-12-2012_9_3'!E610,"AAAAAG9S/xU=")</f>
        <v>#VALUE!</v>
      </c>
      <c r="W39" t="e">
        <f>AND('Planilla_General_03-12-2012_9_3'!F610,"AAAAAG9S/xY=")</f>
        <v>#VALUE!</v>
      </c>
      <c r="X39" t="e">
        <f>AND('Planilla_General_03-12-2012_9_3'!G610,"AAAAAG9S/xc=")</f>
        <v>#VALUE!</v>
      </c>
      <c r="Y39" t="e">
        <f>AND('Planilla_General_03-12-2012_9_3'!H610,"AAAAAG9S/xg=")</f>
        <v>#VALUE!</v>
      </c>
      <c r="Z39" t="e">
        <f>AND('Planilla_General_03-12-2012_9_3'!I610,"AAAAAG9S/xk=")</f>
        <v>#VALUE!</v>
      </c>
      <c r="AA39" t="e">
        <f>AND('Planilla_General_03-12-2012_9_3'!J610,"AAAAAG9S/xo=")</f>
        <v>#VALUE!</v>
      </c>
      <c r="AB39" t="e">
        <f>AND('Planilla_General_03-12-2012_9_3'!K610,"AAAAAG9S/xs=")</f>
        <v>#VALUE!</v>
      </c>
      <c r="AC39" t="e">
        <f>AND('Planilla_General_03-12-2012_9_3'!L610,"AAAAAG9S/xw=")</f>
        <v>#VALUE!</v>
      </c>
      <c r="AD39" t="e">
        <f>AND('Planilla_General_03-12-2012_9_3'!M610,"AAAAAG9S/x0=")</f>
        <v>#VALUE!</v>
      </c>
      <c r="AE39" t="e">
        <f>AND('Planilla_General_03-12-2012_9_3'!N610,"AAAAAG9S/x4=")</f>
        <v>#VALUE!</v>
      </c>
      <c r="AF39" t="e">
        <f>AND('Planilla_General_03-12-2012_9_3'!O610,"AAAAAG9S/x8=")</f>
        <v>#VALUE!</v>
      </c>
      <c r="AG39">
        <f>IF('Planilla_General_03-12-2012_9_3'!611:611,"AAAAAG9S/yA=",0)</f>
        <v>0</v>
      </c>
      <c r="AH39" t="e">
        <f>AND('Planilla_General_03-12-2012_9_3'!A611,"AAAAAG9S/yE=")</f>
        <v>#VALUE!</v>
      </c>
      <c r="AI39" t="e">
        <f>AND('Planilla_General_03-12-2012_9_3'!B611,"AAAAAG9S/yI=")</f>
        <v>#VALUE!</v>
      </c>
      <c r="AJ39" t="e">
        <f>AND('Planilla_General_03-12-2012_9_3'!C611,"AAAAAG9S/yM=")</f>
        <v>#VALUE!</v>
      </c>
      <c r="AK39" t="e">
        <f>AND('Planilla_General_03-12-2012_9_3'!D611,"AAAAAG9S/yQ=")</f>
        <v>#VALUE!</v>
      </c>
      <c r="AL39" t="e">
        <f>AND('Planilla_General_03-12-2012_9_3'!E611,"AAAAAG9S/yU=")</f>
        <v>#VALUE!</v>
      </c>
      <c r="AM39" t="e">
        <f>AND('Planilla_General_03-12-2012_9_3'!F611,"AAAAAG9S/yY=")</f>
        <v>#VALUE!</v>
      </c>
      <c r="AN39" t="e">
        <f>AND('Planilla_General_03-12-2012_9_3'!G611,"AAAAAG9S/yc=")</f>
        <v>#VALUE!</v>
      </c>
      <c r="AO39" t="e">
        <f>AND('Planilla_General_03-12-2012_9_3'!H611,"AAAAAG9S/yg=")</f>
        <v>#VALUE!</v>
      </c>
      <c r="AP39" t="e">
        <f>AND('Planilla_General_03-12-2012_9_3'!I611,"AAAAAG9S/yk=")</f>
        <v>#VALUE!</v>
      </c>
      <c r="AQ39" t="e">
        <f>AND('Planilla_General_03-12-2012_9_3'!J611,"AAAAAG9S/yo=")</f>
        <v>#VALUE!</v>
      </c>
      <c r="AR39" t="e">
        <f>AND('Planilla_General_03-12-2012_9_3'!K611,"AAAAAG9S/ys=")</f>
        <v>#VALUE!</v>
      </c>
      <c r="AS39" t="e">
        <f>AND('Planilla_General_03-12-2012_9_3'!L611,"AAAAAG9S/yw=")</f>
        <v>#VALUE!</v>
      </c>
      <c r="AT39" t="e">
        <f>AND('Planilla_General_03-12-2012_9_3'!M611,"AAAAAG9S/y0=")</f>
        <v>#VALUE!</v>
      </c>
      <c r="AU39" t="e">
        <f>AND('Planilla_General_03-12-2012_9_3'!N611,"AAAAAG9S/y4=")</f>
        <v>#VALUE!</v>
      </c>
      <c r="AV39" t="e">
        <f>AND('Planilla_General_03-12-2012_9_3'!O611,"AAAAAG9S/y8=")</f>
        <v>#VALUE!</v>
      </c>
      <c r="AW39">
        <f>IF('Planilla_General_03-12-2012_9_3'!612:612,"AAAAAG9S/zA=",0)</f>
        <v>0</v>
      </c>
      <c r="AX39" t="e">
        <f>AND('Planilla_General_03-12-2012_9_3'!A612,"AAAAAG9S/zE=")</f>
        <v>#VALUE!</v>
      </c>
      <c r="AY39" t="e">
        <f>AND('Planilla_General_03-12-2012_9_3'!B612,"AAAAAG9S/zI=")</f>
        <v>#VALUE!</v>
      </c>
      <c r="AZ39" t="e">
        <f>AND('Planilla_General_03-12-2012_9_3'!C612,"AAAAAG9S/zM=")</f>
        <v>#VALUE!</v>
      </c>
      <c r="BA39" t="e">
        <f>AND('Planilla_General_03-12-2012_9_3'!D612,"AAAAAG9S/zQ=")</f>
        <v>#VALUE!</v>
      </c>
      <c r="BB39" t="e">
        <f>AND('Planilla_General_03-12-2012_9_3'!E612,"AAAAAG9S/zU=")</f>
        <v>#VALUE!</v>
      </c>
      <c r="BC39" t="e">
        <f>AND('Planilla_General_03-12-2012_9_3'!F612,"AAAAAG9S/zY=")</f>
        <v>#VALUE!</v>
      </c>
      <c r="BD39" t="e">
        <f>AND('Planilla_General_03-12-2012_9_3'!G612,"AAAAAG9S/zc=")</f>
        <v>#VALUE!</v>
      </c>
      <c r="BE39" t="e">
        <f>AND('Planilla_General_03-12-2012_9_3'!H612,"AAAAAG9S/zg=")</f>
        <v>#VALUE!</v>
      </c>
      <c r="BF39" t="e">
        <f>AND('Planilla_General_03-12-2012_9_3'!I612,"AAAAAG9S/zk=")</f>
        <v>#VALUE!</v>
      </c>
      <c r="BG39" t="e">
        <f>AND('Planilla_General_03-12-2012_9_3'!J612,"AAAAAG9S/zo=")</f>
        <v>#VALUE!</v>
      </c>
      <c r="BH39" t="e">
        <f>AND('Planilla_General_03-12-2012_9_3'!K612,"AAAAAG9S/zs=")</f>
        <v>#VALUE!</v>
      </c>
      <c r="BI39" t="e">
        <f>AND('Planilla_General_03-12-2012_9_3'!L612,"AAAAAG9S/zw=")</f>
        <v>#VALUE!</v>
      </c>
      <c r="BJ39" t="e">
        <f>AND('Planilla_General_03-12-2012_9_3'!M612,"AAAAAG9S/z0=")</f>
        <v>#VALUE!</v>
      </c>
      <c r="BK39" t="e">
        <f>AND('Planilla_General_03-12-2012_9_3'!N612,"AAAAAG9S/z4=")</f>
        <v>#VALUE!</v>
      </c>
      <c r="BL39" t="e">
        <f>AND('Planilla_General_03-12-2012_9_3'!O612,"AAAAAG9S/z8=")</f>
        <v>#VALUE!</v>
      </c>
      <c r="BM39">
        <f>IF('Planilla_General_03-12-2012_9_3'!613:613,"AAAAAG9S/0A=",0)</f>
        <v>0</v>
      </c>
      <c r="BN39" t="e">
        <f>AND('Planilla_General_03-12-2012_9_3'!A613,"AAAAAG9S/0E=")</f>
        <v>#VALUE!</v>
      </c>
      <c r="BO39" t="e">
        <f>AND('Planilla_General_03-12-2012_9_3'!B613,"AAAAAG9S/0I=")</f>
        <v>#VALUE!</v>
      </c>
      <c r="BP39" t="e">
        <f>AND('Planilla_General_03-12-2012_9_3'!C613,"AAAAAG9S/0M=")</f>
        <v>#VALUE!</v>
      </c>
      <c r="BQ39" t="e">
        <f>AND('Planilla_General_03-12-2012_9_3'!D613,"AAAAAG9S/0Q=")</f>
        <v>#VALUE!</v>
      </c>
      <c r="BR39" t="e">
        <f>AND('Planilla_General_03-12-2012_9_3'!E613,"AAAAAG9S/0U=")</f>
        <v>#VALUE!</v>
      </c>
      <c r="BS39" t="e">
        <f>AND('Planilla_General_03-12-2012_9_3'!F613,"AAAAAG9S/0Y=")</f>
        <v>#VALUE!</v>
      </c>
      <c r="BT39" t="e">
        <f>AND('Planilla_General_03-12-2012_9_3'!G613,"AAAAAG9S/0c=")</f>
        <v>#VALUE!</v>
      </c>
      <c r="BU39" t="e">
        <f>AND('Planilla_General_03-12-2012_9_3'!H613,"AAAAAG9S/0g=")</f>
        <v>#VALUE!</v>
      </c>
      <c r="BV39" t="e">
        <f>AND('Planilla_General_03-12-2012_9_3'!I613,"AAAAAG9S/0k=")</f>
        <v>#VALUE!</v>
      </c>
      <c r="BW39" t="e">
        <f>AND('Planilla_General_03-12-2012_9_3'!J613,"AAAAAG9S/0o=")</f>
        <v>#VALUE!</v>
      </c>
      <c r="BX39" t="e">
        <f>AND('Planilla_General_03-12-2012_9_3'!K613,"AAAAAG9S/0s=")</f>
        <v>#VALUE!</v>
      </c>
      <c r="BY39" t="e">
        <f>AND('Planilla_General_03-12-2012_9_3'!L613,"AAAAAG9S/0w=")</f>
        <v>#VALUE!</v>
      </c>
      <c r="BZ39" t="e">
        <f>AND('Planilla_General_03-12-2012_9_3'!M613,"AAAAAG9S/00=")</f>
        <v>#VALUE!</v>
      </c>
      <c r="CA39" t="e">
        <f>AND('Planilla_General_03-12-2012_9_3'!N613,"AAAAAG9S/04=")</f>
        <v>#VALUE!</v>
      </c>
      <c r="CB39" t="e">
        <f>AND('Planilla_General_03-12-2012_9_3'!O613,"AAAAAG9S/08=")</f>
        <v>#VALUE!</v>
      </c>
      <c r="CC39">
        <f>IF('Planilla_General_03-12-2012_9_3'!614:614,"AAAAAG9S/1A=",0)</f>
        <v>0</v>
      </c>
      <c r="CD39" t="e">
        <f>AND('Planilla_General_03-12-2012_9_3'!A614,"AAAAAG9S/1E=")</f>
        <v>#VALUE!</v>
      </c>
      <c r="CE39" t="e">
        <f>AND('Planilla_General_03-12-2012_9_3'!B614,"AAAAAG9S/1I=")</f>
        <v>#VALUE!</v>
      </c>
      <c r="CF39" t="e">
        <f>AND('Planilla_General_03-12-2012_9_3'!C614,"AAAAAG9S/1M=")</f>
        <v>#VALUE!</v>
      </c>
      <c r="CG39" t="e">
        <f>AND('Planilla_General_03-12-2012_9_3'!D614,"AAAAAG9S/1Q=")</f>
        <v>#VALUE!</v>
      </c>
      <c r="CH39" t="e">
        <f>AND('Planilla_General_03-12-2012_9_3'!E614,"AAAAAG9S/1U=")</f>
        <v>#VALUE!</v>
      </c>
      <c r="CI39" t="e">
        <f>AND('Planilla_General_03-12-2012_9_3'!F614,"AAAAAG9S/1Y=")</f>
        <v>#VALUE!</v>
      </c>
      <c r="CJ39" t="e">
        <f>AND('Planilla_General_03-12-2012_9_3'!G614,"AAAAAG9S/1c=")</f>
        <v>#VALUE!</v>
      </c>
      <c r="CK39" t="e">
        <f>AND('Planilla_General_03-12-2012_9_3'!H614,"AAAAAG9S/1g=")</f>
        <v>#VALUE!</v>
      </c>
      <c r="CL39" t="e">
        <f>AND('Planilla_General_03-12-2012_9_3'!I614,"AAAAAG9S/1k=")</f>
        <v>#VALUE!</v>
      </c>
      <c r="CM39" t="e">
        <f>AND('Planilla_General_03-12-2012_9_3'!J614,"AAAAAG9S/1o=")</f>
        <v>#VALUE!</v>
      </c>
      <c r="CN39" t="e">
        <f>AND('Planilla_General_03-12-2012_9_3'!K614,"AAAAAG9S/1s=")</f>
        <v>#VALUE!</v>
      </c>
      <c r="CO39" t="e">
        <f>AND('Planilla_General_03-12-2012_9_3'!L614,"AAAAAG9S/1w=")</f>
        <v>#VALUE!</v>
      </c>
      <c r="CP39" t="e">
        <f>AND('Planilla_General_03-12-2012_9_3'!M614,"AAAAAG9S/10=")</f>
        <v>#VALUE!</v>
      </c>
      <c r="CQ39" t="e">
        <f>AND('Planilla_General_03-12-2012_9_3'!N614,"AAAAAG9S/14=")</f>
        <v>#VALUE!</v>
      </c>
      <c r="CR39" t="e">
        <f>AND('Planilla_General_03-12-2012_9_3'!O614,"AAAAAG9S/18=")</f>
        <v>#VALUE!</v>
      </c>
      <c r="CS39">
        <f>IF('Planilla_General_03-12-2012_9_3'!615:615,"AAAAAG9S/2A=",0)</f>
        <v>0</v>
      </c>
      <c r="CT39" t="e">
        <f>AND('Planilla_General_03-12-2012_9_3'!A615,"AAAAAG9S/2E=")</f>
        <v>#VALUE!</v>
      </c>
      <c r="CU39" t="e">
        <f>AND('Planilla_General_03-12-2012_9_3'!B615,"AAAAAG9S/2I=")</f>
        <v>#VALUE!</v>
      </c>
      <c r="CV39" t="e">
        <f>AND('Planilla_General_03-12-2012_9_3'!C615,"AAAAAG9S/2M=")</f>
        <v>#VALUE!</v>
      </c>
      <c r="CW39" t="e">
        <f>AND('Planilla_General_03-12-2012_9_3'!D615,"AAAAAG9S/2Q=")</f>
        <v>#VALUE!</v>
      </c>
      <c r="CX39" t="e">
        <f>AND('Planilla_General_03-12-2012_9_3'!E615,"AAAAAG9S/2U=")</f>
        <v>#VALUE!</v>
      </c>
      <c r="CY39" t="e">
        <f>AND('Planilla_General_03-12-2012_9_3'!F615,"AAAAAG9S/2Y=")</f>
        <v>#VALUE!</v>
      </c>
      <c r="CZ39" t="e">
        <f>AND('Planilla_General_03-12-2012_9_3'!G615,"AAAAAG9S/2c=")</f>
        <v>#VALUE!</v>
      </c>
      <c r="DA39" t="e">
        <f>AND('Planilla_General_03-12-2012_9_3'!H615,"AAAAAG9S/2g=")</f>
        <v>#VALUE!</v>
      </c>
      <c r="DB39" t="e">
        <f>AND('Planilla_General_03-12-2012_9_3'!I615,"AAAAAG9S/2k=")</f>
        <v>#VALUE!</v>
      </c>
      <c r="DC39" t="e">
        <f>AND('Planilla_General_03-12-2012_9_3'!J615,"AAAAAG9S/2o=")</f>
        <v>#VALUE!</v>
      </c>
      <c r="DD39" t="e">
        <f>AND('Planilla_General_03-12-2012_9_3'!K615,"AAAAAG9S/2s=")</f>
        <v>#VALUE!</v>
      </c>
      <c r="DE39" t="e">
        <f>AND('Planilla_General_03-12-2012_9_3'!L615,"AAAAAG9S/2w=")</f>
        <v>#VALUE!</v>
      </c>
      <c r="DF39" t="e">
        <f>AND('Planilla_General_03-12-2012_9_3'!M615,"AAAAAG9S/20=")</f>
        <v>#VALUE!</v>
      </c>
      <c r="DG39" t="e">
        <f>AND('Planilla_General_03-12-2012_9_3'!N615,"AAAAAG9S/24=")</f>
        <v>#VALUE!</v>
      </c>
      <c r="DH39" t="e">
        <f>AND('Planilla_General_03-12-2012_9_3'!O615,"AAAAAG9S/28=")</f>
        <v>#VALUE!</v>
      </c>
      <c r="DI39">
        <f>IF('Planilla_General_03-12-2012_9_3'!616:616,"AAAAAG9S/3A=",0)</f>
        <v>0</v>
      </c>
      <c r="DJ39" t="e">
        <f>AND('Planilla_General_03-12-2012_9_3'!A616,"AAAAAG9S/3E=")</f>
        <v>#VALUE!</v>
      </c>
      <c r="DK39" t="e">
        <f>AND('Planilla_General_03-12-2012_9_3'!B616,"AAAAAG9S/3I=")</f>
        <v>#VALUE!</v>
      </c>
      <c r="DL39" t="e">
        <f>AND('Planilla_General_03-12-2012_9_3'!C616,"AAAAAG9S/3M=")</f>
        <v>#VALUE!</v>
      </c>
      <c r="DM39" t="e">
        <f>AND('Planilla_General_03-12-2012_9_3'!D616,"AAAAAG9S/3Q=")</f>
        <v>#VALUE!</v>
      </c>
      <c r="DN39" t="e">
        <f>AND('Planilla_General_03-12-2012_9_3'!E616,"AAAAAG9S/3U=")</f>
        <v>#VALUE!</v>
      </c>
      <c r="DO39" t="e">
        <f>AND('Planilla_General_03-12-2012_9_3'!F616,"AAAAAG9S/3Y=")</f>
        <v>#VALUE!</v>
      </c>
      <c r="DP39" t="e">
        <f>AND('Planilla_General_03-12-2012_9_3'!G616,"AAAAAG9S/3c=")</f>
        <v>#VALUE!</v>
      </c>
      <c r="DQ39" t="e">
        <f>AND('Planilla_General_03-12-2012_9_3'!H616,"AAAAAG9S/3g=")</f>
        <v>#VALUE!</v>
      </c>
      <c r="DR39" t="e">
        <f>AND('Planilla_General_03-12-2012_9_3'!I616,"AAAAAG9S/3k=")</f>
        <v>#VALUE!</v>
      </c>
      <c r="DS39" t="e">
        <f>AND('Planilla_General_03-12-2012_9_3'!J616,"AAAAAG9S/3o=")</f>
        <v>#VALUE!</v>
      </c>
      <c r="DT39" t="e">
        <f>AND('Planilla_General_03-12-2012_9_3'!K616,"AAAAAG9S/3s=")</f>
        <v>#VALUE!</v>
      </c>
      <c r="DU39" t="e">
        <f>AND('Planilla_General_03-12-2012_9_3'!L616,"AAAAAG9S/3w=")</f>
        <v>#VALUE!</v>
      </c>
      <c r="DV39" t="e">
        <f>AND('Planilla_General_03-12-2012_9_3'!M616,"AAAAAG9S/30=")</f>
        <v>#VALUE!</v>
      </c>
      <c r="DW39" t="e">
        <f>AND('Planilla_General_03-12-2012_9_3'!N616,"AAAAAG9S/34=")</f>
        <v>#VALUE!</v>
      </c>
      <c r="DX39" t="e">
        <f>AND('Planilla_General_03-12-2012_9_3'!O616,"AAAAAG9S/38=")</f>
        <v>#VALUE!</v>
      </c>
      <c r="DY39">
        <f>IF('Planilla_General_03-12-2012_9_3'!617:617,"AAAAAG9S/4A=",0)</f>
        <v>0</v>
      </c>
      <c r="DZ39" t="e">
        <f>AND('Planilla_General_03-12-2012_9_3'!A617,"AAAAAG9S/4E=")</f>
        <v>#VALUE!</v>
      </c>
      <c r="EA39" t="e">
        <f>AND('Planilla_General_03-12-2012_9_3'!B617,"AAAAAG9S/4I=")</f>
        <v>#VALUE!</v>
      </c>
      <c r="EB39" t="e">
        <f>AND('Planilla_General_03-12-2012_9_3'!C617,"AAAAAG9S/4M=")</f>
        <v>#VALUE!</v>
      </c>
      <c r="EC39" t="e">
        <f>AND('Planilla_General_03-12-2012_9_3'!D617,"AAAAAG9S/4Q=")</f>
        <v>#VALUE!</v>
      </c>
      <c r="ED39" t="e">
        <f>AND('Planilla_General_03-12-2012_9_3'!E617,"AAAAAG9S/4U=")</f>
        <v>#VALUE!</v>
      </c>
      <c r="EE39" t="e">
        <f>AND('Planilla_General_03-12-2012_9_3'!F617,"AAAAAG9S/4Y=")</f>
        <v>#VALUE!</v>
      </c>
      <c r="EF39" t="e">
        <f>AND('Planilla_General_03-12-2012_9_3'!G617,"AAAAAG9S/4c=")</f>
        <v>#VALUE!</v>
      </c>
      <c r="EG39" t="e">
        <f>AND('Planilla_General_03-12-2012_9_3'!H617,"AAAAAG9S/4g=")</f>
        <v>#VALUE!</v>
      </c>
      <c r="EH39" t="e">
        <f>AND('Planilla_General_03-12-2012_9_3'!I617,"AAAAAG9S/4k=")</f>
        <v>#VALUE!</v>
      </c>
      <c r="EI39" t="e">
        <f>AND('Planilla_General_03-12-2012_9_3'!J617,"AAAAAG9S/4o=")</f>
        <v>#VALUE!</v>
      </c>
      <c r="EJ39" t="e">
        <f>AND('Planilla_General_03-12-2012_9_3'!K617,"AAAAAG9S/4s=")</f>
        <v>#VALUE!</v>
      </c>
      <c r="EK39" t="e">
        <f>AND('Planilla_General_03-12-2012_9_3'!L617,"AAAAAG9S/4w=")</f>
        <v>#VALUE!</v>
      </c>
      <c r="EL39" t="e">
        <f>AND('Planilla_General_03-12-2012_9_3'!M617,"AAAAAG9S/40=")</f>
        <v>#VALUE!</v>
      </c>
      <c r="EM39" t="e">
        <f>AND('Planilla_General_03-12-2012_9_3'!N617,"AAAAAG9S/44=")</f>
        <v>#VALUE!</v>
      </c>
      <c r="EN39" t="e">
        <f>AND('Planilla_General_03-12-2012_9_3'!O617,"AAAAAG9S/48=")</f>
        <v>#VALUE!</v>
      </c>
      <c r="EO39">
        <f>IF('Planilla_General_03-12-2012_9_3'!618:618,"AAAAAG9S/5A=",0)</f>
        <v>0</v>
      </c>
      <c r="EP39" t="e">
        <f>AND('Planilla_General_03-12-2012_9_3'!A618,"AAAAAG9S/5E=")</f>
        <v>#VALUE!</v>
      </c>
      <c r="EQ39" t="e">
        <f>AND('Planilla_General_03-12-2012_9_3'!B618,"AAAAAG9S/5I=")</f>
        <v>#VALUE!</v>
      </c>
      <c r="ER39" t="e">
        <f>AND('Planilla_General_03-12-2012_9_3'!C618,"AAAAAG9S/5M=")</f>
        <v>#VALUE!</v>
      </c>
      <c r="ES39" t="e">
        <f>AND('Planilla_General_03-12-2012_9_3'!D618,"AAAAAG9S/5Q=")</f>
        <v>#VALUE!</v>
      </c>
      <c r="ET39" t="e">
        <f>AND('Planilla_General_03-12-2012_9_3'!E618,"AAAAAG9S/5U=")</f>
        <v>#VALUE!</v>
      </c>
      <c r="EU39" t="e">
        <f>AND('Planilla_General_03-12-2012_9_3'!F618,"AAAAAG9S/5Y=")</f>
        <v>#VALUE!</v>
      </c>
      <c r="EV39" t="e">
        <f>AND('Planilla_General_03-12-2012_9_3'!G618,"AAAAAG9S/5c=")</f>
        <v>#VALUE!</v>
      </c>
      <c r="EW39" t="e">
        <f>AND('Planilla_General_03-12-2012_9_3'!H618,"AAAAAG9S/5g=")</f>
        <v>#VALUE!</v>
      </c>
      <c r="EX39" t="e">
        <f>AND('Planilla_General_03-12-2012_9_3'!I618,"AAAAAG9S/5k=")</f>
        <v>#VALUE!</v>
      </c>
      <c r="EY39" t="e">
        <f>AND('Planilla_General_03-12-2012_9_3'!J618,"AAAAAG9S/5o=")</f>
        <v>#VALUE!</v>
      </c>
      <c r="EZ39" t="e">
        <f>AND('Planilla_General_03-12-2012_9_3'!K618,"AAAAAG9S/5s=")</f>
        <v>#VALUE!</v>
      </c>
      <c r="FA39" t="e">
        <f>AND('Planilla_General_03-12-2012_9_3'!L618,"AAAAAG9S/5w=")</f>
        <v>#VALUE!</v>
      </c>
      <c r="FB39" t="e">
        <f>AND('Planilla_General_03-12-2012_9_3'!M618,"AAAAAG9S/50=")</f>
        <v>#VALUE!</v>
      </c>
      <c r="FC39" t="e">
        <f>AND('Planilla_General_03-12-2012_9_3'!N618,"AAAAAG9S/54=")</f>
        <v>#VALUE!</v>
      </c>
      <c r="FD39" t="e">
        <f>AND('Planilla_General_03-12-2012_9_3'!O618,"AAAAAG9S/58=")</f>
        <v>#VALUE!</v>
      </c>
      <c r="FE39">
        <f>IF('Planilla_General_03-12-2012_9_3'!619:619,"AAAAAG9S/6A=",0)</f>
        <v>0</v>
      </c>
      <c r="FF39" t="e">
        <f>AND('Planilla_General_03-12-2012_9_3'!A619,"AAAAAG9S/6E=")</f>
        <v>#VALUE!</v>
      </c>
      <c r="FG39" t="e">
        <f>AND('Planilla_General_03-12-2012_9_3'!B619,"AAAAAG9S/6I=")</f>
        <v>#VALUE!</v>
      </c>
      <c r="FH39" t="e">
        <f>AND('Planilla_General_03-12-2012_9_3'!C619,"AAAAAG9S/6M=")</f>
        <v>#VALUE!</v>
      </c>
      <c r="FI39" t="e">
        <f>AND('Planilla_General_03-12-2012_9_3'!D619,"AAAAAG9S/6Q=")</f>
        <v>#VALUE!</v>
      </c>
      <c r="FJ39" t="e">
        <f>AND('Planilla_General_03-12-2012_9_3'!E619,"AAAAAG9S/6U=")</f>
        <v>#VALUE!</v>
      </c>
      <c r="FK39" t="e">
        <f>AND('Planilla_General_03-12-2012_9_3'!F619,"AAAAAG9S/6Y=")</f>
        <v>#VALUE!</v>
      </c>
      <c r="FL39" t="e">
        <f>AND('Planilla_General_03-12-2012_9_3'!G619,"AAAAAG9S/6c=")</f>
        <v>#VALUE!</v>
      </c>
      <c r="FM39" t="e">
        <f>AND('Planilla_General_03-12-2012_9_3'!H619,"AAAAAG9S/6g=")</f>
        <v>#VALUE!</v>
      </c>
      <c r="FN39" t="e">
        <f>AND('Planilla_General_03-12-2012_9_3'!I619,"AAAAAG9S/6k=")</f>
        <v>#VALUE!</v>
      </c>
      <c r="FO39" t="e">
        <f>AND('Planilla_General_03-12-2012_9_3'!J619,"AAAAAG9S/6o=")</f>
        <v>#VALUE!</v>
      </c>
      <c r="FP39" t="e">
        <f>AND('Planilla_General_03-12-2012_9_3'!K619,"AAAAAG9S/6s=")</f>
        <v>#VALUE!</v>
      </c>
      <c r="FQ39" t="e">
        <f>AND('Planilla_General_03-12-2012_9_3'!L619,"AAAAAG9S/6w=")</f>
        <v>#VALUE!</v>
      </c>
      <c r="FR39" t="e">
        <f>AND('Planilla_General_03-12-2012_9_3'!M619,"AAAAAG9S/60=")</f>
        <v>#VALUE!</v>
      </c>
      <c r="FS39" t="e">
        <f>AND('Planilla_General_03-12-2012_9_3'!N619,"AAAAAG9S/64=")</f>
        <v>#VALUE!</v>
      </c>
      <c r="FT39" t="e">
        <f>AND('Planilla_General_03-12-2012_9_3'!O619,"AAAAAG9S/68=")</f>
        <v>#VALUE!</v>
      </c>
      <c r="FU39">
        <f>IF('Planilla_General_03-12-2012_9_3'!620:620,"AAAAAG9S/7A=",0)</f>
        <v>0</v>
      </c>
      <c r="FV39" t="e">
        <f>AND('Planilla_General_03-12-2012_9_3'!A620,"AAAAAG9S/7E=")</f>
        <v>#VALUE!</v>
      </c>
      <c r="FW39" t="e">
        <f>AND('Planilla_General_03-12-2012_9_3'!B620,"AAAAAG9S/7I=")</f>
        <v>#VALUE!</v>
      </c>
      <c r="FX39" t="e">
        <f>AND('Planilla_General_03-12-2012_9_3'!C620,"AAAAAG9S/7M=")</f>
        <v>#VALUE!</v>
      </c>
      <c r="FY39" t="e">
        <f>AND('Planilla_General_03-12-2012_9_3'!D620,"AAAAAG9S/7Q=")</f>
        <v>#VALUE!</v>
      </c>
      <c r="FZ39" t="e">
        <f>AND('Planilla_General_03-12-2012_9_3'!E620,"AAAAAG9S/7U=")</f>
        <v>#VALUE!</v>
      </c>
      <c r="GA39" t="e">
        <f>AND('Planilla_General_03-12-2012_9_3'!F620,"AAAAAG9S/7Y=")</f>
        <v>#VALUE!</v>
      </c>
      <c r="GB39" t="e">
        <f>AND('Planilla_General_03-12-2012_9_3'!G620,"AAAAAG9S/7c=")</f>
        <v>#VALUE!</v>
      </c>
      <c r="GC39" t="e">
        <f>AND('Planilla_General_03-12-2012_9_3'!H620,"AAAAAG9S/7g=")</f>
        <v>#VALUE!</v>
      </c>
      <c r="GD39" t="e">
        <f>AND('Planilla_General_03-12-2012_9_3'!I620,"AAAAAG9S/7k=")</f>
        <v>#VALUE!</v>
      </c>
      <c r="GE39" t="e">
        <f>AND('Planilla_General_03-12-2012_9_3'!J620,"AAAAAG9S/7o=")</f>
        <v>#VALUE!</v>
      </c>
      <c r="GF39" t="e">
        <f>AND('Planilla_General_03-12-2012_9_3'!K620,"AAAAAG9S/7s=")</f>
        <v>#VALUE!</v>
      </c>
      <c r="GG39" t="e">
        <f>AND('Planilla_General_03-12-2012_9_3'!L620,"AAAAAG9S/7w=")</f>
        <v>#VALUE!</v>
      </c>
      <c r="GH39" t="e">
        <f>AND('Planilla_General_03-12-2012_9_3'!M620,"AAAAAG9S/70=")</f>
        <v>#VALUE!</v>
      </c>
      <c r="GI39" t="e">
        <f>AND('Planilla_General_03-12-2012_9_3'!N620,"AAAAAG9S/74=")</f>
        <v>#VALUE!</v>
      </c>
      <c r="GJ39" t="e">
        <f>AND('Planilla_General_03-12-2012_9_3'!O620,"AAAAAG9S/78=")</f>
        <v>#VALUE!</v>
      </c>
      <c r="GK39">
        <f>IF('Planilla_General_03-12-2012_9_3'!621:621,"AAAAAG9S/8A=",0)</f>
        <v>0</v>
      </c>
      <c r="GL39" t="e">
        <f>AND('Planilla_General_03-12-2012_9_3'!A621,"AAAAAG9S/8E=")</f>
        <v>#VALUE!</v>
      </c>
      <c r="GM39" t="e">
        <f>AND('Planilla_General_03-12-2012_9_3'!B621,"AAAAAG9S/8I=")</f>
        <v>#VALUE!</v>
      </c>
      <c r="GN39" t="e">
        <f>AND('Planilla_General_03-12-2012_9_3'!C621,"AAAAAG9S/8M=")</f>
        <v>#VALUE!</v>
      </c>
      <c r="GO39" t="e">
        <f>AND('Planilla_General_03-12-2012_9_3'!D621,"AAAAAG9S/8Q=")</f>
        <v>#VALUE!</v>
      </c>
      <c r="GP39" t="e">
        <f>AND('Planilla_General_03-12-2012_9_3'!E621,"AAAAAG9S/8U=")</f>
        <v>#VALUE!</v>
      </c>
      <c r="GQ39" t="e">
        <f>AND('Planilla_General_03-12-2012_9_3'!F621,"AAAAAG9S/8Y=")</f>
        <v>#VALUE!</v>
      </c>
      <c r="GR39" t="e">
        <f>AND('Planilla_General_03-12-2012_9_3'!G621,"AAAAAG9S/8c=")</f>
        <v>#VALUE!</v>
      </c>
      <c r="GS39" t="e">
        <f>AND('Planilla_General_03-12-2012_9_3'!H621,"AAAAAG9S/8g=")</f>
        <v>#VALUE!</v>
      </c>
      <c r="GT39" t="e">
        <f>AND('Planilla_General_03-12-2012_9_3'!I621,"AAAAAG9S/8k=")</f>
        <v>#VALUE!</v>
      </c>
      <c r="GU39" t="e">
        <f>AND('Planilla_General_03-12-2012_9_3'!J621,"AAAAAG9S/8o=")</f>
        <v>#VALUE!</v>
      </c>
      <c r="GV39" t="e">
        <f>AND('Planilla_General_03-12-2012_9_3'!K621,"AAAAAG9S/8s=")</f>
        <v>#VALUE!</v>
      </c>
      <c r="GW39" t="e">
        <f>AND('Planilla_General_03-12-2012_9_3'!L621,"AAAAAG9S/8w=")</f>
        <v>#VALUE!</v>
      </c>
      <c r="GX39" t="e">
        <f>AND('Planilla_General_03-12-2012_9_3'!M621,"AAAAAG9S/80=")</f>
        <v>#VALUE!</v>
      </c>
      <c r="GY39" t="e">
        <f>AND('Planilla_General_03-12-2012_9_3'!N621,"AAAAAG9S/84=")</f>
        <v>#VALUE!</v>
      </c>
      <c r="GZ39" t="e">
        <f>AND('Planilla_General_03-12-2012_9_3'!O621,"AAAAAG9S/88=")</f>
        <v>#VALUE!</v>
      </c>
      <c r="HA39">
        <f>IF('Planilla_General_03-12-2012_9_3'!622:622,"AAAAAG9S/9A=",0)</f>
        <v>0</v>
      </c>
      <c r="HB39" t="e">
        <f>AND('Planilla_General_03-12-2012_9_3'!A622,"AAAAAG9S/9E=")</f>
        <v>#VALUE!</v>
      </c>
      <c r="HC39" t="e">
        <f>AND('Planilla_General_03-12-2012_9_3'!B622,"AAAAAG9S/9I=")</f>
        <v>#VALUE!</v>
      </c>
      <c r="HD39" t="e">
        <f>AND('Planilla_General_03-12-2012_9_3'!C622,"AAAAAG9S/9M=")</f>
        <v>#VALUE!</v>
      </c>
      <c r="HE39" t="e">
        <f>AND('Planilla_General_03-12-2012_9_3'!D622,"AAAAAG9S/9Q=")</f>
        <v>#VALUE!</v>
      </c>
      <c r="HF39" t="e">
        <f>AND('Planilla_General_03-12-2012_9_3'!E622,"AAAAAG9S/9U=")</f>
        <v>#VALUE!</v>
      </c>
      <c r="HG39" t="e">
        <f>AND('Planilla_General_03-12-2012_9_3'!F622,"AAAAAG9S/9Y=")</f>
        <v>#VALUE!</v>
      </c>
      <c r="HH39" t="e">
        <f>AND('Planilla_General_03-12-2012_9_3'!G622,"AAAAAG9S/9c=")</f>
        <v>#VALUE!</v>
      </c>
      <c r="HI39" t="e">
        <f>AND('Planilla_General_03-12-2012_9_3'!H622,"AAAAAG9S/9g=")</f>
        <v>#VALUE!</v>
      </c>
      <c r="HJ39" t="e">
        <f>AND('Planilla_General_03-12-2012_9_3'!I622,"AAAAAG9S/9k=")</f>
        <v>#VALUE!</v>
      </c>
      <c r="HK39" t="e">
        <f>AND('Planilla_General_03-12-2012_9_3'!J622,"AAAAAG9S/9o=")</f>
        <v>#VALUE!</v>
      </c>
      <c r="HL39" t="e">
        <f>AND('Planilla_General_03-12-2012_9_3'!K622,"AAAAAG9S/9s=")</f>
        <v>#VALUE!</v>
      </c>
      <c r="HM39" t="e">
        <f>AND('Planilla_General_03-12-2012_9_3'!L622,"AAAAAG9S/9w=")</f>
        <v>#VALUE!</v>
      </c>
      <c r="HN39" t="e">
        <f>AND('Planilla_General_03-12-2012_9_3'!M622,"AAAAAG9S/90=")</f>
        <v>#VALUE!</v>
      </c>
      <c r="HO39" t="e">
        <f>AND('Planilla_General_03-12-2012_9_3'!N622,"AAAAAG9S/94=")</f>
        <v>#VALUE!</v>
      </c>
      <c r="HP39" t="e">
        <f>AND('Planilla_General_03-12-2012_9_3'!O622,"AAAAAG9S/98=")</f>
        <v>#VALUE!</v>
      </c>
      <c r="HQ39">
        <f>IF('Planilla_General_03-12-2012_9_3'!623:623,"AAAAAG9S/+A=",0)</f>
        <v>0</v>
      </c>
      <c r="HR39" t="e">
        <f>AND('Planilla_General_03-12-2012_9_3'!A623,"AAAAAG9S/+E=")</f>
        <v>#VALUE!</v>
      </c>
      <c r="HS39" t="e">
        <f>AND('Planilla_General_03-12-2012_9_3'!B623,"AAAAAG9S/+I=")</f>
        <v>#VALUE!</v>
      </c>
      <c r="HT39" t="e">
        <f>AND('Planilla_General_03-12-2012_9_3'!C623,"AAAAAG9S/+M=")</f>
        <v>#VALUE!</v>
      </c>
      <c r="HU39" t="e">
        <f>AND('Planilla_General_03-12-2012_9_3'!D623,"AAAAAG9S/+Q=")</f>
        <v>#VALUE!</v>
      </c>
      <c r="HV39" t="e">
        <f>AND('Planilla_General_03-12-2012_9_3'!E623,"AAAAAG9S/+U=")</f>
        <v>#VALUE!</v>
      </c>
      <c r="HW39" t="e">
        <f>AND('Planilla_General_03-12-2012_9_3'!F623,"AAAAAG9S/+Y=")</f>
        <v>#VALUE!</v>
      </c>
      <c r="HX39" t="e">
        <f>AND('Planilla_General_03-12-2012_9_3'!G623,"AAAAAG9S/+c=")</f>
        <v>#VALUE!</v>
      </c>
      <c r="HY39" t="e">
        <f>AND('Planilla_General_03-12-2012_9_3'!H623,"AAAAAG9S/+g=")</f>
        <v>#VALUE!</v>
      </c>
      <c r="HZ39" t="e">
        <f>AND('Planilla_General_03-12-2012_9_3'!I623,"AAAAAG9S/+k=")</f>
        <v>#VALUE!</v>
      </c>
      <c r="IA39" t="e">
        <f>AND('Planilla_General_03-12-2012_9_3'!J623,"AAAAAG9S/+o=")</f>
        <v>#VALUE!</v>
      </c>
      <c r="IB39" t="e">
        <f>AND('Planilla_General_03-12-2012_9_3'!K623,"AAAAAG9S/+s=")</f>
        <v>#VALUE!</v>
      </c>
      <c r="IC39" t="e">
        <f>AND('Planilla_General_03-12-2012_9_3'!L623,"AAAAAG9S/+w=")</f>
        <v>#VALUE!</v>
      </c>
      <c r="ID39" t="e">
        <f>AND('Planilla_General_03-12-2012_9_3'!M623,"AAAAAG9S/+0=")</f>
        <v>#VALUE!</v>
      </c>
      <c r="IE39" t="e">
        <f>AND('Planilla_General_03-12-2012_9_3'!N623,"AAAAAG9S/+4=")</f>
        <v>#VALUE!</v>
      </c>
      <c r="IF39" t="e">
        <f>AND('Planilla_General_03-12-2012_9_3'!O623,"AAAAAG9S/+8=")</f>
        <v>#VALUE!</v>
      </c>
      <c r="IG39">
        <f>IF('Planilla_General_03-12-2012_9_3'!624:624,"AAAAAG9S//A=",0)</f>
        <v>0</v>
      </c>
      <c r="IH39" t="e">
        <f>AND('Planilla_General_03-12-2012_9_3'!A624,"AAAAAG9S//E=")</f>
        <v>#VALUE!</v>
      </c>
      <c r="II39" t="e">
        <f>AND('Planilla_General_03-12-2012_9_3'!B624,"AAAAAG9S//I=")</f>
        <v>#VALUE!</v>
      </c>
      <c r="IJ39" t="e">
        <f>AND('Planilla_General_03-12-2012_9_3'!C624,"AAAAAG9S//M=")</f>
        <v>#VALUE!</v>
      </c>
      <c r="IK39" t="e">
        <f>AND('Planilla_General_03-12-2012_9_3'!D624,"AAAAAG9S//Q=")</f>
        <v>#VALUE!</v>
      </c>
      <c r="IL39" t="e">
        <f>AND('Planilla_General_03-12-2012_9_3'!E624,"AAAAAG9S//U=")</f>
        <v>#VALUE!</v>
      </c>
      <c r="IM39" t="e">
        <f>AND('Planilla_General_03-12-2012_9_3'!F624,"AAAAAG9S//Y=")</f>
        <v>#VALUE!</v>
      </c>
      <c r="IN39" t="e">
        <f>AND('Planilla_General_03-12-2012_9_3'!G624,"AAAAAG9S//c=")</f>
        <v>#VALUE!</v>
      </c>
      <c r="IO39" t="e">
        <f>AND('Planilla_General_03-12-2012_9_3'!H624,"AAAAAG9S//g=")</f>
        <v>#VALUE!</v>
      </c>
      <c r="IP39" t="e">
        <f>AND('Planilla_General_03-12-2012_9_3'!I624,"AAAAAG9S//k=")</f>
        <v>#VALUE!</v>
      </c>
      <c r="IQ39" t="e">
        <f>AND('Planilla_General_03-12-2012_9_3'!J624,"AAAAAG9S//o=")</f>
        <v>#VALUE!</v>
      </c>
      <c r="IR39" t="e">
        <f>AND('Planilla_General_03-12-2012_9_3'!K624,"AAAAAG9S//s=")</f>
        <v>#VALUE!</v>
      </c>
      <c r="IS39" t="e">
        <f>AND('Planilla_General_03-12-2012_9_3'!L624,"AAAAAG9S//w=")</f>
        <v>#VALUE!</v>
      </c>
      <c r="IT39" t="e">
        <f>AND('Planilla_General_03-12-2012_9_3'!M624,"AAAAAG9S//0=")</f>
        <v>#VALUE!</v>
      </c>
      <c r="IU39" t="e">
        <f>AND('Planilla_General_03-12-2012_9_3'!N624,"AAAAAG9S//4=")</f>
        <v>#VALUE!</v>
      </c>
      <c r="IV39" t="e">
        <f>AND('Planilla_General_03-12-2012_9_3'!O624,"AAAAAG9S//8=")</f>
        <v>#VALUE!</v>
      </c>
    </row>
    <row r="40" spans="1:256" x14ac:dyDescent="0.25">
      <c r="A40" t="e">
        <f>IF('Planilla_General_03-12-2012_9_3'!625:625,"AAAAAB934QA=",0)</f>
        <v>#VALUE!</v>
      </c>
      <c r="B40" t="e">
        <f>AND('Planilla_General_03-12-2012_9_3'!A625,"AAAAAB934QE=")</f>
        <v>#VALUE!</v>
      </c>
      <c r="C40" t="e">
        <f>AND('Planilla_General_03-12-2012_9_3'!B625,"AAAAAB934QI=")</f>
        <v>#VALUE!</v>
      </c>
      <c r="D40" t="e">
        <f>AND('Planilla_General_03-12-2012_9_3'!C625,"AAAAAB934QM=")</f>
        <v>#VALUE!</v>
      </c>
      <c r="E40" t="e">
        <f>AND('Planilla_General_03-12-2012_9_3'!D625,"AAAAAB934QQ=")</f>
        <v>#VALUE!</v>
      </c>
      <c r="F40" t="e">
        <f>AND('Planilla_General_03-12-2012_9_3'!E625,"AAAAAB934QU=")</f>
        <v>#VALUE!</v>
      </c>
      <c r="G40" t="e">
        <f>AND('Planilla_General_03-12-2012_9_3'!F625,"AAAAAB934QY=")</f>
        <v>#VALUE!</v>
      </c>
      <c r="H40" t="e">
        <f>AND('Planilla_General_03-12-2012_9_3'!G625,"AAAAAB934Qc=")</f>
        <v>#VALUE!</v>
      </c>
      <c r="I40" t="e">
        <f>AND('Planilla_General_03-12-2012_9_3'!H625,"AAAAAB934Qg=")</f>
        <v>#VALUE!</v>
      </c>
      <c r="J40" t="e">
        <f>AND('Planilla_General_03-12-2012_9_3'!I625,"AAAAAB934Qk=")</f>
        <v>#VALUE!</v>
      </c>
      <c r="K40" t="e">
        <f>AND('Planilla_General_03-12-2012_9_3'!J625,"AAAAAB934Qo=")</f>
        <v>#VALUE!</v>
      </c>
      <c r="L40" t="e">
        <f>AND('Planilla_General_03-12-2012_9_3'!K625,"AAAAAB934Qs=")</f>
        <v>#VALUE!</v>
      </c>
      <c r="M40" t="e">
        <f>AND('Planilla_General_03-12-2012_9_3'!L625,"AAAAAB934Qw=")</f>
        <v>#VALUE!</v>
      </c>
      <c r="N40" t="e">
        <f>AND('Planilla_General_03-12-2012_9_3'!M625,"AAAAAB934Q0=")</f>
        <v>#VALUE!</v>
      </c>
      <c r="O40" t="e">
        <f>AND('Planilla_General_03-12-2012_9_3'!N625,"AAAAAB934Q4=")</f>
        <v>#VALUE!</v>
      </c>
      <c r="P40" t="e">
        <f>AND('Planilla_General_03-12-2012_9_3'!O625,"AAAAAB934Q8=")</f>
        <v>#VALUE!</v>
      </c>
      <c r="Q40">
        <f>IF('Planilla_General_03-12-2012_9_3'!626:626,"AAAAAB934RA=",0)</f>
        <v>0</v>
      </c>
      <c r="R40" t="e">
        <f>AND('Planilla_General_03-12-2012_9_3'!A626,"AAAAAB934RE=")</f>
        <v>#VALUE!</v>
      </c>
      <c r="S40" t="e">
        <f>AND('Planilla_General_03-12-2012_9_3'!B626,"AAAAAB934RI=")</f>
        <v>#VALUE!</v>
      </c>
      <c r="T40" t="e">
        <f>AND('Planilla_General_03-12-2012_9_3'!C626,"AAAAAB934RM=")</f>
        <v>#VALUE!</v>
      </c>
      <c r="U40" t="e">
        <f>AND('Planilla_General_03-12-2012_9_3'!D626,"AAAAAB934RQ=")</f>
        <v>#VALUE!</v>
      </c>
      <c r="V40" t="e">
        <f>AND('Planilla_General_03-12-2012_9_3'!E626,"AAAAAB934RU=")</f>
        <v>#VALUE!</v>
      </c>
      <c r="W40" t="e">
        <f>AND('Planilla_General_03-12-2012_9_3'!F626,"AAAAAB934RY=")</f>
        <v>#VALUE!</v>
      </c>
      <c r="X40" t="e">
        <f>AND('Planilla_General_03-12-2012_9_3'!G626,"AAAAAB934Rc=")</f>
        <v>#VALUE!</v>
      </c>
      <c r="Y40" t="e">
        <f>AND('Planilla_General_03-12-2012_9_3'!H626,"AAAAAB934Rg=")</f>
        <v>#VALUE!</v>
      </c>
      <c r="Z40" t="e">
        <f>AND('Planilla_General_03-12-2012_9_3'!I626,"AAAAAB934Rk=")</f>
        <v>#VALUE!</v>
      </c>
      <c r="AA40" t="e">
        <f>AND('Planilla_General_03-12-2012_9_3'!J626,"AAAAAB934Ro=")</f>
        <v>#VALUE!</v>
      </c>
      <c r="AB40" t="e">
        <f>AND('Planilla_General_03-12-2012_9_3'!K626,"AAAAAB934Rs=")</f>
        <v>#VALUE!</v>
      </c>
      <c r="AC40" t="e">
        <f>AND('Planilla_General_03-12-2012_9_3'!L626,"AAAAAB934Rw=")</f>
        <v>#VALUE!</v>
      </c>
      <c r="AD40" t="e">
        <f>AND('Planilla_General_03-12-2012_9_3'!M626,"AAAAAB934R0=")</f>
        <v>#VALUE!</v>
      </c>
      <c r="AE40" t="e">
        <f>AND('Planilla_General_03-12-2012_9_3'!N626,"AAAAAB934R4=")</f>
        <v>#VALUE!</v>
      </c>
      <c r="AF40" t="e">
        <f>AND('Planilla_General_03-12-2012_9_3'!O626,"AAAAAB934R8=")</f>
        <v>#VALUE!</v>
      </c>
      <c r="AG40">
        <f>IF('Planilla_General_03-12-2012_9_3'!627:627,"AAAAAB934SA=",0)</f>
        <v>0</v>
      </c>
      <c r="AH40" t="e">
        <f>AND('Planilla_General_03-12-2012_9_3'!A627,"AAAAAB934SE=")</f>
        <v>#VALUE!</v>
      </c>
      <c r="AI40" t="e">
        <f>AND('Planilla_General_03-12-2012_9_3'!B627,"AAAAAB934SI=")</f>
        <v>#VALUE!</v>
      </c>
      <c r="AJ40" t="e">
        <f>AND('Planilla_General_03-12-2012_9_3'!C627,"AAAAAB934SM=")</f>
        <v>#VALUE!</v>
      </c>
      <c r="AK40" t="e">
        <f>AND('Planilla_General_03-12-2012_9_3'!D627,"AAAAAB934SQ=")</f>
        <v>#VALUE!</v>
      </c>
      <c r="AL40" t="e">
        <f>AND('Planilla_General_03-12-2012_9_3'!E627,"AAAAAB934SU=")</f>
        <v>#VALUE!</v>
      </c>
      <c r="AM40" t="e">
        <f>AND('Planilla_General_03-12-2012_9_3'!F627,"AAAAAB934SY=")</f>
        <v>#VALUE!</v>
      </c>
      <c r="AN40" t="e">
        <f>AND('Planilla_General_03-12-2012_9_3'!G627,"AAAAAB934Sc=")</f>
        <v>#VALUE!</v>
      </c>
      <c r="AO40" t="e">
        <f>AND('Planilla_General_03-12-2012_9_3'!H627,"AAAAAB934Sg=")</f>
        <v>#VALUE!</v>
      </c>
      <c r="AP40" t="e">
        <f>AND('Planilla_General_03-12-2012_9_3'!I627,"AAAAAB934Sk=")</f>
        <v>#VALUE!</v>
      </c>
      <c r="AQ40" t="e">
        <f>AND('Planilla_General_03-12-2012_9_3'!J627,"AAAAAB934So=")</f>
        <v>#VALUE!</v>
      </c>
      <c r="AR40" t="e">
        <f>AND('Planilla_General_03-12-2012_9_3'!K627,"AAAAAB934Ss=")</f>
        <v>#VALUE!</v>
      </c>
      <c r="AS40" t="e">
        <f>AND('Planilla_General_03-12-2012_9_3'!L627,"AAAAAB934Sw=")</f>
        <v>#VALUE!</v>
      </c>
      <c r="AT40" t="e">
        <f>AND('Planilla_General_03-12-2012_9_3'!M627,"AAAAAB934S0=")</f>
        <v>#VALUE!</v>
      </c>
      <c r="AU40" t="e">
        <f>AND('Planilla_General_03-12-2012_9_3'!N627,"AAAAAB934S4=")</f>
        <v>#VALUE!</v>
      </c>
      <c r="AV40" t="e">
        <f>AND('Planilla_General_03-12-2012_9_3'!O627,"AAAAAB934S8=")</f>
        <v>#VALUE!</v>
      </c>
      <c r="AW40">
        <f>IF('Planilla_General_03-12-2012_9_3'!628:628,"AAAAAB934TA=",0)</f>
        <v>0</v>
      </c>
      <c r="AX40" t="e">
        <f>AND('Planilla_General_03-12-2012_9_3'!A628,"AAAAAB934TE=")</f>
        <v>#VALUE!</v>
      </c>
      <c r="AY40" t="e">
        <f>AND('Planilla_General_03-12-2012_9_3'!B628,"AAAAAB934TI=")</f>
        <v>#VALUE!</v>
      </c>
      <c r="AZ40" t="e">
        <f>AND('Planilla_General_03-12-2012_9_3'!C628,"AAAAAB934TM=")</f>
        <v>#VALUE!</v>
      </c>
      <c r="BA40" t="e">
        <f>AND('Planilla_General_03-12-2012_9_3'!D628,"AAAAAB934TQ=")</f>
        <v>#VALUE!</v>
      </c>
      <c r="BB40" t="e">
        <f>AND('Planilla_General_03-12-2012_9_3'!E628,"AAAAAB934TU=")</f>
        <v>#VALUE!</v>
      </c>
      <c r="BC40" t="e">
        <f>AND('Planilla_General_03-12-2012_9_3'!F628,"AAAAAB934TY=")</f>
        <v>#VALUE!</v>
      </c>
      <c r="BD40" t="e">
        <f>AND('Planilla_General_03-12-2012_9_3'!G628,"AAAAAB934Tc=")</f>
        <v>#VALUE!</v>
      </c>
      <c r="BE40" t="e">
        <f>AND('Planilla_General_03-12-2012_9_3'!H628,"AAAAAB934Tg=")</f>
        <v>#VALUE!</v>
      </c>
      <c r="BF40" t="e">
        <f>AND('Planilla_General_03-12-2012_9_3'!I628,"AAAAAB934Tk=")</f>
        <v>#VALUE!</v>
      </c>
      <c r="BG40" t="e">
        <f>AND('Planilla_General_03-12-2012_9_3'!J628,"AAAAAB934To=")</f>
        <v>#VALUE!</v>
      </c>
      <c r="BH40" t="e">
        <f>AND('Planilla_General_03-12-2012_9_3'!K628,"AAAAAB934Ts=")</f>
        <v>#VALUE!</v>
      </c>
      <c r="BI40" t="e">
        <f>AND('Planilla_General_03-12-2012_9_3'!L628,"AAAAAB934Tw=")</f>
        <v>#VALUE!</v>
      </c>
      <c r="BJ40" t="e">
        <f>AND('Planilla_General_03-12-2012_9_3'!M628,"AAAAAB934T0=")</f>
        <v>#VALUE!</v>
      </c>
      <c r="BK40" t="e">
        <f>AND('Planilla_General_03-12-2012_9_3'!N628,"AAAAAB934T4=")</f>
        <v>#VALUE!</v>
      </c>
      <c r="BL40" t="e">
        <f>AND('Planilla_General_03-12-2012_9_3'!O628,"AAAAAB934T8=")</f>
        <v>#VALUE!</v>
      </c>
      <c r="BM40">
        <f>IF('Planilla_General_03-12-2012_9_3'!629:629,"AAAAAB934UA=",0)</f>
        <v>0</v>
      </c>
      <c r="BN40" t="e">
        <f>AND('Planilla_General_03-12-2012_9_3'!A629,"AAAAAB934UE=")</f>
        <v>#VALUE!</v>
      </c>
      <c r="BO40" t="e">
        <f>AND('Planilla_General_03-12-2012_9_3'!B629,"AAAAAB934UI=")</f>
        <v>#VALUE!</v>
      </c>
      <c r="BP40" t="e">
        <f>AND('Planilla_General_03-12-2012_9_3'!C629,"AAAAAB934UM=")</f>
        <v>#VALUE!</v>
      </c>
      <c r="BQ40" t="e">
        <f>AND('Planilla_General_03-12-2012_9_3'!D629,"AAAAAB934UQ=")</f>
        <v>#VALUE!</v>
      </c>
      <c r="BR40" t="e">
        <f>AND('Planilla_General_03-12-2012_9_3'!E629,"AAAAAB934UU=")</f>
        <v>#VALUE!</v>
      </c>
      <c r="BS40" t="e">
        <f>AND('Planilla_General_03-12-2012_9_3'!F629,"AAAAAB934UY=")</f>
        <v>#VALUE!</v>
      </c>
      <c r="BT40" t="e">
        <f>AND('Planilla_General_03-12-2012_9_3'!G629,"AAAAAB934Uc=")</f>
        <v>#VALUE!</v>
      </c>
      <c r="BU40" t="e">
        <f>AND('Planilla_General_03-12-2012_9_3'!H629,"AAAAAB934Ug=")</f>
        <v>#VALUE!</v>
      </c>
      <c r="BV40" t="e">
        <f>AND('Planilla_General_03-12-2012_9_3'!I629,"AAAAAB934Uk=")</f>
        <v>#VALUE!</v>
      </c>
      <c r="BW40" t="e">
        <f>AND('Planilla_General_03-12-2012_9_3'!J629,"AAAAAB934Uo=")</f>
        <v>#VALUE!</v>
      </c>
      <c r="BX40" t="e">
        <f>AND('Planilla_General_03-12-2012_9_3'!K629,"AAAAAB934Us=")</f>
        <v>#VALUE!</v>
      </c>
      <c r="BY40" t="e">
        <f>AND('Planilla_General_03-12-2012_9_3'!L629,"AAAAAB934Uw=")</f>
        <v>#VALUE!</v>
      </c>
      <c r="BZ40" t="e">
        <f>AND('Planilla_General_03-12-2012_9_3'!M629,"AAAAAB934U0=")</f>
        <v>#VALUE!</v>
      </c>
      <c r="CA40" t="e">
        <f>AND('Planilla_General_03-12-2012_9_3'!N629,"AAAAAB934U4=")</f>
        <v>#VALUE!</v>
      </c>
      <c r="CB40" t="e">
        <f>AND('Planilla_General_03-12-2012_9_3'!O629,"AAAAAB934U8=")</f>
        <v>#VALUE!</v>
      </c>
      <c r="CC40">
        <f>IF('Planilla_General_03-12-2012_9_3'!630:630,"AAAAAB934VA=",0)</f>
        <v>0</v>
      </c>
      <c r="CD40" t="e">
        <f>AND('Planilla_General_03-12-2012_9_3'!A630,"AAAAAB934VE=")</f>
        <v>#VALUE!</v>
      </c>
      <c r="CE40" t="e">
        <f>AND('Planilla_General_03-12-2012_9_3'!B630,"AAAAAB934VI=")</f>
        <v>#VALUE!</v>
      </c>
      <c r="CF40" t="e">
        <f>AND('Planilla_General_03-12-2012_9_3'!C630,"AAAAAB934VM=")</f>
        <v>#VALUE!</v>
      </c>
      <c r="CG40" t="e">
        <f>AND('Planilla_General_03-12-2012_9_3'!D630,"AAAAAB934VQ=")</f>
        <v>#VALUE!</v>
      </c>
      <c r="CH40" t="e">
        <f>AND('Planilla_General_03-12-2012_9_3'!E630,"AAAAAB934VU=")</f>
        <v>#VALUE!</v>
      </c>
      <c r="CI40" t="e">
        <f>AND('Planilla_General_03-12-2012_9_3'!F630,"AAAAAB934VY=")</f>
        <v>#VALUE!</v>
      </c>
      <c r="CJ40" t="e">
        <f>AND('Planilla_General_03-12-2012_9_3'!G630,"AAAAAB934Vc=")</f>
        <v>#VALUE!</v>
      </c>
      <c r="CK40" t="e">
        <f>AND('Planilla_General_03-12-2012_9_3'!H630,"AAAAAB934Vg=")</f>
        <v>#VALUE!</v>
      </c>
      <c r="CL40" t="e">
        <f>AND('Planilla_General_03-12-2012_9_3'!I630,"AAAAAB934Vk=")</f>
        <v>#VALUE!</v>
      </c>
      <c r="CM40" t="e">
        <f>AND('Planilla_General_03-12-2012_9_3'!J630,"AAAAAB934Vo=")</f>
        <v>#VALUE!</v>
      </c>
      <c r="CN40" t="e">
        <f>AND('Planilla_General_03-12-2012_9_3'!K630,"AAAAAB934Vs=")</f>
        <v>#VALUE!</v>
      </c>
      <c r="CO40" t="e">
        <f>AND('Planilla_General_03-12-2012_9_3'!L630,"AAAAAB934Vw=")</f>
        <v>#VALUE!</v>
      </c>
      <c r="CP40" t="e">
        <f>AND('Planilla_General_03-12-2012_9_3'!M630,"AAAAAB934V0=")</f>
        <v>#VALUE!</v>
      </c>
      <c r="CQ40" t="e">
        <f>AND('Planilla_General_03-12-2012_9_3'!N630,"AAAAAB934V4=")</f>
        <v>#VALUE!</v>
      </c>
      <c r="CR40" t="e">
        <f>AND('Planilla_General_03-12-2012_9_3'!O630,"AAAAAB934V8=")</f>
        <v>#VALUE!</v>
      </c>
      <c r="CS40">
        <f>IF('Planilla_General_03-12-2012_9_3'!631:631,"AAAAAB934WA=",0)</f>
        <v>0</v>
      </c>
      <c r="CT40" t="e">
        <f>AND('Planilla_General_03-12-2012_9_3'!A631,"AAAAAB934WE=")</f>
        <v>#VALUE!</v>
      </c>
      <c r="CU40" t="e">
        <f>AND('Planilla_General_03-12-2012_9_3'!B631,"AAAAAB934WI=")</f>
        <v>#VALUE!</v>
      </c>
      <c r="CV40" t="e">
        <f>AND('Planilla_General_03-12-2012_9_3'!C631,"AAAAAB934WM=")</f>
        <v>#VALUE!</v>
      </c>
      <c r="CW40" t="e">
        <f>AND('Planilla_General_03-12-2012_9_3'!D631,"AAAAAB934WQ=")</f>
        <v>#VALUE!</v>
      </c>
      <c r="CX40" t="e">
        <f>AND('Planilla_General_03-12-2012_9_3'!E631,"AAAAAB934WU=")</f>
        <v>#VALUE!</v>
      </c>
      <c r="CY40" t="e">
        <f>AND('Planilla_General_03-12-2012_9_3'!F631,"AAAAAB934WY=")</f>
        <v>#VALUE!</v>
      </c>
      <c r="CZ40" t="e">
        <f>AND('Planilla_General_03-12-2012_9_3'!G631,"AAAAAB934Wc=")</f>
        <v>#VALUE!</v>
      </c>
      <c r="DA40" t="e">
        <f>AND('Planilla_General_03-12-2012_9_3'!H631,"AAAAAB934Wg=")</f>
        <v>#VALUE!</v>
      </c>
      <c r="DB40" t="e">
        <f>AND('Planilla_General_03-12-2012_9_3'!I631,"AAAAAB934Wk=")</f>
        <v>#VALUE!</v>
      </c>
      <c r="DC40" t="e">
        <f>AND('Planilla_General_03-12-2012_9_3'!J631,"AAAAAB934Wo=")</f>
        <v>#VALUE!</v>
      </c>
      <c r="DD40" t="e">
        <f>AND('Planilla_General_03-12-2012_9_3'!K631,"AAAAAB934Ws=")</f>
        <v>#VALUE!</v>
      </c>
      <c r="DE40" t="e">
        <f>AND('Planilla_General_03-12-2012_9_3'!L631,"AAAAAB934Ww=")</f>
        <v>#VALUE!</v>
      </c>
      <c r="DF40" t="e">
        <f>AND('Planilla_General_03-12-2012_9_3'!M631,"AAAAAB934W0=")</f>
        <v>#VALUE!</v>
      </c>
      <c r="DG40" t="e">
        <f>AND('Planilla_General_03-12-2012_9_3'!N631,"AAAAAB934W4=")</f>
        <v>#VALUE!</v>
      </c>
      <c r="DH40" t="e">
        <f>AND('Planilla_General_03-12-2012_9_3'!O631,"AAAAAB934W8=")</f>
        <v>#VALUE!</v>
      </c>
      <c r="DI40">
        <f>IF('Planilla_General_03-12-2012_9_3'!632:632,"AAAAAB934XA=",0)</f>
        <v>0</v>
      </c>
      <c r="DJ40" t="e">
        <f>AND('Planilla_General_03-12-2012_9_3'!A632,"AAAAAB934XE=")</f>
        <v>#VALUE!</v>
      </c>
      <c r="DK40" t="e">
        <f>AND('Planilla_General_03-12-2012_9_3'!B632,"AAAAAB934XI=")</f>
        <v>#VALUE!</v>
      </c>
      <c r="DL40" t="e">
        <f>AND('Planilla_General_03-12-2012_9_3'!C632,"AAAAAB934XM=")</f>
        <v>#VALUE!</v>
      </c>
      <c r="DM40" t="e">
        <f>AND('Planilla_General_03-12-2012_9_3'!D632,"AAAAAB934XQ=")</f>
        <v>#VALUE!</v>
      </c>
      <c r="DN40" t="e">
        <f>AND('Planilla_General_03-12-2012_9_3'!E632,"AAAAAB934XU=")</f>
        <v>#VALUE!</v>
      </c>
      <c r="DO40" t="e">
        <f>AND('Planilla_General_03-12-2012_9_3'!F632,"AAAAAB934XY=")</f>
        <v>#VALUE!</v>
      </c>
      <c r="DP40" t="e">
        <f>AND('Planilla_General_03-12-2012_9_3'!G632,"AAAAAB934Xc=")</f>
        <v>#VALUE!</v>
      </c>
      <c r="DQ40" t="e">
        <f>AND('Planilla_General_03-12-2012_9_3'!H632,"AAAAAB934Xg=")</f>
        <v>#VALUE!</v>
      </c>
      <c r="DR40" t="e">
        <f>AND('Planilla_General_03-12-2012_9_3'!I632,"AAAAAB934Xk=")</f>
        <v>#VALUE!</v>
      </c>
      <c r="DS40" t="e">
        <f>AND('Planilla_General_03-12-2012_9_3'!J632,"AAAAAB934Xo=")</f>
        <v>#VALUE!</v>
      </c>
      <c r="DT40" t="e">
        <f>AND('Planilla_General_03-12-2012_9_3'!K632,"AAAAAB934Xs=")</f>
        <v>#VALUE!</v>
      </c>
      <c r="DU40" t="e">
        <f>AND('Planilla_General_03-12-2012_9_3'!L632,"AAAAAB934Xw=")</f>
        <v>#VALUE!</v>
      </c>
      <c r="DV40" t="e">
        <f>AND('Planilla_General_03-12-2012_9_3'!M632,"AAAAAB934X0=")</f>
        <v>#VALUE!</v>
      </c>
      <c r="DW40" t="e">
        <f>AND('Planilla_General_03-12-2012_9_3'!N632,"AAAAAB934X4=")</f>
        <v>#VALUE!</v>
      </c>
      <c r="DX40" t="e">
        <f>AND('Planilla_General_03-12-2012_9_3'!O632,"AAAAAB934X8=")</f>
        <v>#VALUE!</v>
      </c>
      <c r="DY40">
        <f>IF('Planilla_General_03-12-2012_9_3'!633:633,"AAAAAB934YA=",0)</f>
        <v>0</v>
      </c>
      <c r="DZ40" t="e">
        <f>AND('Planilla_General_03-12-2012_9_3'!A633,"AAAAAB934YE=")</f>
        <v>#VALUE!</v>
      </c>
      <c r="EA40" t="e">
        <f>AND('Planilla_General_03-12-2012_9_3'!B633,"AAAAAB934YI=")</f>
        <v>#VALUE!</v>
      </c>
      <c r="EB40" t="e">
        <f>AND('Planilla_General_03-12-2012_9_3'!C633,"AAAAAB934YM=")</f>
        <v>#VALUE!</v>
      </c>
      <c r="EC40" t="e">
        <f>AND('Planilla_General_03-12-2012_9_3'!D633,"AAAAAB934YQ=")</f>
        <v>#VALUE!</v>
      </c>
      <c r="ED40" t="e">
        <f>AND('Planilla_General_03-12-2012_9_3'!E633,"AAAAAB934YU=")</f>
        <v>#VALUE!</v>
      </c>
      <c r="EE40" t="e">
        <f>AND('Planilla_General_03-12-2012_9_3'!F633,"AAAAAB934YY=")</f>
        <v>#VALUE!</v>
      </c>
      <c r="EF40" t="e">
        <f>AND('Planilla_General_03-12-2012_9_3'!G633,"AAAAAB934Yc=")</f>
        <v>#VALUE!</v>
      </c>
      <c r="EG40" t="e">
        <f>AND('Planilla_General_03-12-2012_9_3'!H633,"AAAAAB934Yg=")</f>
        <v>#VALUE!</v>
      </c>
      <c r="EH40" t="e">
        <f>AND('Planilla_General_03-12-2012_9_3'!I633,"AAAAAB934Yk=")</f>
        <v>#VALUE!</v>
      </c>
      <c r="EI40" t="e">
        <f>AND('Planilla_General_03-12-2012_9_3'!J633,"AAAAAB934Yo=")</f>
        <v>#VALUE!</v>
      </c>
      <c r="EJ40" t="e">
        <f>AND('Planilla_General_03-12-2012_9_3'!K633,"AAAAAB934Ys=")</f>
        <v>#VALUE!</v>
      </c>
      <c r="EK40" t="e">
        <f>AND('Planilla_General_03-12-2012_9_3'!L633,"AAAAAB934Yw=")</f>
        <v>#VALUE!</v>
      </c>
      <c r="EL40" t="e">
        <f>AND('Planilla_General_03-12-2012_9_3'!M633,"AAAAAB934Y0=")</f>
        <v>#VALUE!</v>
      </c>
      <c r="EM40" t="e">
        <f>AND('Planilla_General_03-12-2012_9_3'!N633,"AAAAAB934Y4=")</f>
        <v>#VALUE!</v>
      </c>
      <c r="EN40" t="e">
        <f>AND('Planilla_General_03-12-2012_9_3'!O633,"AAAAAB934Y8=")</f>
        <v>#VALUE!</v>
      </c>
      <c r="EO40">
        <f>IF('Planilla_General_03-12-2012_9_3'!634:634,"AAAAAB934ZA=",0)</f>
        <v>0</v>
      </c>
      <c r="EP40" t="e">
        <f>AND('Planilla_General_03-12-2012_9_3'!A634,"AAAAAB934ZE=")</f>
        <v>#VALUE!</v>
      </c>
      <c r="EQ40" t="e">
        <f>AND('Planilla_General_03-12-2012_9_3'!B634,"AAAAAB934ZI=")</f>
        <v>#VALUE!</v>
      </c>
      <c r="ER40" t="e">
        <f>AND('Planilla_General_03-12-2012_9_3'!C634,"AAAAAB934ZM=")</f>
        <v>#VALUE!</v>
      </c>
      <c r="ES40" t="e">
        <f>AND('Planilla_General_03-12-2012_9_3'!D634,"AAAAAB934ZQ=")</f>
        <v>#VALUE!</v>
      </c>
      <c r="ET40" t="e">
        <f>AND('Planilla_General_03-12-2012_9_3'!E634,"AAAAAB934ZU=")</f>
        <v>#VALUE!</v>
      </c>
      <c r="EU40" t="e">
        <f>AND('Planilla_General_03-12-2012_9_3'!F634,"AAAAAB934ZY=")</f>
        <v>#VALUE!</v>
      </c>
      <c r="EV40" t="e">
        <f>AND('Planilla_General_03-12-2012_9_3'!G634,"AAAAAB934Zc=")</f>
        <v>#VALUE!</v>
      </c>
      <c r="EW40" t="e">
        <f>AND('Planilla_General_03-12-2012_9_3'!H634,"AAAAAB934Zg=")</f>
        <v>#VALUE!</v>
      </c>
      <c r="EX40" t="e">
        <f>AND('Planilla_General_03-12-2012_9_3'!I634,"AAAAAB934Zk=")</f>
        <v>#VALUE!</v>
      </c>
      <c r="EY40" t="e">
        <f>AND('Planilla_General_03-12-2012_9_3'!J634,"AAAAAB934Zo=")</f>
        <v>#VALUE!</v>
      </c>
      <c r="EZ40" t="e">
        <f>AND('Planilla_General_03-12-2012_9_3'!K634,"AAAAAB934Zs=")</f>
        <v>#VALUE!</v>
      </c>
      <c r="FA40" t="e">
        <f>AND('Planilla_General_03-12-2012_9_3'!L634,"AAAAAB934Zw=")</f>
        <v>#VALUE!</v>
      </c>
      <c r="FB40" t="e">
        <f>AND('Planilla_General_03-12-2012_9_3'!M634,"AAAAAB934Z0=")</f>
        <v>#VALUE!</v>
      </c>
      <c r="FC40" t="e">
        <f>AND('Planilla_General_03-12-2012_9_3'!N634,"AAAAAB934Z4=")</f>
        <v>#VALUE!</v>
      </c>
      <c r="FD40" t="e">
        <f>AND('Planilla_General_03-12-2012_9_3'!O634,"AAAAAB934Z8=")</f>
        <v>#VALUE!</v>
      </c>
      <c r="FE40">
        <f>IF('Planilla_General_03-12-2012_9_3'!635:635,"AAAAAB934aA=",0)</f>
        <v>0</v>
      </c>
      <c r="FF40" t="e">
        <f>AND('Planilla_General_03-12-2012_9_3'!A635,"AAAAAB934aE=")</f>
        <v>#VALUE!</v>
      </c>
      <c r="FG40" t="e">
        <f>AND('Planilla_General_03-12-2012_9_3'!B635,"AAAAAB934aI=")</f>
        <v>#VALUE!</v>
      </c>
      <c r="FH40" t="e">
        <f>AND('Planilla_General_03-12-2012_9_3'!C635,"AAAAAB934aM=")</f>
        <v>#VALUE!</v>
      </c>
      <c r="FI40" t="e">
        <f>AND('Planilla_General_03-12-2012_9_3'!D635,"AAAAAB934aQ=")</f>
        <v>#VALUE!</v>
      </c>
      <c r="FJ40" t="e">
        <f>AND('Planilla_General_03-12-2012_9_3'!E635,"AAAAAB934aU=")</f>
        <v>#VALUE!</v>
      </c>
      <c r="FK40" t="e">
        <f>AND('Planilla_General_03-12-2012_9_3'!F635,"AAAAAB934aY=")</f>
        <v>#VALUE!</v>
      </c>
      <c r="FL40" t="e">
        <f>AND('Planilla_General_03-12-2012_9_3'!G635,"AAAAAB934ac=")</f>
        <v>#VALUE!</v>
      </c>
      <c r="FM40" t="e">
        <f>AND('Planilla_General_03-12-2012_9_3'!H635,"AAAAAB934ag=")</f>
        <v>#VALUE!</v>
      </c>
      <c r="FN40" t="e">
        <f>AND('Planilla_General_03-12-2012_9_3'!I635,"AAAAAB934ak=")</f>
        <v>#VALUE!</v>
      </c>
      <c r="FO40" t="e">
        <f>AND('Planilla_General_03-12-2012_9_3'!J635,"AAAAAB934ao=")</f>
        <v>#VALUE!</v>
      </c>
      <c r="FP40" t="e">
        <f>AND('Planilla_General_03-12-2012_9_3'!K635,"AAAAAB934as=")</f>
        <v>#VALUE!</v>
      </c>
      <c r="FQ40" t="e">
        <f>AND('Planilla_General_03-12-2012_9_3'!L635,"AAAAAB934aw=")</f>
        <v>#VALUE!</v>
      </c>
      <c r="FR40" t="e">
        <f>AND('Planilla_General_03-12-2012_9_3'!M635,"AAAAAB934a0=")</f>
        <v>#VALUE!</v>
      </c>
      <c r="FS40" t="e">
        <f>AND('Planilla_General_03-12-2012_9_3'!N635,"AAAAAB934a4=")</f>
        <v>#VALUE!</v>
      </c>
      <c r="FT40" t="e">
        <f>AND('Planilla_General_03-12-2012_9_3'!O635,"AAAAAB934a8=")</f>
        <v>#VALUE!</v>
      </c>
      <c r="FU40">
        <f>IF('Planilla_General_03-12-2012_9_3'!636:636,"AAAAAB934bA=",0)</f>
        <v>0</v>
      </c>
      <c r="FV40" t="e">
        <f>AND('Planilla_General_03-12-2012_9_3'!A636,"AAAAAB934bE=")</f>
        <v>#VALUE!</v>
      </c>
      <c r="FW40" t="e">
        <f>AND('Planilla_General_03-12-2012_9_3'!B636,"AAAAAB934bI=")</f>
        <v>#VALUE!</v>
      </c>
      <c r="FX40" t="e">
        <f>AND('Planilla_General_03-12-2012_9_3'!C636,"AAAAAB934bM=")</f>
        <v>#VALUE!</v>
      </c>
      <c r="FY40" t="e">
        <f>AND('Planilla_General_03-12-2012_9_3'!D636,"AAAAAB934bQ=")</f>
        <v>#VALUE!</v>
      </c>
      <c r="FZ40" t="e">
        <f>AND('Planilla_General_03-12-2012_9_3'!E636,"AAAAAB934bU=")</f>
        <v>#VALUE!</v>
      </c>
      <c r="GA40" t="e">
        <f>AND('Planilla_General_03-12-2012_9_3'!F636,"AAAAAB934bY=")</f>
        <v>#VALUE!</v>
      </c>
      <c r="GB40" t="e">
        <f>AND('Planilla_General_03-12-2012_9_3'!G636,"AAAAAB934bc=")</f>
        <v>#VALUE!</v>
      </c>
      <c r="GC40" t="e">
        <f>AND('Planilla_General_03-12-2012_9_3'!H636,"AAAAAB934bg=")</f>
        <v>#VALUE!</v>
      </c>
      <c r="GD40" t="e">
        <f>AND('Planilla_General_03-12-2012_9_3'!I636,"AAAAAB934bk=")</f>
        <v>#VALUE!</v>
      </c>
      <c r="GE40" t="e">
        <f>AND('Planilla_General_03-12-2012_9_3'!J636,"AAAAAB934bo=")</f>
        <v>#VALUE!</v>
      </c>
      <c r="GF40" t="e">
        <f>AND('Planilla_General_03-12-2012_9_3'!K636,"AAAAAB934bs=")</f>
        <v>#VALUE!</v>
      </c>
      <c r="GG40" t="e">
        <f>AND('Planilla_General_03-12-2012_9_3'!L636,"AAAAAB934bw=")</f>
        <v>#VALUE!</v>
      </c>
      <c r="GH40" t="e">
        <f>AND('Planilla_General_03-12-2012_9_3'!M636,"AAAAAB934b0=")</f>
        <v>#VALUE!</v>
      </c>
      <c r="GI40" t="e">
        <f>AND('Planilla_General_03-12-2012_9_3'!N636,"AAAAAB934b4=")</f>
        <v>#VALUE!</v>
      </c>
      <c r="GJ40" t="e">
        <f>AND('Planilla_General_03-12-2012_9_3'!O636,"AAAAAB934b8=")</f>
        <v>#VALUE!</v>
      </c>
      <c r="GK40">
        <f>IF('Planilla_General_03-12-2012_9_3'!637:637,"AAAAAB934cA=",0)</f>
        <v>0</v>
      </c>
      <c r="GL40" t="e">
        <f>AND('Planilla_General_03-12-2012_9_3'!A637,"AAAAAB934cE=")</f>
        <v>#VALUE!</v>
      </c>
      <c r="GM40" t="e">
        <f>AND('Planilla_General_03-12-2012_9_3'!B637,"AAAAAB934cI=")</f>
        <v>#VALUE!</v>
      </c>
      <c r="GN40" t="e">
        <f>AND('Planilla_General_03-12-2012_9_3'!C637,"AAAAAB934cM=")</f>
        <v>#VALUE!</v>
      </c>
      <c r="GO40" t="e">
        <f>AND('Planilla_General_03-12-2012_9_3'!D637,"AAAAAB934cQ=")</f>
        <v>#VALUE!</v>
      </c>
      <c r="GP40" t="e">
        <f>AND('Planilla_General_03-12-2012_9_3'!E637,"AAAAAB934cU=")</f>
        <v>#VALUE!</v>
      </c>
      <c r="GQ40" t="e">
        <f>AND('Planilla_General_03-12-2012_9_3'!F637,"AAAAAB934cY=")</f>
        <v>#VALUE!</v>
      </c>
      <c r="GR40" t="e">
        <f>AND('Planilla_General_03-12-2012_9_3'!G637,"AAAAAB934cc=")</f>
        <v>#VALUE!</v>
      </c>
      <c r="GS40" t="e">
        <f>AND('Planilla_General_03-12-2012_9_3'!H637,"AAAAAB934cg=")</f>
        <v>#VALUE!</v>
      </c>
      <c r="GT40" t="e">
        <f>AND('Planilla_General_03-12-2012_9_3'!I637,"AAAAAB934ck=")</f>
        <v>#VALUE!</v>
      </c>
      <c r="GU40" t="e">
        <f>AND('Planilla_General_03-12-2012_9_3'!J637,"AAAAAB934co=")</f>
        <v>#VALUE!</v>
      </c>
      <c r="GV40" t="e">
        <f>AND('Planilla_General_03-12-2012_9_3'!K637,"AAAAAB934cs=")</f>
        <v>#VALUE!</v>
      </c>
      <c r="GW40" t="e">
        <f>AND('Planilla_General_03-12-2012_9_3'!L637,"AAAAAB934cw=")</f>
        <v>#VALUE!</v>
      </c>
      <c r="GX40" t="e">
        <f>AND('Planilla_General_03-12-2012_9_3'!M637,"AAAAAB934c0=")</f>
        <v>#VALUE!</v>
      </c>
      <c r="GY40" t="e">
        <f>AND('Planilla_General_03-12-2012_9_3'!N637,"AAAAAB934c4=")</f>
        <v>#VALUE!</v>
      </c>
      <c r="GZ40" t="e">
        <f>AND('Planilla_General_03-12-2012_9_3'!O637,"AAAAAB934c8=")</f>
        <v>#VALUE!</v>
      </c>
      <c r="HA40">
        <f>IF('Planilla_General_03-12-2012_9_3'!638:638,"AAAAAB934dA=",0)</f>
        <v>0</v>
      </c>
      <c r="HB40" t="e">
        <f>AND('Planilla_General_03-12-2012_9_3'!A638,"AAAAAB934dE=")</f>
        <v>#VALUE!</v>
      </c>
      <c r="HC40" t="e">
        <f>AND('Planilla_General_03-12-2012_9_3'!B638,"AAAAAB934dI=")</f>
        <v>#VALUE!</v>
      </c>
      <c r="HD40" t="e">
        <f>AND('Planilla_General_03-12-2012_9_3'!C638,"AAAAAB934dM=")</f>
        <v>#VALUE!</v>
      </c>
      <c r="HE40" t="e">
        <f>AND('Planilla_General_03-12-2012_9_3'!D638,"AAAAAB934dQ=")</f>
        <v>#VALUE!</v>
      </c>
      <c r="HF40" t="e">
        <f>AND('Planilla_General_03-12-2012_9_3'!E638,"AAAAAB934dU=")</f>
        <v>#VALUE!</v>
      </c>
      <c r="HG40" t="e">
        <f>AND('Planilla_General_03-12-2012_9_3'!F638,"AAAAAB934dY=")</f>
        <v>#VALUE!</v>
      </c>
      <c r="HH40" t="e">
        <f>AND('Planilla_General_03-12-2012_9_3'!G638,"AAAAAB934dc=")</f>
        <v>#VALUE!</v>
      </c>
      <c r="HI40" t="e">
        <f>AND('Planilla_General_03-12-2012_9_3'!H638,"AAAAAB934dg=")</f>
        <v>#VALUE!</v>
      </c>
      <c r="HJ40" t="e">
        <f>AND('Planilla_General_03-12-2012_9_3'!I638,"AAAAAB934dk=")</f>
        <v>#VALUE!</v>
      </c>
      <c r="HK40" t="e">
        <f>AND('Planilla_General_03-12-2012_9_3'!J638,"AAAAAB934do=")</f>
        <v>#VALUE!</v>
      </c>
      <c r="HL40" t="e">
        <f>AND('Planilla_General_03-12-2012_9_3'!K638,"AAAAAB934ds=")</f>
        <v>#VALUE!</v>
      </c>
      <c r="HM40" t="e">
        <f>AND('Planilla_General_03-12-2012_9_3'!L638,"AAAAAB934dw=")</f>
        <v>#VALUE!</v>
      </c>
      <c r="HN40" t="e">
        <f>AND('Planilla_General_03-12-2012_9_3'!M638,"AAAAAB934d0=")</f>
        <v>#VALUE!</v>
      </c>
      <c r="HO40" t="e">
        <f>AND('Planilla_General_03-12-2012_9_3'!N638,"AAAAAB934d4=")</f>
        <v>#VALUE!</v>
      </c>
      <c r="HP40" t="e">
        <f>AND('Planilla_General_03-12-2012_9_3'!O638,"AAAAAB934d8=")</f>
        <v>#VALUE!</v>
      </c>
      <c r="HQ40">
        <f>IF('Planilla_General_03-12-2012_9_3'!639:639,"AAAAAB934eA=",0)</f>
        <v>0</v>
      </c>
      <c r="HR40" t="e">
        <f>AND('Planilla_General_03-12-2012_9_3'!A639,"AAAAAB934eE=")</f>
        <v>#VALUE!</v>
      </c>
      <c r="HS40" t="e">
        <f>AND('Planilla_General_03-12-2012_9_3'!B639,"AAAAAB934eI=")</f>
        <v>#VALUE!</v>
      </c>
      <c r="HT40" t="e">
        <f>AND('Planilla_General_03-12-2012_9_3'!C639,"AAAAAB934eM=")</f>
        <v>#VALUE!</v>
      </c>
      <c r="HU40" t="e">
        <f>AND('Planilla_General_03-12-2012_9_3'!D639,"AAAAAB934eQ=")</f>
        <v>#VALUE!</v>
      </c>
      <c r="HV40" t="e">
        <f>AND('Planilla_General_03-12-2012_9_3'!E639,"AAAAAB934eU=")</f>
        <v>#VALUE!</v>
      </c>
      <c r="HW40" t="e">
        <f>AND('Planilla_General_03-12-2012_9_3'!F639,"AAAAAB934eY=")</f>
        <v>#VALUE!</v>
      </c>
      <c r="HX40" t="e">
        <f>AND('Planilla_General_03-12-2012_9_3'!G639,"AAAAAB934ec=")</f>
        <v>#VALUE!</v>
      </c>
      <c r="HY40" t="e">
        <f>AND('Planilla_General_03-12-2012_9_3'!H639,"AAAAAB934eg=")</f>
        <v>#VALUE!</v>
      </c>
      <c r="HZ40" t="e">
        <f>AND('Planilla_General_03-12-2012_9_3'!I639,"AAAAAB934ek=")</f>
        <v>#VALUE!</v>
      </c>
      <c r="IA40" t="e">
        <f>AND('Planilla_General_03-12-2012_9_3'!J639,"AAAAAB934eo=")</f>
        <v>#VALUE!</v>
      </c>
      <c r="IB40" t="e">
        <f>AND('Planilla_General_03-12-2012_9_3'!K639,"AAAAAB934es=")</f>
        <v>#VALUE!</v>
      </c>
      <c r="IC40" t="e">
        <f>AND('Planilla_General_03-12-2012_9_3'!L639,"AAAAAB934ew=")</f>
        <v>#VALUE!</v>
      </c>
      <c r="ID40" t="e">
        <f>AND('Planilla_General_03-12-2012_9_3'!M639,"AAAAAB934e0=")</f>
        <v>#VALUE!</v>
      </c>
      <c r="IE40" t="e">
        <f>AND('Planilla_General_03-12-2012_9_3'!N639,"AAAAAB934e4=")</f>
        <v>#VALUE!</v>
      </c>
      <c r="IF40" t="e">
        <f>AND('Planilla_General_03-12-2012_9_3'!O639,"AAAAAB934e8=")</f>
        <v>#VALUE!</v>
      </c>
      <c r="IG40">
        <f>IF('Planilla_General_03-12-2012_9_3'!640:640,"AAAAAB934fA=",0)</f>
        <v>0</v>
      </c>
      <c r="IH40" t="e">
        <f>AND('Planilla_General_03-12-2012_9_3'!A640,"AAAAAB934fE=")</f>
        <v>#VALUE!</v>
      </c>
      <c r="II40" t="e">
        <f>AND('Planilla_General_03-12-2012_9_3'!B640,"AAAAAB934fI=")</f>
        <v>#VALUE!</v>
      </c>
      <c r="IJ40" t="e">
        <f>AND('Planilla_General_03-12-2012_9_3'!C640,"AAAAAB934fM=")</f>
        <v>#VALUE!</v>
      </c>
      <c r="IK40" t="e">
        <f>AND('Planilla_General_03-12-2012_9_3'!D640,"AAAAAB934fQ=")</f>
        <v>#VALUE!</v>
      </c>
      <c r="IL40" t="e">
        <f>AND('Planilla_General_03-12-2012_9_3'!E640,"AAAAAB934fU=")</f>
        <v>#VALUE!</v>
      </c>
      <c r="IM40" t="e">
        <f>AND('Planilla_General_03-12-2012_9_3'!F640,"AAAAAB934fY=")</f>
        <v>#VALUE!</v>
      </c>
      <c r="IN40" t="e">
        <f>AND('Planilla_General_03-12-2012_9_3'!G640,"AAAAAB934fc=")</f>
        <v>#VALUE!</v>
      </c>
      <c r="IO40" t="e">
        <f>AND('Planilla_General_03-12-2012_9_3'!H640,"AAAAAB934fg=")</f>
        <v>#VALUE!</v>
      </c>
      <c r="IP40" t="e">
        <f>AND('Planilla_General_03-12-2012_9_3'!I640,"AAAAAB934fk=")</f>
        <v>#VALUE!</v>
      </c>
      <c r="IQ40" t="e">
        <f>AND('Planilla_General_03-12-2012_9_3'!J640,"AAAAAB934fo=")</f>
        <v>#VALUE!</v>
      </c>
      <c r="IR40" t="e">
        <f>AND('Planilla_General_03-12-2012_9_3'!K640,"AAAAAB934fs=")</f>
        <v>#VALUE!</v>
      </c>
      <c r="IS40" t="e">
        <f>AND('Planilla_General_03-12-2012_9_3'!L640,"AAAAAB934fw=")</f>
        <v>#VALUE!</v>
      </c>
      <c r="IT40" t="e">
        <f>AND('Planilla_General_03-12-2012_9_3'!M640,"AAAAAB934f0=")</f>
        <v>#VALUE!</v>
      </c>
      <c r="IU40" t="e">
        <f>AND('Planilla_General_03-12-2012_9_3'!N640,"AAAAAB934f4=")</f>
        <v>#VALUE!</v>
      </c>
      <c r="IV40" t="e">
        <f>AND('Planilla_General_03-12-2012_9_3'!O640,"AAAAAB934f8=")</f>
        <v>#VALUE!</v>
      </c>
    </row>
    <row r="41" spans="1:256" x14ac:dyDescent="0.25">
      <c r="A41" t="e">
        <f>IF('Planilla_General_03-12-2012_9_3'!641:641,"AAAAAG62/wA=",0)</f>
        <v>#VALUE!</v>
      </c>
      <c r="B41" t="e">
        <f>AND('Planilla_General_03-12-2012_9_3'!A641,"AAAAAG62/wE=")</f>
        <v>#VALUE!</v>
      </c>
      <c r="C41" t="e">
        <f>AND('Planilla_General_03-12-2012_9_3'!B641,"AAAAAG62/wI=")</f>
        <v>#VALUE!</v>
      </c>
      <c r="D41" t="e">
        <f>AND('Planilla_General_03-12-2012_9_3'!C641,"AAAAAG62/wM=")</f>
        <v>#VALUE!</v>
      </c>
      <c r="E41" t="e">
        <f>AND('Planilla_General_03-12-2012_9_3'!D641,"AAAAAG62/wQ=")</f>
        <v>#VALUE!</v>
      </c>
      <c r="F41" t="e">
        <f>AND('Planilla_General_03-12-2012_9_3'!E641,"AAAAAG62/wU=")</f>
        <v>#VALUE!</v>
      </c>
      <c r="G41" t="e">
        <f>AND('Planilla_General_03-12-2012_9_3'!F641,"AAAAAG62/wY=")</f>
        <v>#VALUE!</v>
      </c>
      <c r="H41" t="e">
        <f>AND('Planilla_General_03-12-2012_9_3'!G641,"AAAAAG62/wc=")</f>
        <v>#VALUE!</v>
      </c>
      <c r="I41" t="e">
        <f>AND('Planilla_General_03-12-2012_9_3'!H641,"AAAAAG62/wg=")</f>
        <v>#VALUE!</v>
      </c>
      <c r="J41" t="e">
        <f>AND('Planilla_General_03-12-2012_9_3'!I641,"AAAAAG62/wk=")</f>
        <v>#VALUE!</v>
      </c>
      <c r="K41" t="e">
        <f>AND('Planilla_General_03-12-2012_9_3'!J641,"AAAAAG62/wo=")</f>
        <v>#VALUE!</v>
      </c>
      <c r="L41" t="e">
        <f>AND('Planilla_General_03-12-2012_9_3'!K641,"AAAAAG62/ws=")</f>
        <v>#VALUE!</v>
      </c>
      <c r="M41" t="e">
        <f>AND('Planilla_General_03-12-2012_9_3'!L641,"AAAAAG62/ww=")</f>
        <v>#VALUE!</v>
      </c>
      <c r="N41" t="e">
        <f>AND('Planilla_General_03-12-2012_9_3'!M641,"AAAAAG62/w0=")</f>
        <v>#VALUE!</v>
      </c>
      <c r="O41" t="e">
        <f>AND('Planilla_General_03-12-2012_9_3'!N641,"AAAAAG62/w4=")</f>
        <v>#VALUE!</v>
      </c>
      <c r="P41" t="e">
        <f>AND('Planilla_General_03-12-2012_9_3'!O641,"AAAAAG62/w8=")</f>
        <v>#VALUE!</v>
      </c>
      <c r="Q41">
        <f>IF('Planilla_General_03-12-2012_9_3'!642:642,"AAAAAG62/xA=",0)</f>
        <v>0</v>
      </c>
      <c r="R41" t="e">
        <f>AND('Planilla_General_03-12-2012_9_3'!A642,"AAAAAG62/xE=")</f>
        <v>#VALUE!</v>
      </c>
      <c r="S41" t="e">
        <f>AND('Planilla_General_03-12-2012_9_3'!B642,"AAAAAG62/xI=")</f>
        <v>#VALUE!</v>
      </c>
      <c r="T41" t="e">
        <f>AND('Planilla_General_03-12-2012_9_3'!C642,"AAAAAG62/xM=")</f>
        <v>#VALUE!</v>
      </c>
      <c r="U41" t="e">
        <f>AND('Planilla_General_03-12-2012_9_3'!D642,"AAAAAG62/xQ=")</f>
        <v>#VALUE!</v>
      </c>
      <c r="V41" t="e">
        <f>AND('Planilla_General_03-12-2012_9_3'!E642,"AAAAAG62/xU=")</f>
        <v>#VALUE!</v>
      </c>
      <c r="W41" t="e">
        <f>AND('Planilla_General_03-12-2012_9_3'!F642,"AAAAAG62/xY=")</f>
        <v>#VALUE!</v>
      </c>
      <c r="X41" t="e">
        <f>AND('Planilla_General_03-12-2012_9_3'!G642,"AAAAAG62/xc=")</f>
        <v>#VALUE!</v>
      </c>
      <c r="Y41" t="e">
        <f>AND('Planilla_General_03-12-2012_9_3'!H642,"AAAAAG62/xg=")</f>
        <v>#VALUE!</v>
      </c>
      <c r="Z41" t="e">
        <f>AND('Planilla_General_03-12-2012_9_3'!I642,"AAAAAG62/xk=")</f>
        <v>#VALUE!</v>
      </c>
      <c r="AA41" t="e">
        <f>AND('Planilla_General_03-12-2012_9_3'!J642,"AAAAAG62/xo=")</f>
        <v>#VALUE!</v>
      </c>
      <c r="AB41" t="e">
        <f>AND('Planilla_General_03-12-2012_9_3'!K642,"AAAAAG62/xs=")</f>
        <v>#VALUE!</v>
      </c>
      <c r="AC41" t="e">
        <f>AND('Planilla_General_03-12-2012_9_3'!L642,"AAAAAG62/xw=")</f>
        <v>#VALUE!</v>
      </c>
      <c r="AD41" t="e">
        <f>AND('Planilla_General_03-12-2012_9_3'!M642,"AAAAAG62/x0=")</f>
        <v>#VALUE!</v>
      </c>
      <c r="AE41" t="e">
        <f>AND('Planilla_General_03-12-2012_9_3'!N642,"AAAAAG62/x4=")</f>
        <v>#VALUE!</v>
      </c>
      <c r="AF41" t="e">
        <f>AND('Planilla_General_03-12-2012_9_3'!O642,"AAAAAG62/x8=")</f>
        <v>#VALUE!</v>
      </c>
      <c r="AG41">
        <f>IF('Planilla_General_03-12-2012_9_3'!643:643,"AAAAAG62/yA=",0)</f>
        <v>0</v>
      </c>
      <c r="AH41" t="e">
        <f>AND('Planilla_General_03-12-2012_9_3'!A643,"AAAAAG62/yE=")</f>
        <v>#VALUE!</v>
      </c>
      <c r="AI41" t="e">
        <f>AND('Planilla_General_03-12-2012_9_3'!B643,"AAAAAG62/yI=")</f>
        <v>#VALUE!</v>
      </c>
      <c r="AJ41" t="e">
        <f>AND('Planilla_General_03-12-2012_9_3'!C643,"AAAAAG62/yM=")</f>
        <v>#VALUE!</v>
      </c>
      <c r="AK41" t="e">
        <f>AND('Planilla_General_03-12-2012_9_3'!D643,"AAAAAG62/yQ=")</f>
        <v>#VALUE!</v>
      </c>
      <c r="AL41" t="e">
        <f>AND('Planilla_General_03-12-2012_9_3'!E643,"AAAAAG62/yU=")</f>
        <v>#VALUE!</v>
      </c>
      <c r="AM41" t="e">
        <f>AND('Planilla_General_03-12-2012_9_3'!F643,"AAAAAG62/yY=")</f>
        <v>#VALUE!</v>
      </c>
      <c r="AN41" t="e">
        <f>AND('Planilla_General_03-12-2012_9_3'!G643,"AAAAAG62/yc=")</f>
        <v>#VALUE!</v>
      </c>
      <c r="AO41" t="e">
        <f>AND('Planilla_General_03-12-2012_9_3'!H643,"AAAAAG62/yg=")</f>
        <v>#VALUE!</v>
      </c>
      <c r="AP41" t="e">
        <f>AND('Planilla_General_03-12-2012_9_3'!I643,"AAAAAG62/yk=")</f>
        <v>#VALUE!</v>
      </c>
      <c r="AQ41" t="e">
        <f>AND('Planilla_General_03-12-2012_9_3'!J643,"AAAAAG62/yo=")</f>
        <v>#VALUE!</v>
      </c>
      <c r="AR41" t="e">
        <f>AND('Planilla_General_03-12-2012_9_3'!K643,"AAAAAG62/ys=")</f>
        <v>#VALUE!</v>
      </c>
      <c r="AS41" t="e">
        <f>AND('Planilla_General_03-12-2012_9_3'!L643,"AAAAAG62/yw=")</f>
        <v>#VALUE!</v>
      </c>
      <c r="AT41" t="e">
        <f>AND('Planilla_General_03-12-2012_9_3'!M643,"AAAAAG62/y0=")</f>
        <v>#VALUE!</v>
      </c>
      <c r="AU41" t="e">
        <f>AND('Planilla_General_03-12-2012_9_3'!N643,"AAAAAG62/y4=")</f>
        <v>#VALUE!</v>
      </c>
      <c r="AV41" t="e">
        <f>AND('Planilla_General_03-12-2012_9_3'!O643,"AAAAAG62/y8=")</f>
        <v>#VALUE!</v>
      </c>
      <c r="AW41">
        <f>IF('Planilla_General_03-12-2012_9_3'!644:644,"AAAAAG62/zA=",0)</f>
        <v>0</v>
      </c>
      <c r="AX41" t="e">
        <f>AND('Planilla_General_03-12-2012_9_3'!A644,"AAAAAG62/zE=")</f>
        <v>#VALUE!</v>
      </c>
      <c r="AY41" t="e">
        <f>AND('Planilla_General_03-12-2012_9_3'!B644,"AAAAAG62/zI=")</f>
        <v>#VALUE!</v>
      </c>
      <c r="AZ41" t="e">
        <f>AND('Planilla_General_03-12-2012_9_3'!C644,"AAAAAG62/zM=")</f>
        <v>#VALUE!</v>
      </c>
      <c r="BA41" t="e">
        <f>AND('Planilla_General_03-12-2012_9_3'!D644,"AAAAAG62/zQ=")</f>
        <v>#VALUE!</v>
      </c>
      <c r="BB41" t="e">
        <f>AND('Planilla_General_03-12-2012_9_3'!E644,"AAAAAG62/zU=")</f>
        <v>#VALUE!</v>
      </c>
      <c r="BC41" t="e">
        <f>AND('Planilla_General_03-12-2012_9_3'!F644,"AAAAAG62/zY=")</f>
        <v>#VALUE!</v>
      </c>
      <c r="BD41" t="e">
        <f>AND('Planilla_General_03-12-2012_9_3'!G644,"AAAAAG62/zc=")</f>
        <v>#VALUE!</v>
      </c>
      <c r="BE41" t="e">
        <f>AND('Planilla_General_03-12-2012_9_3'!H644,"AAAAAG62/zg=")</f>
        <v>#VALUE!</v>
      </c>
      <c r="BF41" t="e">
        <f>AND('Planilla_General_03-12-2012_9_3'!I644,"AAAAAG62/zk=")</f>
        <v>#VALUE!</v>
      </c>
      <c r="BG41" t="e">
        <f>AND('Planilla_General_03-12-2012_9_3'!J644,"AAAAAG62/zo=")</f>
        <v>#VALUE!</v>
      </c>
      <c r="BH41" t="e">
        <f>AND('Planilla_General_03-12-2012_9_3'!K644,"AAAAAG62/zs=")</f>
        <v>#VALUE!</v>
      </c>
      <c r="BI41" t="e">
        <f>AND('Planilla_General_03-12-2012_9_3'!L644,"AAAAAG62/zw=")</f>
        <v>#VALUE!</v>
      </c>
      <c r="BJ41" t="e">
        <f>AND('Planilla_General_03-12-2012_9_3'!M644,"AAAAAG62/z0=")</f>
        <v>#VALUE!</v>
      </c>
      <c r="BK41" t="e">
        <f>AND('Planilla_General_03-12-2012_9_3'!N644,"AAAAAG62/z4=")</f>
        <v>#VALUE!</v>
      </c>
      <c r="BL41" t="e">
        <f>AND('Planilla_General_03-12-2012_9_3'!O644,"AAAAAG62/z8=")</f>
        <v>#VALUE!</v>
      </c>
      <c r="BM41">
        <f>IF('Planilla_General_03-12-2012_9_3'!645:645,"AAAAAG62/0A=",0)</f>
        <v>0</v>
      </c>
      <c r="BN41" t="e">
        <f>AND('Planilla_General_03-12-2012_9_3'!A645,"AAAAAG62/0E=")</f>
        <v>#VALUE!</v>
      </c>
      <c r="BO41" t="e">
        <f>AND('Planilla_General_03-12-2012_9_3'!B645,"AAAAAG62/0I=")</f>
        <v>#VALUE!</v>
      </c>
      <c r="BP41" t="e">
        <f>AND('Planilla_General_03-12-2012_9_3'!C645,"AAAAAG62/0M=")</f>
        <v>#VALUE!</v>
      </c>
      <c r="BQ41" t="e">
        <f>AND('Planilla_General_03-12-2012_9_3'!D645,"AAAAAG62/0Q=")</f>
        <v>#VALUE!</v>
      </c>
      <c r="BR41" t="e">
        <f>AND('Planilla_General_03-12-2012_9_3'!E645,"AAAAAG62/0U=")</f>
        <v>#VALUE!</v>
      </c>
      <c r="BS41" t="e">
        <f>AND('Planilla_General_03-12-2012_9_3'!F645,"AAAAAG62/0Y=")</f>
        <v>#VALUE!</v>
      </c>
      <c r="BT41" t="e">
        <f>AND('Planilla_General_03-12-2012_9_3'!G645,"AAAAAG62/0c=")</f>
        <v>#VALUE!</v>
      </c>
      <c r="BU41" t="e">
        <f>AND('Planilla_General_03-12-2012_9_3'!H645,"AAAAAG62/0g=")</f>
        <v>#VALUE!</v>
      </c>
      <c r="BV41" t="e">
        <f>AND('Planilla_General_03-12-2012_9_3'!I645,"AAAAAG62/0k=")</f>
        <v>#VALUE!</v>
      </c>
      <c r="BW41" t="e">
        <f>AND('Planilla_General_03-12-2012_9_3'!J645,"AAAAAG62/0o=")</f>
        <v>#VALUE!</v>
      </c>
      <c r="BX41" t="e">
        <f>AND('Planilla_General_03-12-2012_9_3'!K645,"AAAAAG62/0s=")</f>
        <v>#VALUE!</v>
      </c>
      <c r="BY41" t="e">
        <f>AND('Planilla_General_03-12-2012_9_3'!L645,"AAAAAG62/0w=")</f>
        <v>#VALUE!</v>
      </c>
      <c r="BZ41" t="e">
        <f>AND('Planilla_General_03-12-2012_9_3'!M645,"AAAAAG62/00=")</f>
        <v>#VALUE!</v>
      </c>
      <c r="CA41" t="e">
        <f>AND('Planilla_General_03-12-2012_9_3'!N645,"AAAAAG62/04=")</f>
        <v>#VALUE!</v>
      </c>
      <c r="CB41" t="e">
        <f>AND('Planilla_General_03-12-2012_9_3'!O645,"AAAAAG62/08=")</f>
        <v>#VALUE!</v>
      </c>
      <c r="CC41">
        <f>IF('Planilla_General_03-12-2012_9_3'!646:646,"AAAAAG62/1A=",0)</f>
        <v>0</v>
      </c>
      <c r="CD41" t="e">
        <f>AND('Planilla_General_03-12-2012_9_3'!A646,"AAAAAG62/1E=")</f>
        <v>#VALUE!</v>
      </c>
      <c r="CE41" t="e">
        <f>AND('Planilla_General_03-12-2012_9_3'!B646,"AAAAAG62/1I=")</f>
        <v>#VALUE!</v>
      </c>
      <c r="CF41" t="e">
        <f>AND('Planilla_General_03-12-2012_9_3'!C646,"AAAAAG62/1M=")</f>
        <v>#VALUE!</v>
      </c>
      <c r="CG41" t="e">
        <f>AND('Planilla_General_03-12-2012_9_3'!D646,"AAAAAG62/1Q=")</f>
        <v>#VALUE!</v>
      </c>
      <c r="CH41" t="e">
        <f>AND('Planilla_General_03-12-2012_9_3'!E646,"AAAAAG62/1U=")</f>
        <v>#VALUE!</v>
      </c>
      <c r="CI41" t="e">
        <f>AND('Planilla_General_03-12-2012_9_3'!F646,"AAAAAG62/1Y=")</f>
        <v>#VALUE!</v>
      </c>
      <c r="CJ41" t="e">
        <f>AND('Planilla_General_03-12-2012_9_3'!G646,"AAAAAG62/1c=")</f>
        <v>#VALUE!</v>
      </c>
      <c r="CK41" t="e">
        <f>AND('Planilla_General_03-12-2012_9_3'!H646,"AAAAAG62/1g=")</f>
        <v>#VALUE!</v>
      </c>
      <c r="CL41" t="e">
        <f>AND('Planilla_General_03-12-2012_9_3'!I646,"AAAAAG62/1k=")</f>
        <v>#VALUE!</v>
      </c>
      <c r="CM41" t="e">
        <f>AND('Planilla_General_03-12-2012_9_3'!J646,"AAAAAG62/1o=")</f>
        <v>#VALUE!</v>
      </c>
      <c r="CN41" t="e">
        <f>AND('Planilla_General_03-12-2012_9_3'!K646,"AAAAAG62/1s=")</f>
        <v>#VALUE!</v>
      </c>
      <c r="CO41" t="e">
        <f>AND('Planilla_General_03-12-2012_9_3'!L646,"AAAAAG62/1w=")</f>
        <v>#VALUE!</v>
      </c>
      <c r="CP41" t="e">
        <f>AND('Planilla_General_03-12-2012_9_3'!M646,"AAAAAG62/10=")</f>
        <v>#VALUE!</v>
      </c>
      <c r="CQ41" t="e">
        <f>AND('Planilla_General_03-12-2012_9_3'!N646,"AAAAAG62/14=")</f>
        <v>#VALUE!</v>
      </c>
      <c r="CR41" t="e">
        <f>AND('Planilla_General_03-12-2012_9_3'!O646,"AAAAAG62/18=")</f>
        <v>#VALUE!</v>
      </c>
      <c r="CS41">
        <f>IF('Planilla_General_03-12-2012_9_3'!647:647,"AAAAAG62/2A=",0)</f>
        <v>0</v>
      </c>
      <c r="CT41" t="e">
        <f>AND('Planilla_General_03-12-2012_9_3'!A647,"AAAAAG62/2E=")</f>
        <v>#VALUE!</v>
      </c>
      <c r="CU41" t="e">
        <f>AND('Planilla_General_03-12-2012_9_3'!B647,"AAAAAG62/2I=")</f>
        <v>#VALUE!</v>
      </c>
      <c r="CV41" t="e">
        <f>AND('Planilla_General_03-12-2012_9_3'!C647,"AAAAAG62/2M=")</f>
        <v>#VALUE!</v>
      </c>
      <c r="CW41" t="e">
        <f>AND('Planilla_General_03-12-2012_9_3'!D647,"AAAAAG62/2Q=")</f>
        <v>#VALUE!</v>
      </c>
      <c r="CX41" t="e">
        <f>AND('Planilla_General_03-12-2012_9_3'!E647,"AAAAAG62/2U=")</f>
        <v>#VALUE!</v>
      </c>
      <c r="CY41" t="e">
        <f>AND('Planilla_General_03-12-2012_9_3'!F647,"AAAAAG62/2Y=")</f>
        <v>#VALUE!</v>
      </c>
      <c r="CZ41" t="e">
        <f>AND('Planilla_General_03-12-2012_9_3'!G647,"AAAAAG62/2c=")</f>
        <v>#VALUE!</v>
      </c>
      <c r="DA41" t="e">
        <f>AND('Planilla_General_03-12-2012_9_3'!H647,"AAAAAG62/2g=")</f>
        <v>#VALUE!</v>
      </c>
      <c r="DB41" t="e">
        <f>AND('Planilla_General_03-12-2012_9_3'!I647,"AAAAAG62/2k=")</f>
        <v>#VALUE!</v>
      </c>
      <c r="DC41" t="e">
        <f>AND('Planilla_General_03-12-2012_9_3'!J647,"AAAAAG62/2o=")</f>
        <v>#VALUE!</v>
      </c>
      <c r="DD41" t="e">
        <f>AND('Planilla_General_03-12-2012_9_3'!K647,"AAAAAG62/2s=")</f>
        <v>#VALUE!</v>
      </c>
      <c r="DE41" t="e">
        <f>AND('Planilla_General_03-12-2012_9_3'!L647,"AAAAAG62/2w=")</f>
        <v>#VALUE!</v>
      </c>
      <c r="DF41" t="e">
        <f>AND('Planilla_General_03-12-2012_9_3'!M647,"AAAAAG62/20=")</f>
        <v>#VALUE!</v>
      </c>
      <c r="DG41" t="e">
        <f>AND('Planilla_General_03-12-2012_9_3'!N647,"AAAAAG62/24=")</f>
        <v>#VALUE!</v>
      </c>
      <c r="DH41" t="e">
        <f>AND('Planilla_General_03-12-2012_9_3'!O647,"AAAAAG62/28=")</f>
        <v>#VALUE!</v>
      </c>
      <c r="DI41">
        <f>IF('Planilla_General_03-12-2012_9_3'!648:648,"AAAAAG62/3A=",0)</f>
        <v>0</v>
      </c>
      <c r="DJ41" t="e">
        <f>AND('Planilla_General_03-12-2012_9_3'!A648,"AAAAAG62/3E=")</f>
        <v>#VALUE!</v>
      </c>
      <c r="DK41" t="e">
        <f>AND('Planilla_General_03-12-2012_9_3'!B648,"AAAAAG62/3I=")</f>
        <v>#VALUE!</v>
      </c>
      <c r="DL41" t="e">
        <f>AND('Planilla_General_03-12-2012_9_3'!C648,"AAAAAG62/3M=")</f>
        <v>#VALUE!</v>
      </c>
      <c r="DM41" t="e">
        <f>AND('Planilla_General_03-12-2012_9_3'!D648,"AAAAAG62/3Q=")</f>
        <v>#VALUE!</v>
      </c>
      <c r="DN41" t="e">
        <f>AND('Planilla_General_03-12-2012_9_3'!E648,"AAAAAG62/3U=")</f>
        <v>#VALUE!</v>
      </c>
      <c r="DO41" t="e">
        <f>AND('Planilla_General_03-12-2012_9_3'!F648,"AAAAAG62/3Y=")</f>
        <v>#VALUE!</v>
      </c>
      <c r="DP41" t="e">
        <f>AND('Planilla_General_03-12-2012_9_3'!G648,"AAAAAG62/3c=")</f>
        <v>#VALUE!</v>
      </c>
      <c r="DQ41" t="e">
        <f>AND('Planilla_General_03-12-2012_9_3'!H648,"AAAAAG62/3g=")</f>
        <v>#VALUE!</v>
      </c>
      <c r="DR41" t="e">
        <f>AND('Planilla_General_03-12-2012_9_3'!I648,"AAAAAG62/3k=")</f>
        <v>#VALUE!</v>
      </c>
      <c r="DS41" t="e">
        <f>AND('Planilla_General_03-12-2012_9_3'!J648,"AAAAAG62/3o=")</f>
        <v>#VALUE!</v>
      </c>
      <c r="DT41" t="e">
        <f>AND('Planilla_General_03-12-2012_9_3'!K648,"AAAAAG62/3s=")</f>
        <v>#VALUE!</v>
      </c>
      <c r="DU41" t="e">
        <f>AND('Planilla_General_03-12-2012_9_3'!L648,"AAAAAG62/3w=")</f>
        <v>#VALUE!</v>
      </c>
      <c r="DV41" t="e">
        <f>AND('Planilla_General_03-12-2012_9_3'!M648,"AAAAAG62/30=")</f>
        <v>#VALUE!</v>
      </c>
      <c r="DW41" t="e">
        <f>AND('Planilla_General_03-12-2012_9_3'!N648,"AAAAAG62/34=")</f>
        <v>#VALUE!</v>
      </c>
      <c r="DX41" t="e">
        <f>AND('Planilla_General_03-12-2012_9_3'!O648,"AAAAAG62/38=")</f>
        <v>#VALUE!</v>
      </c>
      <c r="DY41">
        <f>IF('Planilla_General_03-12-2012_9_3'!649:649,"AAAAAG62/4A=",0)</f>
        <v>0</v>
      </c>
      <c r="DZ41" t="e">
        <f>AND('Planilla_General_03-12-2012_9_3'!A649,"AAAAAG62/4E=")</f>
        <v>#VALUE!</v>
      </c>
      <c r="EA41" t="e">
        <f>AND('Planilla_General_03-12-2012_9_3'!B649,"AAAAAG62/4I=")</f>
        <v>#VALUE!</v>
      </c>
      <c r="EB41" t="e">
        <f>AND('Planilla_General_03-12-2012_9_3'!C649,"AAAAAG62/4M=")</f>
        <v>#VALUE!</v>
      </c>
      <c r="EC41" t="e">
        <f>AND('Planilla_General_03-12-2012_9_3'!D649,"AAAAAG62/4Q=")</f>
        <v>#VALUE!</v>
      </c>
      <c r="ED41" t="e">
        <f>AND('Planilla_General_03-12-2012_9_3'!E649,"AAAAAG62/4U=")</f>
        <v>#VALUE!</v>
      </c>
      <c r="EE41" t="e">
        <f>AND('Planilla_General_03-12-2012_9_3'!F649,"AAAAAG62/4Y=")</f>
        <v>#VALUE!</v>
      </c>
      <c r="EF41" t="e">
        <f>AND('Planilla_General_03-12-2012_9_3'!G649,"AAAAAG62/4c=")</f>
        <v>#VALUE!</v>
      </c>
      <c r="EG41" t="e">
        <f>AND('Planilla_General_03-12-2012_9_3'!H649,"AAAAAG62/4g=")</f>
        <v>#VALUE!</v>
      </c>
      <c r="EH41" t="e">
        <f>AND('Planilla_General_03-12-2012_9_3'!I649,"AAAAAG62/4k=")</f>
        <v>#VALUE!</v>
      </c>
      <c r="EI41" t="e">
        <f>AND('Planilla_General_03-12-2012_9_3'!J649,"AAAAAG62/4o=")</f>
        <v>#VALUE!</v>
      </c>
      <c r="EJ41" t="e">
        <f>AND('Planilla_General_03-12-2012_9_3'!K649,"AAAAAG62/4s=")</f>
        <v>#VALUE!</v>
      </c>
      <c r="EK41" t="e">
        <f>AND('Planilla_General_03-12-2012_9_3'!L649,"AAAAAG62/4w=")</f>
        <v>#VALUE!</v>
      </c>
      <c r="EL41" t="e">
        <f>AND('Planilla_General_03-12-2012_9_3'!M649,"AAAAAG62/40=")</f>
        <v>#VALUE!</v>
      </c>
      <c r="EM41" t="e">
        <f>AND('Planilla_General_03-12-2012_9_3'!N649,"AAAAAG62/44=")</f>
        <v>#VALUE!</v>
      </c>
      <c r="EN41" t="e">
        <f>AND('Planilla_General_03-12-2012_9_3'!O649,"AAAAAG62/48=")</f>
        <v>#VALUE!</v>
      </c>
      <c r="EO41">
        <f>IF('Planilla_General_03-12-2012_9_3'!650:650,"AAAAAG62/5A=",0)</f>
        <v>0</v>
      </c>
      <c r="EP41" t="e">
        <f>AND('Planilla_General_03-12-2012_9_3'!A650,"AAAAAG62/5E=")</f>
        <v>#VALUE!</v>
      </c>
      <c r="EQ41" t="e">
        <f>AND('Planilla_General_03-12-2012_9_3'!B650,"AAAAAG62/5I=")</f>
        <v>#VALUE!</v>
      </c>
      <c r="ER41" t="e">
        <f>AND('Planilla_General_03-12-2012_9_3'!C650,"AAAAAG62/5M=")</f>
        <v>#VALUE!</v>
      </c>
      <c r="ES41" t="e">
        <f>AND('Planilla_General_03-12-2012_9_3'!D650,"AAAAAG62/5Q=")</f>
        <v>#VALUE!</v>
      </c>
      <c r="ET41" t="e">
        <f>AND('Planilla_General_03-12-2012_9_3'!E650,"AAAAAG62/5U=")</f>
        <v>#VALUE!</v>
      </c>
      <c r="EU41" t="e">
        <f>AND('Planilla_General_03-12-2012_9_3'!F650,"AAAAAG62/5Y=")</f>
        <v>#VALUE!</v>
      </c>
      <c r="EV41" t="e">
        <f>AND('Planilla_General_03-12-2012_9_3'!G650,"AAAAAG62/5c=")</f>
        <v>#VALUE!</v>
      </c>
      <c r="EW41" t="e">
        <f>AND('Planilla_General_03-12-2012_9_3'!H650,"AAAAAG62/5g=")</f>
        <v>#VALUE!</v>
      </c>
      <c r="EX41" t="e">
        <f>AND('Planilla_General_03-12-2012_9_3'!I650,"AAAAAG62/5k=")</f>
        <v>#VALUE!</v>
      </c>
      <c r="EY41" t="e">
        <f>AND('Planilla_General_03-12-2012_9_3'!J650,"AAAAAG62/5o=")</f>
        <v>#VALUE!</v>
      </c>
      <c r="EZ41" t="e">
        <f>AND('Planilla_General_03-12-2012_9_3'!K650,"AAAAAG62/5s=")</f>
        <v>#VALUE!</v>
      </c>
      <c r="FA41" t="e">
        <f>AND('Planilla_General_03-12-2012_9_3'!L650,"AAAAAG62/5w=")</f>
        <v>#VALUE!</v>
      </c>
      <c r="FB41" t="e">
        <f>AND('Planilla_General_03-12-2012_9_3'!M650,"AAAAAG62/50=")</f>
        <v>#VALUE!</v>
      </c>
      <c r="FC41" t="e">
        <f>AND('Planilla_General_03-12-2012_9_3'!N650,"AAAAAG62/54=")</f>
        <v>#VALUE!</v>
      </c>
      <c r="FD41" t="e">
        <f>AND('Planilla_General_03-12-2012_9_3'!O650,"AAAAAG62/58=")</f>
        <v>#VALUE!</v>
      </c>
      <c r="FE41">
        <f>IF('Planilla_General_03-12-2012_9_3'!651:651,"AAAAAG62/6A=",0)</f>
        <v>0</v>
      </c>
      <c r="FF41" t="e">
        <f>AND('Planilla_General_03-12-2012_9_3'!A651,"AAAAAG62/6E=")</f>
        <v>#VALUE!</v>
      </c>
      <c r="FG41" t="e">
        <f>AND('Planilla_General_03-12-2012_9_3'!B651,"AAAAAG62/6I=")</f>
        <v>#VALUE!</v>
      </c>
      <c r="FH41" t="e">
        <f>AND('Planilla_General_03-12-2012_9_3'!C651,"AAAAAG62/6M=")</f>
        <v>#VALUE!</v>
      </c>
      <c r="FI41" t="e">
        <f>AND('Planilla_General_03-12-2012_9_3'!D651,"AAAAAG62/6Q=")</f>
        <v>#VALUE!</v>
      </c>
      <c r="FJ41" t="e">
        <f>AND('Planilla_General_03-12-2012_9_3'!E651,"AAAAAG62/6U=")</f>
        <v>#VALUE!</v>
      </c>
      <c r="FK41" t="e">
        <f>AND('Planilla_General_03-12-2012_9_3'!F651,"AAAAAG62/6Y=")</f>
        <v>#VALUE!</v>
      </c>
      <c r="FL41" t="e">
        <f>AND('Planilla_General_03-12-2012_9_3'!G651,"AAAAAG62/6c=")</f>
        <v>#VALUE!</v>
      </c>
      <c r="FM41" t="e">
        <f>AND('Planilla_General_03-12-2012_9_3'!H651,"AAAAAG62/6g=")</f>
        <v>#VALUE!</v>
      </c>
      <c r="FN41" t="e">
        <f>AND('Planilla_General_03-12-2012_9_3'!I651,"AAAAAG62/6k=")</f>
        <v>#VALUE!</v>
      </c>
      <c r="FO41" t="e">
        <f>AND('Planilla_General_03-12-2012_9_3'!J651,"AAAAAG62/6o=")</f>
        <v>#VALUE!</v>
      </c>
      <c r="FP41" t="e">
        <f>AND('Planilla_General_03-12-2012_9_3'!K651,"AAAAAG62/6s=")</f>
        <v>#VALUE!</v>
      </c>
      <c r="FQ41" t="e">
        <f>AND('Planilla_General_03-12-2012_9_3'!L651,"AAAAAG62/6w=")</f>
        <v>#VALUE!</v>
      </c>
      <c r="FR41" t="e">
        <f>AND('Planilla_General_03-12-2012_9_3'!M651,"AAAAAG62/60=")</f>
        <v>#VALUE!</v>
      </c>
      <c r="FS41" t="e">
        <f>AND('Planilla_General_03-12-2012_9_3'!N651,"AAAAAG62/64=")</f>
        <v>#VALUE!</v>
      </c>
      <c r="FT41" t="e">
        <f>AND('Planilla_General_03-12-2012_9_3'!O651,"AAAAAG62/68=")</f>
        <v>#VALUE!</v>
      </c>
      <c r="FU41">
        <f>IF('Planilla_General_03-12-2012_9_3'!652:652,"AAAAAG62/7A=",0)</f>
        <v>0</v>
      </c>
      <c r="FV41" t="e">
        <f>AND('Planilla_General_03-12-2012_9_3'!A652,"AAAAAG62/7E=")</f>
        <v>#VALUE!</v>
      </c>
      <c r="FW41" t="e">
        <f>AND('Planilla_General_03-12-2012_9_3'!B652,"AAAAAG62/7I=")</f>
        <v>#VALUE!</v>
      </c>
      <c r="FX41" t="e">
        <f>AND('Planilla_General_03-12-2012_9_3'!C652,"AAAAAG62/7M=")</f>
        <v>#VALUE!</v>
      </c>
      <c r="FY41" t="e">
        <f>AND('Planilla_General_03-12-2012_9_3'!D652,"AAAAAG62/7Q=")</f>
        <v>#VALUE!</v>
      </c>
      <c r="FZ41" t="e">
        <f>AND('Planilla_General_03-12-2012_9_3'!E652,"AAAAAG62/7U=")</f>
        <v>#VALUE!</v>
      </c>
      <c r="GA41" t="e">
        <f>AND('Planilla_General_03-12-2012_9_3'!F652,"AAAAAG62/7Y=")</f>
        <v>#VALUE!</v>
      </c>
      <c r="GB41" t="e">
        <f>AND('Planilla_General_03-12-2012_9_3'!G652,"AAAAAG62/7c=")</f>
        <v>#VALUE!</v>
      </c>
      <c r="GC41" t="e">
        <f>AND('Planilla_General_03-12-2012_9_3'!H652,"AAAAAG62/7g=")</f>
        <v>#VALUE!</v>
      </c>
      <c r="GD41" t="e">
        <f>AND('Planilla_General_03-12-2012_9_3'!I652,"AAAAAG62/7k=")</f>
        <v>#VALUE!</v>
      </c>
      <c r="GE41" t="e">
        <f>AND('Planilla_General_03-12-2012_9_3'!J652,"AAAAAG62/7o=")</f>
        <v>#VALUE!</v>
      </c>
      <c r="GF41" t="e">
        <f>AND('Planilla_General_03-12-2012_9_3'!K652,"AAAAAG62/7s=")</f>
        <v>#VALUE!</v>
      </c>
      <c r="GG41" t="e">
        <f>AND('Planilla_General_03-12-2012_9_3'!L652,"AAAAAG62/7w=")</f>
        <v>#VALUE!</v>
      </c>
      <c r="GH41" t="e">
        <f>AND('Planilla_General_03-12-2012_9_3'!M652,"AAAAAG62/70=")</f>
        <v>#VALUE!</v>
      </c>
      <c r="GI41" t="e">
        <f>AND('Planilla_General_03-12-2012_9_3'!N652,"AAAAAG62/74=")</f>
        <v>#VALUE!</v>
      </c>
      <c r="GJ41" t="e">
        <f>AND('Planilla_General_03-12-2012_9_3'!O652,"AAAAAG62/78=")</f>
        <v>#VALUE!</v>
      </c>
      <c r="GK41">
        <f>IF('Planilla_General_03-12-2012_9_3'!653:653,"AAAAAG62/8A=",0)</f>
        <v>0</v>
      </c>
      <c r="GL41" t="e">
        <f>AND('Planilla_General_03-12-2012_9_3'!A653,"AAAAAG62/8E=")</f>
        <v>#VALUE!</v>
      </c>
      <c r="GM41" t="e">
        <f>AND('Planilla_General_03-12-2012_9_3'!B653,"AAAAAG62/8I=")</f>
        <v>#VALUE!</v>
      </c>
      <c r="GN41" t="e">
        <f>AND('Planilla_General_03-12-2012_9_3'!C653,"AAAAAG62/8M=")</f>
        <v>#VALUE!</v>
      </c>
      <c r="GO41" t="e">
        <f>AND('Planilla_General_03-12-2012_9_3'!D653,"AAAAAG62/8Q=")</f>
        <v>#VALUE!</v>
      </c>
      <c r="GP41" t="e">
        <f>AND('Planilla_General_03-12-2012_9_3'!E653,"AAAAAG62/8U=")</f>
        <v>#VALUE!</v>
      </c>
      <c r="GQ41" t="e">
        <f>AND('Planilla_General_03-12-2012_9_3'!F653,"AAAAAG62/8Y=")</f>
        <v>#VALUE!</v>
      </c>
      <c r="GR41" t="e">
        <f>AND('Planilla_General_03-12-2012_9_3'!G653,"AAAAAG62/8c=")</f>
        <v>#VALUE!</v>
      </c>
      <c r="GS41" t="e">
        <f>AND('Planilla_General_03-12-2012_9_3'!H653,"AAAAAG62/8g=")</f>
        <v>#VALUE!</v>
      </c>
      <c r="GT41" t="e">
        <f>AND('Planilla_General_03-12-2012_9_3'!I653,"AAAAAG62/8k=")</f>
        <v>#VALUE!</v>
      </c>
      <c r="GU41" t="e">
        <f>AND('Planilla_General_03-12-2012_9_3'!J653,"AAAAAG62/8o=")</f>
        <v>#VALUE!</v>
      </c>
      <c r="GV41" t="e">
        <f>AND('Planilla_General_03-12-2012_9_3'!K653,"AAAAAG62/8s=")</f>
        <v>#VALUE!</v>
      </c>
      <c r="GW41" t="e">
        <f>AND('Planilla_General_03-12-2012_9_3'!L653,"AAAAAG62/8w=")</f>
        <v>#VALUE!</v>
      </c>
      <c r="GX41" t="e">
        <f>AND('Planilla_General_03-12-2012_9_3'!M653,"AAAAAG62/80=")</f>
        <v>#VALUE!</v>
      </c>
      <c r="GY41" t="e">
        <f>AND('Planilla_General_03-12-2012_9_3'!N653,"AAAAAG62/84=")</f>
        <v>#VALUE!</v>
      </c>
      <c r="GZ41" t="e">
        <f>AND('Planilla_General_03-12-2012_9_3'!O653,"AAAAAG62/88=")</f>
        <v>#VALUE!</v>
      </c>
      <c r="HA41">
        <f>IF('Planilla_General_03-12-2012_9_3'!654:654,"AAAAAG62/9A=",0)</f>
        <v>0</v>
      </c>
      <c r="HB41" t="e">
        <f>AND('Planilla_General_03-12-2012_9_3'!A654,"AAAAAG62/9E=")</f>
        <v>#VALUE!</v>
      </c>
      <c r="HC41" t="e">
        <f>AND('Planilla_General_03-12-2012_9_3'!B654,"AAAAAG62/9I=")</f>
        <v>#VALUE!</v>
      </c>
      <c r="HD41" t="e">
        <f>AND('Planilla_General_03-12-2012_9_3'!C654,"AAAAAG62/9M=")</f>
        <v>#VALUE!</v>
      </c>
      <c r="HE41" t="e">
        <f>AND('Planilla_General_03-12-2012_9_3'!D654,"AAAAAG62/9Q=")</f>
        <v>#VALUE!</v>
      </c>
      <c r="HF41" t="e">
        <f>AND('Planilla_General_03-12-2012_9_3'!E654,"AAAAAG62/9U=")</f>
        <v>#VALUE!</v>
      </c>
      <c r="HG41" t="e">
        <f>AND('Planilla_General_03-12-2012_9_3'!F654,"AAAAAG62/9Y=")</f>
        <v>#VALUE!</v>
      </c>
      <c r="HH41" t="e">
        <f>AND('Planilla_General_03-12-2012_9_3'!G654,"AAAAAG62/9c=")</f>
        <v>#VALUE!</v>
      </c>
      <c r="HI41" t="e">
        <f>AND('Planilla_General_03-12-2012_9_3'!H654,"AAAAAG62/9g=")</f>
        <v>#VALUE!</v>
      </c>
      <c r="HJ41" t="e">
        <f>AND('Planilla_General_03-12-2012_9_3'!I654,"AAAAAG62/9k=")</f>
        <v>#VALUE!</v>
      </c>
      <c r="HK41" t="e">
        <f>AND('Planilla_General_03-12-2012_9_3'!J654,"AAAAAG62/9o=")</f>
        <v>#VALUE!</v>
      </c>
      <c r="HL41" t="e">
        <f>AND('Planilla_General_03-12-2012_9_3'!K654,"AAAAAG62/9s=")</f>
        <v>#VALUE!</v>
      </c>
      <c r="HM41" t="e">
        <f>AND('Planilla_General_03-12-2012_9_3'!L654,"AAAAAG62/9w=")</f>
        <v>#VALUE!</v>
      </c>
      <c r="HN41" t="e">
        <f>AND('Planilla_General_03-12-2012_9_3'!M654,"AAAAAG62/90=")</f>
        <v>#VALUE!</v>
      </c>
      <c r="HO41" t="e">
        <f>AND('Planilla_General_03-12-2012_9_3'!N654,"AAAAAG62/94=")</f>
        <v>#VALUE!</v>
      </c>
      <c r="HP41" t="e">
        <f>AND('Planilla_General_03-12-2012_9_3'!O654,"AAAAAG62/98=")</f>
        <v>#VALUE!</v>
      </c>
      <c r="HQ41">
        <f>IF('Planilla_General_03-12-2012_9_3'!655:655,"AAAAAG62/+A=",0)</f>
        <v>0</v>
      </c>
      <c r="HR41" t="e">
        <f>AND('Planilla_General_03-12-2012_9_3'!A655,"AAAAAG62/+E=")</f>
        <v>#VALUE!</v>
      </c>
      <c r="HS41" t="e">
        <f>AND('Planilla_General_03-12-2012_9_3'!B655,"AAAAAG62/+I=")</f>
        <v>#VALUE!</v>
      </c>
      <c r="HT41" t="e">
        <f>AND('Planilla_General_03-12-2012_9_3'!C655,"AAAAAG62/+M=")</f>
        <v>#VALUE!</v>
      </c>
      <c r="HU41" t="e">
        <f>AND('Planilla_General_03-12-2012_9_3'!D655,"AAAAAG62/+Q=")</f>
        <v>#VALUE!</v>
      </c>
      <c r="HV41" t="e">
        <f>AND('Planilla_General_03-12-2012_9_3'!E655,"AAAAAG62/+U=")</f>
        <v>#VALUE!</v>
      </c>
      <c r="HW41" t="e">
        <f>AND('Planilla_General_03-12-2012_9_3'!F655,"AAAAAG62/+Y=")</f>
        <v>#VALUE!</v>
      </c>
      <c r="HX41" t="e">
        <f>AND('Planilla_General_03-12-2012_9_3'!G655,"AAAAAG62/+c=")</f>
        <v>#VALUE!</v>
      </c>
      <c r="HY41" t="e">
        <f>AND('Planilla_General_03-12-2012_9_3'!H655,"AAAAAG62/+g=")</f>
        <v>#VALUE!</v>
      </c>
      <c r="HZ41" t="e">
        <f>AND('Planilla_General_03-12-2012_9_3'!I655,"AAAAAG62/+k=")</f>
        <v>#VALUE!</v>
      </c>
      <c r="IA41" t="e">
        <f>AND('Planilla_General_03-12-2012_9_3'!J655,"AAAAAG62/+o=")</f>
        <v>#VALUE!</v>
      </c>
      <c r="IB41" t="e">
        <f>AND('Planilla_General_03-12-2012_9_3'!K655,"AAAAAG62/+s=")</f>
        <v>#VALUE!</v>
      </c>
      <c r="IC41" t="e">
        <f>AND('Planilla_General_03-12-2012_9_3'!L655,"AAAAAG62/+w=")</f>
        <v>#VALUE!</v>
      </c>
      <c r="ID41" t="e">
        <f>AND('Planilla_General_03-12-2012_9_3'!M655,"AAAAAG62/+0=")</f>
        <v>#VALUE!</v>
      </c>
      <c r="IE41" t="e">
        <f>AND('Planilla_General_03-12-2012_9_3'!N655,"AAAAAG62/+4=")</f>
        <v>#VALUE!</v>
      </c>
      <c r="IF41" t="e">
        <f>AND('Planilla_General_03-12-2012_9_3'!O655,"AAAAAG62/+8=")</f>
        <v>#VALUE!</v>
      </c>
      <c r="IG41">
        <f>IF('Planilla_General_03-12-2012_9_3'!656:656,"AAAAAG62//A=",0)</f>
        <v>0</v>
      </c>
      <c r="IH41" t="e">
        <f>AND('Planilla_General_03-12-2012_9_3'!A656,"AAAAAG62//E=")</f>
        <v>#VALUE!</v>
      </c>
      <c r="II41" t="e">
        <f>AND('Planilla_General_03-12-2012_9_3'!B656,"AAAAAG62//I=")</f>
        <v>#VALUE!</v>
      </c>
      <c r="IJ41" t="e">
        <f>AND('Planilla_General_03-12-2012_9_3'!C656,"AAAAAG62//M=")</f>
        <v>#VALUE!</v>
      </c>
      <c r="IK41" t="e">
        <f>AND('Planilla_General_03-12-2012_9_3'!D656,"AAAAAG62//Q=")</f>
        <v>#VALUE!</v>
      </c>
      <c r="IL41" t="e">
        <f>AND('Planilla_General_03-12-2012_9_3'!E656,"AAAAAG62//U=")</f>
        <v>#VALUE!</v>
      </c>
      <c r="IM41" t="e">
        <f>AND('Planilla_General_03-12-2012_9_3'!F656,"AAAAAG62//Y=")</f>
        <v>#VALUE!</v>
      </c>
      <c r="IN41" t="e">
        <f>AND('Planilla_General_03-12-2012_9_3'!G656,"AAAAAG62//c=")</f>
        <v>#VALUE!</v>
      </c>
      <c r="IO41" t="e">
        <f>AND('Planilla_General_03-12-2012_9_3'!H656,"AAAAAG62//g=")</f>
        <v>#VALUE!</v>
      </c>
      <c r="IP41" t="e">
        <f>AND('Planilla_General_03-12-2012_9_3'!I656,"AAAAAG62//k=")</f>
        <v>#VALUE!</v>
      </c>
      <c r="IQ41" t="e">
        <f>AND('Planilla_General_03-12-2012_9_3'!J656,"AAAAAG62//o=")</f>
        <v>#VALUE!</v>
      </c>
      <c r="IR41" t="e">
        <f>AND('Planilla_General_03-12-2012_9_3'!K656,"AAAAAG62//s=")</f>
        <v>#VALUE!</v>
      </c>
      <c r="IS41" t="e">
        <f>AND('Planilla_General_03-12-2012_9_3'!L656,"AAAAAG62//w=")</f>
        <v>#VALUE!</v>
      </c>
      <c r="IT41" t="e">
        <f>AND('Planilla_General_03-12-2012_9_3'!M656,"AAAAAG62//0=")</f>
        <v>#VALUE!</v>
      </c>
      <c r="IU41" t="e">
        <f>AND('Planilla_General_03-12-2012_9_3'!N656,"AAAAAG62//4=")</f>
        <v>#VALUE!</v>
      </c>
      <c r="IV41" t="e">
        <f>AND('Planilla_General_03-12-2012_9_3'!O656,"AAAAAG62//8=")</f>
        <v>#VALUE!</v>
      </c>
    </row>
    <row r="42" spans="1:256" x14ac:dyDescent="0.25">
      <c r="A42" t="e">
        <f>IF('Planilla_General_03-12-2012_9_3'!657:657,"AAAAAD+7/QA=",0)</f>
        <v>#VALUE!</v>
      </c>
      <c r="B42" t="e">
        <f>AND('Planilla_General_03-12-2012_9_3'!A657,"AAAAAD+7/QE=")</f>
        <v>#VALUE!</v>
      </c>
      <c r="C42" t="e">
        <f>AND('Planilla_General_03-12-2012_9_3'!B657,"AAAAAD+7/QI=")</f>
        <v>#VALUE!</v>
      </c>
      <c r="D42" t="e">
        <f>AND('Planilla_General_03-12-2012_9_3'!C657,"AAAAAD+7/QM=")</f>
        <v>#VALUE!</v>
      </c>
      <c r="E42" t="e">
        <f>AND('Planilla_General_03-12-2012_9_3'!D657,"AAAAAD+7/QQ=")</f>
        <v>#VALUE!</v>
      </c>
      <c r="F42" t="e">
        <f>AND('Planilla_General_03-12-2012_9_3'!E657,"AAAAAD+7/QU=")</f>
        <v>#VALUE!</v>
      </c>
      <c r="G42" t="e">
        <f>AND('Planilla_General_03-12-2012_9_3'!F657,"AAAAAD+7/QY=")</f>
        <v>#VALUE!</v>
      </c>
      <c r="H42" t="e">
        <f>AND('Planilla_General_03-12-2012_9_3'!G657,"AAAAAD+7/Qc=")</f>
        <v>#VALUE!</v>
      </c>
      <c r="I42" t="e">
        <f>AND('Planilla_General_03-12-2012_9_3'!H657,"AAAAAD+7/Qg=")</f>
        <v>#VALUE!</v>
      </c>
      <c r="J42" t="e">
        <f>AND('Planilla_General_03-12-2012_9_3'!I657,"AAAAAD+7/Qk=")</f>
        <v>#VALUE!</v>
      </c>
      <c r="K42" t="e">
        <f>AND('Planilla_General_03-12-2012_9_3'!J657,"AAAAAD+7/Qo=")</f>
        <v>#VALUE!</v>
      </c>
      <c r="L42" t="e">
        <f>AND('Planilla_General_03-12-2012_9_3'!K657,"AAAAAD+7/Qs=")</f>
        <v>#VALUE!</v>
      </c>
      <c r="M42" t="e">
        <f>AND('Planilla_General_03-12-2012_9_3'!L657,"AAAAAD+7/Qw=")</f>
        <v>#VALUE!</v>
      </c>
      <c r="N42" t="e">
        <f>AND('Planilla_General_03-12-2012_9_3'!M657,"AAAAAD+7/Q0=")</f>
        <v>#VALUE!</v>
      </c>
      <c r="O42" t="e">
        <f>AND('Planilla_General_03-12-2012_9_3'!N657,"AAAAAD+7/Q4=")</f>
        <v>#VALUE!</v>
      </c>
      <c r="P42" t="e">
        <f>AND('Planilla_General_03-12-2012_9_3'!O657,"AAAAAD+7/Q8=")</f>
        <v>#VALUE!</v>
      </c>
      <c r="Q42">
        <f>IF('Planilla_General_03-12-2012_9_3'!658:658,"AAAAAD+7/RA=",0)</f>
        <v>0</v>
      </c>
      <c r="R42" t="e">
        <f>AND('Planilla_General_03-12-2012_9_3'!A658,"AAAAAD+7/RE=")</f>
        <v>#VALUE!</v>
      </c>
      <c r="S42" t="e">
        <f>AND('Planilla_General_03-12-2012_9_3'!B658,"AAAAAD+7/RI=")</f>
        <v>#VALUE!</v>
      </c>
      <c r="T42" t="e">
        <f>AND('Planilla_General_03-12-2012_9_3'!C658,"AAAAAD+7/RM=")</f>
        <v>#VALUE!</v>
      </c>
      <c r="U42" t="e">
        <f>AND('Planilla_General_03-12-2012_9_3'!D658,"AAAAAD+7/RQ=")</f>
        <v>#VALUE!</v>
      </c>
      <c r="V42" t="e">
        <f>AND('Planilla_General_03-12-2012_9_3'!E658,"AAAAAD+7/RU=")</f>
        <v>#VALUE!</v>
      </c>
      <c r="W42" t="e">
        <f>AND('Planilla_General_03-12-2012_9_3'!F658,"AAAAAD+7/RY=")</f>
        <v>#VALUE!</v>
      </c>
      <c r="X42" t="e">
        <f>AND('Planilla_General_03-12-2012_9_3'!G658,"AAAAAD+7/Rc=")</f>
        <v>#VALUE!</v>
      </c>
      <c r="Y42" t="e">
        <f>AND('Planilla_General_03-12-2012_9_3'!H658,"AAAAAD+7/Rg=")</f>
        <v>#VALUE!</v>
      </c>
      <c r="Z42" t="e">
        <f>AND('Planilla_General_03-12-2012_9_3'!I658,"AAAAAD+7/Rk=")</f>
        <v>#VALUE!</v>
      </c>
      <c r="AA42" t="e">
        <f>AND('Planilla_General_03-12-2012_9_3'!J658,"AAAAAD+7/Ro=")</f>
        <v>#VALUE!</v>
      </c>
      <c r="AB42" t="e">
        <f>AND('Planilla_General_03-12-2012_9_3'!K658,"AAAAAD+7/Rs=")</f>
        <v>#VALUE!</v>
      </c>
      <c r="AC42" t="e">
        <f>AND('Planilla_General_03-12-2012_9_3'!L658,"AAAAAD+7/Rw=")</f>
        <v>#VALUE!</v>
      </c>
      <c r="AD42" t="e">
        <f>AND('Planilla_General_03-12-2012_9_3'!M658,"AAAAAD+7/R0=")</f>
        <v>#VALUE!</v>
      </c>
      <c r="AE42" t="e">
        <f>AND('Planilla_General_03-12-2012_9_3'!N658,"AAAAAD+7/R4=")</f>
        <v>#VALUE!</v>
      </c>
      <c r="AF42" t="e">
        <f>AND('Planilla_General_03-12-2012_9_3'!O658,"AAAAAD+7/R8=")</f>
        <v>#VALUE!</v>
      </c>
      <c r="AG42">
        <f>IF('Planilla_General_03-12-2012_9_3'!659:659,"AAAAAD+7/SA=",0)</f>
        <v>0</v>
      </c>
      <c r="AH42" t="e">
        <f>AND('Planilla_General_03-12-2012_9_3'!A659,"AAAAAD+7/SE=")</f>
        <v>#VALUE!</v>
      </c>
      <c r="AI42" t="e">
        <f>AND('Planilla_General_03-12-2012_9_3'!B659,"AAAAAD+7/SI=")</f>
        <v>#VALUE!</v>
      </c>
      <c r="AJ42" t="e">
        <f>AND('Planilla_General_03-12-2012_9_3'!C659,"AAAAAD+7/SM=")</f>
        <v>#VALUE!</v>
      </c>
      <c r="AK42" t="e">
        <f>AND('Planilla_General_03-12-2012_9_3'!D659,"AAAAAD+7/SQ=")</f>
        <v>#VALUE!</v>
      </c>
      <c r="AL42" t="e">
        <f>AND('Planilla_General_03-12-2012_9_3'!E659,"AAAAAD+7/SU=")</f>
        <v>#VALUE!</v>
      </c>
      <c r="AM42" t="e">
        <f>AND('Planilla_General_03-12-2012_9_3'!F659,"AAAAAD+7/SY=")</f>
        <v>#VALUE!</v>
      </c>
      <c r="AN42" t="e">
        <f>AND('Planilla_General_03-12-2012_9_3'!G659,"AAAAAD+7/Sc=")</f>
        <v>#VALUE!</v>
      </c>
      <c r="AO42" t="e">
        <f>AND('Planilla_General_03-12-2012_9_3'!H659,"AAAAAD+7/Sg=")</f>
        <v>#VALUE!</v>
      </c>
      <c r="AP42" t="e">
        <f>AND('Planilla_General_03-12-2012_9_3'!I659,"AAAAAD+7/Sk=")</f>
        <v>#VALUE!</v>
      </c>
      <c r="AQ42" t="e">
        <f>AND('Planilla_General_03-12-2012_9_3'!J659,"AAAAAD+7/So=")</f>
        <v>#VALUE!</v>
      </c>
      <c r="AR42" t="e">
        <f>AND('Planilla_General_03-12-2012_9_3'!K659,"AAAAAD+7/Ss=")</f>
        <v>#VALUE!</v>
      </c>
      <c r="AS42" t="e">
        <f>AND('Planilla_General_03-12-2012_9_3'!L659,"AAAAAD+7/Sw=")</f>
        <v>#VALUE!</v>
      </c>
      <c r="AT42" t="e">
        <f>AND('Planilla_General_03-12-2012_9_3'!M659,"AAAAAD+7/S0=")</f>
        <v>#VALUE!</v>
      </c>
      <c r="AU42" t="e">
        <f>AND('Planilla_General_03-12-2012_9_3'!N659,"AAAAAD+7/S4=")</f>
        <v>#VALUE!</v>
      </c>
      <c r="AV42" t="e">
        <f>AND('Planilla_General_03-12-2012_9_3'!O659,"AAAAAD+7/S8=")</f>
        <v>#VALUE!</v>
      </c>
      <c r="AW42">
        <f>IF('Planilla_General_03-12-2012_9_3'!660:660,"AAAAAD+7/TA=",0)</f>
        <v>0</v>
      </c>
      <c r="AX42" t="e">
        <f>AND('Planilla_General_03-12-2012_9_3'!A660,"AAAAAD+7/TE=")</f>
        <v>#VALUE!</v>
      </c>
      <c r="AY42" t="e">
        <f>AND('Planilla_General_03-12-2012_9_3'!B660,"AAAAAD+7/TI=")</f>
        <v>#VALUE!</v>
      </c>
      <c r="AZ42" t="e">
        <f>AND('Planilla_General_03-12-2012_9_3'!C660,"AAAAAD+7/TM=")</f>
        <v>#VALUE!</v>
      </c>
      <c r="BA42" t="e">
        <f>AND('Planilla_General_03-12-2012_9_3'!D660,"AAAAAD+7/TQ=")</f>
        <v>#VALUE!</v>
      </c>
      <c r="BB42" t="e">
        <f>AND('Planilla_General_03-12-2012_9_3'!E660,"AAAAAD+7/TU=")</f>
        <v>#VALUE!</v>
      </c>
      <c r="BC42" t="e">
        <f>AND('Planilla_General_03-12-2012_9_3'!F660,"AAAAAD+7/TY=")</f>
        <v>#VALUE!</v>
      </c>
      <c r="BD42" t="e">
        <f>AND('Planilla_General_03-12-2012_9_3'!G660,"AAAAAD+7/Tc=")</f>
        <v>#VALUE!</v>
      </c>
      <c r="BE42" t="e">
        <f>AND('Planilla_General_03-12-2012_9_3'!H660,"AAAAAD+7/Tg=")</f>
        <v>#VALUE!</v>
      </c>
      <c r="BF42" t="e">
        <f>AND('Planilla_General_03-12-2012_9_3'!I660,"AAAAAD+7/Tk=")</f>
        <v>#VALUE!</v>
      </c>
      <c r="BG42" t="e">
        <f>AND('Planilla_General_03-12-2012_9_3'!J660,"AAAAAD+7/To=")</f>
        <v>#VALUE!</v>
      </c>
      <c r="BH42" t="e">
        <f>AND('Planilla_General_03-12-2012_9_3'!K660,"AAAAAD+7/Ts=")</f>
        <v>#VALUE!</v>
      </c>
      <c r="BI42" t="e">
        <f>AND('Planilla_General_03-12-2012_9_3'!L660,"AAAAAD+7/Tw=")</f>
        <v>#VALUE!</v>
      </c>
      <c r="BJ42" t="e">
        <f>AND('Planilla_General_03-12-2012_9_3'!M660,"AAAAAD+7/T0=")</f>
        <v>#VALUE!</v>
      </c>
      <c r="BK42" t="e">
        <f>AND('Planilla_General_03-12-2012_9_3'!N660,"AAAAAD+7/T4=")</f>
        <v>#VALUE!</v>
      </c>
      <c r="BL42" t="e">
        <f>AND('Planilla_General_03-12-2012_9_3'!O660,"AAAAAD+7/T8=")</f>
        <v>#VALUE!</v>
      </c>
      <c r="BM42">
        <f>IF('Planilla_General_03-12-2012_9_3'!661:661,"AAAAAD+7/UA=",0)</f>
        <v>0</v>
      </c>
      <c r="BN42" t="e">
        <f>AND('Planilla_General_03-12-2012_9_3'!A661,"AAAAAD+7/UE=")</f>
        <v>#VALUE!</v>
      </c>
      <c r="BO42" t="e">
        <f>AND('Planilla_General_03-12-2012_9_3'!B661,"AAAAAD+7/UI=")</f>
        <v>#VALUE!</v>
      </c>
      <c r="BP42" t="e">
        <f>AND('Planilla_General_03-12-2012_9_3'!C661,"AAAAAD+7/UM=")</f>
        <v>#VALUE!</v>
      </c>
      <c r="BQ42" t="e">
        <f>AND('Planilla_General_03-12-2012_9_3'!D661,"AAAAAD+7/UQ=")</f>
        <v>#VALUE!</v>
      </c>
      <c r="BR42" t="e">
        <f>AND('Planilla_General_03-12-2012_9_3'!E661,"AAAAAD+7/UU=")</f>
        <v>#VALUE!</v>
      </c>
      <c r="BS42" t="e">
        <f>AND('Planilla_General_03-12-2012_9_3'!F661,"AAAAAD+7/UY=")</f>
        <v>#VALUE!</v>
      </c>
      <c r="BT42" t="e">
        <f>AND('Planilla_General_03-12-2012_9_3'!G661,"AAAAAD+7/Uc=")</f>
        <v>#VALUE!</v>
      </c>
      <c r="BU42" t="e">
        <f>AND('Planilla_General_03-12-2012_9_3'!H661,"AAAAAD+7/Ug=")</f>
        <v>#VALUE!</v>
      </c>
      <c r="BV42" t="e">
        <f>AND('Planilla_General_03-12-2012_9_3'!I661,"AAAAAD+7/Uk=")</f>
        <v>#VALUE!</v>
      </c>
      <c r="BW42" t="e">
        <f>AND('Planilla_General_03-12-2012_9_3'!J661,"AAAAAD+7/Uo=")</f>
        <v>#VALUE!</v>
      </c>
      <c r="BX42" t="e">
        <f>AND('Planilla_General_03-12-2012_9_3'!K661,"AAAAAD+7/Us=")</f>
        <v>#VALUE!</v>
      </c>
      <c r="BY42" t="e">
        <f>AND('Planilla_General_03-12-2012_9_3'!L661,"AAAAAD+7/Uw=")</f>
        <v>#VALUE!</v>
      </c>
      <c r="BZ42" t="e">
        <f>AND('Planilla_General_03-12-2012_9_3'!M661,"AAAAAD+7/U0=")</f>
        <v>#VALUE!</v>
      </c>
      <c r="CA42" t="e">
        <f>AND('Planilla_General_03-12-2012_9_3'!N661,"AAAAAD+7/U4=")</f>
        <v>#VALUE!</v>
      </c>
      <c r="CB42" t="e">
        <f>AND('Planilla_General_03-12-2012_9_3'!O661,"AAAAAD+7/U8=")</f>
        <v>#VALUE!</v>
      </c>
      <c r="CC42">
        <f>IF('Planilla_General_03-12-2012_9_3'!662:662,"AAAAAD+7/VA=",0)</f>
        <v>0</v>
      </c>
      <c r="CD42" t="e">
        <f>AND('Planilla_General_03-12-2012_9_3'!A662,"AAAAAD+7/VE=")</f>
        <v>#VALUE!</v>
      </c>
      <c r="CE42" t="e">
        <f>AND('Planilla_General_03-12-2012_9_3'!B662,"AAAAAD+7/VI=")</f>
        <v>#VALUE!</v>
      </c>
      <c r="CF42" t="e">
        <f>AND('Planilla_General_03-12-2012_9_3'!C662,"AAAAAD+7/VM=")</f>
        <v>#VALUE!</v>
      </c>
      <c r="CG42" t="e">
        <f>AND('Planilla_General_03-12-2012_9_3'!D662,"AAAAAD+7/VQ=")</f>
        <v>#VALUE!</v>
      </c>
      <c r="CH42" t="e">
        <f>AND('Planilla_General_03-12-2012_9_3'!E662,"AAAAAD+7/VU=")</f>
        <v>#VALUE!</v>
      </c>
      <c r="CI42" t="e">
        <f>AND('Planilla_General_03-12-2012_9_3'!F662,"AAAAAD+7/VY=")</f>
        <v>#VALUE!</v>
      </c>
      <c r="CJ42" t="e">
        <f>AND('Planilla_General_03-12-2012_9_3'!G662,"AAAAAD+7/Vc=")</f>
        <v>#VALUE!</v>
      </c>
      <c r="CK42" t="e">
        <f>AND('Planilla_General_03-12-2012_9_3'!H662,"AAAAAD+7/Vg=")</f>
        <v>#VALUE!</v>
      </c>
      <c r="CL42" t="e">
        <f>AND('Planilla_General_03-12-2012_9_3'!I662,"AAAAAD+7/Vk=")</f>
        <v>#VALUE!</v>
      </c>
      <c r="CM42" t="e">
        <f>AND('Planilla_General_03-12-2012_9_3'!J662,"AAAAAD+7/Vo=")</f>
        <v>#VALUE!</v>
      </c>
      <c r="CN42" t="e">
        <f>AND('Planilla_General_03-12-2012_9_3'!K662,"AAAAAD+7/Vs=")</f>
        <v>#VALUE!</v>
      </c>
      <c r="CO42" t="e">
        <f>AND('Planilla_General_03-12-2012_9_3'!L662,"AAAAAD+7/Vw=")</f>
        <v>#VALUE!</v>
      </c>
      <c r="CP42" t="e">
        <f>AND('Planilla_General_03-12-2012_9_3'!M662,"AAAAAD+7/V0=")</f>
        <v>#VALUE!</v>
      </c>
      <c r="CQ42" t="e">
        <f>AND('Planilla_General_03-12-2012_9_3'!N662,"AAAAAD+7/V4=")</f>
        <v>#VALUE!</v>
      </c>
      <c r="CR42" t="e">
        <f>AND('Planilla_General_03-12-2012_9_3'!O662,"AAAAAD+7/V8=")</f>
        <v>#VALUE!</v>
      </c>
      <c r="CS42">
        <f>IF('Planilla_General_03-12-2012_9_3'!663:663,"AAAAAD+7/WA=",0)</f>
        <v>0</v>
      </c>
      <c r="CT42" t="e">
        <f>AND('Planilla_General_03-12-2012_9_3'!A663,"AAAAAD+7/WE=")</f>
        <v>#VALUE!</v>
      </c>
      <c r="CU42" t="e">
        <f>AND('Planilla_General_03-12-2012_9_3'!B663,"AAAAAD+7/WI=")</f>
        <v>#VALUE!</v>
      </c>
      <c r="CV42" t="e">
        <f>AND('Planilla_General_03-12-2012_9_3'!C663,"AAAAAD+7/WM=")</f>
        <v>#VALUE!</v>
      </c>
      <c r="CW42" t="e">
        <f>AND('Planilla_General_03-12-2012_9_3'!D663,"AAAAAD+7/WQ=")</f>
        <v>#VALUE!</v>
      </c>
      <c r="CX42" t="e">
        <f>AND('Planilla_General_03-12-2012_9_3'!E663,"AAAAAD+7/WU=")</f>
        <v>#VALUE!</v>
      </c>
      <c r="CY42" t="e">
        <f>AND('Planilla_General_03-12-2012_9_3'!F663,"AAAAAD+7/WY=")</f>
        <v>#VALUE!</v>
      </c>
      <c r="CZ42" t="e">
        <f>AND('Planilla_General_03-12-2012_9_3'!G663,"AAAAAD+7/Wc=")</f>
        <v>#VALUE!</v>
      </c>
      <c r="DA42" t="e">
        <f>AND('Planilla_General_03-12-2012_9_3'!H663,"AAAAAD+7/Wg=")</f>
        <v>#VALUE!</v>
      </c>
      <c r="DB42" t="e">
        <f>AND('Planilla_General_03-12-2012_9_3'!I663,"AAAAAD+7/Wk=")</f>
        <v>#VALUE!</v>
      </c>
      <c r="DC42" t="e">
        <f>AND('Planilla_General_03-12-2012_9_3'!J663,"AAAAAD+7/Wo=")</f>
        <v>#VALUE!</v>
      </c>
      <c r="DD42" t="e">
        <f>AND('Planilla_General_03-12-2012_9_3'!K663,"AAAAAD+7/Ws=")</f>
        <v>#VALUE!</v>
      </c>
      <c r="DE42" t="e">
        <f>AND('Planilla_General_03-12-2012_9_3'!L663,"AAAAAD+7/Ww=")</f>
        <v>#VALUE!</v>
      </c>
      <c r="DF42" t="e">
        <f>AND('Planilla_General_03-12-2012_9_3'!M663,"AAAAAD+7/W0=")</f>
        <v>#VALUE!</v>
      </c>
      <c r="DG42" t="e">
        <f>AND('Planilla_General_03-12-2012_9_3'!N663,"AAAAAD+7/W4=")</f>
        <v>#VALUE!</v>
      </c>
      <c r="DH42" t="e">
        <f>AND('Planilla_General_03-12-2012_9_3'!O663,"AAAAAD+7/W8=")</f>
        <v>#VALUE!</v>
      </c>
      <c r="DI42">
        <f>IF('Planilla_General_03-12-2012_9_3'!664:664,"AAAAAD+7/XA=",0)</f>
        <v>0</v>
      </c>
      <c r="DJ42" t="e">
        <f>AND('Planilla_General_03-12-2012_9_3'!A664,"AAAAAD+7/XE=")</f>
        <v>#VALUE!</v>
      </c>
      <c r="DK42" t="e">
        <f>AND('Planilla_General_03-12-2012_9_3'!B664,"AAAAAD+7/XI=")</f>
        <v>#VALUE!</v>
      </c>
      <c r="DL42" t="e">
        <f>AND('Planilla_General_03-12-2012_9_3'!C664,"AAAAAD+7/XM=")</f>
        <v>#VALUE!</v>
      </c>
      <c r="DM42" t="e">
        <f>AND('Planilla_General_03-12-2012_9_3'!D664,"AAAAAD+7/XQ=")</f>
        <v>#VALUE!</v>
      </c>
      <c r="DN42" t="e">
        <f>AND('Planilla_General_03-12-2012_9_3'!E664,"AAAAAD+7/XU=")</f>
        <v>#VALUE!</v>
      </c>
      <c r="DO42" t="e">
        <f>AND('Planilla_General_03-12-2012_9_3'!F664,"AAAAAD+7/XY=")</f>
        <v>#VALUE!</v>
      </c>
      <c r="DP42" t="e">
        <f>AND('Planilla_General_03-12-2012_9_3'!G664,"AAAAAD+7/Xc=")</f>
        <v>#VALUE!</v>
      </c>
      <c r="DQ42" t="e">
        <f>AND('Planilla_General_03-12-2012_9_3'!H664,"AAAAAD+7/Xg=")</f>
        <v>#VALUE!</v>
      </c>
      <c r="DR42" t="e">
        <f>AND('Planilla_General_03-12-2012_9_3'!I664,"AAAAAD+7/Xk=")</f>
        <v>#VALUE!</v>
      </c>
      <c r="DS42" t="e">
        <f>AND('Planilla_General_03-12-2012_9_3'!J664,"AAAAAD+7/Xo=")</f>
        <v>#VALUE!</v>
      </c>
      <c r="DT42" t="e">
        <f>AND('Planilla_General_03-12-2012_9_3'!K664,"AAAAAD+7/Xs=")</f>
        <v>#VALUE!</v>
      </c>
      <c r="DU42" t="e">
        <f>AND('Planilla_General_03-12-2012_9_3'!L664,"AAAAAD+7/Xw=")</f>
        <v>#VALUE!</v>
      </c>
      <c r="DV42" t="e">
        <f>AND('Planilla_General_03-12-2012_9_3'!M664,"AAAAAD+7/X0=")</f>
        <v>#VALUE!</v>
      </c>
      <c r="DW42" t="e">
        <f>AND('Planilla_General_03-12-2012_9_3'!N664,"AAAAAD+7/X4=")</f>
        <v>#VALUE!</v>
      </c>
      <c r="DX42" t="e">
        <f>AND('Planilla_General_03-12-2012_9_3'!O664,"AAAAAD+7/X8=")</f>
        <v>#VALUE!</v>
      </c>
      <c r="DY42">
        <f>IF('Planilla_General_03-12-2012_9_3'!665:665,"AAAAAD+7/YA=",0)</f>
        <v>0</v>
      </c>
      <c r="DZ42" t="e">
        <f>AND('Planilla_General_03-12-2012_9_3'!A665,"AAAAAD+7/YE=")</f>
        <v>#VALUE!</v>
      </c>
      <c r="EA42" t="e">
        <f>AND('Planilla_General_03-12-2012_9_3'!B665,"AAAAAD+7/YI=")</f>
        <v>#VALUE!</v>
      </c>
      <c r="EB42" t="e">
        <f>AND('Planilla_General_03-12-2012_9_3'!C665,"AAAAAD+7/YM=")</f>
        <v>#VALUE!</v>
      </c>
      <c r="EC42" t="e">
        <f>AND('Planilla_General_03-12-2012_9_3'!D665,"AAAAAD+7/YQ=")</f>
        <v>#VALUE!</v>
      </c>
      <c r="ED42" t="e">
        <f>AND('Planilla_General_03-12-2012_9_3'!E665,"AAAAAD+7/YU=")</f>
        <v>#VALUE!</v>
      </c>
      <c r="EE42" t="e">
        <f>AND('Planilla_General_03-12-2012_9_3'!F665,"AAAAAD+7/YY=")</f>
        <v>#VALUE!</v>
      </c>
      <c r="EF42" t="e">
        <f>AND('Planilla_General_03-12-2012_9_3'!G665,"AAAAAD+7/Yc=")</f>
        <v>#VALUE!</v>
      </c>
      <c r="EG42" t="e">
        <f>AND('Planilla_General_03-12-2012_9_3'!H665,"AAAAAD+7/Yg=")</f>
        <v>#VALUE!</v>
      </c>
      <c r="EH42" t="e">
        <f>AND('Planilla_General_03-12-2012_9_3'!I665,"AAAAAD+7/Yk=")</f>
        <v>#VALUE!</v>
      </c>
      <c r="EI42" t="e">
        <f>AND('Planilla_General_03-12-2012_9_3'!J665,"AAAAAD+7/Yo=")</f>
        <v>#VALUE!</v>
      </c>
      <c r="EJ42" t="e">
        <f>AND('Planilla_General_03-12-2012_9_3'!K665,"AAAAAD+7/Ys=")</f>
        <v>#VALUE!</v>
      </c>
      <c r="EK42" t="e">
        <f>AND('Planilla_General_03-12-2012_9_3'!L665,"AAAAAD+7/Yw=")</f>
        <v>#VALUE!</v>
      </c>
      <c r="EL42" t="e">
        <f>AND('Planilla_General_03-12-2012_9_3'!M665,"AAAAAD+7/Y0=")</f>
        <v>#VALUE!</v>
      </c>
      <c r="EM42" t="e">
        <f>AND('Planilla_General_03-12-2012_9_3'!N665,"AAAAAD+7/Y4=")</f>
        <v>#VALUE!</v>
      </c>
      <c r="EN42" t="e">
        <f>AND('Planilla_General_03-12-2012_9_3'!O665,"AAAAAD+7/Y8=")</f>
        <v>#VALUE!</v>
      </c>
      <c r="EO42">
        <f>IF('Planilla_General_03-12-2012_9_3'!666:666,"AAAAAD+7/ZA=",0)</f>
        <v>0</v>
      </c>
      <c r="EP42" t="e">
        <f>AND('Planilla_General_03-12-2012_9_3'!A666,"AAAAAD+7/ZE=")</f>
        <v>#VALUE!</v>
      </c>
      <c r="EQ42" t="e">
        <f>AND('Planilla_General_03-12-2012_9_3'!B666,"AAAAAD+7/ZI=")</f>
        <v>#VALUE!</v>
      </c>
      <c r="ER42" t="e">
        <f>AND('Planilla_General_03-12-2012_9_3'!C666,"AAAAAD+7/ZM=")</f>
        <v>#VALUE!</v>
      </c>
      <c r="ES42" t="e">
        <f>AND('Planilla_General_03-12-2012_9_3'!D666,"AAAAAD+7/ZQ=")</f>
        <v>#VALUE!</v>
      </c>
      <c r="ET42" t="e">
        <f>AND('Planilla_General_03-12-2012_9_3'!E666,"AAAAAD+7/ZU=")</f>
        <v>#VALUE!</v>
      </c>
      <c r="EU42" t="e">
        <f>AND('Planilla_General_03-12-2012_9_3'!F666,"AAAAAD+7/ZY=")</f>
        <v>#VALUE!</v>
      </c>
      <c r="EV42" t="e">
        <f>AND('Planilla_General_03-12-2012_9_3'!G666,"AAAAAD+7/Zc=")</f>
        <v>#VALUE!</v>
      </c>
      <c r="EW42" t="e">
        <f>AND('Planilla_General_03-12-2012_9_3'!H666,"AAAAAD+7/Zg=")</f>
        <v>#VALUE!</v>
      </c>
      <c r="EX42" t="e">
        <f>AND('Planilla_General_03-12-2012_9_3'!I666,"AAAAAD+7/Zk=")</f>
        <v>#VALUE!</v>
      </c>
      <c r="EY42" t="e">
        <f>AND('Planilla_General_03-12-2012_9_3'!J666,"AAAAAD+7/Zo=")</f>
        <v>#VALUE!</v>
      </c>
      <c r="EZ42" t="e">
        <f>AND('Planilla_General_03-12-2012_9_3'!K666,"AAAAAD+7/Zs=")</f>
        <v>#VALUE!</v>
      </c>
      <c r="FA42" t="e">
        <f>AND('Planilla_General_03-12-2012_9_3'!L666,"AAAAAD+7/Zw=")</f>
        <v>#VALUE!</v>
      </c>
      <c r="FB42" t="e">
        <f>AND('Planilla_General_03-12-2012_9_3'!M666,"AAAAAD+7/Z0=")</f>
        <v>#VALUE!</v>
      </c>
      <c r="FC42" t="e">
        <f>AND('Planilla_General_03-12-2012_9_3'!N666,"AAAAAD+7/Z4=")</f>
        <v>#VALUE!</v>
      </c>
      <c r="FD42" t="e">
        <f>AND('Planilla_General_03-12-2012_9_3'!O666,"AAAAAD+7/Z8=")</f>
        <v>#VALUE!</v>
      </c>
      <c r="FE42">
        <f>IF('Planilla_General_03-12-2012_9_3'!667:667,"AAAAAD+7/aA=",0)</f>
        <v>0</v>
      </c>
      <c r="FF42" t="e">
        <f>AND('Planilla_General_03-12-2012_9_3'!A667,"AAAAAD+7/aE=")</f>
        <v>#VALUE!</v>
      </c>
      <c r="FG42" t="e">
        <f>AND('Planilla_General_03-12-2012_9_3'!B667,"AAAAAD+7/aI=")</f>
        <v>#VALUE!</v>
      </c>
      <c r="FH42" t="e">
        <f>AND('Planilla_General_03-12-2012_9_3'!C667,"AAAAAD+7/aM=")</f>
        <v>#VALUE!</v>
      </c>
      <c r="FI42" t="e">
        <f>AND('Planilla_General_03-12-2012_9_3'!D667,"AAAAAD+7/aQ=")</f>
        <v>#VALUE!</v>
      </c>
      <c r="FJ42" t="e">
        <f>AND('Planilla_General_03-12-2012_9_3'!E667,"AAAAAD+7/aU=")</f>
        <v>#VALUE!</v>
      </c>
      <c r="FK42" t="e">
        <f>AND('Planilla_General_03-12-2012_9_3'!F667,"AAAAAD+7/aY=")</f>
        <v>#VALUE!</v>
      </c>
      <c r="FL42" t="e">
        <f>AND('Planilla_General_03-12-2012_9_3'!G667,"AAAAAD+7/ac=")</f>
        <v>#VALUE!</v>
      </c>
      <c r="FM42" t="e">
        <f>AND('Planilla_General_03-12-2012_9_3'!H667,"AAAAAD+7/ag=")</f>
        <v>#VALUE!</v>
      </c>
      <c r="FN42" t="e">
        <f>AND('Planilla_General_03-12-2012_9_3'!I667,"AAAAAD+7/ak=")</f>
        <v>#VALUE!</v>
      </c>
      <c r="FO42" t="e">
        <f>AND('Planilla_General_03-12-2012_9_3'!J667,"AAAAAD+7/ao=")</f>
        <v>#VALUE!</v>
      </c>
      <c r="FP42" t="e">
        <f>AND('Planilla_General_03-12-2012_9_3'!K667,"AAAAAD+7/as=")</f>
        <v>#VALUE!</v>
      </c>
      <c r="FQ42" t="e">
        <f>AND('Planilla_General_03-12-2012_9_3'!L667,"AAAAAD+7/aw=")</f>
        <v>#VALUE!</v>
      </c>
      <c r="FR42" t="e">
        <f>AND('Planilla_General_03-12-2012_9_3'!M667,"AAAAAD+7/a0=")</f>
        <v>#VALUE!</v>
      </c>
      <c r="FS42" t="e">
        <f>AND('Planilla_General_03-12-2012_9_3'!N667,"AAAAAD+7/a4=")</f>
        <v>#VALUE!</v>
      </c>
      <c r="FT42" t="e">
        <f>AND('Planilla_General_03-12-2012_9_3'!O667,"AAAAAD+7/a8=")</f>
        <v>#VALUE!</v>
      </c>
      <c r="FU42">
        <f>IF('Planilla_General_03-12-2012_9_3'!668:668,"AAAAAD+7/bA=",0)</f>
        <v>0</v>
      </c>
      <c r="FV42" t="e">
        <f>AND('Planilla_General_03-12-2012_9_3'!A668,"AAAAAD+7/bE=")</f>
        <v>#VALUE!</v>
      </c>
      <c r="FW42" t="e">
        <f>AND('Planilla_General_03-12-2012_9_3'!B668,"AAAAAD+7/bI=")</f>
        <v>#VALUE!</v>
      </c>
      <c r="FX42" t="e">
        <f>AND('Planilla_General_03-12-2012_9_3'!C668,"AAAAAD+7/bM=")</f>
        <v>#VALUE!</v>
      </c>
      <c r="FY42" t="e">
        <f>AND('Planilla_General_03-12-2012_9_3'!D668,"AAAAAD+7/bQ=")</f>
        <v>#VALUE!</v>
      </c>
      <c r="FZ42" t="e">
        <f>AND('Planilla_General_03-12-2012_9_3'!E668,"AAAAAD+7/bU=")</f>
        <v>#VALUE!</v>
      </c>
      <c r="GA42" t="e">
        <f>AND('Planilla_General_03-12-2012_9_3'!F668,"AAAAAD+7/bY=")</f>
        <v>#VALUE!</v>
      </c>
      <c r="GB42" t="e">
        <f>AND('Planilla_General_03-12-2012_9_3'!G668,"AAAAAD+7/bc=")</f>
        <v>#VALUE!</v>
      </c>
      <c r="GC42" t="e">
        <f>AND('Planilla_General_03-12-2012_9_3'!H668,"AAAAAD+7/bg=")</f>
        <v>#VALUE!</v>
      </c>
      <c r="GD42" t="e">
        <f>AND('Planilla_General_03-12-2012_9_3'!I668,"AAAAAD+7/bk=")</f>
        <v>#VALUE!</v>
      </c>
      <c r="GE42" t="e">
        <f>AND('Planilla_General_03-12-2012_9_3'!J668,"AAAAAD+7/bo=")</f>
        <v>#VALUE!</v>
      </c>
      <c r="GF42" t="e">
        <f>AND('Planilla_General_03-12-2012_9_3'!K668,"AAAAAD+7/bs=")</f>
        <v>#VALUE!</v>
      </c>
      <c r="GG42" t="e">
        <f>AND('Planilla_General_03-12-2012_9_3'!L668,"AAAAAD+7/bw=")</f>
        <v>#VALUE!</v>
      </c>
      <c r="GH42" t="e">
        <f>AND('Planilla_General_03-12-2012_9_3'!M668,"AAAAAD+7/b0=")</f>
        <v>#VALUE!</v>
      </c>
      <c r="GI42" t="e">
        <f>AND('Planilla_General_03-12-2012_9_3'!N668,"AAAAAD+7/b4=")</f>
        <v>#VALUE!</v>
      </c>
      <c r="GJ42" t="e">
        <f>AND('Planilla_General_03-12-2012_9_3'!O668,"AAAAAD+7/b8=")</f>
        <v>#VALUE!</v>
      </c>
      <c r="GK42">
        <f>IF('Planilla_General_03-12-2012_9_3'!669:669,"AAAAAD+7/cA=",0)</f>
        <v>0</v>
      </c>
      <c r="GL42" t="e">
        <f>AND('Planilla_General_03-12-2012_9_3'!A669,"AAAAAD+7/cE=")</f>
        <v>#VALUE!</v>
      </c>
      <c r="GM42" t="e">
        <f>AND('Planilla_General_03-12-2012_9_3'!B669,"AAAAAD+7/cI=")</f>
        <v>#VALUE!</v>
      </c>
      <c r="GN42" t="e">
        <f>AND('Planilla_General_03-12-2012_9_3'!C669,"AAAAAD+7/cM=")</f>
        <v>#VALUE!</v>
      </c>
      <c r="GO42" t="e">
        <f>AND('Planilla_General_03-12-2012_9_3'!D669,"AAAAAD+7/cQ=")</f>
        <v>#VALUE!</v>
      </c>
      <c r="GP42" t="e">
        <f>AND('Planilla_General_03-12-2012_9_3'!E669,"AAAAAD+7/cU=")</f>
        <v>#VALUE!</v>
      </c>
      <c r="GQ42" t="e">
        <f>AND('Planilla_General_03-12-2012_9_3'!F669,"AAAAAD+7/cY=")</f>
        <v>#VALUE!</v>
      </c>
      <c r="GR42" t="e">
        <f>AND('Planilla_General_03-12-2012_9_3'!G669,"AAAAAD+7/cc=")</f>
        <v>#VALUE!</v>
      </c>
      <c r="GS42" t="e">
        <f>AND('Planilla_General_03-12-2012_9_3'!H669,"AAAAAD+7/cg=")</f>
        <v>#VALUE!</v>
      </c>
      <c r="GT42" t="e">
        <f>AND('Planilla_General_03-12-2012_9_3'!I669,"AAAAAD+7/ck=")</f>
        <v>#VALUE!</v>
      </c>
      <c r="GU42" t="e">
        <f>AND('Planilla_General_03-12-2012_9_3'!J669,"AAAAAD+7/co=")</f>
        <v>#VALUE!</v>
      </c>
      <c r="GV42" t="e">
        <f>AND('Planilla_General_03-12-2012_9_3'!K669,"AAAAAD+7/cs=")</f>
        <v>#VALUE!</v>
      </c>
      <c r="GW42" t="e">
        <f>AND('Planilla_General_03-12-2012_9_3'!L669,"AAAAAD+7/cw=")</f>
        <v>#VALUE!</v>
      </c>
      <c r="GX42" t="e">
        <f>AND('Planilla_General_03-12-2012_9_3'!M669,"AAAAAD+7/c0=")</f>
        <v>#VALUE!</v>
      </c>
      <c r="GY42" t="e">
        <f>AND('Planilla_General_03-12-2012_9_3'!N669,"AAAAAD+7/c4=")</f>
        <v>#VALUE!</v>
      </c>
      <c r="GZ42" t="e">
        <f>AND('Planilla_General_03-12-2012_9_3'!O669,"AAAAAD+7/c8=")</f>
        <v>#VALUE!</v>
      </c>
      <c r="HA42">
        <f>IF('Planilla_General_03-12-2012_9_3'!670:670,"AAAAAD+7/dA=",0)</f>
        <v>0</v>
      </c>
      <c r="HB42" t="e">
        <f>AND('Planilla_General_03-12-2012_9_3'!A670,"AAAAAD+7/dE=")</f>
        <v>#VALUE!</v>
      </c>
      <c r="HC42" t="e">
        <f>AND('Planilla_General_03-12-2012_9_3'!B670,"AAAAAD+7/dI=")</f>
        <v>#VALUE!</v>
      </c>
      <c r="HD42" t="e">
        <f>AND('Planilla_General_03-12-2012_9_3'!C670,"AAAAAD+7/dM=")</f>
        <v>#VALUE!</v>
      </c>
      <c r="HE42" t="e">
        <f>AND('Planilla_General_03-12-2012_9_3'!D670,"AAAAAD+7/dQ=")</f>
        <v>#VALUE!</v>
      </c>
      <c r="HF42" t="e">
        <f>AND('Planilla_General_03-12-2012_9_3'!E670,"AAAAAD+7/dU=")</f>
        <v>#VALUE!</v>
      </c>
      <c r="HG42" t="e">
        <f>AND('Planilla_General_03-12-2012_9_3'!F670,"AAAAAD+7/dY=")</f>
        <v>#VALUE!</v>
      </c>
      <c r="HH42" t="e">
        <f>AND('Planilla_General_03-12-2012_9_3'!G670,"AAAAAD+7/dc=")</f>
        <v>#VALUE!</v>
      </c>
      <c r="HI42" t="e">
        <f>AND('Planilla_General_03-12-2012_9_3'!H670,"AAAAAD+7/dg=")</f>
        <v>#VALUE!</v>
      </c>
      <c r="HJ42" t="e">
        <f>AND('Planilla_General_03-12-2012_9_3'!I670,"AAAAAD+7/dk=")</f>
        <v>#VALUE!</v>
      </c>
      <c r="HK42" t="e">
        <f>AND('Planilla_General_03-12-2012_9_3'!J670,"AAAAAD+7/do=")</f>
        <v>#VALUE!</v>
      </c>
      <c r="HL42" t="e">
        <f>AND('Planilla_General_03-12-2012_9_3'!K670,"AAAAAD+7/ds=")</f>
        <v>#VALUE!</v>
      </c>
      <c r="HM42" t="e">
        <f>AND('Planilla_General_03-12-2012_9_3'!L670,"AAAAAD+7/dw=")</f>
        <v>#VALUE!</v>
      </c>
      <c r="HN42" t="e">
        <f>AND('Planilla_General_03-12-2012_9_3'!M670,"AAAAAD+7/d0=")</f>
        <v>#VALUE!</v>
      </c>
      <c r="HO42" t="e">
        <f>AND('Planilla_General_03-12-2012_9_3'!N670,"AAAAAD+7/d4=")</f>
        <v>#VALUE!</v>
      </c>
      <c r="HP42" t="e">
        <f>AND('Planilla_General_03-12-2012_9_3'!O670,"AAAAAD+7/d8=")</f>
        <v>#VALUE!</v>
      </c>
      <c r="HQ42">
        <f>IF('Planilla_General_03-12-2012_9_3'!671:671,"AAAAAD+7/eA=",0)</f>
        <v>0</v>
      </c>
      <c r="HR42" t="e">
        <f>AND('Planilla_General_03-12-2012_9_3'!A671,"AAAAAD+7/eE=")</f>
        <v>#VALUE!</v>
      </c>
      <c r="HS42" t="e">
        <f>AND('Planilla_General_03-12-2012_9_3'!B671,"AAAAAD+7/eI=")</f>
        <v>#VALUE!</v>
      </c>
      <c r="HT42" t="e">
        <f>AND('Planilla_General_03-12-2012_9_3'!C671,"AAAAAD+7/eM=")</f>
        <v>#VALUE!</v>
      </c>
      <c r="HU42" t="e">
        <f>AND('Planilla_General_03-12-2012_9_3'!D671,"AAAAAD+7/eQ=")</f>
        <v>#VALUE!</v>
      </c>
      <c r="HV42" t="e">
        <f>AND('Planilla_General_03-12-2012_9_3'!E671,"AAAAAD+7/eU=")</f>
        <v>#VALUE!</v>
      </c>
      <c r="HW42" t="e">
        <f>AND('Planilla_General_03-12-2012_9_3'!F671,"AAAAAD+7/eY=")</f>
        <v>#VALUE!</v>
      </c>
      <c r="HX42" t="e">
        <f>AND('Planilla_General_03-12-2012_9_3'!G671,"AAAAAD+7/ec=")</f>
        <v>#VALUE!</v>
      </c>
      <c r="HY42" t="e">
        <f>AND('Planilla_General_03-12-2012_9_3'!H671,"AAAAAD+7/eg=")</f>
        <v>#VALUE!</v>
      </c>
      <c r="HZ42" t="e">
        <f>AND('Planilla_General_03-12-2012_9_3'!I671,"AAAAAD+7/ek=")</f>
        <v>#VALUE!</v>
      </c>
      <c r="IA42" t="e">
        <f>AND('Planilla_General_03-12-2012_9_3'!J671,"AAAAAD+7/eo=")</f>
        <v>#VALUE!</v>
      </c>
      <c r="IB42" t="e">
        <f>AND('Planilla_General_03-12-2012_9_3'!K671,"AAAAAD+7/es=")</f>
        <v>#VALUE!</v>
      </c>
      <c r="IC42" t="e">
        <f>AND('Planilla_General_03-12-2012_9_3'!L671,"AAAAAD+7/ew=")</f>
        <v>#VALUE!</v>
      </c>
      <c r="ID42" t="e">
        <f>AND('Planilla_General_03-12-2012_9_3'!M671,"AAAAAD+7/e0=")</f>
        <v>#VALUE!</v>
      </c>
      <c r="IE42" t="e">
        <f>AND('Planilla_General_03-12-2012_9_3'!N671,"AAAAAD+7/e4=")</f>
        <v>#VALUE!</v>
      </c>
      <c r="IF42" t="e">
        <f>AND('Planilla_General_03-12-2012_9_3'!O671,"AAAAAD+7/e8=")</f>
        <v>#VALUE!</v>
      </c>
      <c r="IG42">
        <f>IF('Planilla_General_03-12-2012_9_3'!672:672,"AAAAAD+7/fA=",0)</f>
        <v>0</v>
      </c>
      <c r="IH42" t="e">
        <f>AND('Planilla_General_03-12-2012_9_3'!A672,"AAAAAD+7/fE=")</f>
        <v>#VALUE!</v>
      </c>
      <c r="II42" t="e">
        <f>AND('Planilla_General_03-12-2012_9_3'!B672,"AAAAAD+7/fI=")</f>
        <v>#VALUE!</v>
      </c>
      <c r="IJ42" t="e">
        <f>AND('Planilla_General_03-12-2012_9_3'!C672,"AAAAAD+7/fM=")</f>
        <v>#VALUE!</v>
      </c>
      <c r="IK42" t="e">
        <f>AND('Planilla_General_03-12-2012_9_3'!D672,"AAAAAD+7/fQ=")</f>
        <v>#VALUE!</v>
      </c>
      <c r="IL42" t="e">
        <f>AND('Planilla_General_03-12-2012_9_3'!E672,"AAAAAD+7/fU=")</f>
        <v>#VALUE!</v>
      </c>
      <c r="IM42" t="e">
        <f>AND('Planilla_General_03-12-2012_9_3'!F672,"AAAAAD+7/fY=")</f>
        <v>#VALUE!</v>
      </c>
      <c r="IN42" t="e">
        <f>AND('Planilla_General_03-12-2012_9_3'!G672,"AAAAAD+7/fc=")</f>
        <v>#VALUE!</v>
      </c>
      <c r="IO42" t="e">
        <f>AND('Planilla_General_03-12-2012_9_3'!H672,"AAAAAD+7/fg=")</f>
        <v>#VALUE!</v>
      </c>
      <c r="IP42" t="e">
        <f>AND('Planilla_General_03-12-2012_9_3'!I672,"AAAAAD+7/fk=")</f>
        <v>#VALUE!</v>
      </c>
      <c r="IQ42" t="e">
        <f>AND('Planilla_General_03-12-2012_9_3'!J672,"AAAAAD+7/fo=")</f>
        <v>#VALUE!</v>
      </c>
      <c r="IR42" t="e">
        <f>AND('Planilla_General_03-12-2012_9_3'!K672,"AAAAAD+7/fs=")</f>
        <v>#VALUE!</v>
      </c>
      <c r="IS42" t="e">
        <f>AND('Planilla_General_03-12-2012_9_3'!L672,"AAAAAD+7/fw=")</f>
        <v>#VALUE!</v>
      </c>
      <c r="IT42" t="e">
        <f>AND('Planilla_General_03-12-2012_9_3'!M672,"AAAAAD+7/f0=")</f>
        <v>#VALUE!</v>
      </c>
      <c r="IU42" t="e">
        <f>AND('Planilla_General_03-12-2012_9_3'!N672,"AAAAAD+7/f4=")</f>
        <v>#VALUE!</v>
      </c>
      <c r="IV42" t="e">
        <f>AND('Planilla_General_03-12-2012_9_3'!O672,"AAAAAD+7/f8=")</f>
        <v>#VALUE!</v>
      </c>
    </row>
    <row r="43" spans="1:256" x14ac:dyDescent="0.25">
      <c r="A43" t="e">
        <f>IF('Planilla_General_03-12-2012_9_3'!673:673,"AAAAAD7+cwA=",0)</f>
        <v>#VALUE!</v>
      </c>
      <c r="B43" t="e">
        <f>AND('Planilla_General_03-12-2012_9_3'!A673,"AAAAAD7+cwE=")</f>
        <v>#VALUE!</v>
      </c>
      <c r="C43" t="e">
        <f>AND('Planilla_General_03-12-2012_9_3'!B673,"AAAAAD7+cwI=")</f>
        <v>#VALUE!</v>
      </c>
      <c r="D43" t="e">
        <f>AND('Planilla_General_03-12-2012_9_3'!C673,"AAAAAD7+cwM=")</f>
        <v>#VALUE!</v>
      </c>
      <c r="E43" t="e">
        <f>AND('Planilla_General_03-12-2012_9_3'!D673,"AAAAAD7+cwQ=")</f>
        <v>#VALUE!</v>
      </c>
      <c r="F43" t="e">
        <f>AND('Planilla_General_03-12-2012_9_3'!E673,"AAAAAD7+cwU=")</f>
        <v>#VALUE!</v>
      </c>
      <c r="G43" t="e">
        <f>AND('Planilla_General_03-12-2012_9_3'!F673,"AAAAAD7+cwY=")</f>
        <v>#VALUE!</v>
      </c>
      <c r="H43" t="e">
        <f>AND('Planilla_General_03-12-2012_9_3'!G673,"AAAAAD7+cwc=")</f>
        <v>#VALUE!</v>
      </c>
      <c r="I43" t="e">
        <f>AND('Planilla_General_03-12-2012_9_3'!H673,"AAAAAD7+cwg=")</f>
        <v>#VALUE!</v>
      </c>
      <c r="J43" t="e">
        <f>AND('Planilla_General_03-12-2012_9_3'!I673,"AAAAAD7+cwk=")</f>
        <v>#VALUE!</v>
      </c>
      <c r="K43" t="e">
        <f>AND('Planilla_General_03-12-2012_9_3'!J673,"AAAAAD7+cwo=")</f>
        <v>#VALUE!</v>
      </c>
      <c r="L43" t="e">
        <f>AND('Planilla_General_03-12-2012_9_3'!K673,"AAAAAD7+cws=")</f>
        <v>#VALUE!</v>
      </c>
      <c r="M43" t="e">
        <f>AND('Planilla_General_03-12-2012_9_3'!L673,"AAAAAD7+cww=")</f>
        <v>#VALUE!</v>
      </c>
      <c r="N43" t="e">
        <f>AND('Planilla_General_03-12-2012_9_3'!M673,"AAAAAD7+cw0=")</f>
        <v>#VALUE!</v>
      </c>
      <c r="O43" t="e">
        <f>AND('Planilla_General_03-12-2012_9_3'!N673,"AAAAAD7+cw4=")</f>
        <v>#VALUE!</v>
      </c>
      <c r="P43" t="e">
        <f>AND('Planilla_General_03-12-2012_9_3'!O673,"AAAAAD7+cw8=")</f>
        <v>#VALUE!</v>
      </c>
      <c r="Q43">
        <f>IF('Planilla_General_03-12-2012_9_3'!674:674,"AAAAAD7+cxA=",0)</f>
        <v>0</v>
      </c>
      <c r="R43" t="e">
        <f>AND('Planilla_General_03-12-2012_9_3'!A674,"AAAAAD7+cxE=")</f>
        <v>#VALUE!</v>
      </c>
      <c r="S43" t="e">
        <f>AND('Planilla_General_03-12-2012_9_3'!B674,"AAAAAD7+cxI=")</f>
        <v>#VALUE!</v>
      </c>
      <c r="T43" t="e">
        <f>AND('Planilla_General_03-12-2012_9_3'!C674,"AAAAAD7+cxM=")</f>
        <v>#VALUE!</v>
      </c>
      <c r="U43" t="e">
        <f>AND('Planilla_General_03-12-2012_9_3'!D674,"AAAAAD7+cxQ=")</f>
        <v>#VALUE!</v>
      </c>
      <c r="V43" t="e">
        <f>AND('Planilla_General_03-12-2012_9_3'!E674,"AAAAAD7+cxU=")</f>
        <v>#VALUE!</v>
      </c>
      <c r="W43" t="e">
        <f>AND('Planilla_General_03-12-2012_9_3'!F674,"AAAAAD7+cxY=")</f>
        <v>#VALUE!</v>
      </c>
      <c r="X43" t="e">
        <f>AND('Planilla_General_03-12-2012_9_3'!G674,"AAAAAD7+cxc=")</f>
        <v>#VALUE!</v>
      </c>
      <c r="Y43" t="e">
        <f>AND('Planilla_General_03-12-2012_9_3'!H674,"AAAAAD7+cxg=")</f>
        <v>#VALUE!</v>
      </c>
      <c r="Z43" t="e">
        <f>AND('Planilla_General_03-12-2012_9_3'!I674,"AAAAAD7+cxk=")</f>
        <v>#VALUE!</v>
      </c>
      <c r="AA43" t="e">
        <f>AND('Planilla_General_03-12-2012_9_3'!J674,"AAAAAD7+cxo=")</f>
        <v>#VALUE!</v>
      </c>
      <c r="AB43" t="e">
        <f>AND('Planilla_General_03-12-2012_9_3'!K674,"AAAAAD7+cxs=")</f>
        <v>#VALUE!</v>
      </c>
      <c r="AC43" t="e">
        <f>AND('Planilla_General_03-12-2012_9_3'!L674,"AAAAAD7+cxw=")</f>
        <v>#VALUE!</v>
      </c>
      <c r="AD43" t="e">
        <f>AND('Planilla_General_03-12-2012_9_3'!M674,"AAAAAD7+cx0=")</f>
        <v>#VALUE!</v>
      </c>
      <c r="AE43" t="e">
        <f>AND('Planilla_General_03-12-2012_9_3'!N674,"AAAAAD7+cx4=")</f>
        <v>#VALUE!</v>
      </c>
      <c r="AF43" t="e">
        <f>AND('Planilla_General_03-12-2012_9_3'!O674,"AAAAAD7+cx8=")</f>
        <v>#VALUE!</v>
      </c>
      <c r="AG43">
        <f>IF('Planilla_General_03-12-2012_9_3'!675:675,"AAAAAD7+cyA=",0)</f>
        <v>0</v>
      </c>
      <c r="AH43" t="e">
        <f>AND('Planilla_General_03-12-2012_9_3'!A675,"AAAAAD7+cyE=")</f>
        <v>#VALUE!</v>
      </c>
      <c r="AI43" t="e">
        <f>AND('Planilla_General_03-12-2012_9_3'!B675,"AAAAAD7+cyI=")</f>
        <v>#VALUE!</v>
      </c>
      <c r="AJ43" t="e">
        <f>AND('Planilla_General_03-12-2012_9_3'!C675,"AAAAAD7+cyM=")</f>
        <v>#VALUE!</v>
      </c>
      <c r="AK43" t="e">
        <f>AND('Planilla_General_03-12-2012_9_3'!D675,"AAAAAD7+cyQ=")</f>
        <v>#VALUE!</v>
      </c>
      <c r="AL43" t="e">
        <f>AND('Planilla_General_03-12-2012_9_3'!E675,"AAAAAD7+cyU=")</f>
        <v>#VALUE!</v>
      </c>
      <c r="AM43" t="e">
        <f>AND('Planilla_General_03-12-2012_9_3'!F675,"AAAAAD7+cyY=")</f>
        <v>#VALUE!</v>
      </c>
      <c r="AN43" t="e">
        <f>AND('Planilla_General_03-12-2012_9_3'!G675,"AAAAAD7+cyc=")</f>
        <v>#VALUE!</v>
      </c>
      <c r="AO43" t="e">
        <f>AND('Planilla_General_03-12-2012_9_3'!H675,"AAAAAD7+cyg=")</f>
        <v>#VALUE!</v>
      </c>
      <c r="AP43" t="e">
        <f>AND('Planilla_General_03-12-2012_9_3'!I675,"AAAAAD7+cyk=")</f>
        <v>#VALUE!</v>
      </c>
      <c r="AQ43" t="e">
        <f>AND('Planilla_General_03-12-2012_9_3'!J675,"AAAAAD7+cyo=")</f>
        <v>#VALUE!</v>
      </c>
      <c r="AR43" t="e">
        <f>AND('Planilla_General_03-12-2012_9_3'!K675,"AAAAAD7+cys=")</f>
        <v>#VALUE!</v>
      </c>
      <c r="AS43" t="e">
        <f>AND('Planilla_General_03-12-2012_9_3'!L675,"AAAAAD7+cyw=")</f>
        <v>#VALUE!</v>
      </c>
      <c r="AT43" t="e">
        <f>AND('Planilla_General_03-12-2012_9_3'!M675,"AAAAAD7+cy0=")</f>
        <v>#VALUE!</v>
      </c>
      <c r="AU43" t="e">
        <f>AND('Planilla_General_03-12-2012_9_3'!N675,"AAAAAD7+cy4=")</f>
        <v>#VALUE!</v>
      </c>
      <c r="AV43" t="e">
        <f>AND('Planilla_General_03-12-2012_9_3'!O675,"AAAAAD7+cy8=")</f>
        <v>#VALUE!</v>
      </c>
      <c r="AW43">
        <f>IF('Planilla_General_03-12-2012_9_3'!676:676,"AAAAAD7+czA=",0)</f>
        <v>0</v>
      </c>
      <c r="AX43" t="e">
        <f>AND('Planilla_General_03-12-2012_9_3'!A676,"AAAAAD7+czE=")</f>
        <v>#VALUE!</v>
      </c>
      <c r="AY43" t="e">
        <f>AND('Planilla_General_03-12-2012_9_3'!B676,"AAAAAD7+czI=")</f>
        <v>#VALUE!</v>
      </c>
      <c r="AZ43" t="e">
        <f>AND('Planilla_General_03-12-2012_9_3'!C676,"AAAAAD7+czM=")</f>
        <v>#VALUE!</v>
      </c>
      <c r="BA43" t="e">
        <f>AND('Planilla_General_03-12-2012_9_3'!D676,"AAAAAD7+czQ=")</f>
        <v>#VALUE!</v>
      </c>
      <c r="BB43" t="e">
        <f>AND('Planilla_General_03-12-2012_9_3'!E676,"AAAAAD7+czU=")</f>
        <v>#VALUE!</v>
      </c>
      <c r="BC43" t="e">
        <f>AND('Planilla_General_03-12-2012_9_3'!F676,"AAAAAD7+czY=")</f>
        <v>#VALUE!</v>
      </c>
      <c r="BD43" t="e">
        <f>AND('Planilla_General_03-12-2012_9_3'!G676,"AAAAAD7+czc=")</f>
        <v>#VALUE!</v>
      </c>
      <c r="BE43" t="e">
        <f>AND('Planilla_General_03-12-2012_9_3'!H676,"AAAAAD7+czg=")</f>
        <v>#VALUE!</v>
      </c>
      <c r="BF43" t="e">
        <f>AND('Planilla_General_03-12-2012_9_3'!I676,"AAAAAD7+czk=")</f>
        <v>#VALUE!</v>
      </c>
      <c r="BG43" t="e">
        <f>AND('Planilla_General_03-12-2012_9_3'!J676,"AAAAAD7+czo=")</f>
        <v>#VALUE!</v>
      </c>
      <c r="BH43" t="e">
        <f>AND('Planilla_General_03-12-2012_9_3'!K676,"AAAAAD7+czs=")</f>
        <v>#VALUE!</v>
      </c>
      <c r="BI43" t="e">
        <f>AND('Planilla_General_03-12-2012_9_3'!L676,"AAAAAD7+czw=")</f>
        <v>#VALUE!</v>
      </c>
      <c r="BJ43" t="e">
        <f>AND('Planilla_General_03-12-2012_9_3'!M676,"AAAAAD7+cz0=")</f>
        <v>#VALUE!</v>
      </c>
      <c r="BK43" t="e">
        <f>AND('Planilla_General_03-12-2012_9_3'!N676,"AAAAAD7+cz4=")</f>
        <v>#VALUE!</v>
      </c>
      <c r="BL43" t="e">
        <f>AND('Planilla_General_03-12-2012_9_3'!O676,"AAAAAD7+cz8=")</f>
        <v>#VALUE!</v>
      </c>
      <c r="BM43">
        <f>IF('Planilla_General_03-12-2012_9_3'!677:677,"AAAAAD7+c0A=",0)</f>
        <v>0</v>
      </c>
      <c r="BN43" t="e">
        <f>AND('Planilla_General_03-12-2012_9_3'!A677,"AAAAAD7+c0E=")</f>
        <v>#VALUE!</v>
      </c>
      <c r="BO43" t="e">
        <f>AND('Planilla_General_03-12-2012_9_3'!B677,"AAAAAD7+c0I=")</f>
        <v>#VALUE!</v>
      </c>
      <c r="BP43" t="e">
        <f>AND('Planilla_General_03-12-2012_9_3'!C677,"AAAAAD7+c0M=")</f>
        <v>#VALUE!</v>
      </c>
      <c r="BQ43" t="e">
        <f>AND('Planilla_General_03-12-2012_9_3'!D677,"AAAAAD7+c0Q=")</f>
        <v>#VALUE!</v>
      </c>
      <c r="BR43" t="e">
        <f>AND('Planilla_General_03-12-2012_9_3'!E677,"AAAAAD7+c0U=")</f>
        <v>#VALUE!</v>
      </c>
      <c r="BS43" t="e">
        <f>AND('Planilla_General_03-12-2012_9_3'!F677,"AAAAAD7+c0Y=")</f>
        <v>#VALUE!</v>
      </c>
      <c r="BT43" t="e">
        <f>AND('Planilla_General_03-12-2012_9_3'!G677,"AAAAAD7+c0c=")</f>
        <v>#VALUE!</v>
      </c>
      <c r="BU43" t="e">
        <f>AND('Planilla_General_03-12-2012_9_3'!H677,"AAAAAD7+c0g=")</f>
        <v>#VALUE!</v>
      </c>
      <c r="BV43" t="e">
        <f>AND('Planilla_General_03-12-2012_9_3'!I677,"AAAAAD7+c0k=")</f>
        <v>#VALUE!</v>
      </c>
      <c r="BW43" t="e">
        <f>AND('Planilla_General_03-12-2012_9_3'!J677,"AAAAAD7+c0o=")</f>
        <v>#VALUE!</v>
      </c>
      <c r="BX43" t="e">
        <f>AND('Planilla_General_03-12-2012_9_3'!K677,"AAAAAD7+c0s=")</f>
        <v>#VALUE!</v>
      </c>
      <c r="BY43" t="e">
        <f>AND('Planilla_General_03-12-2012_9_3'!L677,"AAAAAD7+c0w=")</f>
        <v>#VALUE!</v>
      </c>
      <c r="BZ43" t="e">
        <f>AND('Planilla_General_03-12-2012_9_3'!M677,"AAAAAD7+c00=")</f>
        <v>#VALUE!</v>
      </c>
      <c r="CA43" t="e">
        <f>AND('Planilla_General_03-12-2012_9_3'!N677,"AAAAAD7+c04=")</f>
        <v>#VALUE!</v>
      </c>
      <c r="CB43" t="e">
        <f>AND('Planilla_General_03-12-2012_9_3'!O677,"AAAAAD7+c08=")</f>
        <v>#VALUE!</v>
      </c>
      <c r="CC43">
        <f>IF('Planilla_General_03-12-2012_9_3'!678:678,"AAAAAD7+c1A=",0)</f>
        <v>0</v>
      </c>
      <c r="CD43" t="e">
        <f>AND('Planilla_General_03-12-2012_9_3'!A678,"AAAAAD7+c1E=")</f>
        <v>#VALUE!</v>
      </c>
      <c r="CE43" t="e">
        <f>AND('Planilla_General_03-12-2012_9_3'!B678,"AAAAAD7+c1I=")</f>
        <v>#VALUE!</v>
      </c>
      <c r="CF43" t="e">
        <f>AND('Planilla_General_03-12-2012_9_3'!C678,"AAAAAD7+c1M=")</f>
        <v>#VALUE!</v>
      </c>
      <c r="CG43" t="e">
        <f>AND('Planilla_General_03-12-2012_9_3'!D678,"AAAAAD7+c1Q=")</f>
        <v>#VALUE!</v>
      </c>
      <c r="CH43" t="e">
        <f>AND('Planilla_General_03-12-2012_9_3'!E678,"AAAAAD7+c1U=")</f>
        <v>#VALUE!</v>
      </c>
      <c r="CI43" t="e">
        <f>AND('Planilla_General_03-12-2012_9_3'!F678,"AAAAAD7+c1Y=")</f>
        <v>#VALUE!</v>
      </c>
      <c r="CJ43" t="e">
        <f>AND('Planilla_General_03-12-2012_9_3'!G678,"AAAAAD7+c1c=")</f>
        <v>#VALUE!</v>
      </c>
      <c r="CK43" t="e">
        <f>AND('Planilla_General_03-12-2012_9_3'!H678,"AAAAAD7+c1g=")</f>
        <v>#VALUE!</v>
      </c>
      <c r="CL43" t="e">
        <f>AND('Planilla_General_03-12-2012_9_3'!I678,"AAAAAD7+c1k=")</f>
        <v>#VALUE!</v>
      </c>
      <c r="CM43" t="e">
        <f>AND('Planilla_General_03-12-2012_9_3'!J678,"AAAAAD7+c1o=")</f>
        <v>#VALUE!</v>
      </c>
      <c r="CN43" t="e">
        <f>AND('Planilla_General_03-12-2012_9_3'!K678,"AAAAAD7+c1s=")</f>
        <v>#VALUE!</v>
      </c>
      <c r="CO43" t="e">
        <f>AND('Planilla_General_03-12-2012_9_3'!L678,"AAAAAD7+c1w=")</f>
        <v>#VALUE!</v>
      </c>
      <c r="CP43" t="e">
        <f>AND('Planilla_General_03-12-2012_9_3'!M678,"AAAAAD7+c10=")</f>
        <v>#VALUE!</v>
      </c>
      <c r="CQ43" t="e">
        <f>AND('Planilla_General_03-12-2012_9_3'!N678,"AAAAAD7+c14=")</f>
        <v>#VALUE!</v>
      </c>
      <c r="CR43" t="e">
        <f>AND('Planilla_General_03-12-2012_9_3'!O678,"AAAAAD7+c18=")</f>
        <v>#VALUE!</v>
      </c>
      <c r="CS43">
        <f>IF('Planilla_General_03-12-2012_9_3'!679:679,"AAAAAD7+c2A=",0)</f>
        <v>0</v>
      </c>
      <c r="CT43" t="e">
        <f>AND('Planilla_General_03-12-2012_9_3'!A679,"AAAAAD7+c2E=")</f>
        <v>#VALUE!</v>
      </c>
      <c r="CU43" t="e">
        <f>AND('Planilla_General_03-12-2012_9_3'!B679,"AAAAAD7+c2I=")</f>
        <v>#VALUE!</v>
      </c>
      <c r="CV43" t="e">
        <f>AND('Planilla_General_03-12-2012_9_3'!C679,"AAAAAD7+c2M=")</f>
        <v>#VALUE!</v>
      </c>
      <c r="CW43" t="e">
        <f>AND('Planilla_General_03-12-2012_9_3'!D679,"AAAAAD7+c2Q=")</f>
        <v>#VALUE!</v>
      </c>
      <c r="CX43" t="e">
        <f>AND('Planilla_General_03-12-2012_9_3'!E679,"AAAAAD7+c2U=")</f>
        <v>#VALUE!</v>
      </c>
      <c r="CY43" t="e">
        <f>AND('Planilla_General_03-12-2012_9_3'!F679,"AAAAAD7+c2Y=")</f>
        <v>#VALUE!</v>
      </c>
      <c r="CZ43" t="e">
        <f>AND('Planilla_General_03-12-2012_9_3'!G679,"AAAAAD7+c2c=")</f>
        <v>#VALUE!</v>
      </c>
      <c r="DA43" t="e">
        <f>AND('Planilla_General_03-12-2012_9_3'!H679,"AAAAAD7+c2g=")</f>
        <v>#VALUE!</v>
      </c>
      <c r="DB43" t="e">
        <f>AND('Planilla_General_03-12-2012_9_3'!I679,"AAAAAD7+c2k=")</f>
        <v>#VALUE!</v>
      </c>
      <c r="DC43" t="e">
        <f>AND('Planilla_General_03-12-2012_9_3'!J679,"AAAAAD7+c2o=")</f>
        <v>#VALUE!</v>
      </c>
      <c r="DD43" t="e">
        <f>AND('Planilla_General_03-12-2012_9_3'!K679,"AAAAAD7+c2s=")</f>
        <v>#VALUE!</v>
      </c>
      <c r="DE43" t="e">
        <f>AND('Planilla_General_03-12-2012_9_3'!L679,"AAAAAD7+c2w=")</f>
        <v>#VALUE!</v>
      </c>
      <c r="DF43" t="e">
        <f>AND('Planilla_General_03-12-2012_9_3'!M679,"AAAAAD7+c20=")</f>
        <v>#VALUE!</v>
      </c>
      <c r="DG43" t="e">
        <f>AND('Planilla_General_03-12-2012_9_3'!N679,"AAAAAD7+c24=")</f>
        <v>#VALUE!</v>
      </c>
      <c r="DH43" t="e">
        <f>AND('Planilla_General_03-12-2012_9_3'!O679,"AAAAAD7+c28=")</f>
        <v>#VALUE!</v>
      </c>
      <c r="DI43">
        <f>IF('Planilla_General_03-12-2012_9_3'!680:680,"AAAAAD7+c3A=",0)</f>
        <v>0</v>
      </c>
      <c r="DJ43" t="e">
        <f>AND('Planilla_General_03-12-2012_9_3'!A680,"AAAAAD7+c3E=")</f>
        <v>#VALUE!</v>
      </c>
      <c r="DK43" t="e">
        <f>AND('Planilla_General_03-12-2012_9_3'!B680,"AAAAAD7+c3I=")</f>
        <v>#VALUE!</v>
      </c>
      <c r="DL43" t="e">
        <f>AND('Planilla_General_03-12-2012_9_3'!C680,"AAAAAD7+c3M=")</f>
        <v>#VALUE!</v>
      </c>
      <c r="DM43" t="e">
        <f>AND('Planilla_General_03-12-2012_9_3'!D680,"AAAAAD7+c3Q=")</f>
        <v>#VALUE!</v>
      </c>
      <c r="DN43" t="e">
        <f>AND('Planilla_General_03-12-2012_9_3'!E680,"AAAAAD7+c3U=")</f>
        <v>#VALUE!</v>
      </c>
      <c r="DO43" t="e">
        <f>AND('Planilla_General_03-12-2012_9_3'!F680,"AAAAAD7+c3Y=")</f>
        <v>#VALUE!</v>
      </c>
      <c r="DP43" t="e">
        <f>AND('Planilla_General_03-12-2012_9_3'!G680,"AAAAAD7+c3c=")</f>
        <v>#VALUE!</v>
      </c>
      <c r="DQ43" t="e">
        <f>AND('Planilla_General_03-12-2012_9_3'!H680,"AAAAAD7+c3g=")</f>
        <v>#VALUE!</v>
      </c>
      <c r="DR43" t="e">
        <f>AND('Planilla_General_03-12-2012_9_3'!I680,"AAAAAD7+c3k=")</f>
        <v>#VALUE!</v>
      </c>
      <c r="DS43" t="e">
        <f>AND('Planilla_General_03-12-2012_9_3'!J680,"AAAAAD7+c3o=")</f>
        <v>#VALUE!</v>
      </c>
      <c r="DT43" t="e">
        <f>AND('Planilla_General_03-12-2012_9_3'!K680,"AAAAAD7+c3s=")</f>
        <v>#VALUE!</v>
      </c>
      <c r="DU43" t="e">
        <f>AND('Planilla_General_03-12-2012_9_3'!L680,"AAAAAD7+c3w=")</f>
        <v>#VALUE!</v>
      </c>
      <c r="DV43" t="e">
        <f>AND('Planilla_General_03-12-2012_9_3'!M680,"AAAAAD7+c30=")</f>
        <v>#VALUE!</v>
      </c>
      <c r="DW43" t="e">
        <f>AND('Planilla_General_03-12-2012_9_3'!N680,"AAAAAD7+c34=")</f>
        <v>#VALUE!</v>
      </c>
      <c r="DX43" t="e">
        <f>AND('Planilla_General_03-12-2012_9_3'!O680,"AAAAAD7+c38=")</f>
        <v>#VALUE!</v>
      </c>
      <c r="DY43">
        <f>IF('Planilla_General_03-12-2012_9_3'!681:681,"AAAAAD7+c4A=",0)</f>
        <v>0</v>
      </c>
      <c r="DZ43" t="e">
        <f>AND('Planilla_General_03-12-2012_9_3'!A681,"AAAAAD7+c4E=")</f>
        <v>#VALUE!</v>
      </c>
      <c r="EA43" t="e">
        <f>AND('Planilla_General_03-12-2012_9_3'!B681,"AAAAAD7+c4I=")</f>
        <v>#VALUE!</v>
      </c>
      <c r="EB43" t="e">
        <f>AND('Planilla_General_03-12-2012_9_3'!C681,"AAAAAD7+c4M=")</f>
        <v>#VALUE!</v>
      </c>
      <c r="EC43" t="e">
        <f>AND('Planilla_General_03-12-2012_9_3'!D681,"AAAAAD7+c4Q=")</f>
        <v>#VALUE!</v>
      </c>
      <c r="ED43" t="e">
        <f>AND('Planilla_General_03-12-2012_9_3'!E681,"AAAAAD7+c4U=")</f>
        <v>#VALUE!</v>
      </c>
      <c r="EE43" t="e">
        <f>AND('Planilla_General_03-12-2012_9_3'!F681,"AAAAAD7+c4Y=")</f>
        <v>#VALUE!</v>
      </c>
      <c r="EF43" t="e">
        <f>AND('Planilla_General_03-12-2012_9_3'!G681,"AAAAAD7+c4c=")</f>
        <v>#VALUE!</v>
      </c>
      <c r="EG43" t="e">
        <f>AND('Planilla_General_03-12-2012_9_3'!H681,"AAAAAD7+c4g=")</f>
        <v>#VALUE!</v>
      </c>
      <c r="EH43" t="e">
        <f>AND('Planilla_General_03-12-2012_9_3'!I681,"AAAAAD7+c4k=")</f>
        <v>#VALUE!</v>
      </c>
      <c r="EI43" t="e">
        <f>AND('Planilla_General_03-12-2012_9_3'!J681,"AAAAAD7+c4o=")</f>
        <v>#VALUE!</v>
      </c>
      <c r="EJ43" t="e">
        <f>AND('Planilla_General_03-12-2012_9_3'!K681,"AAAAAD7+c4s=")</f>
        <v>#VALUE!</v>
      </c>
      <c r="EK43" t="e">
        <f>AND('Planilla_General_03-12-2012_9_3'!L681,"AAAAAD7+c4w=")</f>
        <v>#VALUE!</v>
      </c>
      <c r="EL43" t="e">
        <f>AND('Planilla_General_03-12-2012_9_3'!M681,"AAAAAD7+c40=")</f>
        <v>#VALUE!</v>
      </c>
      <c r="EM43" t="e">
        <f>AND('Planilla_General_03-12-2012_9_3'!N681,"AAAAAD7+c44=")</f>
        <v>#VALUE!</v>
      </c>
      <c r="EN43" t="e">
        <f>AND('Planilla_General_03-12-2012_9_3'!O681,"AAAAAD7+c48=")</f>
        <v>#VALUE!</v>
      </c>
      <c r="EO43">
        <f>IF('Planilla_General_03-12-2012_9_3'!682:682,"AAAAAD7+c5A=",0)</f>
        <v>0</v>
      </c>
      <c r="EP43" t="e">
        <f>AND('Planilla_General_03-12-2012_9_3'!A682,"AAAAAD7+c5E=")</f>
        <v>#VALUE!</v>
      </c>
      <c r="EQ43" t="e">
        <f>AND('Planilla_General_03-12-2012_9_3'!B682,"AAAAAD7+c5I=")</f>
        <v>#VALUE!</v>
      </c>
      <c r="ER43" t="e">
        <f>AND('Planilla_General_03-12-2012_9_3'!C682,"AAAAAD7+c5M=")</f>
        <v>#VALUE!</v>
      </c>
      <c r="ES43" t="e">
        <f>AND('Planilla_General_03-12-2012_9_3'!D682,"AAAAAD7+c5Q=")</f>
        <v>#VALUE!</v>
      </c>
      <c r="ET43" t="e">
        <f>AND('Planilla_General_03-12-2012_9_3'!E682,"AAAAAD7+c5U=")</f>
        <v>#VALUE!</v>
      </c>
      <c r="EU43" t="e">
        <f>AND('Planilla_General_03-12-2012_9_3'!F682,"AAAAAD7+c5Y=")</f>
        <v>#VALUE!</v>
      </c>
      <c r="EV43" t="e">
        <f>AND('Planilla_General_03-12-2012_9_3'!G682,"AAAAAD7+c5c=")</f>
        <v>#VALUE!</v>
      </c>
      <c r="EW43" t="e">
        <f>AND('Planilla_General_03-12-2012_9_3'!H682,"AAAAAD7+c5g=")</f>
        <v>#VALUE!</v>
      </c>
      <c r="EX43" t="e">
        <f>AND('Planilla_General_03-12-2012_9_3'!I682,"AAAAAD7+c5k=")</f>
        <v>#VALUE!</v>
      </c>
      <c r="EY43" t="e">
        <f>AND('Planilla_General_03-12-2012_9_3'!J682,"AAAAAD7+c5o=")</f>
        <v>#VALUE!</v>
      </c>
      <c r="EZ43" t="e">
        <f>AND('Planilla_General_03-12-2012_9_3'!K682,"AAAAAD7+c5s=")</f>
        <v>#VALUE!</v>
      </c>
      <c r="FA43" t="e">
        <f>AND('Planilla_General_03-12-2012_9_3'!L682,"AAAAAD7+c5w=")</f>
        <v>#VALUE!</v>
      </c>
      <c r="FB43" t="e">
        <f>AND('Planilla_General_03-12-2012_9_3'!M682,"AAAAAD7+c50=")</f>
        <v>#VALUE!</v>
      </c>
      <c r="FC43" t="e">
        <f>AND('Planilla_General_03-12-2012_9_3'!N682,"AAAAAD7+c54=")</f>
        <v>#VALUE!</v>
      </c>
      <c r="FD43" t="e">
        <f>AND('Planilla_General_03-12-2012_9_3'!O682,"AAAAAD7+c58=")</f>
        <v>#VALUE!</v>
      </c>
      <c r="FE43">
        <f>IF('Planilla_General_03-12-2012_9_3'!683:683,"AAAAAD7+c6A=",0)</f>
        <v>0</v>
      </c>
      <c r="FF43" t="e">
        <f>AND('Planilla_General_03-12-2012_9_3'!A683,"AAAAAD7+c6E=")</f>
        <v>#VALUE!</v>
      </c>
      <c r="FG43" t="e">
        <f>AND('Planilla_General_03-12-2012_9_3'!B683,"AAAAAD7+c6I=")</f>
        <v>#VALUE!</v>
      </c>
      <c r="FH43" t="e">
        <f>AND('Planilla_General_03-12-2012_9_3'!C683,"AAAAAD7+c6M=")</f>
        <v>#VALUE!</v>
      </c>
      <c r="FI43" t="e">
        <f>AND('Planilla_General_03-12-2012_9_3'!D683,"AAAAAD7+c6Q=")</f>
        <v>#VALUE!</v>
      </c>
      <c r="FJ43" t="e">
        <f>AND('Planilla_General_03-12-2012_9_3'!E683,"AAAAAD7+c6U=")</f>
        <v>#VALUE!</v>
      </c>
      <c r="FK43" t="e">
        <f>AND('Planilla_General_03-12-2012_9_3'!F683,"AAAAAD7+c6Y=")</f>
        <v>#VALUE!</v>
      </c>
      <c r="FL43" t="e">
        <f>AND('Planilla_General_03-12-2012_9_3'!G683,"AAAAAD7+c6c=")</f>
        <v>#VALUE!</v>
      </c>
      <c r="FM43" t="e">
        <f>AND('Planilla_General_03-12-2012_9_3'!H683,"AAAAAD7+c6g=")</f>
        <v>#VALUE!</v>
      </c>
      <c r="FN43" t="e">
        <f>AND('Planilla_General_03-12-2012_9_3'!I683,"AAAAAD7+c6k=")</f>
        <v>#VALUE!</v>
      </c>
      <c r="FO43" t="e">
        <f>AND('Planilla_General_03-12-2012_9_3'!J683,"AAAAAD7+c6o=")</f>
        <v>#VALUE!</v>
      </c>
      <c r="FP43" t="e">
        <f>AND('Planilla_General_03-12-2012_9_3'!K683,"AAAAAD7+c6s=")</f>
        <v>#VALUE!</v>
      </c>
      <c r="FQ43" t="e">
        <f>AND('Planilla_General_03-12-2012_9_3'!L683,"AAAAAD7+c6w=")</f>
        <v>#VALUE!</v>
      </c>
      <c r="FR43" t="e">
        <f>AND('Planilla_General_03-12-2012_9_3'!M683,"AAAAAD7+c60=")</f>
        <v>#VALUE!</v>
      </c>
      <c r="FS43" t="e">
        <f>AND('Planilla_General_03-12-2012_9_3'!N683,"AAAAAD7+c64=")</f>
        <v>#VALUE!</v>
      </c>
      <c r="FT43" t="e">
        <f>AND('Planilla_General_03-12-2012_9_3'!O683,"AAAAAD7+c68=")</f>
        <v>#VALUE!</v>
      </c>
      <c r="FU43">
        <f>IF('Planilla_General_03-12-2012_9_3'!684:684,"AAAAAD7+c7A=",0)</f>
        <v>0</v>
      </c>
      <c r="FV43" t="e">
        <f>AND('Planilla_General_03-12-2012_9_3'!A684,"AAAAAD7+c7E=")</f>
        <v>#VALUE!</v>
      </c>
      <c r="FW43" t="e">
        <f>AND('Planilla_General_03-12-2012_9_3'!B684,"AAAAAD7+c7I=")</f>
        <v>#VALUE!</v>
      </c>
      <c r="FX43" t="e">
        <f>AND('Planilla_General_03-12-2012_9_3'!C684,"AAAAAD7+c7M=")</f>
        <v>#VALUE!</v>
      </c>
      <c r="FY43" t="e">
        <f>AND('Planilla_General_03-12-2012_9_3'!D684,"AAAAAD7+c7Q=")</f>
        <v>#VALUE!</v>
      </c>
      <c r="FZ43" t="e">
        <f>AND('Planilla_General_03-12-2012_9_3'!E684,"AAAAAD7+c7U=")</f>
        <v>#VALUE!</v>
      </c>
      <c r="GA43" t="e">
        <f>AND('Planilla_General_03-12-2012_9_3'!F684,"AAAAAD7+c7Y=")</f>
        <v>#VALUE!</v>
      </c>
      <c r="GB43" t="e">
        <f>AND('Planilla_General_03-12-2012_9_3'!G684,"AAAAAD7+c7c=")</f>
        <v>#VALUE!</v>
      </c>
      <c r="GC43" t="e">
        <f>AND('Planilla_General_03-12-2012_9_3'!H684,"AAAAAD7+c7g=")</f>
        <v>#VALUE!</v>
      </c>
      <c r="GD43" t="e">
        <f>AND('Planilla_General_03-12-2012_9_3'!I684,"AAAAAD7+c7k=")</f>
        <v>#VALUE!</v>
      </c>
      <c r="GE43" t="e">
        <f>AND('Planilla_General_03-12-2012_9_3'!J684,"AAAAAD7+c7o=")</f>
        <v>#VALUE!</v>
      </c>
      <c r="GF43" t="e">
        <f>AND('Planilla_General_03-12-2012_9_3'!K684,"AAAAAD7+c7s=")</f>
        <v>#VALUE!</v>
      </c>
      <c r="GG43" t="e">
        <f>AND('Planilla_General_03-12-2012_9_3'!L684,"AAAAAD7+c7w=")</f>
        <v>#VALUE!</v>
      </c>
      <c r="GH43" t="e">
        <f>AND('Planilla_General_03-12-2012_9_3'!M684,"AAAAAD7+c70=")</f>
        <v>#VALUE!</v>
      </c>
      <c r="GI43" t="e">
        <f>AND('Planilla_General_03-12-2012_9_3'!N684,"AAAAAD7+c74=")</f>
        <v>#VALUE!</v>
      </c>
      <c r="GJ43" t="e">
        <f>AND('Planilla_General_03-12-2012_9_3'!O684,"AAAAAD7+c78=")</f>
        <v>#VALUE!</v>
      </c>
      <c r="GK43">
        <f>IF('Planilla_General_03-12-2012_9_3'!685:685,"AAAAAD7+c8A=",0)</f>
        <v>0</v>
      </c>
      <c r="GL43" t="e">
        <f>AND('Planilla_General_03-12-2012_9_3'!A685,"AAAAAD7+c8E=")</f>
        <v>#VALUE!</v>
      </c>
      <c r="GM43" t="e">
        <f>AND('Planilla_General_03-12-2012_9_3'!B685,"AAAAAD7+c8I=")</f>
        <v>#VALUE!</v>
      </c>
      <c r="GN43" t="e">
        <f>AND('Planilla_General_03-12-2012_9_3'!C685,"AAAAAD7+c8M=")</f>
        <v>#VALUE!</v>
      </c>
      <c r="GO43" t="e">
        <f>AND('Planilla_General_03-12-2012_9_3'!D685,"AAAAAD7+c8Q=")</f>
        <v>#VALUE!</v>
      </c>
      <c r="GP43" t="e">
        <f>AND('Planilla_General_03-12-2012_9_3'!E685,"AAAAAD7+c8U=")</f>
        <v>#VALUE!</v>
      </c>
      <c r="GQ43" t="e">
        <f>AND('Planilla_General_03-12-2012_9_3'!F685,"AAAAAD7+c8Y=")</f>
        <v>#VALUE!</v>
      </c>
      <c r="GR43" t="e">
        <f>AND('Planilla_General_03-12-2012_9_3'!G685,"AAAAAD7+c8c=")</f>
        <v>#VALUE!</v>
      </c>
      <c r="GS43" t="e">
        <f>AND('Planilla_General_03-12-2012_9_3'!H685,"AAAAAD7+c8g=")</f>
        <v>#VALUE!</v>
      </c>
      <c r="GT43" t="e">
        <f>AND('Planilla_General_03-12-2012_9_3'!I685,"AAAAAD7+c8k=")</f>
        <v>#VALUE!</v>
      </c>
      <c r="GU43" t="e">
        <f>AND('Planilla_General_03-12-2012_9_3'!J685,"AAAAAD7+c8o=")</f>
        <v>#VALUE!</v>
      </c>
      <c r="GV43" t="e">
        <f>AND('Planilla_General_03-12-2012_9_3'!K685,"AAAAAD7+c8s=")</f>
        <v>#VALUE!</v>
      </c>
      <c r="GW43" t="e">
        <f>AND('Planilla_General_03-12-2012_9_3'!L685,"AAAAAD7+c8w=")</f>
        <v>#VALUE!</v>
      </c>
      <c r="GX43" t="e">
        <f>AND('Planilla_General_03-12-2012_9_3'!M685,"AAAAAD7+c80=")</f>
        <v>#VALUE!</v>
      </c>
      <c r="GY43" t="e">
        <f>AND('Planilla_General_03-12-2012_9_3'!N685,"AAAAAD7+c84=")</f>
        <v>#VALUE!</v>
      </c>
      <c r="GZ43" t="e">
        <f>AND('Planilla_General_03-12-2012_9_3'!O685,"AAAAAD7+c88=")</f>
        <v>#VALUE!</v>
      </c>
      <c r="HA43">
        <f>IF('Planilla_General_03-12-2012_9_3'!686:686,"AAAAAD7+c9A=",0)</f>
        <v>0</v>
      </c>
      <c r="HB43" t="e">
        <f>AND('Planilla_General_03-12-2012_9_3'!A686,"AAAAAD7+c9E=")</f>
        <v>#VALUE!</v>
      </c>
      <c r="HC43" t="e">
        <f>AND('Planilla_General_03-12-2012_9_3'!B686,"AAAAAD7+c9I=")</f>
        <v>#VALUE!</v>
      </c>
      <c r="HD43" t="e">
        <f>AND('Planilla_General_03-12-2012_9_3'!C686,"AAAAAD7+c9M=")</f>
        <v>#VALUE!</v>
      </c>
      <c r="HE43" t="e">
        <f>AND('Planilla_General_03-12-2012_9_3'!D686,"AAAAAD7+c9Q=")</f>
        <v>#VALUE!</v>
      </c>
      <c r="HF43" t="e">
        <f>AND('Planilla_General_03-12-2012_9_3'!E686,"AAAAAD7+c9U=")</f>
        <v>#VALUE!</v>
      </c>
      <c r="HG43" t="e">
        <f>AND('Planilla_General_03-12-2012_9_3'!F686,"AAAAAD7+c9Y=")</f>
        <v>#VALUE!</v>
      </c>
      <c r="HH43" t="e">
        <f>AND('Planilla_General_03-12-2012_9_3'!G686,"AAAAAD7+c9c=")</f>
        <v>#VALUE!</v>
      </c>
      <c r="HI43" t="e">
        <f>AND('Planilla_General_03-12-2012_9_3'!H686,"AAAAAD7+c9g=")</f>
        <v>#VALUE!</v>
      </c>
      <c r="HJ43" t="e">
        <f>AND('Planilla_General_03-12-2012_9_3'!I686,"AAAAAD7+c9k=")</f>
        <v>#VALUE!</v>
      </c>
      <c r="HK43" t="e">
        <f>AND('Planilla_General_03-12-2012_9_3'!J686,"AAAAAD7+c9o=")</f>
        <v>#VALUE!</v>
      </c>
      <c r="HL43" t="e">
        <f>AND('Planilla_General_03-12-2012_9_3'!K686,"AAAAAD7+c9s=")</f>
        <v>#VALUE!</v>
      </c>
      <c r="HM43" t="e">
        <f>AND('Planilla_General_03-12-2012_9_3'!L686,"AAAAAD7+c9w=")</f>
        <v>#VALUE!</v>
      </c>
      <c r="HN43" t="e">
        <f>AND('Planilla_General_03-12-2012_9_3'!M686,"AAAAAD7+c90=")</f>
        <v>#VALUE!</v>
      </c>
      <c r="HO43" t="e">
        <f>AND('Planilla_General_03-12-2012_9_3'!N686,"AAAAAD7+c94=")</f>
        <v>#VALUE!</v>
      </c>
      <c r="HP43" t="e">
        <f>AND('Planilla_General_03-12-2012_9_3'!O686,"AAAAAD7+c98=")</f>
        <v>#VALUE!</v>
      </c>
      <c r="HQ43">
        <f>IF('Planilla_General_03-12-2012_9_3'!687:687,"AAAAAD7+c+A=",0)</f>
        <v>0</v>
      </c>
      <c r="HR43" t="e">
        <f>AND('Planilla_General_03-12-2012_9_3'!A687,"AAAAAD7+c+E=")</f>
        <v>#VALUE!</v>
      </c>
      <c r="HS43" t="e">
        <f>AND('Planilla_General_03-12-2012_9_3'!B687,"AAAAAD7+c+I=")</f>
        <v>#VALUE!</v>
      </c>
      <c r="HT43" t="e">
        <f>AND('Planilla_General_03-12-2012_9_3'!C687,"AAAAAD7+c+M=")</f>
        <v>#VALUE!</v>
      </c>
      <c r="HU43" t="e">
        <f>AND('Planilla_General_03-12-2012_9_3'!D687,"AAAAAD7+c+Q=")</f>
        <v>#VALUE!</v>
      </c>
      <c r="HV43" t="e">
        <f>AND('Planilla_General_03-12-2012_9_3'!E687,"AAAAAD7+c+U=")</f>
        <v>#VALUE!</v>
      </c>
      <c r="HW43" t="e">
        <f>AND('Planilla_General_03-12-2012_9_3'!F687,"AAAAAD7+c+Y=")</f>
        <v>#VALUE!</v>
      </c>
      <c r="HX43" t="e">
        <f>AND('Planilla_General_03-12-2012_9_3'!G687,"AAAAAD7+c+c=")</f>
        <v>#VALUE!</v>
      </c>
      <c r="HY43" t="e">
        <f>AND('Planilla_General_03-12-2012_9_3'!H687,"AAAAAD7+c+g=")</f>
        <v>#VALUE!</v>
      </c>
      <c r="HZ43" t="e">
        <f>AND('Planilla_General_03-12-2012_9_3'!I687,"AAAAAD7+c+k=")</f>
        <v>#VALUE!</v>
      </c>
      <c r="IA43" t="e">
        <f>AND('Planilla_General_03-12-2012_9_3'!J687,"AAAAAD7+c+o=")</f>
        <v>#VALUE!</v>
      </c>
      <c r="IB43" t="e">
        <f>AND('Planilla_General_03-12-2012_9_3'!K687,"AAAAAD7+c+s=")</f>
        <v>#VALUE!</v>
      </c>
      <c r="IC43" t="e">
        <f>AND('Planilla_General_03-12-2012_9_3'!L687,"AAAAAD7+c+w=")</f>
        <v>#VALUE!</v>
      </c>
      <c r="ID43" t="e">
        <f>AND('Planilla_General_03-12-2012_9_3'!M687,"AAAAAD7+c+0=")</f>
        <v>#VALUE!</v>
      </c>
      <c r="IE43" t="e">
        <f>AND('Planilla_General_03-12-2012_9_3'!N687,"AAAAAD7+c+4=")</f>
        <v>#VALUE!</v>
      </c>
      <c r="IF43" t="e">
        <f>AND('Planilla_General_03-12-2012_9_3'!O687,"AAAAAD7+c+8=")</f>
        <v>#VALUE!</v>
      </c>
      <c r="IG43">
        <f>IF('Planilla_General_03-12-2012_9_3'!688:688,"AAAAAD7+c/A=",0)</f>
        <v>0</v>
      </c>
      <c r="IH43" t="e">
        <f>AND('Planilla_General_03-12-2012_9_3'!A688,"AAAAAD7+c/E=")</f>
        <v>#VALUE!</v>
      </c>
      <c r="II43" t="e">
        <f>AND('Planilla_General_03-12-2012_9_3'!B688,"AAAAAD7+c/I=")</f>
        <v>#VALUE!</v>
      </c>
      <c r="IJ43" t="e">
        <f>AND('Planilla_General_03-12-2012_9_3'!C688,"AAAAAD7+c/M=")</f>
        <v>#VALUE!</v>
      </c>
      <c r="IK43" t="e">
        <f>AND('Planilla_General_03-12-2012_9_3'!D688,"AAAAAD7+c/Q=")</f>
        <v>#VALUE!</v>
      </c>
      <c r="IL43" t="e">
        <f>AND('Planilla_General_03-12-2012_9_3'!E688,"AAAAAD7+c/U=")</f>
        <v>#VALUE!</v>
      </c>
      <c r="IM43" t="e">
        <f>AND('Planilla_General_03-12-2012_9_3'!F688,"AAAAAD7+c/Y=")</f>
        <v>#VALUE!</v>
      </c>
      <c r="IN43" t="e">
        <f>AND('Planilla_General_03-12-2012_9_3'!G688,"AAAAAD7+c/c=")</f>
        <v>#VALUE!</v>
      </c>
      <c r="IO43" t="e">
        <f>AND('Planilla_General_03-12-2012_9_3'!H688,"AAAAAD7+c/g=")</f>
        <v>#VALUE!</v>
      </c>
      <c r="IP43" t="e">
        <f>AND('Planilla_General_03-12-2012_9_3'!I688,"AAAAAD7+c/k=")</f>
        <v>#VALUE!</v>
      </c>
      <c r="IQ43" t="e">
        <f>AND('Planilla_General_03-12-2012_9_3'!J688,"AAAAAD7+c/o=")</f>
        <v>#VALUE!</v>
      </c>
      <c r="IR43" t="e">
        <f>AND('Planilla_General_03-12-2012_9_3'!K688,"AAAAAD7+c/s=")</f>
        <v>#VALUE!</v>
      </c>
      <c r="IS43" t="e">
        <f>AND('Planilla_General_03-12-2012_9_3'!L688,"AAAAAD7+c/w=")</f>
        <v>#VALUE!</v>
      </c>
      <c r="IT43" t="e">
        <f>AND('Planilla_General_03-12-2012_9_3'!M688,"AAAAAD7+c/0=")</f>
        <v>#VALUE!</v>
      </c>
      <c r="IU43" t="e">
        <f>AND('Planilla_General_03-12-2012_9_3'!N688,"AAAAAD7+c/4=")</f>
        <v>#VALUE!</v>
      </c>
      <c r="IV43" t="e">
        <f>AND('Planilla_General_03-12-2012_9_3'!O688,"AAAAAD7+c/8=")</f>
        <v>#VALUE!</v>
      </c>
    </row>
    <row r="44" spans="1:256" x14ac:dyDescent="0.25">
      <c r="A44" t="e">
        <f>IF('Planilla_General_03-12-2012_9_3'!689:689,"AAAAAH3+jwA=",0)</f>
        <v>#VALUE!</v>
      </c>
      <c r="B44" t="e">
        <f>AND('Planilla_General_03-12-2012_9_3'!A689,"AAAAAH3+jwE=")</f>
        <v>#VALUE!</v>
      </c>
      <c r="C44" t="e">
        <f>AND('Planilla_General_03-12-2012_9_3'!B689,"AAAAAH3+jwI=")</f>
        <v>#VALUE!</v>
      </c>
      <c r="D44" t="e">
        <f>AND('Planilla_General_03-12-2012_9_3'!C689,"AAAAAH3+jwM=")</f>
        <v>#VALUE!</v>
      </c>
      <c r="E44" t="e">
        <f>AND('Planilla_General_03-12-2012_9_3'!D689,"AAAAAH3+jwQ=")</f>
        <v>#VALUE!</v>
      </c>
      <c r="F44" t="e">
        <f>AND('Planilla_General_03-12-2012_9_3'!E689,"AAAAAH3+jwU=")</f>
        <v>#VALUE!</v>
      </c>
      <c r="G44" t="e">
        <f>AND('Planilla_General_03-12-2012_9_3'!F689,"AAAAAH3+jwY=")</f>
        <v>#VALUE!</v>
      </c>
      <c r="H44" t="e">
        <f>AND('Planilla_General_03-12-2012_9_3'!G689,"AAAAAH3+jwc=")</f>
        <v>#VALUE!</v>
      </c>
      <c r="I44" t="e">
        <f>AND('Planilla_General_03-12-2012_9_3'!H689,"AAAAAH3+jwg=")</f>
        <v>#VALUE!</v>
      </c>
      <c r="J44" t="e">
        <f>AND('Planilla_General_03-12-2012_9_3'!I689,"AAAAAH3+jwk=")</f>
        <v>#VALUE!</v>
      </c>
      <c r="K44" t="e">
        <f>AND('Planilla_General_03-12-2012_9_3'!J689,"AAAAAH3+jwo=")</f>
        <v>#VALUE!</v>
      </c>
      <c r="L44" t="e">
        <f>AND('Planilla_General_03-12-2012_9_3'!K689,"AAAAAH3+jws=")</f>
        <v>#VALUE!</v>
      </c>
      <c r="M44" t="e">
        <f>AND('Planilla_General_03-12-2012_9_3'!L689,"AAAAAH3+jww=")</f>
        <v>#VALUE!</v>
      </c>
      <c r="N44" t="e">
        <f>AND('Planilla_General_03-12-2012_9_3'!M689,"AAAAAH3+jw0=")</f>
        <v>#VALUE!</v>
      </c>
      <c r="O44" t="e">
        <f>AND('Planilla_General_03-12-2012_9_3'!N689,"AAAAAH3+jw4=")</f>
        <v>#VALUE!</v>
      </c>
      <c r="P44" t="e">
        <f>AND('Planilla_General_03-12-2012_9_3'!O689,"AAAAAH3+jw8=")</f>
        <v>#VALUE!</v>
      </c>
      <c r="Q44">
        <f>IF('Planilla_General_03-12-2012_9_3'!690:690,"AAAAAH3+jxA=",0)</f>
        <v>0</v>
      </c>
      <c r="R44" t="e">
        <f>AND('Planilla_General_03-12-2012_9_3'!A690,"AAAAAH3+jxE=")</f>
        <v>#VALUE!</v>
      </c>
      <c r="S44" t="e">
        <f>AND('Planilla_General_03-12-2012_9_3'!B690,"AAAAAH3+jxI=")</f>
        <v>#VALUE!</v>
      </c>
      <c r="T44" t="e">
        <f>AND('Planilla_General_03-12-2012_9_3'!C690,"AAAAAH3+jxM=")</f>
        <v>#VALUE!</v>
      </c>
      <c r="U44" t="e">
        <f>AND('Planilla_General_03-12-2012_9_3'!D690,"AAAAAH3+jxQ=")</f>
        <v>#VALUE!</v>
      </c>
      <c r="V44" t="e">
        <f>AND('Planilla_General_03-12-2012_9_3'!E690,"AAAAAH3+jxU=")</f>
        <v>#VALUE!</v>
      </c>
      <c r="W44" t="e">
        <f>AND('Planilla_General_03-12-2012_9_3'!F690,"AAAAAH3+jxY=")</f>
        <v>#VALUE!</v>
      </c>
      <c r="X44" t="e">
        <f>AND('Planilla_General_03-12-2012_9_3'!G690,"AAAAAH3+jxc=")</f>
        <v>#VALUE!</v>
      </c>
      <c r="Y44" t="e">
        <f>AND('Planilla_General_03-12-2012_9_3'!H690,"AAAAAH3+jxg=")</f>
        <v>#VALUE!</v>
      </c>
      <c r="Z44" t="e">
        <f>AND('Planilla_General_03-12-2012_9_3'!I690,"AAAAAH3+jxk=")</f>
        <v>#VALUE!</v>
      </c>
      <c r="AA44" t="e">
        <f>AND('Planilla_General_03-12-2012_9_3'!J690,"AAAAAH3+jxo=")</f>
        <v>#VALUE!</v>
      </c>
      <c r="AB44" t="e">
        <f>AND('Planilla_General_03-12-2012_9_3'!K690,"AAAAAH3+jxs=")</f>
        <v>#VALUE!</v>
      </c>
      <c r="AC44" t="e">
        <f>AND('Planilla_General_03-12-2012_9_3'!L690,"AAAAAH3+jxw=")</f>
        <v>#VALUE!</v>
      </c>
      <c r="AD44" t="e">
        <f>AND('Planilla_General_03-12-2012_9_3'!M690,"AAAAAH3+jx0=")</f>
        <v>#VALUE!</v>
      </c>
      <c r="AE44" t="e">
        <f>AND('Planilla_General_03-12-2012_9_3'!N690,"AAAAAH3+jx4=")</f>
        <v>#VALUE!</v>
      </c>
      <c r="AF44" t="e">
        <f>AND('Planilla_General_03-12-2012_9_3'!O690,"AAAAAH3+jx8=")</f>
        <v>#VALUE!</v>
      </c>
      <c r="AG44">
        <f>IF('Planilla_General_03-12-2012_9_3'!691:691,"AAAAAH3+jyA=",0)</f>
        <v>0</v>
      </c>
      <c r="AH44" t="e">
        <f>AND('Planilla_General_03-12-2012_9_3'!A691,"AAAAAH3+jyE=")</f>
        <v>#VALUE!</v>
      </c>
      <c r="AI44" t="e">
        <f>AND('Planilla_General_03-12-2012_9_3'!B691,"AAAAAH3+jyI=")</f>
        <v>#VALUE!</v>
      </c>
      <c r="AJ44" t="e">
        <f>AND('Planilla_General_03-12-2012_9_3'!C691,"AAAAAH3+jyM=")</f>
        <v>#VALUE!</v>
      </c>
      <c r="AK44" t="e">
        <f>AND('Planilla_General_03-12-2012_9_3'!D691,"AAAAAH3+jyQ=")</f>
        <v>#VALUE!</v>
      </c>
      <c r="AL44" t="e">
        <f>AND('Planilla_General_03-12-2012_9_3'!E691,"AAAAAH3+jyU=")</f>
        <v>#VALUE!</v>
      </c>
      <c r="AM44" t="e">
        <f>AND('Planilla_General_03-12-2012_9_3'!F691,"AAAAAH3+jyY=")</f>
        <v>#VALUE!</v>
      </c>
      <c r="AN44" t="e">
        <f>AND('Planilla_General_03-12-2012_9_3'!G691,"AAAAAH3+jyc=")</f>
        <v>#VALUE!</v>
      </c>
      <c r="AO44" t="e">
        <f>AND('Planilla_General_03-12-2012_9_3'!H691,"AAAAAH3+jyg=")</f>
        <v>#VALUE!</v>
      </c>
      <c r="AP44" t="e">
        <f>AND('Planilla_General_03-12-2012_9_3'!I691,"AAAAAH3+jyk=")</f>
        <v>#VALUE!</v>
      </c>
      <c r="AQ44" t="e">
        <f>AND('Planilla_General_03-12-2012_9_3'!J691,"AAAAAH3+jyo=")</f>
        <v>#VALUE!</v>
      </c>
      <c r="AR44" t="e">
        <f>AND('Planilla_General_03-12-2012_9_3'!K691,"AAAAAH3+jys=")</f>
        <v>#VALUE!</v>
      </c>
      <c r="AS44" t="e">
        <f>AND('Planilla_General_03-12-2012_9_3'!L691,"AAAAAH3+jyw=")</f>
        <v>#VALUE!</v>
      </c>
      <c r="AT44" t="e">
        <f>AND('Planilla_General_03-12-2012_9_3'!M691,"AAAAAH3+jy0=")</f>
        <v>#VALUE!</v>
      </c>
      <c r="AU44" t="e">
        <f>AND('Planilla_General_03-12-2012_9_3'!N691,"AAAAAH3+jy4=")</f>
        <v>#VALUE!</v>
      </c>
      <c r="AV44" t="e">
        <f>AND('Planilla_General_03-12-2012_9_3'!O691,"AAAAAH3+jy8=")</f>
        <v>#VALUE!</v>
      </c>
      <c r="AW44">
        <f>IF('Planilla_General_03-12-2012_9_3'!692:692,"AAAAAH3+jzA=",0)</f>
        <v>0</v>
      </c>
      <c r="AX44" t="e">
        <f>AND('Planilla_General_03-12-2012_9_3'!A692,"AAAAAH3+jzE=")</f>
        <v>#VALUE!</v>
      </c>
      <c r="AY44" t="e">
        <f>AND('Planilla_General_03-12-2012_9_3'!B692,"AAAAAH3+jzI=")</f>
        <v>#VALUE!</v>
      </c>
      <c r="AZ44" t="e">
        <f>AND('Planilla_General_03-12-2012_9_3'!C692,"AAAAAH3+jzM=")</f>
        <v>#VALUE!</v>
      </c>
      <c r="BA44" t="e">
        <f>AND('Planilla_General_03-12-2012_9_3'!D692,"AAAAAH3+jzQ=")</f>
        <v>#VALUE!</v>
      </c>
      <c r="BB44" t="e">
        <f>AND('Planilla_General_03-12-2012_9_3'!E692,"AAAAAH3+jzU=")</f>
        <v>#VALUE!</v>
      </c>
      <c r="BC44" t="e">
        <f>AND('Planilla_General_03-12-2012_9_3'!F692,"AAAAAH3+jzY=")</f>
        <v>#VALUE!</v>
      </c>
      <c r="BD44" t="e">
        <f>AND('Planilla_General_03-12-2012_9_3'!G692,"AAAAAH3+jzc=")</f>
        <v>#VALUE!</v>
      </c>
      <c r="BE44" t="e">
        <f>AND('Planilla_General_03-12-2012_9_3'!H692,"AAAAAH3+jzg=")</f>
        <v>#VALUE!</v>
      </c>
      <c r="BF44" t="e">
        <f>AND('Planilla_General_03-12-2012_9_3'!I692,"AAAAAH3+jzk=")</f>
        <v>#VALUE!</v>
      </c>
      <c r="BG44" t="e">
        <f>AND('Planilla_General_03-12-2012_9_3'!J692,"AAAAAH3+jzo=")</f>
        <v>#VALUE!</v>
      </c>
      <c r="BH44" t="e">
        <f>AND('Planilla_General_03-12-2012_9_3'!K692,"AAAAAH3+jzs=")</f>
        <v>#VALUE!</v>
      </c>
      <c r="BI44" t="e">
        <f>AND('Planilla_General_03-12-2012_9_3'!L692,"AAAAAH3+jzw=")</f>
        <v>#VALUE!</v>
      </c>
      <c r="BJ44" t="e">
        <f>AND('Planilla_General_03-12-2012_9_3'!M692,"AAAAAH3+jz0=")</f>
        <v>#VALUE!</v>
      </c>
      <c r="BK44" t="e">
        <f>AND('Planilla_General_03-12-2012_9_3'!N692,"AAAAAH3+jz4=")</f>
        <v>#VALUE!</v>
      </c>
      <c r="BL44" t="e">
        <f>AND('Planilla_General_03-12-2012_9_3'!O692,"AAAAAH3+jz8=")</f>
        <v>#VALUE!</v>
      </c>
      <c r="BM44">
        <f>IF('Planilla_General_03-12-2012_9_3'!693:693,"AAAAAH3+j0A=",0)</f>
        <v>0</v>
      </c>
      <c r="BN44" t="e">
        <f>AND('Planilla_General_03-12-2012_9_3'!A693,"AAAAAH3+j0E=")</f>
        <v>#VALUE!</v>
      </c>
      <c r="BO44" t="e">
        <f>AND('Planilla_General_03-12-2012_9_3'!B693,"AAAAAH3+j0I=")</f>
        <v>#VALUE!</v>
      </c>
      <c r="BP44" t="e">
        <f>AND('Planilla_General_03-12-2012_9_3'!C693,"AAAAAH3+j0M=")</f>
        <v>#VALUE!</v>
      </c>
      <c r="BQ44" t="e">
        <f>AND('Planilla_General_03-12-2012_9_3'!D693,"AAAAAH3+j0Q=")</f>
        <v>#VALUE!</v>
      </c>
      <c r="BR44" t="e">
        <f>AND('Planilla_General_03-12-2012_9_3'!E693,"AAAAAH3+j0U=")</f>
        <v>#VALUE!</v>
      </c>
      <c r="BS44" t="e">
        <f>AND('Planilla_General_03-12-2012_9_3'!F693,"AAAAAH3+j0Y=")</f>
        <v>#VALUE!</v>
      </c>
      <c r="BT44" t="e">
        <f>AND('Planilla_General_03-12-2012_9_3'!G693,"AAAAAH3+j0c=")</f>
        <v>#VALUE!</v>
      </c>
      <c r="BU44" t="e">
        <f>AND('Planilla_General_03-12-2012_9_3'!H693,"AAAAAH3+j0g=")</f>
        <v>#VALUE!</v>
      </c>
      <c r="BV44" t="e">
        <f>AND('Planilla_General_03-12-2012_9_3'!I693,"AAAAAH3+j0k=")</f>
        <v>#VALUE!</v>
      </c>
      <c r="BW44" t="e">
        <f>AND('Planilla_General_03-12-2012_9_3'!J693,"AAAAAH3+j0o=")</f>
        <v>#VALUE!</v>
      </c>
      <c r="BX44" t="e">
        <f>AND('Planilla_General_03-12-2012_9_3'!K693,"AAAAAH3+j0s=")</f>
        <v>#VALUE!</v>
      </c>
      <c r="BY44" t="e">
        <f>AND('Planilla_General_03-12-2012_9_3'!L693,"AAAAAH3+j0w=")</f>
        <v>#VALUE!</v>
      </c>
      <c r="BZ44" t="e">
        <f>AND('Planilla_General_03-12-2012_9_3'!M693,"AAAAAH3+j00=")</f>
        <v>#VALUE!</v>
      </c>
      <c r="CA44" t="e">
        <f>AND('Planilla_General_03-12-2012_9_3'!N693,"AAAAAH3+j04=")</f>
        <v>#VALUE!</v>
      </c>
      <c r="CB44" t="e">
        <f>AND('Planilla_General_03-12-2012_9_3'!O693,"AAAAAH3+j08=")</f>
        <v>#VALUE!</v>
      </c>
      <c r="CC44">
        <f>IF('Planilla_General_03-12-2012_9_3'!694:694,"AAAAAH3+j1A=",0)</f>
        <v>0</v>
      </c>
      <c r="CD44" t="e">
        <f>AND('Planilla_General_03-12-2012_9_3'!A694,"AAAAAH3+j1E=")</f>
        <v>#VALUE!</v>
      </c>
      <c r="CE44" t="e">
        <f>AND('Planilla_General_03-12-2012_9_3'!B694,"AAAAAH3+j1I=")</f>
        <v>#VALUE!</v>
      </c>
      <c r="CF44" t="e">
        <f>AND('Planilla_General_03-12-2012_9_3'!C694,"AAAAAH3+j1M=")</f>
        <v>#VALUE!</v>
      </c>
      <c r="CG44" t="e">
        <f>AND('Planilla_General_03-12-2012_9_3'!D694,"AAAAAH3+j1Q=")</f>
        <v>#VALUE!</v>
      </c>
      <c r="CH44" t="e">
        <f>AND('Planilla_General_03-12-2012_9_3'!E694,"AAAAAH3+j1U=")</f>
        <v>#VALUE!</v>
      </c>
      <c r="CI44" t="e">
        <f>AND('Planilla_General_03-12-2012_9_3'!F694,"AAAAAH3+j1Y=")</f>
        <v>#VALUE!</v>
      </c>
      <c r="CJ44" t="e">
        <f>AND('Planilla_General_03-12-2012_9_3'!G694,"AAAAAH3+j1c=")</f>
        <v>#VALUE!</v>
      </c>
      <c r="CK44" t="e">
        <f>AND('Planilla_General_03-12-2012_9_3'!H694,"AAAAAH3+j1g=")</f>
        <v>#VALUE!</v>
      </c>
      <c r="CL44" t="e">
        <f>AND('Planilla_General_03-12-2012_9_3'!I694,"AAAAAH3+j1k=")</f>
        <v>#VALUE!</v>
      </c>
      <c r="CM44" t="e">
        <f>AND('Planilla_General_03-12-2012_9_3'!J694,"AAAAAH3+j1o=")</f>
        <v>#VALUE!</v>
      </c>
      <c r="CN44" t="e">
        <f>AND('Planilla_General_03-12-2012_9_3'!K694,"AAAAAH3+j1s=")</f>
        <v>#VALUE!</v>
      </c>
      <c r="CO44" t="e">
        <f>AND('Planilla_General_03-12-2012_9_3'!L694,"AAAAAH3+j1w=")</f>
        <v>#VALUE!</v>
      </c>
      <c r="CP44" t="e">
        <f>AND('Planilla_General_03-12-2012_9_3'!M694,"AAAAAH3+j10=")</f>
        <v>#VALUE!</v>
      </c>
      <c r="CQ44" t="e">
        <f>AND('Planilla_General_03-12-2012_9_3'!N694,"AAAAAH3+j14=")</f>
        <v>#VALUE!</v>
      </c>
      <c r="CR44" t="e">
        <f>AND('Planilla_General_03-12-2012_9_3'!O694,"AAAAAH3+j18=")</f>
        <v>#VALUE!</v>
      </c>
      <c r="CS44">
        <f>IF('Planilla_General_03-12-2012_9_3'!695:695,"AAAAAH3+j2A=",0)</f>
        <v>0</v>
      </c>
      <c r="CT44" t="e">
        <f>AND('Planilla_General_03-12-2012_9_3'!A695,"AAAAAH3+j2E=")</f>
        <v>#VALUE!</v>
      </c>
      <c r="CU44" t="e">
        <f>AND('Planilla_General_03-12-2012_9_3'!B695,"AAAAAH3+j2I=")</f>
        <v>#VALUE!</v>
      </c>
      <c r="CV44" t="e">
        <f>AND('Planilla_General_03-12-2012_9_3'!C695,"AAAAAH3+j2M=")</f>
        <v>#VALUE!</v>
      </c>
      <c r="CW44" t="e">
        <f>AND('Planilla_General_03-12-2012_9_3'!D695,"AAAAAH3+j2Q=")</f>
        <v>#VALUE!</v>
      </c>
      <c r="CX44" t="e">
        <f>AND('Planilla_General_03-12-2012_9_3'!E695,"AAAAAH3+j2U=")</f>
        <v>#VALUE!</v>
      </c>
      <c r="CY44" t="e">
        <f>AND('Planilla_General_03-12-2012_9_3'!F695,"AAAAAH3+j2Y=")</f>
        <v>#VALUE!</v>
      </c>
      <c r="CZ44" t="e">
        <f>AND('Planilla_General_03-12-2012_9_3'!G695,"AAAAAH3+j2c=")</f>
        <v>#VALUE!</v>
      </c>
      <c r="DA44" t="e">
        <f>AND('Planilla_General_03-12-2012_9_3'!H695,"AAAAAH3+j2g=")</f>
        <v>#VALUE!</v>
      </c>
      <c r="DB44" t="e">
        <f>AND('Planilla_General_03-12-2012_9_3'!I695,"AAAAAH3+j2k=")</f>
        <v>#VALUE!</v>
      </c>
      <c r="DC44" t="e">
        <f>AND('Planilla_General_03-12-2012_9_3'!J695,"AAAAAH3+j2o=")</f>
        <v>#VALUE!</v>
      </c>
      <c r="DD44" t="e">
        <f>AND('Planilla_General_03-12-2012_9_3'!K695,"AAAAAH3+j2s=")</f>
        <v>#VALUE!</v>
      </c>
      <c r="DE44" t="e">
        <f>AND('Planilla_General_03-12-2012_9_3'!L695,"AAAAAH3+j2w=")</f>
        <v>#VALUE!</v>
      </c>
      <c r="DF44" t="e">
        <f>AND('Planilla_General_03-12-2012_9_3'!M695,"AAAAAH3+j20=")</f>
        <v>#VALUE!</v>
      </c>
      <c r="DG44" t="e">
        <f>AND('Planilla_General_03-12-2012_9_3'!N695,"AAAAAH3+j24=")</f>
        <v>#VALUE!</v>
      </c>
      <c r="DH44" t="e">
        <f>AND('Planilla_General_03-12-2012_9_3'!O695,"AAAAAH3+j28=")</f>
        <v>#VALUE!</v>
      </c>
      <c r="DI44">
        <f>IF('Planilla_General_03-12-2012_9_3'!696:696,"AAAAAH3+j3A=",0)</f>
        <v>0</v>
      </c>
      <c r="DJ44" t="e">
        <f>AND('Planilla_General_03-12-2012_9_3'!A696,"AAAAAH3+j3E=")</f>
        <v>#VALUE!</v>
      </c>
      <c r="DK44" t="e">
        <f>AND('Planilla_General_03-12-2012_9_3'!B696,"AAAAAH3+j3I=")</f>
        <v>#VALUE!</v>
      </c>
      <c r="DL44" t="e">
        <f>AND('Planilla_General_03-12-2012_9_3'!C696,"AAAAAH3+j3M=")</f>
        <v>#VALUE!</v>
      </c>
      <c r="DM44" t="e">
        <f>AND('Planilla_General_03-12-2012_9_3'!D696,"AAAAAH3+j3Q=")</f>
        <v>#VALUE!</v>
      </c>
      <c r="DN44" t="e">
        <f>AND('Planilla_General_03-12-2012_9_3'!E696,"AAAAAH3+j3U=")</f>
        <v>#VALUE!</v>
      </c>
      <c r="DO44" t="e">
        <f>AND('Planilla_General_03-12-2012_9_3'!F696,"AAAAAH3+j3Y=")</f>
        <v>#VALUE!</v>
      </c>
      <c r="DP44" t="e">
        <f>AND('Planilla_General_03-12-2012_9_3'!G696,"AAAAAH3+j3c=")</f>
        <v>#VALUE!</v>
      </c>
      <c r="DQ44" t="e">
        <f>AND('Planilla_General_03-12-2012_9_3'!H696,"AAAAAH3+j3g=")</f>
        <v>#VALUE!</v>
      </c>
      <c r="DR44" t="e">
        <f>AND('Planilla_General_03-12-2012_9_3'!I696,"AAAAAH3+j3k=")</f>
        <v>#VALUE!</v>
      </c>
      <c r="DS44" t="e">
        <f>AND('Planilla_General_03-12-2012_9_3'!J696,"AAAAAH3+j3o=")</f>
        <v>#VALUE!</v>
      </c>
      <c r="DT44" t="e">
        <f>AND('Planilla_General_03-12-2012_9_3'!K696,"AAAAAH3+j3s=")</f>
        <v>#VALUE!</v>
      </c>
      <c r="DU44" t="e">
        <f>AND('Planilla_General_03-12-2012_9_3'!L696,"AAAAAH3+j3w=")</f>
        <v>#VALUE!</v>
      </c>
      <c r="DV44" t="e">
        <f>AND('Planilla_General_03-12-2012_9_3'!M696,"AAAAAH3+j30=")</f>
        <v>#VALUE!</v>
      </c>
      <c r="DW44" t="e">
        <f>AND('Planilla_General_03-12-2012_9_3'!N696,"AAAAAH3+j34=")</f>
        <v>#VALUE!</v>
      </c>
      <c r="DX44" t="e">
        <f>AND('Planilla_General_03-12-2012_9_3'!O696,"AAAAAH3+j38=")</f>
        <v>#VALUE!</v>
      </c>
      <c r="DY44">
        <f>IF('Planilla_General_03-12-2012_9_3'!697:697,"AAAAAH3+j4A=",0)</f>
        <v>0</v>
      </c>
      <c r="DZ44" t="e">
        <f>AND('Planilla_General_03-12-2012_9_3'!A697,"AAAAAH3+j4E=")</f>
        <v>#VALUE!</v>
      </c>
      <c r="EA44" t="e">
        <f>AND('Planilla_General_03-12-2012_9_3'!B697,"AAAAAH3+j4I=")</f>
        <v>#VALUE!</v>
      </c>
      <c r="EB44" t="e">
        <f>AND('Planilla_General_03-12-2012_9_3'!C697,"AAAAAH3+j4M=")</f>
        <v>#VALUE!</v>
      </c>
      <c r="EC44" t="e">
        <f>AND('Planilla_General_03-12-2012_9_3'!D697,"AAAAAH3+j4Q=")</f>
        <v>#VALUE!</v>
      </c>
      <c r="ED44" t="e">
        <f>AND('Planilla_General_03-12-2012_9_3'!E697,"AAAAAH3+j4U=")</f>
        <v>#VALUE!</v>
      </c>
      <c r="EE44" t="e">
        <f>AND('Planilla_General_03-12-2012_9_3'!F697,"AAAAAH3+j4Y=")</f>
        <v>#VALUE!</v>
      </c>
      <c r="EF44" t="e">
        <f>AND('Planilla_General_03-12-2012_9_3'!G697,"AAAAAH3+j4c=")</f>
        <v>#VALUE!</v>
      </c>
      <c r="EG44" t="e">
        <f>AND('Planilla_General_03-12-2012_9_3'!H697,"AAAAAH3+j4g=")</f>
        <v>#VALUE!</v>
      </c>
      <c r="EH44" t="e">
        <f>AND('Planilla_General_03-12-2012_9_3'!I697,"AAAAAH3+j4k=")</f>
        <v>#VALUE!</v>
      </c>
      <c r="EI44" t="e">
        <f>AND('Planilla_General_03-12-2012_9_3'!J697,"AAAAAH3+j4o=")</f>
        <v>#VALUE!</v>
      </c>
      <c r="EJ44" t="e">
        <f>AND('Planilla_General_03-12-2012_9_3'!K697,"AAAAAH3+j4s=")</f>
        <v>#VALUE!</v>
      </c>
      <c r="EK44" t="e">
        <f>AND('Planilla_General_03-12-2012_9_3'!L697,"AAAAAH3+j4w=")</f>
        <v>#VALUE!</v>
      </c>
      <c r="EL44" t="e">
        <f>AND('Planilla_General_03-12-2012_9_3'!M697,"AAAAAH3+j40=")</f>
        <v>#VALUE!</v>
      </c>
      <c r="EM44" t="e">
        <f>AND('Planilla_General_03-12-2012_9_3'!N697,"AAAAAH3+j44=")</f>
        <v>#VALUE!</v>
      </c>
      <c r="EN44" t="e">
        <f>AND('Planilla_General_03-12-2012_9_3'!O697,"AAAAAH3+j48=")</f>
        <v>#VALUE!</v>
      </c>
      <c r="EO44">
        <f>IF('Planilla_General_03-12-2012_9_3'!698:698,"AAAAAH3+j5A=",0)</f>
        <v>0</v>
      </c>
      <c r="EP44" t="e">
        <f>AND('Planilla_General_03-12-2012_9_3'!A698,"AAAAAH3+j5E=")</f>
        <v>#VALUE!</v>
      </c>
      <c r="EQ44" t="e">
        <f>AND('Planilla_General_03-12-2012_9_3'!B698,"AAAAAH3+j5I=")</f>
        <v>#VALUE!</v>
      </c>
      <c r="ER44" t="e">
        <f>AND('Planilla_General_03-12-2012_9_3'!C698,"AAAAAH3+j5M=")</f>
        <v>#VALUE!</v>
      </c>
      <c r="ES44" t="e">
        <f>AND('Planilla_General_03-12-2012_9_3'!D698,"AAAAAH3+j5Q=")</f>
        <v>#VALUE!</v>
      </c>
      <c r="ET44" t="e">
        <f>AND('Planilla_General_03-12-2012_9_3'!E698,"AAAAAH3+j5U=")</f>
        <v>#VALUE!</v>
      </c>
      <c r="EU44" t="e">
        <f>AND('Planilla_General_03-12-2012_9_3'!F698,"AAAAAH3+j5Y=")</f>
        <v>#VALUE!</v>
      </c>
      <c r="EV44" t="e">
        <f>AND('Planilla_General_03-12-2012_9_3'!G698,"AAAAAH3+j5c=")</f>
        <v>#VALUE!</v>
      </c>
      <c r="EW44" t="e">
        <f>AND('Planilla_General_03-12-2012_9_3'!H698,"AAAAAH3+j5g=")</f>
        <v>#VALUE!</v>
      </c>
      <c r="EX44" t="e">
        <f>AND('Planilla_General_03-12-2012_9_3'!I698,"AAAAAH3+j5k=")</f>
        <v>#VALUE!</v>
      </c>
      <c r="EY44" t="e">
        <f>AND('Planilla_General_03-12-2012_9_3'!J698,"AAAAAH3+j5o=")</f>
        <v>#VALUE!</v>
      </c>
      <c r="EZ44" t="e">
        <f>AND('Planilla_General_03-12-2012_9_3'!K698,"AAAAAH3+j5s=")</f>
        <v>#VALUE!</v>
      </c>
      <c r="FA44" t="e">
        <f>AND('Planilla_General_03-12-2012_9_3'!L698,"AAAAAH3+j5w=")</f>
        <v>#VALUE!</v>
      </c>
      <c r="FB44" t="e">
        <f>AND('Planilla_General_03-12-2012_9_3'!M698,"AAAAAH3+j50=")</f>
        <v>#VALUE!</v>
      </c>
      <c r="FC44" t="e">
        <f>AND('Planilla_General_03-12-2012_9_3'!N698,"AAAAAH3+j54=")</f>
        <v>#VALUE!</v>
      </c>
      <c r="FD44" t="e">
        <f>AND('Planilla_General_03-12-2012_9_3'!O698,"AAAAAH3+j58=")</f>
        <v>#VALUE!</v>
      </c>
      <c r="FE44">
        <f>IF('Planilla_General_03-12-2012_9_3'!699:699,"AAAAAH3+j6A=",0)</f>
        <v>0</v>
      </c>
      <c r="FF44" t="e">
        <f>AND('Planilla_General_03-12-2012_9_3'!A699,"AAAAAH3+j6E=")</f>
        <v>#VALUE!</v>
      </c>
      <c r="FG44" t="e">
        <f>AND('Planilla_General_03-12-2012_9_3'!B699,"AAAAAH3+j6I=")</f>
        <v>#VALUE!</v>
      </c>
      <c r="FH44" t="e">
        <f>AND('Planilla_General_03-12-2012_9_3'!C699,"AAAAAH3+j6M=")</f>
        <v>#VALUE!</v>
      </c>
      <c r="FI44" t="e">
        <f>AND('Planilla_General_03-12-2012_9_3'!D699,"AAAAAH3+j6Q=")</f>
        <v>#VALUE!</v>
      </c>
      <c r="FJ44" t="e">
        <f>AND('Planilla_General_03-12-2012_9_3'!E699,"AAAAAH3+j6U=")</f>
        <v>#VALUE!</v>
      </c>
      <c r="FK44" t="e">
        <f>AND('Planilla_General_03-12-2012_9_3'!F699,"AAAAAH3+j6Y=")</f>
        <v>#VALUE!</v>
      </c>
      <c r="FL44" t="e">
        <f>AND('Planilla_General_03-12-2012_9_3'!G699,"AAAAAH3+j6c=")</f>
        <v>#VALUE!</v>
      </c>
      <c r="FM44" t="e">
        <f>AND('Planilla_General_03-12-2012_9_3'!H699,"AAAAAH3+j6g=")</f>
        <v>#VALUE!</v>
      </c>
      <c r="FN44" t="e">
        <f>AND('Planilla_General_03-12-2012_9_3'!I699,"AAAAAH3+j6k=")</f>
        <v>#VALUE!</v>
      </c>
      <c r="FO44" t="e">
        <f>AND('Planilla_General_03-12-2012_9_3'!J699,"AAAAAH3+j6o=")</f>
        <v>#VALUE!</v>
      </c>
      <c r="FP44" t="e">
        <f>AND('Planilla_General_03-12-2012_9_3'!K699,"AAAAAH3+j6s=")</f>
        <v>#VALUE!</v>
      </c>
      <c r="FQ44" t="e">
        <f>AND('Planilla_General_03-12-2012_9_3'!L699,"AAAAAH3+j6w=")</f>
        <v>#VALUE!</v>
      </c>
      <c r="FR44" t="e">
        <f>AND('Planilla_General_03-12-2012_9_3'!M699,"AAAAAH3+j60=")</f>
        <v>#VALUE!</v>
      </c>
      <c r="FS44" t="e">
        <f>AND('Planilla_General_03-12-2012_9_3'!N699,"AAAAAH3+j64=")</f>
        <v>#VALUE!</v>
      </c>
      <c r="FT44" t="e">
        <f>AND('Planilla_General_03-12-2012_9_3'!O699,"AAAAAH3+j68=")</f>
        <v>#VALUE!</v>
      </c>
      <c r="FU44">
        <f>IF('Planilla_General_03-12-2012_9_3'!700:700,"AAAAAH3+j7A=",0)</f>
        <v>0</v>
      </c>
      <c r="FV44" t="e">
        <f>AND('Planilla_General_03-12-2012_9_3'!A700,"AAAAAH3+j7E=")</f>
        <v>#VALUE!</v>
      </c>
      <c r="FW44" t="e">
        <f>AND('Planilla_General_03-12-2012_9_3'!B700,"AAAAAH3+j7I=")</f>
        <v>#VALUE!</v>
      </c>
      <c r="FX44" t="e">
        <f>AND('Planilla_General_03-12-2012_9_3'!C700,"AAAAAH3+j7M=")</f>
        <v>#VALUE!</v>
      </c>
      <c r="FY44" t="e">
        <f>AND('Planilla_General_03-12-2012_9_3'!D700,"AAAAAH3+j7Q=")</f>
        <v>#VALUE!</v>
      </c>
      <c r="FZ44" t="e">
        <f>AND('Planilla_General_03-12-2012_9_3'!E700,"AAAAAH3+j7U=")</f>
        <v>#VALUE!</v>
      </c>
      <c r="GA44" t="e">
        <f>AND('Planilla_General_03-12-2012_9_3'!F700,"AAAAAH3+j7Y=")</f>
        <v>#VALUE!</v>
      </c>
      <c r="GB44" t="e">
        <f>AND('Planilla_General_03-12-2012_9_3'!G700,"AAAAAH3+j7c=")</f>
        <v>#VALUE!</v>
      </c>
      <c r="GC44" t="e">
        <f>AND('Planilla_General_03-12-2012_9_3'!H700,"AAAAAH3+j7g=")</f>
        <v>#VALUE!</v>
      </c>
      <c r="GD44" t="e">
        <f>AND('Planilla_General_03-12-2012_9_3'!I700,"AAAAAH3+j7k=")</f>
        <v>#VALUE!</v>
      </c>
      <c r="GE44" t="e">
        <f>AND('Planilla_General_03-12-2012_9_3'!J700,"AAAAAH3+j7o=")</f>
        <v>#VALUE!</v>
      </c>
      <c r="GF44" t="e">
        <f>AND('Planilla_General_03-12-2012_9_3'!K700,"AAAAAH3+j7s=")</f>
        <v>#VALUE!</v>
      </c>
      <c r="GG44" t="e">
        <f>AND('Planilla_General_03-12-2012_9_3'!L700,"AAAAAH3+j7w=")</f>
        <v>#VALUE!</v>
      </c>
      <c r="GH44" t="e">
        <f>AND('Planilla_General_03-12-2012_9_3'!M700,"AAAAAH3+j70=")</f>
        <v>#VALUE!</v>
      </c>
      <c r="GI44" t="e">
        <f>AND('Planilla_General_03-12-2012_9_3'!N700,"AAAAAH3+j74=")</f>
        <v>#VALUE!</v>
      </c>
      <c r="GJ44" t="e">
        <f>AND('Planilla_General_03-12-2012_9_3'!O700,"AAAAAH3+j78=")</f>
        <v>#VALUE!</v>
      </c>
      <c r="GK44">
        <f>IF('Planilla_General_03-12-2012_9_3'!701:701,"AAAAAH3+j8A=",0)</f>
        <v>0</v>
      </c>
      <c r="GL44" t="e">
        <f>AND('Planilla_General_03-12-2012_9_3'!A701,"AAAAAH3+j8E=")</f>
        <v>#VALUE!</v>
      </c>
      <c r="GM44" t="e">
        <f>AND('Planilla_General_03-12-2012_9_3'!B701,"AAAAAH3+j8I=")</f>
        <v>#VALUE!</v>
      </c>
      <c r="GN44" t="e">
        <f>AND('Planilla_General_03-12-2012_9_3'!C701,"AAAAAH3+j8M=")</f>
        <v>#VALUE!</v>
      </c>
      <c r="GO44" t="e">
        <f>AND('Planilla_General_03-12-2012_9_3'!D701,"AAAAAH3+j8Q=")</f>
        <v>#VALUE!</v>
      </c>
      <c r="GP44" t="e">
        <f>AND('Planilla_General_03-12-2012_9_3'!E701,"AAAAAH3+j8U=")</f>
        <v>#VALUE!</v>
      </c>
      <c r="GQ44" t="e">
        <f>AND('Planilla_General_03-12-2012_9_3'!F701,"AAAAAH3+j8Y=")</f>
        <v>#VALUE!</v>
      </c>
      <c r="GR44" t="e">
        <f>AND('Planilla_General_03-12-2012_9_3'!G701,"AAAAAH3+j8c=")</f>
        <v>#VALUE!</v>
      </c>
      <c r="GS44" t="e">
        <f>AND('Planilla_General_03-12-2012_9_3'!H701,"AAAAAH3+j8g=")</f>
        <v>#VALUE!</v>
      </c>
      <c r="GT44" t="e">
        <f>AND('Planilla_General_03-12-2012_9_3'!I701,"AAAAAH3+j8k=")</f>
        <v>#VALUE!</v>
      </c>
      <c r="GU44" t="e">
        <f>AND('Planilla_General_03-12-2012_9_3'!J701,"AAAAAH3+j8o=")</f>
        <v>#VALUE!</v>
      </c>
      <c r="GV44" t="e">
        <f>AND('Planilla_General_03-12-2012_9_3'!K701,"AAAAAH3+j8s=")</f>
        <v>#VALUE!</v>
      </c>
      <c r="GW44" t="e">
        <f>AND('Planilla_General_03-12-2012_9_3'!L701,"AAAAAH3+j8w=")</f>
        <v>#VALUE!</v>
      </c>
      <c r="GX44" t="e">
        <f>AND('Planilla_General_03-12-2012_9_3'!M701,"AAAAAH3+j80=")</f>
        <v>#VALUE!</v>
      </c>
      <c r="GY44" t="e">
        <f>AND('Planilla_General_03-12-2012_9_3'!N701,"AAAAAH3+j84=")</f>
        <v>#VALUE!</v>
      </c>
      <c r="GZ44" t="e">
        <f>AND('Planilla_General_03-12-2012_9_3'!O701,"AAAAAH3+j88=")</f>
        <v>#VALUE!</v>
      </c>
      <c r="HA44">
        <f>IF('Planilla_General_03-12-2012_9_3'!702:702,"AAAAAH3+j9A=",0)</f>
        <v>0</v>
      </c>
      <c r="HB44" t="e">
        <f>AND('Planilla_General_03-12-2012_9_3'!A702,"AAAAAH3+j9E=")</f>
        <v>#VALUE!</v>
      </c>
      <c r="HC44" t="e">
        <f>AND('Planilla_General_03-12-2012_9_3'!B702,"AAAAAH3+j9I=")</f>
        <v>#VALUE!</v>
      </c>
      <c r="HD44" t="e">
        <f>AND('Planilla_General_03-12-2012_9_3'!C702,"AAAAAH3+j9M=")</f>
        <v>#VALUE!</v>
      </c>
      <c r="HE44" t="e">
        <f>AND('Planilla_General_03-12-2012_9_3'!D702,"AAAAAH3+j9Q=")</f>
        <v>#VALUE!</v>
      </c>
      <c r="HF44" t="e">
        <f>AND('Planilla_General_03-12-2012_9_3'!E702,"AAAAAH3+j9U=")</f>
        <v>#VALUE!</v>
      </c>
      <c r="HG44" t="e">
        <f>AND('Planilla_General_03-12-2012_9_3'!F702,"AAAAAH3+j9Y=")</f>
        <v>#VALUE!</v>
      </c>
      <c r="HH44" t="e">
        <f>AND('Planilla_General_03-12-2012_9_3'!G702,"AAAAAH3+j9c=")</f>
        <v>#VALUE!</v>
      </c>
      <c r="HI44" t="e">
        <f>AND('Planilla_General_03-12-2012_9_3'!H702,"AAAAAH3+j9g=")</f>
        <v>#VALUE!</v>
      </c>
      <c r="HJ44" t="e">
        <f>AND('Planilla_General_03-12-2012_9_3'!I702,"AAAAAH3+j9k=")</f>
        <v>#VALUE!</v>
      </c>
      <c r="HK44" t="e">
        <f>AND('Planilla_General_03-12-2012_9_3'!J702,"AAAAAH3+j9o=")</f>
        <v>#VALUE!</v>
      </c>
      <c r="HL44" t="e">
        <f>AND('Planilla_General_03-12-2012_9_3'!K702,"AAAAAH3+j9s=")</f>
        <v>#VALUE!</v>
      </c>
      <c r="HM44" t="e">
        <f>AND('Planilla_General_03-12-2012_9_3'!L702,"AAAAAH3+j9w=")</f>
        <v>#VALUE!</v>
      </c>
      <c r="HN44" t="e">
        <f>AND('Planilla_General_03-12-2012_9_3'!M702,"AAAAAH3+j90=")</f>
        <v>#VALUE!</v>
      </c>
      <c r="HO44" t="e">
        <f>AND('Planilla_General_03-12-2012_9_3'!N702,"AAAAAH3+j94=")</f>
        <v>#VALUE!</v>
      </c>
      <c r="HP44" t="e">
        <f>AND('Planilla_General_03-12-2012_9_3'!O702,"AAAAAH3+j98=")</f>
        <v>#VALUE!</v>
      </c>
      <c r="HQ44">
        <f>IF('Planilla_General_03-12-2012_9_3'!703:703,"AAAAAH3+j+A=",0)</f>
        <v>0</v>
      </c>
      <c r="HR44" t="e">
        <f>AND('Planilla_General_03-12-2012_9_3'!A703,"AAAAAH3+j+E=")</f>
        <v>#VALUE!</v>
      </c>
      <c r="HS44" t="e">
        <f>AND('Planilla_General_03-12-2012_9_3'!B703,"AAAAAH3+j+I=")</f>
        <v>#VALUE!</v>
      </c>
      <c r="HT44" t="e">
        <f>AND('Planilla_General_03-12-2012_9_3'!C703,"AAAAAH3+j+M=")</f>
        <v>#VALUE!</v>
      </c>
      <c r="HU44" t="e">
        <f>AND('Planilla_General_03-12-2012_9_3'!D703,"AAAAAH3+j+Q=")</f>
        <v>#VALUE!</v>
      </c>
      <c r="HV44" t="e">
        <f>AND('Planilla_General_03-12-2012_9_3'!E703,"AAAAAH3+j+U=")</f>
        <v>#VALUE!</v>
      </c>
      <c r="HW44" t="e">
        <f>AND('Planilla_General_03-12-2012_9_3'!F703,"AAAAAH3+j+Y=")</f>
        <v>#VALUE!</v>
      </c>
      <c r="HX44" t="e">
        <f>AND('Planilla_General_03-12-2012_9_3'!G703,"AAAAAH3+j+c=")</f>
        <v>#VALUE!</v>
      </c>
      <c r="HY44" t="e">
        <f>AND('Planilla_General_03-12-2012_9_3'!H703,"AAAAAH3+j+g=")</f>
        <v>#VALUE!</v>
      </c>
      <c r="HZ44" t="e">
        <f>AND('Planilla_General_03-12-2012_9_3'!I703,"AAAAAH3+j+k=")</f>
        <v>#VALUE!</v>
      </c>
      <c r="IA44" t="e">
        <f>AND('Planilla_General_03-12-2012_9_3'!J703,"AAAAAH3+j+o=")</f>
        <v>#VALUE!</v>
      </c>
      <c r="IB44" t="e">
        <f>AND('Planilla_General_03-12-2012_9_3'!K703,"AAAAAH3+j+s=")</f>
        <v>#VALUE!</v>
      </c>
      <c r="IC44" t="e">
        <f>AND('Planilla_General_03-12-2012_9_3'!L703,"AAAAAH3+j+w=")</f>
        <v>#VALUE!</v>
      </c>
      <c r="ID44" t="e">
        <f>AND('Planilla_General_03-12-2012_9_3'!M703,"AAAAAH3+j+0=")</f>
        <v>#VALUE!</v>
      </c>
      <c r="IE44" t="e">
        <f>AND('Planilla_General_03-12-2012_9_3'!N703,"AAAAAH3+j+4=")</f>
        <v>#VALUE!</v>
      </c>
      <c r="IF44" t="e">
        <f>AND('Planilla_General_03-12-2012_9_3'!O703,"AAAAAH3+j+8=")</f>
        <v>#VALUE!</v>
      </c>
      <c r="IG44">
        <f>IF('Planilla_General_03-12-2012_9_3'!704:704,"AAAAAH3+j/A=",0)</f>
        <v>0</v>
      </c>
      <c r="IH44" t="e">
        <f>AND('Planilla_General_03-12-2012_9_3'!A704,"AAAAAH3+j/E=")</f>
        <v>#VALUE!</v>
      </c>
      <c r="II44" t="e">
        <f>AND('Planilla_General_03-12-2012_9_3'!B704,"AAAAAH3+j/I=")</f>
        <v>#VALUE!</v>
      </c>
      <c r="IJ44" t="e">
        <f>AND('Planilla_General_03-12-2012_9_3'!C704,"AAAAAH3+j/M=")</f>
        <v>#VALUE!</v>
      </c>
      <c r="IK44" t="e">
        <f>AND('Planilla_General_03-12-2012_9_3'!D704,"AAAAAH3+j/Q=")</f>
        <v>#VALUE!</v>
      </c>
      <c r="IL44" t="e">
        <f>AND('Planilla_General_03-12-2012_9_3'!E704,"AAAAAH3+j/U=")</f>
        <v>#VALUE!</v>
      </c>
      <c r="IM44" t="e">
        <f>AND('Planilla_General_03-12-2012_9_3'!F704,"AAAAAH3+j/Y=")</f>
        <v>#VALUE!</v>
      </c>
      <c r="IN44" t="e">
        <f>AND('Planilla_General_03-12-2012_9_3'!G704,"AAAAAH3+j/c=")</f>
        <v>#VALUE!</v>
      </c>
      <c r="IO44" t="e">
        <f>AND('Planilla_General_03-12-2012_9_3'!H704,"AAAAAH3+j/g=")</f>
        <v>#VALUE!</v>
      </c>
      <c r="IP44" t="e">
        <f>AND('Planilla_General_03-12-2012_9_3'!I704,"AAAAAH3+j/k=")</f>
        <v>#VALUE!</v>
      </c>
      <c r="IQ44" t="e">
        <f>AND('Planilla_General_03-12-2012_9_3'!J704,"AAAAAH3+j/o=")</f>
        <v>#VALUE!</v>
      </c>
      <c r="IR44" t="e">
        <f>AND('Planilla_General_03-12-2012_9_3'!K704,"AAAAAH3+j/s=")</f>
        <v>#VALUE!</v>
      </c>
      <c r="IS44" t="e">
        <f>AND('Planilla_General_03-12-2012_9_3'!L704,"AAAAAH3+j/w=")</f>
        <v>#VALUE!</v>
      </c>
      <c r="IT44" t="e">
        <f>AND('Planilla_General_03-12-2012_9_3'!M704,"AAAAAH3+j/0=")</f>
        <v>#VALUE!</v>
      </c>
      <c r="IU44" t="e">
        <f>AND('Planilla_General_03-12-2012_9_3'!N704,"AAAAAH3+j/4=")</f>
        <v>#VALUE!</v>
      </c>
      <c r="IV44" t="e">
        <f>AND('Planilla_General_03-12-2012_9_3'!O704,"AAAAAH3+j/8=")</f>
        <v>#VALUE!</v>
      </c>
    </row>
    <row r="45" spans="1:256" x14ac:dyDescent="0.25">
      <c r="A45" t="e">
        <f>IF('Planilla_General_03-12-2012_9_3'!705:705,"AAAAAEX5fwA=",0)</f>
        <v>#VALUE!</v>
      </c>
      <c r="B45" t="e">
        <f>AND('Planilla_General_03-12-2012_9_3'!A705,"AAAAAEX5fwE=")</f>
        <v>#VALUE!</v>
      </c>
      <c r="C45" t="e">
        <f>AND('Planilla_General_03-12-2012_9_3'!B705,"AAAAAEX5fwI=")</f>
        <v>#VALUE!</v>
      </c>
      <c r="D45" t="e">
        <f>AND('Planilla_General_03-12-2012_9_3'!C705,"AAAAAEX5fwM=")</f>
        <v>#VALUE!</v>
      </c>
      <c r="E45" t="e">
        <f>AND('Planilla_General_03-12-2012_9_3'!D705,"AAAAAEX5fwQ=")</f>
        <v>#VALUE!</v>
      </c>
      <c r="F45" t="e">
        <f>AND('Planilla_General_03-12-2012_9_3'!E705,"AAAAAEX5fwU=")</f>
        <v>#VALUE!</v>
      </c>
      <c r="G45" t="e">
        <f>AND('Planilla_General_03-12-2012_9_3'!F705,"AAAAAEX5fwY=")</f>
        <v>#VALUE!</v>
      </c>
      <c r="H45" t="e">
        <f>AND('Planilla_General_03-12-2012_9_3'!G705,"AAAAAEX5fwc=")</f>
        <v>#VALUE!</v>
      </c>
      <c r="I45" t="e">
        <f>AND('Planilla_General_03-12-2012_9_3'!H705,"AAAAAEX5fwg=")</f>
        <v>#VALUE!</v>
      </c>
      <c r="J45" t="e">
        <f>AND('Planilla_General_03-12-2012_9_3'!I705,"AAAAAEX5fwk=")</f>
        <v>#VALUE!</v>
      </c>
      <c r="K45" t="e">
        <f>AND('Planilla_General_03-12-2012_9_3'!J705,"AAAAAEX5fwo=")</f>
        <v>#VALUE!</v>
      </c>
      <c r="L45" t="e">
        <f>AND('Planilla_General_03-12-2012_9_3'!K705,"AAAAAEX5fws=")</f>
        <v>#VALUE!</v>
      </c>
      <c r="M45" t="e">
        <f>AND('Planilla_General_03-12-2012_9_3'!L705,"AAAAAEX5fww=")</f>
        <v>#VALUE!</v>
      </c>
      <c r="N45" t="e">
        <f>AND('Planilla_General_03-12-2012_9_3'!M705,"AAAAAEX5fw0=")</f>
        <v>#VALUE!</v>
      </c>
      <c r="O45" t="e">
        <f>AND('Planilla_General_03-12-2012_9_3'!N705,"AAAAAEX5fw4=")</f>
        <v>#VALUE!</v>
      </c>
      <c r="P45" t="e">
        <f>AND('Planilla_General_03-12-2012_9_3'!O705,"AAAAAEX5fw8=")</f>
        <v>#VALUE!</v>
      </c>
      <c r="Q45">
        <f>IF('Planilla_General_03-12-2012_9_3'!706:706,"AAAAAEX5fxA=",0)</f>
        <v>0</v>
      </c>
      <c r="R45" t="e">
        <f>AND('Planilla_General_03-12-2012_9_3'!A706,"AAAAAEX5fxE=")</f>
        <v>#VALUE!</v>
      </c>
      <c r="S45" t="e">
        <f>AND('Planilla_General_03-12-2012_9_3'!B706,"AAAAAEX5fxI=")</f>
        <v>#VALUE!</v>
      </c>
      <c r="T45" t="e">
        <f>AND('Planilla_General_03-12-2012_9_3'!C706,"AAAAAEX5fxM=")</f>
        <v>#VALUE!</v>
      </c>
      <c r="U45" t="e">
        <f>AND('Planilla_General_03-12-2012_9_3'!D706,"AAAAAEX5fxQ=")</f>
        <v>#VALUE!</v>
      </c>
      <c r="V45" t="e">
        <f>AND('Planilla_General_03-12-2012_9_3'!E706,"AAAAAEX5fxU=")</f>
        <v>#VALUE!</v>
      </c>
      <c r="W45" t="e">
        <f>AND('Planilla_General_03-12-2012_9_3'!F706,"AAAAAEX5fxY=")</f>
        <v>#VALUE!</v>
      </c>
      <c r="X45" t="e">
        <f>AND('Planilla_General_03-12-2012_9_3'!G706,"AAAAAEX5fxc=")</f>
        <v>#VALUE!</v>
      </c>
      <c r="Y45" t="e">
        <f>AND('Planilla_General_03-12-2012_9_3'!H706,"AAAAAEX5fxg=")</f>
        <v>#VALUE!</v>
      </c>
      <c r="Z45" t="e">
        <f>AND('Planilla_General_03-12-2012_9_3'!I706,"AAAAAEX5fxk=")</f>
        <v>#VALUE!</v>
      </c>
      <c r="AA45" t="e">
        <f>AND('Planilla_General_03-12-2012_9_3'!J706,"AAAAAEX5fxo=")</f>
        <v>#VALUE!</v>
      </c>
      <c r="AB45" t="e">
        <f>AND('Planilla_General_03-12-2012_9_3'!K706,"AAAAAEX5fxs=")</f>
        <v>#VALUE!</v>
      </c>
      <c r="AC45" t="e">
        <f>AND('Planilla_General_03-12-2012_9_3'!L706,"AAAAAEX5fxw=")</f>
        <v>#VALUE!</v>
      </c>
      <c r="AD45" t="e">
        <f>AND('Planilla_General_03-12-2012_9_3'!M706,"AAAAAEX5fx0=")</f>
        <v>#VALUE!</v>
      </c>
      <c r="AE45" t="e">
        <f>AND('Planilla_General_03-12-2012_9_3'!N706,"AAAAAEX5fx4=")</f>
        <v>#VALUE!</v>
      </c>
      <c r="AF45" t="e">
        <f>AND('Planilla_General_03-12-2012_9_3'!O706,"AAAAAEX5fx8=")</f>
        <v>#VALUE!</v>
      </c>
      <c r="AG45">
        <f>IF('Planilla_General_03-12-2012_9_3'!707:707,"AAAAAEX5fyA=",0)</f>
        <v>0</v>
      </c>
      <c r="AH45" t="e">
        <f>AND('Planilla_General_03-12-2012_9_3'!A707,"AAAAAEX5fyE=")</f>
        <v>#VALUE!</v>
      </c>
      <c r="AI45" t="e">
        <f>AND('Planilla_General_03-12-2012_9_3'!B707,"AAAAAEX5fyI=")</f>
        <v>#VALUE!</v>
      </c>
      <c r="AJ45" t="e">
        <f>AND('Planilla_General_03-12-2012_9_3'!C707,"AAAAAEX5fyM=")</f>
        <v>#VALUE!</v>
      </c>
      <c r="AK45" t="e">
        <f>AND('Planilla_General_03-12-2012_9_3'!D707,"AAAAAEX5fyQ=")</f>
        <v>#VALUE!</v>
      </c>
      <c r="AL45" t="e">
        <f>AND('Planilla_General_03-12-2012_9_3'!E707,"AAAAAEX5fyU=")</f>
        <v>#VALUE!</v>
      </c>
      <c r="AM45" t="e">
        <f>AND('Planilla_General_03-12-2012_9_3'!F707,"AAAAAEX5fyY=")</f>
        <v>#VALUE!</v>
      </c>
      <c r="AN45" t="e">
        <f>AND('Planilla_General_03-12-2012_9_3'!G707,"AAAAAEX5fyc=")</f>
        <v>#VALUE!</v>
      </c>
      <c r="AO45" t="e">
        <f>AND('Planilla_General_03-12-2012_9_3'!H707,"AAAAAEX5fyg=")</f>
        <v>#VALUE!</v>
      </c>
      <c r="AP45" t="e">
        <f>AND('Planilla_General_03-12-2012_9_3'!I707,"AAAAAEX5fyk=")</f>
        <v>#VALUE!</v>
      </c>
      <c r="AQ45" t="e">
        <f>AND('Planilla_General_03-12-2012_9_3'!J707,"AAAAAEX5fyo=")</f>
        <v>#VALUE!</v>
      </c>
      <c r="AR45" t="e">
        <f>AND('Planilla_General_03-12-2012_9_3'!K707,"AAAAAEX5fys=")</f>
        <v>#VALUE!</v>
      </c>
      <c r="AS45" t="e">
        <f>AND('Planilla_General_03-12-2012_9_3'!L707,"AAAAAEX5fyw=")</f>
        <v>#VALUE!</v>
      </c>
      <c r="AT45" t="e">
        <f>AND('Planilla_General_03-12-2012_9_3'!M707,"AAAAAEX5fy0=")</f>
        <v>#VALUE!</v>
      </c>
      <c r="AU45" t="e">
        <f>AND('Planilla_General_03-12-2012_9_3'!N707,"AAAAAEX5fy4=")</f>
        <v>#VALUE!</v>
      </c>
      <c r="AV45" t="e">
        <f>AND('Planilla_General_03-12-2012_9_3'!O707,"AAAAAEX5fy8=")</f>
        <v>#VALUE!</v>
      </c>
      <c r="AW45">
        <f>IF('Planilla_General_03-12-2012_9_3'!708:708,"AAAAAEX5fzA=",0)</f>
        <v>0</v>
      </c>
      <c r="AX45" t="e">
        <f>AND('Planilla_General_03-12-2012_9_3'!A708,"AAAAAEX5fzE=")</f>
        <v>#VALUE!</v>
      </c>
      <c r="AY45" t="e">
        <f>AND('Planilla_General_03-12-2012_9_3'!B708,"AAAAAEX5fzI=")</f>
        <v>#VALUE!</v>
      </c>
      <c r="AZ45" t="e">
        <f>AND('Planilla_General_03-12-2012_9_3'!C708,"AAAAAEX5fzM=")</f>
        <v>#VALUE!</v>
      </c>
      <c r="BA45" t="e">
        <f>AND('Planilla_General_03-12-2012_9_3'!D708,"AAAAAEX5fzQ=")</f>
        <v>#VALUE!</v>
      </c>
      <c r="BB45" t="e">
        <f>AND('Planilla_General_03-12-2012_9_3'!E708,"AAAAAEX5fzU=")</f>
        <v>#VALUE!</v>
      </c>
      <c r="BC45" t="e">
        <f>AND('Planilla_General_03-12-2012_9_3'!F708,"AAAAAEX5fzY=")</f>
        <v>#VALUE!</v>
      </c>
      <c r="BD45" t="e">
        <f>AND('Planilla_General_03-12-2012_9_3'!G708,"AAAAAEX5fzc=")</f>
        <v>#VALUE!</v>
      </c>
      <c r="BE45" t="e">
        <f>AND('Planilla_General_03-12-2012_9_3'!H708,"AAAAAEX5fzg=")</f>
        <v>#VALUE!</v>
      </c>
      <c r="BF45" t="e">
        <f>AND('Planilla_General_03-12-2012_9_3'!I708,"AAAAAEX5fzk=")</f>
        <v>#VALUE!</v>
      </c>
      <c r="BG45" t="e">
        <f>AND('Planilla_General_03-12-2012_9_3'!J708,"AAAAAEX5fzo=")</f>
        <v>#VALUE!</v>
      </c>
      <c r="BH45" t="e">
        <f>AND('Planilla_General_03-12-2012_9_3'!K708,"AAAAAEX5fzs=")</f>
        <v>#VALUE!</v>
      </c>
      <c r="BI45" t="e">
        <f>AND('Planilla_General_03-12-2012_9_3'!L708,"AAAAAEX5fzw=")</f>
        <v>#VALUE!</v>
      </c>
      <c r="BJ45" t="e">
        <f>AND('Planilla_General_03-12-2012_9_3'!M708,"AAAAAEX5fz0=")</f>
        <v>#VALUE!</v>
      </c>
      <c r="BK45" t="e">
        <f>AND('Planilla_General_03-12-2012_9_3'!N708,"AAAAAEX5fz4=")</f>
        <v>#VALUE!</v>
      </c>
      <c r="BL45" t="e">
        <f>AND('Planilla_General_03-12-2012_9_3'!O708,"AAAAAEX5fz8=")</f>
        <v>#VALUE!</v>
      </c>
      <c r="BM45">
        <f>IF('Planilla_General_03-12-2012_9_3'!709:709,"AAAAAEX5f0A=",0)</f>
        <v>0</v>
      </c>
      <c r="BN45" t="e">
        <f>AND('Planilla_General_03-12-2012_9_3'!A709,"AAAAAEX5f0E=")</f>
        <v>#VALUE!</v>
      </c>
      <c r="BO45" t="e">
        <f>AND('Planilla_General_03-12-2012_9_3'!B709,"AAAAAEX5f0I=")</f>
        <v>#VALUE!</v>
      </c>
      <c r="BP45" t="e">
        <f>AND('Planilla_General_03-12-2012_9_3'!C709,"AAAAAEX5f0M=")</f>
        <v>#VALUE!</v>
      </c>
      <c r="BQ45" t="e">
        <f>AND('Planilla_General_03-12-2012_9_3'!D709,"AAAAAEX5f0Q=")</f>
        <v>#VALUE!</v>
      </c>
      <c r="BR45" t="e">
        <f>AND('Planilla_General_03-12-2012_9_3'!E709,"AAAAAEX5f0U=")</f>
        <v>#VALUE!</v>
      </c>
      <c r="BS45" t="e">
        <f>AND('Planilla_General_03-12-2012_9_3'!F709,"AAAAAEX5f0Y=")</f>
        <v>#VALUE!</v>
      </c>
      <c r="BT45" t="e">
        <f>AND('Planilla_General_03-12-2012_9_3'!G709,"AAAAAEX5f0c=")</f>
        <v>#VALUE!</v>
      </c>
      <c r="BU45" t="e">
        <f>AND('Planilla_General_03-12-2012_9_3'!H709,"AAAAAEX5f0g=")</f>
        <v>#VALUE!</v>
      </c>
      <c r="BV45" t="e">
        <f>AND('Planilla_General_03-12-2012_9_3'!I709,"AAAAAEX5f0k=")</f>
        <v>#VALUE!</v>
      </c>
      <c r="BW45" t="e">
        <f>AND('Planilla_General_03-12-2012_9_3'!J709,"AAAAAEX5f0o=")</f>
        <v>#VALUE!</v>
      </c>
      <c r="BX45" t="e">
        <f>AND('Planilla_General_03-12-2012_9_3'!K709,"AAAAAEX5f0s=")</f>
        <v>#VALUE!</v>
      </c>
      <c r="BY45" t="e">
        <f>AND('Planilla_General_03-12-2012_9_3'!L709,"AAAAAEX5f0w=")</f>
        <v>#VALUE!</v>
      </c>
      <c r="BZ45" t="e">
        <f>AND('Planilla_General_03-12-2012_9_3'!M709,"AAAAAEX5f00=")</f>
        <v>#VALUE!</v>
      </c>
      <c r="CA45" t="e">
        <f>AND('Planilla_General_03-12-2012_9_3'!N709,"AAAAAEX5f04=")</f>
        <v>#VALUE!</v>
      </c>
      <c r="CB45" t="e">
        <f>AND('Planilla_General_03-12-2012_9_3'!O709,"AAAAAEX5f08=")</f>
        <v>#VALUE!</v>
      </c>
      <c r="CC45">
        <f>IF('Planilla_General_03-12-2012_9_3'!710:710,"AAAAAEX5f1A=",0)</f>
        <v>0</v>
      </c>
      <c r="CD45" t="e">
        <f>AND('Planilla_General_03-12-2012_9_3'!A710,"AAAAAEX5f1E=")</f>
        <v>#VALUE!</v>
      </c>
      <c r="CE45" t="e">
        <f>AND('Planilla_General_03-12-2012_9_3'!B710,"AAAAAEX5f1I=")</f>
        <v>#VALUE!</v>
      </c>
      <c r="CF45" t="e">
        <f>AND('Planilla_General_03-12-2012_9_3'!C710,"AAAAAEX5f1M=")</f>
        <v>#VALUE!</v>
      </c>
      <c r="CG45" t="e">
        <f>AND('Planilla_General_03-12-2012_9_3'!D710,"AAAAAEX5f1Q=")</f>
        <v>#VALUE!</v>
      </c>
      <c r="CH45" t="e">
        <f>AND('Planilla_General_03-12-2012_9_3'!E710,"AAAAAEX5f1U=")</f>
        <v>#VALUE!</v>
      </c>
      <c r="CI45" t="e">
        <f>AND('Planilla_General_03-12-2012_9_3'!F710,"AAAAAEX5f1Y=")</f>
        <v>#VALUE!</v>
      </c>
      <c r="CJ45" t="e">
        <f>AND('Planilla_General_03-12-2012_9_3'!G710,"AAAAAEX5f1c=")</f>
        <v>#VALUE!</v>
      </c>
      <c r="CK45" t="e">
        <f>AND('Planilla_General_03-12-2012_9_3'!H710,"AAAAAEX5f1g=")</f>
        <v>#VALUE!</v>
      </c>
      <c r="CL45" t="e">
        <f>AND('Planilla_General_03-12-2012_9_3'!I710,"AAAAAEX5f1k=")</f>
        <v>#VALUE!</v>
      </c>
      <c r="CM45" t="e">
        <f>AND('Planilla_General_03-12-2012_9_3'!J710,"AAAAAEX5f1o=")</f>
        <v>#VALUE!</v>
      </c>
      <c r="CN45" t="e">
        <f>AND('Planilla_General_03-12-2012_9_3'!K710,"AAAAAEX5f1s=")</f>
        <v>#VALUE!</v>
      </c>
      <c r="CO45" t="e">
        <f>AND('Planilla_General_03-12-2012_9_3'!L710,"AAAAAEX5f1w=")</f>
        <v>#VALUE!</v>
      </c>
      <c r="CP45" t="e">
        <f>AND('Planilla_General_03-12-2012_9_3'!M710,"AAAAAEX5f10=")</f>
        <v>#VALUE!</v>
      </c>
      <c r="CQ45" t="e">
        <f>AND('Planilla_General_03-12-2012_9_3'!N710,"AAAAAEX5f14=")</f>
        <v>#VALUE!</v>
      </c>
      <c r="CR45" t="e">
        <f>AND('Planilla_General_03-12-2012_9_3'!O710,"AAAAAEX5f18=")</f>
        <v>#VALUE!</v>
      </c>
      <c r="CS45">
        <f>IF('Planilla_General_03-12-2012_9_3'!711:711,"AAAAAEX5f2A=",0)</f>
        <v>0</v>
      </c>
      <c r="CT45" t="e">
        <f>AND('Planilla_General_03-12-2012_9_3'!A711,"AAAAAEX5f2E=")</f>
        <v>#VALUE!</v>
      </c>
      <c r="CU45" t="e">
        <f>AND('Planilla_General_03-12-2012_9_3'!B711,"AAAAAEX5f2I=")</f>
        <v>#VALUE!</v>
      </c>
      <c r="CV45" t="e">
        <f>AND('Planilla_General_03-12-2012_9_3'!C711,"AAAAAEX5f2M=")</f>
        <v>#VALUE!</v>
      </c>
      <c r="CW45" t="e">
        <f>AND('Planilla_General_03-12-2012_9_3'!D711,"AAAAAEX5f2Q=")</f>
        <v>#VALUE!</v>
      </c>
      <c r="CX45" t="e">
        <f>AND('Planilla_General_03-12-2012_9_3'!E711,"AAAAAEX5f2U=")</f>
        <v>#VALUE!</v>
      </c>
      <c r="CY45" t="e">
        <f>AND('Planilla_General_03-12-2012_9_3'!F711,"AAAAAEX5f2Y=")</f>
        <v>#VALUE!</v>
      </c>
      <c r="CZ45" t="e">
        <f>AND('Planilla_General_03-12-2012_9_3'!G711,"AAAAAEX5f2c=")</f>
        <v>#VALUE!</v>
      </c>
      <c r="DA45" t="e">
        <f>AND('Planilla_General_03-12-2012_9_3'!H711,"AAAAAEX5f2g=")</f>
        <v>#VALUE!</v>
      </c>
      <c r="DB45" t="e">
        <f>AND('Planilla_General_03-12-2012_9_3'!I711,"AAAAAEX5f2k=")</f>
        <v>#VALUE!</v>
      </c>
      <c r="DC45" t="e">
        <f>AND('Planilla_General_03-12-2012_9_3'!J711,"AAAAAEX5f2o=")</f>
        <v>#VALUE!</v>
      </c>
      <c r="DD45" t="e">
        <f>AND('Planilla_General_03-12-2012_9_3'!K711,"AAAAAEX5f2s=")</f>
        <v>#VALUE!</v>
      </c>
      <c r="DE45" t="e">
        <f>AND('Planilla_General_03-12-2012_9_3'!L711,"AAAAAEX5f2w=")</f>
        <v>#VALUE!</v>
      </c>
      <c r="DF45" t="e">
        <f>AND('Planilla_General_03-12-2012_9_3'!M711,"AAAAAEX5f20=")</f>
        <v>#VALUE!</v>
      </c>
      <c r="DG45" t="e">
        <f>AND('Planilla_General_03-12-2012_9_3'!N711,"AAAAAEX5f24=")</f>
        <v>#VALUE!</v>
      </c>
      <c r="DH45" t="e">
        <f>AND('Planilla_General_03-12-2012_9_3'!O711,"AAAAAEX5f28=")</f>
        <v>#VALUE!</v>
      </c>
      <c r="DI45">
        <f>IF('Planilla_General_03-12-2012_9_3'!712:712,"AAAAAEX5f3A=",0)</f>
        <v>0</v>
      </c>
      <c r="DJ45" t="e">
        <f>AND('Planilla_General_03-12-2012_9_3'!A712,"AAAAAEX5f3E=")</f>
        <v>#VALUE!</v>
      </c>
      <c r="DK45" t="e">
        <f>AND('Planilla_General_03-12-2012_9_3'!B712,"AAAAAEX5f3I=")</f>
        <v>#VALUE!</v>
      </c>
      <c r="DL45" t="e">
        <f>AND('Planilla_General_03-12-2012_9_3'!C712,"AAAAAEX5f3M=")</f>
        <v>#VALUE!</v>
      </c>
      <c r="DM45" t="e">
        <f>AND('Planilla_General_03-12-2012_9_3'!D712,"AAAAAEX5f3Q=")</f>
        <v>#VALUE!</v>
      </c>
      <c r="DN45" t="e">
        <f>AND('Planilla_General_03-12-2012_9_3'!E712,"AAAAAEX5f3U=")</f>
        <v>#VALUE!</v>
      </c>
      <c r="DO45" t="e">
        <f>AND('Planilla_General_03-12-2012_9_3'!F712,"AAAAAEX5f3Y=")</f>
        <v>#VALUE!</v>
      </c>
      <c r="DP45" t="e">
        <f>AND('Planilla_General_03-12-2012_9_3'!G712,"AAAAAEX5f3c=")</f>
        <v>#VALUE!</v>
      </c>
      <c r="DQ45" t="e">
        <f>AND('Planilla_General_03-12-2012_9_3'!H712,"AAAAAEX5f3g=")</f>
        <v>#VALUE!</v>
      </c>
      <c r="DR45" t="e">
        <f>AND('Planilla_General_03-12-2012_9_3'!I712,"AAAAAEX5f3k=")</f>
        <v>#VALUE!</v>
      </c>
      <c r="DS45" t="e">
        <f>AND('Planilla_General_03-12-2012_9_3'!J712,"AAAAAEX5f3o=")</f>
        <v>#VALUE!</v>
      </c>
      <c r="DT45" t="e">
        <f>AND('Planilla_General_03-12-2012_9_3'!K712,"AAAAAEX5f3s=")</f>
        <v>#VALUE!</v>
      </c>
      <c r="DU45" t="e">
        <f>AND('Planilla_General_03-12-2012_9_3'!L712,"AAAAAEX5f3w=")</f>
        <v>#VALUE!</v>
      </c>
      <c r="DV45" t="e">
        <f>AND('Planilla_General_03-12-2012_9_3'!M712,"AAAAAEX5f30=")</f>
        <v>#VALUE!</v>
      </c>
      <c r="DW45" t="e">
        <f>AND('Planilla_General_03-12-2012_9_3'!N712,"AAAAAEX5f34=")</f>
        <v>#VALUE!</v>
      </c>
      <c r="DX45" t="e">
        <f>AND('Planilla_General_03-12-2012_9_3'!O712,"AAAAAEX5f38=")</f>
        <v>#VALUE!</v>
      </c>
      <c r="DY45">
        <f>IF('Planilla_General_03-12-2012_9_3'!713:713,"AAAAAEX5f4A=",0)</f>
        <v>0</v>
      </c>
      <c r="DZ45" t="e">
        <f>AND('Planilla_General_03-12-2012_9_3'!A713,"AAAAAEX5f4E=")</f>
        <v>#VALUE!</v>
      </c>
      <c r="EA45" t="e">
        <f>AND('Planilla_General_03-12-2012_9_3'!B713,"AAAAAEX5f4I=")</f>
        <v>#VALUE!</v>
      </c>
      <c r="EB45" t="e">
        <f>AND('Planilla_General_03-12-2012_9_3'!C713,"AAAAAEX5f4M=")</f>
        <v>#VALUE!</v>
      </c>
      <c r="EC45" t="e">
        <f>AND('Planilla_General_03-12-2012_9_3'!D713,"AAAAAEX5f4Q=")</f>
        <v>#VALUE!</v>
      </c>
      <c r="ED45" t="e">
        <f>AND('Planilla_General_03-12-2012_9_3'!E713,"AAAAAEX5f4U=")</f>
        <v>#VALUE!</v>
      </c>
      <c r="EE45" t="e">
        <f>AND('Planilla_General_03-12-2012_9_3'!F713,"AAAAAEX5f4Y=")</f>
        <v>#VALUE!</v>
      </c>
      <c r="EF45" t="e">
        <f>AND('Planilla_General_03-12-2012_9_3'!G713,"AAAAAEX5f4c=")</f>
        <v>#VALUE!</v>
      </c>
      <c r="EG45" t="e">
        <f>AND('Planilla_General_03-12-2012_9_3'!H713,"AAAAAEX5f4g=")</f>
        <v>#VALUE!</v>
      </c>
      <c r="EH45" t="e">
        <f>AND('Planilla_General_03-12-2012_9_3'!I713,"AAAAAEX5f4k=")</f>
        <v>#VALUE!</v>
      </c>
      <c r="EI45" t="e">
        <f>AND('Planilla_General_03-12-2012_9_3'!J713,"AAAAAEX5f4o=")</f>
        <v>#VALUE!</v>
      </c>
      <c r="EJ45" t="e">
        <f>AND('Planilla_General_03-12-2012_9_3'!K713,"AAAAAEX5f4s=")</f>
        <v>#VALUE!</v>
      </c>
      <c r="EK45" t="e">
        <f>AND('Planilla_General_03-12-2012_9_3'!L713,"AAAAAEX5f4w=")</f>
        <v>#VALUE!</v>
      </c>
      <c r="EL45" t="e">
        <f>AND('Planilla_General_03-12-2012_9_3'!M713,"AAAAAEX5f40=")</f>
        <v>#VALUE!</v>
      </c>
      <c r="EM45" t="e">
        <f>AND('Planilla_General_03-12-2012_9_3'!N713,"AAAAAEX5f44=")</f>
        <v>#VALUE!</v>
      </c>
      <c r="EN45" t="e">
        <f>AND('Planilla_General_03-12-2012_9_3'!O713,"AAAAAEX5f48=")</f>
        <v>#VALUE!</v>
      </c>
      <c r="EO45">
        <f>IF('Planilla_General_03-12-2012_9_3'!714:714,"AAAAAEX5f5A=",0)</f>
        <v>0</v>
      </c>
      <c r="EP45" t="e">
        <f>AND('Planilla_General_03-12-2012_9_3'!A714,"AAAAAEX5f5E=")</f>
        <v>#VALUE!</v>
      </c>
      <c r="EQ45" t="e">
        <f>AND('Planilla_General_03-12-2012_9_3'!B714,"AAAAAEX5f5I=")</f>
        <v>#VALUE!</v>
      </c>
      <c r="ER45" t="e">
        <f>AND('Planilla_General_03-12-2012_9_3'!C714,"AAAAAEX5f5M=")</f>
        <v>#VALUE!</v>
      </c>
      <c r="ES45" t="e">
        <f>AND('Planilla_General_03-12-2012_9_3'!D714,"AAAAAEX5f5Q=")</f>
        <v>#VALUE!</v>
      </c>
      <c r="ET45" t="e">
        <f>AND('Planilla_General_03-12-2012_9_3'!E714,"AAAAAEX5f5U=")</f>
        <v>#VALUE!</v>
      </c>
      <c r="EU45" t="e">
        <f>AND('Planilla_General_03-12-2012_9_3'!F714,"AAAAAEX5f5Y=")</f>
        <v>#VALUE!</v>
      </c>
      <c r="EV45" t="e">
        <f>AND('Planilla_General_03-12-2012_9_3'!G714,"AAAAAEX5f5c=")</f>
        <v>#VALUE!</v>
      </c>
      <c r="EW45" t="e">
        <f>AND('Planilla_General_03-12-2012_9_3'!H714,"AAAAAEX5f5g=")</f>
        <v>#VALUE!</v>
      </c>
      <c r="EX45" t="e">
        <f>AND('Planilla_General_03-12-2012_9_3'!I714,"AAAAAEX5f5k=")</f>
        <v>#VALUE!</v>
      </c>
      <c r="EY45" t="e">
        <f>AND('Planilla_General_03-12-2012_9_3'!J714,"AAAAAEX5f5o=")</f>
        <v>#VALUE!</v>
      </c>
      <c r="EZ45" t="e">
        <f>AND('Planilla_General_03-12-2012_9_3'!K714,"AAAAAEX5f5s=")</f>
        <v>#VALUE!</v>
      </c>
      <c r="FA45" t="e">
        <f>AND('Planilla_General_03-12-2012_9_3'!L714,"AAAAAEX5f5w=")</f>
        <v>#VALUE!</v>
      </c>
      <c r="FB45" t="e">
        <f>AND('Planilla_General_03-12-2012_9_3'!M714,"AAAAAEX5f50=")</f>
        <v>#VALUE!</v>
      </c>
      <c r="FC45" t="e">
        <f>AND('Planilla_General_03-12-2012_9_3'!N714,"AAAAAEX5f54=")</f>
        <v>#VALUE!</v>
      </c>
      <c r="FD45" t="e">
        <f>AND('Planilla_General_03-12-2012_9_3'!O714,"AAAAAEX5f58=")</f>
        <v>#VALUE!</v>
      </c>
      <c r="FE45">
        <f>IF('Planilla_General_03-12-2012_9_3'!715:715,"AAAAAEX5f6A=",0)</f>
        <v>0</v>
      </c>
      <c r="FF45" t="e">
        <f>AND('Planilla_General_03-12-2012_9_3'!A715,"AAAAAEX5f6E=")</f>
        <v>#VALUE!</v>
      </c>
      <c r="FG45" t="e">
        <f>AND('Planilla_General_03-12-2012_9_3'!B715,"AAAAAEX5f6I=")</f>
        <v>#VALUE!</v>
      </c>
      <c r="FH45" t="e">
        <f>AND('Planilla_General_03-12-2012_9_3'!C715,"AAAAAEX5f6M=")</f>
        <v>#VALUE!</v>
      </c>
      <c r="FI45" t="e">
        <f>AND('Planilla_General_03-12-2012_9_3'!D715,"AAAAAEX5f6Q=")</f>
        <v>#VALUE!</v>
      </c>
      <c r="FJ45" t="e">
        <f>AND('Planilla_General_03-12-2012_9_3'!E715,"AAAAAEX5f6U=")</f>
        <v>#VALUE!</v>
      </c>
      <c r="FK45" t="e">
        <f>AND('Planilla_General_03-12-2012_9_3'!F715,"AAAAAEX5f6Y=")</f>
        <v>#VALUE!</v>
      </c>
      <c r="FL45" t="e">
        <f>AND('Planilla_General_03-12-2012_9_3'!G715,"AAAAAEX5f6c=")</f>
        <v>#VALUE!</v>
      </c>
      <c r="FM45" t="e">
        <f>AND('Planilla_General_03-12-2012_9_3'!H715,"AAAAAEX5f6g=")</f>
        <v>#VALUE!</v>
      </c>
      <c r="FN45" t="e">
        <f>AND('Planilla_General_03-12-2012_9_3'!I715,"AAAAAEX5f6k=")</f>
        <v>#VALUE!</v>
      </c>
      <c r="FO45" t="e">
        <f>AND('Planilla_General_03-12-2012_9_3'!J715,"AAAAAEX5f6o=")</f>
        <v>#VALUE!</v>
      </c>
      <c r="FP45" t="e">
        <f>AND('Planilla_General_03-12-2012_9_3'!K715,"AAAAAEX5f6s=")</f>
        <v>#VALUE!</v>
      </c>
      <c r="FQ45" t="e">
        <f>AND('Planilla_General_03-12-2012_9_3'!L715,"AAAAAEX5f6w=")</f>
        <v>#VALUE!</v>
      </c>
      <c r="FR45" t="e">
        <f>AND('Planilla_General_03-12-2012_9_3'!M715,"AAAAAEX5f60=")</f>
        <v>#VALUE!</v>
      </c>
      <c r="FS45" t="e">
        <f>AND('Planilla_General_03-12-2012_9_3'!N715,"AAAAAEX5f64=")</f>
        <v>#VALUE!</v>
      </c>
      <c r="FT45" t="e">
        <f>AND('Planilla_General_03-12-2012_9_3'!O715,"AAAAAEX5f68=")</f>
        <v>#VALUE!</v>
      </c>
      <c r="FU45">
        <f>IF('Planilla_General_03-12-2012_9_3'!716:716,"AAAAAEX5f7A=",0)</f>
        <v>0</v>
      </c>
      <c r="FV45" t="e">
        <f>AND('Planilla_General_03-12-2012_9_3'!A716,"AAAAAEX5f7E=")</f>
        <v>#VALUE!</v>
      </c>
      <c r="FW45" t="e">
        <f>AND('Planilla_General_03-12-2012_9_3'!B716,"AAAAAEX5f7I=")</f>
        <v>#VALUE!</v>
      </c>
      <c r="FX45" t="e">
        <f>AND('Planilla_General_03-12-2012_9_3'!C716,"AAAAAEX5f7M=")</f>
        <v>#VALUE!</v>
      </c>
      <c r="FY45" t="e">
        <f>AND('Planilla_General_03-12-2012_9_3'!D716,"AAAAAEX5f7Q=")</f>
        <v>#VALUE!</v>
      </c>
      <c r="FZ45" t="e">
        <f>AND('Planilla_General_03-12-2012_9_3'!E716,"AAAAAEX5f7U=")</f>
        <v>#VALUE!</v>
      </c>
      <c r="GA45" t="e">
        <f>AND('Planilla_General_03-12-2012_9_3'!F716,"AAAAAEX5f7Y=")</f>
        <v>#VALUE!</v>
      </c>
      <c r="GB45" t="e">
        <f>AND('Planilla_General_03-12-2012_9_3'!G716,"AAAAAEX5f7c=")</f>
        <v>#VALUE!</v>
      </c>
      <c r="GC45" t="e">
        <f>AND('Planilla_General_03-12-2012_9_3'!H716,"AAAAAEX5f7g=")</f>
        <v>#VALUE!</v>
      </c>
      <c r="GD45" t="e">
        <f>AND('Planilla_General_03-12-2012_9_3'!I716,"AAAAAEX5f7k=")</f>
        <v>#VALUE!</v>
      </c>
      <c r="GE45" t="e">
        <f>AND('Planilla_General_03-12-2012_9_3'!J716,"AAAAAEX5f7o=")</f>
        <v>#VALUE!</v>
      </c>
      <c r="GF45" t="e">
        <f>AND('Planilla_General_03-12-2012_9_3'!K716,"AAAAAEX5f7s=")</f>
        <v>#VALUE!</v>
      </c>
      <c r="GG45" t="e">
        <f>AND('Planilla_General_03-12-2012_9_3'!L716,"AAAAAEX5f7w=")</f>
        <v>#VALUE!</v>
      </c>
      <c r="GH45" t="e">
        <f>AND('Planilla_General_03-12-2012_9_3'!M716,"AAAAAEX5f70=")</f>
        <v>#VALUE!</v>
      </c>
      <c r="GI45" t="e">
        <f>AND('Planilla_General_03-12-2012_9_3'!N716,"AAAAAEX5f74=")</f>
        <v>#VALUE!</v>
      </c>
      <c r="GJ45" t="e">
        <f>AND('Planilla_General_03-12-2012_9_3'!O716,"AAAAAEX5f78=")</f>
        <v>#VALUE!</v>
      </c>
      <c r="GK45">
        <f>IF('Planilla_General_03-12-2012_9_3'!717:717,"AAAAAEX5f8A=",0)</f>
        <v>0</v>
      </c>
      <c r="GL45" t="e">
        <f>AND('Planilla_General_03-12-2012_9_3'!A717,"AAAAAEX5f8E=")</f>
        <v>#VALUE!</v>
      </c>
      <c r="GM45" t="e">
        <f>AND('Planilla_General_03-12-2012_9_3'!B717,"AAAAAEX5f8I=")</f>
        <v>#VALUE!</v>
      </c>
      <c r="GN45" t="e">
        <f>AND('Planilla_General_03-12-2012_9_3'!C717,"AAAAAEX5f8M=")</f>
        <v>#VALUE!</v>
      </c>
      <c r="GO45" t="e">
        <f>AND('Planilla_General_03-12-2012_9_3'!D717,"AAAAAEX5f8Q=")</f>
        <v>#VALUE!</v>
      </c>
      <c r="GP45" t="e">
        <f>AND('Planilla_General_03-12-2012_9_3'!E717,"AAAAAEX5f8U=")</f>
        <v>#VALUE!</v>
      </c>
      <c r="GQ45" t="e">
        <f>AND('Planilla_General_03-12-2012_9_3'!F717,"AAAAAEX5f8Y=")</f>
        <v>#VALUE!</v>
      </c>
      <c r="GR45" t="e">
        <f>AND('Planilla_General_03-12-2012_9_3'!G717,"AAAAAEX5f8c=")</f>
        <v>#VALUE!</v>
      </c>
      <c r="GS45" t="e">
        <f>AND('Planilla_General_03-12-2012_9_3'!H717,"AAAAAEX5f8g=")</f>
        <v>#VALUE!</v>
      </c>
      <c r="GT45" t="e">
        <f>AND('Planilla_General_03-12-2012_9_3'!I717,"AAAAAEX5f8k=")</f>
        <v>#VALUE!</v>
      </c>
      <c r="GU45" t="e">
        <f>AND('Planilla_General_03-12-2012_9_3'!J717,"AAAAAEX5f8o=")</f>
        <v>#VALUE!</v>
      </c>
      <c r="GV45" t="e">
        <f>AND('Planilla_General_03-12-2012_9_3'!K717,"AAAAAEX5f8s=")</f>
        <v>#VALUE!</v>
      </c>
      <c r="GW45" t="e">
        <f>AND('Planilla_General_03-12-2012_9_3'!L717,"AAAAAEX5f8w=")</f>
        <v>#VALUE!</v>
      </c>
      <c r="GX45" t="e">
        <f>AND('Planilla_General_03-12-2012_9_3'!M717,"AAAAAEX5f80=")</f>
        <v>#VALUE!</v>
      </c>
      <c r="GY45" t="e">
        <f>AND('Planilla_General_03-12-2012_9_3'!N717,"AAAAAEX5f84=")</f>
        <v>#VALUE!</v>
      </c>
      <c r="GZ45" t="e">
        <f>AND('Planilla_General_03-12-2012_9_3'!O717,"AAAAAEX5f88=")</f>
        <v>#VALUE!</v>
      </c>
      <c r="HA45">
        <f>IF('Planilla_General_03-12-2012_9_3'!718:718,"AAAAAEX5f9A=",0)</f>
        <v>0</v>
      </c>
      <c r="HB45" t="e">
        <f>AND('Planilla_General_03-12-2012_9_3'!A718,"AAAAAEX5f9E=")</f>
        <v>#VALUE!</v>
      </c>
      <c r="HC45" t="e">
        <f>AND('Planilla_General_03-12-2012_9_3'!B718,"AAAAAEX5f9I=")</f>
        <v>#VALUE!</v>
      </c>
      <c r="HD45" t="e">
        <f>AND('Planilla_General_03-12-2012_9_3'!C718,"AAAAAEX5f9M=")</f>
        <v>#VALUE!</v>
      </c>
      <c r="HE45" t="e">
        <f>AND('Planilla_General_03-12-2012_9_3'!D718,"AAAAAEX5f9Q=")</f>
        <v>#VALUE!</v>
      </c>
      <c r="HF45" t="e">
        <f>AND('Planilla_General_03-12-2012_9_3'!E718,"AAAAAEX5f9U=")</f>
        <v>#VALUE!</v>
      </c>
      <c r="HG45" t="e">
        <f>AND('Planilla_General_03-12-2012_9_3'!F718,"AAAAAEX5f9Y=")</f>
        <v>#VALUE!</v>
      </c>
      <c r="HH45" t="e">
        <f>AND('Planilla_General_03-12-2012_9_3'!G718,"AAAAAEX5f9c=")</f>
        <v>#VALUE!</v>
      </c>
      <c r="HI45" t="e">
        <f>AND('Planilla_General_03-12-2012_9_3'!H718,"AAAAAEX5f9g=")</f>
        <v>#VALUE!</v>
      </c>
      <c r="HJ45" t="e">
        <f>AND('Planilla_General_03-12-2012_9_3'!I718,"AAAAAEX5f9k=")</f>
        <v>#VALUE!</v>
      </c>
      <c r="HK45" t="e">
        <f>AND('Planilla_General_03-12-2012_9_3'!J718,"AAAAAEX5f9o=")</f>
        <v>#VALUE!</v>
      </c>
      <c r="HL45" t="e">
        <f>AND('Planilla_General_03-12-2012_9_3'!K718,"AAAAAEX5f9s=")</f>
        <v>#VALUE!</v>
      </c>
      <c r="HM45" t="e">
        <f>AND('Planilla_General_03-12-2012_9_3'!L718,"AAAAAEX5f9w=")</f>
        <v>#VALUE!</v>
      </c>
      <c r="HN45" t="e">
        <f>AND('Planilla_General_03-12-2012_9_3'!M718,"AAAAAEX5f90=")</f>
        <v>#VALUE!</v>
      </c>
      <c r="HO45" t="e">
        <f>AND('Planilla_General_03-12-2012_9_3'!N718,"AAAAAEX5f94=")</f>
        <v>#VALUE!</v>
      </c>
      <c r="HP45" t="e">
        <f>AND('Planilla_General_03-12-2012_9_3'!O718,"AAAAAEX5f98=")</f>
        <v>#VALUE!</v>
      </c>
      <c r="HQ45">
        <f>IF('Planilla_General_03-12-2012_9_3'!719:719,"AAAAAEX5f+A=",0)</f>
        <v>0</v>
      </c>
      <c r="HR45" t="e">
        <f>AND('Planilla_General_03-12-2012_9_3'!A719,"AAAAAEX5f+E=")</f>
        <v>#VALUE!</v>
      </c>
      <c r="HS45" t="e">
        <f>AND('Planilla_General_03-12-2012_9_3'!B719,"AAAAAEX5f+I=")</f>
        <v>#VALUE!</v>
      </c>
      <c r="HT45" t="e">
        <f>AND('Planilla_General_03-12-2012_9_3'!C719,"AAAAAEX5f+M=")</f>
        <v>#VALUE!</v>
      </c>
      <c r="HU45" t="e">
        <f>AND('Planilla_General_03-12-2012_9_3'!D719,"AAAAAEX5f+Q=")</f>
        <v>#VALUE!</v>
      </c>
      <c r="HV45" t="e">
        <f>AND('Planilla_General_03-12-2012_9_3'!E719,"AAAAAEX5f+U=")</f>
        <v>#VALUE!</v>
      </c>
      <c r="HW45" t="e">
        <f>AND('Planilla_General_03-12-2012_9_3'!F719,"AAAAAEX5f+Y=")</f>
        <v>#VALUE!</v>
      </c>
      <c r="HX45" t="e">
        <f>AND('Planilla_General_03-12-2012_9_3'!G719,"AAAAAEX5f+c=")</f>
        <v>#VALUE!</v>
      </c>
      <c r="HY45" t="e">
        <f>AND('Planilla_General_03-12-2012_9_3'!H719,"AAAAAEX5f+g=")</f>
        <v>#VALUE!</v>
      </c>
      <c r="HZ45" t="e">
        <f>AND('Planilla_General_03-12-2012_9_3'!I719,"AAAAAEX5f+k=")</f>
        <v>#VALUE!</v>
      </c>
      <c r="IA45" t="e">
        <f>AND('Planilla_General_03-12-2012_9_3'!J719,"AAAAAEX5f+o=")</f>
        <v>#VALUE!</v>
      </c>
      <c r="IB45" t="e">
        <f>AND('Planilla_General_03-12-2012_9_3'!K719,"AAAAAEX5f+s=")</f>
        <v>#VALUE!</v>
      </c>
      <c r="IC45" t="e">
        <f>AND('Planilla_General_03-12-2012_9_3'!L719,"AAAAAEX5f+w=")</f>
        <v>#VALUE!</v>
      </c>
      <c r="ID45" t="e">
        <f>AND('Planilla_General_03-12-2012_9_3'!M719,"AAAAAEX5f+0=")</f>
        <v>#VALUE!</v>
      </c>
      <c r="IE45" t="e">
        <f>AND('Planilla_General_03-12-2012_9_3'!N719,"AAAAAEX5f+4=")</f>
        <v>#VALUE!</v>
      </c>
      <c r="IF45" t="e">
        <f>AND('Planilla_General_03-12-2012_9_3'!O719,"AAAAAEX5f+8=")</f>
        <v>#VALUE!</v>
      </c>
      <c r="IG45">
        <f>IF('Planilla_General_03-12-2012_9_3'!720:720,"AAAAAEX5f/A=",0)</f>
        <v>0</v>
      </c>
      <c r="IH45" t="e">
        <f>AND('Planilla_General_03-12-2012_9_3'!A720,"AAAAAEX5f/E=")</f>
        <v>#VALUE!</v>
      </c>
      <c r="II45" t="e">
        <f>AND('Planilla_General_03-12-2012_9_3'!B720,"AAAAAEX5f/I=")</f>
        <v>#VALUE!</v>
      </c>
      <c r="IJ45" t="e">
        <f>AND('Planilla_General_03-12-2012_9_3'!C720,"AAAAAEX5f/M=")</f>
        <v>#VALUE!</v>
      </c>
      <c r="IK45" t="e">
        <f>AND('Planilla_General_03-12-2012_9_3'!D720,"AAAAAEX5f/Q=")</f>
        <v>#VALUE!</v>
      </c>
      <c r="IL45" t="e">
        <f>AND('Planilla_General_03-12-2012_9_3'!E720,"AAAAAEX5f/U=")</f>
        <v>#VALUE!</v>
      </c>
      <c r="IM45" t="e">
        <f>AND('Planilla_General_03-12-2012_9_3'!F720,"AAAAAEX5f/Y=")</f>
        <v>#VALUE!</v>
      </c>
      <c r="IN45" t="e">
        <f>AND('Planilla_General_03-12-2012_9_3'!G720,"AAAAAEX5f/c=")</f>
        <v>#VALUE!</v>
      </c>
      <c r="IO45" t="e">
        <f>AND('Planilla_General_03-12-2012_9_3'!H720,"AAAAAEX5f/g=")</f>
        <v>#VALUE!</v>
      </c>
      <c r="IP45" t="e">
        <f>AND('Planilla_General_03-12-2012_9_3'!I720,"AAAAAEX5f/k=")</f>
        <v>#VALUE!</v>
      </c>
      <c r="IQ45" t="e">
        <f>AND('Planilla_General_03-12-2012_9_3'!J720,"AAAAAEX5f/o=")</f>
        <v>#VALUE!</v>
      </c>
      <c r="IR45" t="e">
        <f>AND('Planilla_General_03-12-2012_9_3'!K720,"AAAAAEX5f/s=")</f>
        <v>#VALUE!</v>
      </c>
      <c r="IS45" t="e">
        <f>AND('Planilla_General_03-12-2012_9_3'!L720,"AAAAAEX5f/w=")</f>
        <v>#VALUE!</v>
      </c>
      <c r="IT45" t="e">
        <f>AND('Planilla_General_03-12-2012_9_3'!M720,"AAAAAEX5f/0=")</f>
        <v>#VALUE!</v>
      </c>
      <c r="IU45" t="e">
        <f>AND('Planilla_General_03-12-2012_9_3'!N720,"AAAAAEX5f/4=")</f>
        <v>#VALUE!</v>
      </c>
      <c r="IV45" t="e">
        <f>AND('Planilla_General_03-12-2012_9_3'!O720,"AAAAAEX5f/8=")</f>
        <v>#VALUE!</v>
      </c>
    </row>
    <row r="46" spans="1:256" x14ac:dyDescent="0.25">
      <c r="A46" t="e">
        <f>IF('Planilla_General_03-12-2012_9_3'!721:721,"AAAAAFfn2QA=",0)</f>
        <v>#VALUE!</v>
      </c>
      <c r="B46" t="e">
        <f>AND('Planilla_General_03-12-2012_9_3'!A721,"AAAAAFfn2QE=")</f>
        <v>#VALUE!</v>
      </c>
      <c r="C46" t="e">
        <f>AND('Planilla_General_03-12-2012_9_3'!B721,"AAAAAFfn2QI=")</f>
        <v>#VALUE!</v>
      </c>
      <c r="D46" t="e">
        <f>AND('Planilla_General_03-12-2012_9_3'!C721,"AAAAAFfn2QM=")</f>
        <v>#VALUE!</v>
      </c>
      <c r="E46" t="e">
        <f>AND('Planilla_General_03-12-2012_9_3'!D721,"AAAAAFfn2QQ=")</f>
        <v>#VALUE!</v>
      </c>
      <c r="F46" t="e">
        <f>AND('Planilla_General_03-12-2012_9_3'!E721,"AAAAAFfn2QU=")</f>
        <v>#VALUE!</v>
      </c>
      <c r="G46" t="e">
        <f>AND('Planilla_General_03-12-2012_9_3'!F721,"AAAAAFfn2QY=")</f>
        <v>#VALUE!</v>
      </c>
      <c r="H46" t="e">
        <f>AND('Planilla_General_03-12-2012_9_3'!G721,"AAAAAFfn2Qc=")</f>
        <v>#VALUE!</v>
      </c>
      <c r="I46" t="e">
        <f>AND('Planilla_General_03-12-2012_9_3'!H721,"AAAAAFfn2Qg=")</f>
        <v>#VALUE!</v>
      </c>
      <c r="J46" t="e">
        <f>AND('Planilla_General_03-12-2012_9_3'!I721,"AAAAAFfn2Qk=")</f>
        <v>#VALUE!</v>
      </c>
      <c r="K46" t="e">
        <f>AND('Planilla_General_03-12-2012_9_3'!J721,"AAAAAFfn2Qo=")</f>
        <v>#VALUE!</v>
      </c>
      <c r="L46" t="e">
        <f>AND('Planilla_General_03-12-2012_9_3'!K721,"AAAAAFfn2Qs=")</f>
        <v>#VALUE!</v>
      </c>
      <c r="M46" t="e">
        <f>AND('Planilla_General_03-12-2012_9_3'!L721,"AAAAAFfn2Qw=")</f>
        <v>#VALUE!</v>
      </c>
      <c r="N46" t="e">
        <f>AND('Planilla_General_03-12-2012_9_3'!M721,"AAAAAFfn2Q0=")</f>
        <v>#VALUE!</v>
      </c>
      <c r="O46" t="e">
        <f>AND('Planilla_General_03-12-2012_9_3'!N721,"AAAAAFfn2Q4=")</f>
        <v>#VALUE!</v>
      </c>
      <c r="P46" t="e">
        <f>AND('Planilla_General_03-12-2012_9_3'!O721,"AAAAAFfn2Q8=")</f>
        <v>#VALUE!</v>
      </c>
      <c r="Q46">
        <f>IF('Planilla_General_03-12-2012_9_3'!722:722,"AAAAAFfn2RA=",0)</f>
        <v>0</v>
      </c>
      <c r="R46" t="e">
        <f>AND('Planilla_General_03-12-2012_9_3'!A722,"AAAAAFfn2RE=")</f>
        <v>#VALUE!</v>
      </c>
      <c r="S46" t="e">
        <f>AND('Planilla_General_03-12-2012_9_3'!B722,"AAAAAFfn2RI=")</f>
        <v>#VALUE!</v>
      </c>
      <c r="T46" t="e">
        <f>AND('Planilla_General_03-12-2012_9_3'!C722,"AAAAAFfn2RM=")</f>
        <v>#VALUE!</v>
      </c>
      <c r="U46" t="e">
        <f>AND('Planilla_General_03-12-2012_9_3'!D722,"AAAAAFfn2RQ=")</f>
        <v>#VALUE!</v>
      </c>
      <c r="V46" t="e">
        <f>AND('Planilla_General_03-12-2012_9_3'!E722,"AAAAAFfn2RU=")</f>
        <v>#VALUE!</v>
      </c>
      <c r="W46" t="e">
        <f>AND('Planilla_General_03-12-2012_9_3'!F722,"AAAAAFfn2RY=")</f>
        <v>#VALUE!</v>
      </c>
      <c r="X46" t="e">
        <f>AND('Planilla_General_03-12-2012_9_3'!G722,"AAAAAFfn2Rc=")</f>
        <v>#VALUE!</v>
      </c>
      <c r="Y46" t="e">
        <f>AND('Planilla_General_03-12-2012_9_3'!H722,"AAAAAFfn2Rg=")</f>
        <v>#VALUE!</v>
      </c>
      <c r="Z46" t="e">
        <f>AND('Planilla_General_03-12-2012_9_3'!I722,"AAAAAFfn2Rk=")</f>
        <v>#VALUE!</v>
      </c>
      <c r="AA46" t="e">
        <f>AND('Planilla_General_03-12-2012_9_3'!J722,"AAAAAFfn2Ro=")</f>
        <v>#VALUE!</v>
      </c>
      <c r="AB46" t="e">
        <f>AND('Planilla_General_03-12-2012_9_3'!K722,"AAAAAFfn2Rs=")</f>
        <v>#VALUE!</v>
      </c>
      <c r="AC46" t="e">
        <f>AND('Planilla_General_03-12-2012_9_3'!L722,"AAAAAFfn2Rw=")</f>
        <v>#VALUE!</v>
      </c>
      <c r="AD46" t="e">
        <f>AND('Planilla_General_03-12-2012_9_3'!M722,"AAAAAFfn2R0=")</f>
        <v>#VALUE!</v>
      </c>
      <c r="AE46" t="e">
        <f>AND('Planilla_General_03-12-2012_9_3'!N722,"AAAAAFfn2R4=")</f>
        <v>#VALUE!</v>
      </c>
      <c r="AF46" t="e">
        <f>AND('Planilla_General_03-12-2012_9_3'!O722,"AAAAAFfn2R8=")</f>
        <v>#VALUE!</v>
      </c>
      <c r="AG46">
        <f>IF('Planilla_General_03-12-2012_9_3'!723:723,"AAAAAFfn2SA=",0)</f>
        <v>0</v>
      </c>
      <c r="AH46" t="e">
        <f>AND('Planilla_General_03-12-2012_9_3'!A723,"AAAAAFfn2SE=")</f>
        <v>#VALUE!</v>
      </c>
      <c r="AI46" t="e">
        <f>AND('Planilla_General_03-12-2012_9_3'!B723,"AAAAAFfn2SI=")</f>
        <v>#VALUE!</v>
      </c>
      <c r="AJ46" t="e">
        <f>AND('Planilla_General_03-12-2012_9_3'!C723,"AAAAAFfn2SM=")</f>
        <v>#VALUE!</v>
      </c>
      <c r="AK46" t="e">
        <f>AND('Planilla_General_03-12-2012_9_3'!D723,"AAAAAFfn2SQ=")</f>
        <v>#VALUE!</v>
      </c>
      <c r="AL46" t="e">
        <f>AND('Planilla_General_03-12-2012_9_3'!E723,"AAAAAFfn2SU=")</f>
        <v>#VALUE!</v>
      </c>
      <c r="AM46" t="e">
        <f>AND('Planilla_General_03-12-2012_9_3'!F723,"AAAAAFfn2SY=")</f>
        <v>#VALUE!</v>
      </c>
      <c r="AN46" t="e">
        <f>AND('Planilla_General_03-12-2012_9_3'!G723,"AAAAAFfn2Sc=")</f>
        <v>#VALUE!</v>
      </c>
      <c r="AO46" t="e">
        <f>AND('Planilla_General_03-12-2012_9_3'!H723,"AAAAAFfn2Sg=")</f>
        <v>#VALUE!</v>
      </c>
      <c r="AP46" t="e">
        <f>AND('Planilla_General_03-12-2012_9_3'!I723,"AAAAAFfn2Sk=")</f>
        <v>#VALUE!</v>
      </c>
      <c r="AQ46" t="e">
        <f>AND('Planilla_General_03-12-2012_9_3'!J723,"AAAAAFfn2So=")</f>
        <v>#VALUE!</v>
      </c>
      <c r="AR46" t="e">
        <f>AND('Planilla_General_03-12-2012_9_3'!K723,"AAAAAFfn2Ss=")</f>
        <v>#VALUE!</v>
      </c>
      <c r="AS46" t="e">
        <f>AND('Planilla_General_03-12-2012_9_3'!L723,"AAAAAFfn2Sw=")</f>
        <v>#VALUE!</v>
      </c>
      <c r="AT46" t="e">
        <f>AND('Planilla_General_03-12-2012_9_3'!M723,"AAAAAFfn2S0=")</f>
        <v>#VALUE!</v>
      </c>
      <c r="AU46" t="e">
        <f>AND('Planilla_General_03-12-2012_9_3'!N723,"AAAAAFfn2S4=")</f>
        <v>#VALUE!</v>
      </c>
      <c r="AV46" t="e">
        <f>AND('Planilla_General_03-12-2012_9_3'!O723,"AAAAAFfn2S8=")</f>
        <v>#VALUE!</v>
      </c>
      <c r="AW46">
        <f>IF('Planilla_General_03-12-2012_9_3'!724:724,"AAAAAFfn2TA=",0)</f>
        <v>0</v>
      </c>
      <c r="AX46" t="e">
        <f>AND('Planilla_General_03-12-2012_9_3'!A724,"AAAAAFfn2TE=")</f>
        <v>#VALUE!</v>
      </c>
      <c r="AY46" t="e">
        <f>AND('Planilla_General_03-12-2012_9_3'!B724,"AAAAAFfn2TI=")</f>
        <v>#VALUE!</v>
      </c>
      <c r="AZ46" t="e">
        <f>AND('Planilla_General_03-12-2012_9_3'!C724,"AAAAAFfn2TM=")</f>
        <v>#VALUE!</v>
      </c>
      <c r="BA46" t="e">
        <f>AND('Planilla_General_03-12-2012_9_3'!D724,"AAAAAFfn2TQ=")</f>
        <v>#VALUE!</v>
      </c>
      <c r="BB46" t="e">
        <f>AND('Planilla_General_03-12-2012_9_3'!E724,"AAAAAFfn2TU=")</f>
        <v>#VALUE!</v>
      </c>
      <c r="BC46" t="e">
        <f>AND('Planilla_General_03-12-2012_9_3'!F724,"AAAAAFfn2TY=")</f>
        <v>#VALUE!</v>
      </c>
      <c r="BD46" t="e">
        <f>AND('Planilla_General_03-12-2012_9_3'!G724,"AAAAAFfn2Tc=")</f>
        <v>#VALUE!</v>
      </c>
      <c r="BE46" t="e">
        <f>AND('Planilla_General_03-12-2012_9_3'!H724,"AAAAAFfn2Tg=")</f>
        <v>#VALUE!</v>
      </c>
      <c r="BF46" t="e">
        <f>AND('Planilla_General_03-12-2012_9_3'!I724,"AAAAAFfn2Tk=")</f>
        <v>#VALUE!</v>
      </c>
      <c r="BG46" t="e">
        <f>AND('Planilla_General_03-12-2012_9_3'!J724,"AAAAAFfn2To=")</f>
        <v>#VALUE!</v>
      </c>
      <c r="BH46" t="e">
        <f>AND('Planilla_General_03-12-2012_9_3'!K724,"AAAAAFfn2Ts=")</f>
        <v>#VALUE!</v>
      </c>
      <c r="BI46" t="e">
        <f>AND('Planilla_General_03-12-2012_9_3'!L724,"AAAAAFfn2Tw=")</f>
        <v>#VALUE!</v>
      </c>
      <c r="BJ46" t="e">
        <f>AND('Planilla_General_03-12-2012_9_3'!M724,"AAAAAFfn2T0=")</f>
        <v>#VALUE!</v>
      </c>
      <c r="BK46" t="e">
        <f>AND('Planilla_General_03-12-2012_9_3'!N724,"AAAAAFfn2T4=")</f>
        <v>#VALUE!</v>
      </c>
      <c r="BL46" t="e">
        <f>AND('Planilla_General_03-12-2012_9_3'!O724,"AAAAAFfn2T8=")</f>
        <v>#VALUE!</v>
      </c>
      <c r="BM46">
        <f>IF('Planilla_General_03-12-2012_9_3'!725:725,"AAAAAFfn2UA=",0)</f>
        <v>0</v>
      </c>
      <c r="BN46" t="e">
        <f>AND('Planilla_General_03-12-2012_9_3'!A725,"AAAAAFfn2UE=")</f>
        <v>#VALUE!</v>
      </c>
      <c r="BO46" t="e">
        <f>AND('Planilla_General_03-12-2012_9_3'!B725,"AAAAAFfn2UI=")</f>
        <v>#VALUE!</v>
      </c>
      <c r="BP46" t="e">
        <f>AND('Planilla_General_03-12-2012_9_3'!C725,"AAAAAFfn2UM=")</f>
        <v>#VALUE!</v>
      </c>
      <c r="BQ46" t="e">
        <f>AND('Planilla_General_03-12-2012_9_3'!D725,"AAAAAFfn2UQ=")</f>
        <v>#VALUE!</v>
      </c>
      <c r="BR46" t="e">
        <f>AND('Planilla_General_03-12-2012_9_3'!E725,"AAAAAFfn2UU=")</f>
        <v>#VALUE!</v>
      </c>
      <c r="BS46" t="e">
        <f>AND('Planilla_General_03-12-2012_9_3'!F725,"AAAAAFfn2UY=")</f>
        <v>#VALUE!</v>
      </c>
      <c r="BT46" t="e">
        <f>AND('Planilla_General_03-12-2012_9_3'!G725,"AAAAAFfn2Uc=")</f>
        <v>#VALUE!</v>
      </c>
      <c r="BU46" t="e">
        <f>AND('Planilla_General_03-12-2012_9_3'!H725,"AAAAAFfn2Ug=")</f>
        <v>#VALUE!</v>
      </c>
      <c r="BV46" t="e">
        <f>AND('Planilla_General_03-12-2012_9_3'!I725,"AAAAAFfn2Uk=")</f>
        <v>#VALUE!</v>
      </c>
      <c r="BW46" t="e">
        <f>AND('Planilla_General_03-12-2012_9_3'!J725,"AAAAAFfn2Uo=")</f>
        <v>#VALUE!</v>
      </c>
      <c r="BX46" t="e">
        <f>AND('Planilla_General_03-12-2012_9_3'!K725,"AAAAAFfn2Us=")</f>
        <v>#VALUE!</v>
      </c>
      <c r="BY46" t="e">
        <f>AND('Planilla_General_03-12-2012_9_3'!L725,"AAAAAFfn2Uw=")</f>
        <v>#VALUE!</v>
      </c>
      <c r="BZ46" t="e">
        <f>AND('Planilla_General_03-12-2012_9_3'!M725,"AAAAAFfn2U0=")</f>
        <v>#VALUE!</v>
      </c>
      <c r="CA46" t="e">
        <f>AND('Planilla_General_03-12-2012_9_3'!N725,"AAAAAFfn2U4=")</f>
        <v>#VALUE!</v>
      </c>
      <c r="CB46" t="e">
        <f>AND('Planilla_General_03-12-2012_9_3'!O725,"AAAAAFfn2U8=")</f>
        <v>#VALUE!</v>
      </c>
      <c r="CC46">
        <f>IF('Planilla_General_03-12-2012_9_3'!726:726,"AAAAAFfn2VA=",0)</f>
        <v>0</v>
      </c>
      <c r="CD46" t="e">
        <f>AND('Planilla_General_03-12-2012_9_3'!A726,"AAAAAFfn2VE=")</f>
        <v>#VALUE!</v>
      </c>
      <c r="CE46" t="e">
        <f>AND('Planilla_General_03-12-2012_9_3'!B726,"AAAAAFfn2VI=")</f>
        <v>#VALUE!</v>
      </c>
      <c r="CF46" t="e">
        <f>AND('Planilla_General_03-12-2012_9_3'!C726,"AAAAAFfn2VM=")</f>
        <v>#VALUE!</v>
      </c>
      <c r="CG46" t="e">
        <f>AND('Planilla_General_03-12-2012_9_3'!D726,"AAAAAFfn2VQ=")</f>
        <v>#VALUE!</v>
      </c>
      <c r="CH46" t="e">
        <f>AND('Planilla_General_03-12-2012_9_3'!E726,"AAAAAFfn2VU=")</f>
        <v>#VALUE!</v>
      </c>
      <c r="CI46" t="e">
        <f>AND('Planilla_General_03-12-2012_9_3'!F726,"AAAAAFfn2VY=")</f>
        <v>#VALUE!</v>
      </c>
      <c r="CJ46" t="e">
        <f>AND('Planilla_General_03-12-2012_9_3'!G726,"AAAAAFfn2Vc=")</f>
        <v>#VALUE!</v>
      </c>
      <c r="CK46" t="e">
        <f>AND('Planilla_General_03-12-2012_9_3'!H726,"AAAAAFfn2Vg=")</f>
        <v>#VALUE!</v>
      </c>
      <c r="CL46" t="e">
        <f>AND('Planilla_General_03-12-2012_9_3'!I726,"AAAAAFfn2Vk=")</f>
        <v>#VALUE!</v>
      </c>
      <c r="CM46" t="e">
        <f>AND('Planilla_General_03-12-2012_9_3'!J726,"AAAAAFfn2Vo=")</f>
        <v>#VALUE!</v>
      </c>
      <c r="CN46" t="e">
        <f>AND('Planilla_General_03-12-2012_9_3'!K726,"AAAAAFfn2Vs=")</f>
        <v>#VALUE!</v>
      </c>
      <c r="CO46" t="e">
        <f>AND('Planilla_General_03-12-2012_9_3'!L726,"AAAAAFfn2Vw=")</f>
        <v>#VALUE!</v>
      </c>
      <c r="CP46" t="e">
        <f>AND('Planilla_General_03-12-2012_9_3'!M726,"AAAAAFfn2V0=")</f>
        <v>#VALUE!</v>
      </c>
      <c r="CQ46" t="e">
        <f>AND('Planilla_General_03-12-2012_9_3'!N726,"AAAAAFfn2V4=")</f>
        <v>#VALUE!</v>
      </c>
      <c r="CR46" t="e">
        <f>AND('Planilla_General_03-12-2012_9_3'!O726,"AAAAAFfn2V8=")</f>
        <v>#VALUE!</v>
      </c>
      <c r="CS46">
        <f>IF('Planilla_General_03-12-2012_9_3'!727:727,"AAAAAFfn2WA=",0)</f>
        <v>0</v>
      </c>
      <c r="CT46" t="e">
        <f>AND('Planilla_General_03-12-2012_9_3'!A727,"AAAAAFfn2WE=")</f>
        <v>#VALUE!</v>
      </c>
      <c r="CU46" t="e">
        <f>AND('Planilla_General_03-12-2012_9_3'!B727,"AAAAAFfn2WI=")</f>
        <v>#VALUE!</v>
      </c>
      <c r="CV46" t="e">
        <f>AND('Planilla_General_03-12-2012_9_3'!C727,"AAAAAFfn2WM=")</f>
        <v>#VALUE!</v>
      </c>
      <c r="CW46" t="e">
        <f>AND('Planilla_General_03-12-2012_9_3'!D727,"AAAAAFfn2WQ=")</f>
        <v>#VALUE!</v>
      </c>
      <c r="CX46" t="e">
        <f>AND('Planilla_General_03-12-2012_9_3'!E727,"AAAAAFfn2WU=")</f>
        <v>#VALUE!</v>
      </c>
      <c r="CY46" t="e">
        <f>AND('Planilla_General_03-12-2012_9_3'!F727,"AAAAAFfn2WY=")</f>
        <v>#VALUE!</v>
      </c>
      <c r="CZ46" t="e">
        <f>AND('Planilla_General_03-12-2012_9_3'!G727,"AAAAAFfn2Wc=")</f>
        <v>#VALUE!</v>
      </c>
      <c r="DA46" t="e">
        <f>AND('Planilla_General_03-12-2012_9_3'!H727,"AAAAAFfn2Wg=")</f>
        <v>#VALUE!</v>
      </c>
      <c r="DB46" t="e">
        <f>AND('Planilla_General_03-12-2012_9_3'!I727,"AAAAAFfn2Wk=")</f>
        <v>#VALUE!</v>
      </c>
      <c r="DC46" t="e">
        <f>AND('Planilla_General_03-12-2012_9_3'!J727,"AAAAAFfn2Wo=")</f>
        <v>#VALUE!</v>
      </c>
      <c r="DD46" t="e">
        <f>AND('Planilla_General_03-12-2012_9_3'!K727,"AAAAAFfn2Ws=")</f>
        <v>#VALUE!</v>
      </c>
      <c r="DE46" t="e">
        <f>AND('Planilla_General_03-12-2012_9_3'!L727,"AAAAAFfn2Ww=")</f>
        <v>#VALUE!</v>
      </c>
      <c r="DF46" t="e">
        <f>AND('Planilla_General_03-12-2012_9_3'!M727,"AAAAAFfn2W0=")</f>
        <v>#VALUE!</v>
      </c>
      <c r="DG46" t="e">
        <f>AND('Planilla_General_03-12-2012_9_3'!N727,"AAAAAFfn2W4=")</f>
        <v>#VALUE!</v>
      </c>
      <c r="DH46" t="e">
        <f>AND('Planilla_General_03-12-2012_9_3'!O727,"AAAAAFfn2W8=")</f>
        <v>#VALUE!</v>
      </c>
      <c r="DI46">
        <f>IF('Planilla_General_03-12-2012_9_3'!728:728,"AAAAAFfn2XA=",0)</f>
        <v>0</v>
      </c>
      <c r="DJ46" t="e">
        <f>AND('Planilla_General_03-12-2012_9_3'!A728,"AAAAAFfn2XE=")</f>
        <v>#VALUE!</v>
      </c>
      <c r="DK46" t="e">
        <f>AND('Planilla_General_03-12-2012_9_3'!B728,"AAAAAFfn2XI=")</f>
        <v>#VALUE!</v>
      </c>
      <c r="DL46" t="e">
        <f>AND('Planilla_General_03-12-2012_9_3'!C728,"AAAAAFfn2XM=")</f>
        <v>#VALUE!</v>
      </c>
      <c r="DM46" t="e">
        <f>AND('Planilla_General_03-12-2012_9_3'!D728,"AAAAAFfn2XQ=")</f>
        <v>#VALUE!</v>
      </c>
      <c r="DN46" t="e">
        <f>AND('Planilla_General_03-12-2012_9_3'!E728,"AAAAAFfn2XU=")</f>
        <v>#VALUE!</v>
      </c>
      <c r="DO46" t="e">
        <f>AND('Planilla_General_03-12-2012_9_3'!F728,"AAAAAFfn2XY=")</f>
        <v>#VALUE!</v>
      </c>
      <c r="DP46" t="e">
        <f>AND('Planilla_General_03-12-2012_9_3'!G728,"AAAAAFfn2Xc=")</f>
        <v>#VALUE!</v>
      </c>
      <c r="DQ46" t="e">
        <f>AND('Planilla_General_03-12-2012_9_3'!H728,"AAAAAFfn2Xg=")</f>
        <v>#VALUE!</v>
      </c>
      <c r="DR46" t="e">
        <f>AND('Planilla_General_03-12-2012_9_3'!I728,"AAAAAFfn2Xk=")</f>
        <v>#VALUE!</v>
      </c>
      <c r="DS46" t="e">
        <f>AND('Planilla_General_03-12-2012_9_3'!J728,"AAAAAFfn2Xo=")</f>
        <v>#VALUE!</v>
      </c>
      <c r="DT46" t="e">
        <f>AND('Planilla_General_03-12-2012_9_3'!K728,"AAAAAFfn2Xs=")</f>
        <v>#VALUE!</v>
      </c>
      <c r="DU46" t="e">
        <f>AND('Planilla_General_03-12-2012_9_3'!L728,"AAAAAFfn2Xw=")</f>
        <v>#VALUE!</v>
      </c>
      <c r="DV46" t="e">
        <f>AND('Planilla_General_03-12-2012_9_3'!M728,"AAAAAFfn2X0=")</f>
        <v>#VALUE!</v>
      </c>
      <c r="DW46" t="e">
        <f>AND('Planilla_General_03-12-2012_9_3'!N728,"AAAAAFfn2X4=")</f>
        <v>#VALUE!</v>
      </c>
      <c r="DX46" t="e">
        <f>AND('Planilla_General_03-12-2012_9_3'!O728,"AAAAAFfn2X8=")</f>
        <v>#VALUE!</v>
      </c>
      <c r="DY46">
        <f>IF('Planilla_General_03-12-2012_9_3'!729:729,"AAAAAFfn2YA=",0)</f>
        <v>0</v>
      </c>
      <c r="DZ46" t="e">
        <f>AND('Planilla_General_03-12-2012_9_3'!A729,"AAAAAFfn2YE=")</f>
        <v>#VALUE!</v>
      </c>
      <c r="EA46" t="e">
        <f>AND('Planilla_General_03-12-2012_9_3'!B729,"AAAAAFfn2YI=")</f>
        <v>#VALUE!</v>
      </c>
      <c r="EB46" t="e">
        <f>AND('Planilla_General_03-12-2012_9_3'!C729,"AAAAAFfn2YM=")</f>
        <v>#VALUE!</v>
      </c>
      <c r="EC46" t="e">
        <f>AND('Planilla_General_03-12-2012_9_3'!D729,"AAAAAFfn2YQ=")</f>
        <v>#VALUE!</v>
      </c>
      <c r="ED46" t="e">
        <f>AND('Planilla_General_03-12-2012_9_3'!E729,"AAAAAFfn2YU=")</f>
        <v>#VALUE!</v>
      </c>
      <c r="EE46" t="e">
        <f>AND('Planilla_General_03-12-2012_9_3'!F729,"AAAAAFfn2YY=")</f>
        <v>#VALUE!</v>
      </c>
      <c r="EF46" t="e">
        <f>AND('Planilla_General_03-12-2012_9_3'!G729,"AAAAAFfn2Yc=")</f>
        <v>#VALUE!</v>
      </c>
      <c r="EG46" t="e">
        <f>AND('Planilla_General_03-12-2012_9_3'!H729,"AAAAAFfn2Yg=")</f>
        <v>#VALUE!</v>
      </c>
      <c r="EH46" t="e">
        <f>AND('Planilla_General_03-12-2012_9_3'!I729,"AAAAAFfn2Yk=")</f>
        <v>#VALUE!</v>
      </c>
      <c r="EI46" t="e">
        <f>AND('Planilla_General_03-12-2012_9_3'!J729,"AAAAAFfn2Yo=")</f>
        <v>#VALUE!</v>
      </c>
      <c r="EJ46" t="e">
        <f>AND('Planilla_General_03-12-2012_9_3'!K729,"AAAAAFfn2Ys=")</f>
        <v>#VALUE!</v>
      </c>
      <c r="EK46" t="e">
        <f>AND('Planilla_General_03-12-2012_9_3'!L729,"AAAAAFfn2Yw=")</f>
        <v>#VALUE!</v>
      </c>
      <c r="EL46" t="e">
        <f>AND('Planilla_General_03-12-2012_9_3'!M729,"AAAAAFfn2Y0=")</f>
        <v>#VALUE!</v>
      </c>
      <c r="EM46" t="e">
        <f>AND('Planilla_General_03-12-2012_9_3'!N729,"AAAAAFfn2Y4=")</f>
        <v>#VALUE!</v>
      </c>
      <c r="EN46" t="e">
        <f>AND('Planilla_General_03-12-2012_9_3'!O729,"AAAAAFfn2Y8=")</f>
        <v>#VALUE!</v>
      </c>
      <c r="EO46">
        <f>IF('Planilla_General_03-12-2012_9_3'!730:730,"AAAAAFfn2ZA=",0)</f>
        <v>0</v>
      </c>
      <c r="EP46" t="e">
        <f>AND('Planilla_General_03-12-2012_9_3'!A730,"AAAAAFfn2ZE=")</f>
        <v>#VALUE!</v>
      </c>
      <c r="EQ46" t="e">
        <f>AND('Planilla_General_03-12-2012_9_3'!B730,"AAAAAFfn2ZI=")</f>
        <v>#VALUE!</v>
      </c>
      <c r="ER46" t="e">
        <f>AND('Planilla_General_03-12-2012_9_3'!C730,"AAAAAFfn2ZM=")</f>
        <v>#VALUE!</v>
      </c>
      <c r="ES46" t="e">
        <f>AND('Planilla_General_03-12-2012_9_3'!D730,"AAAAAFfn2ZQ=")</f>
        <v>#VALUE!</v>
      </c>
      <c r="ET46" t="e">
        <f>AND('Planilla_General_03-12-2012_9_3'!E730,"AAAAAFfn2ZU=")</f>
        <v>#VALUE!</v>
      </c>
      <c r="EU46" t="e">
        <f>AND('Planilla_General_03-12-2012_9_3'!F730,"AAAAAFfn2ZY=")</f>
        <v>#VALUE!</v>
      </c>
      <c r="EV46" t="e">
        <f>AND('Planilla_General_03-12-2012_9_3'!G730,"AAAAAFfn2Zc=")</f>
        <v>#VALUE!</v>
      </c>
      <c r="EW46" t="e">
        <f>AND('Planilla_General_03-12-2012_9_3'!H730,"AAAAAFfn2Zg=")</f>
        <v>#VALUE!</v>
      </c>
      <c r="EX46" t="e">
        <f>AND('Planilla_General_03-12-2012_9_3'!I730,"AAAAAFfn2Zk=")</f>
        <v>#VALUE!</v>
      </c>
      <c r="EY46" t="e">
        <f>AND('Planilla_General_03-12-2012_9_3'!J730,"AAAAAFfn2Zo=")</f>
        <v>#VALUE!</v>
      </c>
      <c r="EZ46" t="e">
        <f>AND('Planilla_General_03-12-2012_9_3'!K730,"AAAAAFfn2Zs=")</f>
        <v>#VALUE!</v>
      </c>
      <c r="FA46" t="e">
        <f>AND('Planilla_General_03-12-2012_9_3'!L730,"AAAAAFfn2Zw=")</f>
        <v>#VALUE!</v>
      </c>
      <c r="FB46" t="e">
        <f>AND('Planilla_General_03-12-2012_9_3'!M730,"AAAAAFfn2Z0=")</f>
        <v>#VALUE!</v>
      </c>
      <c r="FC46" t="e">
        <f>AND('Planilla_General_03-12-2012_9_3'!N730,"AAAAAFfn2Z4=")</f>
        <v>#VALUE!</v>
      </c>
      <c r="FD46" t="e">
        <f>AND('Planilla_General_03-12-2012_9_3'!O730,"AAAAAFfn2Z8=")</f>
        <v>#VALUE!</v>
      </c>
      <c r="FE46">
        <f>IF('Planilla_General_03-12-2012_9_3'!731:731,"AAAAAFfn2aA=",0)</f>
        <v>0</v>
      </c>
      <c r="FF46" t="e">
        <f>AND('Planilla_General_03-12-2012_9_3'!A731,"AAAAAFfn2aE=")</f>
        <v>#VALUE!</v>
      </c>
      <c r="FG46" t="e">
        <f>AND('Planilla_General_03-12-2012_9_3'!B731,"AAAAAFfn2aI=")</f>
        <v>#VALUE!</v>
      </c>
      <c r="FH46" t="e">
        <f>AND('Planilla_General_03-12-2012_9_3'!C731,"AAAAAFfn2aM=")</f>
        <v>#VALUE!</v>
      </c>
      <c r="FI46" t="e">
        <f>AND('Planilla_General_03-12-2012_9_3'!D731,"AAAAAFfn2aQ=")</f>
        <v>#VALUE!</v>
      </c>
      <c r="FJ46" t="e">
        <f>AND('Planilla_General_03-12-2012_9_3'!E731,"AAAAAFfn2aU=")</f>
        <v>#VALUE!</v>
      </c>
      <c r="FK46" t="e">
        <f>AND('Planilla_General_03-12-2012_9_3'!F731,"AAAAAFfn2aY=")</f>
        <v>#VALUE!</v>
      </c>
      <c r="FL46" t="e">
        <f>AND('Planilla_General_03-12-2012_9_3'!G731,"AAAAAFfn2ac=")</f>
        <v>#VALUE!</v>
      </c>
      <c r="FM46" t="e">
        <f>AND('Planilla_General_03-12-2012_9_3'!H731,"AAAAAFfn2ag=")</f>
        <v>#VALUE!</v>
      </c>
      <c r="FN46" t="e">
        <f>AND('Planilla_General_03-12-2012_9_3'!I731,"AAAAAFfn2ak=")</f>
        <v>#VALUE!</v>
      </c>
      <c r="FO46" t="e">
        <f>AND('Planilla_General_03-12-2012_9_3'!J731,"AAAAAFfn2ao=")</f>
        <v>#VALUE!</v>
      </c>
      <c r="FP46" t="e">
        <f>AND('Planilla_General_03-12-2012_9_3'!K731,"AAAAAFfn2as=")</f>
        <v>#VALUE!</v>
      </c>
      <c r="FQ46" t="e">
        <f>AND('Planilla_General_03-12-2012_9_3'!L731,"AAAAAFfn2aw=")</f>
        <v>#VALUE!</v>
      </c>
      <c r="FR46" t="e">
        <f>AND('Planilla_General_03-12-2012_9_3'!M731,"AAAAAFfn2a0=")</f>
        <v>#VALUE!</v>
      </c>
      <c r="FS46" t="e">
        <f>AND('Planilla_General_03-12-2012_9_3'!N731,"AAAAAFfn2a4=")</f>
        <v>#VALUE!</v>
      </c>
      <c r="FT46" t="e">
        <f>AND('Planilla_General_03-12-2012_9_3'!O731,"AAAAAFfn2a8=")</f>
        <v>#VALUE!</v>
      </c>
      <c r="FU46">
        <f>IF('Planilla_General_03-12-2012_9_3'!732:732,"AAAAAFfn2bA=",0)</f>
        <v>0</v>
      </c>
      <c r="FV46" t="e">
        <f>AND('Planilla_General_03-12-2012_9_3'!A732,"AAAAAFfn2bE=")</f>
        <v>#VALUE!</v>
      </c>
      <c r="FW46" t="e">
        <f>AND('Planilla_General_03-12-2012_9_3'!B732,"AAAAAFfn2bI=")</f>
        <v>#VALUE!</v>
      </c>
      <c r="FX46" t="e">
        <f>AND('Planilla_General_03-12-2012_9_3'!C732,"AAAAAFfn2bM=")</f>
        <v>#VALUE!</v>
      </c>
      <c r="FY46" t="e">
        <f>AND('Planilla_General_03-12-2012_9_3'!D732,"AAAAAFfn2bQ=")</f>
        <v>#VALUE!</v>
      </c>
      <c r="FZ46" t="e">
        <f>AND('Planilla_General_03-12-2012_9_3'!E732,"AAAAAFfn2bU=")</f>
        <v>#VALUE!</v>
      </c>
      <c r="GA46" t="e">
        <f>AND('Planilla_General_03-12-2012_9_3'!F732,"AAAAAFfn2bY=")</f>
        <v>#VALUE!</v>
      </c>
      <c r="GB46" t="e">
        <f>AND('Planilla_General_03-12-2012_9_3'!G732,"AAAAAFfn2bc=")</f>
        <v>#VALUE!</v>
      </c>
      <c r="GC46" t="e">
        <f>AND('Planilla_General_03-12-2012_9_3'!H732,"AAAAAFfn2bg=")</f>
        <v>#VALUE!</v>
      </c>
      <c r="GD46" t="e">
        <f>AND('Planilla_General_03-12-2012_9_3'!I732,"AAAAAFfn2bk=")</f>
        <v>#VALUE!</v>
      </c>
      <c r="GE46" t="e">
        <f>AND('Planilla_General_03-12-2012_9_3'!J732,"AAAAAFfn2bo=")</f>
        <v>#VALUE!</v>
      </c>
      <c r="GF46" t="e">
        <f>AND('Planilla_General_03-12-2012_9_3'!K732,"AAAAAFfn2bs=")</f>
        <v>#VALUE!</v>
      </c>
      <c r="GG46" t="e">
        <f>AND('Planilla_General_03-12-2012_9_3'!L732,"AAAAAFfn2bw=")</f>
        <v>#VALUE!</v>
      </c>
      <c r="GH46" t="e">
        <f>AND('Planilla_General_03-12-2012_9_3'!M732,"AAAAAFfn2b0=")</f>
        <v>#VALUE!</v>
      </c>
      <c r="GI46" t="e">
        <f>AND('Planilla_General_03-12-2012_9_3'!N732,"AAAAAFfn2b4=")</f>
        <v>#VALUE!</v>
      </c>
      <c r="GJ46" t="e">
        <f>AND('Planilla_General_03-12-2012_9_3'!O732,"AAAAAFfn2b8=")</f>
        <v>#VALUE!</v>
      </c>
      <c r="GK46">
        <f>IF('Planilla_General_03-12-2012_9_3'!733:733,"AAAAAFfn2cA=",0)</f>
        <v>0</v>
      </c>
      <c r="GL46" t="e">
        <f>AND('Planilla_General_03-12-2012_9_3'!A733,"AAAAAFfn2cE=")</f>
        <v>#VALUE!</v>
      </c>
      <c r="GM46" t="e">
        <f>AND('Planilla_General_03-12-2012_9_3'!B733,"AAAAAFfn2cI=")</f>
        <v>#VALUE!</v>
      </c>
      <c r="GN46" t="e">
        <f>AND('Planilla_General_03-12-2012_9_3'!C733,"AAAAAFfn2cM=")</f>
        <v>#VALUE!</v>
      </c>
      <c r="GO46" t="e">
        <f>AND('Planilla_General_03-12-2012_9_3'!D733,"AAAAAFfn2cQ=")</f>
        <v>#VALUE!</v>
      </c>
      <c r="GP46" t="e">
        <f>AND('Planilla_General_03-12-2012_9_3'!E733,"AAAAAFfn2cU=")</f>
        <v>#VALUE!</v>
      </c>
      <c r="GQ46" t="e">
        <f>AND('Planilla_General_03-12-2012_9_3'!F733,"AAAAAFfn2cY=")</f>
        <v>#VALUE!</v>
      </c>
      <c r="GR46" t="e">
        <f>AND('Planilla_General_03-12-2012_9_3'!G733,"AAAAAFfn2cc=")</f>
        <v>#VALUE!</v>
      </c>
      <c r="GS46" t="e">
        <f>AND('Planilla_General_03-12-2012_9_3'!H733,"AAAAAFfn2cg=")</f>
        <v>#VALUE!</v>
      </c>
      <c r="GT46" t="e">
        <f>AND('Planilla_General_03-12-2012_9_3'!I733,"AAAAAFfn2ck=")</f>
        <v>#VALUE!</v>
      </c>
      <c r="GU46" t="e">
        <f>AND('Planilla_General_03-12-2012_9_3'!J733,"AAAAAFfn2co=")</f>
        <v>#VALUE!</v>
      </c>
      <c r="GV46" t="e">
        <f>AND('Planilla_General_03-12-2012_9_3'!K733,"AAAAAFfn2cs=")</f>
        <v>#VALUE!</v>
      </c>
      <c r="GW46" t="e">
        <f>AND('Planilla_General_03-12-2012_9_3'!L733,"AAAAAFfn2cw=")</f>
        <v>#VALUE!</v>
      </c>
      <c r="GX46" t="e">
        <f>AND('Planilla_General_03-12-2012_9_3'!M733,"AAAAAFfn2c0=")</f>
        <v>#VALUE!</v>
      </c>
      <c r="GY46" t="e">
        <f>AND('Planilla_General_03-12-2012_9_3'!N733,"AAAAAFfn2c4=")</f>
        <v>#VALUE!</v>
      </c>
      <c r="GZ46" t="e">
        <f>AND('Planilla_General_03-12-2012_9_3'!O733,"AAAAAFfn2c8=")</f>
        <v>#VALUE!</v>
      </c>
      <c r="HA46">
        <f>IF('Planilla_General_03-12-2012_9_3'!734:734,"AAAAAFfn2dA=",0)</f>
        <v>0</v>
      </c>
      <c r="HB46" t="e">
        <f>AND('Planilla_General_03-12-2012_9_3'!A734,"AAAAAFfn2dE=")</f>
        <v>#VALUE!</v>
      </c>
      <c r="HC46" t="e">
        <f>AND('Planilla_General_03-12-2012_9_3'!B734,"AAAAAFfn2dI=")</f>
        <v>#VALUE!</v>
      </c>
      <c r="HD46" t="e">
        <f>AND('Planilla_General_03-12-2012_9_3'!C734,"AAAAAFfn2dM=")</f>
        <v>#VALUE!</v>
      </c>
      <c r="HE46" t="e">
        <f>AND('Planilla_General_03-12-2012_9_3'!D734,"AAAAAFfn2dQ=")</f>
        <v>#VALUE!</v>
      </c>
      <c r="HF46" t="e">
        <f>AND('Planilla_General_03-12-2012_9_3'!E734,"AAAAAFfn2dU=")</f>
        <v>#VALUE!</v>
      </c>
      <c r="HG46" t="e">
        <f>AND('Planilla_General_03-12-2012_9_3'!F734,"AAAAAFfn2dY=")</f>
        <v>#VALUE!</v>
      </c>
      <c r="HH46" t="e">
        <f>AND('Planilla_General_03-12-2012_9_3'!G734,"AAAAAFfn2dc=")</f>
        <v>#VALUE!</v>
      </c>
      <c r="HI46" t="e">
        <f>AND('Planilla_General_03-12-2012_9_3'!H734,"AAAAAFfn2dg=")</f>
        <v>#VALUE!</v>
      </c>
      <c r="HJ46" t="e">
        <f>AND('Planilla_General_03-12-2012_9_3'!I734,"AAAAAFfn2dk=")</f>
        <v>#VALUE!</v>
      </c>
      <c r="HK46" t="e">
        <f>AND('Planilla_General_03-12-2012_9_3'!J734,"AAAAAFfn2do=")</f>
        <v>#VALUE!</v>
      </c>
      <c r="HL46" t="e">
        <f>AND('Planilla_General_03-12-2012_9_3'!K734,"AAAAAFfn2ds=")</f>
        <v>#VALUE!</v>
      </c>
      <c r="HM46" t="e">
        <f>AND('Planilla_General_03-12-2012_9_3'!L734,"AAAAAFfn2dw=")</f>
        <v>#VALUE!</v>
      </c>
      <c r="HN46" t="e">
        <f>AND('Planilla_General_03-12-2012_9_3'!M734,"AAAAAFfn2d0=")</f>
        <v>#VALUE!</v>
      </c>
      <c r="HO46" t="e">
        <f>AND('Planilla_General_03-12-2012_9_3'!N734,"AAAAAFfn2d4=")</f>
        <v>#VALUE!</v>
      </c>
      <c r="HP46" t="e">
        <f>AND('Planilla_General_03-12-2012_9_3'!O734,"AAAAAFfn2d8=")</f>
        <v>#VALUE!</v>
      </c>
      <c r="HQ46">
        <f>IF('Planilla_General_03-12-2012_9_3'!735:735,"AAAAAFfn2eA=",0)</f>
        <v>0</v>
      </c>
      <c r="HR46" t="e">
        <f>AND('Planilla_General_03-12-2012_9_3'!A735,"AAAAAFfn2eE=")</f>
        <v>#VALUE!</v>
      </c>
      <c r="HS46" t="e">
        <f>AND('Planilla_General_03-12-2012_9_3'!B735,"AAAAAFfn2eI=")</f>
        <v>#VALUE!</v>
      </c>
      <c r="HT46" t="e">
        <f>AND('Planilla_General_03-12-2012_9_3'!C735,"AAAAAFfn2eM=")</f>
        <v>#VALUE!</v>
      </c>
      <c r="HU46" t="e">
        <f>AND('Planilla_General_03-12-2012_9_3'!D735,"AAAAAFfn2eQ=")</f>
        <v>#VALUE!</v>
      </c>
      <c r="HV46" t="e">
        <f>AND('Planilla_General_03-12-2012_9_3'!E735,"AAAAAFfn2eU=")</f>
        <v>#VALUE!</v>
      </c>
      <c r="HW46" t="e">
        <f>AND('Planilla_General_03-12-2012_9_3'!F735,"AAAAAFfn2eY=")</f>
        <v>#VALUE!</v>
      </c>
      <c r="HX46" t="e">
        <f>AND('Planilla_General_03-12-2012_9_3'!G735,"AAAAAFfn2ec=")</f>
        <v>#VALUE!</v>
      </c>
      <c r="HY46" t="e">
        <f>AND('Planilla_General_03-12-2012_9_3'!H735,"AAAAAFfn2eg=")</f>
        <v>#VALUE!</v>
      </c>
      <c r="HZ46" t="e">
        <f>AND('Planilla_General_03-12-2012_9_3'!I735,"AAAAAFfn2ek=")</f>
        <v>#VALUE!</v>
      </c>
      <c r="IA46" t="e">
        <f>AND('Planilla_General_03-12-2012_9_3'!J735,"AAAAAFfn2eo=")</f>
        <v>#VALUE!</v>
      </c>
      <c r="IB46" t="e">
        <f>AND('Planilla_General_03-12-2012_9_3'!K735,"AAAAAFfn2es=")</f>
        <v>#VALUE!</v>
      </c>
      <c r="IC46" t="e">
        <f>AND('Planilla_General_03-12-2012_9_3'!L735,"AAAAAFfn2ew=")</f>
        <v>#VALUE!</v>
      </c>
      <c r="ID46" t="e">
        <f>AND('Planilla_General_03-12-2012_9_3'!M735,"AAAAAFfn2e0=")</f>
        <v>#VALUE!</v>
      </c>
      <c r="IE46" t="e">
        <f>AND('Planilla_General_03-12-2012_9_3'!N735,"AAAAAFfn2e4=")</f>
        <v>#VALUE!</v>
      </c>
      <c r="IF46" t="e">
        <f>AND('Planilla_General_03-12-2012_9_3'!O735,"AAAAAFfn2e8=")</f>
        <v>#VALUE!</v>
      </c>
      <c r="IG46">
        <f>IF('Planilla_General_03-12-2012_9_3'!736:736,"AAAAAFfn2fA=",0)</f>
        <v>0</v>
      </c>
      <c r="IH46" t="e">
        <f>AND('Planilla_General_03-12-2012_9_3'!A736,"AAAAAFfn2fE=")</f>
        <v>#VALUE!</v>
      </c>
      <c r="II46" t="e">
        <f>AND('Planilla_General_03-12-2012_9_3'!B736,"AAAAAFfn2fI=")</f>
        <v>#VALUE!</v>
      </c>
      <c r="IJ46" t="e">
        <f>AND('Planilla_General_03-12-2012_9_3'!C736,"AAAAAFfn2fM=")</f>
        <v>#VALUE!</v>
      </c>
      <c r="IK46" t="e">
        <f>AND('Planilla_General_03-12-2012_9_3'!D736,"AAAAAFfn2fQ=")</f>
        <v>#VALUE!</v>
      </c>
      <c r="IL46" t="e">
        <f>AND('Planilla_General_03-12-2012_9_3'!E736,"AAAAAFfn2fU=")</f>
        <v>#VALUE!</v>
      </c>
      <c r="IM46" t="e">
        <f>AND('Planilla_General_03-12-2012_9_3'!F736,"AAAAAFfn2fY=")</f>
        <v>#VALUE!</v>
      </c>
      <c r="IN46" t="e">
        <f>AND('Planilla_General_03-12-2012_9_3'!G736,"AAAAAFfn2fc=")</f>
        <v>#VALUE!</v>
      </c>
      <c r="IO46" t="e">
        <f>AND('Planilla_General_03-12-2012_9_3'!H736,"AAAAAFfn2fg=")</f>
        <v>#VALUE!</v>
      </c>
      <c r="IP46" t="e">
        <f>AND('Planilla_General_03-12-2012_9_3'!I736,"AAAAAFfn2fk=")</f>
        <v>#VALUE!</v>
      </c>
      <c r="IQ46" t="e">
        <f>AND('Planilla_General_03-12-2012_9_3'!J736,"AAAAAFfn2fo=")</f>
        <v>#VALUE!</v>
      </c>
      <c r="IR46" t="e">
        <f>AND('Planilla_General_03-12-2012_9_3'!K736,"AAAAAFfn2fs=")</f>
        <v>#VALUE!</v>
      </c>
      <c r="IS46" t="e">
        <f>AND('Planilla_General_03-12-2012_9_3'!L736,"AAAAAFfn2fw=")</f>
        <v>#VALUE!</v>
      </c>
      <c r="IT46" t="e">
        <f>AND('Planilla_General_03-12-2012_9_3'!M736,"AAAAAFfn2f0=")</f>
        <v>#VALUE!</v>
      </c>
      <c r="IU46" t="e">
        <f>AND('Planilla_General_03-12-2012_9_3'!N736,"AAAAAFfn2f4=")</f>
        <v>#VALUE!</v>
      </c>
      <c r="IV46" t="e">
        <f>AND('Planilla_General_03-12-2012_9_3'!O736,"AAAAAFfn2f8=")</f>
        <v>#VALUE!</v>
      </c>
    </row>
    <row r="47" spans="1:256" x14ac:dyDescent="0.25">
      <c r="A47" t="e">
        <f>IF('Planilla_General_03-12-2012_9_3'!737:737,"AAAAAGG+xwA=",0)</f>
        <v>#VALUE!</v>
      </c>
      <c r="B47" t="e">
        <f>AND('Planilla_General_03-12-2012_9_3'!A737,"AAAAAGG+xwE=")</f>
        <v>#VALUE!</v>
      </c>
      <c r="C47" t="e">
        <f>AND('Planilla_General_03-12-2012_9_3'!B737,"AAAAAGG+xwI=")</f>
        <v>#VALUE!</v>
      </c>
      <c r="D47" t="e">
        <f>AND('Planilla_General_03-12-2012_9_3'!C737,"AAAAAGG+xwM=")</f>
        <v>#VALUE!</v>
      </c>
      <c r="E47" t="e">
        <f>AND('Planilla_General_03-12-2012_9_3'!D737,"AAAAAGG+xwQ=")</f>
        <v>#VALUE!</v>
      </c>
      <c r="F47" t="e">
        <f>AND('Planilla_General_03-12-2012_9_3'!E737,"AAAAAGG+xwU=")</f>
        <v>#VALUE!</v>
      </c>
      <c r="G47" t="e">
        <f>AND('Planilla_General_03-12-2012_9_3'!F737,"AAAAAGG+xwY=")</f>
        <v>#VALUE!</v>
      </c>
      <c r="H47" t="e">
        <f>AND('Planilla_General_03-12-2012_9_3'!G737,"AAAAAGG+xwc=")</f>
        <v>#VALUE!</v>
      </c>
      <c r="I47" t="e">
        <f>AND('Planilla_General_03-12-2012_9_3'!H737,"AAAAAGG+xwg=")</f>
        <v>#VALUE!</v>
      </c>
      <c r="J47" t="e">
        <f>AND('Planilla_General_03-12-2012_9_3'!I737,"AAAAAGG+xwk=")</f>
        <v>#VALUE!</v>
      </c>
      <c r="K47" t="e">
        <f>AND('Planilla_General_03-12-2012_9_3'!J737,"AAAAAGG+xwo=")</f>
        <v>#VALUE!</v>
      </c>
      <c r="L47" t="e">
        <f>AND('Planilla_General_03-12-2012_9_3'!K737,"AAAAAGG+xws=")</f>
        <v>#VALUE!</v>
      </c>
      <c r="M47" t="e">
        <f>AND('Planilla_General_03-12-2012_9_3'!L737,"AAAAAGG+xww=")</f>
        <v>#VALUE!</v>
      </c>
      <c r="N47" t="e">
        <f>AND('Planilla_General_03-12-2012_9_3'!M737,"AAAAAGG+xw0=")</f>
        <v>#VALUE!</v>
      </c>
      <c r="O47" t="e">
        <f>AND('Planilla_General_03-12-2012_9_3'!N737,"AAAAAGG+xw4=")</f>
        <v>#VALUE!</v>
      </c>
      <c r="P47" t="e">
        <f>AND('Planilla_General_03-12-2012_9_3'!O737,"AAAAAGG+xw8=")</f>
        <v>#VALUE!</v>
      </c>
      <c r="Q47">
        <f>IF('Planilla_General_03-12-2012_9_3'!738:738,"AAAAAGG+xxA=",0)</f>
        <v>0</v>
      </c>
      <c r="R47" t="e">
        <f>AND('Planilla_General_03-12-2012_9_3'!A738,"AAAAAGG+xxE=")</f>
        <v>#VALUE!</v>
      </c>
      <c r="S47" t="e">
        <f>AND('Planilla_General_03-12-2012_9_3'!B738,"AAAAAGG+xxI=")</f>
        <v>#VALUE!</v>
      </c>
      <c r="T47" t="e">
        <f>AND('Planilla_General_03-12-2012_9_3'!C738,"AAAAAGG+xxM=")</f>
        <v>#VALUE!</v>
      </c>
      <c r="U47" t="e">
        <f>AND('Planilla_General_03-12-2012_9_3'!D738,"AAAAAGG+xxQ=")</f>
        <v>#VALUE!</v>
      </c>
      <c r="V47" t="e">
        <f>AND('Planilla_General_03-12-2012_9_3'!E738,"AAAAAGG+xxU=")</f>
        <v>#VALUE!</v>
      </c>
      <c r="W47" t="e">
        <f>AND('Planilla_General_03-12-2012_9_3'!F738,"AAAAAGG+xxY=")</f>
        <v>#VALUE!</v>
      </c>
      <c r="X47" t="e">
        <f>AND('Planilla_General_03-12-2012_9_3'!G738,"AAAAAGG+xxc=")</f>
        <v>#VALUE!</v>
      </c>
      <c r="Y47" t="e">
        <f>AND('Planilla_General_03-12-2012_9_3'!H738,"AAAAAGG+xxg=")</f>
        <v>#VALUE!</v>
      </c>
      <c r="Z47" t="e">
        <f>AND('Planilla_General_03-12-2012_9_3'!I738,"AAAAAGG+xxk=")</f>
        <v>#VALUE!</v>
      </c>
      <c r="AA47" t="e">
        <f>AND('Planilla_General_03-12-2012_9_3'!J738,"AAAAAGG+xxo=")</f>
        <v>#VALUE!</v>
      </c>
      <c r="AB47" t="e">
        <f>AND('Planilla_General_03-12-2012_9_3'!K738,"AAAAAGG+xxs=")</f>
        <v>#VALUE!</v>
      </c>
      <c r="AC47" t="e">
        <f>AND('Planilla_General_03-12-2012_9_3'!L738,"AAAAAGG+xxw=")</f>
        <v>#VALUE!</v>
      </c>
      <c r="AD47" t="e">
        <f>AND('Planilla_General_03-12-2012_9_3'!M738,"AAAAAGG+xx0=")</f>
        <v>#VALUE!</v>
      </c>
      <c r="AE47" t="e">
        <f>AND('Planilla_General_03-12-2012_9_3'!N738,"AAAAAGG+xx4=")</f>
        <v>#VALUE!</v>
      </c>
      <c r="AF47" t="e">
        <f>AND('Planilla_General_03-12-2012_9_3'!O738,"AAAAAGG+xx8=")</f>
        <v>#VALUE!</v>
      </c>
      <c r="AG47">
        <f>IF('Planilla_General_03-12-2012_9_3'!739:739,"AAAAAGG+xyA=",0)</f>
        <v>0</v>
      </c>
      <c r="AH47" t="e">
        <f>AND('Planilla_General_03-12-2012_9_3'!A739,"AAAAAGG+xyE=")</f>
        <v>#VALUE!</v>
      </c>
      <c r="AI47" t="e">
        <f>AND('Planilla_General_03-12-2012_9_3'!B739,"AAAAAGG+xyI=")</f>
        <v>#VALUE!</v>
      </c>
      <c r="AJ47" t="e">
        <f>AND('Planilla_General_03-12-2012_9_3'!C739,"AAAAAGG+xyM=")</f>
        <v>#VALUE!</v>
      </c>
      <c r="AK47" t="e">
        <f>AND('Planilla_General_03-12-2012_9_3'!D739,"AAAAAGG+xyQ=")</f>
        <v>#VALUE!</v>
      </c>
      <c r="AL47" t="e">
        <f>AND('Planilla_General_03-12-2012_9_3'!E739,"AAAAAGG+xyU=")</f>
        <v>#VALUE!</v>
      </c>
      <c r="AM47" t="e">
        <f>AND('Planilla_General_03-12-2012_9_3'!F739,"AAAAAGG+xyY=")</f>
        <v>#VALUE!</v>
      </c>
      <c r="AN47" t="e">
        <f>AND('Planilla_General_03-12-2012_9_3'!G739,"AAAAAGG+xyc=")</f>
        <v>#VALUE!</v>
      </c>
      <c r="AO47" t="e">
        <f>AND('Planilla_General_03-12-2012_9_3'!H739,"AAAAAGG+xyg=")</f>
        <v>#VALUE!</v>
      </c>
      <c r="AP47" t="e">
        <f>AND('Planilla_General_03-12-2012_9_3'!I739,"AAAAAGG+xyk=")</f>
        <v>#VALUE!</v>
      </c>
      <c r="AQ47" t="e">
        <f>AND('Planilla_General_03-12-2012_9_3'!J739,"AAAAAGG+xyo=")</f>
        <v>#VALUE!</v>
      </c>
      <c r="AR47" t="e">
        <f>AND('Planilla_General_03-12-2012_9_3'!K739,"AAAAAGG+xys=")</f>
        <v>#VALUE!</v>
      </c>
      <c r="AS47" t="e">
        <f>AND('Planilla_General_03-12-2012_9_3'!L739,"AAAAAGG+xyw=")</f>
        <v>#VALUE!</v>
      </c>
      <c r="AT47" t="e">
        <f>AND('Planilla_General_03-12-2012_9_3'!M739,"AAAAAGG+xy0=")</f>
        <v>#VALUE!</v>
      </c>
      <c r="AU47" t="e">
        <f>AND('Planilla_General_03-12-2012_9_3'!N739,"AAAAAGG+xy4=")</f>
        <v>#VALUE!</v>
      </c>
      <c r="AV47" t="e">
        <f>AND('Planilla_General_03-12-2012_9_3'!O739,"AAAAAGG+xy8=")</f>
        <v>#VALUE!</v>
      </c>
      <c r="AW47">
        <f>IF('Planilla_General_03-12-2012_9_3'!740:740,"AAAAAGG+xzA=",0)</f>
        <v>0</v>
      </c>
      <c r="AX47" t="e">
        <f>AND('Planilla_General_03-12-2012_9_3'!A740,"AAAAAGG+xzE=")</f>
        <v>#VALUE!</v>
      </c>
      <c r="AY47" t="e">
        <f>AND('Planilla_General_03-12-2012_9_3'!B740,"AAAAAGG+xzI=")</f>
        <v>#VALUE!</v>
      </c>
      <c r="AZ47" t="e">
        <f>AND('Planilla_General_03-12-2012_9_3'!C740,"AAAAAGG+xzM=")</f>
        <v>#VALUE!</v>
      </c>
      <c r="BA47" t="e">
        <f>AND('Planilla_General_03-12-2012_9_3'!D740,"AAAAAGG+xzQ=")</f>
        <v>#VALUE!</v>
      </c>
      <c r="BB47" t="e">
        <f>AND('Planilla_General_03-12-2012_9_3'!E740,"AAAAAGG+xzU=")</f>
        <v>#VALUE!</v>
      </c>
      <c r="BC47" t="e">
        <f>AND('Planilla_General_03-12-2012_9_3'!F740,"AAAAAGG+xzY=")</f>
        <v>#VALUE!</v>
      </c>
      <c r="BD47" t="e">
        <f>AND('Planilla_General_03-12-2012_9_3'!G740,"AAAAAGG+xzc=")</f>
        <v>#VALUE!</v>
      </c>
      <c r="BE47" t="e">
        <f>AND('Planilla_General_03-12-2012_9_3'!H740,"AAAAAGG+xzg=")</f>
        <v>#VALUE!</v>
      </c>
      <c r="BF47" t="e">
        <f>AND('Planilla_General_03-12-2012_9_3'!I740,"AAAAAGG+xzk=")</f>
        <v>#VALUE!</v>
      </c>
      <c r="BG47" t="e">
        <f>AND('Planilla_General_03-12-2012_9_3'!J740,"AAAAAGG+xzo=")</f>
        <v>#VALUE!</v>
      </c>
      <c r="BH47" t="e">
        <f>AND('Planilla_General_03-12-2012_9_3'!K740,"AAAAAGG+xzs=")</f>
        <v>#VALUE!</v>
      </c>
      <c r="BI47" t="e">
        <f>AND('Planilla_General_03-12-2012_9_3'!L740,"AAAAAGG+xzw=")</f>
        <v>#VALUE!</v>
      </c>
      <c r="BJ47" t="e">
        <f>AND('Planilla_General_03-12-2012_9_3'!M740,"AAAAAGG+xz0=")</f>
        <v>#VALUE!</v>
      </c>
      <c r="BK47" t="e">
        <f>AND('Planilla_General_03-12-2012_9_3'!N740,"AAAAAGG+xz4=")</f>
        <v>#VALUE!</v>
      </c>
      <c r="BL47" t="e">
        <f>AND('Planilla_General_03-12-2012_9_3'!O740,"AAAAAGG+xz8=")</f>
        <v>#VALUE!</v>
      </c>
      <c r="BM47">
        <f>IF('Planilla_General_03-12-2012_9_3'!741:741,"AAAAAGG+x0A=",0)</f>
        <v>0</v>
      </c>
      <c r="BN47" t="e">
        <f>AND('Planilla_General_03-12-2012_9_3'!A741,"AAAAAGG+x0E=")</f>
        <v>#VALUE!</v>
      </c>
      <c r="BO47" t="e">
        <f>AND('Planilla_General_03-12-2012_9_3'!B741,"AAAAAGG+x0I=")</f>
        <v>#VALUE!</v>
      </c>
      <c r="BP47" t="e">
        <f>AND('Planilla_General_03-12-2012_9_3'!C741,"AAAAAGG+x0M=")</f>
        <v>#VALUE!</v>
      </c>
      <c r="BQ47" t="e">
        <f>AND('Planilla_General_03-12-2012_9_3'!D741,"AAAAAGG+x0Q=")</f>
        <v>#VALUE!</v>
      </c>
      <c r="BR47" t="e">
        <f>AND('Planilla_General_03-12-2012_9_3'!E741,"AAAAAGG+x0U=")</f>
        <v>#VALUE!</v>
      </c>
      <c r="BS47" t="e">
        <f>AND('Planilla_General_03-12-2012_9_3'!F741,"AAAAAGG+x0Y=")</f>
        <v>#VALUE!</v>
      </c>
      <c r="BT47" t="e">
        <f>AND('Planilla_General_03-12-2012_9_3'!G741,"AAAAAGG+x0c=")</f>
        <v>#VALUE!</v>
      </c>
      <c r="BU47" t="e">
        <f>AND('Planilla_General_03-12-2012_9_3'!H741,"AAAAAGG+x0g=")</f>
        <v>#VALUE!</v>
      </c>
      <c r="BV47" t="e">
        <f>AND('Planilla_General_03-12-2012_9_3'!I741,"AAAAAGG+x0k=")</f>
        <v>#VALUE!</v>
      </c>
      <c r="BW47" t="e">
        <f>AND('Planilla_General_03-12-2012_9_3'!J741,"AAAAAGG+x0o=")</f>
        <v>#VALUE!</v>
      </c>
      <c r="BX47" t="e">
        <f>AND('Planilla_General_03-12-2012_9_3'!K741,"AAAAAGG+x0s=")</f>
        <v>#VALUE!</v>
      </c>
      <c r="BY47" t="e">
        <f>AND('Planilla_General_03-12-2012_9_3'!L741,"AAAAAGG+x0w=")</f>
        <v>#VALUE!</v>
      </c>
      <c r="BZ47" t="e">
        <f>AND('Planilla_General_03-12-2012_9_3'!M741,"AAAAAGG+x00=")</f>
        <v>#VALUE!</v>
      </c>
      <c r="CA47" t="e">
        <f>AND('Planilla_General_03-12-2012_9_3'!N741,"AAAAAGG+x04=")</f>
        <v>#VALUE!</v>
      </c>
      <c r="CB47" t="e">
        <f>AND('Planilla_General_03-12-2012_9_3'!O741,"AAAAAGG+x08=")</f>
        <v>#VALUE!</v>
      </c>
      <c r="CC47">
        <f>IF('Planilla_General_03-12-2012_9_3'!742:742,"AAAAAGG+x1A=",0)</f>
        <v>0</v>
      </c>
      <c r="CD47" t="e">
        <f>AND('Planilla_General_03-12-2012_9_3'!A742,"AAAAAGG+x1E=")</f>
        <v>#VALUE!</v>
      </c>
      <c r="CE47" t="e">
        <f>AND('Planilla_General_03-12-2012_9_3'!B742,"AAAAAGG+x1I=")</f>
        <v>#VALUE!</v>
      </c>
      <c r="CF47" t="e">
        <f>AND('Planilla_General_03-12-2012_9_3'!C742,"AAAAAGG+x1M=")</f>
        <v>#VALUE!</v>
      </c>
      <c r="CG47" t="e">
        <f>AND('Planilla_General_03-12-2012_9_3'!D742,"AAAAAGG+x1Q=")</f>
        <v>#VALUE!</v>
      </c>
      <c r="CH47" t="e">
        <f>AND('Planilla_General_03-12-2012_9_3'!E742,"AAAAAGG+x1U=")</f>
        <v>#VALUE!</v>
      </c>
      <c r="CI47" t="e">
        <f>AND('Planilla_General_03-12-2012_9_3'!F742,"AAAAAGG+x1Y=")</f>
        <v>#VALUE!</v>
      </c>
      <c r="CJ47" t="e">
        <f>AND('Planilla_General_03-12-2012_9_3'!G742,"AAAAAGG+x1c=")</f>
        <v>#VALUE!</v>
      </c>
      <c r="CK47" t="e">
        <f>AND('Planilla_General_03-12-2012_9_3'!H742,"AAAAAGG+x1g=")</f>
        <v>#VALUE!</v>
      </c>
      <c r="CL47" t="e">
        <f>AND('Planilla_General_03-12-2012_9_3'!I742,"AAAAAGG+x1k=")</f>
        <v>#VALUE!</v>
      </c>
      <c r="CM47" t="e">
        <f>AND('Planilla_General_03-12-2012_9_3'!J742,"AAAAAGG+x1o=")</f>
        <v>#VALUE!</v>
      </c>
      <c r="CN47" t="e">
        <f>AND('Planilla_General_03-12-2012_9_3'!K742,"AAAAAGG+x1s=")</f>
        <v>#VALUE!</v>
      </c>
      <c r="CO47" t="e">
        <f>AND('Planilla_General_03-12-2012_9_3'!L742,"AAAAAGG+x1w=")</f>
        <v>#VALUE!</v>
      </c>
      <c r="CP47" t="e">
        <f>AND('Planilla_General_03-12-2012_9_3'!M742,"AAAAAGG+x10=")</f>
        <v>#VALUE!</v>
      </c>
      <c r="CQ47" t="e">
        <f>AND('Planilla_General_03-12-2012_9_3'!N742,"AAAAAGG+x14=")</f>
        <v>#VALUE!</v>
      </c>
      <c r="CR47" t="e">
        <f>AND('Planilla_General_03-12-2012_9_3'!O742,"AAAAAGG+x18=")</f>
        <v>#VALUE!</v>
      </c>
      <c r="CS47">
        <f>IF('Planilla_General_03-12-2012_9_3'!743:743,"AAAAAGG+x2A=",0)</f>
        <v>0</v>
      </c>
      <c r="CT47" t="e">
        <f>AND('Planilla_General_03-12-2012_9_3'!A743,"AAAAAGG+x2E=")</f>
        <v>#VALUE!</v>
      </c>
      <c r="CU47" t="e">
        <f>AND('Planilla_General_03-12-2012_9_3'!B743,"AAAAAGG+x2I=")</f>
        <v>#VALUE!</v>
      </c>
      <c r="CV47" t="e">
        <f>AND('Planilla_General_03-12-2012_9_3'!C743,"AAAAAGG+x2M=")</f>
        <v>#VALUE!</v>
      </c>
      <c r="CW47" t="e">
        <f>AND('Planilla_General_03-12-2012_9_3'!D743,"AAAAAGG+x2Q=")</f>
        <v>#VALUE!</v>
      </c>
      <c r="CX47" t="e">
        <f>AND('Planilla_General_03-12-2012_9_3'!E743,"AAAAAGG+x2U=")</f>
        <v>#VALUE!</v>
      </c>
      <c r="CY47" t="e">
        <f>AND('Planilla_General_03-12-2012_9_3'!F743,"AAAAAGG+x2Y=")</f>
        <v>#VALUE!</v>
      </c>
      <c r="CZ47" t="e">
        <f>AND('Planilla_General_03-12-2012_9_3'!G743,"AAAAAGG+x2c=")</f>
        <v>#VALUE!</v>
      </c>
      <c r="DA47" t="e">
        <f>AND('Planilla_General_03-12-2012_9_3'!H743,"AAAAAGG+x2g=")</f>
        <v>#VALUE!</v>
      </c>
      <c r="DB47" t="e">
        <f>AND('Planilla_General_03-12-2012_9_3'!I743,"AAAAAGG+x2k=")</f>
        <v>#VALUE!</v>
      </c>
      <c r="DC47" t="e">
        <f>AND('Planilla_General_03-12-2012_9_3'!J743,"AAAAAGG+x2o=")</f>
        <v>#VALUE!</v>
      </c>
      <c r="DD47" t="e">
        <f>AND('Planilla_General_03-12-2012_9_3'!K743,"AAAAAGG+x2s=")</f>
        <v>#VALUE!</v>
      </c>
      <c r="DE47" t="e">
        <f>AND('Planilla_General_03-12-2012_9_3'!L743,"AAAAAGG+x2w=")</f>
        <v>#VALUE!</v>
      </c>
      <c r="DF47" t="e">
        <f>AND('Planilla_General_03-12-2012_9_3'!M743,"AAAAAGG+x20=")</f>
        <v>#VALUE!</v>
      </c>
      <c r="DG47" t="e">
        <f>AND('Planilla_General_03-12-2012_9_3'!N743,"AAAAAGG+x24=")</f>
        <v>#VALUE!</v>
      </c>
      <c r="DH47" t="e">
        <f>AND('Planilla_General_03-12-2012_9_3'!O743,"AAAAAGG+x28=")</f>
        <v>#VALUE!</v>
      </c>
      <c r="DI47">
        <f>IF('Planilla_General_03-12-2012_9_3'!744:744,"AAAAAGG+x3A=",0)</f>
        <v>0</v>
      </c>
      <c r="DJ47" t="e">
        <f>AND('Planilla_General_03-12-2012_9_3'!A744,"AAAAAGG+x3E=")</f>
        <v>#VALUE!</v>
      </c>
      <c r="DK47" t="e">
        <f>AND('Planilla_General_03-12-2012_9_3'!B744,"AAAAAGG+x3I=")</f>
        <v>#VALUE!</v>
      </c>
      <c r="DL47" t="e">
        <f>AND('Planilla_General_03-12-2012_9_3'!C744,"AAAAAGG+x3M=")</f>
        <v>#VALUE!</v>
      </c>
      <c r="DM47" t="e">
        <f>AND('Planilla_General_03-12-2012_9_3'!D744,"AAAAAGG+x3Q=")</f>
        <v>#VALUE!</v>
      </c>
      <c r="DN47" t="e">
        <f>AND('Planilla_General_03-12-2012_9_3'!E744,"AAAAAGG+x3U=")</f>
        <v>#VALUE!</v>
      </c>
      <c r="DO47" t="e">
        <f>AND('Planilla_General_03-12-2012_9_3'!F744,"AAAAAGG+x3Y=")</f>
        <v>#VALUE!</v>
      </c>
      <c r="DP47" t="e">
        <f>AND('Planilla_General_03-12-2012_9_3'!G744,"AAAAAGG+x3c=")</f>
        <v>#VALUE!</v>
      </c>
      <c r="DQ47" t="e">
        <f>AND('Planilla_General_03-12-2012_9_3'!H744,"AAAAAGG+x3g=")</f>
        <v>#VALUE!</v>
      </c>
      <c r="DR47" t="e">
        <f>AND('Planilla_General_03-12-2012_9_3'!I744,"AAAAAGG+x3k=")</f>
        <v>#VALUE!</v>
      </c>
      <c r="DS47" t="e">
        <f>AND('Planilla_General_03-12-2012_9_3'!J744,"AAAAAGG+x3o=")</f>
        <v>#VALUE!</v>
      </c>
      <c r="DT47" t="e">
        <f>AND('Planilla_General_03-12-2012_9_3'!K744,"AAAAAGG+x3s=")</f>
        <v>#VALUE!</v>
      </c>
      <c r="DU47" t="e">
        <f>AND('Planilla_General_03-12-2012_9_3'!L744,"AAAAAGG+x3w=")</f>
        <v>#VALUE!</v>
      </c>
      <c r="DV47" t="e">
        <f>AND('Planilla_General_03-12-2012_9_3'!M744,"AAAAAGG+x30=")</f>
        <v>#VALUE!</v>
      </c>
      <c r="DW47" t="e">
        <f>AND('Planilla_General_03-12-2012_9_3'!N744,"AAAAAGG+x34=")</f>
        <v>#VALUE!</v>
      </c>
      <c r="DX47" t="e">
        <f>AND('Planilla_General_03-12-2012_9_3'!O744,"AAAAAGG+x38=")</f>
        <v>#VALUE!</v>
      </c>
      <c r="DY47">
        <f>IF('Planilla_General_03-12-2012_9_3'!745:745,"AAAAAGG+x4A=",0)</f>
        <v>0</v>
      </c>
      <c r="DZ47" t="e">
        <f>AND('Planilla_General_03-12-2012_9_3'!A745,"AAAAAGG+x4E=")</f>
        <v>#VALUE!</v>
      </c>
      <c r="EA47" t="e">
        <f>AND('Planilla_General_03-12-2012_9_3'!B745,"AAAAAGG+x4I=")</f>
        <v>#VALUE!</v>
      </c>
      <c r="EB47" t="e">
        <f>AND('Planilla_General_03-12-2012_9_3'!C745,"AAAAAGG+x4M=")</f>
        <v>#VALUE!</v>
      </c>
      <c r="EC47" t="e">
        <f>AND('Planilla_General_03-12-2012_9_3'!D745,"AAAAAGG+x4Q=")</f>
        <v>#VALUE!</v>
      </c>
      <c r="ED47" t="e">
        <f>AND('Planilla_General_03-12-2012_9_3'!E745,"AAAAAGG+x4U=")</f>
        <v>#VALUE!</v>
      </c>
      <c r="EE47" t="e">
        <f>AND('Planilla_General_03-12-2012_9_3'!F745,"AAAAAGG+x4Y=")</f>
        <v>#VALUE!</v>
      </c>
      <c r="EF47" t="e">
        <f>AND('Planilla_General_03-12-2012_9_3'!G745,"AAAAAGG+x4c=")</f>
        <v>#VALUE!</v>
      </c>
      <c r="EG47" t="e">
        <f>AND('Planilla_General_03-12-2012_9_3'!H745,"AAAAAGG+x4g=")</f>
        <v>#VALUE!</v>
      </c>
      <c r="EH47" t="e">
        <f>AND('Planilla_General_03-12-2012_9_3'!I745,"AAAAAGG+x4k=")</f>
        <v>#VALUE!</v>
      </c>
      <c r="EI47" t="e">
        <f>AND('Planilla_General_03-12-2012_9_3'!J745,"AAAAAGG+x4o=")</f>
        <v>#VALUE!</v>
      </c>
      <c r="EJ47" t="e">
        <f>AND('Planilla_General_03-12-2012_9_3'!K745,"AAAAAGG+x4s=")</f>
        <v>#VALUE!</v>
      </c>
      <c r="EK47" t="e">
        <f>AND('Planilla_General_03-12-2012_9_3'!L745,"AAAAAGG+x4w=")</f>
        <v>#VALUE!</v>
      </c>
      <c r="EL47" t="e">
        <f>AND('Planilla_General_03-12-2012_9_3'!M745,"AAAAAGG+x40=")</f>
        <v>#VALUE!</v>
      </c>
      <c r="EM47" t="e">
        <f>AND('Planilla_General_03-12-2012_9_3'!N745,"AAAAAGG+x44=")</f>
        <v>#VALUE!</v>
      </c>
      <c r="EN47" t="e">
        <f>AND('Planilla_General_03-12-2012_9_3'!O745,"AAAAAGG+x48=")</f>
        <v>#VALUE!</v>
      </c>
      <c r="EO47">
        <f>IF('Planilla_General_03-12-2012_9_3'!746:746,"AAAAAGG+x5A=",0)</f>
        <v>0</v>
      </c>
      <c r="EP47" t="e">
        <f>AND('Planilla_General_03-12-2012_9_3'!A746,"AAAAAGG+x5E=")</f>
        <v>#VALUE!</v>
      </c>
      <c r="EQ47" t="e">
        <f>AND('Planilla_General_03-12-2012_9_3'!B746,"AAAAAGG+x5I=")</f>
        <v>#VALUE!</v>
      </c>
      <c r="ER47" t="e">
        <f>AND('Planilla_General_03-12-2012_9_3'!C746,"AAAAAGG+x5M=")</f>
        <v>#VALUE!</v>
      </c>
      <c r="ES47" t="e">
        <f>AND('Planilla_General_03-12-2012_9_3'!D746,"AAAAAGG+x5Q=")</f>
        <v>#VALUE!</v>
      </c>
      <c r="ET47" t="e">
        <f>AND('Planilla_General_03-12-2012_9_3'!E746,"AAAAAGG+x5U=")</f>
        <v>#VALUE!</v>
      </c>
      <c r="EU47" t="e">
        <f>AND('Planilla_General_03-12-2012_9_3'!F746,"AAAAAGG+x5Y=")</f>
        <v>#VALUE!</v>
      </c>
      <c r="EV47" t="e">
        <f>AND('Planilla_General_03-12-2012_9_3'!G746,"AAAAAGG+x5c=")</f>
        <v>#VALUE!</v>
      </c>
      <c r="EW47" t="e">
        <f>AND('Planilla_General_03-12-2012_9_3'!H746,"AAAAAGG+x5g=")</f>
        <v>#VALUE!</v>
      </c>
      <c r="EX47" t="e">
        <f>AND('Planilla_General_03-12-2012_9_3'!I746,"AAAAAGG+x5k=")</f>
        <v>#VALUE!</v>
      </c>
      <c r="EY47" t="e">
        <f>AND('Planilla_General_03-12-2012_9_3'!J746,"AAAAAGG+x5o=")</f>
        <v>#VALUE!</v>
      </c>
      <c r="EZ47" t="e">
        <f>AND('Planilla_General_03-12-2012_9_3'!K746,"AAAAAGG+x5s=")</f>
        <v>#VALUE!</v>
      </c>
      <c r="FA47" t="e">
        <f>AND('Planilla_General_03-12-2012_9_3'!L746,"AAAAAGG+x5w=")</f>
        <v>#VALUE!</v>
      </c>
      <c r="FB47" t="e">
        <f>AND('Planilla_General_03-12-2012_9_3'!M746,"AAAAAGG+x50=")</f>
        <v>#VALUE!</v>
      </c>
      <c r="FC47" t="e">
        <f>AND('Planilla_General_03-12-2012_9_3'!N746,"AAAAAGG+x54=")</f>
        <v>#VALUE!</v>
      </c>
      <c r="FD47" t="e">
        <f>AND('Planilla_General_03-12-2012_9_3'!O746,"AAAAAGG+x58=")</f>
        <v>#VALUE!</v>
      </c>
      <c r="FE47">
        <f>IF('Planilla_General_03-12-2012_9_3'!747:747,"AAAAAGG+x6A=",0)</f>
        <v>0</v>
      </c>
      <c r="FF47" t="e">
        <f>AND('Planilla_General_03-12-2012_9_3'!A747,"AAAAAGG+x6E=")</f>
        <v>#VALUE!</v>
      </c>
      <c r="FG47" t="e">
        <f>AND('Planilla_General_03-12-2012_9_3'!B747,"AAAAAGG+x6I=")</f>
        <v>#VALUE!</v>
      </c>
      <c r="FH47" t="e">
        <f>AND('Planilla_General_03-12-2012_9_3'!C747,"AAAAAGG+x6M=")</f>
        <v>#VALUE!</v>
      </c>
      <c r="FI47" t="e">
        <f>AND('Planilla_General_03-12-2012_9_3'!D747,"AAAAAGG+x6Q=")</f>
        <v>#VALUE!</v>
      </c>
      <c r="FJ47" t="e">
        <f>AND('Planilla_General_03-12-2012_9_3'!E747,"AAAAAGG+x6U=")</f>
        <v>#VALUE!</v>
      </c>
      <c r="FK47" t="e">
        <f>AND('Planilla_General_03-12-2012_9_3'!F747,"AAAAAGG+x6Y=")</f>
        <v>#VALUE!</v>
      </c>
      <c r="FL47" t="e">
        <f>AND('Planilla_General_03-12-2012_9_3'!G747,"AAAAAGG+x6c=")</f>
        <v>#VALUE!</v>
      </c>
      <c r="FM47" t="e">
        <f>AND('Planilla_General_03-12-2012_9_3'!H747,"AAAAAGG+x6g=")</f>
        <v>#VALUE!</v>
      </c>
      <c r="FN47" t="e">
        <f>AND('Planilla_General_03-12-2012_9_3'!I747,"AAAAAGG+x6k=")</f>
        <v>#VALUE!</v>
      </c>
      <c r="FO47" t="e">
        <f>AND('Planilla_General_03-12-2012_9_3'!J747,"AAAAAGG+x6o=")</f>
        <v>#VALUE!</v>
      </c>
      <c r="FP47" t="e">
        <f>AND('Planilla_General_03-12-2012_9_3'!K747,"AAAAAGG+x6s=")</f>
        <v>#VALUE!</v>
      </c>
      <c r="FQ47" t="e">
        <f>AND('Planilla_General_03-12-2012_9_3'!L747,"AAAAAGG+x6w=")</f>
        <v>#VALUE!</v>
      </c>
      <c r="FR47" t="e">
        <f>AND('Planilla_General_03-12-2012_9_3'!M747,"AAAAAGG+x60=")</f>
        <v>#VALUE!</v>
      </c>
      <c r="FS47" t="e">
        <f>AND('Planilla_General_03-12-2012_9_3'!N747,"AAAAAGG+x64=")</f>
        <v>#VALUE!</v>
      </c>
      <c r="FT47" t="e">
        <f>AND('Planilla_General_03-12-2012_9_3'!O747,"AAAAAGG+x68=")</f>
        <v>#VALUE!</v>
      </c>
      <c r="FU47">
        <f>IF('Planilla_General_03-12-2012_9_3'!748:748,"AAAAAGG+x7A=",0)</f>
        <v>0</v>
      </c>
      <c r="FV47" t="e">
        <f>AND('Planilla_General_03-12-2012_9_3'!A748,"AAAAAGG+x7E=")</f>
        <v>#VALUE!</v>
      </c>
      <c r="FW47" t="e">
        <f>AND('Planilla_General_03-12-2012_9_3'!B748,"AAAAAGG+x7I=")</f>
        <v>#VALUE!</v>
      </c>
      <c r="FX47" t="e">
        <f>AND('Planilla_General_03-12-2012_9_3'!C748,"AAAAAGG+x7M=")</f>
        <v>#VALUE!</v>
      </c>
      <c r="FY47" t="e">
        <f>AND('Planilla_General_03-12-2012_9_3'!D748,"AAAAAGG+x7Q=")</f>
        <v>#VALUE!</v>
      </c>
      <c r="FZ47" t="e">
        <f>AND('Planilla_General_03-12-2012_9_3'!E748,"AAAAAGG+x7U=")</f>
        <v>#VALUE!</v>
      </c>
      <c r="GA47" t="e">
        <f>AND('Planilla_General_03-12-2012_9_3'!F748,"AAAAAGG+x7Y=")</f>
        <v>#VALUE!</v>
      </c>
      <c r="GB47" t="e">
        <f>AND('Planilla_General_03-12-2012_9_3'!G748,"AAAAAGG+x7c=")</f>
        <v>#VALUE!</v>
      </c>
      <c r="GC47" t="e">
        <f>AND('Planilla_General_03-12-2012_9_3'!H748,"AAAAAGG+x7g=")</f>
        <v>#VALUE!</v>
      </c>
      <c r="GD47" t="e">
        <f>AND('Planilla_General_03-12-2012_9_3'!I748,"AAAAAGG+x7k=")</f>
        <v>#VALUE!</v>
      </c>
      <c r="GE47" t="e">
        <f>AND('Planilla_General_03-12-2012_9_3'!J748,"AAAAAGG+x7o=")</f>
        <v>#VALUE!</v>
      </c>
      <c r="GF47" t="e">
        <f>AND('Planilla_General_03-12-2012_9_3'!K748,"AAAAAGG+x7s=")</f>
        <v>#VALUE!</v>
      </c>
      <c r="GG47" t="e">
        <f>AND('Planilla_General_03-12-2012_9_3'!L748,"AAAAAGG+x7w=")</f>
        <v>#VALUE!</v>
      </c>
      <c r="GH47" t="e">
        <f>AND('Planilla_General_03-12-2012_9_3'!M748,"AAAAAGG+x70=")</f>
        <v>#VALUE!</v>
      </c>
      <c r="GI47" t="e">
        <f>AND('Planilla_General_03-12-2012_9_3'!N748,"AAAAAGG+x74=")</f>
        <v>#VALUE!</v>
      </c>
      <c r="GJ47" t="e">
        <f>AND('Planilla_General_03-12-2012_9_3'!O748,"AAAAAGG+x78=")</f>
        <v>#VALUE!</v>
      </c>
      <c r="GK47">
        <f>IF('Planilla_General_03-12-2012_9_3'!749:749,"AAAAAGG+x8A=",0)</f>
        <v>0</v>
      </c>
      <c r="GL47" t="e">
        <f>AND('Planilla_General_03-12-2012_9_3'!A749,"AAAAAGG+x8E=")</f>
        <v>#VALUE!</v>
      </c>
      <c r="GM47" t="e">
        <f>AND('Planilla_General_03-12-2012_9_3'!B749,"AAAAAGG+x8I=")</f>
        <v>#VALUE!</v>
      </c>
      <c r="GN47" t="e">
        <f>AND('Planilla_General_03-12-2012_9_3'!C749,"AAAAAGG+x8M=")</f>
        <v>#VALUE!</v>
      </c>
      <c r="GO47" t="e">
        <f>AND('Planilla_General_03-12-2012_9_3'!D749,"AAAAAGG+x8Q=")</f>
        <v>#VALUE!</v>
      </c>
      <c r="GP47" t="e">
        <f>AND('Planilla_General_03-12-2012_9_3'!E749,"AAAAAGG+x8U=")</f>
        <v>#VALUE!</v>
      </c>
      <c r="GQ47" t="e">
        <f>AND('Planilla_General_03-12-2012_9_3'!F749,"AAAAAGG+x8Y=")</f>
        <v>#VALUE!</v>
      </c>
      <c r="GR47" t="e">
        <f>AND('Planilla_General_03-12-2012_9_3'!G749,"AAAAAGG+x8c=")</f>
        <v>#VALUE!</v>
      </c>
      <c r="GS47" t="e">
        <f>AND('Planilla_General_03-12-2012_9_3'!H749,"AAAAAGG+x8g=")</f>
        <v>#VALUE!</v>
      </c>
      <c r="GT47" t="e">
        <f>AND('Planilla_General_03-12-2012_9_3'!I749,"AAAAAGG+x8k=")</f>
        <v>#VALUE!</v>
      </c>
      <c r="GU47" t="e">
        <f>AND('Planilla_General_03-12-2012_9_3'!J749,"AAAAAGG+x8o=")</f>
        <v>#VALUE!</v>
      </c>
      <c r="GV47" t="e">
        <f>AND('Planilla_General_03-12-2012_9_3'!K749,"AAAAAGG+x8s=")</f>
        <v>#VALUE!</v>
      </c>
      <c r="GW47" t="e">
        <f>AND('Planilla_General_03-12-2012_9_3'!L749,"AAAAAGG+x8w=")</f>
        <v>#VALUE!</v>
      </c>
      <c r="GX47" t="e">
        <f>AND('Planilla_General_03-12-2012_9_3'!M749,"AAAAAGG+x80=")</f>
        <v>#VALUE!</v>
      </c>
      <c r="GY47" t="e">
        <f>AND('Planilla_General_03-12-2012_9_3'!N749,"AAAAAGG+x84=")</f>
        <v>#VALUE!</v>
      </c>
      <c r="GZ47" t="e">
        <f>AND('Planilla_General_03-12-2012_9_3'!O749,"AAAAAGG+x88=")</f>
        <v>#VALUE!</v>
      </c>
      <c r="HA47">
        <f>IF('Planilla_General_03-12-2012_9_3'!750:750,"AAAAAGG+x9A=",0)</f>
        <v>0</v>
      </c>
      <c r="HB47" t="e">
        <f>AND('Planilla_General_03-12-2012_9_3'!A750,"AAAAAGG+x9E=")</f>
        <v>#VALUE!</v>
      </c>
      <c r="HC47" t="e">
        <f>AND('Planilla_General_03-12-2012_9_3'!B750,"AAAAAGG+x9I=")</f>
        <v>#VALUE!</v>
      </c>
      <c r="HD47" t="e">
        <f>AND('Planilla_General_03-12-2012_9_3'!C750,"AAAAAGG+x9M=")</f>
        <v>#VALUE!</v>
      </c>
      <c r="HE47" t="e">
        <f>AND('Planilla_General_03-12-2012_9_3'!D750,"AAAAAGG+x9Q=")</f>
        <v>#VALUE!</v>
      </c>
      <c r="HF47" t="e">
        <f>AND('Planilla_General_03-12-2012_9_3'!E750,"AAAAAGG+x9U=")</f>
        <v>#VALUE!</v>
      </c>
      <c r="HG47" t="e">
        <f>AND('Planilla_General_03-12-2012_9_3'!F750,"AAAAAGG+x9Y=")</f>
        <v>#VALUE!</v>
      </c>
      <c r="HH47" t="e">
        <f>AND('Planilla_General_03-12-2012_9_3'!G750,"AAAAAGG+x9c=")</f>
        <v>#VALUE!</v>
      </c>
      <c r="HI47" t="e">
        <f>AND('Planilla_General_03-12-2012_9_3'!H750,"AAAAAGG+x9g=")</f>
        <v>#VALUE!</v>
      </c>
      <c r="HJ47" t="e">
        <f>AND('Planilla_General_03-12-2012_9_3'!I750,"AAAAAGG+x9k=")</f>
        <v>#VALUE!</v>
      </c>
      <c r="HK47" t="e">
        <f>AND('Planilla_General_03-12-2012_9_3'!J750,"AAAAAGG+x9o=")</f>
        <v>#VALUE!</v>
      </c>
      <c r="HL47" t="e">
        <f>AND('Planilla_General_03-12-2012_9_3'!K750,"AAAAAGG+x9s=")</f>
        <v>#VALUE!</v>
      </c>
      <c r="HM47" t="e">
        <f>AND('Planilla_General_03-12-2012_9_3'!L750,"AAAAAGG+x9w=")</f>
        <v>#VALUE!</v>
      </c>
      <c r="HN47" t="e">
        <f>AND('Planilla_General_03-12-2012_9_3'!M750,"AAAAAGG+x90=")</f>
        <v>#VALUE!</v>
      </c>
      <c r="HO47" t="e">
        <f>AND('Planilla_General_03-12-2012_9_3'!N750,"AAAAAGG+x94=")</f>
        <v>#VALUE!</v>
      </c>
      <c r="HP47" t="e">
        <f>AND('Planilla_General_03-12-2012_9_3'!O750,"AAAAAGG+x98=")</f>
        <v>#VALUE!</v>
      </c>
      <c r="HQ47">
        <f>IF('Planilla_General_03-12-2012_9_3'!751:751,"AAAAAGG+x+A=",0)</f>
        <v>0</v>
      </c>
      <c r="HR47" t="e">
        <f>AND('Planilla_General_03-12-2012_9_3'!A751,"AAAAAGG+x+E=")</f>
        <v>#VALUE!</v>
      </c>
      <c r="HS47" t="e">
        <f>AND('Planilla_General_03-12-2012_9_3'!B751,"AAAAAGG+x+I=")</f>
        <v>#VALUE!</v>
      </c>
      <c r="HT47" t="e">
        <f>AND('Planilla_General_03-12-2012_9_3'!C751,"AAAAAGG+x+M=")</f>
        <v>#VALUE!</v>
      </c>
      <c r="HU47" t="e">
        <f>AND('Planilla_General_03-12-2012_9_3'!D751,"AAAAAGG+x+Q=")</f>
        <v>#VALUE!</v>
      </c>
      <c r="HV47" t="e">
        <f>AND('Planilla_General_03-12-2012_9_3'!E751,"AAAAAGG+x+U=")</f>
        <v>#VALUE!</v>
      </c>
      <c r="HW47" t="e">
        <f>AND('Planilla_General_03-12-2012_9_3'!F751,"AAAAAGG+x+Y=")</f>
        <v>#VALUE!</v>
      </c>
      <c r="HX47" t="e">
        <f>AND('Planilla_General_03-12-2012_9_3'!G751,"AAAAAGG+x+c=")</f>
        <v>#VALUE!</v>
      </c>
      <c r="HY47" t="e">
        <f>AND('Planilla_General_03-12-2012_9_3'!H751,"AAAAAGG+x+g=")</f>
        <v>#VALUE!</v>
      </c>
      <c r="HZ47" t="e">
        <f>AND('Planilla_General_03-12-2012_9_3'!I751,"AAAAAGG+x+k=")</f>
        <v>#VALUE!</v>
      </c>
      <c r="IA47" t="e">
        <f>AND('Planilla_General_03-12-2012_9_3'!J751,"AAAAAGG+x+o=")</f>
        <v>#VALUE!</v>
      </c>
      <c r="IB47" t="e">
        <f>AND('Planilla_General_03-12-2012_9_3'!K751,"AAAAAGG+x+s=")</f>
        <v>#VALUE!</v>
      </c>
      <c r="IC47" t="e">
        <f>AND('Planilla_General_03-12-2012_9_3'!L751,"AAAAAGG+x+w=")</f>
        <v>#VALUE!</v>
      </c>
      <c r="ID47" t="e">
        <f>AND('Planilla_General_03-12-2012_9_3'!M751,"AAAAAGG+x+0=")</f>
        <v>#VALUE!</v>
      </c>
      <c r="IE47" t="e">
        <f>AND('Planilla_General_03-12-2012_9_3'!N751,"AAAAAGG+x+4=")</f>
        <v>#VALUE!</v>
      </c>
      <c r="IF47" t="e">
        <f>AND('Planilla_General_03-12-2012_9_3'!O751,"AAAAAGG+x+8=")</f>
        <v>#VALUE!</v>
      </c>
      <c r="IG47">
        <f>IF('Planilla_General_03-12-2012_9_3'!752:752,"AAAAAGG+x/A=",0)</f>
        <v>0</v>
      </c>
      <c r="IH47" t="e">
        <f>AND('Planilla_General_03-12-2012_9_3'!A752,"AAAAAGG+x/E=")</f>
        <v>#VALUE!</v>
      </c>
      <c r="II47" t="e">
        <f>AND('Planilla_General_03-12-2012_9_3'!B752,"AAAAAGG+x/I=")</f>
        <v>#VALUE!</v>
      </c>
      <c r="IJ47" t="e">
        <f>AND('Planilla_General_03-12-2012_9_3'!C752,"AAAAAGG+x/M=")</f>
        <v>#VALUE!</v>
      </c>
      <c r="IK47" t="e">
        <f>AND('Planilla_General_03-12-2012_9_3'!D752,"AAAAAGG+x/Q=")</f>
        <v>#VALUE!</v>
      </c>
      <c r="IL47" t="e">
        <f>AND('Planilla_General_03-12-2012_9_3'!E752,"AAAAAGG+x/U=")</f>
        <v>#VALUE!</v>
      </c>
      <c r="IM47" t="e">
        <f>AND('Planilla_General_03-12-2012_9_3'!F752,"AAAAAGG+x/Y=")</f>
        <v>#VALUE!</v>
      </c>
      <c r="IN47" t="e">
        <f>AND('Planilla_General_03-12-2012_9_3'!G752,"AAAAAGG+x/c=")</f>
        <v>#VALUE!</v>
      </c>
      <c r="IO47" t="e">
        <f>AND('Planilla_General_03-12-2012_9_3'!H752,"AAAAAGG+x/g=")</f>
        <v>#VALUE!</v>
      </c>
      <c r="IP47" t="e">
        <f>AND('Planilla_General_03-12-2012_9_3'!I752,"AAAAAGG+x/k=")</f>
        <v>#VALUE!</v>
      </c>
      <c r="IQ47" t="e">
        <f>AND('Planilla_General_03-12-2012_9_3'!J752,"AAAAAGG+x/o=")</f>
        <v>#VALUE!</v>
      </c>
      <c r="IR47" t="e">
        <f>AND('Planilla_General_03-12-2012_9_3'!K752,"AAAAAGG+x/s=")</f>
        <v>#VALUE!</v>
      </c>
      <c r="IS47" t="e">
        <f>AND('Planilla_General_03-12-2012_9_3'!L752,"AAAAAGG+x/w=")</f>
        <v>#VALUE!</v>
      </c>
      <c r="IT47" t="e">
        <f>AND('Planilla_General_03-12-2012_9_3'!M752,"AAAAAGG+x/0=")</f>
        <v>#VALUE!</v>
      </c>
      <c r="IU47" t="e">
        <f>AND('Planilla_General_03-12-2012_9_3'!N752,"AAAAAGG+x/4=")</f>
        <v>#VALUE!</v>
      </c>
      <c r="IV47" t="e">
        <f>AND('Planilla_General_03-12-2012_9_3'!O752,"AAAAAGG+x/8=")</f>
        <v>#VALUE!</v>
      </c>
    </row>
    <row r="48" spans="1:256" x14ac:dyDescent="0.25">
      <c r="A48" t="e">
        <f>IF('Planilla_General_03-12-2012_9_3'!753:753,"AAAAAFXeuwA=",0)</f>
        <v>#VALUE!</v>
      </c>
      <c r="B48" t="e">
        <f>AND('Planilla_General_03-12-2012_9_3'!A753,"AAAAAFXeuwE=")</f>
        <v>#VALUE!</v>
      </c>
      <c r="C48" t="e">
        <f>AND('Planilla_General_03-12-2012_9_3'!B753,"AAAAAFXeuwI=")</f>
        <v>#VALUE!</v>
      </c>
      <c r="D48" t="e">
        <f>AND('Planilla_General_03-12-2012_9_3'!C753,"AAAAAFXeuwM=")</f>
        <v>#VALUE!</v>
      </c>
      <c r="E48" t="e">
        <f>AND('Planilla_General_03-12-2012_9_3'!D753,"AAAAAFXeuwQ=")</f>
        <v>#VALUE!</v>
      </c>
      <c r="F48" t="e">
        <f>AND('Planilla_General_03-12-2012_9_3'!E753,"AAAAAFXeuwU=")</f>
        <v>#VALUE!</v>
      </c>
      <c r="G48" t="e">
        <f>AND('Planilla_General_03-12-2012_9_3'!F753,"AAAAAFXeuwY=")</f>
        <v>#VALUE!</v>
      </c>
      <c r="H48" t="e">
        <f>AND('Planilla_General_03-12-2012_9_3'!G753,"AAAAAFXeuwc=")</f>
        <v>#VALUE!</v>
      </c>
      <c r="I48" t="e">
        <f>AND('Planilla_General_03-12-2012_9_3'!H753,"AAAAAFXeuwg=")</f>
        <v>#VALUE!</v>
      </c>
      <c r="J48" t="e">
        <f>AND('Planilla_General_03-12-2012_9_3'!I753,"AAAAAFXeuwk=")</f>
        <v>#VALUE!</v>
      </c>
      <c r="K48" t="e">
        <f>AND('Planilla_General_03-12-2012_9_3'!J753,"AAAAAFXeuwo=")</f>
        <v>#VALUE!</v>
      </c>
      <c r="L48" t="e">
        <f>AND('Planilla_General_03-12-2012_9_3'!K753,"AAAAAFXeuws=")</f>
        <v>#VALUE!</v>
      </c>
      <c r="M48" t="e">
        <f>AND('Planilla_General_03-12-2012_9_3'!L753,"AAAAAFXeuww=")</f>
        <v>#VALUE!</v>
      </c>
      <c r="N48" t="e">
        <f>AND('Planilla_General_03-12-2012_9_3'!M753,"AAAAAFXeuw0=")</f>
        <v>#VALUE!</v>
      </c>
      <c r="O48" t="e">
        <f>AND('Planilla_General_03-12-2012_9_3'!N753,"AAAAAFXeuw4=")</f>
        <v>#VALUE!</v>
      </c>
      <c r="P48" t="e">
        <f>AND('Planilla_General_03-12-2012_9_3'!O753,"AAAAAFXeuw8=")</f>
        <v>#VALUE!</v>
      </c>
      <c r="Q48">
        <f>IF('Planilla_General_03-12-2012_9_3'!754:754,"AAAAAFXeuxA=",0)</f>
        <v>0</v>
      </c>
      <c r="R48" t="e">
        <f>AND('Planilla_General_03-12-2012_9_3'!A754,"AAAAAFXeuxE=")</f>
        <v>#VALUE!</v>
      </c>
      <c r="S48" t="e">
        <f>AND('Planilla_General_03-12-2012_9_3'!B754,"AAAAAFXeuxI=")</f>
        <v>#VALUE!</v>
      </c>
      <c r="T48" t="e">
        <f>AND('Planilla_General_03-12-2012_9_3'!C754,"AAAAAFXeuxM=")</f>
        <v>#VALUE!</v>
      </c>
      <c r="U48" t="e">
        <f>AND('Planilla_General_03-12-2012_9_3'!D754,"AAAAAFXeuxQ=")</f>
        <v>#VALUE!</v>
      </c>
      <c r="V48" t="e">
        <f>AND('Planilla_General_03-12-2012_9_3'!E754,"AAAAAFXeuxU=")</f>
        <v>#VALUE!</v>
      </c>
      <c r="W48" t="e">
        <f>AND('Planilla_General_03-12-2012_9_3'!F754,"AAAAAFXeuxY=")</f>
        <v>#VALUE!</v>
      </c>
      <c r="X48" t="e">
        <f>AND('Planilla_General_03-12-2012_9_3'!G754,"AAAAAFXeuxc=")</f>
        <v>#VALUE!</v>
      </c>
      <c r="Y48" t="e">
        <f>AND('Planilla_General_03-12-2012_9_3'!H754,"AAAAAFXeuxg=")</f>
        <v>#VALUE!</v>
      </c>
      <c r="Z48" t="e">
        <f>AND('Planilla_General_03-12-2012_9_3'!I754,"AAAAAFXeuxk=")</f>
        <v>#VALUE!</v>
      </c>
      <c r="AA48" t="e">
        <f>AND('Planilla_General_03-12-2012_9_3'!J754,"AAAAAFXeuxo=")</f>
        <v>#VALUE!</v>
      </c>
      <c r="AB48" t="e">
        <f>AND('Planilla_General_03-12-2012_9_3'!K754,"AAAAAFXeuxs=")</f>
        <v>#VALUE!</v>
      </c>
      <c r="AC48" t="e">
        <f>AND('Planilla_General_03-12-2012_9_3'!L754,"AAAAAFXeuxw=")</f>
        <v>#VALUE!</v>
      </c>
      <c r="AD48" t="e">
        <f>AND('Planilla_General_03-12-2012_9_3'!M754,"AAAAAFXeux0=")</f>
        <v>#VALUE!</v>
      </c>
      <c r="AE48" t="e">
        <f>AND('Planilla_General_03-12-2012_9_3'!N754,"AAAAAFXeux4=")</f>
        <v>#VALUE!</v>
      </c>
      <c r="AF48" t="e">
        <f>AND('Planilla_General_03-12-2012_9_3'!O754,"AAAAAFXeux8=")</f>
        <v>#VALUE!</v>
      </c>
      <c r="AG48">
        <f>IF('Planilla_General_03-12-2012_9_3'!755:755,"AAAAAFXeuyA=",0)</f>
        <v>0</v>
      </c>
      <c r="AH48" t="e">
        <f>AND('Planilla_General_03-12-2012_9_3'!A755,"AAAAAFXeuyE=")</f>
        <v>#VALUE!</v>
      </c>
      <c r="AI48" t="e">
        <f>AND('Planilla_General_03-12-2012_9_3'!B755,"AAAAAFXeuyI=")</f>
        <v>#VALUE!</v>
      </c>
      <c r="AJ48" t="e">
        <f>AND('Planilla_General_03-12-2012_9_3'!C755,"AAAAAFXeuyM=")</f>
        <v>#VALUE!</v>
      </c>
      <c r="AK48" t="e">
        <f>AND('Planilla_General_03-12-2012_9_3'!D755,"AAAAAFXeuyQ=")</f>
        <v>#VALUE!</v>
      </c>
      <c r="AL48" t="e">
        <f>AND('Planilla_General_03-12-2012_9_3'!E755,"AAAAAFXeuyU=")</f>
        <v>#VALUE!</v>
      </c>
      <c r="AM48" t="e">
        <f>AND('Planilla_General_03-12-2012_9_3'!F755,"AAAAAFXeuyY=")</f>
        <v>#VALUE!</v>
      </c>
      <c r="AN48" t="e">
        <f>AND('Planilla_General_03-12-2012_9_3'!G755,"AAAAAFXeuyc=")</f>
        <v>#VALUE!</v>
      </c>
      <c r="AO48" t="e">
        <f>AND('Planilla_General_03-12-2012_9_3'!H755,"AAAAAFXeuyg=")</f>
        <v>#VALUE!</v>
      </c>
      <c r="AP48" t="e">
        <f>AND('Planilla_General_03-12-2012_9_3'!I755,"AAAAAFXeuyk=")</f>
        <v>#VALUE!</v>
      </c>
      <c r="AQ48" t="e">
        <f>AND('Planilla_General_03-12-2012_9_3'!J755,"AAAAAFXeuyo=")</f>
        <v>#VALUE!</v>
      </c>
      <c r="AR48" t="e">
        <f>AND('Planilla_General_03-12-2012_9_3'!K755,"AAAAAFXeuys=")</f>
        <v>#VALUE!</v>
      </c>
      <c r="AS48" t="e">
        <f>AND('Planilla_General_03-12-2012_9_3'!L755,"AAAAAFXeuyw=")</f>
        <v>#VALUE!</v>
      </c>
      <c r="AT48" t="e">
        <f>AND('Planilla_General_03-12-2012_9_3'!M755,"AAAAAFXeuy0=")</f>
        <v>#VALUE!</v>
      </c>
      <c r="AU48" t="e">
        <f>AND('Planilla_General_03-12-2012_9_3'!N755,"AAAAAFXeuy4=")</f>
        <v>#VALUE!</v>
      </c>
      <c r="AV48" t="e">
        <f>AND('Planilla_General_03-12-2012_9_3'!O755,"AAAAAFXeuy8=")</f>
        <v>#VALUE!</v>
      </c>
      <c r="AW48">
        <f>IF('Planilla_General_03-12-2012_9_3'!756:756,"AAAAAFXeuzA=",0)</f>
        <v>0</v>
      </c>
      <c r="AX48" t="e">
        <f>AND('Planilla_General_03-12-2012_9_3'!A756,"AAAAAFXeuzE=")</f>
        <v>#VALUE!</v>
      </c>
      <c r="AY48" t="e">
        <f>AND('Planilla_General_03-12-2012_9_3'!B756,"AAAAAFXeuzI=")</f>
        <v>#VALUE!</v>
      </c>
      <c r="AZ48" t="e">
        <f>AND('Planilla_General_03-12-2012_9_3'!C756,"AAAAAFXeuzM=")</f>
        <v>#VALUE!</v>
      </c>
      <c r="BA48" t="e">
        <f>AND('Planilla_General_03-12-2012_9_3'!D756,"AAAAAFXeuzQ=")</f>
        <v>#VALUE!</v>
      </c>
      <c r="BB48" t="e">
        <f>AND('Planilla_General_03-12-2012_9_3'!E756,"AAAAAFXeuzU=")</f>
        <v>#VALUE!</v>
      </c>
      <c r="BC48" t="e">
        <f>AND('Planilla_General_03-12-2012_9_3'!F756,"AAAAAFXeuzY=")</f>
        <v>#VALUE!</v>
      </c>
      <c r="BD48" t="e">
        <f>AND('Planilla_General_03-12-2012_9_3'!G756,"AAAAAFXeuzc=")</f>
        <v>#VALUE!</v>
      </c>
      <c r="BE48" t="e">
        <f>AND('Planilla_General_03-12-2012_9_3'!H756,"AAAAAFXeuzg=")</f>
        <v>#VALUE!</v>
      </c>
      <c r="BF48" t="e">
        <f>AND('Planilla_General_03-12-2012_9_3'!I756,"AAAAAFXeuzk=")</f>
        <v>#VALUE!</v>
      </c>
      <c r="BG48" t="e">
        <f>AND('Planilla_General_03-12-2012_9_3'!J756,"AAAAAFXeuzo=")</f>
        <v>#VALUE!</v>
      </c>
      <c r="BH48" t="e">
        <f>AND('Planilla_General_03-12-2012_9_3'!K756,"AAAAAFXeuzs=")</f>
        <v>#VALUE!</v>
      </c>
      <c r="BI48" t="e">
        <f>AND('Planilla_General_03-12-2012_9_3'!L756,"AAAAAFXeuzw=")</f>
        <v>#VALUE!</v>
      </c>
      <c r="BJ48" t="e">
        <f>AND('Planilla_General_03-12-2012_9_3'!M756,"AAAAAFXeuz0=")</f>
        <v>#VALUE!</v>
      </c>
      <c r="BK48" t="e">
        <f>AND('Planilla_General_03-12-2012_9_3'!N756,"AAAAAFXeuz4=")</f>
        <v>#VALUE!</v>
      </c>
      <c r="BL48" t="e">
        <f>AND('Planilla_General_03-12-2012_9_3'!O756,"AAAAAFXeuz8=")</f>
        <v>#VALUE!</v>
      </c>
      <c r="BM48">
        <f>IF('Planilla_General_03-12-2012_9_3'!757:757,"AAAAAFXeu0A=",0)</f>
        <v>0</v>
      </c>
      <c r="BN48" t="e">
        <f>AND('Planilla_General_03-12-2012_9_3'!A757,"AAAAAFXeu0E=")</f>
        <v>#VALUE!</v>
      </c>
      <c r="BO48" t="e">
        <f>AND('Planilla_General_03-12-2012_9_3'!B757,"AAAAAFXeu0I=")</f>
        <v>#VALUE!</v>
      </c>
      <c r="BP48" t="e">
        <f>AND('Planilla_General_03-12-2012_9_3'!C757,"AAAAAFXeu0M=")</f>
        <v>#VALUE!</v>
      </c>
      <c r="BQ48" t="e">
        <f>AND('Planilla_General_03-12-2012_9_3'!D757,"AAAAAFXeu0Q=")</f>
        <v>#VALUE!</v>
      </c>
      <c r="BR48" t="e">
        <f>AND('Planilla_General_03-12-2012_9_3'!E757,"AAAAAFXeu0U=")</f>
        <v>#VALUE!</v>
      </c>
      <c r="BS48" t="e">
        <f>AND('Planilla_General_03-12-2012_9_3'!F757,"AAAAAFXeu0Y=")</f>
        <v>#VALUE!</v>
      </c>
      <c r="BT48" t="e">
        <f>AND('Planilla_General_03-12-2012_9_3'!G757,"AAAAAFXeu0c=")</f>
        <v>#VALUE!</v>
      </c>
      <c r="BU48" t="e">
        <f>AND('Planilla_General_03-12-2012_9_3'!H757,"AAAAAFXeu0g=")</f>
        <v>#VALUE!</v>
      </c>
      <c r="BV48" t="e">
        <f>AND('Planilla_General_03-12-2012_9_3'!I757,"AAAAAFXeu0k=")</f>
        <v>#VALUE!</v>
      </c>
      <c r="BW48" t="e">
        <f>AND('Planilla_General_03-12-2012_9_3'!J757,"AAAAAFXeu0o=")</f>
        <v>#VALUE!</v>
      </c>
      <c r="BX48" t="e">
        <f>AND('Planilla_General_03-12-2012_9_3'!K757,"AAAAAFXeu0s=")</f>
        <v>#VALUE!</v>
      </c>
      <c r="BY48" t="e">
        <f>AND('Planilla_General_03-12-2012_9_3'!L757,"AAAAAFXeu0w=")</f>
        <v>#VALUE!</v>
      </c>
      <c r="BZ48" t="e">
        <f>AND('Planilla_General_03-12-2012_9_3'!M757,"AAAAAFXeu00=")</f>
        <v>#VALUE!</v>
      </c>
      <c r="CA48" t="e">
        <f>AND('Planilla_General_03-12-2012_9_3'!N757,"AAAAAFXeu04=")</f>
        <v>#VALUE!</v>
      </c>
      <c r="CB48" t="e">
        <f>AND('Planilla_General_03-12-2012_9_3'!O757,"AAAAAFXeu08=")</f>
        <v>#VALUE!</v>
      </c>
      <c r="CC48">
        <f>IF('Planilla_General_03-12-2012_9_3'!758:758,"AAAAAFXeu1A=",0)</f>
        <v>0</v>
      </c>
      <c r="CD48" t="e">
        <f>AND('Planilla_General_03-12-2012_9_3'!A758,"AAAAAFXeu1E=")</f>
        <v>#VALUE!</v>
      </c>
      <c r="CE48" t="e">
        <f>AND('Planilla_General_03-12-2012_9_3'!B758,"AAAAAFXeu1I=")</f>
        <v>#VALUE!</v>
      </c>
      <c r="CF48" t="e">
        <f>AND('Planilla_General_03-12-2012_9_3'!C758,"AAAAAFXeu1M=")</f>
        <v>#VALUE!</v>
      </c>
      <c r="CG48" t="e">
        <f>AND('Planilla_General_03-12-2012_9_3'!D758,"AAAAAFXeu1Q=")</f>
        <v>#VALUE!</v>
      </c>
      <c r="CH48" t="e">
        <f>AND('Planilla_General_03-12-2012_9_3'!E758,"AAAAAFXeu1U=")</f>
        <v>#VALUE!</v>
      </c>
      <c r="CI48" t="e">
        <f>AND('Planilla_General_03-12-2012_9_3'!F758,"AAAAAFXeu1Y=")</f>
        <v>#VALUE!</v>
      </c>
      <c r="CJ48" t="e">
        <f>AND('Planilla_General_03-12-2012_9_3'!G758,"AAAAAFXeu1c=")</f>
        <v>#VALUE!</v>
      </c>
      <c r="CK48" t="e">
        <f>AND('Planilla_General_03-12-2012_9_3'!H758,"AAAAAFXeu1g=")</f>
        <v>#VALUE!</v>
      </c>
      <c r="CL48" t="e">
        <f>AND('Planilla_General_03-12-2012_9_3'!I758,"AAAAAFXeu1k=")</f>
        <v>#VALUE!</v>
      </c>
      <c r="CM48" t="e">
        <f>AND('Planilla_General_03-12-2012_9_3'!J758,"AAAAAFXeu1o=")</f>
        <v>#VALUE!</v>
      </c>
      <c r="CN48" t="e">
        <f>AND('Planilla_General_03-12-2012_9_3'!K758,"AAAAAFXeu1s=")</f>
        <v>#VALUE!</v>
      </c>
      <c r="CO48" t="e">
        <f>AND('Planilla_General_03-12-2012_9_3'!L758,"AAAAAFXeu1w=")</f>
        <v>#VALUE!</v>
      </c>
      <c r="CP48" t="e">
        <f>AND('Planilla_General_03-12-2012_9_3'!M758,"AAAAAFXeu10=")</f>
        <v>#VALUE!</v>
      </c>
      <c r="CQ48" t="e">
        <f>AND('Planilla_General_03-12-2012_9_3'!N758,"AAAAAFXeu14=")</f>
        <v>#VALUE!</v>
      </c>
      <c r="CR48" t="e">
        <f>AND('Planilla_General_03-12-2012_9_3'!O758,"AAAAAFXeu18=")</f>
        <v>#VALUE!</v>
      </c>
      <c r="CS48">
        <f>IF('Planilla_General_03-12-2012_9_3'!759:759,"AAAAAFXeu2A=",0)</f>
        <v>0</v>
      </c>
      <c r="CT48" t="e">
        <f>AND('Planilla_General_03-12-2012_9_3'!A759,"AAAAAFXeu2E=")</f>
        <v>#VALUE!</v>
      </c>
      <c r="CU48" t="e">
        <f>AND('Planilla_General_03-12-2012_9_3'!B759,"AAAAAFXeu2I=")</f>
        <v>#VALUE!</v>
      </c>
      <c r="CV48" t="e">
        <f>AND('Planilla_General_03-12-2012_9_3'!C759,"AAAAAFXeu2M=")</f>
        <v>#VALUE!</v>
      </c>
      <c r="CW48" t="e">
        <f>AND('Planilla_General_03-12-2012_9_3'!D759,"AAAAAFXeu2Q=")</f>
        <v>#VALUE!</v>
      </c>
      <c r="CX48" t="e">
        <f>AND('Planilla_General_03-12-2012_9_3'!E759,"AAAAAFXeu2U=")</f>
        <v>#VALUE!</v>
      </c>
      <c r="CY48" t="e">
        <f>AND('Planilla_General_03-12-2012_9_3'!F759,"AAAAAFXeu2Y=")</f>
        <v>#VALUE!</v>
      </c>
      <c r="CZ48" t="e">
        <f>AND('Planilla_General_03-12-2012_9_3'!G759,"AAAAAFXeu2c=")</f>
        <v>#VALUE!</v>
      </c>
      <c r="DA48" t="e">
        <f>AND('Planilla_General_03-12-2012_9_3'!H759,"AAAAAFXeu2g=")</f>
        <v>#VALUE!</v>
      </c>
      <c r="DB48" t="e">
        <f>AND('Planilla_General_03-12-2012_9_3'!I759,"AAAAAFXeu2k=")</f>
        <v>#VALUE!</v>
      </c>
      <c r="DC48" t="e">
        <f>AND('Planilla_General_03-12-2012_9_3'!J759,"AAAAAFXeu2o=")</f>
        <v>#VALUE!</v>
      </c>
      <c r="DD48" t="e">
        <f>AND('Planilla_General_03-12-2012_9_3'!K759,"AAAAAFXeu2s=")</f>
        <v>#VALUE!</v>
      </c>
      <c r="DE48" t="e">
        <f>AND('Planilla_General_03-12-2012_9_3'!L759,"AAAAAFXeu2w=")</f>
        <v>#VALUE!</v>
      </c>
      <c r="DF48" t="e">
        <f>AND('Planilla_General_03-12-2012_9_3'!M759,"AAAAAFXeu20=")</f>
        <v>#VALUE!</v>
      </c>
      <c r="DG48" t="e">
        <f>AND('Planilla_General_03-12-2012_9_3'!N759,"AAAAAFXeu24=")</f>
        <v>#VALUE!</v>
      </c>
      <c r="DH48" t="e">
        <f>AND('Planilla_General_03-12-2012_9_3'!O759,"AAAAAFXeu28=")</f>
        <v>#VALUE!</v>
      </c>
      <c r="DI48">
        <f>IF('Planilla_General_03-12-2012_9_3'!760:760,"AAAAAFXeu3A=",0)</f>
        <v>0</v>
      </c>
      <c r="DJ48" t="e">
        <f>AND('Planilla_General_03-12-2012_9_3'!A760,"AAAAAFXeu3E=")</f>
        <v>#VALUE!</v>
      </c>
      <c r="DK48" t="e">
        <f>AND('Planilla_General_03-12-2012_9_3'!B760,"AAAAAFXeu3I=")</f>
        <v>#VALUE!</v>
      </c>
      <c r="DL48" t="e">
        <f>AND('Planilla_General_03-12-2012_9_3'!C760,"AAAAAFXeu3M=")</f>
        <v>#VALUE!</v>
      </c>
      <c r="DM48" t="e">
        <f>AND('Planilla_General_03-12-2012_9_3'!D760,"AAAAAFXeu3Q=")</f>
        <v>#VALUE!</v>
      </c>
      <c r="DN48" t="e">
        <f>AND('Planilla_General_03-12-2012_9_3'!E760,"AAAAAFXeu3U=")</f>
        <v>#VALUE!</v>
      </c>
      <c r="DO48" t="e">
        <f>AND('Planilla_General_03-12-2012_9_3'!F760,"AAAAAFXeu3Y=")</f>
        <v>#VALUE!</v>
      </c>
      <c r="DP48" t="e">
        <f>AND('Planilla_General_03-12-2012_9_3'!G760,"AAAAAFXeu3c=")</f>
        <v>#VALUE!</v>
      </c>
      <c r="DQ48" t="e">
        <f>AND('Planilla_General_03-12-2012_9_3'!H760,"AAAAAFXeu3g=")</f>
        <v>#VALUE!</v>
      </c>
      <c r="DR48" t="e">
        <f>AND('Planilla_General_03-12-2012_9_3'!I760,"AAAAAFXeu3k=")</f>
        <v>#VALUE!</v>
      </c>
      <c r="DS48" t="e">
        <f>AND('Planilla_General_03-12-2012_9_3'!J760,"AAAAAFXeu3o=")</f>
        <v>#VALUE!</v>
      </c>
      <c r="DT48" t="e">
        <f>AND('Planilla_General_03-12-2012_9_3'!K760,"AAAAAFXeu3s=")</f>
        <v>#VALUE!</v>
      </c>
      <c r="DU48" t="e">
        <f>AND('Planilla_General_03-12-2012_9_3'!L760,"AAAAAFXeu3w=")</f>
        <v>#VALUE!</v>
      </c>
      <c r="DV48" t="e">
        <f>AND('Planilla_General_03-12-2012_9_3'!M760,"AAAAAFXeu30=")</f>
        <v>#VALUE!</v>
      </c>
      <c r="DW48" t="e">
        <f>AND('Planilla_General_03-12-2012_9_3'!N760,"AAAAAFXeu34=")</f>
        <v>#VALUE!</v>
      </c>
      <c r="DX48" t="e">
        <f>AND('Planilla_General_03-12-2012_9_3'!O760,"AAAAAFXeu38=")</f>
        <v>#VALUE!</v>
      </c>
      <c r="DY48">
        <f>IF('Planilla_General_03-12-2012_9_3'!761:761,"AAAAAFXeu4A=",0)</f>
        <v>0</v>
      </c>
      <c r="DZ48" t="e">
        <f>AND('Planilla_General_03-12-2012_9_3'!A761,"AAAAAFXeu4E=")</f>
        <v>#VALUE!</v>
      </c>
      <c r="EA48" t="e">
        <f>AND('Planilla_General_03-12-2012_9_3'!B761,"AAAAAFXeu4I=")</f>
        <v>#VALUE!</v>
      </c>
      <c r="EB48" t="e">
        <f>AND('Planilla_General_03-12-2012_9_3'!C761,"AAAAAFXeu4M=")</f>
        <v>#VALUE!</v>
      </c>
      <c r="EC48" t="e">
        <f>AND('Planilla_General_03-12-2012_9_3'!D761,"AAAAAFXeu4Q=")</f>
        <v>#VALUE!</v>
      </c>
      <c r="ED48" t="e">
        <f>AND('Planilla_General_03-12-2012_9_3'!E761,"AAAAAFXeu4U=")</f>
        <v>#VALUE!</v>
      </c>
      <c r="EE48" t="e">
        <f>AND('Planilla_General_03-12-2012_9_3'!F761,"AAAAAFXeu4Y=")</f>
        <v>#VALUE!</v>
      </c>
      <c r="EF48" t="e">
        <f>AND('Planilla_General_03-12-2012_9_3'!G761,"AAAAAFXeu4c=")</f>
        <v>#VALUE!</v>
      </c>
      <c r="EG48" t="e">
        <f>AND('Planilla_General_03-12-2012_9_3'!H761,"AAAAAFXeu4g=")</f>
        <v>#VALUE!</v>
      </c>
      <c r="EH48" t="e">
        <f>AND('Planilla_General_03-12-2012_9_3'!I761,"AAAAAFXeu4k=")</f>
        <v>#VALUE!</v>
      </c>
      <c r="EI48" t="e">
        <f>AND('Planilla_General_03-12-2012_9_3'!J761,"AAAAAFXeu4o=")</f>
        <v>#VALUE!</v>
      </c>
      <c r="EJ48" t="e">
        <f>AND('Planilla_General_03-12-2012_9_3'!K761,"AAAAAFXeu4s=")</f>
        <v>#VALUE!</v>
      </c>
      <c r="EK48" t="e">
        <f>AND('Planilla_General_03-12-2012_9_3'!L761,"AAAAAFXeu4w=")</f>
        <v>#VALUE!</v>
      </c>
      <c r="EL48" t="e">
        <f>AND('Planilla_General_03-12-2012_9_3'!M761,"AAAAAFXeu40=")</f>
        <v>#VALUE!</v>
      </c>
      <c r="EM48" t="e">
        <f>AND('Planilla_General_03-12-2012_9_3'!N761,"AAAAAFXeu44=")</f>
        <v>#VALUE!</v>
      </c>
      <c r="EN48" t="e">
        <f>AND('Planilla_General_03-12-2012_9_3'!O761,"AAAAAFXeu48=")</f>
        <v>#VALUE!</v>
      </c>
      <c r="EO48">
        <f>IF('Planilla_General_03-12-2012_9_3'!762:762,"AAAAAFXeu5A=",0)</f>
        <v>0</v>
      </c>
      <c r="EP48" t="e">
        <f>AND('Planilla_General_03-12-2012_9_3'!A762,"AAAAAFXeu5E=")</f>
        <v>#VALUE!</v>
      </c>
      <c r="EQ48" t="e">
        <f>AND('Planilla_General_03-12-2012_9_3'!B762,"AAAAAFXeu5I=")</f>
        <v>#VALUE!</v>
      </c>
      <c r="ER48" t="e">
        <f>AND('Planilla_General_03-12-2012_9_3'!C762,"AAAAAFXeu5M=")</f>
        <v>#VALUE!</v>
      </c>
      <c r="ES48" t="e">
        <f>AND('Planilla_General_03-12-2012_9_3'!D762,"AAAAAFXeu5Q=")</f>
        <v>#VALUE!</v>
      </c>
      <c r="ET48" t="e">
        <f>AND('Planilla_General_03-12-2012_9_3'!E762,"AAAAAFXeu5U=")</f>
        <v>#VALUE!</v>
      </c>
      <c r="EU48" t="e">
        <f>AND('Planilla_General_03-12-2012_9_3'!F762,"AAAAAFXeu5Y=")</f>
        <v>#VALUE!</v>
      </c>
      <c r="EV48" t="e">
        <f>AND('Planilla_General_03-12-2012_9_3'!G762,"AAAAAFXeu5c=")</f>
        <v>#VALUE!</v>
      </c>
      <c r="EW48" t="e">
        <f>AND('Planilla_General_03-12-2012_9_3'!H762,"AAAAAFXeu5g=")</f>
        <v>#VALUE!</v>
      </c>
      <c r="EX48" t="e">
        <f>AND('Planilla_General_03-12-2012_9_3'!I762,"AAAAAFXeu5k=")</f>
        <v>#VALUE!</v>
      </c>
      <c r="EY48" t="e">
        <f>AND('Planilla_General_03-12-2012_9_3'!J762,"AAAAAFXeu5o=")</f>
        <v>#VALUE!</v>
      </c>
      <c r="EZ48" t="e">
        <f>AND('Planilla_General_03-12-2012_9_3'!K762,"AAAAAFXeu5s=")</f>
        <v>#VALUE!</v>
      </c>
      <c r="FA48" t="e">
        <f>AND('Planilla_General_03-12-2012_9_3'!L762,"AAAAAFXeu5w=")</f>
        <v>#VALUE!</v>
      </c>
      <c r="FB48" t="e">
        <f>AND('Planilla_General_03-12-2012_9_3'!M762,"AAAAAFXeu50=")</f>
        <v>#VALUE!</v>
      </c>
      <c r="FC48" t="e">
        <f>AND('Planilla_General_03-12-2012_9_3'!N762,"AAAAAFXeu54=")</f>
        <v>#VALUE!</v>
      </c>
      <c r="FD48" t="e">
        <f>AND('Planilla_General_03-12-2012_9_3'!O762,"AAAAAFXeu58=")</f>
        <v>#VALUE!</v>
      </c>
      <c r="FE48">
        <f>IF('Planilla_General_03-12-2012_9_3'!763:763,"AAAAAFXeu6A=",0)</f>
        <v>0</v>
      </c>
      <c r="FF48" t="e">
        <f>AND('Planilla_General_03-12-2012_9_3'!A763,"AAAAAFXeu6E=")</f>
        <v>#VALUE!</v>
      </c>
      <c r="FG48" t="e">
        <f>AND('Planilla_General_03-12-2012_9_3'!B763,"AAAAAFXeu6I=")</f>
        <v>#VALUE!</v>
      </c>
      <c r="FH48" t="e">
        <f>AND('Planilla_General_03-12-2012_9_3'!C763,"AAAAAFXeu6M=")</f>
        <v>#VALUE!</v>
      </c>
      <c r="FI48" t="e">
        <f>AND('Planilla_General_03-12-2012_9_3'!D763,"AAAAAFXeu6Q=")</f>
        <v>#VALUE!</v>
      </c>
      <c r="FJ48" t="e">
        <f>AND('Planilla_General_03-12-2012_9_3'!E763,"AAAAAFXeu6U=")</f>
        <v>#VALUE!</v>
      </c>
      <c r="FK48" t="e">
        <f>AND('Planilla_General_03-12-2012_9_3'!F763,"AAAAAFXeu6Y=")</f>
        <v>#VALUE!</v>
      </c>
      <c r="FL48" t="e">
        <f>AND('Planilla_General_03-12-2012_9_3'!G763,"AAAAAFXeu6c=")</f>
        <v>#VALUE!</v>
      </c>
      <c r="FM48" t="e">
        <f>AND('Planilla_General_03-12-2012_9_3'!H763,"AAAAAFXeu6g=")</f>
        <v>#VALUE!</v>
      </c>
      <c r="FN48" t="e">
        <f>AND('Planilla_General_03-12-2012_9_3'!I763,"AAAAAFXeu6k=")</f>
        <v>#VALUE!</v>
      </c>
      <c r="FO48" t="e">
        <f>AND('Planilla_General_03-12-2012_9_3'!J763,"AAAAAFXeu6o=")</f>
        <v>#VALUE!</v>
      </c>
      <c r="FP48" t="e">
        <f>AND('Planilla_General_03-12-2012_9_3'!K763,"AAAAAFXeu6s=")</f>
        <v>#VALUE!</v>
      </c>
      <c r="FQ48" t="e">
        <f>AND('Planilla_General_03-12-2012_9_3'!L763,"AAAAAFXeu6w=")</f>
        <v>#VALUE!</v>
      </c>
      <c r="FR48" t="e">
        <f>AND('Planilla_General_03-12-2012_9_3'!M763,"AAAAAFXeu60=")</f>
        <v>#VALUE!</v>
      </c>
      <c r="FS48" t="e">
        <f>AND('Planilla_General_03-12-2012_9_3'!N763,"AAAAAFXeu64=")</f>
        <v>#VALUE!</v>
      </c>
      <c r="FT48" t="e">
        <f>AND('Planilla_General_03-12-2012_9_3'!O763,"AAAAAFXeu68=")</f>
        <v>#VALUE!</v>
      </c>
      <c r="FU48">
        <f>IF('Planilla_General_03-12-2012_9_3'!764:764,"AAAAAFXeu7A=",0)</f>
        <v>0</v>
      </c>
      <c r="FV48" t="e">
        <f>AND('Planilla_General_03-12-2012_9_3'!A764,"AAAAAFXeu7E=")</f>
        <v>#VALUE!</v>
      </c>
      <c r="FW48" t="e">
        <f>AND('Planilla_General_03-12-2012_9_3'!B764,"AAAAAFXeu7I=")</f>
        <v>#VALUE!</v>
      </c>
      <c r="FX48" t="e">
        <f>AND('Planilla_General_03-12-2012_9_3'!C764,"AAAAAFXeu7M=")</f>
        <v>#VALUE!</v>
      </c>
      <c r="FY48" t="e">
        <f>AND('Planilla_General_03-12-2012_9_3'!D764,"AAAAAFXeu7Q=")</f>
        <v>#VALUE!</v>
      </c>
      <c r="FZ48" t="e">
        <f>AND('Planilla_General_03-12-2012_9_3'!E764,"AAAAAFXeu7U=")</f>
        <v>#VALUE!</v>
      </c>
      <c r="GA48" t="e">
        <f>AND('Planilla_General_03-12-2012_9_3'!F764,"AAAAAFXeu7Y=")</f>
        <v>#VALUE!</v>
      </c>
      <c r="GB48" t="e">
        <f>AND('Planilla_General_03-12-2012_9_3'!G764,"AAAAAFXeu7c=")</f>
        <v>#VALUE!</v>
      </c>
      <c r="GC48" t="e">
        <f>AND('Planilla_General_03-12-2012_9_3'!H764,"AAAAAFXeu7g=")</f>
        <v>#VALUE!</v>
      </c>
      <c r="GD48" t="e">
        <f>AND('Planilla_General_03-12-2012_9_3'!I764,"AAAAAFXeu7k=")</f>
        <v>#VALUE!</v>
      </c>
      <c r="GE48" t="e">
        <f>AND('Planilla_General_03-12-2012_9_3'!J764,"AAAAAFXeu7o=")</f>
        <v>#VALUE!</v>
      </c>
      <c r="GF48" t="e">
        <f>AND('Planilla_General_03-12-2012_9_3'!K764,"AAAAAFXeu7s=")</f>
        <v>#VALUE!</v>
      </c>
      <c r="GG48" t="e">
        <f>AND('Planilla_General_03-12-2012_9_3'!L764,"AAAAAFXeu7w=")</f>
        <v>#VALUE!</v>
      </c>
      <c r="GH48" t="e">
        <f>AND('Planilla_General_03-12-2012_9_3'!M764,"AAAAAFXeu70=")</f>
        <v>#VALUE!</v>
      </c>
      <c r="GI48" t="e">
        <f>AND('Planilla_General_03-12-2012_9_3'!N764,"AAAAAFXeu74=")</f>
        <v>#VALUE!</v>
      </c>
      <c r="GJ48" t="e">
        <f>AND('Planilla_General_03-12-2012_9_3'!O764,"AAAAAFXeu78=")</f>
        <v>#VALUE!</v>
      </c>
      <c r="GK48">
        <f>IF('Planilla_General_03-12-2012_9_3'!765:765,"AAAAAFXeu8A=",0)</f>
        <v>0</v>
      </c>
      <c r="GL48" t="e">
        <f>AND('Planilla_General_03-12-2012_9_3'!A765,"AAAAAFXeu8E=")</f>
        <v>#VALUE!</v>
      </c>
      <c r="GM48" t="e">
        <f>AND('Planilla_General_03-12-2012_9_3'!B765,"AAAAAFXeu8I=")</f>
        <v>#VALUE!</v>
      </c>
      <c r="GN48" t="e">
        <f>AND('Planilla_General_03-12-2012_9_3'!C765,"AAAAAFXeu8M=")</f>
        <v>#VALUE!</v>
      </c>
      <c r="GO48" t="e">
        <f>AND('Planilla_General_03-12-2012_9_3'!D765,"AAAAAFXeu8Q=")</f>
        <v>#VALUE!</v>
      </c>
      <c r="GP48" t="e">
        <f>AND('Planilla_General_03-12-2012_9_3'!E765,"AAAAAFXeu8U=")</f>
        <v>#VALUE!</v>
      </c>
      <c r="GQ48" t="e">
        <f>AND('Planilla_General_03-12-2012_9_3'!F765,"AAAAAFXeu8Y=")</f>
        <v>#VALUE!</v>
      </c>
      <c r="GR48" t="e">
        <f>AND('Planilla_General_03-12-2012_9_3'!G765,"AAAAAFXeu8c=")</f>
        <v>#VALUE!</v>
      </c>
      <c r="GS48" t="e">
        <f>AND('Planilla_General_03-12-2012_9_3'!H765,"AAAAAFXeu8g=")</f>
        <v>#VALUE!</v>
      </c>
      <c r="GT48" t="e">
        <f>AND('Planilla_General_03-12-2012_9_3'!I765,"AAAAAFXeu8k=")</f>
        <v>#VALUE!</v>
      </c>
      <c r="GU48" t="e">
        <f>AND('Planilla_General_03-12-2012_9_3'!J765,"AAAAAFXeu8o=")</f>
        <v>#VALUE!</v>
      </c>
      <c r="GV48" t="e">
        <f>AND('Planilla_General_03-12-2012_9_3'!K765,"AAAAAFXeu8s=")</f>
        <v>#VALUE!</v>
      </c>
      <c r="GW48" t="e">
        <f>AND('Planilla_General_03-12-2012_9_3'!L765,"AAAAAFXeu8w=")</f>
        <v>#VALUE!</v>
      </c>
      <c r="GX48" t="e">
        <f>AND('Planilla_General_03-12-2012_9_3'!M765,"AAAAAFXeu80=")</f>
        <v>#VALUE!</v>
      </c>
      <c r="GY48" t="e">
        <f>AND('Planilla_General_03-12-2012_9_3'!N765,"AAAAAFXeu84=")</f>
        <v>#VALUE!</v>
      </c>
      <c r="GZ48" t="e">
        <f>AND('Planilla_General_03-12-2012_9_3'!O765,"AAAAAFXeu88=")</f>
        <v>#VALUE!</v>
      </c>
      <c r="HA48">
        <f>IF('Planilla_General_03-12-2012_9_3'!766:766,"AAAAAFXeu9A=",0)</f>
        <v>0</v>
      </c>
      <c r="HB48" t="e">
        <f>AND('Planilla_General_03-12-2012_9_3'!A766,"AAAAAFXeu9E=")</f>
        <v>#VALUE!</v>
      </c>
      <c r="HC48" t="e">
        <f>AND('Planilla_General_03-12-2012_9_3'!B766,"AAAAAFXeu9I=")</f>
        <v>#VALUE!</v>
      </c>
      <c r="HD48" t="e">
        <f>AND('Planilla_General_03-12-2012_9_3'!C766,"AAAAAFXeu9M=")</f>
        <v>#VALUE!</v>
      </c>
      <c r="HE48" t="e">
        <f>AND('Planilla_General_03-12-2012_9_3'!D766,"AAAAAFXeu9Q=")</f>
        <v>#VALUE!</v>
      </c>
      <c r="HF48" t="e">
        <f>AND('Planilla_General_03-12-2012_9_3'!E766,"AAAAAFXeu9U=")</f>
        <v>#VALUE!</v>
      </c>
      <c r="HG48" t="e">
        <f>AND('Planilla_General_03-12-2012_9_3'!F766,"AAAAAFXeu9Y=")</f>
        <v>#VALUE!</v>
      </c>
      <c r="HH48" t="e">
        <f>AND('Planilla_General_03-12-2012_9_3'!G766,"AAAAAFXeu9c=")</f>
        <v>#VALUE!</v>
      </c>
      <c r="HI48" t="e">
        <f>AND('Planilla_General_03-12-2012_9_3'!H766,"AAAAAFXeu9g=")</f>
        <v>#VALUE!</v>
      </c>
      <c r="HJ48" t="e">
        <f>AND('Planilla_General_03-12-2012_9_3'!I766,"AAAAAFXeu9k=")</f>
        <v>#VALUE!</v>
      </c>
      <c r="HK48" t="e">
        <f>AND('Planilla_General_03-12-2012_9_3'!J766,"AAAAAFXeu9o=")</f>
        <v>#VALUE!</v>
      </c>
      <c r="HL48" t="e">
        <f>AND('Planilla_General_03-12-2012_9_3'!K766,"AAAAAFXeu9s=")</f>
        <v>#VALUE!</v>
      </c>
      <c r="HM48" t="e">
        <f>AND('Planilla_General_03-12-2012_9_3'!L766,"AAAAAFXeu9w=")</f>
        <v>#VALUE!</v>
      </c>
      <c r="HN48" t="e">
        <f>AND('Planilla_General_03-12-2012_9_3'!M766,"AAAAAFXeu90=")</f>
        <v>#VALUE!</v>
      </c>
      <c r="HO48" t="e">
        <f>AND('Planilla_General_03-12-2012_9_3'!N766,"AAAAAFXeu94=")</f>
        <v>#VALUE!</v>
      </c>
      <c r="HP48" t="e">
        <f>AND('Planilla_General_03-12-2012_9_3'!O766,"AAAAAFXeu98=")</f>
        <v>#VALUE!</v>
      </c>
      <c r="HQ48">
        <f>IF('Planilla_General_03-12-2012_9_3'!767:767,"AAAAAFXeu+A=",0)</f>
        <v>0</v>
      </c>
      <c r="HR48" t="e">
        <f>AND('Planilla_General_03-12-2012_9_3'!A767,"AAAAAFXeu+E=")</f>
        <v>#VALUE!</v>
      </c>
      <c r="HS48" t="e">
        <f>AND('Planilla_General_03-12-2012_9_3'!B767,"AAAAAFXeu+I=")</f>
        <v>#VALUE!</v>
      </c>
      <c r="HT48" t="e">
        <f>AND('Planilla_General_03-12-2012_9_3'!C767,"AAAAAFXeu+M=")</f>
        <v>#VALUE!</v>
      </c>
      <c r="HU48" t="e">
        <f>AND('Planilla_General_03-12-2012_9_3'!D767,"AAAAAFXeu+Q=")</f>
        <v>#VALUE!</v>
      </c>
      <c r="HV48" t="e">
        <f>AND('Planilla_General_03-12-2012_9_3'!E767,"AAAAAFXeu+U=")</f>
        <v>#VALUE!</v>
      </c>
      <c r="HW48" t="e">
        <f>AND('Planilla_General_03-12-2012_9_3'!F767,"AAAAAFXeu+Y=")</f>
        <v>#VALUE!</v>
      </c>
      <c r="HX48" t="e">
        <f>AND('Planilla_General_03-12-2012_9_3'!G767,"AAAAAFXeu+c=")</f>
        <v>#VALUE!</v>
      </c>
      <c r="HY48" t="e">
        <f>AND('Planilla_General_03-12-2012_9_3'!H767,"AAAAAFXeu+g=")</f>
        <v>#VALUE!</v>
      </c>
      <c r="HZ48" t="e">
        <f>AND('Planilla_General_03-12-2012_9_3'!I767,"AAAAAFXeu+k=")</f>
        <v>#VALUE!</v>
      </c>
      <c r="IA48" t="e">
        <f>AND('Planilla_General_03-12-2012_9_3'!J767,"AAAAAFXeu+o=")</f>
        <v>#VALUE!</v>
      </c>
      <c r="IB48" t="e">
        <f>AND('Planilla_General_03-12-2012_9_3'!K767,"AAAAAFXeu+s=")</f>
        <v>#VALUE!</v>
      </c>
      <c r="IC48" t="e">
        <f>AND('Planilla_General_03-12-2012_9_3'!L767,"AAAAAFXeu+w=")</f>
        <v>#VALUE!</v>
      </c>
      <c r="ID48" t="e">
        <f>AND('Planilla_General_03-12-2012_9_3'!M767,"AAAAAFXeu+0=")</f>
        <v>#VALUE!</v>
      </c>
      <c r="IE48" t="e">
        <f>AND('Planilla_General_03-12-2012_9_3'!N767,"AAAAAFXeu+4=")</f>
        <v>#VALUE!</v>
      </c>
      <c r="IF48" t="e">
        <f>AND('Planilla_General_03-12-2012_9_3'!O767,"AAAAAFXeu+8=")</f>
        <v>#VALUE!</v>
      </c>
      <c r="IG48">
        <f>IF('Planilla_General_03-12-2012_9_3'!768:768,"AAAAAFXeu/A=",0)</f>
        <v>0</v>
      </c>
      <c r="IH48" t="e">
        <f>AND('Planilla_General_03-12-2012_9_3'!A768,"AAAAAFXeu/E=")</f>
        <v>#VALUE!</v>
      </c>
      <c r="II48" t="e">
        <f>AND('Planilla_General_03-12-2012_9_3'!B768,"AAAAAFXeu/I=")</f>
        <v>#VALUE!</v>
      </c>
      <c r="IJ48" t="e">
        <f>AND('Planilla_General_03-12-2012_9_3'!C768,"AAAAAFXeu/M=")</f>
        <v>#VALUE!</v>
      </c>
      <c r="IK48" t="e">
        <f>AND('Planilla_General_03-12-2012_9_3'!D768,"AAAAAFXeu/Q=")</f>
        <v>#VALUE!</v>
      </c>
      <c r="IL48" t="e">
        <f>AND('Planilla_General_03-12-2012_9_3'!E768,"AAAAAFXeu/U=")</f>
        <v>#VALUE!</v>
      </c>
      <c r="IM48" t="e">
        <f>AND('Planilla_General_03-12-2012_9_3'!F768,"AAAAAFXeu/Y=")</f>
        <v>#VALUE!</v>
      </c>
      <c r="IN48" t="e">
        <f>AND('Planilla_General_03-12-2012_9_3'!G768,"AAAAAFXeu/c=")</f>
        <v>#VALUE!</v>
      </c>
      <c r="IO48" t="e">
        <f>AND('Planilla_General_03-12-2012_9_3'!H768,"AAAAAFXeu/g=")</f>
        <v>#VALUE!</v>
      </c>
      <c r="IP48" t="e">
        <f>AND('Planilla_General_03-12-2012_9_3'!I768,"AAAAAFXeu/k=")</f>
        <v>#VALUE!</v>
      </c>
      <c r="IQ48" t="e">
        <f>AND('Planilla_General_03-12-2012_9_3'!J768,"AAAAAFXeu/o=")</f>
        <v>#VALUE!</v>
      </c>
      <c r="IR48" t="e">
        <f>AND('Planilla_General_03-12-2012_9_3'!K768,"AAAAAFXeu/s=")</f>
        <v>#VALUE!</v>
      </c>
      <c r="IS48" t="e">
        <f>AND('Planilla_General_03-12-2012_9_3'!L768,"AAAAAFXeu/w=")</f>
        <v>#VALUE!</v>
      </c>
      <c r="IT48" t="e">
        <f>AND('Planilla_General_03-12-2012_9_3'!M768,"AAAAAFXeu/0=")</f>
        <v>#VALUE!</v>
      </c>
      <c r="IU48" t="e">
        <f>AND('Planilla_General_03-12-2012_9_3'!N768,"AAAAAFXeu/4=")</f>
        <v>#VALUE!</v>
      </c>
      <c r="IV48" t="e">
        <f>AND('Planilla_General_03-12-2012_9_3'!O768,"AAAAAFXeu/8=")</f>
        <v>#VALUE!</v>
      </c>
    </row>
    <row r="49" spans="1:256" x14ac:dyDescent="0.25">
      <c r="A49" t="e">
        <f>IF('Planilla_General_03-12-2012_9_3'!769:769,"AAAAAG98/wA=",0)</f>
        <v>#VALUE!</v>
      </c>
      <c r="B49" t="e">
        <f>AND('Planilla_General_03-12-2012_9_3'!A769,"AAAAAG98/wE=")</f>
        <v>#VALUE!</v>
      </c>
      <c r="C49" t="e">
        <f>AND('Planilla_General_03-12-2012_9_3'!B769,"AAAAAG98/wI=")</f>
        <v>#VALUE!</v>
      </c>
      <c r="D49" t="e">
        <f>AND('Planilla_General_03-12-2012_9_3'!C769,"AAAAAG98/wM=")</f>
        <v>#VALUE!</v>
      </c>
      <c r="E49" t="e">
        <f>AND('Planilla_General_03-12-2012_9_3'!D769,"AAAAAG98/wQ=")</f>
        <v>#VALUE!</v>
      </c>
      <c r="F49" t="e">
        <f>AND('Planilla_General_03-12-2012_9_3'!E769,"AAAAAG98/wU=")</f>
        <v>#VALUE!</v>
      </c>
      <c r="G49" t="e">
        <f>AND('Planilla_General_03-12-2012_9_3'!F769,"AAAAAG98/wY=")</f>
        <v>#VALUE!</v>
      </c>
      <c r="H49" t="e">
        <f>AND('Planilla_General_03-12-2012_9_3'!G769,"AAAAAG98/wc=")</f>
        <v>#VALUE!</v>
      </c>
      <c r="I49" t="e">
        <f>AND('Planilla_General_03-12-2012_9_3'!H769,"AAAAAG98/wg=")</f>
        <v>#VALUE!</v>
      </c>
      <c r="J49" t="e">
        <f>AND('Planilla_General_03-12-2012_9_3'!I769,"AAAAAG98/wk=")</f>
        <v>#VALUE!</v>
      </c>
      <c r="K49" t="e">
        <f>AND('Planilla_General_03-12-2012_9_3'!J769,"AAAAAG98/wo=")</f>
        <v>#VALUE!</v>
      </c>
      <c r="L49" t="e">
        <f>AND('Planilla_General_03-12-2012_9_3'!K769,"AAAAAG98/ws=")</f>
        <v>#VALUE!</v>
      </c>
      <c r="M49" t="e">
        <f>AND('Planilla_General_03-12-2012_9_3'!L769,"AAAAAG98/ww=")</f>
        <v>#VALUE!</v>
      </c>
      <c r="N49" t="e">
        <f>AND('Planilla_General_03-12-2012_9_3'!M769,"AAAAAG98/w0=")</f>
        <v>#VALUE!</v>
      </c>
      <c r="O49" t="e">
        <f>AND('Planilla_General_03-12-2012_9_3'!N769,"AAAAAG98/w4=")</f>
        <v>#VALUE!</v>
      </c>
      <c r="P49" t="e">
        <f>AND('Planilla_General_03-12-2012_9_3'!O769,"AAAAAG98/w8=")</f>
        <v>#VALUE!</v>
      </c>
      <c r="Q49">
        <f>IF('Planilla_General_03-12-2012_9_3'!770:770,"AAAAAG98/xA=",0)</f>
        <v>0</v>
      </c>
      <c r="R49" t="e">
        <f>AND('Planilla_General_03-12-2012_9_3'!A770,"AAAAAG98/xE=")</f>
        <v>#VALUE!</v>
      </c>
      <c r="S49" t="e">
        <f>AND('Planilla_General_03-12-2012_9_3'!B770,"AAAAAG98/xI=")</f>
        <v>#VALUE!</v>
      </c>
      <c r="T49" t="e">
        <f>AND('Planilla_General_03-12-2012_9_3'!C770,"AAAAAG98/xM=")</f>
        <v>#VALUE!</v>
      </c>
      <c r="U49" t="e">
        <f>AND('Planilla_General_03-12-2012_9_3'!D770,"AAAAAG98/xQ=")</f>
        <v>#VALUE!</v>
      </c>
      <c r="V49" t="e">
        <f>AND('Planilla_General_03-12-2012_9_3'!E770,"AAAAAG98/xU=")</f>
        <v>#VALUE!</v>
      </c>
      <c r="W49" t="e">
        <f>AND('Planilla_General_03-12-2012_9_3'!F770,"AAAAAG98/xY=")</f>
        <v>#VALUE!</v>
      </c>
      <c r="X49" t="e">
        <f>AND('Planilla_General_03-12-2012_9_3'!G770,"AAAAAG98/xc=")</f>
        <v>#VALUE!</v>
      </c>
      <c r="Y49" t="e">
        <f>AND('Planilla_General_03-12-2012_9_3'!H770,"AAAAAG98/xg=")</f>
        <v>#VALUE!</v>
      </c>
      <c r="Z49" t="e">
        <f>AND('Planilla_General_03-12-2012_9_3'!I770,"AAAAAG98/xk=")</f>
        <v>#VALUE!</v>
      </c>
      <c r="AA49" t="e">
        <f>AND('Planilla_General_03-12-2012_9_3'!J770,"AAAAAG98/xo=")</f>
        <v>#VALUE!</v>
      </c>
      <c r="AB49" t="e">
        <f>AND('Planilla_General_03-12-2012_9_3'!K770,"AAAAAG98/xs=")</f>
        <v>#VALUE!</v>
      </c>
      <c r="AC49" t="e">
        <f>AND('Planilla_General_03-12-2012_9_3'!L770,"AAAAAG98/xw=")</f>
        <v>#VALUE!</v>
      </c>
      <c r="AD49" t="e">
        <f>AND('Planilla_General_03-12-2012_9_3'!M770,"AAAAAG98/x0=")</f>
        <v>#VALUE!</v>
      </c>
      <c r="AE49" t="e">
        <f>AND('Planilla_General_03-12-2012_9_3'!N770,"AAAAAG98/x4=")</f>
        <v>#VALUE!</v>
      </c>
      <c r="AF49" t="e">
        <f>AND('Planilla_General_03-12-2012_9_3'!O770,"AAAAAG98/x8=")</f>
        <v>#VALUE!</v>
      </c>
      <c r="AG49">
        <f>IF('Planilla_General_03-12-2012_9_3'!771:771,"AAAAAG98/yA=",0)</f>
        <v>0</v>
      </c>
      <c r="AH49" t="e">
        <f>AND('Planilla_General_03-12-2012_9_3'!A771,"AAAAAG98/yE=")</f>
        <v>#VALUE!</v>
      </c>
      <c r="AI49" t="e">
        <f>AND('Planilla_General_03-12-2012_9_3'!B771,"AAAAAG98/yI=")</f>
        <v>#VALUE!</v>
      </c>
      <c r="AJ49" t="e">
        <f>AND('Planilla_General_03-12-2012_9_3'!C771,"AAAAAG98/yM=")</f>
        <v>#VALUE!</v>
      </c>
      <c r="AK49" t="e">
        <f>AND('Planilla_General_03-12-2012_9_3'!D771,"AAAAAG98/yQ=")</f>
        <v>#VALUE!</v>
      </c>
      <c r="AL49" t="e">
        <f>AND('Planilla_General_03-12-2012_9_3'!E771,"AAAAAG98/yU=")</f>
        <v>#VALUE!</v>
      </c>
      <c r="AM49" t="e">
        <f>AND('Planilla_General_03-12-2012_9_3'!F771,"AAAAAG98/yY=")</f>
        <v>#VALUE!</v>
      </c>
      <c r="AN49" t="e">
        <f>AND('Planilla_General_03-12-2012_9_3'!G771,"AAAAAG98/yc=")</f>
        <v>#VALUE!</v>
      </c>
      <c r="AO49" t="e">
        <f>AND('Planilla_General_03-12-2012_9_3'!H771,"AAAAAG98/yg=")</f>
        <v>#VALUE!</v>
      </c>
      <c r="AP49" t="e">
        <f>AND('Planilla_General_03-12-2012_9_3'!I771,"AAAAAG98/yk=")</f>
        <v>#VALUE!</v>
      </c>
      <c r="AQ49" t="e">
        <f>AND('Planilla_General_03-12-2012_9_3'!J771,"AAAAAG98/yo=")</f>
        <v>#VALUE!</v>
      </c>
      <c r="AR49" t="e">
        <f>AND('Planilla_General_03-12-2012_9_3'!K771,"AAAAAG98/ys=")</f>
        <v>#VALUE!</v>
      </c>
      <c r="AS49" t="e">
        <f>AND('Planilla_General_03-12-2012_9_3'!L771,"AAAAAG98/yw=")</f>
        <v>#VALUE!</v>
      </c>
      <c r="AT49" t="e">
        <f>AND('Planilla_General_03-12-2012_9_3'!M771,"AAAAAG98/y0=")</f>
        <v>#VALUE!</v>
      </c>
      <c r="AU49" t="e">
        <f>AND('Planilla_General_03-12-2012_9_3'!N771,"AAAAAG98/y4=")</f>
        <v>#VALUE!</v>
      </c>
      <c r="AV49" t="e">
        <f>AND('Planilla_General_03-12-2012_9_3'!O771,"AAAAAG98/y8=")</f>
        <v>#VALUE!</v>
      </c>
      <c r="AW49">
        <f>IF('Planilla_General_03-12-2012_9_3'!772:772,"AAAAAG98/zA=",0)</f>
        <v>0</v>
      </c>
      <c r="AX49" t="e">
        <f>AND('Planilla_General_03-12-2012_9_3'!A772,"AAAAAG98/zE=")</f>
        <v>#VALUE!</v>
      </c>
      <c r="AY49" t="e">
        <f>AND('Planilla_General_03-12-2012_9_3'!B772,"AAAAAG98/zI=")</f>
        <v>#VALUE!</v>
      </c>
      <c r="AZ49" t="e">
        <f>AND('Planilla_General_03-12-2012_9_3'!C772,"AAAAAG98/zM=")</f>
        <v>#VALUE!</v>
      </c>
      <c r="BA49" t="e">
        <f>AND('Planilla_General_03-12-2012_9_3'!D772,"AAAAAG98/zQ=")</f>
        <v>#VALUE!</v>
      </c>
      <c r="BB49" t="e">
        <f>AND('Planilla_General_03-12-2012_9_3'!E772,"AAAAAG98/zU=")</f>
        <v>#VALUE!</v>
      </c>
      <c r="BC49" t="e">
        <f>AND('Planilla_General_03-12-2012_9_3'!F772,"AAAAAG98/zY=")</f>
        <v>#VALUE!</v>
      </c>
      <c r="BD49" t="e">
        <f>AND('Planilla_General_03-12-2012_9_3'!G772,"AAAAAG98/zc=")</f>
        <v>#VALUE!</v>
      </c>
      <c r="BE49" t="e">
        <f>AND('Planilla_General_03-12-2012_9_3'!H772,"AAAAAG98/zg=")</f>
        <v>#VALUE!</v>
      </c>
      <c r="BF49" t="e">
        <f>AND('Planilla_General_03-12-2012_9_3'!I772,"AAAAAG98/zk=")</f>
        <v>#VALUE!</v>
      </c>
      <c r="BG49" t="e">
        <f>AND('Planilla_General_03-12-2012_9_3'!J772,"AAAAAG98/zo=")</f>
        <v>#VALUE!</v>
      </c>
      <c r="BH49" t="e">
        <f>AND('Planilla_General_03-12-2012_9_3'!K772,"AAAAAG98/zs=")</f>
        <v>#VALUE!</v>
      </c>
      <c r="BI49" t="e">
        <f>AND('Planilla_General_03-12-2012_9_3'!L772,"AAAAAG98/zw=")</f>
        <v>#VALUE!</v>
      </c>
      <c r="BJ49" t="e">
        <f>AND('Planilla_General_03-12-2012_9_3'!M772,"AAAAAG98/z0=")</f>
        <v>#VALUE!</v>
      </c>
      <c r="BK49" t="e">
        <f>AND('Planilla_General_03-12-2012_9_3'!N772,"AAAAAG98/z4=")</f>
        <v>#VALUE!</v>
      </c>
      <c r="BL49" t="e">
        <f>AND('Planilla_General_03-12-2012_9_3'!O772,"AAAAAG98/z8=")</f>
        <v>#VALUE!</v>
      </c>
      <c r="BM49">
        <f>IF('Planilla_General_03-12-2012_9_3'!773:773,"AAAAAG98/0A=",0)</f>
        <v>0</v>
      </c>
      <c r="BN49" t="e">
        <f>AND('Planilla_General_03-12-2012_9_3'!A773,"AAAAAG98/0E=")</f>
        <v>#VALUE!</v>
      </c>
      <c r="BO49" t="e">
        <f>AND('Planilla_General_03-12-2012_9_3'!B773,"AAAAAG98/0I=")</f>
        <v>#VALUE!</v>
      </c>
      <c r="BP49" t="e">
        <f>AND('Planilla_General_03-12-2012_9_3'!C773,"AAAAAG98/0M=")</f>
        <v>#VALUE!</v>
      </c>
      <c r="BQ49" t="e">
        <f>AND('Planilla_General_03-12-2012_9_3'!D773,"AAAAAG98/0Q=")</f>
        <v>#VALUE!</v>
      </c>
      <c r="BR49" t="e">
        <f>AND('Planilla_General_03-12-2012_9_3'!E773,"AAAAAG98/0U=")</f>
        <v>#VALUE!</v>
      </c>
      <c r="BS49" t="e">
        <f>AND('Planilla_General_03-12-2012_9_3'!F773,"AAAAAG98/0Y=")</f>
        <v>#VALUE!</v>
      </c>
      <c r="BT49" t="e">
        <f>AND('Planilla_General_03-12-2012_9_3'!G773,"AAAAAG98/0c=")</f>
        <v>#VALUE!</v>
      </c>
      <c r="BU49" t="e">
        <f>AND('Planilla_General_03-12-2012_9_3'!H773,"AAAAAG98/0g=")</f>
        <v>#VALUE!</v>
      </c>
      <c r="BV49" t="e">
        <f>AND('Planilla_General_03-12-2012_9_3'!I773,"AAAAAG98/0k=")</f>
        <v>#VALUE!</v>
      </c>
      <c r="BW49" t="e">
        <f>AND('Planilla_General_03-12-2012_9_3'!J773,"AAAAAG98/0o=")</f>
        <v>#VALUE!</v>
      </c>
      <c r="BX49" t="e">
        <f>AND('Planilla_General_03-12-2012_9_3'!K773,"AAAAAG98/0s=")</f>
        <v>#VALUE!</v>
      </c>
      <c r="BY49" t="e">
        <f>AND('Planilla_General_03-12-2012_9_3'!L773,"AAAAAG98/0w=")</f>
        <v>#VALUE!</v>
      </c>
      <c r="BZ49" t="e">
        <f>AND('Planilla_General_03-12-2012_9_3'!M773,"AAAAAG98/00=")</f>
        <v>#VALUE!</v>
      </c>
      <c r="CA49" t="e">
        <f>AND('Planilla_General_03-12-2012_9_3'!N773,"AAAAAG98/04=")</f>
        <v>#VALUE!</v>
      </c>
      <c r="CB49" t="e">
        <f>AND('Planilla_General_03-12-2012_9_3'!O773,"AAAAAG98/08=")</f>
        <v>#VALUE!</v>
      </c>
      <c r="CC49">
        <f>IF('Planilla_General_03-12-2012_9_3'!774:774,"AAAAAG98/1A=",0)</f>
        <v>0</v>
      </c>
      <c r="CD49" t="e">
        <f>AND('Planilla_General_03-12-2012_9_3'!A774,"AAAAAG98/1E=")</f>
        <v>#VALUE!</v>
      </c>
      <c r="CE49" t="e">
        <f>AND('Planilla_General_03-12-2012_9_3'!B774,"AAAAAG98/1I=")</f>
        <v>#VALUE!</v>
      </c>
      <c r="CF49" t="e">
        <f>AND('Planilla_General_03-12-2012_9_3'!C774,"AAAAAG98/1M=")</f>
        <v>#VALUE!</v>
      </c>
      <c r="CG49" t="e">
        <f>AND('Planilla_General_03-12-2012_9_3'!D774,"AAAAAG98/1Q=")</f>
        <v>#VALUE!</v>
      </c>
      <c r="CH49" t="e">
        <f>AND('Planilla_General_03-12-2012_9_3'!E774,"AAAAAG98/1U=")</f>
        <v>#VALUE!</v>
      </c>
      <c r="CI49" t="e">
        <f>AND('Planilla_General_03-12-2012_9_3'!F774,"AAAAAG98/1Y=")</f>
        <v>#VALUE!</v>
      </c>
      <c r="CJ49" t="e">
        <f>AND('Planilla_General_03-12-2012_9_3'!G774,"AAAAAG98/1c=")</f>
        <v>#VALUE!</v>
      </c>
      <c r="CK49" t="e">
        <f>AND('Planilla_General_03-12-2012_9_3'!H774,"AAAAAG98/1g=")</f>
        <v>#VALUE!</v>
      </c>
      <c r="CL49" t="e">
        <f>AND('Planilla_General_03-12-2012_9_3'!I774,"AAAAAG98/1k=")</f>
        <v>#VALUE!</v>
      </c>
      <c r="CM49" t="e">
        <f>AND('Planilla_General_03-12-2012_9_3'!J774,"AAAAAG98/1o=")</f>
        <v>#VALUE!</v>
      </c>
      <c r="CN49" t="e">
        <f>AND('Planilla_General_03-12-2012_9_3'!K774,"AAAAAG98/1s=")</f>
        <v>#VALUE!</v>
      </c>
      <c r="CO49" t="e">
        <f>AND('Planilla_General_03-12-2012_9_3'!L774,"AAAAAG98/1w=")</f>
        <v>#VALUE!</v>
      </c>
      <c r="CP49" t="e">
        <f>AND('Planilla_General_03-12-2012_9_3'!M774,"AAAAAG98/10=")</f>
        <v>#VALUE!</v>
      </c>
      <c r="CQ49" t="e">
        <f>AND('Planilla_General_03-12-2012_9_3'!N774,"AAAAAG98/14=")</f>
        <v>#VALUE!</v>
      </c>
      <c r="CR49" t="e">
        <f>AND('Planilla_General_03-12-2012_9_3'!O774,"AAAAAG98/18=")</f>
        <v>#VALUE!</v>
      </c>
      <c r="CS49">
        <f>IF('Planilla_General_03-12-2012_9_3'!775:775,"AAAAAG98/2A=",0)</f>
        <v>0</v>
      </c>
      <c r="CT49" t="e">
        <f>AND('Planilla_General_03-12-2012_9_3'!A775,"AAAAAG98/2E=")</f>
        <v>#VALUE!</v>
      </c>
      <c r="CU49" t="e">
        <f>AND('Planilla_General_03-12-2012_9_3'!B775,"AAAAAG98/2I=")</f>
        <v>#VALUE!</v>
      </c>
      <c r="CV49" t="e">
        <f>AND('Planilla_General_03-12-2012_9_3'!C775,"AAAAAG98/2M=")</f>
        <v>#VALUE!</v>
      </c>
      <c r="CW49" t="e">
        <f>AND('Planilla_General_03-12-2012_9_3'!D775,"AAAAAG98/2Q=")</f>
        <v>#VALUE!</v>
      </c>
      <c r="CX49" t="e">
        <f>AND('Planilla_General_03-12-2012_9_3'!E775,"AAAAAG98/2U=")</f>
        <v>#VALUE!</v>
      </c>
      <c r="CY49" t="e">
        <f>AND('Planilla_General_03-12-2012_9_3'!F775,"AAAAAG98/2Y=")</f>
        <v>#VALUE!</v>
      </c>
      <c r="CZ49" t="e">
        <f>AND('Planilla_General_03-12-2012_9_3'!G775,"AAAAAG98/2c=")</f>
        <v>#VALUE!</v>
      </c>
      <c r="DA49" t="e">
        <f>AND('Planilla_General_03-12-2012_9_3'!H775,"AAAAAG98/2g=")</f>
        <v>#VALUE!</v>
      </c>
      <c r="DB49" t="e">
        <f>AND('Planilla_General_03-12-2012_9_3'!I775,"AAAAAG98/2k=")</f>
        <v>#VALUE!</v>
      </c>
      <c r="DC49" t="e">
        <f>AND('Planilla_General_03-12-2012_9_3'!J775,"AAAAAG98/2o=")</f>
        <v>#VALUE!</v>
      </c>
      <c r="DD49" t="e">
        <f>AND('Planilla_General_03-12-2012_9_3'!K775,"AAAAAG98/2s=")</f>
        <v>#VALUE!</v>
      </c>
      <c r="DE49" t="e">
        <f>AND('Planilla_General_03-12-2012_9_3'!L775,"AAAAAG98/2w=")</f>
        <v>#VALUE!</v>
      </c>
      <c r="DF49" t="e">
        <f>AND('Planilla_General_03-12-2012_9_3'!M775,"AAAAAG98/20=")</f>
        <v>#VALUE!</v>
      </c>
      <c r="DG49" t="e">
        <f>AND('Planilla_General_03-12-2012_9_3'!N775,"AAAAAG98/24=")</f>
        <v>#VALUE!</v>
      </c>
      <c r="DH49" t="e">
        <f>AND('Planilla_General_03-12-2012_9_3'!O775,"AAAAAG98/28=")</f>
        <v>#VALUE!</v>
      </c>
      <c r="DI49">
        <f>IF('Planilla_General_03-12-2012_9_3'!776:776,"AAAAAG98/3A=",0)</f>
        <v>0</v>
      </c>
      <c r="DJ49" t="e">
        <f>AND('Planilla_General_03-12-2012_9_3'!A776,"AAAAAG98/3E=")</f>
        <v>#VALUE!</v>
      </c>
      <c r="DK49" t="e">
        <f>AND('Planilla_General_03-12-2012_9_3'!B776,"AAAAAG98/3I=")</f>
        <v>#VALUE!</v>
      </c>
      <c r="DL49" t="e">
        <f>AND('Planilla_General_03-12-2012_9_3'!C776,"AAAAAG98/3M=")</f>
        <v>#VALUE!</v>
      </c>
      <c r="DM49" t="e">
        <f>AND('Planilla_General_03-12-2012_9_3'!D776,"AAAAAG98/3Q=")</f>
        <v>#VALUE!</v>
      </c>
      <c r="DN49" t="e">
        <f>AND('Planilla_General_03-12-2012_9_3'!E776,"AAAAAG98/3U=")</f>
        <v>#VALUE!</v>
      </c>
      <c r="DO49" t="e">
        <f>AND('Planilla_General_03-12-2012_9_3'!F776,"AAAAAG98/3Y=")</f>
        <v>#VALUE!</v>
      </c>
      <c r="DP49" t="e">
        <f>AND('Planilla_General_03-12-2012_9_3'!G776,"AAAAAG98/3c=")</f>
        <v>#VALUE!</v>
      </c>
      <c r="DQ49" t="e">
        <f>AND('Planilla_General_03-12-2012_9_3'!H776,"AAAAAG98/3g=")</f>
        <v>#VALUE!</v>
      </c>
      <c r="DR49" t="e">
        <f>AND('Planilla_General_03-12-2012_9_3'!I776,"AAAAAG98/3k=")</f>
        <v>#VALUE!</v>
      </c>
      <c r="DS49" t="e">
        <f>AND('Planilla_General_03-12-2012_9_3'!J776,"AAAAAG98/3o=")</f>
        <v>#VALUE!</v>
      </c>
      <c r="DT49" t="e">
        <f>AND('Planilla_General_03-12-2012_9_3'!K776,"AAAAAG98/3s=")</f>
        <v>#VALUE!</v>
      </c>
      <c r="DU49" t="e">
        <f>AND('Planilla_General_03-12-2012_9_3'!L776,"AAAAAG98/3w=")</f>
        <v>#VALUE!</v>
      </c>
      <c r="DV49" t="e">
        <f>AND('Planilla_General_03-12-2012_9_3'!M776,"AAAAAG98/30=")</f>
        <v>#VALUE!</v>
      </c>
      <c r="DW49" t="e">
        <f>AND('Planilla_General_03-12-2012_9_3'!N776,"AAAAAG98/34=")</f>
        <v>#VALUE!</v>
      </c>
      <c r="DX49" t="e">
        <f>AND('Planilla_General_03-12-2012_9_3'!O776,"AAAAAG98/38=")</f>
        <v>#VALUE!</v>
      </c>
      <c r="DY49">
        <f>IF('Planilla_General_03-12-2012_9_3'!777:777,"AAAAAG98/4A=",0)</f>
        <v>0</v>
      </c>
      <c r="DZ49" t="e">
        <f>AND('Planilla_General_03-12-2012_9_3'!A777,"AAAAAG98/4E=")</f>
        <v>#VALUE!</v>
      </c>
      <c r="EA49" t="e">
        <f>AND('Planilla_General_03-12-2012_9_3'!B777,"AAAAAG98/4I=")</f>
        <v>#VALUE!</v>
      </c>
      <c r="EB49" t="e">
        <f>AND('Planilla_General_03-12-2012_9_3'!C777,"AAAAAG98/4M=")</f>
        <v>#VALUE!</v>
      </c>
      <c r="EC49" t="e">
        <f>AND('Planilla_General_03-12-2012_9_3'!D777,"AAAAAG98/4Q=")</f>
        <v>#VALUE!</v>
      </c>
      <c r="ED49" t="e">
        <f>AND('Planilla_General_03-12-2012_9_3'!E777,"AAAAAG98/4U=")</f>
        <v>#VALUE!</v>
      </c>
      <c r="EE49" t="e">
        <f>AND('Planilla_General_03-12-2012_9_3'!F777,"AAAAAG98/4Y=")</f>
        <v>#VALUE!</v>
      </c>
      <c r="EF49" t="e">
        <f>AND('Planilla_General_03-12-2012_9_3'!G777,"AAAAAG98/4c=")</f>
        <v>#VALUE!</v>
      </c>
      <c r="EG49" t="e">
        <f>AND('Planilla_General_03-12-2012_9_3'!H777,"AAAAAG98/4g=")</f>
        <v>#VALUE!</v>
      </c>
      <c r="EH49" t="e">
        <f>AND('Planilla_General_03-12-2012_9_3'!I777,"AAAAAG98/4k=")</f>
        <v>#VALUE!</v>
      </c>
      <c r="EI49" t="e">
        <f>AND('Planilla_General_03-12-2012_9_3'!J777,"AAAAAG98/4o=")</f>
        <v>#VALUE!</v>
      </c>
      <c r="EJ49" t="e">
        <f>AND('Planilla_General_03-12-2012_9_3'!K777,"AAAAAG98/4s=")</f>
        <v>#VALUE!</v>
      </c>
      <c r="EK49" t="e">
        <f>AND('Planilla_General_03-12-2012_9_3'!L777,"AAAAAG98/4w=")</f>
        <v>#VALUE!</v>
      </c>
      <c r="EL49" t="e">
        <f>AND('Planilla_General_03-12-2012_9_3'!M777,"AAAAAG98/40=")</f>
        <v>#VALUE!</v>
      </c>
      <c r="EM49" t="e">
        <f>AND('Planilla_General_03-12-2012_9_3'!N777,"AAAAAG98/44=")</f>
        <v>#VALUE!</v>
      </c>
      <c r="EN49" t="e">
        <f>AND('Planilla_General_03-12-2012_9_3'!O777,"AAAAAG98/48=")</f>
        <v>#VALUE!</v>
      </c>
      <c r="EO49">
        <f>IF('Planilla_General_03-12-2012_9_3'!778:778,"AAAAAG98/5A=",0)</f>
        <v>0</v>
      </c>
      <c r="EP49" t="e">
        <f>AND('Planilla_General_03-12-2012_9_3'!A778,"AAAAAG98/5E=")</f>
        <v>#VALUE!</v>
      </c>
      <c r="EQ49" t="e">
        <f>AND('Planilla_General_03-12-2012_9_3'!B778,"AAAAAG98/5I=")</f>
        <v>#VALUE!</v>
      </c>
      <c r="ER49" t="e">
        <f>AND('Planilla_General_03-12-2012_9_3'!C778,"AAAAAG98/5M=")</f>
        <v>#VALUE!</v>
      </c>
      <c r="ES49" t="e">
        <f>AND('Planilla_General_03-12-2012_9_3'!D778,"AAAAAG98/5Q=")</f>
        <v>#VALUE!</v>
      </c>
      <c r="ET49" t="e">
        <f>AND('Planilla_General_03-12-2012_9_3'!E778,"AAAAAG98/5U=")</f>
        <v>#VALUE!</v>
      </c>
      <c r="EU49" t="e">
        <f>AND('Planilla_General_03-12-2012_9_3'!F778,"AAAAAG98/5Y=")</f>
        <v>#VALUE!</v>
      </c>
      <c r="EV49" t="e">
        <f>AND('Planilla_General_03-12-2012_9_3'!G778,"AAAAAG98/5c=")</f>
        <v>#VALUE!</v>
      </c>
      <c r="EW49" t="e">
        <f>AND('Planilla_General_03-12-2012_9_3'!H778,"AAAAAG98/5g=")</f>
        <v>#VALUE!</v>
      </c>
      <c r="EX49" t="e">
        <f>AND('Planilla_General_03-12-2012_9_3'!I778,"AAAAAG98/5k=")</f>
        <v>#VALUE!</v>
      </c>
      <c r="EY49" t="e">
        <f>AND('Planilla_General_03-12-2012_9_3'!J778,"AAAAAG98/5o=")</f>
        <v>#VALUE!</v>
      </c>
      <c r="EZ49" t="e">
        <f>AND('Planilla_General_03-12-2012_9_3'!K778,"AAAAAG98/5s=")</f>
        <v>#VALUE!</v>
      </c>
      <c r="FA49" t="e">
        <f>AND('Planilla_General_03-12-2012_9_3'!L778,"AAAAAG98/5w=")</f>
        <v>#VALUE!</v>
      </c>
      <c r="FB49" t="e">
        <f>AND('Planilla_General_03-12-2012_9_3'!M778,"AAAAAG98/50=")</f>
        <v>#VALUE!</v>
      </c>
      <c r="FC49" t="e">
        <f>AND('Planilla_General_03-12-2012_9_3'!N778,"AAAAAG98/54=")</f>
        <v>#VALUE!</v>
      </c>
      <c r="FD49" t="e">
        <f>AND('Planilla_General_03-12-2012_9_3'!O778,"AAAAAG98/58=")</f>
        <v>#VALUE!</v>
      </c>
      <c r="FE49">
        <f>IF('Planilla_General_03-12-2012_9_3'!779:779,"AAAAAG98/6A=",0)</f>
        <v>0</v>
      </c>
      <c r="FF49" t="e">
        <f>AND('Planilla_General_03-12-2012_9_3'!A779,"AAAAAG98/6E=")</f>
        <v>#VALUE!</v>
      </c>
      <c r="FG49" t="e">
        <f>AND('Planilla_General_03-12-2012_9_3'!B779,"AAAAAG98/6I=")</f>
        <v>#VALUE!</v>
      </c>
      <c r="FH49" t="e">
        <f>AND('Planilla_General_03-12-2012_9_3'!C779,"AAAAAG98/6M=")</f>
        <v>#VALUE!</v>
      </c>
      <c r="FI49" t="e">
        <f>AND('Planilla_General_03-12-2012_9_3'!D779,"AAAAAG98/6Q=")</f>
        <v>#VALUE!</v>
      </c>
      <c r="FJ49" t="e">
        <f>AND('Planilla_General_03-12-2012_9_3'!E779,"AAAAAG98/6U=")</f>
        <v>#VALUE!</v>
      </c>
      <c r="FK49" t="e">
        <f>AND('Planilla_General_03-12-2012_9_3'!F779,"AAAAAG98/6Y=")</f>
        <v>#VALUE!</v>
      </c>
      <c r="FL49" t="e">
        <f>AND('Planilla_General_03-12-2012_9_3'!G779,"AAAAAG98/6c=")</f>
        <v>#VALUE!</v>
      </c>
      <c r="FM49" t="e">
        <f>AND('Planilla_General_03-12-2012_9_3'!H779,"AAAAAG98/6g=")</f>
        <v>#VALUE!</v>
      </c>
      <c r="FN49" t="e">
        <f>AND('Planilla_General_03-12-2012_9_3'!I779,"AAAAAG98/6k=")</f>
        <v>#VALUE!</v>
      </c>
      <c r="FO49" t="e">
        <f>AND('Planilla_General_03-12-2012_9_3'!J779,"AAAAAG98/6o=")</f>
        <v>#VALUE!</v>
      </c>
      <c r="FP49" t="e">
        <f>AND('Planilla_General_03-12-2012_9_3'!K779,"AAAAAG98/6s=")</f>
        <v>#VALUE!</v>
      </c>
      <c r="FQ49" t="e">
        <f>AND('Planilla_General_03-12-2012_9_3'!L779,"AAAAAG98/6w=")</f>
        <v>#VALUE!</v>
      </c>
      <c r="FR49" t="e">
        <f>AND('Planilla_General_03-12-2012_9_3'!M779,"AAAAAG98/60=")</f>
        <v>#VALUE!</v>
      </c>
      <c r="FS49" t="e">
        <f>AND('Planilla_General_03-12-2012_9_3'!N779,"AAAAAG98/64=")</f>
        <v>#VALUE!</v>
      </c>
      <c r="FT49" t="e">
        <f>AND('Planilla_General_03-12-2012_9_3'!O779,"AAAAAG98/68=")</f>
        <v>#VALUE!</v>
      </c>
      <c r="FU49">
        <f>IF('Planilla_General_03-12-2012_9_3'!780:780,"AAAAAG98/7A=",0)</f>
        <v>0</v>
      </c>
      <c r="FV49" t="e">
        <f>AND('Planilla_General_03-12-2012_9_3'!A780,"AAAAAG98/7E=")</f>
        <v>#VALUE!</v>
      </c>
      <c r="FW49" t="e">
        <f>AND('Planilla_General_03-12-2012_9_3'!B780,"AAAAAG98/7I=")</f>
        <v>#VALUE!</v>
      </c>
      <c r="FX49" t="e">
        <f>AND('Planilla_General_03-12-2012_9_3'!C780,"AAAAAG98/7M=")</f>
        <v>#VALUE!</v>
      </c>
      <c r="FY49" t="e">
        <f>AND('Planilla_General_03-12-2012_9_3'!D780,"AAAAAG98/7Q=")</f>
        <v>#VALUE!</v>
      </c>
      <c r="FZ49" t="e">
        <f>AND('Planilla_General_03-12-2012_9_3'!E780,"AAAAAG98/7U=")</f>
        <v>#VALUE!</v>
      </c>
      <c r="GA49" t="e">
        <f>AND('Planilla_General_03-12-2012_9_3'!F780,"AAAAAG98/7Y=")</f>
        <v>#VALUE!</v>
      </c>
      <c r="GB49" t="e">
        <f>AND('Planilla_General_03-12-2012_9_3'!G780,"AAAAAG98/7c=")</f>
        <v>#VALUE!</v>
      </c>
      <c r="GC49" t="e">
        <f>AND('Planilla_General_03-12-2012_9_3'!H780,"AAAAAG98/7g=")</f>
        <v>#VALUE!</v>
      </c>
      <c r="GD49" t="e">
        <f>AND('Planilla_General_03-12-2012_9_3'!I780,"AAAAAG98/7k=")</f>
        <v>#VALUE!</v>
      </c>
      <c r="GE49" t="e">
        <f>AND('Planilla_General_03-12-2012_9_3'!J780,"AAAAAG98/7o=")</f>
        <v>#VALUE!</v>
      </c>
      <c r="GF49" t="e">
        <f>AND('Planilla_General_03-12-2012_9_3'!K780,"AAAAAG98/7s=")</f>
        <v>#VALUE!</v>
      </c>
      <c r="GG49" t="e">
        <f>AND('Planilla_General_03-12-2012_9_3'!L780,"AAAAAG98/7w=")</f>
        <v>#VALUE!</v>
      </c>
      <c r="GH49" t="e">
        <f>AND('Planilla_General_03-12-2012_9_3'!M780,"AAAAAG98/70=")</f>
        <v>#VALUE!</v>
      </c>
      <c r="GI49" t="e">
        <f>AND('Planilla_General_03-12-2012_9_3'!N780,"AAAAAG98/74=")</f>
        <v>#VALUE!</v>
      </c>
      <c r="GJ49" t="e">
        <f>AND('Planilla_General_03-12-2012_9_3'!O780,"AAAAAG98/78=")</f>
        <v>#VALUE!</v>
      </c>
      <c r="GK49">
        <f>IF('Planilla_General_03-12-2012_9_3'!781:781,"AAAAAG98/8A=",0)</f>
        <v>0</v>
      </c>
      <c r="GL49" t="e">
        <f>AND('Planilla_General_03-12-2012_9_3'!A781,"AAAAAG98/8E=")</f>
        <v>#VALUE!</v>
      </c>
      <c r="GM49" t="e">
        <f>AND('Planilla_General_03-12-2012_9_3'!B781,"AAAAAG98/8I=")</f>
        <v>#VALUE!</v>
      </c>
      <c r="GN49" t="e">
        <f>AND('Planilla_General_03-12-2012_9_3'!C781,"AAAAAG98/8M=")</f>
        <v>#VALUE!</v>
      </c>
      <c r="GO49" t="e">
        <f>AND('Planilla_General_03-12-2012_9_3'!D781,"AAAAAG98/8Q=")</f>
        <v>#VALUE!</v>
      </c>
      <c r="GP49" t="e">
        <f>AND('Planilla_General_03-12-2012_9_3'!E781,"AAAAAG98/8U=")</f>
        <v>#VALUE!</v>
      </c>
      <c r="GQ49" t="e">
        <f>AND('Planilla_General_03-12-2012_9_3'!F781,"AAAAAG98/8Y=")</f>
        <v>#VALUE!</v>
      </c>
      <c r="GR49" t="e">
        <f>AND('Planilla_General_03-12-2012_9_3'!G781,"AAAAAG98/8c=")</f>
        <v>#VALUE!</v>
      </c>
      <c r="GS49" t="e">
        <f>AND('Planilla_General_03-12-2012_9_3'!H781,"AAAAAG98/8g=")</f>
        <v>#VALUE!</v>
      </c>
      <c r="GT49" t="e">
        <f>AND('Planilla_General_03-12-2012_9_3'!I781,"AAAAAG98/8k=")</f>
        <v>#VALUE!</v>
      </c>
      <c r="GU49" t="e">
        <f>AND('Planilla_General_03-12-2012_9_3'!J781,"AAAAAG98/8o=")</f>
        <v>#VALUE!</v>
      </c>
      <c r="GV49" t="e">
        <f>AND('Planilla_General_03-12-2012_9_3'!K781,"AAAAAG98/8s=")</f>
        <v>#VALUE!</v>
      </c>
      <c r="GW49" t="e">
        <f>AND('Planilla_General_03-12-2012_9_3'!L781,"AAAAAG98/8w=")</f>
        <v>#VALUE!</v>
      </c>
      <c r="GX49" t="e">
        <f>AND('Planilla_General_03-12-2012_9_3'!M781,"AAAAAG98/80=")</f>
        <v>#VALUE!</v>
      </c>
      <c r="GY49" t="e">
        <f>AND('Planilla_General_03-12-2012_9_3'!N781,"AAAAAG98/84=")</f>
        <v>#VALUE!</v>
      </c>
      <c r="GZ49" t="e">
        <f>AND('Planilla_General_03-12-2012_9_3'!O781,"AAAAAG98/88=")</f>
        <v>#VALUE!</v>
      </c>
      <c r="HA49">
        <f>IF('Planilla_General_03-12-2012_9_3'!782:782,"AAAAAG98/9A=",0)</f>
        <v>0</v>
      </c>
      <c r="HB49" t="e">
        <f>AND('Planilla_General_03-12-2012_9_3'!A782,"AAAAAG98/9E=")</f>
        <v>#VALUE!</v>
      </c>
      <c r="HC49" t="e">
        <f>AND('Planilla_General_03-12-2012_9_3'!B782,"AAAAAG98/9I=")</f>
        <v>#VALUE!</v>
      </c>
      <c r="HD49" t="e">
        <f>AND('Planilla_General_03-12-2012_9_3'!C782,"AAAAAG98/9M=")</f>
        <v>#VALUE!</v>
      </c>
      <c r="HE49" t="e">
        <f>AND('Planilla_General_03-12-2012_9_3'!D782,"AAAAAG98/9Q=")</f>
        <v>#VALUE!</v>
      </c>
      <c r="HF49" t="e">
        <f>AND('Planilla_General_03-12-2012_9_3'!E782,"AAAAAG98/9U=")</f>
        <v>#VALUE!</v>
      </c>
      <c r="HG49" t="e">
        <f>AND('Planilla_General_03-12-2012_9_3'!F782,"AAAAAG98/9Y=")</f>
        <v>#VALUE!</v>
      </c>
      <c r="HH49" t="e">
        <f>AND('Planilla_General_03-12-2012_9_3'!G782,"AAAAAG98/9c=")</f>
        <v>#VALUE!</v>
      </c>
      <c r="HI49" t="e">
        <f>AND('Planilla_General_03-12-2012_9_3'!H782,"AAAAAG98/9g=")</f>
        <v>#VALUE!</v>
      </c>
      <c r="HJ49" t="e">
        <f>AND('Planilla_General_03-12-2012_9_3'!I782,"AAAAAG98/9k=")</f>
        <v>#VALUE!</v>
      </c>
      <c r="HK49" t="e">
        <f>AND('Planilla_General_03-12-2012_9_3'!J782,"AAAAAG98/9o=")</f>
        <v>#VALUE!</v>
      </c>
      <c r="HL49" t="e">
        <f>AND('Planilla_General_03-12-2012_9_3'!K782,"AAAAAG98/9s=")</f>
        <v>#VALUE!</v>
      </c>
      <c r="HM49" t="e">
        <f>AND('Planilla_General_03-12-2012_9_3'!L782,"AAAAAG98/9w=")</f>
        <v>#VALUE!</v>
      </c>
      <c r="HN49" t="e">
        <f>AND('Planilla_General_03-12-2012_9_3'!M782,"AAAAAG98/90=")</f>
        <v>#VALUE!</v>
      </c>
      <c r="HO49" t="e">
        <f>AND('Planilla_General_03-12-2012_9_3'!N782,"AAAAAG98/94=")</f>
        <v>#VALUE!</v>
      </c>
      <c r="HP49" t="e">
        <f>AND('Planilla_General_03-12-2012_9_3'!O782,"AAAAAG98/98=")</f>
        <v>#VALUE!</v>
      </c>
      <c r="HQ49">
        <f>IF('Planilla_General_03-12-2012_9_3'!783:783,"AAAAAG98/+A=",0)</f>
        <v>0</v>
      </c>
      <c r="HR49" t="e">
        <f>AND('Planilla_General_03-12-2012_9_3'!A783,"AAAAAG98/+E=")</f>
        <v>#VALUE!</v>
      </c>
      <c r="HS49" t="e">
        <f>AND('Planilla_General_03-12-2012_9_3'!B783,"AAAAAG98/+I=")</f>
        <v>#VALUE!</v>
      </c>
      <c r="HT49" t="e">
        <f>AND('Planilla_General_03-12-2012_9_3'!C783,"AAAAAG98/+M=")</f>
        <v>#VALUE!</v>
      </c>
      <c r="HU49" t="e">
        <f>AND('Planilla_General_03-12-2012_9_3'!D783,"AAAAAG98/+Q=")</f>
        <v>#VALUE!</v>
      </c>
      <c r="HV49" t="e">
        <f>AND('Planilla_General_03-12-2012_9_3'!E783,"AAAAAG98/+U=")</f>
        <v>#VALUE!</v>
      </c>
      <c r="HW49" t="e">
        <f>AND('Planilla_General_03-12-2012_9_3'!F783,"AAAAAG98/+Y=")</f>
        <v>#VALUE!</v>
      </c>
      <c r="HX49" t="e">
        <f>AND('Planilla_General_03-12-2012_9_3'!G783,"AAAAAG98/+c=")</f>
        <v>#VALUE!</v>
      </c>
      <c r="HY49" t="e">
        <f>AND('Planilla_General_03-12-2012_9_3'!H783,"AAAAAG98/+g=")</f>
        <v>#VALUE!</v>
      </c>
      <c r="HZ49" t="e">
        <f>AND('Planilla_General_03-12-2012_9_3'!I783,"AAAAAG98/+k=")</f>
        <v>#VALUE!</v>
      </c>
      <c r="IA49" t="e">
        <f>AND('Planilla_General_03-12-2012_9_3'!J783,"AAAAAG98/+o=")</f>
        <v>#VALUE!</v>
      </c>
      <c r="IB49" t="e">
        <f>AND('Planilla_General_03-12-2012_9_3'!K783,"AAAAAG98/+s=")</f>
        <v>#VALUE!</v>
      </c>
      <c r="IC49" t="e">
        <f>AND('Planilla_General_03-12-2012_9_3'!L783,"AAAAAG98/+w=")</f>
        <v>#VALUE!</v>
      </c>
      <c r="ID49" t="e">
        <f>AND('Planilla_General_03-12-2012_9_3'!M783,"AAAAAG98/+0=")</f>
        <v>#VALUE!</v>
      </c>
      <c r="IE49" t="e">
        <f>AND('Planilla_General_03-12-2012_9_3'!N783,"AAAAAG98/+4=")</f>
        <v>#VALUE!</v>
      </c>
      <c r="IF49" t="e">
        <f>AND('Planilla_General_03-12-2012_9_3'!O783,"AAAAAG98/+8=")</f>
        <v>#VALUE!</v>
      </c>
      <c r="IG49">
        <f>IF('Planilla_General_03-12-2012_9_3'!784:784,"AAAAAG98//A=",0)</f>
        <v>0</v>
      </c>
      <c r="IH49" t="e">
        <f>AND('Planilla_General_03-12-2012_9_3'!A784,"AAAAAG98//E=")</f>
        <v>#VALUE!</v>
      </c>
      <c r="II49" t="e">
        <f>AND('Planilla_General_03-12-2012_9_3'!B784,"AAAAAG98//I=")</f>
        <v>#VALUE!</v>
      </c>
      <c r="IJ49" t="e">
        <f>AND('Planilla_General_03-12-2012_9_3'!C784,"AAAAAG98//M=")</f>
        <v>#VALUE!</v>
      </c>
      <c r="IK49" t="e">
        <f>AND('Planilla_General_03-12-2012_9_3'!D784,"AAAAAG98//Q=")</f>
        <v>#VALUE!</v>
      </c>
      <c r="IL49" t="e">
        <f>AND('Planilla_General_03-12-2012_9_3'!E784,"AAAAAG98//U=")</f>
        <v>#VALUE!</v>
      </c>
      <c r="IM49" t="e">
        <f>AND('Planilla_General_03-12-2012_9_3'!F784,"AAAAAG98//Y=")</f>
        <v>#VALUE!</v>
      </c>
      <c r="IN49" t="e">
        <f>AND('Planilla_General_03-12-2012_9_3'!G784,"AAAAAG98//c=")</f>
        <v>#VALUE!</v>
      </c>
      <c r="IO49" t="e">
        <f>AND('Planilla_General_03-12-2012_9_3'!H784,"AAAAAG98//g=")</f>
        <v>#VALUE!</v>
      </c>
      <c r="IP49" t="e">
        <f>AND('Planilla_General_03-12-2012_9_3'!I784,"AAAAAG98//k=")</f>
        <v>#VALUE!</v>
      </c>
      <c r="IQ49" t="e">
        <f>AND('Planilla_General_03-12-2012_9_3'!J784,"AAAAAG98//o=")</f>
        <v>#VALUE!</v>
      </c>
      <c r="IR49" t="e">
        <f>AND('Planilla_General_03-12-2012_9_3'!K784,"AAAAAG98//s=")</f>
        <v>#VALUE!</v>
      </c>
      <c r="IS49" t="e">
        <f>AND('Planilla_General_03-12-2012_9_3'!L784,"AAAAAG98//w=")</f>
        <v>#VALUE!</v>
      </c>
      <c r="IT49" t="e">
        <f>AND('Planilla_General_03-12-2012_9_3'!M784,"AAAAAG98//0=")</f>
        <v>#VALUE!</v>
      </c>
      <c r="IU49" t="e">
        <f>AND('Planilla_General_03-12-2012_9_3'!N784,"AAAAAG98//4=")</f>
        <v>#VALUE!</v>
      </c>
      <c r="IV49" t="e">
        <f>AND('Planilla_General_03-12-2012_9_3'!O784,"AAAAAG98//8=")</f>
        <v>#VALUE!</v>
      </c>
    </row>
    <row r="50" spans="1:256" x14ac:dyDescent="0.25">
      <c r="A50" t="e">
        <f>IF('Planilla_General_03-12-2012_9_3'!785:785,"AAAAAH7k7QA=",0)</f>
        <v>#VALUE!</v>
      </c>
      <c r="B50" t="e">
        <f>AND('Planilla_General_03-12-2012_9_3'!A785,"AAAAAH7k7QE=")</f>
        <v>#VALUE!</v>
      </c>
      <c r="C50" t="e">
        <f>AND('Planilla_General_03-12-2012_9_3'!B785,"AAAAAH7k7QI=")</f>
        <v>#VALUE!</v>
      </c>
      <c r="D50" t="e">
        <f>AND('Planilla_General_03-12-2012_9_3'!C785,"AAAAAH7k7QM=")</f>
        <v>#VALUE!</v>
      </c>
      <c r="E50" t="e">
        <f>AND('Planilla_General_03-12-2012_9_3'!D785,"AAAAAH7k7QQ=")</f>
        <v>#VALUE!</v>
      </c>
      <c r="F50" t="e">
        <f>AND('Planilla_General_03-12-2012_9_3'!E785,"AAAAAH7k7QU=")</f>
        <v>#VALUE!</v>
      </c>
      <c r="G50" t="e">
        <f>AND('Planilla_General_03-12-2012_9_3'!F785,"AAAAAH7k7QY=")</f>
        <v>#VALUE!</v>
      </c>
      <c r="H50" t="e">
        <f>AND('Planilla_General_03-12-2012_9_3'!G785,"AAAAAH7k7Qc=")</f>
        <v>#VALUE!</v>
      </c>
      <c r="I50" t="e">
        <f>AND('Planilla_General_03-12-2012_9_3'!H785,"AAAAAH7k7Qg=")</f>
        <v>#VALUE!</v>
      </c>
      <c r="J50" t="e">
        <f>AND('Planilla_General_03-12-2012_9_3'!I785,"AAAAAH7k7Qk=")</f>
        <v>#VALUE!</v>
      </c>
      <c r="K50" t="e">
        <f>AND('Planilla_General_03-12-2012_9_3'!J785,"AAAAAH7k7Qo=")</f>
        <v>#VALUE!</v>
      </c>
      <c r="L50" t="e">
        <f>AND('Planilla_General_03-12-2012_9_3'!K785,"AAAAAH7k7Qs=")</f>
        <v>#VALUE!</v>
      </c>
      <c r="M50" t="e">
        <f>AND('Planilla_General_03-12-2012_9_3'!L785,"AAAAAH7k7Qw=")</f>
        <v>#VALUE!</v>
      </c>
      <c r="N50" t="e">
        <f>AND('Planilla_General_03-12-2012_9_3'!M785,"AAAAAH7k7Q0=")</f>
        <v>#VALUE!</v>
      </c>
      <c r="O50" t="e">
        <f>AND('Planilla_General_03-12-2012_9_3'!N785,"AAAAAH7k7Q4=")</f>
        <v>#VALUE!</v>
      </c>
      <c r="P50" t="e">
        <f>AND('Planilla_General_03-12-2012_9_3'!O785,"AAAAAH7k7Q8=")</f>
        <v>#VALUE!</v>
      </c>
      <c r="Q50">
        <f>IF('Planilla_General_03-12-2012_9_3'!786:786,"AAAAAH7k7RA=",0)</f>
        <v>0</v>
      </c>
      <c r="R50" t="e">
        <f>AND('Planilla_General_03-12-2012_9_3'!A786,"AAAAAH7k7RE=")</f>
        <v>#VALUE!</v>
      </c>
      <c r="S50" t="e">
        <f>AND('Planilla_General_03-12-2012_9_3'!B786,"AAAAAH7k7RI=")</f>
        <v>#VALUE!</v>
      </c>
      <c r="T50" t="e">
        <f>AND('Planilla_General_03-12-2012_9_3'!C786,"AAAAAH7k7RM=")</f>
        <v>#VALUE!</v>
      </c>
      <c r="U50" t="e">
        <f>AND('Planilla_General_03-12-2012_9_3'!D786,"AAAAAH7k7RQ=")</f>
        <v>#VALUE!</v>
      </c>
      <c r="V50" t="e">
        <f>AND('Planilla_General_03-12-2012_9_3'!E786,"AAAAAH7k7RU=")</f>
        <v>#VALUE!</v>
      </c>
      <c r="W50" t="e">
        <f>AND('Planilla_General_03-12-2012_9_3'!F786,"AAAAAH7k7RY=")</f>
        <v>#VALUE!</v>
      </c>
      <c r="X50" t="e">
        <f>AND('Planilla_General_03-12-2012_9_3'!G786,"AAAAAH7k7Rc=")</f>
        <v>#VALUE!</v>
      </c>
      <c r="Y50" t="e">
        <f>AND('Planilla_General_03-12-2012_9_3'!H786,"AAAAAH7k7Rg=")</f>
        <v>#VALUE!</v>
      </c>
      <c r="Z50" t="e">
        <f>AND('Planilla_General_03-12-2012_9_3'!I786,"AAAAAH7k7Rk=")</f>
        <v>#VALUE!</v>
      </c>
      <c r="AA50" t="e">
        <f>AND('Planilla_General_03-12-2012_9_3'!J786,"AAAAAH7k7Ro=")</f>
        <v>#VALUE!</v>
      </c>
      <c r="AB50" t="e">
        <f>AND('Planilla_General_03-12-2012_9_3'!K786,"AAAAAH7k7Rs=")</f>
        <v>#VALUE!</v>
      </c>
      <c r="AC50" t="e">
        <f>AND('Planilla_General_03-12-2012_9_3'!L786,"AAAAAH7k7Rw=")</f>
        <v>#VALUE!</v>
      </c>
      <c r="AD50" t="e">
        <f>AND('Planilla_General_03-12-2012_9_3'!M786,"AAAAAH7k7R0=")</f>
        <v>#VALUE!</v>
      </c>
      <c r="AE50" t="e">
        <f>AND('Planilla_General_03-12-2012_9_3'!N786,"AAAAAH7k7R4=")</f>
        <v>#VALUE!</v>
      </c>
      <c r="AF50" t="e">
        <f>AND('Planilla_General_03-12-2012_9_3'!O786,"AAAAAH7k7R8=")</f>
        <v>#VALUE!</v>
      </c>
      <c r="AG50">
        <f>IF('Planilla_General_03-12-2012_9_3'!787:787,"AAAAAH7k7SA=",0)</f>
        <v>0</v>
      </c>
      <c r="AH50" t="e">
        <f>AND('Planilla_General_03-12-2012_9_3'!A787,"AAAAAH7k7SE=")</f>
        <v>#VALUE!</v>
      </c>
      <c r="AI50" t="e">
        <f>AND('Planilla_General_03-12-2012_9_3'!B787,"AAAAAH7k7SI=")</f>
        <v>#VALUE!</v>
      </c>
      <c r="AJ50" t="e">
        <f>AND('Planilla_General_03-12-2012_9_3'!C787,"AAAAAH7k7SM=")</f>
        <v>#VALUE!</v>
      </c>
      <c r="AK50" t="e">
        <f>AND('Planilla_General_03-12-2012_9_3'!D787,"AAAAAH7k7SQ=")</f>
        <v>#VALUE!</v>
      </c>
      <c r="AL50" t="e">
        <f>AND('Planilla_General_03-12-2012_9_3'!E787,"AAAAAH7k7SU=")</f>
        <v>#VALUE!</v>
      </c>
      <c r="AM50" t="e">
        <f>AND('Planilla_General_03-12-2012_9_3'!F787,"AAAAAH7k7SY=")</f>
        <v>#VALUE!</v>
      </c>
      <c r="AN50" t="e">
        <f>AND('Planilla_General_03-12-2012_9_3'!G787,"AAAAAH7k7Sc=")</f>
        <v>#VALUE!</v>
      </c>
      <c r="AO50" t="e">
        <f>AND('Planilla_General_03-12-2012_9_3'!H787,"AAAAAH7k7Sg=")</f>
        <v>#VALUE!</v>
      </c>
      <c r="AP50" t="e">
        <f>AND('Planilla_General_03-12-2012_9_3'!I787,"AAAAAH7k7Sk=")</f>
        <v>#VALUE!</v>
      </c>
      <c r="AQ50" t="e">
        <f>AND('Planilla_General_03-12-2012_9_3'!J787,"AAAAAH7k7So=")</f>
        <v>#VALUE!</v>
      </c>
      <c r="AR50" t="e">
        <f>AND('Planilla_General_03-12-2012_9_3'!K787,"AAAAAH7k7Ss=")</f>
        <v>#VALUE!</v>
      </c>
      <c r="AS50" t="e">
        <f>AND('Planilla_General_03-12-2012_9_3'!L787,"AAAAAH7k7Sw=")</f>
        <v>#VALUE!</v>
      </c>
      <c r="AT50" t="e">
        <f>AND('Planilla_General_03-12-2012_9_3'!M787,"AAAAAH7k7S0=")</f>
        <v>#VALUE!</v>
      </c>
      <c r="AU50" t="e">
        <f>AND('Planilla_General_03-12-2012_9_3'!N787,"AAAAAH7k7S4=")</f>
        <v>#VALUE!</v>
      </c>
      <c r="AV50" t="e">
        <f>AND('Planilla_General_03-12-2012_9_3'!O787,"AAAAAH7k7S8=")</f>
        <v>#VALUE!</v>
      </c>
      <c r="AW50">
        <f>IF('Planilla_General_03-12-2012_9_3'!788:788,"AAAAAH7k7TA=",0)</f>
        <v>0</v>
      </c>
      <c r="AX50" t="e">
        <f>AND('Planilla_General_03-12-2012_9_3'!A788,"AAAAAH7k7TE=")</f>
        <v>#VALUE!</v>
      </c>
      <c r="AY50" t="e">
        <f>AND('Planilla_General_03-12-2012_9_3'!B788,"AAAAAH7k7TI=")</f>
        <v>#VALUE!</v>
      </c>
      <c r="AZ50" t="e">
        <f>AND('Planilla_General_03-12-2012_9_3'!C788,"AAAAAH7k7TM=")</f>
        <v>#VALUE!</v>
      </c>
      <c r="BA50" t="e">
        <f>AND('Planilla_General_03-12-2012_9_3'!D788,"AAAAAH7k7TQ=")</f>
        <v>#VALUE!</v>
      </c>
      <c r="BB50" t="e">
        <f>AND('Planilla_General_03-12-2012_9_3'!E788,"AAAAAH7k7TU=")</f>
        <v>#VALUE!</v>
      </c>
      <c r="BC50" t="e">
        <f>AND('Planilla_General_03-12-2012_9_3'!F788,"AAAAAH7k7TY=")</f>
        <v>#VALUE!</v>
      </c>
      <c r="BD50" t="e">
        <f>AND('Planilla_General_03-12-2012_9_3'!G788,"AAAAAH7k7Tc=")</f>
        <v>#VALUE!</v>
      </c>
      <c r="BE50" t="e">
        <f>AND('Planilla_General_03-12-2012_9_3'!H788,"AAAAAH7k7Tg=")</f>
        <v>#VALUE!</v>
      </c>
      <c r="BF50" t="e">
        <f>AND('Planilla_General_03-12-2012_9_3'!I788,"AAAAAH7k7Tk=")</f>
        <v>#VALUE!</v>
      </c>
      <c r="BG50" t="e">
        <f>AND('Planilla_General_03-12-2012_9_3'!J788,"AAAAAH7k7To=")</f>
        <v>#VALUE!</v>
      </c>
      <c r="BH50" t="e">
        <f>AND('Planilla_General_03-12-2012_9_3'!K788,"AAAAAH7k7Ts=")</f>
        <v>#VALUE!</v>
      </c>
      <c r="BI50" t="e">
        <f>AND('Planilla_General_03-12-2012_9_3'!L788,"AAAAAH7k7Tw=")</f>
        <v>#VALUE!</v>
      </c>
      <c r="BJ50" t="e">
        <f>AND('Planilla_General_03-12-2012_9_3'!M788,"AAAAAH7k7T0=")</f>
        <v>#VALUE!</v>
      </c>
      <c r="BK50" t="e">
        <f>AND('Planilla_General_03-12-2012_9_3'!N788,"AAAAAH7k7T4=")</f>
        <v>#VALUE!</v>
      </c>
      <c r="BL50" t="e">
        <f>AND('Planilla_General_03-12-2012_9_3'!O788,"AAAAAH7k7T8=")</f>
        <v>#VALUE!</v>
      </c>
      <c r="BM50">
        <f>IF('Planilla_General_03-12-2012_9_3'!789:789,"AAAAAH7k7UA=",0)</f>
        <v>0</v>
      </c>
      <c r="BN50" t="e">
        <f>AND('Planilla_General_03-12-2012_9_3'!A789,"AAAAAH7k7UE=")</f>
        <v>#VALUE!</v>
      </c>
      <c r="BO50" t="e">
        <f>AND('Planilla_General_03-12-2012_9_3'!B789,"AAAAAH7k7UI=")</f>
        <v>#VALUE!</v>
      </c>
      <c r="BP50" t="e">
        <f>AND('Planilla_General_03-12-2012_9_3'!C789,"AAAAAH7k7UM=")</f>
        <v>#VALUE!</v>
      </c>
      <c r="BQ50" t="e">
        <f>AND('Planilla_General_03-12-2012_9_3'!D789,"AAAAAH7k7UQ=")</f>
        <v>#VALUE!</v>
      </c>
      <c r="BR50" t="e">
        <f>AND('Planilla_General_03-12-2012_9_3'!E789,"AAAAAH7k7UU=")</f>
        <v>#VALUE!</v>
      </c>
      <c r="BS50" t="e">
        <f>AND('Planilla_General_03-12-2012_9_3'!F789,"AAAAAH7k7UY=")</f>
        <v>#VALUE!</v>
      </c>
      <c r="BT50" t="e">
        <f>AND('Planilla_General_03-12-2012_9_3'!G789,"AAAAAH7k7Uc=")</f>
        <v>#VALUE!</v>
      </c>
      <c r="BU50" t="e">
        <f>AND('Planilla_General_03-12-2012_9_3'!H789,"AAAAAH7k7Ug=")</f>
        <v>#VALUE!</v>
      </c>
      <c r="BV50" t="e">
        <f>AND('Planilla_General_03-12-2012_9_3'!I789,"AAAAAH7k7Uk=")</f>
        <v>#VALUE!</v>
      </c>
      <c r="BW50" t="e">
        <f>AND('Planilla_General_03-12-2012_9_3'!J789,"AAAAAH7k7Uo=")</f>
        <v>#VALUE!</v>
      </c>
      <c r="BX50" t="e">
        <f>AND('Planilla_General_03-12-2012_9_3'!K789,"AAAAAH7k7Us=")</f>
        <v>#VALUE!</v>
      </c>
      <c r="BY50" t="e">
        <f>AND('Planilla_General_03-12-2012_9_3'!L789,"AAAAAH7k7Uw=")</f>
        <v>#VALUE!</v>
      </c>
      <c r="BZ50" t="e">
        <f>AND('Planilla_General_03-12-2012_9_3'!M789,"AAAAAH7k7U0=")</f>
        <v>#VALUE!</v>
      </c>
      <c r="CA50" t="e">
        <f>AND('Planilla_General_03-12-2012_9_3'!N789,"AAAAAH7k7U4=")</f>
        <v>#VALUE!</v>
      </c>
      <c r="CB50" t="e">
        <f>AND('Planilla_General_03-12-2012_9_3'!O789,"AAAAAH7k7U8=")</f>
        <v>#VALUE!</v>
      </c>
      <c r="CC50">
        <f>IF('Planilla_General_03-12-2012_9_3'!790:790,"AAAAAH7k7VA=",0)</f>
        <v>0</v>
      </c>
      <c r="CD50" t="e">
        <f>AND('Planilla_General_03-12-2012_9_3'!A790,"AAAAAH7k7VE=")</f>
        <v>#VALUE!</v>
      </c>
      <c r="CE50" t="e">
        <f>AND('Planilla_General_03-12-2012_9_3'!B790,"AAAAAH7k7VI=")</f>
        <v>#VALUE!</v>
      </c>
      <c r="CF50" t="e">
        <f>AND('Planilla_General_03-12-2012_9_3'!C790,"AAAAAH7k7VM=")</f>
        <v>#VALUE!</v>
      </c>
      <c r="CG50" t="e">
        <f>AND('Planilla_General_03-12-2012_9_3'!D790,"AAAAAH7k7VQ=")</f>
        <v>#VALUE!</v>
      </c>
      <c r="CH50" t="e">
        <f>AND('Planilla_General_03-12-2012_9_3'!E790,"AAAAAH7k7VU=")</f>
        <v>#VALUE!</v>
      </c>
      <c r="CI50" t="e">
        <f>AND('Planilla_General_03-12-2012_9_3'!F790,"AAAAAH7k7VY=")</f>
        <v>#VALUE!</v>
      </c>
      <c r="CJ50" t="e">
        <f>AND('Planilla_General_03-12-2012_9_3'!G790,"AAAAAH7k7Vc=")</f>
        <v>#VALUE!</v>
      </c>
      <c r="CK50" t="e">
        <f>AND('Planilla_General_03-12-2012_9_3'!H790,"AAAAAH7k7Vg=")</f>
        <v>#VALUE!</v>
      </c>
      <c r="CL50" t="e">
        <f>AND('Planilla_General_03-12-2012_9_3'!I790,"AAAAAH7k7Vk=")</f>
        <v>#VALUE!</v>
      </c>
      <c r="CM50" t="e">
        <f>AND('Planilla_General_03-12-2012_9_3'!J790,"AAAAAH7k7Vo=")</f>
        <v>#VALUE!</v>
      </c>
      <c r="CN50" t="e">
        <f>AND('Planilla_General_03-12-2012_9_3'!K790,"AAAAAH7k7Vs=")</f>
        <v>#VALUE!</v>
      </c>
      <c r="CO50" t="e">
        <f>AND('Planilla_General_03-12-2012_9_3'!L790,"AAAAAH7k7Vw=")</f>
        <v>#VALUE!</v>
      </c>
      <c r="CP50" t="e">
        <f>AND('Planilla_General_03-12-2012_9_3'!M790,"AAAAAH7k7V0=")</f>
        <v>#VALUE!</v>
      </c>
      <c r="CQ50" t="e">
        <f>AND('Planilla_General_03-12-2012_9_3'!N790,"AAAAAH7k7V4=")</f>
        <v>#VALUE!</v>
      </c>
      <c r="CR50" t="e">
        <f>AND('Planilla_General_03-12-2012_9_3'!O790,"AAAAAH7k7V8=")</f>
        <v>#VALUE!</v>
      </c>
      <c r="CS50">
        <f>IF('Planilla_General_03-12-2012_9_3'!791:791,"AAAAAH7k7WA=",0)</f>
        <v>0</v>
      </c>
      <c r="CT50" t="e">
        <f>AND('Planilla_General_03-12-2012_9_3'!A791,"AAAAAH7k7WE=")</f>
        <v>#VALUE!</v>
      </c>
      <c r="CU50" t="e">
        <f>AND('Planilla_General_03-12-2012_9_3'!B791,"AAAAAH7k7WI=")</f>
        <v>#VALUE!</v>
      </c>
      <c r="CV50" t="e">
        <f>AND('Planilla_General_03-12-2012_9_3'!C791,"AAAAAH7k7WM=")</f>
        <v>#VALUE!</v>
      </c>
      <c r="CW50" t="e">
        <f>AND('Planilla_General_03-12-2012_9_3'!D791,"AAAAAH7k7WQ=")</f>
        <v>#VALUE!</v>
      </c>
      <c r="CX50" t="e">
        <f>AND('Planilla_General_03-12-2012_9_3'!E791,"AAAAAH7k7WU=")</f>
        <v>#VALUE!</v>
      </c>
      <c r="CY50" t="e">
        <f>AND('Planilla_General_03-12-2012_9_3'!F791,"AAAAAH7k7WY=")</f>
        <v>#VALUE!</v>
      </c>
      <c r="CZ50" t="e">
        <f>AND('Planilla_General_03-12-2012_9_3'!G791,"AAAAAH7k7Wc=")</f>
        <v>#VALUE!</v>
      </c>
      <c r="DA50" t="e">
        <f>AND('Planilla_General_03-12-2012_9_3'!H791,"AAAAAH7k7Wg=")</f>
        <v>#VALUE!</v>
      </c>
      <c r="DB50" t="e">
        <f>AND('Planilla_General_03-12-2012_9_3'!I791,"AAAAAH7k7Wk=")</f>
        <v>#VALUE!</v>
      </c>
      <c r="DC50" t="e">
        <f>AND('Planilla_General_03-12-2012_9_3'!J791,"AAAAAH7k7Wo=")</f>
        <v>#VALUE!</v>
      </c>
      <c r="DD50" t="e">
        <f>AND('Planilla_General_03-12-2012_9_3'!K791,"AAAAAH7k7Ws=")</f>
        <v>#VALUE!</v>
      </c>
      <c r="DE50" t="e">
        <f>AND('Planilla_General_03-12-2012_9_3'!L791,"AAAAAH7k7Ww=")</f>
        <v>#VALUE!</v>
      </c>
      <c r="DF50" t="e">
        <f>AND('Planilla_General_03-12-2012_9_3'!M791,"AAAAAH7k7W0=")</f>
        <v>#VALUE!</v>
      </c>
      <c r="DG50" t="e">
        <f>AND('Planilla_General_03-12-2012_9_3'!N791,"AAAAAH7k7W4=")</f>
        <v>#VALUE!</v>
      </c>
      <c r="DH50" t="e">
        <f>AND('Planilla_General_03-12-2012_9_3'!O791,"AAAAAH7k7W8=")</f>
        <v>#VALUE!</v>
      </c>
      <c r="DI50">
        <f>IF('Planilla_General_03-12-2012_9_3'!792:792,"AAAAAH7k7XA=",0)</f>
        <v>0</v>
      </c>
      <c r="DJ50" t="e">
        <f>AND('Planilla_General_03-12-2012_9_3'!A792,"AAAAAH7k7XE=")</f>
        <v>#VALUE!</v>
      </c>
      <c r="DK50" t="e">
        <f>AND('Planilla_General_03-12-2012_9_3'!B792,"AAAAAH7k7XI=")</f>
        <v>#VALUE!</v>
      </c>
      <c r="DL50" t="e">
        <f>AND('Planilla_General_03-12-2012_9_3'!C792,"AAAAAH7k7XM=")</f>
        <v>#VALUE!</v>
      </c>
      <c r="DM50" t="e">
        <f>AND('Planilla_General_03-12-2012_9_3'!D792,"AAAAAH7k7XQ=")</f>
        <v>#VALUE!</v>
      </c>
      <c r="DN50" t="e">
        <f>AND('Planilla_General_03-12-2012_9_3'!E792,"AAAAAH7k7XU=")</f>
        <v>#VALUE!</v>
      </c>
      <c r="DO50" t="e">
        <f>AND('Planilla_General_03-12-2012_9_3'!F792,"AAAAAH7k7XY=")</f>
        <v>#VALUE!</v>
      </c>
      <c r="DP50" t="e">
        <f>AND('Planilla_General_03-12-2012_9_3'!G792,"AAAAAH7k7Xc=")</f>
        <v>#VALUE!</v>
      </c>
      <c r="DQ50" t="e">
        <f>AND('Planilla_General_03-12-2012_9_3'!H792,"AAAAAH7k7Xg=")</f>
        <v>#VALUE!</v>
      </c>
      <c r="DR50" t="e">
        <f>AND('Planilla_General_03-12-2012_9_3'!I792,"AAAAAH7k7Xk=")</f>
        <v>#VALUE!</v>
      </c>
      <c r="DS50" t="e">
        <f>AND('Planilla_General_03-12-2012_9_3'!J792,"AAAAAH7k7Xo=")</f>
        <v>#VALUE!</v>
      </c>
      <c r="DT50" t="e">
        <f>AND('Planilla_General_03-12-2012_9_3'!K792,"AAAAAH7k7Xs=")</f>
        <v>#VALUE!</v>
      </c>
      <c r="DU50" t="e">
        <f>AND('Planilla_General_03-12-2012_9_3'!L792,"AAAAAH7k7Xw=")</f>
        <v>#VALUE!</v>
      </c>
      <c r="DV50" t="e">
        <f>AND('Planilla_General_03-12-2012_9_3'!M792,"AAAAAH7k7X0=")</f>
        <v>#VALUE!</v>
      </c>
      <c r="DW50" t="e">
        <f>AND('Planilla_General_03-12-2012_9_3'!N792,"AAAAAH7k7X4=")</f>
        <v>#VALUE!</v>
      </c>
      <c r="DX50" t="e">
        <f>AND('Planilla_General_03-12-2012_9_3'!O792,"AAAAAH7k7X8=")</f>
        <v>#VALUE!</v>
      </c>
      <c r="DY50">
        <f>IF('Planilla_General_03-12-2012_9_3'!793:793,"AAAAAH7k7YA=",0)</f>
        <v>0</v>
      </c>
      <c r="DZ50" t="e">
        <f>AND('Planilla_General_03-12-2012_9_3'!A793,"AAAAAH7k7YE=")</f>
        <v>#VALUE!</v>
      </c>
      <c r="EA50" t="e">
        <f>AND('Planilla_General_03-12-2012_9_3'!B793,"AAAAAH7k7YI=")</f>
        <v>#VALUE!</v>
      </c>
      <c r="EB50" t="e">
        <f>AND('Planilla_General_03-12-2012_9_3'!C793,"AAAAAH7k7YM=")</f>
        <v>#VALUE!</v>
      </c>
      <c r="EC50" t="e">
        <f>AND('Planilla_General_03-12-2012_9_3'!D793,"AAAAAH7k7YQ=")</f>
        <v>#VALUE!</v>
      </c>
      <c r="ED50" t="e">
        <f>AND('Planilla_General_03-12-2012_9_3'!E793,"AAAAAH7k7YU=")</f>
        <v>#VALUE!</v>
      </c>
      <c r="EE50" t="e">
        <f>AND('Planilla_General_03-12-2012_9_3'!F793,"AAAAAH7k7YY=")</f>
        <v>#VALUE!</v>
      </c>
      <c r="EF50" t="e">
        <f>AND('Planilla_General_03-12-2012_9_3'!G793,"AAAAAH7k7Yc=")</f>
        <v>#VALUE!</v>
      </c>
      <c r="EG50" t="e">
        <f>AND('Planilla_General_03-12-2012_9_3'!H793,"AAAAAH7k7Yg=")</f>
        <v>#VALUE!</v>
      </c>
      <c r="EH50" t="e">
        <f>AND('Planilla_General_03-12-2012_9_3'!I793,"AAAAAH7k7Yk=")</f>
        <v>#VALUE!</v>
      </c>
      <c r="EI50" t="e">
        <f>AND('Planilla_General_03-12-2012_9_3'!J793,"AAAAAH7k7Yo=")</f>
        <v>#VALUE!</v>
      </c>
      <c r="EJ50" t="e">
        <f>AND('Planilla_General_03-12-2012_9_3'!K793,"AAAAAH7k7Ys=")</f>
        <v>#VALUE!</v>
      </c>
      <c r="EK50" t="e">
        <f>AND('Planilla_General_03-12-2012_9_3'!L793,"AAAAAH7k7Yw=")</f>
        <v>#VALUE!</v>
      </c>
      <c r="EL50" t="e">
        <f>AND('Planilla_General_03-12-2012_9_3'!M793,"AAAAAH7k7Y0=")</f>
        <v>#VALUE!</v>
      </c>
      <c r="EM50" t="e">
        <f>AND('Planilla_General_03-12-2012_9_3'!N793,"AAAAAH7k7Y4=")</f>
        <v>#VALUE!</v>
      </c>
      <c r="EN50" t="e">
        <f>AND('Planilla_General_03-12-2012_9_3'!O793,"AAAAAH7k7Y8=")</f>
        <v>#VALUE!</v>
      </c>
      <c r="EO50">
        <f>IF('Planilla_General_03-12-2012_9_3'!794:794,"AAAAAH7k7ZA=",0)</f>
        <v>0</v>
      </c>
      <c r="EP50" t="e">
        <f>AND('Planilla_General_03-12-2012_9_3'!A794,"AAAAAH7k7ZE=")</f>
        <v>#VALUE!</v>
      </c>
      <c r="EQ50" t="e">
        <f>AND('Planilla_General_03-12-2012_9_3'!B794,"AAAAAH7k7ZI=")</f>
        <v>#VALUE!</v>
      </c>
      <c r="ER50" t="e">
        <f>AND('Planilla_General_03-12-2012_9_3'!C794,"AAAAAH7k7ZM=")</f>
        <v>#VALUE!</v>
      </c>
      <c r="ES50" t="e">
        <f>AND('Planilla_General_03-12-2012_9_3'!D794,"AAAAAH7k7ZQ=")</f>
        <v>#VALUE!</v>
      </c>
      <c r="ET50" t="e">
        <f>AND('Planilla_General_03-12-2012_9_3'!E794,"AAAAAH7k7ZU=")</f>
        <v>#VALUE!</v>
      </c>
      <c r="EU50" t="e">
        <f>AND('Planilla_General_03-12-2012_9_3'!F794,"AAAAAH7k7ZY=")</f>
        <v>#VALUE!</v>
      </c>
      <c r="EV50" t="e">
        <f>AND('Planilla_General_03-12-2012_9_3'!G794,"AAAAAH7k7Zc=")</f>
        <v>#VALUE!</v>
      </c>
      <c r="EW50" t="e">
        <f>AND('Planilla_General_03-12-2012_9_3'!H794,"AAAAAH7k7Zg=")</f>
        <v>#VALUE!</v>
      </c>
      <c r="EX50" t="e">
        <f>AND('Planilla_General_03-12-2012_9_3'!I794,"AAAAAH7k7Zk=")</f>
        <v>#VALUE!</v>
      </c>
      <c r="EY50" t="e">
        <f>AND('Planilla_General_03-12-2012_9_3'!J794,"AAAAAH7k7Zo=")</f>
        <v>#VALUE!</v>
      </c>
      <c r="EZ50" t="e">
        <f>AND('Planilla_General_03-12-2012_9_3'!K794,"AAAAAH7k7Zs=")</f>
        <v>#VALUE!</v>
      </c>
      <c r="FA50" t="e">
        <f>AND('Planilla_General_03-12-2012_9_3'!L794,"AAAAAH7k7Zw=")</f>
        <v>#VALUE!</v>
      </c>
      <c r="FB50" t="e">
        <f>AND('Planilla_General_03-12-2012_9_3'!M794,"AAAAAH7k7Z0=")</f>
        <v>#VALUE!</v>
      </c>
      <c r="FC50" t="e">
        <f>AND('Planilla_General_03-12-2012_9_3'!N794,"AAAAAH7k7Z4=")</f>
        <v>#VALUE!</v>
      </c>
      <c r="FD50" t="e">
        <f>AND('Planilla_General_03-12-2012_9_3'!O794,"AAAAAH7k7Z8=")</f>
        <v>#VALUE!</v>
      </c>
      <c r="FE50">
        <f>IF('Planilla_General_03-12-2012_9_3'!795:795,"AAAAAH7k7aA=",0)</f>
        <v>0</v>
      </c>
      <c r="FF50" t="e">
        <f>AND('Planilla_General_03-12-2012_9_3'!A795,"AAAAAH7k7aE=")</f>
        <v>#VALUE!</v>
      </c>
      <c r="FG50" t="e">
        <f>AND('Planilla_General_03-12-2012_9_3'!B795,"AAAAAH7k7aI=")</f>
        <v>#VALUE!</v>
      </c>
      <c r="FH50" t="e">
        <f>AND('Planilla_General_03-12-2012_9_3'!C795,"AAAAAH7k7aM=")</f>
        <v>#VALUE!</v>
      </c>
      <c r="FI50" t="e">
        <f>AND('Planilla_General_03-12-2012_9_3'!D795,"AAAAAH7k7aQ=")</f>
        <v>#VALUE!</v>
      </c>
      <c r="FJ50" t="e">
        <f>AND('Planilla_General_03-12-2012_9_3'!E795,"AAAAAH7k7aU=")</f>
        <v>#VALUE!</v>
      </c>
      <c r="FK50" t="e">
        <f>AND('Planilla_General_03-12-2012_9_3'!F795,"AAAAAH7k7aY=")</f>
        <v>#VALUE!</v>
      </c>
      <c r="FL50" t="e">
        <f>AND('Planilla_General_03-12-2012_9_3'!G795,"AAAAAH7k7ac=")</f>
        <v>#VALUE!</v>
      </c>
      <c r="FM50" t="e">
        <f>AND('Planilla_General_03-12-2012_9_3'!H795,"AAAAAH7k7ag=")</f>
        <v>#VALUE!</v>
      </c>
      <c r="FN50" t="e">
        <f>AND('Planilla_General_03-12-2012_9_3'!I795,"AAAAAH7k7ak=")</f>
        <v>#VALUE!</v>
      </c>
      <c r="FO50" t="e">
        <f>AND('Planilla_General_03-12-2012_9_3'!J795,"AAAAAH7k7ao=")</f>
        <v>#VALUE!</v>
      </c>
      <c r="FP50" t="e">
        <f>AND('Planilla_General_03-12-2012_9_3'!K795,"AAAAAH7k7as=")</f>
        <v>#VALUE!</v>
      </c>
      <c r="FQ50" t="e">
        <f>AND('Planilla_General_03-12-2012_9_3'!L795,"AAAAAH7k7aw=")</f>
        <v>#VALUE!</v>
      </c>
      <c r="FR50" t="e">
        <f>AND('Planilla_General_03-12-2012_9_3'!M795,"AAAAAH7k7a0=")</f>
        <v>#VALUE!</v>
      </c>
      <c r="FS50" t="e">
        <f>AND('Planilla_General_03-12-2012_9_3'!N795,"AAAAAH7k7a4=")</f>
        <v>#VALUE!</v>
      </c>
      <c r="FT50" t="e">
        <f>AND('Planilla_General_03-12-2012_9_3'!O795,"AAAAAH7k7a8=")</f>
        <v>#VALUE!</v>
      </c>
      <c r="FU50">
        <f>IF('Planilla_General_03-12-2012_9_3'!796:796,"AAAAAH7k7bA=",0)</f>
        <v>0</v>
      </c>
      <c r="FV50" t="e">
        <f>AND('Planilla_General_03-12-2012_9_3'!A796,"AAAAAH7k7bE=")</f>
        <v>#VALUE!</v>
      </c>
      <c r="FW50" t="e">
        <f>AND('Planilla_General_03-12-2012_9_3'!B796,"AAAAAH7k7bI=")</f>
        <v>#VALUE!</v>
      </c>
      <c r="FX50" t="e">
        <f>AND('Planilla_General_03-12-2012_9_3'!C796,"AAAAAH7k7bM=")</f>
        <v>#VALUE!</v>
      </c>
      <c r="FY50" t="e">
        <f>AND('Planilla_General_03-12-2012_9_3'!D796,"AAAAAH7k7bQ=")</f>
        <v>#VALUE!</v>
      </c>
      <c r="FZ50" t="e">
        <f>AND('Planilla_General_03-12-2012_9_3'!E796,"AAAAAH7k7bU=")</f>
        <v>#VALUE!</v>
      </c>
      <c r="GA50" t="e">
        <f>AND('Planilla_General_03-12-2012_9_3'!F796,"AAAAAH7k7bY=")</f>
        <v>#VALUE!</v>
      </c>
      <c r="GB50" t="e">
        <f>AND('Planilla_General_03-12-2012_9_3'!G796,"AAAAAH7k7bc=")</f>
        <v>#VALUE!</v>
      </c>
      <c r="GC50" t="e">
        <f>AND('Planilla_General_03-12-2012_9_3'!H796,"AAAAAH7k7bg=")</f>
        <v>#VALUE!</v>
      </c>
      <c r="GD50" t="e">
        <f>AND('Planilla_General_03-12-2012_9_3'!I796,"AAAAAH7k7bk=")</f>
        <v>#VALUE!</v>
      </c>
      <c r="GE50" t="e">
        <f>AND('Planilla_General_03-12-2012_9_3'!J796,"AAAAAH7k7bo=")</f>
        <v>#VALUE!</v>
      </c>
      <c r="GF50" t="e">
        <f>AND('Planilla_General_03-12-2012_9_3'!K796,"AAAAAH7k7bs=")</f>
        <v>#VALUE!</v>
      </c>
      <c r="GG50" t="e">
        <f>AND('Planilla_General_03-12-2012_9_3'!L796,"AAAAAH7k7bw=")</f>
        <v>#VALUE!</v>
      </c>
      <c r="GH50" t="e">
        <f>AND('Planilla_General_03-12-2012_9_3'!M796,"AAAAAH7k7b0=")</f>
        <v>#VALUE!</v>
      </c>
      <c r="GI50" t="e">
        <f>AND('Planilla_General_03-12-2012_9_3'!N796,"AAAAAH7k7b4=")</f>
        <v>#VALUE!</v>
      </c>
      <c r="GJ50" t="e">
        <f>AND('Planilla_General_03-12-2012_9_3'!O796,"AAAAAH7k7b8=")</f>
        <v>#VALUE!</v>
      </c>
      <c r="GK50">
        <f>IF('Planilla_General_03-12-2012_9_3'!797:797,"AAAAAH7k7cA=",0)</f>
        <v>0</v>
      </c>
      <c r="GL50" t="e">
        <f>AND('Planilla_General_03-12-2012_9_3'!A797,"AAAAAH7k7cE=")</f>
        <v>#VALUE!</v>
      </c>
      <c r="GM50" t="e">
        <f>AND('Planilla_General_03-12-2012_9_3'!B797,"AAAAAH7k7cI=")</f>
        <v>#VALUE!</v>
      </c>
      <c r="GN50" t="e">
        <f>AND('Planilla_General_03-12-2012_9_3'!C797,"AAAAAH7k7cM=")</f>
        <v>#VALUE!</v>
      </c>
      <c r="GO50" t="e">
        <f>AND('Planilla_General_03-12-2012_9_3'!D797,"AAAAAH7k7cQ=")</f>
        <v>#VALUE!</v>
      </c>
      <c r="GP50" t="e">
        <f>AND('Planilla_General_03-12-2012_9_3'!E797,"AAAAAH7k7cU=")</f>
        <v>#VALUE!</v>
      </c>
      <c r="GQ50" t="e">
        <f>AND('Planilla_General_03-12-2012_9_3'!F797,"AAAAAH7k7cY=")</f>
        <v>#VALUE!</v>
      </c>
      <c r="GR50" t="e">
        <f>AND('Planilla_General_03-12-2012_9_3'!G797,"AAAAAH7k7cc=")</f>
        <v>#VALUE!</v>
      </c>
      <c r="GS50" t="e">
        <f>AND('Planilla_General_03-12-2012_9_3'!H797,"AAAAAH7k7cg=")</f>
        <v>#VALUE!</v>
      </c>
      <c r="GT50" t="e">
        <f>AND('Planilla_General_03-12-2012_9_3'!I797,"AAAAAH7k7ck=")</f>
        <v>#VALUE!</v>
      </c>
      <c r="GU50" t="e">
        <f>AND('Planilla_General_03-12-2012_9_3'!J797,"AAAAAH7k7co=")</f>
        <v>#VALUE!</v>
      </c>
      <c r="GV50" t="e">
        <f>AND('Planilla_General_03-12-2012_9_3'!K797,"AAAAAH7k7cs=")</f>
        <v>#VALUE!</v>
      </c>
      <c r="GW50" t="e">
        <f>AND('Planilla_General_03-12-2012_9_3'!L797,"AAAAAH7k7cw=")</f>
        <v>#VALUE!</v>
      </c>
      <c r="GX50" t="e">
        <f>AND('Planilla_General_03-12-2012_9_3'!M797,"AAAAAH7k7c0=")</f>
        <v>#VALUE!</v>
      </c>
      <c r="GY50" t="e">
        <f>AND('Planilla_General_03-12-2012_9_3'!N797,"AAAAAH7k7c4=")</f>
        <v>#VALUE!</v>
      </c>
      <c r="GZ50" t="e">
        <f>AND('Planilla_General_03-12-2012_9_3'!O797,"AAAAAH7k7c8=")</f>
        <v>#VALUE!</v>
      </c>
      <c r="HA50">
        <f>IF('Planilla_General_03-12-2012_9_3'!798:798,"AAAAAH7k7dA=",0)</f>
        <v>0</v>
      </c>
      <c r="HB50" t="e">
        <f>AND('Planilla_General_03-12-2012_9_3'!A798,"AAAAAH7k7dE=")</f>
        <v>#VALUE!</v>
      </c>
      <c r="HC50" t="e">
        <f>AND('Planilla_General_03-12-2012_9_3'!B798,"AAAAAH7k7dI=")</f>
        <v>#VALUE!</v>
      </c>
      <c r="HD50" t="e">
        <f>AND('Planilla_General_03-12-2012_9_3'!C798,"AAAAAH7k7dM=")</f>
        <v>#VALUE!</v>
      </c>
      <c r="HE50" t="e">
        <f>AND('Planilla_General_03-12-2012_9_3'!D798,"AAAAAH7k7dQ=")</f>
        <v>#VALUE!</v>
      </c>
      <c r="HF50" t="e">
        <f>AND('Planilla_General_03-12-2012_9_3'!E798,"AAAAAH7k7dU=")</f>
        <v>#VALUE!</v>
      </c>
      <c r="HG50" t="e">
        <f>AND('Planilla_General_03-12-2012_9_3'!F798,"AAAAAH7k7dY=")</f>
        <v>#VALUE!</v>
      </c>
      <c r="HH50" t="e">
        <f>AND('Planilla_General_03-12-2012_9_3'!G798,"AAAAAH7k7dc=")</f>
        <v>#VALUE!</v>
      </c>
      <c r="HI50" t="e">
        <f>AND('Planilla_General_03-12-2012_9_3'!H798,"AAAAAH7k7dg=")</f>
        <v>#VALUE!</v>
      </c>
      <c r="HJ50" t="e">
        <f>AND('Planilla_General_03-12-2012_9_3'!I798,"AAAAAH7k7dk=")</f>
        <v>#VALUE!</v>
      </c>
      <c r="HK50" t="e">
        <f>AND('Planilla_General_03-12-2012_9_3'!J798,"AAAAAH7k7do=")</f>
        <v>#VALUE!</v>
      </c>
      <c r="HL50" t="e">
        <f>AND('Planilla_General_03-12-2012_9_3'!K798,"AAAAAH7k7ds=")</f>
        <v>#VALUE!</v>
      </c>
      <c r="HM50" t="e">
        <f>AND('Planilla_General_03-12-2012_9_3'!L798,"AAAAAH7k7dw=")</f>
        <v>#VALUE!</v>
      </c>
      <c r="HN50" t="e">
        <f>AND('Planilla_General_03-12-2012_9_3'!M798,"AAAAAH7k7d0=")</f>
        <v>#VALUE!</v>
      </c>
      <c r="HO50" t="e">
        <f>AND('Planilla_General_03-12-2012_9_3'!N798,"AAAAAH7k7d4=")</f>
        <v>#VALUE!</v>
      </c>
      <c r="HP50" t="e">
        <f>AND('Planilla_General_03-12-2012_9_3'!O798,"AAAAAH7k7d8=")</f>
        <v>#VALUE!</v>
      </c>
      <c r="HQ50">
        <f>IF('Planilla_General_03-12-2012_9_3'!799:799,"AAAAAH7k7eA=",0)</f>
        <v>0</v>
      </c>
      <c r="HR50" t="e">
        <f>AND('Planilla_General_03-12-2012_9_3'!A799,"AAAAAH7k7eE=")</f>
        <v>#VALUE!</v>
      </c>
      <c r="HS50" t="e">
        <f>AND('Planilla_General_03-12-2012_9_3'!B799,"AAAAAH7k7eI=")</f>
        <v>#VALUE!</v>
      </c>
      <c r="HT50" t="e">
        <f>AND('Planilla_General_03-12-2012_9_3'!C799,"AAAAAH7k7eM=")</f>
        <v>#VALUE!</v>
      </c>
      <c r="HU50" t="e">
        <f>AND('Planilla_General_03-12-2012_9_3'!D799,"AAAAAH7k7eQ=")</f>
        <v>#VALUE!</v>
      </c>
      <c r="HV50" t="e">
        <f>AND('Planilla_General_03-12-2012_9_3'!E799,"AAAAAH7k7eU=")</f>
        <v>#VALUE!</v>
      </c>
      <c r="HW50" t="e">
        <f>AND('Planilla_General_03-12-2012_9_3'!F799,"AAAAAH7k7eY=")</f>
        <v>#VALUE!</v>
      </c>
      <c r="HX50" t="e">
        <f>AND('Planilla_General_03-12-2012_9_3'!G799,"AAAAAH7k7ec=")</f>
        <v>#VALUE!</v>
      </c>
      <c r="HY50" t="e">
        <f>AND('Planilla_General_03-12-2012_9_3'!H799,"AAAAAH7k7eg=")</f>
        <v>#VALUE!</v>
      </c>
      <c r="HZ50" t="e">
        <f>AND('Planilla_General_03-12-2012_9_3'!I799,"AAAAAH7k7ek=")</f>
        <v>#VALUE!</v>
      </c>
      <c r="IA50" t="e">
        <f>AND('Planilla_General_03-12-2012_9_3'!J799,"AAAAAH7k7eo=")</f>
        <v>#VALUE!</v>
      </c>
      <c r="IB50" t="e">
        <f>AND('Planilla_General_03-12-2012_9_3'!K799,"AAAAAH7k7es=")</f>
        <v>#VALUE!</v>
      </c>
      <c r="IC50" t="e">
        <f>AND('Planilla_General_03-12-2012_9_3'!L799,"AAAAAH7k7ew=")</f>
        <v>#VALUE!</v>
      </c>
      <c r="ID50" t="e">
        <f>AND('Planilla_General_03-12-2012_9_3'!M799,"AAAAAH7k7e0=")</f>
        <v>#VALUE!</v>
      </c>
      <c r="IE50" t="e">
        <f>AND('Planilla_General_03-12-2012_9_3'!N799,"AAAAAH7k7e4=")</f>
        <v>#VALUE!</v>
      </c>
      <c r="IF50" t="e">
        <f>AND('Planilla_General_03-12-2012_9_3'!O799,"AAAAAH7k7e8=")</f>
        <v>#VALUE!</v>
      </c>
      <c r="IG50">
        <f>IF('Planilla_General_03-12-2012_9_3'!800:800,"AAAAAH7k7fA=",0)</f>
        <v>0</v>
      </c>
      <c r="IH50" t="e">
        <f>AND('Planilla_General_03-12-2012_9_3'!A800,"AAAAAH7k7fE=")</f>
        <v>#VALUE!</v>
      </c>
      <c r="II50" t="e">
        <f>AND('Planilla_General_03-12-2012_9_3'!B800,"AAAAAH7k7fI=")</f>
        <v>#VALUE!</v>
      </c>
      <c r="IJ50" t="e">
        <f>AND('Planilla_General_03-12-2012_9_3'!C800,"AAAAAH7k7fM=")</f>
        <v>#VALUE!</v>
      </c>
      <c r="IK50" t="e">
        <f>AND('Planilla_General_03-12-2012_9_3'!D800,"AAAAAH7k7fQ=")</f>
        <v>#VALUE!</v>
      </c>
      <c r="IL50" t="e">
        <f>AND('Planilla_General_03-12-2012_9_3'!E800,"AAAAAH7k7fU=")</f>
        <v>#VALUE!</v>
      </c>
      <c r="IM50" t="e">
        <f>AND('Planilla_General_03-12-2012_9_3'!F800,"AAAAAH7k7fY=")</f>
        <v>#VALUE!</v>
      </c>
      <c r="IN50" t="e">
        <f>AND('Planilla_General_03-12-2012_9_3'!G800,"AAAAAH7k7fc=")</f>
        <v>#VALUE!</v>
      </c>
      <c r="IO50" t="e">
        <f>AND('Planilla_General_03-12-2012_9_3'!H800,"AAAAAH7k7fg=")</f>
        <v>#VALUE!</v>
      </c>
      <c r="IP50" t="e">
        <f>AND('Planilla_General_03-12-2012_9_3'!I800,"AAAAAH7k7fk=")</f>
        <v>#VALUE!</v>
      </c>
      <c r="IQ50" t="e">
        <f>AND('Planilla_General_03-12-2012_9_3'!J800,"AAAAAH7k7fo=")</f>
        <v>#VALUE!</v>
      </c>
      <c r="IR50" t="e">
        <f>AND('Planilla_General_03-12-2012_9_3'!K800,"AAAAAH7k7fs=")</f>
        <v>#VALUE!</v>
      </c>
      <c r="IS50" t="e">
        <f>AND('Planilla_General_03-12-2012_9_3'!L800,"AAAAAH7k7fw=")</f>
        <v>#VALUE!</v>
      </c>
      <c r="IT50" t="e">
        <f>AND('Planilla_General_03-12-2012_9_3'!M800,"AAAAAH7k7f0=")</f>
        <v>#VALUE!</v>
      </c>
      <c r="IU50" t="e">
        <f>AND('Planilla_General_03-12-2012_9_3'!N800,"AAAAAH7k7f4=")</f>
        <v>#VALUE!</v>
      </c>
      <c r="IV50" t="e">
        <f>AND('Planilla_General_03-12-2012_9_3'!O800,"AAAAAH7k7f8=")</f>
        <v>#VALUE!</v>
      </c>
    </row>
    <row r="51" spans="1:256" x14ac:dyDescent="0.25">
      <c r="A51" t="e">
        <f>IF('Planilla_General_03-12-2012_9_3'!801:801,"AAAAAF1//wA=",0)</f>
        <v>#VALUE!</v>
      </c>
      <c r="B51" t="e">
        <f>AND('Planilla_General_03-12-2012_9_3'!A801,"AAAAAF1//wE=")</f>
        <v>#VALUE!</v>
      </c>
      <c r="C51" t="e">
        <f>AND('Planilla_General_03-12-2012_9_3'!B801,"AAAAAF1//wI=")</f>
        <v>#VALUE!</v>
      </c>
      <c r="D51" t="e">
        <f>AND('Planilla_General_03-12-2012_9_3'!C801,"AAAAAF1//wM=")</f>
        <v>#VALUE!</v>
      </c>
      <c r="E51" t="e">
        <f>AND('Planilla_General_03-12-2012_9_3'!D801,"AAAAAF1//wQ=")</f>
        <v>#VALUE!</v>
      </c>
      <c r="F51" t="e">
        <f>AND('Planilla_General_03-12-2012_9_3'!E801,"AAAAAF1//wU=")</f>
        <v>#VALUE!</v>
      </c>
      <c r="G51" t="e">
        <f>AND('Planilla_General_03-12-2012_9_3'!F801,"AAAAAF1//wY=")</f>
        <v>#VALUE!</v>
      </c>
      <c r="H51" t="e">
        <f>AND('Planilla_General_03-12-2012_9_3'!G801,"AAAAAF1//wc=")</f>
        <v>#VALUE!</v>
      </c>
      <c r="I51" t="e">
        <f>AND('Planilla_General_03-12-2012_9_3'!H801,"AAAAAF1//wg=")</f>
        <v>#VALUE!</v>
      </c>
      <c r="J51" t="e">
        <f>AND('Planilla_General_03-12-2012_9_3'!I801,"AAAAAF1//wk=")</f>
        <v>#VALUE!</v>
      </c>
      <c r="K51" t="e">
        <f>AND('Planilla_General_03-12-2012_9_3'!J801,"AAAAAF1//wo=")</f>
        <v>#VALUE!</v>
      </c>
      <c r="L51" t="e">
        <f>AND('Planilla_General_03-12-2012_9_3'!K801,"AAAAAF1//ws=")</f>
        <v>#VALUE!</v>
      </c>
      <c r="M51" t="e">
        <f>AND('Planilla_General_03-12-2012_9_3'!L801,"AAAAAF1//ww=")</f>
        <v>#VALUE!</v>
      </c>
      <c r="N51" t="e">
        <f>AND('Planilla_General_03-12-2012_9_3'!M801,"AAAAAF1//w0=")</f>
        <v>#VALUE!</v>
      </c>
      <c r="O51" t="e">
        <f>AND('Planilla_General_03-12-2012_9_3'!N801,"AAAAAF1//w4=")</f>
        <v>#VALUE!</v>
      </c>
      <c r="P51" t="e">
        <f>AND('Planilla_General_03-12-2012_9_3'!O801,"AAAAAF1//w8=")</f>
        <v>#VALUE!</v>
      </c>
      <c r="Q51">
        <f>IF('Planilla_General_03-12-2012_9_3'!802:802,"AAAAAF1//xA=",0)</f>
        <v>0</v>
      </c>
      <c r="R51" t="e">
        <f>AND('Planilla_General_03-12-2012_9_3'!A802,"AAAAAF1//xE=")</f>
        <v>#VALUE!</v>
      </c>
      <c r="S51" t="e">
        <f>AND('Planilla_General_03-12-2012_9_3'!B802,"AAAAAF1//xI=")</f>
        <v>#VALUE!</v>
      </c>
      <c r="T51" t="e">
        <f>AND('Planilla_General_03-12-2012_9_3'!C802,"AAAAAF1//xM=")</f>
        <v>#VALUE!</v>
      </c>
      <c r="U51" t="e">
        <f>AND('Planilla_General_03-12-2012_9_3'!D802,"AAAAAF1//xQ=")</f>
        <v>#VALUE!</v>
      </c>
      <c r="V51" t="e">
        <f>AND('Planilla_General_03-12-2012_9_3'!E802,"AAAAAF1//xU=")</f>
        <v>#VALUE!</v>
      </c>
      <c r="W51" t="e">
        <f>AND('Planilla_General_03-12-2012_9_3'!F802,"AAAAAF1//xY=")</f>
        <v>#VALUE!</v>
      </c>
      <c r="X51" t="e">
        <f>AND('Planilla_General_03-12-2012_9_3'!G802,"AAAAAF1//xc=")</f>
        <v>#VALUE!</v>
      </c>
      <c r="Y51" t="e">
        <f>AND('Planilla_General_03-12-2012_9_3'!H802,"AAAAAF1//xg=")</f>
        <v>#VALUE!</v>
      </c>
      <c r="Z51" t="e">
        <f>AND('Planilla_General_03-12-2012_9_3'!I802,"AAAAAF1//xk=")</f>
        <v>#VALUE!</v>
      </c>
      <c r="AA51" t="e">
        <f>AND('Planilla_General_03-12-2012_9_3'!J802,"AAAAAF1//xo=")</f>
        <v>#VALUE!</v>
      </c>
      <c r="AB51" t="e">
        <f>AND('Planilla_General_03-12-2012_9_3'!K802,"AAAAAF1//xs=")</f>
        <v>#VALUE!</v>
      </c>
      <c r="AC51" t="e">
        <f>AND('Planilla_General_03-12-2012_9_3'!L802,"AAAAAF1//xw=")</f>
        <v>#VALUE!</v>
      </c>
      <c r="AD51" t="e">
        <f>AND('Planilla_General_03-12-2012_9_3'!M802,"AAAAAF1//x0=")</f>
        <v>#VALUE!</v>
      </c>
      <c r="AE51" t="e">
        <f>AND('Planilla_General_03-12-2012_9_3'!N802,"AAAAAF1//x4=")</f>
        <v>#VALUE!</v>
      </c>
      <c r="AF51" t="e">
        <f>AND('Planilla_General_03-12-2012_9_3'!O802,"AAAAAF1//x8=")</f>
        <v>#VALUE!</v>
      </c>
      <c r="AG51">
        <f>IF('Planilla_General_03-12-2012_9_3'!803:803,"AAAAAF1//yA=",0)</f>
        <v>0</v>
      </c>
      <c r="AH51" t="e">
        <f>AND('Planilla_General_03-12-2012_9_3'!A803,"AAAAAF1//yE=")</f>
        <v>#VALUE!</v>
      </c>
      <c r="AI51" t="e">
        <f>AND('Planilla_General_03-12-2012_9_3'!B803,"AAAAAF1//yI=")</f>
        <v>#VALUE!</v>
      </c>
      <c r="AJ51" t="e">
        <f>AND('Planilla_General_03-12-2012_9_3'!C803,"AAAAAF1//yM=")</f>
        <v>#VALUE!</v>
      </c>
      <c r="AK51" t="e">
        <f>AND('Planilla_General_03-12-2012_9_3'!D803,"AAAAAF1//yQ=")</f>
        <v>#VALUE!</v>
      </c>
      <c r="AL51" t="e">
        <f>AND('Planilla_General_03-12-2012_9_3'!E803,"AAAAAF1//yU=")</f>
        <v>#VALUE!</v>
      </c>
      <c r="AM51" t="e">
        <f>AND('Planilla_General_03-12-2012_9_3'!F803,"AAAAAF1//yY=")</f>
        <v>#VALUE!</v>
      </c>
      <c r="AN51" t="e">
        <f>AND('Planilla_General_03-12-2012_9_3'!G803,"AAAAAF1//yc=")</f>
        <v>#VALUE!</v>
      </c>
      <c r="AO51" t="e">
        <f>AND('Planilla_General_03-12-2012_9_3'!H803,"AAAAAF1//yg=")</f>
        <v>#VALUE!</v>
      </c>
      <c r="AP51" t="e">
        <f>AND('Planilla_General_03-12-2012_9_3'!I803,"AAAAAF1//yk=")</f>
        <v>#VALUE!</v>
      </c>
      <c r="AQ51" t="e">
        <f>AND('Planilla_General_03-12-2012_9_3'!J803,"AAAAAF1//yo=")</f>
        <v>#VALUE!</v>
      </c>
      <c r="AR51" t="e">
        <f>AND('Planilla_General_03-12-2012_9_3'!K803,"AAAAAF1//ys=")</f>
        <v>#VALUE!</v>
      </c>
      <c r="AS51" t="e">
        <f>AND('Planilla_General_03-12-2012_9_3'!L803,"AAAAAF1//yw=")</f>
        <v>#VALUE!</v>
      </c>
      <c r="AT51" t="e">
        <f>AND('Planilla_General_03-12-2012_9_3'!M803,"AAAAAF1//y0=")</f>
        <v>#VALUE!</v>
      </c>
      <c r="AU51" t="e">
        <f>AND('Planilla_General_03-12-2012_9_3'!N803,"AAAAAF1//y4=")</f>
        <v>#VALUE!</v>
      </c>
      <c r="AV51" t="e">
        <f>AND('Planilla_General_03-12-2012_9_3'!O803,"AAAAAF1//y8=")</f>
        <v>#VALUE!</v>
      </c>
      <c r="AW51">
        <f>IF('Planilla_General_03-12-2012_9_3'!804:804,"AAAAAF1//zA=",0)</f>
        <v>0</v>
      </c>
      <c r="AX51" t="e">
        <f>AND('Planilla_General_03-12-2012_9_3'!A804,"AAAAAF1//zE=")</f>
        <v>#VALUE!</v>
      </c>
      <c r="AY51" t="e">
        <f>AND('Planilla_General_03-12-2012_9_3'!B804,"AAAAAF1//zI=")</f>
        <v>#VALUE!</v>
      </c>
      <c r="AZ51" t="e">
        <f>AND('Planilla_General_03-12-2012_9_3'!C804,"AAAAAF1//zM=")</f>
        <v>#VALUE!</v>
      </c>
      <c r="BA51" t="e">
        <f>AND('Planilla_General_03-12-2012_9_3'!D804,"AAAAAF1//zQ=")</f>
        <v>#VALUE!</v>
      </c>
      <c r="BB51" t="e">
        <f>AND('Planilla_General_03-12-2012_9_3'!E804,"AAAAAF1//zU=")</f>
        <v>#VALUE!</v>
      </c>
      <c r="BC51" t="e">
        <f>AND('Planilla_General_03-12-2012_9_3'!F804,"AAAAAF1//zY=")</f>
        <v>#VALUE!</v>
      </c>
      <c r="BD51" t="e">
        <f>AND('Planilla_General_03-12-2012_9_3'!G804,"AAAAAF1//zc=")</f>
        <v>#VALUE!</v>
      </c>
      <c r="BE51" t="e">
        <f>AND('Planilla_General_03-12-2012_9_3'!H804,"AAAAAF1//zg=")</f>
        <v>#VALUE!</v>
      </c>
      <c r="BF51" t="e">
        <f>AND('Planilla_General_03-12-2012_9_3'!I804,"AAAAAF1//zk=")</f>
        <v>#VALUE!</v>
      </c>
      <c r="BG51" t="e">
        <f>AND('Planilla_General_03-12-2012_9_3'!J804,"AAAAAF1//zo=")</f>
        <v>#VALUE!</v>
      </c>
      <c r="BH51" t="e">
        <f>AND('Planilla_General_03-12-2012_9_3'!K804,"AAAAAF1//zs=")</f>
        <v>#VALUE!</v>
      </c>
      <c r="BI51" t="e">
        <f>AND('Planilla_General_03-12-2012_9_3'!L804,"AAAAAF1//zw=")</f>
        <v>#VALUE!</v>
      </c>
      <c r="BJ51" t="e">
        <f>AND('Planilla_General_03-12-2012_9_3'!M804,"AAAAAF1//z0=")</f>
        <v>#VALUE!</v>
      </c>
      <c r="BK51" t="e">
        <f>AND('Planilla_General_03-12-2012_9_3'!N804,"AAAAAF1//z4=")</f>
        <v>#VALUE!</v>
      </c>
      <c r="BL51" t="e">
        <f>AND('Planilla_General_03-12-2012_9_3'!O804,"AAAAAF1//z8=")</f>
        <v>#VALUE!</v>
      </c>
      <c r="BM51">
        <f>IF('Planilla_General_03-12-2012_9_3'!805:805,"AAAAAF1//0A=",0)</f>
        <v>0</v>
      </c>
      <c r="BN51" t="e">
        <f>AND('Planilla_General_03-12-2012_9_3'!A805,"AAAAAF1//0E=")</f>
        <v>#VALUE!</v>
      </c>
      <c r="BO51" t="e">
        <f>AND('Planilla_General_03-12-2012_9_3'!B805,"AAAAAF1//0I=")</f>
        <v>#VALUE!</v>
      </c>
      <c r="BP51" t="e">
        <f>AND('Planilla_General_03-12-2012_9_3'!C805,"AAAAAF1//0M=")</f>
        <v>#VALUE!</v>
      </c>
      <c r="BQ51" t="e">
        <f>AND('Planilla_General_03-12-2012_9_3'!D805,"AAAAAF1//0Q=")</f>
        <v>#VALUE!</v>
      </c>
      <c r="BR51" t="e">
        <f>AND('Planilla_General_03-12-2012_9_3'!E805,"AAAAAF1//0U=")</f>
        <v>#VALUE!</v>
      </c>
      <c r="BS51" t="e">
        <f>AND('Planilla_General_03-12-2012_9_3'!F805,"AAAAAF1//0Y=")</f>
        <v>#VALUE!</v>
      </c>
      <c r="BT51" t="e">
        <f>AND('Planilla_General_03-12-2012_9_3'!G805,"AAAAAF1//0c=")</f>
        <v>#VALUE!</v>
      </c>
      <c r="BU51" t="e">
        <f>AND('Planilla_General_03-12-2012_9_3'!H805,"AAAAAF1//0g=")</f>
        <v>#VALUE!</v>
      </c>
      <c r="BV51" t="e">
        <f>AND('Planilla_General_03-12-2012_9_3'!I805,"AAAAAF1//0k=")</f>
        <v>#VALUE!</v>
      </c>
      <c r="BW51" t="e">
        <f>AND('Planilla_General_03-12-2012_9_3'!J805,"AAAAAF1//0o=")</f>
        <v>#VALUE!</v>
      </c>
      <c r="BX51" t="e">
        <f>AND('Planilla_General_03-12-2012_9_3'!K805,"AAAAAF1//0s=")</f>
        <v>#VALUE!</v>
      </c>
      <c r="BY51" t="e">
        <f>AND('Planilla_General_03-12-2012_9_3'!L805,"AAAAAF1//0w=")</f>
        <v>#VALUE!</v>
      </c>
      <c r="BZ51" t="e">
        <f>AND('Planilla_General_03-12-2012_9_3'!M805,"AAAAAF1//00=")</f>
        <v>#VALUE!</v>
      </c>
      <c r="CA51" t="e">
        <f>AND('Planilla_General_03-12-2012_9_3'!N805,"AAAAAF1//04=")</f>
        <v>#VALUE!</v>
      </c>
      <c r="CB51" t="e">
        <f>AND('Planilla_General_03-12-2012_9_3'!O805,"AAAAAF1//08=")</f>
        <v>#VALUE!</v>
      </c>
      <c r="CC51">
        <f>IF('Planilla_General_03-12-2012_9_3'!806:806,"AAAAAF1//1A=",0)</f>
        <v>0</v>
      </c>
      <c r="CD51" t="e">
        <f>AND('Planilla_General_03-12-2012_9_3'!A806,"AAAAAF1//1E=")</f>
        <v>#VALUE!</v>
      </c>
      <c r="CE51" t="e">
        <f>AND('Planilla_General_03-12-2012_9_3'!B806,"AAAAAF1//1I=")</f>
        <v>#VALUE!</v>
      </c>
      <c r="CF51" t="e">
        <f>AND('Planilla_General_03-12-2012_9_3'!C806,"AAAAAF1//1M=")</f>
        <v>#VALUE!</v>
      </c>
      <c r="CG51" t="e">
        <f>AND('Planilla_General_03-12-2012_9_3'!D806,"AAAAAF1//1Q=")</f>
        <v>#VALUE!</v>
      </c>
      <c r="CH51" t="e">
        <f>AND('Planilla_General_03-12-2012_9_3'!E806,"AAAAAF1//1U=")</f>
        <v>#VALUE!</v>
      </c>
      <c r="CI51" t="e">
        <f>AND('Planilla_General_03-12-2012_9_3'!F806,"AAAAAF1//1Y=")</f>
        <v>#VALUE!</v>
      </c>
      <c r="CJ51" t="e">
        <f>AND('Planilla_General_03-12-2012_9_3'!G806,"AAAAAF1//1c=")</f>
        <v>#VALUE!</v>
      </c>
      <c r="CK51" t="e">
        <f>AND('Planilla_General_03-12-2012_9_3'!H806,"AAAAAF1//1g=")</f>
        <v>#VALUE!</v>
      </c>
      <c r="CL51" t="e">
        <f>AND('Planilla_General_03-12-2012_9_3'!I806,"AAAAAF1//1k=")</f>
        <v>#VALUE!</v>
      </c>
      <c r="CM51" t="e">
        <f>AND('Planilla_General_03-12-2012_9_3'!J806,"AAAAAF1//1o=")</f>
        <v>#VALUE!</v>
      </c>
      <c r="CN51" t="e">
        <f>AND('Planilla_General_03-12-2012_9_3'!K806,"AAAAAF1//1s=")</f>
        <v>#VALUE!</v>
      </c>
      <c r="CO51" t="e">
        <f>AND('Planilla_General_03-12-2012_9_3'!L806,"AAAAAF1//1w=")</f>
        <v>#VALUE!</v>
      </c>
      <c r="CP51" t="e">
        <f>AND('Planilla_General_03-12-2012_9_3'!M806,"AAAAAF1//10=")</f>
        <v>#VALUE!</v>
      </c>
      <c r="CQ51" t="e">
        <f>AND('Planilla_General_03-12-2012_9_3'!N806,"AAAAAF1//14=")</f>
        <v>#VALUE!</v>
      </c>
      <c r="CR51" t="e">
        <f>AND('Planilla_General_03-12-2012_9_3'!O806,"AAAAAF1//18=")</f>
        <v>#VALUE!</v>
      </c>
      <c r="CS51">
        <f>IF('Planilla_General_03-12-2012_9_3'!807:807,"AAAAAF1//2A=",0)</f>
        <v>0</v>
      </c>
      <c r="CT51" t="e">
        <f>AND('Planilla_General_03-12-2012_9_3'!A807,"AAAAAF1//2E=")</f>
        <v>#VALUE!</v>
      </c>
      <c r="CU51" t="e">
        <f>AND('Planilla_General_03-12-2012_9_3'!B807,"AAAAAF1//2I=")</f>
        <v>#VALUE!</v>
      </c>
      <c r="CV51" t="e">
        <f>AND('Planilla_General_03-12-2012_9_3'!C807,"AAAAAF1//2M=")</f>
        <v>#VALUE!</v>
      </c>
      <c r="CW51" t="e">
        <f>AND('Planilla_General_03-12-2012_9_3'!D807,"AAAAAF1//2Q=")</f>
        <v>#VALUE!</v>
      </c>
      <c r="CX51" t="e">
        <f>AND('Planilla_General_03-12-2012_9_3'!E807,"AAAAAF1//2U=")</f>
        <v>#VALUE!</v>
      </c>
      <c r="CY51" t="e">
        <f>AND('Planilla_General_03-12-2012_9_3'!F807,"AAAAAF1//2Y=")</f>
        <v>#VALUE!</v>
      </c>
      <c r="CZ51" t="e">
        <f>AND('Planilla_General_03-12-2012_9_3'!G807,"AAAAAF1//2c=")</f>
        <v>#VALUE!</v>
      </c>
      <c r="DA51" t="e">
        <f>AND('Planilla_General_03-12-2012_9_3'!H807,"AAAAAF1//2g=")</f>
        <v>#VALUE!</v>
      </c>
      <c r="DB51" t="e">
        <f>AND('Planilla_General_03-12-2012_9_3'!I807,"AAAAAF1//2k=")</f>
        <v>#VALUE!</v>
      </c>
      <c r="DC51" t="e">
        <f>AND('Planilla_General_03-12-2012_9_3'!J807,"AAAAAF1//2o=")</f>
        <v>#VALUE!</v>
      </c>
      <c r="DD51" t="e">
        <f>AND('Planilla_General_03-12-2012_9_3'!K807,"AAAAAF1//2s=")</f>
        <v>#VALUE!</v>
      </c>
      <c r="DE51" t="e">
        <f>AND('Planilla_General_03-12-2012_9_3'!L807,"AAAAAF1//2w=")</f>
        <v>#VALUE!</v>
      </c>
      <c r="DF51" t="e">
        <f>AND('Planilla_General_03-12-2012_9_3'!M807,"AAAAAF1//20=")</f>
        <v>#VALUE!</v>
      </c>
      <c r="DG51" t="e">
        <f>AND('Planilla_General_03-12-2012_9_3'!N807,"AAAAAF1//24=")</f>
        <v>#VALUE!</v>
      </c>
      <c r="DH51" t="e">
        <f>AND('Planilla_General_03-12-2012_9_3'!O807,"AAAAAF1//28=")</f>
        <v>#VALUE!</v>
      </c>
      <c r="DI51">
        <f>IF('Planilla_General_03-12-2012_9_3'!808:808,"AAAAAF1//3A=",0)</f>
        <v>0</v>
      </c>
      <c r="DJ51" t="e">
        <f>AND('Planilla_General_03-12-2012_9_3'!A808,"AAAAAF1//3E=")</f>
        <v>#VALUE!</v>
      </c>
      <c r="DK51" t="e">
        <f>AND('Planilla_General_03-12-2012_9_3'!B808,"AAAAAF1//3I=")</f>
        <v>#VALUE!</v>
      </c>
      <c r="DL51" t="e">
        <f>AND('Planilla_General_03-12-2012_9_3'!C808,"AAAAAF1//3M=")</f>
        <v>#VALUE!</v>
      </c>
      <c r="DM51" t="e">
        <f>AND('Planilla_General_03-12-2012_9_3'!D808,"AAAAAF1//3Q=")</f>
        <v>#VALUE!</v>
      </c>
      <c r="DN51" t="e">
        <f>AND('Planilla_General_03-12-2012_9_3'!E808,"AAAAAF1//3U=")</f>
        <v>#VALUE!</v>
      </c>
      <c r="DO51" t="e">
        <f>AND('Planilla_General_03-12-2012_9_3'!F808,"AAAAAF1//3Y=")</f>
        <v>#VALUE!</v>
      </c>
      <c r="DP51" t="e">
        <f>AND('Planilla_General_03-12-2012_9_3'!G808,"AAAAAF1//3c=")</f>
        <v>#VALUE!</v>
      </c>
      <c r="DQ51" t="e">
        <f>AND('Planilla_General_03-12-2012_9_3'!H808,"AAAAAF1//3g=")</f>
        <v>#VALUE!</v>
      </c>
      <c r="DR51" t="e">
        <f>AND('Planilla_General_03-12-2012_9_3'!I808,"AAAAAF1//3k=")</f>
        <v>#VALUE!</v>
      </c>
      <c r="DS51" t="e">
        <f>AND('Planilla_General_03-12-2012_9_3'!J808,"AAAAAF1//3o=")</f>
        <v>#VALUE!</v>
      </c>
      <c r="DT51" t="e">
        <f>AND('Planilla_General_03-12-2012_9_3'!K808,"AAAAAF1//3s=")</f>
        <v>#VALUE!</v>
      </c>
      <c r="DU51" t="e">
        <f>AND('Planilla_General_03-12-2012_9_3'!L808,"AAAAAF1//3w=")</f>
        <v>#VALUE!</v>
      </c>
      <c r="DV51" t="e">
        <f>AND('Planilla_General_03-12-2012_9_3'!M808,"AAAAAF1//30=")</f>
        <v>#VALUE!</v>
      </c>
      <c r="DW51" t="e">
        <f>AND('Planilla_General_03-12-2012_9_3'!N808,"AAAAAF1//34=")</f>
        <v>#VALUE!</v>
      </c>
      <c r="DX51" t="e">
        <f>AND('Planilla_General_03-12-2012_9_3'!O808,"AAAAAF1//38=")</f>
        <v>#VALUE!</v>
      </c>
      <c r="DY51">
        <f>IF('Planilla_General_03-12-2012_9_3'!809:809,"AAAAAF1//4A=",0)</f>
        <v>0</v>
      </c>
      <c r="DZ51" t="e">
        <f>AND('Planilla_General_03-12-2012_9_3'!A809,"AAAAAF1//4E=")</f>
        <v>#VALUE!</v>
      </c>
      <c r="EA51" t="e">
        <f>AND('Planilla_General_03-12-2012_9_3'!B809,"AAAAAF1//4I=")</f>
        <v>#VALUE!</v>
      </c>
      <c r="EB51" t="e">
        <f>AND('Planilla_General_03-12-2012_9_3'!C809,"AAAAAF1//4M=")</f>
        <v>#VALUE!</v>
      </c>
      <c r="EC51" t="e">
        <f>AND('Planilla_General_03-12-2012_9_3'!D809,"AAAAAF1//4Q=")</f>
        <v>#VALUE!</v>
      </c>
      <c r="ED51" t="e">
        <f>AND('Planilla_General_03-12-2012_9_3'!E809,"AAAAAF1//4U=")</f>
        <v>#VALUE!</v>
      </c>
      <c r="EE51" t="e">
        <f>AND('Planilla_General_03-12-2012_9_3'!F809,"AAAAAF1//4Y=")</f>
        <v>#VALUE!</v>
      </c>
      <c r="EF51" t="e">
        <f>AND('Planilla_General_03-12-2012_9_3'!G809,"AAAAAF1//4c=")</f>
        <v>#VALUE!</v>
      </c>
      <c r="EG51" t="e">
        <f>AND('Planilla_General_03-12-2012_9_3'!H809,"AAAAAF1//4g=")</f>
        <v>#VALUE!</v>
      </c>
      <c r="EH51" t="e">
        <f>AND('Planilla_General_03-12-2012_9_3'!I809,"AAAAAF1//4k=")</f>
        <v>#VALUE!</v>
      </c>
      <c r="EI51" t="e">
        <f>AND('Planilla_General_03-12-2012_9_3'!J809,"AAAAAF1//4o=")</f>
        <v>#VALUE!</v>
      </c>
      <c r="EJ51" t="e">
        <f>AND('Planilla_General_03-12-2012_9_3'!K809,"AAAAAF1//4s=")</f>
        <v>#VALUE!</v>
      </c>
      <c r="EK51" t="e">
        <f>AND('Planilla_General_03-12-2012_9_3'!L809,"AAAAAF1//4w=")</f>
        <v>#VALUE!</v>
      </c>
      <c r="EL51" t="e">
        <f>AND('Planilla_General_03-12-2012_9_3'!M809,"AAAAAF1//40=")</f>
        <v>#VALUE!</v>
      </c>
      <c r="EM51" t="e">
        <f>AND('Planilla_General_03-12-2012_9_3'!N809,"AAAAAF1//44=")</f>
        <v>#VALUE!</v>
      </c>
      <c r="EN51" t="e">
        <f>AND('Planilla_General_03-12-2012_9_3'!O809,"AAAAAF1//48=")</f>
        <v>#VALUE!</v>
      </c>
      <c r="EO51">
        <f>IF('Planilla_General_03-12-2012_9_3'!810:810,"AAAAAF1//5A=",0)</f>
        <v>0</v>
      </c>
      <c r="EP51" t="e">
        <f>AND('Planilla_General_03-12-2012_9_3'!A810,"AAAAAF1//5E=")</f>
        <v>#VALUE!</v>
      </c>
      <c r="EQ51" t="e">
        <f>AND('Planilla_General_03-12-2012_9_3'!B810,"AAAAAF1//5I=")</f>
        <v>#VALUE!</v>
      </c>
      <c r="ER51" t="e">
        <f>AND('Planilla_General_03-12-2012_9_3'!C810,"AAAAAF1//5M=")</f>
        <v>#VALUE!</v>
      </c>
      <c r="ES51" t="e">
        <f>AND('Planilla_General_03-12-2012_9_3'!D810,"AAAAAF1//5Q=")</f>
        <v>#VALUE!</v>
      </c>
      <c r="ET51" t="e">
        <f>AND('Planilla_General_03-12-2012_9_3'!E810,"AAAAAF1//5U=")</f>
        <v>#VALUE!</v>
      </c>
      <c r="EU51" t="e">
        <f>AND('Planilla_General_03-12-2012_9_3'!F810,"AAAAAF1//5Y=")</f>
        <v>#VALUE!</v>
      </c>
      <c r="EV51" t="e">
        <f>AND('Planilla_General_03-12-2012_9_3'!G810,"AAAAAF1//5c=")</f>
        <v>#VALUE!</v>
      </c>
      <c r="EW51" t="e">
        <f>AND('Planilla_General_03-12-2012_9_3'!H810,"AAAAAF1//5g=")</f>
        <v>#VALUE!</v>
      </c>
      <c r="EX51" t="e">
        <f>AND('Planilla_General_03-12-2012_9_3'!I810,"AAAAAF1//5k=")</f>
        <v>#VALUE!</v>
      </c>
      <c r="EY51" t="e">
        <f>AND('Planilla_General_03-12-2012_9_3'!J810,"AAAAAF1//5o=")</f>
        <v>#VALUE!</v>
      </c>
      <c r="EZ51" t="e">
        <f>AND('Planilla_General_03-12-2012_9_3'!K810,"AAAAAF1//5s=")</f>
        <v>#VALUE!</v>
      </c>
      <c r="FA51" t="e">
        <f>AND('Planilla_General_03-12-2012_9_3'!L810,"AAAAAF1//5w=")</f>
        <v>#VALUE!</v>
      </c>
      <c r="FB51" t="e">
        <f>AND('Planilla_General_03-12-2012_9_3'!M810,"AAAAAF1//50=")</f>
        <v>#VALUE!</v>
      </c>
      <c r="FC51" t="e">
        <f>AND('Planilla_General_03-12-2012_9_3'!N810,"AAAAAF1//54=")</f>
        <v>#VALUE!</v>
      </c>
      <c r="FD51" t="e">
        <f>AND('Planilla_General_03-12-2012_9_3'!O810,"AAAAAF1//58=")</f>
        <v>#VALUE!</v>
      </c>
      <c r="FE51">
        <f>IF('Planilla_General_03-12-2012_9_3'!811:811,"AAAAAF1//6A=",0)</f>
        <v>0</v>
      </c>
      <c r="FF51" t="e">
        <f>AND('Planilla_General_03-12-2012_9_3'!A811,"AAAAAF1//6E=")</f>
        <v>#VALUE!</v>
      </c>
      <c r="FG51" t="e">
        <f>AND('Planilla_General_03-12-2012_9_3'!B811,"AAAAAF1//6I=")</f>
        <v>#VALUE!</v>
      </c>
      <c r="FH51" t="e">
        <f>AND('Planilla_General_03-12-2012_9_3'!C811,"AAAAAF1//6M=")</f>
        <v>#VALUE!</v>
      </c>
      <c r="FI51" t="e">
        <f>AND('Planilla_General_03-12-2012_9_3'!D811,"AAAAAF1//6Q=")</f>
        <v>#VALUE!</v>
      </c>
      <c r="FJ51" t="e">
        <f>AND('Planilla_General_03-12-2012_9_3'!E811,"AAAAAF1//6U=")</f>
        <v>#VALUE!</v>
      </c>
      <c r="FK51" t="e">
        <f>AND('Planilla_General_03-12-2012_9_3'!F811,"AAAAAF1//6Y=")</f>
        <v>#VALUE!</v>
      </c>
      <c r="FL51" t="e">
        <f>AND('Planilla_General_03-12-2012_9_3'!G811,"AAAAAF1//6c=")</f>
        <v>#VALUE!</v>
      </c>
      <c r="FM51" t="e">
        <f>AND('Planilla_General_03-12-2012_9_3'!H811,"AAAAAF1//6g=")</f>
        <v>#VALUE!</v>
      </c>
      <c r="FN51" t="e">
        <f>AND('Planilla_General_03-12-2012_9_3'!I811,"AAAAAF1//6k=")</f>
        <v>#VALUE!</v>
      </c>
      <c r="FO51" t="e">
        <f>AND('Planilla_General_03-12-2012_9_3'!J811,"AAAAAF1//6o=")</f>
        <v>#VALUE!</v>
      </c>
      <c r="FP51" t="e">
        <f>AND('Planilla_General_03-12-2012_9_3'!K811,"AAAAAF1//6s=")</f>
        <v>#VALUE!</v>
      </c>
      <c r="FQ51" t="e">
        <f>AND('Planilla_General_03-12-2012_9_3'!L811,"AAAAAF1//6w=")</f>
        <v>#VALUE!</v>
      </c>
      <c r="FR51" t="e">
        <f>AND('Planilla_General_03-12-2012_9_3'!M811,"AAAAAF1//60=")</f>
        <v>#VALUE!</v>
      </c>
      <c r="FS51" t="e">
        <f>AND('Planilla_General_03-12-2012_9_3'!N811,"AAAAAF1//64=")</f>
        <v>#VALUE!</v>
      </c>
      <c r="FT51" t="e">
        <f>AND('Planilla_General_03-12-2012_9_3'!O811,"AAAAAF1//68=")</f>
        <v>#VALUE!</v>
      </c>
      <c r="FU51">
        <f>IF('Planilla_General_03-12-2012_9_3'!812:812,"AAAAAF1//7A=",0)</f>
        <v>0</v>
      </c>
      <c r="FV51" t="e">
        <f>AND('Planilla_General_03-12-2012_9_3'!A812,"AAAAAF1//7E=")</f>
        <v>#VALUE!</v>
      </c>
      <c r="FW51" t="e">
        <f>AND('Planilla_General_03-12-2012_9_3'!B812,"AAAAAF1//7I=")</f>
        <v>#VALUE!</v>
      </c>
      <c r="FX51" t="e">
        <f>AND('Planilla_General_03-12-2012_9_3'!C812,"AAAAAF1//7M=")</f>
        <v>#VALUE!</v>
      </c>
      <c r="FY51" t="e">
        <f>AND('Planilla_General_03-12-2012_9_3'!D812,"AAAAAF1//7Q=")</f>
        <v>#VALUE!</v>
      </c>
      <c r="FZ51" t="e">
        <f>AND('Planilla_General_03-12-2012_9_3'!E812,"AAAAAF1//7U=")</f>
        <v>#VALUE!</v>
      </c>
      <c r="GA51" t="e">
        <f>AND('Planilla_General_03-12-2012_9_3'!F812,"AAAAAF1//7Y=")</f>
        <v>#VALUE!</v>
      </c>
      <c r="GB51" t="e">
        <f>AND('Planilla_General_03-12-2012_9_3'!G812,"AAAAAF1//7c=")</f>
        <v>#VALUE!</v>
      </c>
      <c r="GC51" t="e">
        <f>AND('Planilla_General_03-12-2012_9_3'!H812,"AAAAAF1//7g=")</f>
        <v>#VALUE!</v>
      </c>
      <c r="GD51" t="e">
        <f>AND('Planilla_General_03-12-2012_9_3'!I812,"AAAAAF1//7k=")</f>
        <v>#VALUE!</v>
      </c>
      <c r="GE51" t="e">
        <f>AND('Planilla_General_03-12-2012_9_3'!J812,"AAAAAF1//7o=")</f>
        <v>#VALUE!</v>
      </c>
      <c r="GF51" t="e">
        <f>AND('Planilla_General_03-12-2012_9_3'!K812,"AAAAAF1//7s=")</f>
        <v>#VALUE!</v>
      </c>
      <c r="GG51" t="e">
        <f>AND('Planilla_General_03-12-2012_9_3'!L812,"AAAAAF1//7w=")</f>
        <v>#VALUE!</v>
      </c>
      <c r="GH51" t="e">
        <f>AND('Planilla_General_03-12-2012_9_3'!M812,"AAAAAF1//70=")</f>
        <v>#VALUE!</v>
      </c>
      <c r="GI51" t="e">
        <f>AND('Planilla_General_03-12-2012_9_3'!N812,"AAAAAF1//74=")</f>
        <v>#VALUE!</v>
      </c>
      <c r="GJ51" t="e">
        <f>AND('Planilla_General_03-12-2012_9_3'!O812,"AAAAAF1//78=")</f>
        <v>#VALUE!</v>
      </c>
      <c r="GK51">
        <f>IF('Planilla_General_03-12-2012_9_3'!813:813,"AAAAAF1//8A=",0)</f>
        <v>0</v>
      </c>
      <c r="GL51" t="e">
        <f>AND('Planilla_General_03-12-2012_9_3'!A813,"AAAAAF1//8E=")</f>
        <v>#VALUE!</v>
      </c>
      <c r="GM51" t="e">
        <f>AND('Planilla_General_03-12-2012_9_3'!B813,"AAAAAF1//8I=")</f>
        <v>#VALUE!</v>
      </c>
      <c r="GN51" t="e">
        <f>AND('Planilla_General_03-12-2012_9_3'!C813,"AAAAAF1//8M=")</f>
        <v>#VALUE!</v>
      </c>
      <c r="GO51" t="e">
        <f>AND('Planilla_General_03-12-2012_9_3'!D813,"AAAAAF1//8Q=")</f>
        <v>#VALUE!</v>
      </c>
      <c r="GP51" t="e">
        <f>AND('Planilla_General_03-12-2012_9_3'!E813,"AAAAAF1//8U=")</f>
        <v>#VALUE!</v>
      </c>
      <c r="GQ51" t="e">
        <f>AND('Planilla_General_03-12-2012_9_3'!F813,"AAAAAF1//8Y=")</f>
        <v>#VALUE!</v>
      </c>
      <c r="GR51" t="e">
        <f>AND('Planilla_General_03-12-2012_9_3'!G813,"AAAAAF1//8c=")</f>
        <v>#VALUE!</v>
      </c>
      <c r="GS51" t="e">
        <f>AND('Planilla_General_03-12-2012_9_3'!H813,"AAAAAF1//8g=")</f>
        <v>#VALUE!</v>
      </c>
      <c r="GT51" t="e">
        <f>AND('Planilla_General_03-12-2012_9_3'!I813,"AAAAAF1//8k=")</f>
        <v>#VALUE!</v>
      </c>
      <c r="GU51" t="e">
        <f>AND('Planilla_General_03-12-2012_9_3'!J813,"AAAAAF1//8o=")</f>
        <v>#VALUE!</v>
      </c>
      <c r="GV51" t="e">
        <f>AND('Planilla_General_03-12-2012_9_3'!K813,"AAAAAF1//8s=")</f>
        <v>#VALUE!</v>
      </c>
      <c r="GW51" t="e">
        <f>AND('Planilla_General_03-12-2012_9_3'!L813,"AAAAAF1//8w=")</f>
        <v>#VALUE!</v>
      </c>
      <c r="GX51" t="e">
        <f>AND('Planilla_General_03-12-2012_9_3'!M813,"AAAAAF1//80=")</f>
        <v>#VALUE!</v>
      </c>
      <c r="GY51" t="e">
        <f>AND('Planilla_General_03-12-2012_9_3'!N813,"AAAAAF1//84=")</f>
        <v>#VALUE!</v>
      </c>
      <c r="GZ51" t="e">
        <f>AND('Planilla_General_03-12-2012_9_3'!O813,"AAAAAF1//88=")</f>
        <v>#VALUE!</v>
      </c>
      <c r="HA51">
        <f>IF('Planilla_General_03-12-2012_9_3'!814:814,"AAAAAF1//9A=",0)</f>
        <v>0</v>
      </c>
      <c r="HB51" t="e">
        <f>AND('Planilla_General_03-12-2012_9_3'!A814,"AAAAAF1//9E=")</f>
        <v>#VALUE!</v>
      </c>
      <c r="HC51" t="e">
        <f>AND('Planilla_General_03-12-2012_9_3'!B814,"AAAAAF1//9I=")</f>
        <v>#VALUE!</v>
      </c>
      <c r="HD51" t="e">
        <f>AND('Planilla_General_03-12-2012_9_3'!C814,"AAAAAF1//9M=")</f>
        <v>#VALUE!</v>
      </c>
      <c r="HE51" t="e">
        <f>AND('Planilla_General_03-12-2012_9_3'!D814,"AAAAAF1//9Q=")</f>
        <v>#VALUE!</v>
      </c>
      <c r="HF51" t="e">
        <f>AND('Planilla_General_03-12-2012_9_3'!E814,"AAAAAF1//9U=")</f>
        <v>#VALUE!</v>
      </c>
      <c r="HG51" t="e">
        <f>AND('Planilla_General_03-12-2012_9_3'!F814,"AAAAAF1//9Y=")</f>
        <v>#VALUE!</v>
      </c>
      <c r="HH51" t="e">
        <f>AND('Planilla_General_03-12-2012_9_3'!G814,"AAAAAF1//9c=")</f>
        <v>#VALUE!</v>
      </c>
      <c r="HI51" t="e">
        <f>AND('Planilla_General_03-12-2012_9_3'!H814,"AAAAAF1//9g=")</f>
        <v>#VALUE!</v>
      </c>
      <c r="HJ51" t="e">
        <f>AND('Planilla_General_03-12-2012_9_3'!I814,"AAAAAF1//9k=")</f>
        <v>#VALUE!</v>
      </c>
      <c r="HK51" t="e">
        <f>AND('Planilla_General_03-12-2012_9_3'!J814,"AAAAAF1//9o=")</f>
        <v>#VALUE!</v>
      </c>
      <c r="HL51" t="e">
        <f>AND('Planilla_General_03-12-2012_9_3'!K814,"AAAAAF1//9s=")</f>
        <v>#VALUE!</v>
      </c>
      <c r="HM51" t="e">
        <f>AND('Planilla_General_03-12-2012_9_3'!L814,"AAAAAF1//9w=")</f>
        <v>#VALUE!</v>
      </c>
      <c r="HN51" t="e">
        <f>AND('Planilla_General_03-12-2012_9_3'!M814,"AAAAAF1//90=")</f>
        <v>#VALUE!</v>
      </c>
      <c r="HO51" t="e">
        <f>AND('Planilla_General_03-12-2012_9_3'!N814,"AAAAAF1//94=")</f>
        <v>#VALUE!</v>
      </c>
      <c r="HP51" t="e">
        <f>AND('Planilla_General_03-12-2012_9_3'!O814,"AAAAAF1//98=")</f>
        <v>#VALUE!</v>
      </c>
      <c r="HQ51">
        <f>IF('Planilla_General_03-12-2012_9_3'!815:815,"AAAAAF1//+A=",0)</f>
        <v>0</v>
      </c>
      <c r="HR51" t="e">
        <f>AND('Planilla_General_03-12-2012_9_3'!A815,"AAAAAF1//+E=")</f>
        <v>#VALUE!</v>
      </c>
      <c r="HS51" t="e">
        <f>AND('Planilla_General_03-12-2012_9_3'!B815,"AAAAAF1//+I=")</f>
        <v>#VALUE!</v>
      </c>
      <c r="HT51" t="e">
        <f>AND('Planilla_General_03-12-2012_9_3'!C815,"AAAAAF1//+M=")</f>
        <v>#VALUE!</v>
      </c>
      <c r="HU51" t="e">
        <f>AND('Planilla_General_03-12-2012_9_3'!D815,"AAAAAF1//+Q=")</f>
        <v>#VALUE!</v>
      </c>
      <c r="HV51" t="e">
        <f>AND('Planilla_General_03-12-2012_9_3'!E815,"AAAAAF1//+U=")</f>
        <v>#VALUE!</v>
      </c>
      <c r="HW51" t="e">
        <f>AND('Planilla_General_03-12-2012_9_3'!F815,"AAAAAF1//+Y=")</f>
        <v>#VALUE!</v>
      </c>
      <c r="HX51" t="e">
        <f>AND('Planilla_General_03-12-2012_9_3'!G815,"AAAAAF1//+c=")</f>
        <v>#VALUE!</v>
      </c>
      <c r="HY51" t="e">
        <f>AND('Planilla_General_03-12-2012_9_3'!H815,"AAAAAF1//+g=")</f>
        <v>#VALUE!</v>
      </c>
      <c r="HZ51" t="e">
        <f>AND('Planilla_General_03-12-2012_9_3'!I815,"AAAAAF1//+k=")</f>
        <v>#VALUE!</v>
      </c>
      <c r="IA51" t="e">
        <f>AND('Planilla_General_03-12-2012_9_3'!J815,"AAAAAF1//+o=")</f>
        <v>#VALUE!</v>
      </c>
      <c r="IB51" t="e">
        <f>AND('Planilla_General_03-12-2012_9_3'!K815,"AAAAAF1//+s=")</f>
        <v>#VALUE!</v>
      </c>
      <c r="IC51" t="e">
        <f>AND('Planilla_General_03-12-2012_9_3'!L815,"AAAAAF1//+w=")</f>
        <v>#VALUE!</v>
      </c>
      <c r="ID51" t="e">
        <f>AND('Planilla_General_03-12-2012_9_3'!M815,"AAAAAF1//+0=")</f>
        <v>#VALUE!</v>
      </c>
      <c r="IE51" t="e">
        <f>AND('Planilla_General_03-12-2012_9_3'!N815,"AAAAAF1//+4=")</f>
        <v>#VALUE!</v>
      </c>
      <c r="IF51" t="e">
        <f>AND('Planilla_General_03-12-2012_9_3'!O815,"AAAAAF1//+8=")</f>
        <v>#VALUE!</v>
      </c>
      <c r="IG51">
        <f>IF('Planilla_General_03-12-2012_9_3'!816:816,"AAAAAF1///A=",0)</f>
        <v>0</v>
      </c>
      <c r="IH51" t="e">
        <f>AND('Planilla_General_03-12-2012_9_3'!A816,"AAAAAF1///E=")</f>
        <v>#VALUE!</v>
      </c>
      <c r="II51" t="e">
        <f>AND('Planilla_General_03-12-2012_9_3'!B816,"AAAAAF1///I=")</f>
        <v>#VALUE!</v>
      </c>
      <c r="IJ51" t="e">
        <f>AND('Planilla_General_03-12-2012_9_3'!C816,"AAAAAF1///M=")</f>
        <v>#VALUE!</v>
      </c>
      <c r="IK51" t="e">
        <f>AND('Planilla_General_03-12-2012_9_3'!D816,"AAAAAF1///Q=")</f>
        <v>#VALUE!</v>
      </c>
      <c r="IL51" t="e">
        <f>AND('Planilla_General_03-12-2012_9_3'!E816,"AAAAAF1///U=")</f>
        <v>#VALUE!</v>
      </c>
      <c r="IM51" t="e">
        <f>AND('Planilla_General_03-12-2012_9_3'!F816,"AAAAAF1///Y=")</f>
        <v>#VALUE!</v>
      </c>
      <c r="IN51" t="e">
        <f>AND('Planilla_General_03-12-2012_9_3'!G816,"AAAAAF1///c=")</f>
        <v>#VALUE!</v>
      </c>
      <c r="IO51" t="e">
        <f>AND('Planilla_General_03-12-2012_9_3'!H816,"AAAAAF1///g=")</f>
        <v>#VALUE!</v>
      </c>
      <c r="IP51" t="e">
        <f>AND('Planilla_General_03-12-2012_9_3'!I816,"AAAAAF1///k=")</f>
        <v>#VALUE!</v>
      </c>
      <c r="IQ51" t="e">
        <f>AND('Planilla_General_03-12-2012_9_3'!J816,"AAAAAF1///o=")</f>
        <v>#VALUE!</v>
      </c>
      <c r="IR51" t="e">
        <f>AND('Planilla_General_03-12-2012_9_3'!K816,"AAAAAF1///s=")</f>
        <v>#VALUE!</v>
      </c>
      <c r="IS51" t="e">
        <f>AND('Planilla_General_03-12-2012_9_3'!L816,"AAAAAF1///w=")</f>
        <v>#VALUE!</v>
      </c>
      <c r="IT51" t="e">
        <f>AND('Planilla_General_03-12-2012_9_3'!M816,"AAAAAF1///0=")</f>
        <v>#VALUE!</v>
      </c>
      <c r="IU51" t="e">
        <f>AND('Planilla_General_03-12-2012_9_3'!N816,"AAAAAF1///4=")</f>
        <v>#VALUE!</v>
      </c>
      <c r="IV51" t="e">
        <f>AND('Planilla_General_03-12-2012_9_3'!O816,"AAAAAF1///8=")</f>
        <v>#VALUE!</v>
      </c>
    </row>
    <row r="52" spans="1:256" x14ac:dyDescent="0.25">
      <c r="A52" t="e">
        <f>IF('Planilla_General_03-12-2012_9_3'!817:817,"AAAAAH//6gA=",0)</f>
        <v>#VALUE!</v>
      </c>
      <c r="B52" t="e">
        <f>AND('Planilla_General_03-12-2012_9_3'!A817,"AAAAAH//6gE=")</f>
        <v>#VALUE!</v>
      </c>
      <c r="C52" t="e">
        <f>AND('Planilla_General_03-12-2012_9_3'!B817,"AAAAAH//6gI=")</f>
        <v>#VALUE!</v>
      </c>
      <c r="D52" t="e">
        <f>AND('Planilla_General_03-12-2012_9_3'!C817,"AAAAAH//6gM=")</f>
        <v>#VALUE!</v>
      </c>
      <c r="E52" t="e">
        <f>AND('Planilla_General_03-12-2012_9_3'!D817,"AAAAAH//6gQ=")</f>
        <v>#VALUE!</v>
      </c>
      <c r="F52" t="e">
        <f>AND('Planilla_General_03-12-2012_9_3'!E817,"AAAAAH//6gU=")</f>
        <v>#VALUE!</v>
      </c>
      <c r="G52" t="e">
        <f>AND('Planilla_General_03-12-2012_9_3'!F817,"AAAAAH//6gY=")</f>
        <v>#VALUE!</v>
      </c>
      <c r="H52" t="e">
        <f>AND('Planilla_General_03-12-2012_9_3'!G817,"AAAAAH//6gc=")</f>
        <v>#VALUE!</v>
      </c>
      <c r="I52" t="e">
        <f>AND('Planilla_General_03-12-2012_9_3'!H817,"AAAAAH//6gg=")</f>
        <v>#VALUE!</v>
      </c>
      <c r="J52" t="e">
        <f>AND('Planilla_General_03-12-2012_9_3'!I817,"AAAAAH//6gk=")</f>
        <v>#VALUE!</v>
      </c>
      <c r="K52" t="e">
        <f>AND('Planilla_General_03-12-2012_9_3'!J817,"AAAAAH//6go=")</f>
        <v>#VALUE!</v>
      </c>
      <c r="L52" t="e">
        <f>AND('Planilla_General_03-12-2012_9_3'!K817,"AAAAAH//6gs=")</f>
        <v>#VALUE!</v>
      </c>
      <c r="M52" t="e">
        <f>AND('Planilla_General_03-12-2012_9_3'!L817,"AAAAAH//6gw=")</f>
        <v>#VALUE!</v>
      </c>
      <c r="N52" t="e">
        <f>AND('Planilla_General_03-12-2012_9_3'!M817,"AAAAAH//6g0=")</f>
        <v>#VALUE!</v>
      </c>
      <c r="O52" t="e">
        <f>AND('Planilla_General_03-12-2012_9_3'!N817,"AAAAAH//6g4=")</f>
        <v>#VALUE!</v>
      </c>
      <c r="P52" t="e">
        <f>AND('Planilla_General_03-12-2012_9_3'!O817,"AAAAAH//6g8=")</f>
        <v>#VALUE!</v>
      </c>
      <c r="Q52">
        <f>IF('Planilla_General_03-12-2012_9_3'!818:818,"AAAAAH//6hA=",0)</f>
        <v>0</v>
      </c>
      <c r="R52" t="e">
        <f>AND('Planilla_General_03-12-2012_9_3'!A818,"AAAAAH//6hE=")</f>
        <v>#VALUE!</v>
      </c>
      <c r="S52" t="e">
        <f>AND('Planilla_General_03-12-2012_9_3'!B818,"AAAAAH//6hI=")</f>
        <v>#VALUE!</v>
      </c>
      <c r="T52" t="e">
        <f>AND('Planilla_General_03-12-2012_9_3'!C818,"AAAAAH//6hM=")</f>
        <v>#VALUE!</v>
      </c>
      <c r="U52" t="e">
        <f>AND('Planilla_General_03-12-2012_9_3'!D818,"AAAAAH//6hQ=")</f>
        <v>#VALUE!</v>
      </c>
      <c r="V52" t="e">
        <f>AND('Planilla_General_03-12-2012_9_3'!E818,"AAAAAH//6hU=")</f>
        <v>#VALUE!</v>
      </c>
      <c r="W52" t="e">
        <f>AND('Planilla_General_03-12-2012_9_3'!F818,"AAAAAH//6hY=")</f>
        <v>#VALUE!</v>
      </c>
      <c r="X52" t="e">
        <f>AND('Planilla_General_03-12-2012_9_3'!G818,"AAAAAH//6hc=")</f>
        <v>#VALUE!</v>
      </c>
      <c r="Y52" t="e">
        <f>AND('Planilla_General_03-12-2012_9_3'!H818,"AAAAAH//6hg=")</f>
        <v>#VALUE!</v>
      </c>
      <c r="Z52" t="e">
        <f>AND('Planilla_General_03-12-2012_9_3'!I818,"AAAAAH//6hk=")</f>
        <v>#VALUE!</v>
      </c>
      <c r="AA52" t="e">
        <f>AND('Planilla_General_03-12-2012_9_3'!J818,"AAAAAH//6ho=")</f>
        <v>#VALUE!</v>
      </c>
      <c r="AB52" t="e">
        <f>AND('Planilla_General_03-12-2012_9_3'!K818,"AAAAAH//6hs=")</f>
        <v>#VALUE!</v>
      </c>
      <c r="AC52" t="e">
        <f>AND('Planilla_General_03-12-2012_9_3'!L818,"AAAAAH//6hw=")</f>
        <v>#VALUE!</v>
      </c>
      <c r="AD52" t="e">
        <f>AND('Planilla_General_03-12-2012_9_3'!M818,"AAAAAH//6h0=")</f>
        <v>#VALUE!</v>
      </c>
      <c r="AE52" t="e">
        <f>AND('Planilla_General_03-12-2012_9_3'!N818,"AAAAAH//6h4=")</f>
        <v>#VALUE!</v>
      </c>
      <c r="AF52" t="e">
        <f>AND('Planilla_General_03-12-2012_9_3'!O818,"AAAAAH//6h8=")</f>
        <v>#VALUE!</v>
      </c>
      <c r="AG52">
        <f>IF('Planilla_General_03-12-2012_9_3'!819:819,"AAAAAH//6iA=",0)</f>
        <v>0</v>
      </c>
      <c r="AH52" t="e">
        <f>AND('Planilla_General_03-12-2012_9_3'!A819,"AAAAAH//6iE=")</f>
        <v>#VALUE!</v>
      </c>
      <c r="AI52" t="e">
        <f>AND('Planilla_General_03-12-2012_9_3'!B819,"AAAAAH//6iI=")</f>
        <v>#VALUE!</v>
      </c>
      <c r="AJ52" t="e">
        <f>AND('Planilla_General_03-12-2012_9_3'!C819,"AAAAAH//6iM=")</f>
        <v>#VALUE!</v>
      </c>
      <c r="AK52" t="e">
        <f>AND('Planilla_General_03-12-2012_9_3'!D819,"AAAAAH//6iQ=")</f>
        <v>#VALUE!</v>
      </c>
      <c r="AL52" t="e">
        <f>AND('Planilla_General_03-12-2012_9_3'!E819,"AAAAAH//6iU=")</f>
        <v>#VALUE!</v>
      </c>
      <c r="AM52" t="e">
        <f>AND('Planilla_General_03-12-2012_9_3'!F819,"AAAAAH//6iY=")</f>
        <v>#VALUE!</v>
      </c>
      <c r="AN52" t="e">
        <f>AND('Planilla_General_03-12-2012_9_3'!G819,"AAAAAH//6ic=")</f>
        <v>#VALUE!</v>
      </c>
      <c r="AO52" t="e">
        <f>AND('Planilla_General_03-12-2012_9_3'!H819,"AAAAAH//6ig=")</f>
        <v>#VALUE!</v>
      </c>
      <c r="AP52" t="e">
        <f>AND('Planilla_General_03-12-2012_9_3'!I819,"AAAAAH//6ik=")</f>
        <v>#VALUE!</v>
      </c>
      <c r="AQ52" t="e">
        <f>AND('Planilla_General_03-12-2012_9_3'!J819,"AAAAAH//6io=")</f>
        <v>#VALUE!</v>
      </c>
      <c r="AR52" t="e">
        <f>AND('Planilla_General_03-12-2012_9_3'!K819,"AAAAAH//6is=")</f>
        <v>#VALUE!</v>
      </c>
      <c r="AS52" t="e">
        <f>AND('Planilla_General_03-12-2012_9_3'!L819,"AAAAAH//6iw=")</f>
        <v>#VALUE!</v>
      </c>
      <c r="AT52" t="e">
        <f>AND('Planilla_General_03-12-2012_9_3'!M819,"AAAAAH//6i0=")</f>
        <v>#VALUE!</v>
      </c>
      <c r="AU52" t="e">
        <f>AND('Planilla_General_03-12-2012_9_3'!N819,"AAAAAH//6i4=")</f>
        <v>#VALUE!</v>
      </c>
      <c r="AV52" t="e">
        <f>AND('Planilla_General_03-12-2012_9_3'!O819,"AAAAAH//6i8=")</f>
        <v>#VALUE!</v>
      </c>
      <c r="AW52">
        <f>IF('Planilla_General_03-12-2012_9_3'!820:820,"AAAAAH//6jA=",0)</f>
        <v>0</v>
      </c>
      <c r="AX52" t="e">
        <f>AND('Planilla_General_03-12-2012_9_3'!A820,"AAAAAH//6jE=")</f>
        <v>#VALUE!</v>
      </c>
      <c r="AY52" t="e">
        <f>AND('Planilla_General_03-12-2012_9_3'!B820,"AAAAAH//6jI=")</f>
        <v>#VALUE!</v>
      </c>
      <c r="AZ52" t="e">
        <f>AND('Planilla_General_03-12-2012_9_3'!C820,"AAAAAH//6jM=")</f>
        <v>#VALUE!</v>
      </c>
      <c r="BA52" t="e">
        <f>AND('Planilla_General_03-12-2012_9_3'!D820,"AAAAAH//6jQ=")</f>
        <v>#VALUE!</v>
      </c>
      <c r="BB52" t="e">
        <f>AND('Planilla_General_03-12-2012_9_3'!E820,"AAAAAH//6jU=")</f>
        <v>#VALUE!</v>
      </c>
      <c r="BC52" t="e">
        <f>AND('Planilla_General_03-12-2012_9_3'!F820,"AAAAAH//6jY=")</f>
        <v>#VALUE!</v>
      </c>
      <c r="BD52" t="e">
        <f>AND('Planilla_General_03-12-2012_9_3'!G820,"AAAAAH//6jc=")</f>
        <v>#VALUE!</v>
      </c>
      <c r="BE52" t="e">
        <f>AND('Planilla_General_03-12-2012_9_3'!H820,"AAAAAH//6jg=")</f>
        <v>#VALUE!</v>
      </c>
      <c r="BF52" t="e">
        <f>AND('Planilla_General_03-12-2012_9_3'!I820,"AAAAAH//6jk=")</f>
        <v>#VALUE!</v>
      </c>
      <c r="BG52" t="e">
        <f>AND('Planilla_General_03-12-2012_9_3'!J820,"AAAAAH//6jo=")</f>
        <v>#VALUE!</v>
      </c>
      <c r="BH52" t="e">
        <f>AND('Planilla_General_03-12-2012_9_3'!K820,"AAAAAH//6js=")</f>
        <v>#VALUE!</v>
      </c>
      <c r="BI52" t="e">
        <f>AND('Planilla_General_03-12-2012_9_3'!L820,"AAAAAH//6jw=")</f>
        <v>#VALUE!</v>
      </c>
      <c r="BJ52" t="e">
        <f>AND('Planilla_General_03-12-2012_9_3'!M820,"AAAAAH//6j0=")</f>
        <v>#VALUE!</v>
      </c>
      <c r="BK52" t="e">
        <f>AND('Planilla_General_03-12-2012_9_3'!N820,"AAAAAH//6j4=")</f>
        <v>#VALUE!</v>
      </c>
      <c r="BL52" t="e">
        <f>AND('Planilla_General_03-12-2012_9_3'!O820,"AAAAAH//6j8=")</f>
        <v>#VALUE!</v>
      </c>
      <c r="BM52">
        <f>IF('Planilla_General_03-12-2012_9_3'!821:821,"AAAAAH//6kA=",0)</f>
        <v>0</v>
      </c>
      <c r="BN52" t="e">
        <f>AND('Planilla_General_03-12-2012_9_3'!A821,"AAAAAH//6kE=")</f>
        <v>#VALUE!</v>
      </c>
      <c r="BO52" t="e">
        <f>AND('Planilla_General_03-12-2012_9_3'!B821,"AAAAAH//6kI=")</f>
        <v>#VALUE!</v>
      </c>
      <c r="BP52" t="e">
        <f>AND('Planilla_General_03-12-2012_9_3'!C821,"AAAAAH//6kM=")</f>
        <v>#VALUE!</v>
      </c>
      <c r="BQ52" t="e">
        <f>AND('Planilla_General_03-12-2012_9_3'!D821,"AAAAAH//6kQ=")</f>
        <v>#VALUE!</v>
      </c>
      <c r="BR52" t="e">
        <f>AND('Planilla_General_03-12-2012_9_3'!E821,"AAAAAH//6kU=")</f>
        <v>#VALUE!</v>
      </c>
      <c r="BS52" t="e">
        <f>AND('Planilla_General_03-12-2012_9_3'!F821,"AAAAAH//6kY=")</f>
        <v>#VALUE!</v>
      </c>
      <c r="BT52" t="e">
        <f>AND('Planilla_General_03-12-2012_9_3'!G821,"AAAAAH//6kc=")</f>
        <v>#VALUE!</v>
      </c>
      <c r="BU52" t="e">
        <f>AND('Planilla_General_03-12-2012_9_3'!H821,"AAAAAH//6kg=")</f>
        <v>#VALUE!</v>
      </c>
      <c r="BV52" t="e">
        <f>AND('Planilla_General_03-12-2012_9_3'!I821,"AAAAAH//6kk=")</f>
        <v>#VALUE!</v>
      </c>
      <c r="BW52" t="e">
        <f>AND('Planilla_General_03-12-2012_9_3'!J821,"AAAAAH//6ko=")</f>
        <v>#VALUE!</v>
      </c>
      <c r="BX52" t="e">
        <f>AND('Planilla_General_03-12-2012_9_3'!K821,"AAAAAH//6ks=")</f>
        <v>#VALUE!</v>
      </c>
      <c r="BY52" t="e">
        <f>AND('Planilla_General_03-12-2012_9_3'!L821,"AAAAAH//6kw=")</f>
        <v>#VALUE!</v>
      </c>
      <c r="BZ52" t="e">
        <f>AND('Planilla_General_03-12-2012_9_3'!M821,"AAAAAH//6k0=")</f>
        <v>#VALUE!</v>
      </c>
      <c r="CA52" t="e">
        <f>AND('Planilla_General_03-12-2012_9_3'!N821,"AAAAAH//6k4=")</f>
        <v>#VALUE!</v>
      </c>
      <c r="CB52" t="e">
        <f>AND('Planilla_General_03-12-2012_9_3'!O821,"AAAAAH//6k8=")</f>
        <v>#VALUE!</v>
      </c>
      <c r="CC52">
        <f>IF('Planilla_General_03-12-2012_9_3'!822:822,"AAAAAH//6lA=",0)</f>
        <v>0</v>
      </c>
      <c r="CD52" t="e">
        <f>AND('Planilla_General_03-12-2012_9_3'!A822,"AAAAAH//6lE=")</f>
        <v>#VALUE!</v>
      </c>
      <c r="CE52" t="e">
        <f>AND('Planilla_General_03-12-2012_9_3'!B822,"AAAAAH//6lI=")</f>
        <v>#VALUE!</v>
      </c>
      <c r="CF52" t="e">
        <f>AND('Planilla_General_03-12-2012_9_3'!C822,"AAAAAH//6lM=")</f>
        <v>#VALUE!</v>
      </c>
      <c r="CG52" t="e">
        <f>AND('Planilla_General_03-12-2012_9_3'!D822,"AAAAAH//6lQ=")</f>
        <v>#VALUE!</v>
      </c>
      <c r="CH52" t="e">
        <f>AND('Planilla_General_03-12-2012_9_3'!E822,"AAAAAH//6lU=")</f>
        <v>#VALUE!</v>
      </c>
      <c r="CI52" t="e">
        <f>AND('Planilla_General_03-12-2012_9_3'!F822,"AAAAAH//6lY=")</f>
        <v>#VALUE!</v>
      </c>
      <c r="CJ52" t="e">
        <f>AND('Planilla_General_03-12-2012_9_3'!G822,"AAAAAH//6lc=")</f>
        <v>#VALUE!</v>
      </c>
      <c r="CK52" t="e">
        <f>AND('Planilla_General_03-12-2012_9_3'!H822,"AAAAAH//6lg=")</f>
        <v>#VALUE!</v>
      </c>
      <c r="CL52" t="e">
        <f>AND('Planilla_General_03-12-2012_9_3'!I822,"AAAAAH//6lk=")</f>
        <v>#VALUE!</v>
      </c>
      <c r="CM52" t="e">
        <f>AND('Planilla_General_03-12-2012_9_3'!J822,"AAAAAH//6lo=")</f>
        <v>#VALUE!</v>
      </c>
      <c r="CN52" t="e">
        <f>AND('Planilla_General_03-12-2012_9_3'!K822,"AAAAAH//6ls=")</f>
        <v>#VALUE!</v>
      </c>
      <c r="CO52" t="e">
        <f>AND('Planilla_General_03-12-2012_9_3'!L822,"AAAAAH//6lw=")</f>
        <v>#VALUE!</v>
      </c>
      <c r="CP52" t="e">
        <f>AND('Planilla_General_03-12-2012_9_3'!M822,"AAAAAH//6l0=")</f>
        <v>#VALUE!</v>
      </c>
      <c r="CQ52" t="e">
        <f>AND('Planilla_General_03-12-2012_9_3'!N822,"AAAAAH//6l4=")</f>
        <v>#VALUE!</v>
      </c>
      <c r="CR52" t="e">
        <f>AND('Planilla_General_03-12-2012_9_3'!O822,"AAAAAH//6l8=")</f>
        <v>#VALUE!</v>
      </c>
      <c r="CS52">
        <f>IF('Planilla_General_03-12-2012_9_3'!823:823,"AAAAAH//6mA=",0)</f>
        <v>0</v>
      </c>
      <c r="CT52" t="e">
        <f>AND('Planilla_General_03-12-2012_9_3'!A823,"AAAAAH//6mE=")</f>
        <v>#VALUE!</v>
      </c>
      <c r="CU52" t="e">
        <f>AND('Planilla_General_03-12-2012_9_3'!B823,"AAAAAH//6mI=")</f>
        <v>#VALUE!</v>
      </c>
      <c r="CV52" t="e">
        <f>AND('Planilla_General_03-12-2012_9_3'!C823,"AAAAAH//6mM=")</f>
        <v>#VALUE!</v>
      </c>
      <c r="CW52" t="e">
        <f>AND('Planilla_General_03-12-2012_9_3'!D823,"AAAAAH//6mQ=")</f>
        <v>#VALUE!</v>
      </c>
      <c r="CX52" t="e">
        <f>AND('Planilla_General_03-12-2012_9_3'!E823,"AAAAAH//6mU=")</f>
        <v>#VALUE!</v>
      </c>
      <c r="CY52" t="e">
        <f>AND('Planilla_General_03-12-2012_9_3'!F823,"AAAAAH//6mY=")</f>
        <v>#VALUE!</v>
      </c>
      <c r="CZ52" t="e">
        <f>AND('Planilla_General_03-12-2012_9_3'!G823,"AAAAAH//6mc=")</f>
        <v>#VALUE!</v>
      </c>
      <c r="DA52" t="e">
        <f>AND('Planilla_General_03-12-2012_9_3'!H823,"AAAAAH//6mg=")</f>
        <v>#VALUE!</v>
      </c>
      <c r="DB52" t="e">
        <f>AND('Planilla_General_03-12-2012_9_3'!I823,"AAAAAH//6mk=")</f>
        <v>#VALUE!</v>
      </c>
      <c r="DC52" t="e">
        <f>AND('Planilla_General_03-12-2012_9_3'!J823,"AAAAAH//6mo=")</f>
        <v>#VALUE!</v>
      </c>
      <c r="DD52" t="e">
        <f>AND('Planilla_General_03-12-2012_9_3'!K823,"AAAAAH//6ms=")</f>
        <v>#VALUE!</v>
      </c>
      <c r="DE52" t="e">
        <f>AND('Planilla_General_03-12-2012_9_3'!L823,"AAAAAH//6mw=")</f>
        <v>#VALUE!</v>
      </c>
      <c r="DF52" t="e">
        <f>AND('Planilla_General_03-12-2012_9_3'!M823,"AAAAAH//6m0=")</f>
        <v>#VALUE!</v>
      </c>
      <c r="DG52" t="e">
        <f>AND('Planilla_General_03-12-2012_9_3'!N823,"AAAAAH//6m4=")</f>
        <v>#VALUE!</v>
      </c>
      <c r="DH52" t="e">
        <f>AND('Planilla_General_03-12-2012_9_3'!O823,"AAAAAH//6m8=")</f>
        <v>#VALUE!</v>
      </c>
      <c r="DI52">
        <f>IF('Planilla_General_03-12-2012_9_3'!824:824,"AAAAAH//6nA=",0)</f>
        <v>0</v>
      </c>
      <c r="DJ52" t="e">
        <f>AND('Planilla_General_03-12-2012_9_3'!A824,"AAAAAH//6nE=")</f>
        <v>#VALUE!</v>
      </c>
      <c r="DK52" t="e">
        <f>AND('Planilla_General_03-12-2012_9_3'!B824,"AAAAAH//6nI=")</f>
        <v>#VALUE!</v>
      </c>
      <c r="DL52" t="e">
        <f>AND('Planilla_General_03-12-2012_9_3'!C824,"AAAAAH//6nM=")</f>
        <v>#VALUE!</v>
      </c>
      <c r="DM52" t="e">
        <f>AND('Planilla_General_03-12-2012_9_3'!D824,"AAAAAH//6nQ=")</f>
        <v>#VALUE!</v>
      </c>
      <c r="DN52" t="e">
        <f>AND('Planilla_General_03-12-2012_9_3'!E824,"AAAAAH//6nU=")</f>
        <v>#VALUE!</v>
      </c>
      <c r="DO52" t="e">
        <f>AND('Planilla_General_03-12-2012_9_3'!F824,"AAAAAH//6nY=")</f>
        <v>#VALUE!</v>
      </c>
      <c r="DP52" t="e">
        <f>AND('Planilla_General_03-12-2012_9_3'!G824,"AAAAAH//6nc=")</f>
        <v>#VALUE!</v>
      </c>
      <c r="DQ52" t="e">
        <f>AND('Planilla_General_03-12-2012_9_3'!H824,"AAAAAH//6ng=")</f>
        <v>#VALUE!</v>
      </c>
      <c r="DR52" t="e">
        <f>AND('Planilla_General_03-12-2012_9_3'!I824,"AAAAAH//6nk=")</f>
        <v>#VALUE!</v>
      </c>
      <c r="DS52" t="e">
        <f>AND('Planilla_General_03-12-2012_9_3'!J824,"AAAAAH//6no=")</f>
        <v>#VALUE!</v>
      </c>
      <c r="DT52" t="e">
        <f>AND('Planilla_General_03-12-2012_9_3'!K824,"AAAAAH//6ns=")</f>
        <v>#VALUE!</v>
      </c>
      <c r="DU52" t="e">
        <f>AND('Planilla_General_03-12-2012_9_3'!L824,"AAAAAH//6nw=")</f>
        <v>#VALUE!</v>
      </c>
      <c r="DV52" t="e">
        <f>AND('Planilla_General_03-12-2012_9_3'!M824,"AAAAAH//6n0=")</f>
        <v>#VALUE!</v>
      </c>
      <c r="DW52" t="e">
        <f>AND('Planilla_General_03-12-2012_9_3'!N824,"AAAAAH//6n4=")</f>
        <v>#VALUE!</v>
      </c>
      <c r="DX52" t="e">
        <f>AND('Planilla_General_03-12-2012_9_3'!O824,"AAAAAH//6n8=")</f>
        <v>#VALUE!</v>
      </c>
      <c r="DY52">
        <f>IF('Planilla_General_03-12-2012_9_3'!825:825,"AAAAAH//6oA=",0)</f>
        <v>0</v>
      </c>
      <c r="DZ52" t="e">
        <f>AND('Planilla_General_03-12-2012_9_3'!A825,"AAAAAH//6oE=")</f>
        <v>#VALUE!</v>
      </c>
      <c r="EA52" t="e">
        <f>AND('Planilla_General_03-12-2012_9_3'!B825,"AAAAAH//6oI=")</f>
        <v>#VALUE!</v>
      </c>
      <c r="EB52" t="e">
        <f>AND('Planilla_General_03-12-2012_9_3'!C825,"AAAAAH//6oM=")</f>
        <v>#VALUE!</v>
      </c>
      <c r="EC52" t="e">
        <f>AND('Planilla_General_03-12-2012_9_3'!D825,"AAAAAH//6oQ=")</f>
        <v>#VALUE!</v>
      </c>
      <c r="ED52" t="e">
        <f>AND('Planilla_General_03-12-2012_9_3'!E825,"AAAAAH//6oU=")</f>
        <v>#VALUE!</v>
      </c>
      <c r="EE52" t="e">
        <f>AND('Planilla_General_03-12-2012_9_3'!F825,"AAAAAH//6oY=")</f>
        <v>#VALUE!</v>
      </c>
      <c r="EF52" t="e">
        <f>AND('Planilla_General_03-12-2012_9_3'!G825,"AAAAAH//6oc=")</f>
        <v>#VALUE!</v>
      </c>
      <c r="EG52" t="e">
        <f>AND('Planilla_General_03-12-2012_9_3'!H825,"AAAAAH//6og=")</f>
        <v>#VALUE!</v>
      </c>
      <c r="EH52" t="e">
        <f>AND('Planilla_General_03-12-2012_9_3'!I825,"AAAAAH//6ok=")</f>
        <v>#VALUE!</v>
      </c>
      <c r="EI52" t="e">
        <f>AND('Planilla_General_03-12-2012_9_3'!J825,"AAAAAH//6oo=")</f>
        <v>#VALUE!</v>
      </c>
      <c r="EJ52" t="e">
        <f>AND('Planilla_General_03-12-2012_9_3'!K825,"AAAAAH//6os=")</f>
        <v>#VALUE!</v>
      </c>
      <c r="EK52" t="e">
        <f>AND('Planilla_General_03-12-2012_9_3'!L825,"AAAAAH//6ow=")</f>
        <v>#VALUE!</v>
      </c>
      <c r="EL52" t="e">
        <f>AND('Planilla_General_03-12-2012_9_3'!M825,"AAAAAH//6o0=")</f>
        <v>#VALUE!</v>
      </c>
      <c r="EM52" t="e">
        <f>AND('Planilla_General_03-12-2012_9_3'!N825,"AAAAAH//6o4=")</f>
        <v>#VALUE!</v>
      </c>
      <c r="EN52" t="e">
        <f>AND('Planilla_General_03-12-2012_9_3'!O825,"AAAAAH//6o8=")</f>
        <v>#VALUE!</v>
      </c>
      <c r="EO52">
        <f>IF('Planilla_General_03-12-2012_9_3'!826:826,"AAAAAH//6pA=",0)</f>
        <v>0</v>
      </c>
      <c r="EP52" t="e">
        <f>AND('Planilla_General_03-12-2012_9_3'!A826,"AAAAAH//6pE=")</f>
        <v>#VALUE!</v>
      </c>
      <c r="EQ52" t="e">
        <f>AND('Planilla_General_03-12-2012_9_3'!B826,"AAAAAH//6pI=")</f>
        <v>#VALUE!</v>
      </c>
      <c r="ER52" t="e">
        <f>AND('Planilla_General_03-12-2012_9_3'!C826,"AAAAAH//6pM=")</f>
        <v>#VALUE!</v>
      </c>
      <c r="ES52" t="e">
        <f>AND('Planilla_General_03-12-2012_9_3'!D826,"AAAAAH//6pQ=")</f>
        <v>#VALUE!</v>
      </c>
      <c r="ET52" t="e">
        <f>AND('Planilla_General_03-12-2012_9_3'!E826,"AAAAAH//6pU=")</f>
        <v>#VALUE!</v>
      </c>
      <c r="EU52" t="e">
        <f>AND('Planilla_General_03-12-2012_9_3'!F826,"AAAAAH//6pY=")</f>
        <v>#VALUE!</v>
      </c>
      <c r="EV52" t="e">
        <f>AND('Planilla_General_03-12-2012_9_3'!G826,"AAAAAH//6pc=")</f>
        <v>#VALUE!</v>
      </c>
      <c r="EW52" t="e">
        <f>AND('Planilla_General_03-12-2012_9_3'!H826,"AAAAAH//6pg=")</f>
        <v>#VALUE!</v>
      </c>
      <c r="EX52" t="e">
        <f>AND('Planilla_General_03-12-2012_9_3'!I826,"AAAAAH//6pk=")</f>
        <v>#VALUE!</v>
      </c>
      <c r="EY52" t="e">
        <f>AND('Planilla_General_03-12-2012_9_3'!J826,"AAAAAH//6po=")</f>
        <v>#VALUE!</v>
      </c>
      <c r="EZ52" t="e">
        <f>AND('Planilla_General_03-12-2012_9_3'!K826,"AAAAAH//6ps=")</f>
        <v>#VALUE!</v>
      </c>
      <c r="FA52" t="e">
        <f>AND('Planilla_General_03-12-2012_9_3'!L826,"AAAAAH//6pw=")</f>
        <v>#VALUE!</v>
      </c>
      <c r="FB52" t="e">
        <f>AND('Planilla_General_03-12-2012_9_3'!M826,"AAAAAH//6p0=")</f>
        <v>#VALUE!</v>
      </c>
      <c r="FC52" t="e">
        <f>AND('Planilla_General_03-12-2012_9_3'!N826,"AAAAAH//6p4=")</f>
        <v>#VALUE!</v>
      </c>
      <c r="FD52" t="e">
        <f>AND('Planilla_General_03-12-2012_9_3'!O826,"AAAAAH//6p8=")</f>
        <v>#VALUE!</v>
      </c>
      <c r="FE52">
        <f>IF('Planilla_General_03-12-2012_9_3'!827:827,"AAAAAH//6qA=",0)</f>
        <v>0</v>
      </c>
      <c r="FF52" t="e">
        <f>AND('Planilla_General_03-12-2012_9_3'!A827,"AAAAAH//6qE=")</f>
        <v>#VALUE!</v>
      </c>
      <c r="FG52" t="e">
        <f>AND('Planilla_General_03-12-2012_9_3'!B827,"AAAAAH//6qI=")</f>
        <v>#VALUE!</v>
      </c>
      <c r="FH52" t="e">
        <f>AND('Planilla_General_03-12-2012_9_3'!C827,"AAAAAH//6qM=")</f>
        <v>#VALUE!</v>
      </c>
      <c r="FI52" t="e">
        <f>AND('Planilla_General_03-12-2012_9_3'!D827,"AAAAAH//6qQ=")</f>
        <v>#VALUE!</v>
      </c>
      <c r="FJ52" t="e">
        <f>AND('Planilla_General_03-12-2012_9_3'!E827,"AAAAAH//6qU=")</f>
        <v>#VALUE!</v>
      </c>
      <c r="FK52" t="e">
        <f>AND('Planilla_General_03-12-2012_9_3'!F827,"AAAAAH//6qY=")</f>
        <v>#VALUE!</v>
      </c>
      <c r="FL52" t="e">
        <f>AND('Planilla_General_03-12-2012_9_3'!G827,"AAAAAH//6qc=")</f>
        <v>#VALUE!</v>
      </c>
      <c r="FM52" t="e">
        <f>AND('Planilla_General_03-12-2012_9_3'!H827,"AAAAAH//6qg=")</f>
        <v>#VALUE!</v>
      </c>
      <c r="FN52" t="e">
        <f>AND('Planilla_General_03-12-2012_9_3'!I827,"AAAAAH//6qk=")</f>
        <v>#VALUE!</v>
      </c>
      <c r="FO52" t="e">
        <f>AND('Planilla_General_03-12-2012_9_3'!J827,"AAAAAH//6qo=")</f>
        <v>#VALUE!</v>
      </c>
      <c r="FP52" t="e">
        <f>AND('Planilla_General_03-12-2012_9_3'!K827,"AAAAAH//6qs=")</f>
        <v>#VALUE!</v>
      </c>
      <c r="FQ52" t="e">
        <f>AND('Planilla_General_03-12-2012_9_3'!L827,"AAAAAH//6qw=")</f>
        <v>#VALUE!</v>
      </c>
      <c r="FR52" t="e">
        <f>AND('Planilla_General_03-12-2012_9_3'!M827,"AAAAAH//6q0=")</f>
        <v>#VALUE!</v>
      </c>
      <c r="FS52" t="e">
        <f>AND('Planilla_General_03-12-2012_9_3'!N827,"AAAAAH//6q4=")</f>
        <v>#VALUE!</v>
      </c>
      <c r="FT52" t="e">
        <f>AND('Planilla_General_03-12-2012_9_3'!O827,"AAAAAH//6q8=")</f>
        <v>#VALUE!</v>
      </c>
      <c r="FU52">
        <f>IF('Planilla_General_03-12-2012_9_3'!828:828,"AAAAAH//6rA=",0)</f>
        <v>0</v>
      </c>
      <c r="FV52" t="e">
        <f>AND('Planilla_General_03-12-2012_9_3'!A828,"AAAAAH//6rE=")</f>
        <v>#VALUE!</v>
      </c>
      <c r="FW52" t="e">
        <f>AND('Planilla_General_03-12-2012_9_3'!B828,"AAAAAH//6rI=")</f>
        <v>#VALUE!</v>
      </c>
      <c r="FX52" t="e">
        <f>AND('Planilla_General_03-12-2012_9_3'!C828,"AAAAAH//6rM=")</f>
        <v>#VALUE!</v>
      </c>
      <c r="FY52" t="e">
        <f>AND('Planilla_General_03-12-2012_9_3'!D828,"AAAAAH//6rQ=")</f>
        <v>#VALUE!</v>
      </c>
      <c r="FZ52" t="e">
        <f>AND('Planilla_General_03-12-2012_9_3'!E828,"AAAAAH//6rU=")</f>
        <v>#VALUE!</v>
      </c>
      <c r="GA52" t="e">
        <f>AND('Planilla_General_03-12-2012_9_3'!F828,"AAAAAH//6rY=")</f>
        <v>#VALUE!</v>
      </c>
      <c r="GB52" t="e">
        <f>AND('Planilla_General_03-12-2012_9_3'!G828,"AAAAAH//6rc=")</f>
        <v>#VALUE!</v>
      </c>
      <c r="GC52" t="e">
        <f>AND('Planilla_General_03-12-2012_9_3'!H828,"AAAAAH//6rg=")</f>
        <v>#VALUE!</v>
      </c>
      <c r="GD52" t="e">
        <f>AND('Planilla_General_03-12-2012_9_3'!I828,"AAAAAH//6rk=")</f>
        <v>#VALUE!</v>
      </c>
      <c r="GE52" t="e">
        <f>AND('Planilla_General_03-12-2012_9_3'!J828,"AAAAAH//6ro=")</f>
        <v>#VALUE!</v>
      </c>
      <c r="GF52" t="e">
        <f>AND('Planilla_General_03-12-2012_9_3'!K828,"AAAAAH//6rs=")</f>
        <v>#VALUE!</v>
      </c>
      <c r="GG52" t="e">
        <f>AND('Planilla_General_03-12-2012_9_3'!L828,"AAAAAH//6rw=")</f>
        <v>#VALUE!</v>
      </c>
      <c r="GH52" t="e">
        <f>AND('Planilla_General_03-12-2012_9_3'!M828,"AAAAAH//6r0=")</f>
        <v>#VALUE!</v>
      </c>
      <c r="GI52" t="e">
        <f>AND('Planilla_General_03-12-2012_9_3'!N828,"AAAAAH//6r4=")</f>
        <v>#VALUE!</v>
      </c>
      <c r="GJ52" t="e">
        <f>AND('Planilla_General_03-12-2012_9_3'!O828,"AAAAAH//6r8=")</f>
        <v>#VALUE!</v>
      </c>
      <c r="GK52">
        <f>IF('Planilla_General_03-12-2012_9_3'!829:829,"AAAAAH//6sA=",0)</f>
        <v>0</v>
      </c>
      <c r="GL52" t="e">
        <f>AND('Planilla_General_03-12-2012_9_3'!A829,"AAAAAH//6sE=")</f>
        <v>#VALUE!</v>
      </c>
      <c r="GM52" t="e">
        <f>AND('Planilla_General_03-12-2012_9_3'!B829,"AAAAAH//6sI=")</f>
        <v>#VALUE!</v>
      </c>
      <c r="GN52" t="e">
        <f>AND('Planilla_General_03-12-2012_9_3'!C829,"AAAAAH//6sM=")</f>
        <v>#VALUE!</v>
      </c>
      <c r="GO52" t="e">
        <f>AND('Planilla_General_03-12-2012_9_3'!D829,"AAAAAH//6sQ=")</f>
        <v>#VALUE!</v>
      </c>
      <c r="GP52" t="e">
        <f>AND('Planilla_General_03-12-2012_9_3'!E829,"AAAAAH//6sU=")</f>
        <v>#VALUE!</v>
      </c>
      <c r="GQ52" t="e">
        <f>AND('Planilla_General_03-12-2012_9_3'!F829,"AAAAAH//6sY=")</f>
        <v>#VALUE!</v>
      </c>
      <c r="GR52" t="e">
        <f>AND('Planilla_General_03-12-2012_9_3'!G829,"AAAAAH//6sc=")</f>
        <v>#VALUE!</v>
      </c>
      <c r="GS52" t="e">
        <f>AND('Planilla_General_03-12-2012_9_3'!H829,"AAAAAH//6sg=")</f>
        <v>#VALUE!</v>
      </c>
      <c r="GT52" t="e">
        <f>AND('Planilla_General_03-12-2012_9_3'!I829,"AAAAAH//6sk=")</f>
        <v>#VALUE!</v>
      </c>
      <c r="GU52" t="e">
        <f>AND('Planilla_General_03-12-2012_9_3'!J829,"AAAAAH//6so=")</f>
        <v>#VALUE!</v>
      </c>
      <c r="GV52" t="e">
        <f>AND('Planilla_General_03-12-2012_9_3'!K829,"AAAAAH//6ss=")</f>
        <v>#VALUE!</v>
      </c>
      <c r="GW52" t="e">
        <f>AND('Planilla_General_03-12-2012_9_3'!L829,"AAAAAH//6sw=")</f>
        <v>#VALUE!</v>
      </c>
      <c r="GX52" t="e">
        <f>AND('Planilla_General_03-12-2012_9_3'!M829,"AAAAAH//6s0=")</f>
        <v>#VALUE!</v>
      </c>
      <c r="GY52" t="e">
        <f>AND('Planilla_General_03-12-2012_9_3'!N829,"AAAAAH//6s4=")</f>
        <v>#VALUE!</v>
      </c>
      <c r="GZ52" t="e">
        <f>AND('Planilla_General_03-12-2012_9_3'!O829,"AAAAAH//6s8=")</f>
        <v>#VALUE!</v>
      </c>
      <c r="HA52">
        <f>IF('Planilla_General_03-12-2012_9_3'!830:830,"AAAAAH//6tA=",0)</f>
        <v>0</v>
      </c>
      <c r="HB52" t="e">
        <f>AND('Planilla_General_03-12-2012_9_3'!A830,"AAAAAH//6tE=")</f>
        <v>#VALUE!</v>
      </c>
      <c r="HC52" t="e">
        <f>AND('Planilla_General_03-12-2012_9_3'!B830,"AAAAAH//6tI=")</f>
        <v>#VALUE!</v>
      </c>
      <c r="HD52" t="e">
        <f>AND('Planilla_General_03-12-2012_9_3'!C830,"AAAAAH//6tM=")</f>
        <v>#VALUE!</v>
      </c>
      <c r="HE52" t="e">
        <f>AND('Planilla_General_03-12-2012_9_3'!D830,"AAAAAH//6tQ=")</f>
        <v>#VALUE!</v>
      </c>
      <c r="HF52" t="e">
        <f>AND('Planilla_General_03-12-2012_9_3'!E830,"AAAAAH//6tU=")</f>
        <v>#VALUE!</v>
      </c>
      <c r="HG52" t="e">
        <f>AND('Planilla_General_03-12-2012_9_3'!F830,"AAAAAH//6tY=")</f>
        <v>#VALUE!</v>
      </c>
      <c r="HH52" t="e">
        <f>AND('Planilla_General_03-12-2012_9_3'!G830,"AAAAAH//6tc=")</f>
        <v>#VALUE!</v>
      </c>
      <c r="HI52" t="e">
        <f>AND('Planilla_General_03-12-2012_9_3'!H830,"AAAAAH//6tg=")</f>
        <v>#VALUE!</v>
      </c>
      <c r="HJ52" t="e">
        <f>AND('Planilla_General_03-12-2012_9_3'!I830,"AAAAAH//6tk=")</f>
        <v>#VALUE!</v>
      </c>
      <c r="HK52" t="e">
        <f>AND('Planilla_General_03-12-2012_9_3'!J830,"AAAAAH//6to=")</f>
        <v>#VALUE!</v>
      </c>
      <c r="HL52" t="e">
        <f>AND('Planilla_General_03-12-2012_9_3'!K830,"AAAAAH//6ts=")</f>
        <v>#VALUE!</v>
      </c>
      <c r="HM52" t="e">
        <f>AND('Planilla_General_03-12-2012_9_3'!L830,"AAAAAH//6tw=")</f>
        <v>#VALUE!</v>
      </c>
      <c r="HN52" t="e">
        <f>AND('Planilla_General_03-12-2012_9_3'!M830,"AAAAAH//6t0=")</f>
        <v>#VALUE!</v>
      </c>
      <c r="HO52" t="e">
        <f>AND('Planilla_General_03-12-2012_9_3'!N830,"AAAAAH//6t4=")</f>
        <v>#VALUE!</v>
      </c>
      <c r="HP52" t="e">
        <f>AND('Planilla_General_03-12-2012_9_3'!O830,"AAAAAH//6t8=")</f>
        <v>#VALUE!</v>
      </c>
      <c r="HQ52">
        <f>IF('Planilla_General_03-12-2012_9_3'!831:831,"AAAAAH//6uA=",0)</f>
        <v>0</v>
      </c>
      <c r="HR52" t="e">
        <f>AND('Planilla_General_03-12-2012_9_3'!A831,"AAAAAH//6uE=")</f>
        <v>#VALUE!</v>
      </c>
      <c r="HS52" t="e">
        <f>AND('Planilla_General_03-12-2012_9_3'!B831,"AAAAAH//6uI=")</f>
        <v>#VALUE!</v>
      </c>
      <c r="HT52" t="e">
        <f>AND('Planilla_General_03-12-2012_9_3'!C831,"AAAAAH//6uM=")</f>
        <v>#VALUE!</v>
      </c>
      <c r="HU52" t="e">
        <f>AND('Planilla_General_03-12-2012_9_3'!D831,"AAAAAH//6uQ=")</f>
        <v>#VALUE!</v>
      </c>
      <c r="HV52" t="e">
        <f>AND('Planilla_General_03-12-2012_9_3'!E831,"AAAAAH//6uU=")</f>
        <v>#VALUE!</v>
      </c>
      <c r="HW52" t="e">
        <f>AND('Planilla_General_03-12-2012_9_3'!F831,"AAAAAH//6uY=")</f>
        <v>#VALUE!</v>
      </c>
      <c r="HX52" t="e">
        <f>AND('Planilla_General_03-12-2012_9_3'!G831,"AAAAAH//6uc=")</f>
        <v>#VALUE!</v>
      </c>
      <c r="HY52" t="e">
        <f>AND('Planilla_General_03-12-2012_9_3'!H831,"AAAAAH//6ug=")</f>
        <v>#VALUE!</v>
      </c>
      <c r="HZ52" t="e">
        <f>AND('Planilla_General_03-12-2012_9_3'!I831,"AAAAAH//6uk=")</f>
        <v>#VALUE!</v>
      </c>
      <c r="IA52" t="e">
        <f>AND('Planilla_General_03-12-2012_9_3'!J831,"AAAAAH//6uo=")</f>
        <v>#VALUE!</v>
      </c>
      <c r="IB52" t="e">
        <f>AND('Planilla_General_03-12-2012_9_3'!K831,"AAAAAH//6us=")</f>
        <v>#VALUE!</v>
      </c>
      <c r="IC52" t="e">
        <f>AND('Planilla_General_03-12-2012_9_3'!L831,"AAAAAH//6uw=")</f>
        <v>#VALUE!</v>
      </c>
      <c r="ID52" t="e">
        <f>AND('Planilla_General_03-12-2012_9_3'!M831,"AAAAAH//6u0=")</f>
        <v>#VALUE!</v>
      </c>
      <c r="IE52" t="e">
        <f>AND('Planilla_General_03-12-2012_9_3'!N831,"AAAAAH//6u4=")</f>
        <v>#VALUE!</v>
      </c>
      <c r="IF52" t="e">
        <f>AND('Planilla_General_03-12-2012_9_3'!O831,"AAAAAH//6u8=")</f>
        <v>#VALUE!</v>
      </c>
      <c r="IG52">
        <f>IF('Planilla_General_03-12-2012_9_3'!832:832,"AAAAAH//6vA=",0)</f>
        <v>0</v>
      </c>
      <c r="IH52" t="e">
        <f>AND('Planilla_General_03-12-2012_9_3'!A832,"AAAAAH//6vE=")</f>
        <v>#VALUE!</v>
      </c>
      <c r="II52" t="e">
        <f>AND('Planilla_General_03-12-2012_9_3'!B832,"AAAAAH//6vI=")</f>
        <v>#VALUE!</v>
      </c>
      <c r="IJ52" t="e">
        <f>AND('Planilla_General_03-12-2012_9_3'!C832,"AAAAAH//6vM=")</f>
        <v>#VALUE!</v>
      </c>
      <c r="IK52" t="e">
        <f>AND('Planilla_General_03-12-2012_9_3'!D832,"AAAAAH//6vQ=")</f>
        <v>#VALUE!</v>
      </c>
      <c r="IL52" t="e">
        <f>AND('Planilla_General_03-12-2012_9_3'!E832,"AAAAAH//6vU=")</f>
        <v>#VALUE!</v>
      </c>
      <c r="IM52" t="e">
        <f>AND('Planilla_General_03-12-2012_9_3'!F832,"AAAAAH//6vY=")</f>
        <v>#VALUE!</v>
      </c>
      <c r="IN52" t="e">
        <f>AND('Planilla_General_03-12-2012_9_3'!G832,"AAAAAH//6vc=")</f>
        <v>#VALUE!</v>
      </c>
      <c r="IO52" t="e">
        <f>AND('Planilla_General_03-12-2012_9_3'!H832,"AAAAAH//6vg=")</f>
        <v>#VALUE!</v>
      </c>
      <c r="IP52" t="e">
        <f>AND('Planilla_General_03-12-2012_9_3'!I832,"AAAAAH//6vk=")</f>
        <v>#VALUE!</v>
      </c>
      <c r="IQ52" t="e">
        <f>AND('Planilla_General_03-12-2012_9_3'!J832,"AAAAAH//6vo=")</f>
        <v>#VALUE!</v>
      </c>
      <c r="IR52" t="e">
        <f>AND('Planilla_General_03-12-2012_9_3'!K832,"AAAAAH//6vs=")</f>
        <v>#VALUE!</v>
      </c>
      <c r="IS52" t="e">
        <f>AND('Planilla_General_03-12-2012_9_3'!L832,"AAAAAH//6vw=")</f>
        <v>#VALUE!</v>
      </c>
      <c r="IT52" t="e">
        <f>AND('Planilla_General_03-12-2012_9_3'!M832,"AAAAAH//6v0=")</f>
        <v>#VALUE!</v>
      </c>
      <c r="IU52" t="e">
        <f>AND('Planilla_General_03-12-2012_9_3'!N832,"AAAAAH//6v4=")</f>
        <v>#VALUE!</v>
      </c>
      <c r="IV52" t="e">
        <f>AND('Planilla_General_03-12-2012_9_3'!O832,"AAAAAH//6v8=")</f>
        <v>#VALUE!</v>
      </c>
    </row>
    <row r="53" spans="1:256" x14ac:dyDescent="0.25">
      <c r="A53" t="e">
        <f>IF('Planilla_General_03-12-2012_9_3'!833:833,"AAAAAGt34wA=",0)</f>
        <v>#VALUE!</v>
      </c>
      <c r="B53" t="e">
        <f>AND('Planilla_General_03-12-2012_9_3'!A833,"AAAAAGt34wE=")</f>
        <v>#VALUE!</v>
      </c>
      <c r="C53" t="e">
        <f>AND('Planilla_General_03-12-2012_9_3'!B833,"AAAAAGt34wI=")</f>
        <v>#VALUE!</v>
      </c>
      <c r="D53" t="e">
        <f>AND('Planilla_General_03-12-2012_9_3'!C833,"AAAAAGt34wM=")</f>
        <v>#VALUE!</v>
      </c>
      <c r="E53" t="e">
        <f>AND('Planilla_General_03-12-2012_9_3'!D833,"AAAAAGt34wQ=")</f>
        <v>#VALUE!</v>
      </c>
      <c r="F53" t="e">
        <f>AND('Planilla_General_03-12-2012_9_3'!E833,"AAAAAGt34wU=")</f>
        <v>#VALUE!</v>
      </c>
      <c r="G53" t="e">
        <f>AND('Planilla_General_03-12-2012_9_3'!F833,"AAAAAGt34wY=")</f>
        <v>#VALUE!</v>
      </c>
      <c r="H53" t="e">
        <f>AND('Planilla_General_03-12-2012_9_3'!G833,"AAAAAGt34wc=")</f>
        <v>#VALUE!</v>
      </c>
      <c r="I53" t="e">
        <f>AND('Planilla_General_03-12-2012_9_3'!H833,"AAAAAGt34wg=")</f>
        <v>#VALUE!</v>
      </c>
      <c r="J53" t="e">
        <f>AND('Planilla_General_03-12-2012_9_3'!I833,"AAAAAGt34wk=")</f>
        <v>#VALUE!</v>
      </c>
      <c r="K53" t="e">
        <f>AND('Planilla_General_03-12-2012_9_3'!J833,"AAAAAGt34wo=")</f>
        <v>#VALUE!</v>
      </c>
      <c r="L53" t="e">
        <f>AND('Planilla_General_03-12-2012_9_3'!K833,"AAAAAGt34ws=")</f>
        <v>#VALUE!</v>
      </c>
      <c r="M53" t="e">
        <f>AND('Planilla_General_03-12-2012_9_3'!L833,"AAAAAGt34ww=")</f>
        <v>#VALUE!</v>
      </c>
      <c r="N53" t="e">
        <f>AND('Planilla_General_03-12-2012_9_3'!M833,"AAAAAGt34w0=")</f>
        <v>#VALUE!</v>
      </c>
      <c r="O53" t="e">
        <f>AND('Planilla_General_03-12-2012_9_3'!N833,"AAAAAGt34w4=")</f>
        <v>#VALUE!</v>
      </c>
      <c r="P53" t="e">
        <f>AND('Planilla_General_03-12-2012_9_3'!O833,"AAAAAGt34w8=")</f>
        <v>#VALUE!</v>
      </c>
      <c r="Q53">
        <f>IF('Planilla_General_03-12-2012_9_3'!834:834,"AAAAAGt34xA=",0)</f>
        <v>0</v>
      </c>
      <c r="R53" t="e">
        <f>AND('Planilla_General_03-12-2012_9_3'!A834,"AAAAAGt34xE=")</f>
        <v>#VALUE!</v>
      </c>
      <c r="S53" t="e">
        <f>AND('Planilla_General_03-12-2012_9_3'!B834,"AAAAAGt34xI=")</f>
        <v>#VALUE!</v>
      </c>
      <c r="T53" t="e">
        <f>AND('Planilla_General_03-12-2012_9_3'!C834,"AAAAAGt34xM=")</f>
        <v>#VALUE!</v>
      </c>
      <c r="U53" t="e">
        <f>AND('Planilla_General_03-12-2012_9_3'!D834,"AAAAAGt34xQ=")</f>
        <v>#VALUE!</v>
      </c>
      <c r="V53" t="e">
        <f>AND('Planilla_General_03-12-2012_9_3'!E834,"AAAAAGt34xU=")</f>
        <v>#VALUE!</v>
      </c>
      <c r="W53" t="e">
        <f>AND('Planilla_General_03-12-2012_9_3'!F834,"AAAAAGt34xY=")</f>
        <v>#VALUE!</v>
      </c>
      <c r="X53" t="e">
        <f>AND('Planilla_General_03-12-2012_9_3'!G834,"AAAAAGt34xc=")</f>
        <v>#VALUE!</v>
      </c>
      <c r="Y53" t="e">
        <f>AND('Planilla_General_03-12-2012_9_3'!H834,"AAAAAGt34xg=")</f>
        <v>#VALUE!</v>
      </c>
      <c r="Z53" t="e">
        <f>AND('Planilla_General_03-12-2012_9_3'!I834,"AAAAAGt34xk=")</f>
        <v>#VALUE!</v>
      </c>
      <c r="AA53" t="e">
        <f>AND('Planilla_General_03-12-2012_9_3'!J834,"AAAAAGt34xo=")</f>
        <v>#VALUE!</v>
      </c>
      <c r="AB53" t="e">
        <f>AND('Planilla_General_03-12-2012_9_3'!K834,"AAAAAGt34xs=")</f>
        <v>#VALUE!</v>
      </c>
      <c r="AC53" t="e">
        <f>AND('Planilla_General_03-12-2012_9_3'!L834,"AAAAAGt34xw=")</f>
        <v>#VALUE!</v>
      </c>
      <c r="AD53" t="e">
        <f>AND('Planilla_General_03-12-2012_9_3'!M834,"AAAAAGt34x0=")</f>
        <v>#VALUE!</v>
      </c>
      <c r="AE53" t="e">
        <f>AND('Planilla_General_03-12-2012_9_3'!N834,"AAAAAGt34x4=")</f>
        <v>#VALUE!</v>
      </c>
      <c r="AF53" t="e">
        <f>AND('Planilla_General_03-12-2012_9_3'!O834,"AAAAAGt34x8=")</f>
        <v>#VALUE!</v>
      </c>
      <c r="AG53">
        <f>IF('Planilla_General_03-12-2012_9_3'!835:835,"AAAAAGt34yA=",0)</f>
        <v>0</v>
      </c>
      <c r="AH53" t="e">
        <f>AND('Planilla_General_03-12-2012_9_3'!A835,"AAAAAGt34yE=")</f>
        <v>#VALUE!</v>
      </c>
      <c r="AI53" t="e">
        <f>AND('Planilla_General_03-12-2012_9_3'!B835,"AAAAAGt34yI=")</f>
        <v>#VALUE!</v>
      </c>
      <c r="AJ53" t="e">
        <f>AND('Planilla_General_03-12-2012_9_3'!C835,"AAAAAGt34yM=")</f>
        <v>#VALUE!</v>
      </c>
      <c r="AK53" t="e">
        <f>AND('Planilla_General_03-12-2012_9_3'!D835,"AAAAAGt34yQ=")</f>
        <v>#VALUE!</v>
      </c>
      <c r="AL53" t="e">
        <f>AND('Planilla_General_03-12-2012_9_3'!E835,"AAAAAGt34yU=")</f>
        <v>#VALUE!</v>
      </c>
      <c r="AM53" t="e">
        <f>AND('Planilla_General_03-12-2012_9_3'!F835,"AAAAAGt34yY=")</f>
        <v>#VALUE!</v>
      </c>
      <c r="AN53" t="e">
        <f>AND('Planilla_General_03-12-2012_9_3'!G835,"AAAAAGt34yc=")</f>
        <v>#VALUE!</v>
      </c>
      <c r="AO53" t="e">
        <f>AND('Planilla_General_03-12-2012_9_3'!H835,"AAAAAGt34yg=")</f>
        <v>#VALUE!</v>
      </c>
      <c r="AP53" t="e">
        <f>AND('Planilla_General_03-12-2012_9_3'!I835,"AAAAAGt34yk=")</f>
        <v>#VALUE!</v>
      </c>
      <c r="AQ53" t="e">
        <f>AND('Planilla_General_03-12-2012_9_3'!J835,"AAAAAGt34yo=")</f>
        <v>#VALUE!</v>
      </c>
      <c r="AR53" t="e">
        <f>AND('Planilla_General_03-12-2012_9_3'!K835,"AAAAAGt34ys=")</f>
        <v>#VALUE!</v>
      </c>
      <c r="AS53" t="e">
        <f>AND('Planilla_General_03-12-2012_9_3'!L835,"AAAAAGt34yw=")</f>
        <v>#VALUE!</v>
      </c>
      <c r="AT53" t="e">
        <f>AND('Planilla_General_03-12-2012_9_3'!M835,"AAAAAGt34y0=")</f>
        <v>#VALUE!</v>
      </c>
      <c r="AU53" t="e">
        <f>AND('Planilla_General_03-12-2012_9_3'!N835,"AAAAAGt34y4=")</f>
        <v>#VALUE!</v>
      </c>
      <c r="AV53" t="e">
        <f>AND('Planilla_General_03-12-2012_9_3'!O835,"AAAAAGt34y8=")</f>
        <v>#VALUE!</v>
      </c>
      <c r="AW53">
        <f>IF('Planilla_General_03-12-2012_9_3'!836:836,"AAAAAGt34zA=",0)</f>
        <v>0</v>
      </c>
      <c r="AX53" t="e">
        <f>AND('Planilla_General_03-12-2012_9_3'!A836,"AAAAAGt34zE=")</f>
        <v>#VALUE!</v>
      </c>
      <c r="AY53" t="e">
        <f>AND('Planilla_General_03-12-2012_9_3'!B836,"AAAAAGt34zI=")</f>
        <v>#VALUE!</v>
      </c>
      <c r="AZ53" t="e">
        <f>AND('Planilla_General_03-12-2012_9_3'!C836,"AAAAAGt34zM=")</f>
        <v>#VALUE!</v>
      </c>
      <c r="BA53" t="e">
        <f>AND('Planilla_General_03-12-2012_9_3'!D836,"AAAAAGt34zQ=")</f>
        <v>#VALUE!</v>
      </c>
      <c r="BB53" t="e">
        <f>AND('Planilla_General_03-12-2012_9_3'!E836,"AAAAAGt34zU=")</f>
        <v>#VALUE!</v>
      </c>
      <c r="BC53" t="e">
        <f>AND('Planilla_General_03-12-2012_9_3'!F836,"AAAAAGt34zY=")</f>
        <v>#VALUE!</v>
      </c>
      <c r="BD53" t="e">
        <f>AND('Planilla_General_03-12-2012_9_3'!G836,"AAAAAGt34zc=")</f>
        <v>#VALUE!</v>
      </c>
      <c r="BE53" t="e">
        <f>AND('Planilla_General_03-12-2012_9_3'!H836,"AAAAAGt34zg=")</f>
        <v>#VALUE!</v>
      </c>
      <c r="BF53" t="e">
        <f>AND('Planilla_General_03-12-2012_9_3'!I836,"AAAAAGt34zk=")</f>
        <v>#VALUE!</v>
      </c>
      <c r="BG53" t="e">
        <f>AND('Planilla_General_03-12-2012_9_3'!J836,"AAAAAGt34zo=")</f>
        <v>#VALUE!</v>
      </c>
      <c r="BH53" t="e">
        <f>AND('Planilla_General_03-12-2012_9_3'!K836,"AAAAAGt34zs=")</f>
        <v>#VALUE!</v>
      </c>
      <c r="BI53" t="e">
        <f>AND('Planilla_General_03-12-2012_9_3'!L836,"AAAAAGt34zw=")</f>
        <v>#VALUE!</v>
      </c>
      <c r="BJ53" t="e">
        <f>AND('Planilla_General_03-12-2012_9_3'!M836,"AAAAAGt34z0=")</f>
        <v>#VALUE!</v>
      </c>
      <c r="BK53" t="e">
        <f>AND('Planilla_General_03-12-2012_9_3'!N836,"AAAAAGt34z4=")</f>
        <v>#VALUE!</v>
      </c>
      <c r="BL53" t="e">
        <f>AND('Planilla_General_03-12-2012_9_3'!O836,"AAAAAGt34z8=")</f>
        <v>#VALUE!</v>
      </c>
      <c r="BM53">
        <f>IF('Planilla_General_03-12-2012_9_3'!837:837,"AAAAAGt340A=",0)</f>
        <v>0</v>
      </c>
      <c r="BN53" t="e">
        <f>AND('Planilla_General_03-12-2012_9_3'!A837,"AAAAAGt340E=")</f>
        <v>#VALUE!</v>
      </c>
      <c r="BO53" t="e">
        <f>AND('Planilla_General_03-12-2012_9_3'!B837,"AAAAAGt340I=")</f>
        <v>#VALUE!</v>
      </c>
      <c r="BP53" t="e">
        <f>AND('Planilla_General_03-12-2012_9_3'!C837,"AAAAAGt340M=")</f>
        <v>#VALUE!</v>
      </c>
      <c r="BQ53" t="e">
        <f>AND('Planilla_General_03-12-2012_9_3'!D837,"AAAAAGt340Q=")</f>
        <v>#VALUE!</v>
      </c>
      <c r="BR53" t="e">
        <f>AND('Planilla_General_03-12-2012_9_3'!E837,"AAAAAGt340U=")</f>
        <v>#VALUE!</v>
      </c>
      <c r="BS53" t="e">
        <f>AND('Planilla_General_03-12-2012_9_3'!F837,"AAAAAGt340Y=")</f>
        <v>#VALUE!</v>
      </c>
      <c r="BT53" t="e">
        <f>AND('Planilla_General_03-12-2012_9_3'!G837,"AAAAAGt340c=")</f>
        <v>#VALUE!</v>
      </c>
      <c r="BU53" t="e">
        <f>AND('Planilla_General_03-12-2012_9_3'!H837,"AAAAAGt340g=")</f>
        <v>#VALUE!</v>
      </c>
      <c r="BV53" t="e">
        <f>AND('Planilla_General_03-12-2012_9_3'!I837,"AAAAAGt340k=")</f>
        <v>#VALUE!</v>
      </c>
      <c r="BW53" t="e">
        <f>AND('Planilla_General_03-12-2012_9_3'!J837,"AAAAAGt340o=")</f>
        <v>#VALUE!</v>
      </c>
      <c r="BX53" t="e">
        <f>AND('Planilla_General_03-12-2012_9_3'!K837,"AAAAAGt340s=")</f>
        <v>#VALUE!</v>
      </c>
      <c r="BY53" t="e">
        <f>AND('Planilla_General_03-12-2012_9_3'!L837,"AAAAAGt340w=")</f>
        <v>#VALUE!</v>
      </c>
      <c r="BZ53" t="e">
        <f>AND('Planilla_General_03-12-2012_9_3'!M837,"AAAAAGt3400=")</f>
        <v>#VALUE!</v>
      </c>
      <c r="CA53" t="e">
        <f>AND('Planilla_General_03-12-2012_9_3'!N837,"AAAAAGt3404=")</f>
        <v>#VALUE!</v>
      </c>
      <c r="CB53" t="e">
        <f>AND('Planilla_General_03-12-2012_9_3'!O837,"AAAAAGt3408=")</f>
        <v>#VALUE!</v>
      </c>
      <c r="CC53">
        <f>IF('Planilla_General_03-12-2012_9_3'!838:838,"AAAAAGt341A=",0)</f>
        <v>0</v>
      </c>
      <c r="CD53" t="e">
        <f>AND('Planilla_General_03-12-2012_9_3'!A838,"AAAAAGt341E=")</f>
        <v>#VALUE!</v>
      </c>
      <c r="CE53" t="e">
        <f>AND('Planilla_General_03-12-2012_9_3'!B838,"AAAAAGt341I=")</f>
        <v>#VALUE!</v>
      </c>
      <c r="CF53" t="e">
        <f>AND('Planilla_General_03-12-2012_9_3'!C838,"AAAAAGt341M=")</f>
        <v>#VALUE!</v>
      </c>
      <c r="CG53" t="e">
        <f>AND('Planilla_General_03-12-2012_9_3'!D838,"AAAAAGt341Q=")</f>
        <v>#VALUE!</v>
      </c>
      <c r="CH53" t="e">
        <f>AND('Planilla_General_03-12-2012_9_3'!E838,"AAAAAGt341U=")</f>
        <v>#VALUE!</v>
      </c>
      <c r="CI53" t="e">
        <f>AND('Planilla_General_03-12-2012_9_3'!F838,"AAAAAGt341Y=")</f>
        <v>#VALUE!</v>
      </c>
      <c r="CJ53" t="e">
        <f>AND('Planilla_General_03-12-2012_9_3'!G838,"AAAAAGt341c=")</f>
        <v>#VALUE!</v>
      </c>
      <c r="CK53" t="e">
        <f>AND('Planilla_General_03-12-2012_9_3'!H838,"AAAAAGt341g=")</f>
        <v>#VALUE!</v>
      </c>
      <c r="CL53" t="e">
        <f>AND('Planilla_General_03-12-2012_9_3'!I838,"AAAAAGt341k=")</f>
        <v>#VALUE!</v>
      </c>
      <c r="CM53" t="e">
        <f>AND('Planilla_General_03-12-2012_9_3'!J838,"AAAAAGt341o=")</f>
        <v>#VALUE!</v>
      </c>
      <c r="CN53" t="e">
        <f>AND('Planilla_General_03-12-2012_9_3'!K838,"AAAAAGt341s=")</f>
        <v>#VALUE!</v>
      </c>
      <c r="CO53" t="e">
        <f>AND('Planilla_General_03-12-2012_9_3'!L838,"AAAAAGt341w=")</f>
        <v>#VALUE!</v>
      </c>
      <c r="CP53" t="e">
        <f>AND('Planilla_General_03-12-2012_9_3'!M838,"AAAAAGt3410=")</f>
        <v>#VALUE!</v>
      </c>
      <c r="CQ53" t="e">
        <f>AND('Planilla_General_03-12-2012_9_3'!N838,"AAAAAGt3414=")</f>
        <v>#VALUE!</v>
      </c>
      <c r="CR53" t="e">
        <f>AND('Planilla_General_03-12-2012_9_3'!O838,"AAAAAGt3418=")</f>
        <v>#VALUE!</v>
      </c>
      <c r="CS53">
        <f>IF('Planilla_General_03-12-2012_9_3'!839:839,"AAAAAGt342A=",0)</f>
        <v>0</v>
      </c>
      <c r="CT53" t="e">
        <f>AND('Planilla_General_03-12-2012_9_3'!A839,"AAAAAGt342E=")</f>
        <v>#VALUE!</v>
      </c>
      <c r="CU53" t="e">
        <f>AND('Planilla_General_03-12-2012_9_3'!B839,"AAAAAGt342I=")</f>
        <v>#VALUE!</v>
      </c>
      <c r="CV53" t="e">
        <f>AND('Planilla_General_03-12-2012_9_3'!C839,"AAAAAGt342M=")</f>
        <v>#VALUE!</v>
      </c>
      <c r="CW53" t="e">
        <f>AND('Planilla_General_03-12-2012_9_3'!D839,"AAAAAGt342Q=")</f>
        <v>#VALUE!</v>
      </c>
      <c r="CX53" t="e">
        <f>AND('Planilla_General_03-12-2012_9_3'!E839,"AAAAAGt342U=")</f>
        <v>#VALUE!</v>
      </c>
      <c r="CY53" t="e">
        <f>AND('Planilla_General_03-12-2012_9_3'!F839,"AAAAAGt342Y=")</f>
        <v>#VALUE!</v>
      </c>
      <c r="CZ53" t="e">
        <f>AND('Planilla_General_03-12-2012_9_3'!G839,"AAAAAGt342c=")</f>
        <v>#VALUE!</v>
      </c>
      <c r="DA53" t="e">
        <f>AND('Planilla_General_03-12-2012_9_3'!H839,"AAAAAGt342g=")</f>
        <v>#VALUE!</v>
      </c>
      <c r="DB53" t="e">
        <f>AND('Planilla_General_03-12-2012_9_3'!I839,"AAAAAGt342k=")</f>
        <v>#VALUE!</v>
      </c>
      <c r="DC53" t="e">
        <f>AND('Planilla_General_03-12-2012_9_3'!J839,"AAAAAGt342o=")</f>
        <v>#VALUE!</v>
      </c>
      <c r="DD53" t="e">
        <f>AND('Planilla_General_03-12-2012_9_3'!K839,"AAAAAGt342s=")</f>
        <v>#VALUE!</v>
      </c>
      <c r="DE53" t="e">
        <f>AND('Planilla_General_03-12-2012_9_3'!L839,"AAAAAGt342w=")</f>
        <v>#VALUE!</v>
      </c>
      <c r="DF53" t="e">
        <f>AND('Planilla_General_03-12-2012_9_3'!M839,"AAAAAGt3420=")</f>
        <v>#VALUE!</v>
      </c>
      <c r="DG53" t="e">
        <f>AND('Planilla_General_03-12-2012_9_3'!N839,"AAAAAGt3424=")</f>
        <v>#VALUE!</v>
      </c>
      <c r="DH53" t="e">
        <f>AND('Planilla_General_03-12-2012_9_3'!O839,"AAAAAGt3428=")</f>
        <v>#VALUE!</v>
      </c>
      <c r="DI53">
        <f>IF('Planilla_General_03-12-2012_9_3'!840:840,"AAAAAGt343A=",0)</f>
        <v>0</v>
      </c>
      <c r="DJ53" t="e">
        <f>AND('Planilla_General_03-12-2012_9_3'!A840,"AAAAAGt343E=")</f>
        <v>#VALUE!</v>
      </c>
      <c r="DK53" t="e">
        <f>AND('Planilla_General_03-12-2012_9_3'!B840,"AAAAAGt343I=")</f>
        <v>#VALUE!</v>
      </c>
      <c r="DL53" t="e">
        <f>AND('Planilla_General_03-12-2012_9_3'!C840,"AAAAAGt343M=")</f>
        <v>#VALUE!</v>
      </c>
      <c r="DM53" t="e">
        <f>AND('Planilla_General_03-12-2012_9_3'!D840,"AAAAAGt343Q=")</f>
        <v>#VALUE!</v>
      </c>
      <c r="DN53" t="e">
        <f>AND('Planilla_General_03-12-2012_9_3'!E840,"AAAAAGt343U=")</f>
        <v>#VALUE!</v>
      </c>
      <c r="DO53" t="e">
        <f>AND('Planilla_General_03-12-2012_9_3'!F840,"AAAAAGt343Y=")</f>
        <v>#VALUE!</v>
      </c>
      <c r="DP53" t="e">
        <f>AND('Planilla_General_03-12-2012_9_3'!G840,"AAAAAGt343c=")</f>
        <v>#VALUE!</v>
      </c>
      <c r="DQ53" t="e">
        <f>AND('Planilla_General_03-12-2012_9_3'!H840,"AAAAAGt343g=")</f>
        <v>#VALUE!</v>
      </c>
      <c r="DR53" t="e">
        <f>AND('Planilla_General_03-12-2012_9_3'!I840,"AAAAAGt343k=")</f>
        <v>#VALUE!</v>
      </c>
      <c r="DS53" t="e">
        <f>AND('Planilla_General_03-12-2012_9_3'!J840,"AAAAAGt343o=")</f>
        <v>#VALUE!</v>
      </c>
      <c r="DT53" t="e">
        <f>AND('Planilla_General_03-12-2012_9_3'!K840,"AAAAAGt343s=")</f>
        <v>#VALUE!</v>
      </c>
      <c r="DU53" t="e">
        <f>AND('Planilla_General_03-12-2012_9_3'!L840,"AAAAAGt343w=")</f>
        <v>#VALUE!</v>
      </c>
      <c r="DV53" t="e">
        <f>AND('Planilla_General_03-12-2012_9_3'!M840,"AAAAAGt3430=")</f>
        <v>#VALUE!</v>
      </c>
      <c r="DW53" t="e">
        <f>AND('Planilla_General_03-12-2012_9_3'!N840,"AAAAAGt3434=")</f>
        <v>#VALUE!</v>
      </c>
      <c r="DX53" t="e">
        <f>AND('Planilla_General_03-12-2012_9_3'!O840,"AAAAAGt3438=")</f>
        <v>#VALUE!</v>
      </c>
      <c r="DY53">
        <f>IF('Planilla_General_03-12-2012_9_3'!841:841,"AAAAAGt344A=",0)</f>
        <v>0</v>
      </c>
      <c r="DZ53" t="e">
        <f>AND('Planilla_General_03-12-2012_9_3'!A841,"AAAAAGt344E=")</f>
        <v>#VALUE!</v>
      </c>
      <c r="EA53" t="e">
        <f>AND('Planilla_General_03-12-2012_9_3'!B841,"AAAAAGt344I=")</f>
        <v>#VALUE!</v>
      </c>
      <c r="EB53" t="e">
        <f>AND('Planilla_General_03-12-2012_9_3'!C841,"AAAAAGt344M=")</f>
        <v>#VALUE!</v>
      </c>
      <c r="EC53" t="e">
        <f>AND('Planilla_General_03-12-2012_9_3'!D841,"AAAAAGt344Q=")</f>
        <v>#VALUE!</v>
      </c>
      <c r="ED53" t="e">
        <f>AND('Planilla_General_03-12-2012_9_3'!E841,"AAAAAGt344U=")</f>
        <v>#VALUE!</v>
      </c>
      <c r="EE53" t="e">
        <f>AND('Planilla_General_03-12-2012_9_3'!F841,"AAAAAGt344Y=")</f>
        <v>#VALUE!</v>
      </c>
      <c r="EF53" t="e">
        <f>AND('Planilla_General_03-12-2012_9_3'!G841,"AAAAAGt344c=")</f>
        <v>#VALUE!</v>
      </c>
      <c r="EG53" t="e">
        <f>AND('Planilla_General_03-12-2012_9_3'!H841,"AAAAAGt344g=")</f>
        <v>#VALUE!</v>
      </c>
      <c r="EH53" t="e">
        <f>AND('Planilla_General_03-12-2012_9_3'!I841,"AAAAAGt344k=")</f>
        <v>#VALUE!</v>
      </c>
      <c r="EI53" t="e">
        <f>AND('Planilla_General_03-12-2012_9_3'!J841,"AAAAAGt344o=")</f>
        <v>#VALUE!</v>
      </c>
      <c r="EJ53" t="e">
        <f>AND('Planilla_General_03-12-2012_9_3'!K841,"AAAAAGt344s=")</f>
        <v>#VALUE!</v>
      </c>
      <c r="EK53" t="e">
        <f>AND('Planilla_General_03-12-2012_9_3'!L841,"AAAAAGt344w=")</f>
        <v>#VALUE!</v>
      </c>
      <c r="EL53" t="e">
        <f>AND('Planilla_General_03-12-2012_9_3'!M841,"AAAAAGt3440=")</f>
        <v>#VALUE!</v>
      </c>
      <c r="EM53" t="e">
        <f>AND('Planilla_General_03-12-2012_9_3'!N841,"AAAAAGt3444=")</f>
        <v>#VALUE!</v>
      </c>
      <c r="EN53" t="e">
        <f>AND('Planilla_General_03-12-2012_9_3'!O841,"AAAAAGt3448=")</f>
        <v>#VALUE!</v>
      </c>
      <c r="EO53">
        <f>IF('Planilla_General_03-12-2012_9_3'!842:842,"AAAAAGt345A=",0)</f>
        <v>0</v>
      </c>
      <c r="EP53" t="e">
        <f>AND('Planilla_General_03-12-2012_9_3'!A842,"AAAAAGt345E=")</f>
        <v>#VALUE!</v>
      </c>
      <c r="EQ53" t="e">
        <f>AND('Planilla_General_03-12-2012_9_3'!B842,"AAAAAGt345I=")</f>
        <v>#VALUE!</v>
      </c>
      <c r="ER53" t="e">
        <f>AND('Planilla_General_03-12-2012_9_3'!C842,"AAAAAGt345M=")</f>
        <v>#VALUE!</v>
      </c>
      <c r="ES53" t="e">
        <f>AND('Planilla_General_03-12-2012_9_3'!D842,"AAAAAGt345Q=")</f>
        <v>#VALUE!</v>
      </c>
      <c r="ET53" t="e">
        <f>AND('Planilla_General_03-12-2012_9_3'!E842,"AAAAAGt345U=")</f>
        <v>#VALUE!</v>
      </c>
      <c r="EU53" t="e">
        <f>AND('Planilla_General_03-12-2012_9_3'!F842,"AAAAAGt345Y=")</f>
        <v>#VALUE!</v>
      </c>
      <c r="EV53" t="e">
        <f>AND('Planilla_General_03-12-2012_9_3'!G842,"AAAAAGt345c=")</f>
        <v>#VALUE!</v>
      </c>
      <c r="EW53" t="e">
        <f>AND('Planilla_General_03-12-2012_9_3'!H842,"AAAAAGt345g=")</f>
        <v>#VALUE!</v>
      </c>
      <c r="EX53" t="e">
        <f>AND('Planilla_General_03-12-2012_9_3'!I842,"AAAAAGt345k=")</f>
        <v>#VALUE!</v>
      </c>
      <c r="EY53" t="e">
        <f>AND('Planilla_General_03-12-2012_9_3'!J842,"AAAAAGt345o=")</f>
        <v>#VALUE!</v>
      </c>
      <c r="EZ53" t="e">
        <f>AND('Planilla_General_03-12-2012_9_3'!K842,"AAAAAGt345s=")</f>
        <v>#VALUE!</v>
      </c>
      <c r="FA53" t="e">
        <f>AND('Planilla_General_03-12-2012_9_3'!L842,"AAAAAGt345w=")</f>
        <v>#VALUE!</v>
      </c>
      <c r="FB53" t="e">
        <f>AND('Planilla_General_03-12-2012_9_3'!M842,"AAAAAGt3450=")</f>
        <v>#VALUE!</v>
      </c>
      <c r="FC53" t="e">
        <f>AND('Planilla_General_03-12-2012_9_3'!N842,"AAAAAGt3454=")</f>
        <v>#VALUE!</v>
      </c>
      <c r="FD53" t="e">
        <f>AND('Planilla_General_03-12-2012_9_3'!O842,"AAAAAGt3458=")</f>
        <v>#VALUE!</v>
      </c>
      <c r="FE53">
        <f>IF('Planilla_General_03-12-2012_9_3'!843:843,"AAAAAGt346A=",0)</f>
        <v>0</v>
      </c>
      <c r="FF53" t="e">
        <f>AND('Planilla_General_03-12-2012_9_3'!A843,"AAAAAGt346E=")</f>
        <v>#VALUE!</v>
      </c>
      <c r="FG53" t="e">
        <f>AND('Planilla_General_03-12-2012_9_3'!B843,"AAAAAGt346I=")</f>
        <v>#VALUE!</v>
      </c>
      <c r="FH53" t="e">
        <f>AND('Planilla_General_03-12-2012_9_3'!C843,"AAAAAGt346M=")</f>
        <v>#VALUE!</v>
      </c>
      <c r="FI53" t="e">
        <f>AND('Planilla_General_03-12-2012_9_3'!D843,"AAAAAGt346Q=")</f>
        <v>#VALUE!</v>
      </c>
      <c r="FJ53" t="e">
        <f>AND('Planilla_General_03-12-2012_9_3'!E843,"AAAAAGt346U=")</f>
        <v>#VALUE!</v>
      </c>
      <c r="FK53" t="e">
        <f>AND('Planilla_General_03-12-2012_9_3'!F843,"AAAAAGt346Y=")</f>
        <v>#VALUE!</v>
      </c>
      <c r="FL53" t="e">
        <f>AND('Planilla_General_03-12-2012_9_3'!G843,"AAAAAGt346c=")</f>
        <v>#VALUE!</v>
      </c>
      <c r="FM53" t="e">
        <f>AND('Planilla_General_03-12-2012_9_3'!H843,"AAAAAGt346g=")</f>
        <v>#VALUE!</v>
      </c>
      <c r="FN53" t="e">
        <f>AND('Planilla_General_03-12-2012_9_3'!I843,"AAAAAGt346k=")</f>
        <v>#VALUE!</v>
      </c>
      <c r="FO53" t="e">
        <f>AND('Planilla_General_03-12-2012_9_3'!J843,"AAAAAGt346o=")</f>
        <v>#VALUE!</v>
      </c>
      <c r="FP53" t="e">
        <f>AND('Planilla_General_03-12-2012_9_3'!K843,"AAAAAGt346s=")</f>
        <v>#VALUE!</v>
      </c>
      <c r="FQ53" t="e">
        <f>AND('Planilla_General_03-12-2012_9_3'!L843,"AAAAAGt346w=")</f>
        <v>#VALUE!</v>
      </c>
      <c r="FR53" t="e">
        <f>AND('Planilla_General_03-12-2012_9_3'!M843,"AAAAAGt3460=")</f>
        <v>#VALUE!</v>
      </c>
      <c r="FS53" t="e">
        <f>AND('Planilla_General_03-12-2012_9_3'!N843,"AAAAAGt3464=")</f>
        <v>#VALUE!</v>
      </c>
      <c r="FT53" t="e">
        <f>AND('Planilla_General_03-12-2012_9_3'!O843,"AAAAAGt3468=")</f>
        <v>#VALUE!</v>
      </c>
      <c r="FU53">
        <f>IF('Planilla_General_03-12-2012_9_3'!844:844,"AAAAAGt347A=",0)</f>
        <v>0</v>
      </c>
      <c r="FV53" t="e">
        <f>AND('Planilla_General_03-12-2012_9_3'!A844,"AAAAAGt347E=")</f>
        <v>#VALUE!</v>
      </c>
      <c r="FW53" t="e">
        <f>AND('Planilla_General_03-12-2012_9_3'!B844,"AAAAAGt347I=")</f>
        <v>#VALUE!</v>
      </c>
      <c r="FX53" t="e">
        <f>AND('Planilla_General_03-12-2012_9_3'!C844,"AAAAAGt347M=")</f>
        <v>#VALUE!</v>
      </c>
      <c r="FY53" t="e">
        <f>AND('Planilla_General_03-12-2012_9_3'!D844,"AAAAAGt347Q=")</f>
        <v>#VALUE!</v>
      </c>
      <c r="FZ53" t="e">
        <f>AND('Planilla_General_03-12-2012_9_3'!E844,"AAAAAGt347U=")</f>
        <v>#VALUE!</v>
      </c>
      <c r="GA53" t="e">
        <f>AND('Planilla_General_03-12-2012_9_3'!F844,"AAAAAGt347Y=")</f>
        <v>#VALUE!</v>
      </c>
      <c r="GB53" t="e">
        <f>AND('Planilla_General_03-12-2012_9_3'!G844,"AAAAAGt347c=")</f>
        <v>#VALUE!</v>
      </c>
      <c r="GC53" t="e">
        <f>AND('Planilla_General_03-12-2012_9_3'!H844,"AAAAAGt347g=")</f>
        <v>#VALUE!</v>
      </c>
      <c r="GD53" t="e">
        <f>AND('Planilla_General_03-12-2012_9_3'!I844,"AAAAAGt347k=")</f>
        <v>#VALUE!</v>
      </c>
      <c r="GE53" t="e">
        <f>AND('Planilla_General_03-12-2012_9_3'!J844,"AAAAAGt347o=")</f>
        <v>#VALUE!</v>
      </c>
      <c r="GF53" t="e">
        <f>AND('Planilla_General_03-12-2012_9_3'!K844,"AAAAAGt347s=")</f>
        <v>#VALUE!</v>
      </c>
      <c r="GG53" t="e">
        <f>AND('Planilla_General_03-12-2012_9_3'!L844,"AAAAAGt347w=")</f>
        <v>#VALUE!</v>
      </c>
      <c r="GH53" t="e">
        <f>AND('Planilla_General_03-12-2012_9_3'!M844,"AAAAAGt3470=")</f>
        <v>#VALUE!</v>
      </c>
      <c r="GI53" t="e">
        <f>AND('Planilla_General_03-12-2012_9_3'!N844,"AAAAAGt3474=")</f>
        <v>#VALUE!</v>
      </c>
      <c r="GJ53" t="e">
        <f>AND('Planilla_General_03-12-2012_9_3'!O844,"AAAAAGt3478=")</f>
        <v>#VALUE!</v>
      </c>
      <c r="GK53">
        <f>IF('Planilla_General_03-12-2012_9_3'!845:845,"AAAAAGt348A=",0)</f>
        <v>0</v>
      </c>
      <c r="GL53" t="e">
        <f>AND('Planilla_General_03-12-2012_9_3'!A845,"AAAAAGt348E=")</f>
        <v>#VALUE!</v>
      </c>
      <c r="GM53" t="e">
        <f>AND('Planilla_General_03-12-2012_9_3'!B845,"AAAAAGt348I=")</f>
        <v>#VALUE!</v>
      </c>
      <c r="GN53" t="e">
        <f>AND('Planilla_General_03-12-2012_9_3'!C845,"AAAAAGt348M=")</f>
        <v>#VALUE!</v>
      </c>
      <c r="GO53" t="e">
        <f>AND('Planilla_General_03-12-2012_9_3'!D845,"AAAAAGt348Q=")</f>
        <v>#VALUE!</v>
      </c>
      <c r="GP53" t="e">
        <f>AND('Planilla_General_03-12-2012_9_3'!E845,"AAAAAGt348U=")</f>
        <v>#VALUE!</v>
      </c>
      <c r="GQ53" t="e">
        <f>AND('Planilla_General_03-12-2012_9_3'!F845,"AAAAAGt348Y=")</f>
        <v>#VALUE!</v>
      </c>
      <c r="GR53" t="e">
        <f>AND('Planilla_General_03-12-2012_9_3'!G845,"AAAAAGt348c=")</f>
        <v>#VALUE!</v>
      </c>
      <c r="GS53" t="e">
        <f>AND('Planilla_General_03-12-2012_9_3'!H845,"AAAAAGt348g=")</f>
        <v>#VALUE!</v>
      </c>
      <c r="GT53" t="e">
        <f>AND('Planilla_General_03-12-2012_9_3'!I845,"AAAAAGt348k=")</f>
        <v>#VALUE!</v>
      </c>
      <c r="GU53" t="e">
        <f>AND('Planilla_General_03-12-2012_9_3'!J845,"AAAAAGt348o=")</f>
        <v>#VALUE!</v>
      </c>
      <c r="GV53" t="e">
        <f>AND('Planilla_General_03-12-2012_9_3'!K845,"AAAAAGt348s=")</f>
        <v>#VALUE!</v>
      </c>
      <c r="GW53" t="e">
        <f>AND('Planilla_General_03-12-2012_9_3'!L845,"AAAAAGt348w=")</f>
        <v>#VALUE!</v>
      </c>
      <c r="GX53" t="e">
        <f>AND('Planilla_General_03-12-2012_9_3'!M845,"AAAAAGt3480=")</f>
        <v>#VALUE!</v>
      </c>
      <c r="GY53" t="e">
        <f>AND('Planilla_General_03-12-2012_9_3'!N845,"AAAAAGt3484=")</f>
        <v>#VALUE!</v>
      </c>
      <c r="GZ53" t="e">
        <f>AND('Planilla_General_03-12-2012_9_3'!O845,"AAAAAGt3488=")</f>
        <v>#VALUE!</v>
      </c>
      <c r="HA53">
        <f>IF('Planilla_General_03-12-2012_9_3'!846:846,"AAAAAGt349A=",0)</f>
        <v>0</v>
      </c>
      <c r="HB53" t="e">
        <f>AND('Planilla_General_03-12-2012_9_3'!A846,"AAAAAGt349E=")</f>
        <v>#VALUE!</v>
      </c>
      <c r="HC53" t="e">
        <f>AND('Planilla_General_03-12-2012_9_3'!B846,"AAAAAGt349I=")</f>
        <v>#VALUE!</v>
      </c>
      <c r="HD53" t="e">
        <f>AND('Planilla_General_03-12-2012_9_3'!C846,"AAAAAGt349M=")</f>
        <v>#VALUE!</v>
      </c>
      <c r="HE53" t="e">
        <f>AND('Planilla_General_03-12-2012_9_3'!D846,"AAAAAGt349Q=")</f>
        <v>#VALUE!</v>
      </c>
      <c r="HF53" t="e">
        <f>AND('Planilla_General_03-12-2012_9_3'!E846,"AAAAAGt349U=")</f>
        <v>#VALUE!</v>
      </c>
      <c r="HG53" t="e">
        <f>AND('Planilla_General_03-12-2012_9_3'!F846,"AAAAAGt349Y=")</f>
        <v>#VALUE!</v>
      </c>
      <c r="HH53" t="e">
        <f>AND('Planilla_General_03-12-2012_9_3'!G846,"AAAAAGt349c=")</f>
        <v>#VALUE!</v>
      </c>
      <c r="HI53" t="e">
        <f>AND('Planilla_General_03-12-2012_9_3'!H846,"AAAAAGt349g=")</f>
        <v>#VALUE!</v>
      </c>
      <c r="HJ53" t="e">
        <f>AND('Planilla_General_03-12-2012_9_3'!I846,"AAAAAGt349k=")</f>
        <v>#VALUE!</v>
      </c>
      <c r="HK53" t="e">
        <f>AND('Planilla_General_03-12-2012_9_3'!J846,"AAAAAGt349o=")</f>
        <v>#VALUE!</v>
      </c>
      <c r="HL53" t="e">
        <f>AND('Planilla_General_03-12-2012_9_3'!K846,"AAAAAGt349s=")</f>
        <v>#VALUE!</v>
      </c>
      <c r="HM53" t="e">
        <f>AND('Planilla_General_03-12-2012_9_3'!L846,"AAAAAGt349w=")</f>
        <v>#VALUE!</v>
      </c>
      <c r="HN53" t="e">
        <f>AND('Planilla_General_03-12-2012_9_3'!M846,"AAAAAGt3490=")</f>
        <v>#VALUE!</v>
      </c>
      <c r="HO53" t="e">
        <f>AND('Planilla_General_03-12-2012_9_3'!N846,"AAAAAGt3494=")</f>
        <v>#VALUE!</v>
      </c>
      <c r="HP53" t="e">
        <f>AND('Planilla_General_03-12-2012_9_3'!O846,"AAAAAGt3498=")</f>
        <v>#VALUE!</v>
      </c>
      <c r="HQ53">
        <f>IF('Planilla_General_03-12-2012_9_3'!847:847,"AAAAAGt34+A=",0)</f>
        <v>0</v>
      </c>
      <c r="HR53" t="e">
        <f>AND('Planilla_General_03-12-2012_9_3'!A847,"AAAAAGt34+E=")</f>
        <v>#VALUE!</v>
      </c>
      <c r="HS53" t="e">
        <f>AND('Planilla_General_03-12-2012_9_3'!B847,"AAAAAGt34+I=")</f>
        <v>#VALUE!</v>
      </c>
      <c r="HT53" t="e">
        <f>AND('Planilla_General_03-12-2012_9_3'!C847,"AAAAAGt34+M=")</f>
        <v>#VALUE!</v>
      </c>
      <c r="HU53" t="e">
        <f>AND('Planilla_General_03-12-2012_9_3'!D847,"AAAAAGt34+Q=")</f>
        <v>#VALUE!</v>
      </c>
      <c r="HV53" t="e">
        <f>AND('Planilla_General_03-12-2012_9_3'!E847,"AAAAAGt34+U=")</f>
        <v>#VALUE!</v>
      </c>
      <c r="HW53" t="e">
        <f>AND('Planilla_General_03-12-2012_9_3'!F847,"AAAAAGt34+Y=")</f>
        <v>#VALUE!</v>
      </c>
      <c r="HX53" t="e">
        <f>AND('Planilla_General_03-12-2012_9_3'!G847,"AAAAAGt34+c=")</f>
        <v>#VALUE!</v>
      </c>
      <c r="HY53" t="e">
        <f>AND('Planilla_General_03-12-2012_9_3'!H847,"AAAAAGt34+g=")</f>
        <v>#VALUE!</v>
      </c>
      <c r="HZ53" t="e">
        <f>AND('Planilla_General_03-12-2012_9_3'!I847,"AAAAAGt34+k=")</f>
        <v>#VALUE!</v>
      </c>
      <c r="IA53" t="e">
        <f>AND('Planilla_General_03-12-2012_9_3'!J847,"AAAAAGt34+o=")</f>
        <v>#VALUE!</v>
      </c>
      <c r="IB53" t="e">
        <f>AND('Planilla_General_03-12-2012_9_3'!K847,"AAAAAGt34+s=")</f>
        <v>#VALUE!</v>
      </c>
      <c r="IC53" t="e">
        <f>AND('Planilla_General_03-12-2012_9_3'!L847,"AAAAAGt34+w=")</f>
        <v>#VALUE!</v>
      </c>
      <c r="ID53" t="e">
        <f>AND('Planilla_General_03-12-2012_9_3'!M847,"AAAAAGt34+0=")</f>
        <v>#VALUE!</v>
      </c>
      <c r="IE53" t="e">
        <f>AND('Planilla_General_03-12-2012_9_3'!N847,"AAAAAGt34+4=")</f>
        <v>#VALUE!</v>
      </c>
      <c r="IF53" t="e">
        <f>AND('Planilla_General_03-12-2012_9_3'!O847,"AAAAAGt34+8=")</f>
        <v>#VALUE!</v>
      </c>
      <c r="IG53">
        <f>IF('Planilla_General_03-12-2012_9_3'!848:848,"AAAAAGt34/A=",0)</f>
        <v>0</v>
      </c>
      <c r="IH53" t="e">
        <f>AND('Planilla_General_03-12-2012_9_3'!A848,"AAAAAGt34/E=")</f>
        <v>#VALUE!</v>
      </c>
      <c r="II53" t="e">
        <f>AND('Planilla_General_03-12-2012_9_3'!B848,"AAAAAGt34/I=")</f>
        <v>#VALUE!</v>
      </c>
      <c r="IJ53" t="e">
        <f>AND('Planilla_General_03-12-2012_9_3'!C848,"AAAAAGt34/M=")</f>
        <v>#VALUE!</v>
      </c>
      <c r="IK53" t="e">
        <f>AND('Planilla_General_03-12-2012_9_3'!D848,"AAAAAGt34/Q=")</f>
        <v>#VALUE!</v>
      </c>
      <c r="IL53" t="e">
        <f>AND('Planilla_General_03-12-2012_9_3'!E848,"AAAAAGt34/U=")</f>
        <v>#VALUE!</v>
      </c>
      <c r="IM53" t="e">
        <f>AND('Planilla_General_03-12-2012_9_3'!F848,"AAAAAGt34/Y=")</f>
        <v>#VALUE!</v>
      </c>
      <c r="IN53" t="e">
        <f>AND('Planilla_General_03-12-2012_9_3'!G848,"AAAAAGt34/c=")</f>
        <v>#VALUE!</v>
      </c>
      <c r="IO53" t="e">
        <f>AND('Planilla_General_03-12-2012_9_3'!H848,"AAAAAGt34/g=")</f>
        <v>#VALUE!</v>
      </c>
      <c r="IP53" t="e">
        <f>AND('Planilla_General_03-12-2012_9_3'!I848,"AAAAAGt34/k=")</f>
        <v>#VALUE!</v>
      </c>
      <c r="IQ53" t="e">
        <f>AND('Planilla_General_03-12-2012_9_3'!J848,"AAAAAGt34/o=")</f>
        <v>#VALUE!</v>
      </c>
      <c r="IR53" t="e">
        <f>AND('Planilla_General_03-12-2012_9_3'!K848,"AAAAAGt34/s=")</f>
        <v>#VALUE!</v>
      </c>
      <c r="IS53" t="e">
        <f>AND('Planilla_General_03-12-2012_9_3'!L848,"AAAAAGt34/w=")</f>
        <v>#VALUE!</v>
      </c>
      <c r="IT53" t="e">
        <f>AND('Planilla_General_03-12-2012_9_3'!M848,"AAAAAGt34/0=")</f>
        <v>#VALUE!</v>
      </c>
      <c r="IU53" t="e">
        <f>AND('Planilla_General_03-12-2012_9_3'!N848,"AAAAAGt34/4=")</f>
        <v>#VALUE!</v>
      </c>
      <c r="IV53" t="e">
        <f>AND('Planilla_General_03-12-2012_9_3'!O848,"AAAAAGt34/8=")</f>
        <v>#VALUE!</v>
      </c>
    </row>
    <row r="54" spans="1:256" x14ac:dyDescent="0.25">
      <c r="A54" t="e">
        <f>IF('Planilla_General_03-12-2012_9_3'!849:849,"AAAAAC33twA=",0)</f>
        <v>#VALUE!</v>
      </c>
      <c r="B54" t="e">
        <f>AND('Planilla_General_03-12-2012_9_3'!A849,"AAAAAC33twE=")</f>
        <v>#VALUE!</v>
      </c>
      <c r="C54" t="e">
        <f>AND('Planilla_General_03-12-2012_9_3'!B849,"AAAAAC33twI=")</f>
        <v>#VALUE!</v>
      </c>
      <c r="D54" t="e">
        <f>AND('Planilla_General_03-12-2012_9_3'!C849,"AAAAAC33twM=")</f>
        <v>#VALUE!</v>
      </c>
      <c r="E54" t="e">
        <f>AND('Planilla_General_03-12-2012_9_3'!D849,"AAAAAC33twQ=")</f>
        <v>#VALUE!</v>
      </c>
      <c r="F54" t="e">
        <f>AND('Planilla_General_03-12-2012_9_3'!E849,"AAAAAC33twU=")</f>
        <v>#VALUE!</v>
      </c>
      <c r="G54" t="e">
        <f>AND('Planilla_General_03-12-2012_9_3'!F849,"AAAAAC33twY=")</f>
        <v>#VALUE!</v>
      </c>
      <c r="H54" t="e">
        <f>AND('Planilla_General_03-12-2012_9_3'!G849,"AAAAAC33twc=")</f>
        <v>#VALUE!</v>
      </c>
      <c r="I54" t="e">
        <f>AND('Planilla_General_03-12-2012_9_3'!H849,"AAAAAC33twg=")</f>
        <v>#VALUE!</v>
      </c>
      <c r="J54" t="e">
        <f>AND('Planilla_General_03-12-2012_9_3'!I849,"AAAAAC33twk=")</f>
        <v>#VALUE!</v>
      </c>
      <c r="K54" t="e">
        <f>AND('Planilla_General_03-12-2012_9_3'!J849,"AAAAAC33two=")</f>
        <v>#VALUE!</v>
      </c>
      <c r="L54" t="e">
        <f>AND('Planilla_General_03-12-2012_9_3'!K849,"AAAAAC33tws=")</f>
        <v>#VALUE!</v>
      </c>
      <c r="M54" t="e">
        <f>AND('Planilla_General_03-12-2012_9_3'!L849,"AAAAAC33tww=")</f>
        <v>#VALUE!</v>
      </c>
      <c r="N54" t="e">
        <f>AND('Planilla_General_03-12-2012_9_3'!M849,"AAAAAC33tw0=")</f>
        <v>#VALUE!</v>
      </c>
      <c r="O54" t="e">
        <f>AND('Planilla_General_03-12-2012_9_3'!N849,"AAAAAC33tw4=")</f>
        <v>#VALUE!</v>
      </c>
      <c r="P54" t="e">
        <f>AND('Planilla_General_03-12-2012_9_3'!O849,"AAAAAC33tw8=")</f>
        <v>#VALUE!</v>
      </c>
      <c r="Q54">
        <f>IF('Planilla_General_03-12-2012_9_3'!850:850,"AAAAAC33txA=",0)</f>
        <v>0</v>
      </c>
      <c r="R54" t="e">
        <f>AND('Planilla_General_03-12-2012_9_3'!A850,"AAAAAC33txE=")</f>
        <v>#VALUE!</v>
      </c>
      <c r="S54" t="e">
        <f>AND('Planilla_General_03-12-2012_9_3'!B850,"AAAAAC33txI=")</f>
        <v>#VALUE!</v>
      </c>
      <c r="T54" t="e">
        <f>AND('Planilla_General_03-12-2012_9_3'!C850,"AAAAAC33txM=")</f>
        <v>#VALUE!</v>
      </c>
      <c r="U54" t="e">
        <f>AND('Planilla_General_03-12-2012_9_3'!D850,"AAAAAC33txQ=")</f>
        <v>#VALUE!</v>
      </c>
      <c r="V54" t="e">
        <f>AND('Planilla_General_03-12-2012_9_3'!E850,"AAAAAC33txU=")</f>
        <v>#VALUE!</v>
      </c>
      <c r="W54" t="e">
        <f>AND('Planilla_General_03-12-2012_9_3'!F850,"AAAAAC33txY=")</f>
        <v>#VALUE!</v>
      </c>
      <c r="X54" t="e">
        <f>AND('Planilla_General_03-12-2012_9_3'!G850,"AAAAAC33txc=")</f>
        <v>#VALUE!</v>
      </c>
      <c r="Y54" t="e">
        <f>AND('Planilla_General_03-12-2012_9_3'!H850,"AAAAAC33txg=")</f>
        <v>#VALUE!</v>
      </c>
      <c r="Z54" t="e">
        <f>AND('Planilla_General_03-12-2012_9_3'!I850,"AAAAAC33txk=")</f>
        <v>#VALUE!</v>
      </c>
      <c r="AA54" t="e">
        <f>AND('Planilla_General_03-12-2012_9_3'!J850,"AAAAAC33txo=")</f>
        <v>#VALUE!</v>
      </c>
      <c r="AB54" t="e">
        <f>AND('Planilla_General_03-12-2012_9_3'!K850,"AAAAAC33txs=")</f>
        <v>#VALUE!</v>
      </c>
      <c r="AC54" t="e">
        <f>AND('Planilla_General_03-12-2012_9_3'!L850,"AAAAAC33txw=")</f>
        <v>#VALUE!</v>
      </c>
      <c r="AD54" t="e">
        <f>AND('Planilla_General_03-12-2012_9_3'!M850,"AAAAAC33tx0=")</f>
        <v>#VALUE!</v>
      </c>
      <c r="AE54" t="e">
        <f>AND('Planilla_General_03-12-2012_9_3'!N850,"AAAAAC33tx4=")</f>
        <v>#VALUE!</v>
      </c>
      <c r="AF54" t="e">
        <f>AND('Planilla_General_03-12-2012_9_3'!O850,"AAAAAC33tx8=")</f>
        <v>#VALUE!</v>
      </c>
      <c r="AG54">
        <f>IF('Planilla_General_03-12-2012_9_3'!851:851,"AAAAAC33tyA=",0)</f>
        <v>0</v>
      </c>
      <c r="AH54" t="e">
        <f>AND('Planilla_General_03-12-2012_9_3'!A851,"AAAAAC33tyE=")</f>
        <v>#VALUE!</v>
      </c>
      <c r="AI54" t="e">
        <f>AND('Planilla_General_03-12-2012_9_3'!B851,"AAAAAC33tyI=")</f>
        <v>#VALUE!</v>
      </c>
      <c r="AJ54" t="e">
        <f>AND('Planilla_General_03-12-2012_9_3'!C851,"AAAAAC33tyM=")</f>
        <v>#VALUE!</v>
      </c>
      <c r="AK54" t="e">
        <f>AND('Planilla_General_03-12-2012_9_3'!D851,"AAAAAC33tyQ=")</f>
        <v>#VALUE!</v>
      </c>
      <c r="AL54" t="e">
        <f>AND('Planilla_General_03-12-2012_9_3'!E851,"AAAAAC33tyU=")</f>
        <v>#VALUE!</v>
      </c>
      <c r="AM54" t="e">
        <f>AND('Planilla_General_03-12-2012_9_3'!F851,"AAAAAC33tyY=")</f>
        <v>#VALUE!</v>
      </c>
      <c r="AN54" t="e">
        <f>AND('Planilla_General_03-12-2012_9_3'!G851,"AAAAAC33tyc=")</f>
        <v>#VALUE!</v>
      </c>
      <c r="AO54" t="e">
        <f>AND('Planilla_General_03-12-2012_9_3'!H851,"AAAAAC33tyg=")</f>
        <v>#VALUE!</v>
      </c>
      <c r="AP54" t="e">
        <f>AND('Planilla_General_03-12-2012_9_3'!I851,"AAAAAC33tyk=")</f>
        <v>#VALUE!</v>
      </c>
      <c r="AQ54" t="e">
        <f>AND('Planilla_General_03-12-2012_9_3'!J851,"AAAAAC33tyo=")</f>
        <v>#VALUE!</v>
      </c>
      <c r="AR54" t="e">
        <f>AND('Planilla_General_03-12-2012_9_3'!K851,"AAAAAC33tys=")</f>
        <v>#VALUE!</v>
      </c>
      <c r="AS54" t="e">
        <f>AND('Planilla_General_03-12-2012_9_3'!L851,"AAAAAC33tyw=")</f>
        <v>#VALUE!</v>
      </c>
      <c r="AT54" t="e">
        <f>AND('Planilla_General_03-12-2012_9_3'!M851,"AAAAAC33ty0=")</f>
        <v>#VALUE!</v>
      </c>
      <c r="AU54" t="e">
        <f>AND('Planilla_General_03-12-2012_9_3'!N851,"AAAAAC33ty4=")</f>
        <v>#VALUE!</v>
      </c>
      <c r="AV54" t="e">
        <f>AND('Planilla_General_03-12-2012_9_3'!O851,"AAAAAC33ty8=")</f>
        <v>#VALUE!</v>
      </c>
      <c r="AW54">
        <f>IF('Planilla_General_03-12-2012_9_3'!852:852,"AAAAAC33tzA=",0)</f>
        <v>0</v>
      </c>
      <c r="AX54" t="e">
        <f>AND('Planilla_General_03-12-2012_9_3'!A852,"AAAAAC33tzE=")</f>
        <v>#VALUE!</v>
      </c>
      <c r="AY54" t="e">
        <f>AND('Planilla_General_03-12-2012_9_3'!B852,"AAAAAC33tzI=")</f>
        <v>#VALUE!</v>
      </c>
      <c r="AZ54" t="e">
        <f>AND('Planilla_General_03-12-2012_9_3'!C852,"AAAAAC33tzM=")</f>
        <v>#VALUE!</v>
      </c>
      <c r="BA54" t="e">
        <f>AND('Planilla_General_03-12-2012_9_3'!D852,"AAAAAC33tzQ=")</f>
        <v>#VALUE!</v>
      </c>
      <c r="BB54" t="e">
        <f>AND('Planilla_General_03-12-2012_9_3'!E852,"AAAAAC33tzU=")</f>
        <v>#VALUE!</v>
      </c>
      <c r="BC54" t="e">
        <f>AND('Planilla_General_03-12-2012_9_3'!F852,"AAAAAC33tzY=")</f>
        <v>#VALUE!</v>
      </c>
      <c r="BD54" t="e">
        <f>AND('Planilla_General_03-12-2012_9_3'!G852,"AAAAAC33tzc=")</f>
        <v>#VALUE!</v>
      </c>
      <c r="BE54" t="e">
        <f>AND('Planilla_General_03-12-2012_9_3'!H852,"AAAAAC33tzg=")</f>
        <v>#VALUE!</v>
      </c>
      <c r="BF54" t="e">
        <f>AND('Planilla_General_03-12-2012_9_3'!I852,"AAAAAC33tzk=")</f>
        <v>#VALUE!</v>
      </c>
      <c r="BG54" t="e">
        <f>AND('Planilla_General_03-12-2012_9_3'!J852,"AAAAAC33tzo=")</f>
        <v>#VALUE!</v>
      </c>
      <c r="BH54" t="e">
        <f>AND('Planilla_General_03-12-2012_9_3'!K852,"AAAAAC33tzs=")</f>
        <v>#VALUE!</v>
      </c>
      <c r="BI54" t="e">
        <f>AND('Planilla_General_03-12-2012_9_3'!L852,"AAAAAC33tzw=")</f>
        <v>#VALUE!</v>
      </c>
      <c r="BJ54" t="e">
        <f>AND('Planilla_General_03-12-2012_9_3'!M852,"AAAAAC33tz0=")</f>
        <v>#VALUE!</v>
      </c>
      <c r="BK54" t="e">
        <f>AND('Planilla_General_03-12-2012_9_3'!N852,"AAAAAC33tz4=")</f>
        <v>#VALUE!</v>
      </c>
      <c r="BL54" t="e">
        <f>AND('Planilla_General_03-12-2012_9_3'!O852,"AAAAAC33tz8=")</f>
        <v>#VALUE!</v>
      </c>
      <c r="BM54">
        <f>IF('Planilla_General_03-12-2012_9_3'!853:853,"AAAAAC33t0A=",0)</f>
        <v>0</v>
      </c>
      <c r="BN54" t="e">
        <f>AND('Planilla_General_03-12-2012_9_3'!A853,"AAAAAC33t0E=")</f>
        <v>#VALUE!</v>
      </c>
      <c r="BO54" t="e">
        <f>AND('Planilla_General_03-12-2012_9_3'!B853,"AAAAAC33t0I=")</f>
        <v>#VALUE!</v>
      </c>
      <c r="BP54" t="e">
        <f>AND('Planilla_General_03-12-2012_9_3'!C853,"AAAAAC33t0M=")</f>
        <v>#VALUE!</v>
      </c>
      <c r="BQ54" t="e">
        <f>AND('Planilla_General_03-12-2012_9_3'!D853,"AAAAAC33t0Q=")</f>
        <v>#VALUE!</v>
      </c>
      <c r="BR54" t="e">
        <f>AND('Planilla_General_03-12-2012_9_3'!E853,"AAAAAC33t0U=")</f>
        <v>#VALUE!</v>
      </c>
      <c r="BS54" t="e">
        <f>AND('Planilla_General_03-12-2012_9_3'!F853,"AAAAAC33t0Y=")</f>
        <v>#VALUE!</v>
      </c>
      <c r="BT54" t="e">
        <f>AND('Planilla_General_03-12-2012_9_3'!G853,"AAAAAC33t0c=")</f>
        <v>#VALUE!</v>
      </c>
      <c r="BU54" t="e">
        <f>AND('Planilla_General_03-12-2012_9_3'!H853,"AAAAAC33t0g=")</f>
        <v>#VALUE!</v>
      </c>
      <c r="BV54" t="e">
        <f>AND('Planilla_General_03-12-2012_9_3'!I853,"AAAAAC33t0k=")</f>
        <v>#VALUE!</v>
      </c>
      <c r="BW54" t="e">
        <f>AND('Planilla_General_03-12-2012_9_3'!J853,"AAAAAC33t0o=")</f>
        <v>#VALUE!</v>
      </c>
      <c r="BX54" t="e">
        <f>AND('Planilla_General_03-12-2012_9_3'!K853,"AAAAAC33t0s=")</f>
        <v>#VALUE!</v>
      </c>
      <c r="BY54" t="e">
        <f>AND('Planilla_General_03-12-2012_9_3'!L853,"AAAAAC33t0w=")</f>
        <v>#VALUE!</v>
      </c>
      <c r="BZ54" t="e">
        <f>AND('Planilla_General_03-12-2012_9_3'!M853,"AAAAAC33t00=")</f>
        <v>#VALUE!</v>
      </c>
      <c r="CA54" t="e">
        <f>AND('Planilla_General_03-12-2012_9_3'!N853,"AAAAAC33t04=")</f>
        <v>#VALUE!</v>
      </c>
      <c r="CB54" t="e">
        <f>AND('Planilla_General_03-12-2012_9_3'!O853,"AAAAAC33t08=")</f>
        <v>#VALUE!</v>
      </c>
      <c r="CC54">
        <f>IF('Planilla_General_03-12-2012_9_3'!854:854,"AAAAAC33t1A=",0)</f>
        <v>0</v>
      </c>
      <c r="CD54" t="e">
        <f>AND('Planilla_General_03-12-2012_9_3'!A854,"AAAAAC33t1E=")</f>
        <v>#VALUE!</v>
      </c>
      <c r="CE54" t="e">
        <f>AND('Planilla_General_03-12-2012_9_3'!B854,"AAAAAC33t1I=")</f>
        <v>#VALUE!</v>
      </c>
      <c r="CF54" t="e">
        <f>AND('Planilla_General_03-12-2012_9_3'!C854,"AAAAAC33t1M=")</f>
        <v>#VALUE!</v>
      </c>
      <c r="CG54" t="e">
        <f>AND('Planilla_General_03-12-2012_9_3'!D854,"AAAAAC33t1Q=")</f>
        <v>#VALUE!</v>
      </c>
      <c r="CH54" t="e">
        <f>AND('Planilla_General_03-12-2012_9_3'!E854,"AAAAAC33t1U=")</f>
        <v>#VALUE!</v>
      </c>
      <c r="CI54" t="e">
        <f>AND('Planilla_General_03-12-2012_9_3'!F854,"AAAAAC33t1Y=")</f>
        <v>#VALUE!</v>
      </c>
      <c r="CJ54" t="e">
        <f>AND('Planilla_General_03-12-2012_9_3'!G854,"AAAAAC33t1c=")</f>
        <v>#VALUE!</v>
      </c>
      <c r="CK54" t="e">
        <f>AND('Planilla_General_03-12-2012_9_3'!H854,"AAAAAC33t1g=")</f>
        <v>#VALUE!</v>
      </c>
      <c r="CL54" t="e">
        <f>AND('Planilla_General_03-12-2012_9_3'!I854,"AAAAAC33t1k=")</f>
        <v>#VALUE!</v>
      </c>
      <c r="CM54" t="e">
        <f>AND('Planilla_General_03-12-2012_9_3'!J854,"AAAAAC33t1o=")</f>
        <v>#VALUE!</v>
      </c>
      <c r="CN54" t="e">
        <f>AND('Planilla_General_03-12-2012_9_3'!K854,"AAAAAC33t1s=")</f>
        <v>#VALUE!</v>
      </c>
      <c r="CO54" t="e">
        <f>AND('Planilla_General_03-12-2012_9_3'!L854,"AAAAAC33t1w=")</f>
        <v>#VALUE!</v>
      </c>
      <c r="CP54" t="e">
        <f>AND('Planilla_General_03-12-2012_9_3'!M854,"AAAAAC33t10=")</f>
        <v>#VALUE!</v>
      </c>
      <c r="CQ54" t="e">
        <f>AND('Planilla_General_03-12-2012_9_3'!N854,"AAAAAC33t14=")</f>
        <v>#VALUE!</v>
      </c>
      <c r="CR54" t="e">
        <f>AND('Planilla_General_03-12-2012_9_3'!O854,"AAAAAC33t18=")</f>
        <v>#VALUE!</v>
      </c>
      <c r="CS54">
        <f>IF('Planilla_General_03-12-2012_9_3'!855:855,"AAAAAC33t2A=",0)</f>
        <v>0</v>
      </c>
      <c r="CT54" t="e">
        <f>AND('Planilla_General_03-12-2012_9_3'!A855,"AAAAAC33t2E=")</f>
        <v>#VALUE!</v>
      </c>
      <c r="CU54" t="e">
        <f>AND('Planilla_General_03-12-2012_9_3'!B855,"AAAAAC33t2I=")</f>
        <v>#VALUE!</v>
      </c>
      <c r="CV54" t="e">
        <f>AND('Planilla_General_03-12-2012_9_3'!C855,"AAAAAC33t2M=")</f>
        <v>#VALUE!</v>
      </c>
      <c r="CW54" t="e">
        <f>AND('Planilla_General_03-12-2012_9_3'!D855,"AAAAAC33t2Q=")</f>
        <v>#VALUE!</v>
      </c>
      <c r="CX54" t="e">
        <f>AND('Planilla_General_03-12-2012_9_3'!E855,"AAAAAC33t2U=")</f>
        <v>#VALUE!</v>
      </c>
      <c r="CY54" t="e">
        <f>AND('Planilla_General_03-12-2012_9_3'!F855,"AAAAAC33t2Y=")</f>
        <v>#VALUE!</v>
      </c>
      <c r="CZ54" t="e">
        <f>AND('Planilla_General_03-12-2012_9_3'!G855,"AAAAAC33t2c=")</f>
        <v>#VALUE!</v>
      </c>
      <c r="DA54" t="e">
        <f>AND('Planilla_General_03-12-2012_9_3'!H855,"AAAAAC33t2g=")</f>
        <v>#VALUE!</v>
      </c>
      <c r="DB54" t="e">
        <f>AND('Planilla_General_03-12-2012_9_3'!I855,"AAAAAC33t2k=")</f>
        <v>#VALUE!</v>
      </c>
      <c r="DC54" t="e">
        <f>AND('Planilla_General_03-12-2012_9_3'!J855,"AAAAAC33t2o=")</f>
        <v>#VALUE!</v>
      </c>
      <c r="DD54" t="e">
        <f>AND('Planilla_General_03-12-2012_9_3'!K855,"AAAAAC33t2s=")</f>
        <v>#VALUE!</v>
      </c>
      <c r="DE54" t="e">
        <f>AND('Planilla_General_03-12-2012_9_3'!L855,"AAAAAC33t2w=")</f>
        <v>#VALUE!</v>
      </c>
      <c r="DF54" t="e">
        <f>AND('Planilla_General_03-12-2012_9_3'!M855,"AAAAAC33t20=")</f>
        <v>#VALUE!</v>
      </c>
      <c r="DG54" t="e">
        <f>AND('Planilla_General_03-12-2012_9_3'!N855,"AAAAAC33t24=")</f>
        <v>#VALUE!</v>
      </c>
      <c r="DH54" t="e">
        <f>AND('Planilla_General_03-12-2012_9_3'!O855,"AAAAAC33t28=")</f>
        <v>#VALUE!</v>
      </c>
      <c r="DI54">
        <f>IF('Planilla_General_03-12-2012_9_3'!856:856,"AAAAAC33t3A=",0)</f>
        <v>0</v>
      </c>
      <c r="DJ54" t="e">
        <f>AND('Planilla_General_03-12-2012_9_3'!A856,"AAAAAC33t3E=")</f>
        <v>#VALUE!</v>
      </c>
      <c r="DK54" t="e">
        <f>AND('Planilla_General_03-12-2012_9_3'!B856,"AAAAAC33t3I=")</f>
        <v>#VALUE!</v>
      </c>
      <c r="DL54" t="e">
        <f>AND('Planilla_General_03-12-2012_9_3'!C856,"AAAAAC33t3M=")</f>
        <v>#VALUE!</v>
      </c>
      <c r="DM54" t="e">
        <f>AND('Planilla_General_03-12-2012_9_3'!D856,"AAAAAC33t3Q=")</f>
        <v>#VALUE!</v>
      </c>
      <c r="DN54" t="e">
        <f>AND('Planilla_General_03-12-2012_9_3'!E856,"AAAAAC33t3U=")</f>
        <v>#VALUE!</v>
      </c>
      <c r="DO54" t="e">
        <f>AND('Planilla_General_03-12-2012_9_3'!F856,"AAAAAC33t3Y=")</f>
        <v>#VALUE!</v>
      </c>
      <c r="DP54" t="e">
        <f>AND('Planilla_General_03-12-2012_9_3'!G856,"AAAAAC33t3c=")</f>
        <v>#VALUE!</v>
      </c>
      <c r="DQ54" t="e">
        <f>AND('Planilla_General_03-12-2012_9_3'!H856,"AAAAAC33t3g=")</f>
        <v>#VALUE!</v>
      </c>
      <c r="DR54" t="e">
        <f>AND('Planilla_General_03-12-2012_9_3'!I856,"AAAAAC33t3k=")</f>
        <v>#VALUE!</v>
      </c>
      <c r="DS54" t="e">
        <f>AND('Planilla_General_03-12-2012_9_3'!J856,"AAAAAC33t3o=")</f>
        <v>#VALUE!</v>
      </c>
      <c r="DT54" t="e">
        <f>AND('Planilla_General_03-12-2012_9_3'!K856,"AAAAAC33t3s=")</f>
        <v>#VALUE!</v>
      </c>
      <c r="DU54" t="e">
        <f>AND('Planilla_General_03-12-2012_9_3'!L856,"AAAAAC33t3w=")</f>
        <v>#VALUE!</v>
      </c>
      <c r="DV54" t="e">
        <f>AND('Planilla_General_03-12-2012_9_3'!M856,"AAAAAC33t30=")</f>
        <v>#VALUE!</v>
      </c>
      <c r="DW54" t="e">
        <f>AND('Planilla_General_03-12-2012_9_3'!N856,"AAAAAC33t34=")</f>
        <v>#VALUE!</v>
      </c>
      <c r="DX54" t="e">
        <f>AND('Planilla_General_03-12-2012_9_3'!O856,"AAAAAC33t38=")</f>
        <v>#VALUE!</v>
      </c>
      <c r="DY54">
        <f>IF('Planilla_General_03-12-2012_9_3'!857:857,"AAAAAC33t4A=",0)</f>
        <v>0</v>
      </c>
      <c r="DZ54" t="e">
        <f>AND('Planilla_General_03-12-2012_9_3'!A857,"AAAAAC33t4E=")</f>
        <v>#VALUE!</v>
      </c>
      <c r="EA54" t="e">
        <f>AND('Planilla_General_03-12-2012_9_3'!B857,"AAAAAC33t4I=")</f>
        <v>#VALUE!</v>
      </c>
      <c r="EB54" t="e">
        <f>AND('Planilla_General_03-12-2012_9_3'!C857,"AAAAAC33t4M=")</f>
        <v>#VALUE!</v>
      </c>
      <c r="EC54" t="e">
        <f>AND('Planilla_General_03-12-2012_9_3'!D857,"AAAAAC33t4Q=")</f>
        <v>#VALUE!</v>
      </c>
      <c r="ED54" t="e">
        <f>AND('Planilla_General_03-12-2012_9_3'!E857,"AAAAAC33t4U=")</f>
        <v>#VALUE!</v>
      </c>
      <c r="EE54" t="e">
        <f>AND('Planilla_General_03-12-2012_9_3'!F857,"AAAAAC33t4Y=")</f>
        <v>#VALUE!</v>
      </c>
      <c r="EF54" t="e">
        <f>AND('Planilla_General_03-12-2012_9_3'!G857,"AAAAAC33t4c=")</f>
        <v>#VALUE!</v>
      </c>
      <c r="EG54" t="e">
        <f>AND('Planilla_General_03-12-2012_9_3'!H857,"AAAAAC33t4g=")</f>
        <v>#VALUE!</v>
      </c>
      <c r="EH54" t="e">
        <f>AND('Planilla_General_03-12-2012_9_3'!I857,"AAAAAC33t4k=")</f>
        <v>#VALUE!</v>
      </c>
      <c r="EI54" t="e">
        <f>AND('Planilla_General_03-12-2012_9_3'!J857,"AAAAAC33t4o=")</f>
        <v>#VALUE!</v>
      </c>
      <c r="EJ54" t="e">
        <f>AND('Planilla_General_03-12-2012_9_3'!K857,"AAAAAC33t4s=")</f>
        <v>#VALUE!</v>
      </c>
      <c r="EK54" t="e">
        <f>AND('Planilla_General_03-12-2012_9_3'!L857,"AAAAAC33t4w=")</f>
        <v>#VALUE!</v>
      </c>
      <c r="EL54" t="e">
        <f>AND('Planilla_General_03-12-2012_9_3'!M857,"AAAAAC33t40=")</f>
        <v>#VALUE!</v>
      </c>
      <c r="EM54" t="e">
        <f>AND('Planilla_General_03-12-2012_9_3'!N857,"AAAAAC33t44=")</f>
        <v>#VALUE!</v>
      </c>
      <c r="EN54" t="e">
        <f>AND('Planilla_General_03-12-2012_9_3'!O857,"AAAAAC33t48=")</f>
        <v>#VALUE!</v>
      </c>
      <c r="EO54">
        <f>IF('Planilla_General_03-12-2012_9_3'!858:858,"AAAAAC33t5A=",0)</f>
        <v>0</v>
      </c>
      <c r="EP54" t="e">
        <f>AND('Planilla_General_03-12-2012_9_3'!A858,"AAAAAC33t5E=")</f>
        <v>#VALUE!</v>
      </c>
      <c r="EQ54" t="e">
        <f>AND('Planilla_General_03-12-2012_9_3'!B858,"AAAAAC33t5I=")</f>
        <v>#VALUE!</v>
      </c>
      <c r="ER54" t="e">
        <f>AND('Planilla_General_03-12-2012_9_3'!C858,"AAAAAC33t5M=")</f>
        <v>#VALUE!</v>
      </c>
      <c r="ES54" t="e">
        <f>AND('Planilla_General_03-12-2012_9_3'!D858,"AAAAAC33t5Q=")</f>
        <v>#VALUE!</v>
      </c>
      <c r="ET54" t="e">
        <f>AND('Planilla_General_03-12-2012_9_3'!E858,"AAAAAC33t5U=")</f>
        <v>#VALUE!</v>
      </c>
      <c r="EU54" t="e">
        <f>AND('Planilla_General_03-12-2012_9_3'!F858,"AAAAAC33t5Y=")</f>
        <v>#VALUE!</v>
      </c>
      <c r="EV54" t="e">
        <f>AND('Planilla_General_03-12-2012_9_3'!G858,"AAAAAC33t5c=")</f>
        <v>#VALUE!</v>
      </c>
      <c r="EW54" t="e">
        <f>AND('Planilla_General_03-12-2012_9_3'!H858,"AAAAAC33t5g=")</f>
        <v>#VALUE!</v>
      </c>
      <c r="EX54" t="e">
        <f>AND('Planilla_General_03-12-2012_9_3'!I858,"AAAAAC33t5k=")</f>
        <v>#VALUE!</v>
      </c>
      <c r="EY54" t="e">
        <f>AND('Planilla_General_03-12-2012_9_3'!J858,"AAAAAC33t5o=")</f>
        <v>#VALUE!</v>
      </c>
      <c r="EZ54" t="e">
        <f>AND('Planilla_General_03-12-2012_9_3'!K858,"AAAAAC33t5s=")</f>
        <v>#VALUE!</v>
      </c>
      <c r="FA54" t="e">
        <f>AND('Planilla_General_03-12-2012_9_3'!L858,"AAAAAC33t5w=")</f>
        <v>#VALUE!</v>
      </c>
      <c r="FB54" t="e">
        <f>AND('Planilla_General_03-12-2012_9_3'!M858,"AAAAAC33t50=")</f>
        <v>#VALUE!</v>
      </c>
      <c r="FC54" t="e">
        <f>AND('Planilla_General_03-12-2012_9_3'!N858,"AAAAAC33t54=")</f>
        <v>#VALUE!</v>
      </c>
      <c r="FD54" t="e">
        <f>AND('Planilla_General_03-12-2012_9_3'!O858,"AAAAAC33t58=")</f>
        <v>#VALUE!</v>
      </c>
      <c r="FE54">
        <f>IF('Planilla_General_03-12-2012_9_3'!859:859,"AAAAAC33t6A=",0)</f>
        <v>0</v>
      </c>
      <c r="FF54" t="e">
        <f>AND('Planilla_General_03-12-2012_9_3'!A859,"AAAAAC33t6E=")</f>
        <v>#VALUE!</v>
      </c>
      <c r="FG54" t="e">
        <f>AND('Planilla_General_03-12-2012_9_3'!B859,"AAAAAC33t6I=")</f>
        <v>#VALUE!</v>
      </c>
      <c r="FH54" t="e">
        <f>AND('Planilla_General_03-12-2012_9_3'!C859,"AAAAAC33t6M=")</f>
        <v>#VALUE!</v>
      </c>
      <c r="FI54" t="e">
        <f>AND('Planilla_General_03-12-2012_9_3'!D859,"AAAAAC33t6Q=")</f>
        <v>#VALUE!</v>
      </c>
      <c r="FJ54" t="e">
        <f>AND('Planilla_General_03-12-2012_9_3'!E859,"AAAAAC33t6U=")</f>
        <v>#VALUE!</v>
      </c>
      <c r="FK54" t="e">
        <f>AND('Planilla_General_03-12-2012_9_3'!F859,"AAAAAC33t6Y=")</f>
        <v>#VALUE!</v>
      </c>
      <c r="FL54" t="e">
        <f>AND('Planilla_General_03-12-2012_9_3'!G859,"AAAAAC33t6c=")</f>
        <v>#VALUE!</v>
      </c>
      <c r="FM54" t="e">
        <f>AND('Planilla_General_03-12-2012_9_3'!H859,"AAAAAC33t6g=")</f>
        <v>#VALUE!</v>
      </c>
      <c r="FN54" t="e">
        <f>AND('Planilla_General_03-12-2012_9_3'!I859,"AAAAAC33t6k=")</f>
        <v>#VALUE!</v>
      </c>
      <c r="FO54" t="e">
        <f>AND('Planilla_General_03-12-2012_9_3'!J859,"AAAAAC33t6o=")</f>
        <v>#VALUE!</v>
      </c>
      <c r="FP54" t="e">
        <f>AND('Planilla_General_03-12-2012_9_3'!K859,"AAAAAC33t6s=")</f>
        <v>#VALUE!</v>
      </c>
      <c r="FQ54" t="e">
        <f>AND('Planilla_General_03-12-2012_9_3'!L859,"AAAAAC33t6w=")</f>
        <v>#VALUE!</v>
      </c>
      <c r="FR54" t="e">
        <f>AND('Planilla_General_03-12-2012_9_3'!M859,"AAAAAC33t60=")</f>
        <v>#VALUE!</v>
      </c>
      <c r="FS54" t="e">
        <f>AND('Planilla_General_03-12-2012_9_3'!N859,"AAAAAC33t64=")</f>
        <v>#VALUE!</v>
      </c>
      <c r="FT54" t="e">
        <f>AND('Planilla_General_03-12-2012_9_3'!O859,"AAAAAC33t68=")</f>
        <v>#VALUE!</v>
      </c>
      <c r="FU54">
        <f>IF('Planilla_General_03-12-2012_9_3'!860:860,"AAAAAC33t7A=",0)</f>
        <v>0</v>
      </c>
      <c r="FV54" t="e">
        <f>AND('Planilla_General_03-12-2012_9_3'!A860,"AAAAAC33t7E=")</f>
        <v>#VALUE!</v>
      </c>
      <c r="FW54" t="e">
        <f>AND('Planilla_General_03-12-2012_9_3'!B860,"AAAAAC33t7I=")</f>
        <v>#VALUE!</v>
      </c>
      <c r="FX54" t="e">
        <f>AND('Planilla_General_03-12-2012_9_3'!C860,"AAAAAC33t7M=")</f>
        <v>#VALUE!</v>
      </c>
      <c r="FY54" t="e">
        <f>AND('Planilla_General_03-12-2012_9_3'!D860,"AAAAAC33t7Q=")</f>
        <v>#VALUE!</v>
      </c>
      <c r="FZ54" t="e">
        <f>AND('Planilla_General_03-12-2012_9_3'!E860,"AAAAAC33t7U=")</f>
        <v>#VALUE!</v>
      </c>
      <c r="GA54" t="e">
        <f>AND('Planilla_General_03-12-2012_9_3'!F860,"AAAAAC33t7Y=")</f>
        <v>#VALUE!</v>
      </c>
      <c r="GB54" t="e">
        <f>AND('Planilla_General_03-12-2012_9_3'!G860,"AAAAAC33t7c=")</f>
        <v>#VALUE!</v>
      </c>
      <c r="GC54" t="e">
        <f>AND('Planilla_General_03-12-2012_9_3'!H860,"AAAAAC33t7g=")</f>
        <v>#VALUE!</v>
      </c>
      <c r="GD54" t="e">
        <f>AND('Planilla_General_03-12-2012_9_3'!I860,"AAAAAC33t7k=")</f>
        <v>#VALUE!</v>
      </c>
      <c r="GE54" t="e">
        <f>AND('Planilla_General_03-12-2012_9_3'!J860,"AAAAAC33t7o=")</f>
        <v>#VALUE!</v>
      </c>
      <c r="GF54" t="e">
        <f>AND('Planilla_General_03-12-2012_9_3'!K860,"AAAAAC33t7s=")</f>
        <v>#VALUE!</v>
      </c>
      <c r="GG54" t="e">
        <f>AND('Planilla_General_03-12-2012_9_3'!L860,"AAAAAC33t7w=")</f>
        <v>#VALUE!</v>
      </c>
      <c r="GH54" t="e">
        <f>AND('Planilla_General_03-12-2012_9_3'!M860,"AAAAAC33t70=")</f>
        <v>#VALUE!</v>
      </c>
      <c r="GI54" t="e">
        <f>AND('Planilla_General_03-12-2012_9_3'!N860,"AAAAAC33t74=")</f>
        <v>#VALUE!</v>
      </c>
      <c r="GJ54" t="e">
        <f>AND('Planilla_General_03-12-2012_9_3'!O860,"AAAAAC33t78=")</f>
        <v>#VALUE!</v>
      </c>
      <c r="GK54">
        <f>IF('Planilla_General_03-12-2012_9_3'!861:861,"AAAAAC33t8A=",0)</f>
        <v>0</v>
      </c>
      <c r="GL54" t="e">
        <f>AND('Planilla_General_03-12-2012_9_3'!A861,"AAAAAC33t8E=")</f>
        <v>#VALUE!</v>
      </c>
      <c r="GM54" t="e">
        <f>AND('Planilla_General_03-12-2012_9_3'!B861,"AAAAAC33t8I=")</f>
        <v>#VALUE!</v>
      </c>
      <c r="GN54" t="e">
        <f>AND('Planilla_General_03-12-2012_9_3'!C861,"AAAAAC33t8M=")</f>
        <v>#VALUE!</v>
      </c>
      <c r="GO54" t="e">
        <f>AND('Planilla_General_03-12-2012_9_3'!D861,"AAAAAC33t8Q=")</f>
        <v>#VALUE!</v>
      </c>
      <c r="GP54" t="e">
        <f>AND('Planilla_General_03-12-2012_9_3'!E861,"AAAAAC33t8U=")</f>
        <v>#VALUE!</v>
      </c>
      <c r="GQ54" t="e">
        <f>AND('Planilla_General_03-12-2012_9_3'!F861,"AAAAAC33t8Y=")</f>
        <v>#VALUE!</v>
      </c>
      <c r="GR54" t="e">
        <f>AND('Planilla_General_03-12-2012_9_3'!G861,"AAAAAC33t8c=")</f>
        <v>#VALUE!</v>
      </c>
      <c r="GS54" t="e">
        <f>AND('Planilla_General_03-12-2012_9_3'!H861,"AAAAAC33t8g=")</f>
        <v>#VALUE!</v>
      </c>
      <c r="GT54" t="e">
        <f>AND('Planilla_General_03-12-2012_9_3'!I861,"AAAAAC33t8k=")</f>
        <v>#VALUE!</v>
      </c>
      <c r="GU54" t="e">
        <f>AND('Planilla_General_03-12-2012_9_3'!J861,"AAAAAC33t8o=")</f>
        <v>#VALUE!</v>
      </c>
      <c r="GV54" t="e">
        <f>AND('Planilla_General_03-12-2012_9_3'!K861,"AAAAAC33t8s=")</f>
        <v>#VALUE!</v>
      </c>
      <c r="GW54" t="e">
        <f>AND('Planilla_General_03-12-2012_9_3'!L861,"AAAAAC33t8w=")</f>
        <v>#VALUE!</v>
      </c>
      <c r="GX54" t="e">
        <f>AND('Planilla_General_03-12-2012_9_3'!M861,"AAAAAC33t80=")</f>
        <v>#VALUE!</v>
      </c>
      <c r="GY54" t="e">
        <f>AND('Planilla_General_03-12-2012_9_3'!N861,"AAAAAC33t84=")</f>
        <v>#VALUE!</v>
      </c>
      <c r="GZ54" t="e">
        <f>AND('Planilla_General_03-12-2012_9_3'!O861,"AAAAAC33t88=")</f>
        <v>#VALUE!</v>
      </c>
      <c r="HA54">
        <f>IF('Planilla_General_03-12-2012_9_3'!862:862,"AAAAAC33t9A=",0)</f>
        <v>0</v>
      </c>
      <c r="HB54" t="e">
        <f>AND('Planilla_General_03-12-2012_9_3'!A862,"AAAAAC33t9E=")</f>
        <v>#VALUE!</v>
      </c>
      <c r="HC54" t="e">
        <f>AND('Planilla_General_03-12-2012_9_3'!B862,"AAAAAC33t9I=")</f>
        <v>#VALUE!</v>
      </c>
      <c r="HD54" t="e">
        <f>AND('Planilla_General_03-12-2012_9_3'!C862,"AAAAAC33t9M=")</f>
        <v>#VALUE!</v>
      </c>
      <c r="HE54" t="e">
        <f>AND('Planilla_General_03-12-2012_9_3'!D862,"AAAAAC33t9Q=")</f>
        <v>#VALUE!</v>
      </c>
      <c r="HF54" t="e">
        <f>AND('Planilla_General_03-12-2012_9_3'!E862,"AAAAAC33t9U=")</f>
        <v>#VALUE!</v>
      </c>
      <c r="HG54" t="e">
        <f>AND('Planilla_General_03-12-2012_9_3'!F862,"AAAAAC33t9Y=")</f>
        <v>#VALUE!</v>
      </c>
      <c r="HH54" t="e">
        <f>AND('Planilla_General_03-12-2012_9_3'!G862,"AAAAAC33t9c=")</f>
        <v>#VALUE!</v>
      </c>
      <c r="HI54" t="e">
        <f>AND('Planilla_General_03-12-2012_9_3'!H862,"AAAAAC33t9g=")</f>
        <v>#VALUE!</v>
      </c>
      <c r="HJ54" t="e">
        <f>AND('Planilla_General_03-12-2012_9_3'!I862,"AAAAAC33t9k=")</f>
        <v>#VALUE!</v>
      </c>
      <c r="HK54" t="e">
        <f>AND('Planilla_General_03-12-2012_9_3'!J862,"AAAAAC33t9o=")</f>
        <v>#VALUE!</v>
      </c>
      <c r="HL54" t="e">
        <f>AND('Planilla_General_03-12-2012_9_3'!K862,"AAAAAC33t9s=")</f>
        <v>#VALUE!</v>
      </c>
      <c r="HM54" t="e">
        <f>AND('Planilla_General_03-12-2012_9_3'!L862,"AAAAAC33t9w=")</f>
        <v>#VALUE!</v>
      </c>
      <c r="HN54" t="e">
        <f>AND('Planilla_General_03-12-2012_9_3'!M862,"AAAAAC33t90=")</f>
        <v>#VALUE!</v>
      </c>
      <c r="HO54" t="e">
        <f>AND('Planilla_General_03-12-2012_9_3'!N862,"AAAAAC33t94=")</f>
        <v>#VALUE!</v>
      </c>
      <c r="HP54" t="e">
        <f>AND('Planilla_General_03-12-2012_9_3'!O862,"AAAAAC33t98=")</f>
        <v>#VALUE!</v>
      </c>
      <c r="HQ54">
        <f>IF('Planilla_General_03-12-2012_9_3'!863:863,"AAAAAC33t+A=",0)</f>
        <v>0</v>
      </c>
      <c r="HR54" t="e">
        <f>AND('Planilla_General_03-12-2012_9_3'!A863,"AAAAAC33t+E=")</f>
        <v>#VALUE!</v>
      </c>
      <c r="HS54" t="e">
        <f>AND('Planilla_General_03-12-2012_9_3'!B863,"AAAAAC33t+I=")</f>
        <v>#VALUE!</v>
      </c>
      <c r="HT54" t="e">
        <f>AND('Planilla_General_03-12-2012_9_3'!C863,"AAAAAC33t+M=")</f>
        <v>#VALUE!</v>
      </c>
      <c r="HU54" t="e">
        <f>AND('Planilla_General_03-12-2012_9_3'!D863,"AAAAAC33t+Q=")</f>
        <v>#VALUE!</v>
      </c>
      <c r="HV54" t="e">
        <f>AND('Planilla_General_03-12-2012_9_3'!E863,"AAAAAC33t+U=")</f>
        <v>#VALUE!</v>
      </c>
      <c r="HW54" t="e">
        <f>AND('Planilla_General_03-12-2012_9_3'!F863,"AAAAAC33t+Y=")</f>
        <v>#VALUE!</v>
      </c>
      <c r="HX54" t="e">
        <f>AND('Planilla_General_03-12-2012_9_3'!G863,"AAAAAC33t+c=")</f>
        <v>#VALUE!</v>
      </c>
      <c r="HY54" t="e">
        <f>AND('Planilla_General_03-12-2012_9_3'!H863,"AAAAAC33t+g=")</f>
        <v>#VALUE!</v>
      </c>
      <c r="HZ54" t="e">
        <f>AND('Planilla_General_03-12-2012_9_3'!I863,"AAAAAC33t+k=")</f>
        <v>#VALUE!</v>
      </c>
      <c r="IA54" t="e">
        <f>AND('Planilla_General_03-12-2012_9_3'!J863,"AAAAAC33t+o=")</f>
        <v>#VALUE!</v>
      </c>
      <c r="IB54" t="e">
        <f>AND('Planilla_General_03-12-2012_9_3'!K863,"AAAAAC33t+s=")</f>
        <v>#VALUE!</v>
      </c>
      <c r="IC54" t="e">
        <f>AND('Planilla_General_03-12-2012_9_3'!L863,"AAAAAC33t+w=")</f>
        <v>#VALUE!</v>
      </c>
      <c r="ID54" t="e">
        <f>AND('Planilla_General_03-12-2012_9_3'!M863,"AAAAAC33t+0=")</f>
        <v>#VALUE!</v>
      </c>
      <c r="IE54" t="e">
        <f>AND('Planilla_General_03-12-2012_9_3'!N863,"AAAAAC33t+4=")</f>
        <v>#VALUE!</v>
      </c>
      <c r="IF54" t="e">
        <f>AND('Planilla_General_03-12-2012_9_3'!O863,"AAAAAC33t+8=")</f>
        <v>#VALUE!</v>
      </c>
      <c r="IG54">
        <f>IF('Planilla_General_03-12-2012_9_3'!864:864,"AAAAAC33t/A=",0)</f>
        <v>0</v>
      </c>
      <c r="IH54" t="e">
        <f>AND('Planilla_General_03-12-2012_9_3'!A864,"AAAAAC33t/E=")</f>
        <v>#VALUE!</v>
      </c>
      <c r="II54" t="e">
        <f>AND('Planilla_General_03-12-2012_9_3'!B864,"AAAAAC33t/I=")</f>
        <v>#VALUE!</v>
      </c>
      <c r="IJ54" t="e">
        <f>AND('Planilla_General_03-12-2012_9_3'!C864,"AAAAAC33t/M=")</f>
        <v>#VALUE!</v>
      </c>
      <c r="IK54" t="e">
        <f>AND('Planilla_General_03-12-2012_9_3'!D864,"AAAAAC33t/Q=")</f>
        <v>#VALUE!</v>
      </c>
      <c r="IL54" t="e">
        <f>AND('Planilla_General_03-12-2012_9_3'!E864,"AAAAAC33t/U=")</f>
        <v>#VALUE!</v>
      </c>
      <c r="IM54" t="e">
        <f>AND('Planilla_General_03-12-2012_9_3'!F864,"AAAAAC33t/Y=")</f>
        <v>#VALUE!</v>
      </c>
      <c r="IN54" t="e">
        <f>AND('Planilla_General_03-12-2012_9_3'!G864,"AAAAAC33t/c=")</f>
        <v>#VALUE!</v>
      </c>
      <c r="IO54" t="e">
        <f>AND('Planilla_General_03-12-2012_9_3'!H864,"AAAAAC33t/g=")</f>
        <v>#VALUE!</v>
      </c>
      <c r="IP54" t="e">
        <f>AND('Planilla_General_03-12-2012_9_3'!I864,"AAAAAC33t/k=")</f>
        <v>#VALUE!</v>
      </c>
      <c r="IQ54" t="e">
        <f>AND('Planilla_General_03-12-2012_9_3'!J864,"AAAAAC33t/o=")</f>
        <v>#VALUE!</v>
      </c>
      <c r="IR54" t="e">
        <f>AND('Planilla_General_03-12-2012_9_3'!K864,"AAAAAC33t/s=")</f>
        <v>#VALUE!</v>
      </c>
      <c r="IS54" t="e">
        <f>AND('Planilla_General_03-12-2012_9_3'!L864,"AAAAAC33t/w=")</f>
        <v>#VALUE!</v>
      </c>
      <c r="IT54" t="e">
        <f>AND('Planilla_General_03-12-2012_9_3'!M864,"AAAAAC33t/0=")</f>
        <v>#VALUE!</v>
      </c>
      <c r="IU54" t="e">
        <f>AND('Planilla_General_03-12-2012_9_3'!N864,"AAAAAC33t/4=")</f>
        <v>#VALUE!</v>
      </c>
      <c r="IV54" t="e">
        <f>AND('Planilla_General_03-12-2012_9_3'!O864,"AAAAAC33t/8=")</f>
        <v>#VALUE!</v>
      </c>
    </row>
    <row r="55" spans="1:256" x14ac:dyDescent="0.25">
      <c r="A55" t="e">
        <f>IF('Planilla_General_03-12-2012_9_3'!865:865,"AAAAAG3/6gA=",0)</f>
        <v>#VALUE!</v>
      </c>
      <c r="B55" t="e">
        <f>AND('Planilla_General_03-12-2012_9_3'!A865,"AAAAAG3/6gE=")</f>
        <v>#VALUE!</v>
      </c>
      <c r="C55" t="e">
        <f>AND('Planilla_General_03-12-2012_9_3'!B865,"AAAAAG3/6gI=")</f>
        <v>#VALUE!</v>
      </c>
      <c r="D55" t="e">
        <f>AND('Planilla_General_03-12-2012_9_3'!C865,"AAAAAG3/6gM=")</f>
        <v>#VALUE!</v>
      </c>
      <c r="E55" t="e">
        <f>AND('Planilla_General_03-12-2012_9_3'!D865,"AAAAAG3/6gQ=")</f>
        <v>#VALUE!</v>
      </c>
      <c r="F55" t="e">
        <f>AND('Planilla_General_03-12-2012_9_3'!E865,"AAAAAG3/6gU=")</f>
        <v>#VALUE!</v>
      </c>
      <c r="G55" t="e">
        <f>AND('Planilla_General_03-12-2012_9_3'!F865,"AAAAAG3/6gY=")</f>
        <v>#VALUE!</v>
      </c>
      <c r="H55" t="e">
        <f>AND('Planilla_General_03-12-2012_9_3'!G865,"AAAAAG3/6gc=")</f>
        <v>#VALUE!</v>
      </c>
      <c r="I55" t="e">
        <f>AND('Planilla_General_03-12-2012_9_3'!H865,"AAAAAG3/6gg=")</f>
        <v>#VALUE!</v>
      </c>
      <c r="J55" t="e">
        <f>AND('Planilla_General_03-12-2012_9_3'!I865,"AAAAAG3/6gk=")</f>
        <v>#VALUE!</v>
      </c>
      <c r="K55" t="e">
        <f>AND('Planilla_General_03-12-2012_9_3'!J865,"AAAAAG3/6go=")</f>
        <v>#VALUE!</v>
      </c>
      <c r="L55" t="e">
        <f>AND('Planilla_General_03-12-2012_9_3'!K865,"AAAAAG3/6gs=")</f>
        <v>#VALUE!</v>
      </c>
      <c r="M55" t="e">
        <f>AND('Planilla_General_03-12-2012_9_3'!L865,"AAAAAG3/6gw=")</f>
        <v>#VALUE!</v>
      </c>
      <c r="N55" t="e">
        <f>AND('Planilla_General_03-12-2012_9_3'!M865,"AAAAAG3/6g0=")</f>
        <v>#VALUE!</v>
      </c>
      <c r="O55" t="e">
        <f>AND('Planilla_General_03-12-2012_9_3'!N865,"AAAAAG3/6g4=")</f>
        <v>#VALUE!</v>
      </c>
      <c r="P55" t="e">
        <f>AND('Planilla_General_03-12-2012_9_3'!O865,"AAAAAG3/6g8=")</f>
        <v>#VALUE!</v>
      </c>
      <c r="Q55">
        <f>IF('Planilla_General_03-12-2012_9_3'!866:866,"AAAAAG3/6hA=",0)</f>
        <v>0</v>
      </c>
      <c r="R55" t="e">
        <f>AND('Planilla_General_03-12-2012_9_3'!A866,"AAAAAG3/6hE=")</f>
        <v>#VALUE!</v>
      </c>
      <c r="S55" t="e">
        <f>AND('Planilla_General_03-12-2012_9_3'!B866,"AAAAAG3/6hI=")</f>
        <v>#VALUE!</v>
      </c>
      <c r="T55" t="e">
        <f>AND('Planilla_General_03-12-2012_9_3'!C866,"AAAAAG3/6hM=")</f>
        <v>#VALUE!</v>
      </c>
      <c r="U55" t="e">
        <f>AND('Planilla_General_03-12-2012_9_3'!D866,"AAAAAG3/6hQ=")</f>
        <v>#VALUE!</v>
      </c>
      <c r="V55" t="e">
        <f>AND('Planilla_General_03-12-2012_9_3'!E866,"AAAAAG3/6hU=")</f>
        <v>#VALUE!</v>
      </c>
      <c r="W55" t="e">
        <f>AND('Planilla_General_03-12-2012_9_3'!F866,"AAAAAG3/6hY=")</f>
        <v>#VALUE!</v>
      </c>
      <c r="X55" t="e">
        <f>AND('Planilla_General_03-12-2012_9_3'!G866,"AAAAAG3/6hc=")</f>
        <v>#VALUE!</v>
      </c>
      <c r="Y55" t="e">
        <f>AND('Planilla_General_03-12-2012_9_3'!H866,"AAAAAG3/6hg=")</f>
        <v>#VALUE!</v>
      </c>
      <c r="Z55" t="e">
        <f>AND('Planilla_General_03-12-2012_9_3'!I866,"AAAAAG3/6hk=")</f>
        <v>#VALUE!</v>
      </c>
      <c r="AA55" t="e">
        <f>AND('Planilla_General_03-12-2012_9_3'!J866,"AAAAAG3/6ho=")</f>
        <v>#VALUE!</v>
      </c>
      <c r="AB55" t="e">
        <f>AND('Planilla_General_03-12-2012_9_3'!K866,"AAAAAG3/6hs=")</f>
        <v>#VALUE!</v>
      </c>
      <c r="AC55" t="e">
        <f>AND('Planilla_General_03-12-2012_9_3'!L866,"AAAAAG3/6hw=")</f>
        <v>#VALUE!</v>
      </c>
      <c r="AD55" t="e">
        <f>AND('Planilla_General_03-12-2012_9_3'!M866,"AAAAAG3/6h0=")</f>
        <v>#VALUE!</v>
      </c>
      <c r="AE55" t="e">
        <f>AND('Planilla_General_03-12-2012_9_3'!N866,"AAAAAG3/6h4=")</f>
        <v>#VALUE!</v>
      </c>
      <c r="AF55" t="e">
        <f>AND('Planilla_General_03-12-2012_9_3'!O866,"AAAAAG3/6h8=")</f>
        <v>#VALUE!</v>
      </c>
      <c r="AG55">
        <f>IF('Planilla_General_03-12-2012_9_3'!867:867,"AAAAAG3/6iA=",0)</f>
        <v>0</v>
      </c>
      <c r="AH55" t="e">
        <f>AND('Planilla_General_03-12-2012_9_3'!A867,"AAAAAG3/6iE=")</f>
        <v>#VALUE!</v>
      </c>
      <c r="AI55" t="e">
        <f>AND('Planilla_General_03-12-2012_9_3'!B867,"AAAAAG3/6iI=")</f>
        <v>#VALUE!</v>
      </c>
      <c r="AJ55" t="e">
        <f>AND('Planilla_General_03-12-2012_9_3'!C867,"AAAAAG3/6iM=")</f>
        <v>#VALUE!</v>
      </c>
      <c r="AK55" t="e">
        <f>AND('Planilla_General_03-12-2012_9_3'!D867,"AAAAAG3/6iQ=")</f>
        <v>#VALUE!</v>
      </c>
      <c r="AL55" t="e">
        <f>AND('Planilla_General_03-12-2012_9_3'!E867,"AAAAAG3/6iU=")</f>
        <v>#VALUE!</v>
      </c>
      <c r="AM55" t="e">
        <f>AND('Planilla_General_03-12-2012_9_3'!F867,"AAAAAG3/6iY=")</f>
        <v>#VALUE!</v>
      </c>
      <c r="AN55" t="e">
        <f>AND('Planilla_General_03-12-2012_9_3'!G867,"AAAAAG3/6ic=")</f>
        <v>#VALUE!</v>
      </c>
      <c r="AO55" t="e">
        <f>AND('Planilla_General_03-12-2012_9_3'!H867,"AAAAAG3/6ig=")</f>
        <v>#VALUE!</v>
      </c>
      <c r="AP55" t="e">
        <f>AND('Planilla_General_03-12-2012_9_3'!I867,"AAAAAG3/6ik=")</f>
        <v>#VALUE!</v>
      </c>
      <c r="AQ55" t="e">
        <f>AND('Planilla_General_03-12-2012_9_3'!J867,"AAAAAG3/6io=")</f>
        <v>#VALUE!</v>
      </c>
      <c r="AR55" t="e">
        <f>AND('Planilla_General_03-12-2012_9_3'!K867,"AAAAAG3/6is=")</f>
        <v>#VALUE!</v>
      </c>
      <c r="AS55" t="e">
        <f>AND('Planilla_General_03-12-2012_9_3'!L867,"AAAAAG3/6iw=")</f>
        <v>#VALUE!</v>
      </c>
      <c r="AT55" t="e">
        <f>AND('Planilla_General_03-12-2012_9_3'!M867,"AAAAAG3/6i0=")</f>
        <v>#VALUE!</v>
      </c>
      <c r="AU55" t="e">
        <f>AND('Planilla_General_03-12-2012_9_3'!N867,"AAAAAG3/6i4=")</f>
        <v>#VALUE!</v>
      </c>
      <c r="AV55" t="e">
        <f>AND('Planilla_General_03-12-2012_9_3'!O867,"AAAAAG3/6i8=")</f>
        <v>#VALUE!</v>
      </c>
      <c r="AW55">
        <f>IF('Planilla_General_03-12-2012_9_3'!868:868,"AAAAAG3/6jA=",0)</f>
        <v>0</v>
      </c>
      <c r="AX55" t="e">
        <f>AND('Planilla_General_03-12-2012_9_3'!A868,"AAAAAG3/6jE=")</f>
        <v>#VALUE!</v>
      </c>
      <c r="AY55" t="e">
        <f>AND('Planilla_General_03-12-2012_9_3'!B868,"AAAAAG3/6jI=")</f>
        <v>#VALUE!</v>
      </c>
      <c r="AZ55" t="e">
        <f>AND('Planilla_General_03-12-2012_9_3'!C868,"AAAAAG3/6jM=")</f>
        <v>#VALUE!</v>
      </c>
      <c r="BA55" t="e">
        <f>AND('Planilla_General_03-12-2012_9_3'!D868,"AAAAAG3/6jQ=")</f>
        <v>#VALUE!</v>
      </c>
      <c r="BB55" t="e">
        <f>AND('Planilla_General_03-12-2012_9_3'!E868,"AAAAAG3/6jU=")</f>
        <v>#VALUE!</v>
      </c>
      <c r="BC55" t="e">
        <f>AND('Planilla_General_03-12-2012_9_3'!F868,"AAAAAG3/6jY=")</f>
        <v>#VALUE!</v>
      </c>
      <c r="BD55" t="e">
        <f>AND('Planilla_General_03-12-2012_9_3'!G868,"AAAAAG3/6jc=")</f>
        <v>#VALUE!</v>
      </c>
      <c r="BE55" t="e">
        <f>AND('Planilla_General_03-12-2012_9_3'!H868,"AAAAAG3/6jg=")</f>
        <v>#VALUE!</v>
      </c>
      <c r="BF55" t="e">
        <f>AND('Planilla_General_03-12-2012_9_3'!I868,"AAAAAG3/6jk=")</f>
        <v>#VALUE!</v>
      </c>
      <c r="BG55" t="e">
        <f>AND('Planilla_General_03-12-2012_9_3'!J868,"AAAAAG3/6jo=")</f>
        <v>#VALUE!</v>
      </c>
      <c r="BH55" t="e">
        <f>AND('Planilla_General_03-12-2012_9_3'!K868,"AAAAAG3/6js=")</f>
        <v>#VALUE!</v>
      </c>
      <c r="BI55" t="e">
        <f>AND('Planilla_General_03-12-2012_9_3'!L868,"AAAAAG3/6jw=")</f>
        <v>#VALUE!</v>
      </c>
      <c r="BJ55" t="e">
        <f>AND('Planilla_General_03-12-2012_9_3'!M868,"AAAAAG3/6j0=")</f>
        <v>#VALUE!</v>
      </c>
      <c r="BK55" t="e">
        <f>AND('Planilla_General_03-12-2012_9_3'!N868,"AAAAAG3/6j4=")</f>
        <v>#VALUE!</v>
      </c>
      <c r="BL55" t="e">
        <f>AND('Planilla_General_03-12-2012_9_3'!O868,"AAAAAG3/6j8=")</f>
        <v>#VALUE!</v>
      </c>
      <c r="BM55">
        <f>IF('Planilla_General_03-12-2012_9_3'!869:869,"AAAAAG3/6kA=",0)</f>
        <v>0</v>
      </c>
      <c r="BN55" t="e">
        <f>AND('Planilla_General_03-12-2012_9_3'!A869,"AAAAAG3/6kE=")</f>
        <v>#VALUE!</v>
      </c>
      <c r="BO55" t="e">
        <f>AND('Planilla_General_03-12-2012_9_3'!B869,"AAAAAG3/6kI=")</f>
        <v>#VALUE!</v>
      </c>
      <c r="BP55" t="e">
        <f>AND('Planilla_General_03-12-2012_9_3'!C869,"AAAAAG3/6kM=")</f>
        <v>#VALUE!</v>
      </c>
      <c r="BQ55" t="e">
        <f>AND('Planilla_General_03-12-2012_9_3'!D869,"AAAAAG3/6kQ=")</f>
        <v>#VALUE!</v>
      </c>
      <c r="BR55" t="e">
        <f>AND('Planilla_General_03-12-2012_9_3'!E869,"AAAAAG3/6kU=")</f>
        <v>#VALUE!</v>
      </c>
      <c r="BS55" t="e">
        <f>AND('Planilla_General_03-12-2012_9_3'!F869,"AAAAAG3/6kY=")</f>
        <v>#VALUE!</v>
      </c>
      <c r="BT55" t="e">
        <f>AND('Planilla_General_03-12-2012_9_3'!G869,"AAAAAG3/6kc=")</f>
        <v>#VALUE!</v>
      </c>
      <c r="BU55" t="e">
        <f>AND('Planilla_General_03-12-2012_9_3'!H869,"AAAAAG3/6kg=")</f>
        <v>#VALUE!</v>
      </c>
      <c r="BV55" t="e">
        <f>AND('Planilla_General_03-12-2012_9_3'!I869,"AAAAAG3/6kk=")</f>
        <v>#VALUE!</v>
      </c>
      <c r="BW55" t="e">
        <f>AND('Planilla_General_03-12-2012_9_3'!J869,"AAAAAG3/6ko=")</f>
        <v>#VALUE!</v>
      </c>
      <c r="BX55" t="e">
        <f>AND('Planilla_General_03-12-2012_9_3'!K869,"AAAAAG3/6ks=")</f>
        <v>#VALUE!</v>
      </c>
      <c r="BY55" t="e">
        <f>AND('Planilla_General_03-12-2012_9_3'!L869,"AAAAAG3/6kw=")</f>
        <v>#VALUE!</v>
      </c>
      <c r="BZ55" t="e">
        <f>AND('Planilla_General_03-12-2012_9_3'!M869,"AAAAAG3/6k0=")</f>
        <v>#VALUE!</v>
      </c>
      <c r="CA55" t="e">
        <f>AND('Planilla_General_03-12-2012_9_3'!N869,"AAAAAG3/6k4=")</f>
        <v>#VALUE!</v>
      </c>
      <c r="CB55" t="e">
        <f>AND('Planilla_General_03-12-2012_9_3'!O869,"AAAAAG3/6k8=")</f>
        <v>#VALUE!</v>
      </c>
      <c r="CC55">
        <f>IF('Planilla_General_03-12-2012_9_3'!870:870,"AAAAAG3/6lA=",0)</f>
        <v>0</v>
      </c>
      <c r="CD55" t="e">
        <f>AND('Planilla_General_03-12-2012_9_3'!A870,"AAAAAG3/6lE=")</f>
        <v>#VALUE!</v>
      </c>
      <c r="CE55" t="e">
        <f>AND('Planilla_General_03-12-2012_9_3'!B870,"AAAAAG3/6lI=")</f>
        <v>#VALUE!</v>
      </c>
      <c r="CF55" t="e">
        <f>AND('Planilla_General_03-12-2012_9_3'!C870,"AAAAAG3/6lM=")</f>
        <v>#VALUE!</v>
      </c>
      <c r="CG55" t="e">
        <f>AND('Planilla_General_03-12-2012_9_3'!D870,"AAAAAG3/6lQ=")</f>
        <v>#VALUE!</v>
      </c>
      <c r="CH55" t="e">
        <f>AND('Planilla_General_03-12-2012_9_3'!E870,"AAAAAG3/6lU=")</f>
        <v>#VALUE!</v>
      </c>
      <c r="CI55" t="e">
        <f>AND('Planilla_General_03-12-2012_9_3'!F870,"AAAAAG3/6lY=")</f>
        <v>#VALUE!</v>
      </c>
      <c r="CJ55" t="e">
        <f>AND('Planilla_General_03-12-2012_9_3'!G870,"AAAAAG3/6lc=")</f>
        <v>#VALUE!</v>
      </c>
      <c r="CK55" t="e">
        <f>AND('Planilla_General_03-12-2012_9_3'!H870,"AAAAAG3/6lg=")</f>
        <v>#VALUE!</v>
      </c>
      <c r="CL55" t="e">
        <f>AND('Planilla_General_03-12-2012_9_3'!I870,"AAAAAG3/6lk=")</f>
        <v>#VALUE!</v>
      </c>
      <c r="CM55" t="e">
        <f>AND('Planilla_General_03-12-2012_9_3'!J870,"AAAAAG3/6lo=")</f>
        <v>#VALUE!</v>
      </c>
      <c r="CN55" t="e">
        <f>AND('Planilla_General_03-12-2012_9_3'!K870,"AAAAAG3/6ls=")</f>
        <v>#VALUE!</v>
      </c>
      <c r="CO55" t="e">
        <f>AND('Planilla_General_03-12-2012_9_3'!L870,"AAAAAG3/6lw=")</f>
        <v>#VALUE!</v>
      </c>
      <c r="CP55" t="e">
        <f>AND('Planilla_General_03-12-2012_9_3'!M870,"AAAAAG3/6l0=")</f>
        <v>#VALUE!</v>
      </c>
      <c r="CQ55" t="e">
        <f>AND('Planilla_General_03-12-2012_9_3'!N870,"AAAAAG3/6l4=")</f>
        <v>#VALUE!</v>
      </c>
      <c r="CR55" t="e">
        <f>AND('Planilla_General_03-12-2012_9_3'!O870,"AAAAAG3/6l8=")</f>
        <v>#VALUE!</v>
      </c>
      <c r="CS55">
        <f>IF('Planilla_General_03-12-2012_9_3'!871:871,"AAAAAG3/6mA=",0)</f>
        <v>0</v>
      </c>
      <c r="CT55" t="e">
        <f>AND('Planilla_General_03-12-2012_9_3'!A871,"AAAAAG3/6mE=")</f>
        <v>#VALUE!</v>
      </c>
      <c r="CU55" t="e">
        <f>AND('Planilla_General_03-12-2012_9_3'!B871,"AAAAAG3/6mI=")</f>
        <v>#VALUE!</v>
      </c>
      <c r="CV55" t="e">
        <f>AND('Planilla_General_03-12-2012_9_3'!C871,"AAAAAG3/6mM=")</f>
        <v>#VALUE!</v>
      </c>
      <c r="CW55" t="e">
        <f>AND('Planilla_General_03-12-2012_9_3'!D871,"AAAAAG3/6mQ=")</f>
        <v>#VALUE!</v>
      </c>
      <c r="CX55" t="e">
        <f>AND('Planilla_General_03-12-2012_9_3'!E871,"AAAAAG3/6mU=")</f>
        <v>#VALUE!</v>
      </c>
      <c r="CY55" t="e">
        <f>AND('Planilla_General_03-12-2012_9_3'!F871,"AAAAAG3/6mY=")</f>
        <v>#VALUE!</v>
      </c>
      <c r="CZ55" t="e">
        <f>AND('Planilla_General_03-12-2012_9_3'!G871,"AAAAAG3/6mc=")</f>
        <v>#VALUE!</v>
      </c>
      <c r="DA55" t="e">
        <f>AND('Planilla_General_03-12-2012_9_3'!H871,"AAAAAG3/6mg=")</f>
        <v>#VALUE!</v>
      </c>
      <c r="DB55" t="e">
        <f>AND('Planilla_General_03-12-2012_9_3'!I871,"AAAAAG3/6mk=")</f>
        <v>#VALUE!</v>
      </c>
      <c r="DC55" t="e">
        <f>AND('Planilla_General_03-12-2012_9_3'!J871,"AAAAAG3/6mo=")</f>
        <v>#VALUE!</v>
      </c>
      <c r="DD55" t="e">
        <f>AND('Planilla_General_03-12-2012_9_3'!K871,"AAAAAG3/6ms=")</f>
        <v>#VALUE!</v>
      </c>
      <c r="DE55" t="e">
        <f>AND('Planilla_General_03-12-2012_9_3'!L871,"AAAAAG3/6mw=")</f>
        <v>#VALUE!</v>
      </c>
      <c r="DF55" t="e">
        <f>AND('Planilla_General_03-12-2012_9_3'!M871,"AAAAAG3/6m0=")</f>
        <v>#VALUE!</v>
      </c>
      <c r="DG55" t="e">
        <f>AND('Planilla_General_03-12-2012_9_3'!N871,"AAAAAG3/6m4=")</f>
        <v>#VALUE!</v>
      </c>
      <c r="DH55" t="e">
        <f>AND('Planilla_General_03-12-2012_9_3'!O871,"AAAAAG3/6m8=")</f>
        <v>#VALUE!</v>
      </c>
      <c r="DI55">
        <f>IF('Planilla_General_03-12-2012_9_3'!872:872,"AAAAAG3/6nA=",0)</f>
        <v>0</v>
      </c>
      <c r="DJ55" t="e">
        <f>AND('Planilla_General_03-12-2012_9_3'!A872,"AAAAAG3/6nE=")</f>
        <v>#VALUE!</v>
      </c>
      <c r="DK55" t="e">
        <f>AND('Planilla_General_03-12-2012_9_3'!B872,"AAAAAG3/6nI=")</f>
        <v>#VALUE!</v>
      </c>
      <c r="DL55" t="e">
        <f>AND('Planilla_General_03-12-2012_9_3'!C872,"AAAAAG3/6nM=")</f>
        <v>#VALUE!</v>
      </c>
      <c r="DM55" t="e">
        <f>AND('Planilla_General_03-12-2012_9_3'!D872,"AAAAAG3/6nQ=")</f>
        <v>#VALUE!</v>
      </c>
      <c r="DN55" t="e">
        <f>AND('Planilla_General_03-12-2012_9_3'!E872,"AAAAAG3/6nU=")</f>
        <v>#VALUE!</v>
      </c>
      <c r="DO55" t="e">
        <f>AND('Planilla_General_03-12-2012_9_3'!F872,"AAAAAG3/6nY=")</f>
        <v>#VALUE!</v>
      </c>
      <c r="DP55" t="e">
        <f>AND('Planilla_General_03-12-2012_9_3'!G872,"AAAAAG3/6nc=")</f>
        <v>#VALUE!</v>
      </c>
      <c r="DQ55" t="e">
        <f>AND('Planilla_General_03-12-2012_9_3'!H872,"AAAAAG3/6ng=")</f>
        <v>#VALUE!</v>
      </c>
      <c r="DR55" t="e">
        <f>AND('Planilla_General_03-12-2012_9_3'!I872,"AAAAAG3/6nk=")</f>
        <v>#VALUE!</v>
      </c>
      <c r="DS55" t="e">
        <f>AND('Planilla_General_03-12-2012_9_3'!J872,"AAAAAG3/6no=")</f>
        <v>#VALUE!</v>
      </c>
      <c r="DT55" t="e">
        <f>AND('Planilla_General_03-12-2012_9_3'!K872,"AAAAAG3/6ns=")</f>
        <v>#VALUE!</v>
      </c>
      <c r="DU55" t="e">
        <f>AND('Planilla_General_03-12-2012_9_3'!L872,"AAAAAG3/6nw=")</f>
        <v>#VALUE!</v>
      </c>
      <c r="DV55" t="e">
        <f>AND('Planilla_General_03-12-2012_9_3'!M872,"AAAAAG3/6n0=")</f>
        <v>#VALUE!</v>
      </c>
      <c r="DW55" t="e">
        <f>AND('Planilla_General_03-12-2012_9_3'!N872,"AAAAAG3/6n4=")</f>
        <v>#VALUE!</v>
      </c>
      <c r="DX55" t="e">
        <f>AND('Planilla_General_03-12-2012_9_3'!O872,"AAAAAG3/6n8=")</f>
        <v>#VALUE!</v>
      </c>
      <c r="DY55">
        <f>IF('Planilla_General_03-12-2012_9_3'!873:873,"AAAAAG3/6oA=",0)</f>
        <v>0</v>
      </c>
      <c r="DZ55" t="e">
        <f>AND('Planilla_General_03-12-2012_9_3'!A873,"AAAAAG3/6oE=")</f>
        <v>#VALUE!</v>
      </c>
      <c r="EA55" t="e">
        <f>AND('Planilla_General_03-12-2012_9_3'!B873,"AAAAAG3/6oI=")</f>
        <v>#VALUE!</v>
      </c>
      <c r="EB55" t="e">
        <f>AND('Planilla_General_03-12-2012_9_3'!C873,"AAAAAG3/6oM=")</f>
        <v>#VALUE!</v>
      </c>
      <c r="EC55" t="e">
        <f>AND('Planilla_General_03-12-2012_9_3'!D873,"AAAAAG3/6oQ=")</f>
        <v>#VALUE!</v>
      </c>
      <c r="ED55" t="e">
        <f>AND('Planilla_General_03-12-2012_9_3'!E873,"AAAAAG3/6oU=")</f>
        <v>#VALUE!</v>
      </c>
      <c r="EE55" t="e">
        <f>AND('Planilla_General_03-12-2012_9_3'!F873,"AAAAAG3/6oY=")</f>
        <v>#VALUE!</v>
      </c>
      <c r="EF55" t="e">
        <f>AND('Planilla_General_03-12-2012_9_3'!G873,"AAAAAG3/6oc=")</f>
        <v>#VALUE!</v>
      </c>
      <c r="EG55" t="e">
        <f>AND('Planilla_General_03-12-2012_9_3'!H873,"AAAAAG3/6og=")</f>
        <v>#VALUE!</v>
      </c>
      <c r="EH55" t="e">
        <f>AND('Planilla_General_03-12-2012_9_3'!I873,"AAAAAG3/6ok=")</f>
        <v>#VALUE!</v>
      </c>
      <c r="EI55" t="e">
        <f>AND('Planilla_General_03-12-2012_9_3'!J873,"AAAAAG3/6oo=")</f>
        <v>#VALUE!</v>
      </c>
      <c r="EJ55" t="e">
        <f>AND('Planilla_General_03-12-2012_9_3'!K873,"AAAAAG3/6os=")</f>
        <v>#VALUE!</v>
      </c>
      <c r="EK55" t="e">
        <f>AND('Planilla_General_03-12-2012_9_3'!L873,"AAAAAG3/6ow=")</f>
        <v>#VALUE!</v>
      </c>
      <c r="EL55" t="e">
        <f>AND('Planilla_General_03-12-2012_9_3'!M873,"AAAAAG3/6o0=")</f>
        <v>#VALUE!</v>
      </c>
      <c r="EM55" t="e">
        <f>AND('Planilla_General_03-12-2012_9_3'!N873,"AAAAAG3/6o4=")</f>
        <v>#VALUE!</v>
      </c>
      <c r="EN55" t="e">
        <f>AND('Planilla_General_03-12-2012_9_3'!O873,"AAAAAG3/6o8=")</f>
        <v>#VALUE!</v>
      </c>
      <c r="EO55">
        <f>IF('Planilla_General_03-12-2012_9_3'!874:874,"AAAAAG3/6pA=",0)</f>
        <v>0</v>
      </c>
      <c r="EP55" t="e">
        <f>AND('Planilla_General_03-12-2012_9_3'!A874,"AAAAAG3/6pE=")</f>
        <v>#VALUE!</v>
      </c>
      <c r="EQ55" t="e">
        <f>AND('Planilla_General_03-12-2012_9_3'!B874,"AAAAAG3/6pI=")</f>
        <v>#VALUE!</v>
      </c>
      <c r="ER55" t="e">
        <f>AND('Planilla_General_03-12-2012_9_3'!C874,"AAAAAG3/6pM=")</f>
        <v>#VALUE!</v>
      </c>
      <c r="ES55" t="e">
        <f>AND('Planilla_General_03-12-2012_9_3'!D874,"AAAAAG3/6pQ=")</f>
        <v>#VALUE!</v>
      </c>
      <c r="ET55" t="e">
        <f>AND('Planilla_General_03-12-2012_9_3'!E874,"AAAAAG3/6pU=")</f>
        <v>#VALUE!</v>
      </c>
      <c r="EU55" t="e">
        <f>AND('Planilla_General_03-12-2012_9_3'!F874,"AAAAAG3/6pY=")</f>
        <v>#VALUE!</v>
      </c>
      <c r="EV55" t="e">
        <f>AND('Planilla_General_03-12-2012_9_3'!G874,"AAAAAG3/6pc=")</f>
        <v>#VALUE!</v>
      </c>
      <c r="EW55" t="e">
        <f>AND('Planilla_General_03-12-2012_9_3'!H874,"AAAAAG3/6pg=")</f>
        <v>#VALUE!</v>
      </c>
      <c r="EX55" t="e">
        <f>AND('Planilla_General_03-12-2012_9_3'!I874,"AAAAAG3/6pk=")</f>
        <v>#VALUE!</v>
      </c>
      <c r="EY55" t="e">
        <f>AND('Planilla_General_03-12-2012_9_3'!J874,"AAAAAG3/6po=")</f>
        <v>#VALUE!</v>
      </c>
      <c r="EZ55" t="e">
        <f>AND('Planilla_General_03-12-2012_9_3'!K874,"AAAAAG3/6ps=")</f>
        <v>#VALUE!</v>
      </c>
      <c r="FA55" t="e">
        <f>AND('Planilla_General_03-12-2012_9_3'!L874,"AAAAAG3/6pw=")</f>
        <v>#VALUE!</v>
      </c>
      <c r="FB55" t="e">
        <f>AND('Planilla_General_03-12-2012_9_3'!M874,"AAAAAG3/6p0=")</f>
        <v>#VALUE!</v>
      </c>
      <c r="FC55" t="e">
        <f>AND('Planilla_General_03-12-2012_9_3'!N874,"AAAAAG3/6p4=")</f>
        <v>#VALUE!</v>
      </c>
      <c r="FD55" t="e">
        <f>AND('Planilla_General_03-12-2012_9_3'!O874,"AAAAAG3/6p8=")</f>
        <v>#VALUE!</v>
      </c>
      <c r="FE55">
        <f>IF('Planilla_General_03-12-2012_9_3'!875:875,"AAAAAG3/6qA=",0)</f>
        <v>0</v>
      </c>
      <c r="FF55" t="e">
        <f>AND('Planilla_General_03-12-2012_9_3'!A875,"AAAAAG3/6qE=")</f>
        <v>#VALUE!</v>
      </c>
      <c r="FG55" t="e">
        <f>AND('Planilla_General_03-12-2012_9_3'!B875,"AAAAAG3/6qI=")</f>
        <v>#VALUE!</v>
      </c>
      <c r="FH55" t="e">
        <f>AND('Planilla_General_03-12-2012_9_3'!C875,"AAAAAG3/6qM=")</f>
        <v>#VALUE!</v>
      </c>
      <c r="FI55" t="e">
        <f>AND('Planilla_General_03-12-2012_9_3'!D875,"AAAAAG3/6qQ=")</f>
        <v>#VALUE!</v>
      </c>
      <c r="FJ55" t="e">
        <f>AND('Planilla_General_03-12-2012_9_3'!E875,"AAAAAG3/6qU=")</f>
        <v>#VALUE!</v>
      </c>
      <c r="FK55" t="e">
        <f>AND('Planilla_General_03-12-2012_9_3'!F875,"AAAAAG3/6qY=")</f>
        <v>#VALUE!</v>
      </c>
      <c r="FL55" t="e">
        <f>AND('Planilla_General_03-12-2012_9_3'!G875,"AAAAAG3/6qc=")</f>
        <v>#VALUE!</v>
      </c>
      <c r="FM55" t="e">
        <f>AND('Planilla_General_03-12-2012_9_3'!H875,"AAAAAG3/6qg=")</f>
        <v>#VALUE!</v>
      </c>
      <c r="FN55" t="e">
        <f>AND('Planilla_General_03-12-2012_9_3'!I875,"AAAAAG3/6qk=")</f>
        <v>#VALUE!</v>
      </c>
      <c r="FO55" t="e">
        <f>AND('Planilla_General_03-12-2012_9_3'!J875,"AAAAAG3/6qo=")</f>
        <v>#VALUE!</v>
      </c>
      <c r="FP55" t="e">
        <f>AND('Planilla_General_03-12-2012_9_3'!K875,"AAAAAG3/6qs=")</f>
        <v>#VALUE!</v>
      </c>
      <c r="FQ55" t="e">
        <f>AND('Planilla_General_03-12-2012_9_3'!L875,"AAAAAG3/6qw=")</f>
        <v>#VALUE!</v>
      </c>
      <c r="FR55" t="e">
        <f>AND('Planilla_General_03-12-2012_9_3'!M875,"AAAAAG3/6q0=")</f>
        <v>#VALUE!</v>
      </c>
      <c r="FS55" t="e">
        <f>AND('Planilla_General_03-12-2012_9_3'!N875,"AAAAAG3/6q4=")</f>
        <v>#VALUE!</v>
      </c>
      <c r="FT55" t="e">
        <f>AND('Planilla_General_03-12-2012_9_3'!O875,"AAAAAG3/6q8=")</f>
        <v>#VALUE!</v>
      </c>
      <c r="FU55">
        <f>IF('Planilla_General_03-12-2012_9_3'!876:876,"AAAAAG3/6rA=",0)</f>
        <v>0</v>
      </c>
      <c r="FV55" t="e">
        <f>AND('Planilla_General_03-12-2012_9_3'!A876,"AAAAAG3/6rE=")</f>
        <v>#VALUE!</v>
      </c>
      <c r="FW55" t="e">
        <f>AND('Planilla_General_03-12-2012_9_3'!B876,"AAAAAG3/6rI=")</f>
        <v>#VALUE!</v>
      </c>
      <c r="FX55" t="e">
        <f>AND('Planilla_General_03-12-2012_9_3'!C876,"AAAAAG3/6rM=")</f>
        <v>#VALUE!</v>
      </c>
      <c r="FY55" t="e">
        <f>AND('Planilla_General_03-12-2012_9_3'!D876,"AAAAAG3/6rQ=")</f>
        <v>#VALUE!</v>
      </c>
      <c r="FZ55" t="e">
        <f>AND('Planilla_General_03-12-2012_9_3'!E876,"AAAAAG3/6rU=")</f>
        <v>#VALUE!</v>
      </c>
      <c r="GA55" t="e">
        <f>AND('Planilla_General_03-12-2012_9_3'!F876,"AAAAAG3/6rY=")</f>
        <v>#VALUE!</v>
      </c>
      <c r="GB55" t="e">
        <f>AND('Planilla_General_03-12-2012_9_3'!G876,"AAAAAG3/6rc=")</f>
        <v>#VALUE!</v>
      </c>
      <c r="GC55" t="e">
        <f>AND('Planilla_General_03-12-2012_9_3'!H876,"AAAAAG3/6rg=")</f>
        <v>#VALUE!</v>
      </c>
      <c r="GD55" t="e">
        <f>AND('Planilla_General_03-12-2012_9_3'!I876,"AAAAAG3/6rk=")</f>
        <v>#VALUE!</v>
      </c>
      <c r="GE55" t="e">
        <f>AND('Planilla_General_03-12-2012_9_3'!J876,"AAAAAG3/6ro=")</f>
        <v>#VALUE!</v>
      </c>
      <c r="GF55" t="e">
        <f>AND('Planilla_General_03-12-2012_9_3'!K876,"AAAAAG3/6rs=")</f>
        <v>#VALUE!</v>
      </c>
      <c r="GG55" t="e">
        <f>AND('Planilla_General_03-12-2012_9_3'!L876,"AAAAAG3/6rw=")</f>
        <v>#VALUE!</v>
      </c>
      <c r="GH55" t="e">
        <f>AND('Planilla_General_03-12-2012_9_3'!M876,"AAAAAG3/6r0=")</f>
        <v>#VALUE!</v>
      </c>
      <c r="GI55" t="e">
        <f>AND('Planilla_General_03-12-2012_9_3'!N876,"AAAAAG3/6r4=")</f>
        <v>#VALUE!</v>
      </c>
      <c r="GJ55" t="e">
        <f>AND('Planilla_General_03-12-2012_9_3'!O876,"AAAAAG3/6r8=")</f>
        <v>#VALUE!</v>
      </c>
      <c r="GK55">
        <f>IF('Planilla_General_03-12-2012_9_3'!877:877,"AAAAAG3/6sA=",0)</f>
        <v>0</v>
      </c>
      <c r="GL55" t="e">
        <f>AND('Planilla_General_03-12-2012_9_3'!A877,"AAAAAG3/6sE=")</f>
        <v>#VALUE!</v>
      </c>
      <c r="GM55" t="e">
        <f>AND('Planilla_General_03-12-2012_9_3'!B877,"AAAAAG3/6sI=")</f>
        <v>#VALUE!</v>
      </c>
      <c r="GN55" t="e">
        <f>AND('Planilla_General_03-12-2012_9_3'!C877,"AAAAAG3/6sM=")</f>
        <v>#VALUE!</v>
      </c>
      <c r="GO55" t="e">
        <f>AND('Planilla_General_03-12-2012_9_3'!D877,"AAAAAG3/6sQ=")</f>
        <v>#VALUE!</v>
      </c>
      <c r="GP55" t="e">
        <f>AND('Planilla_General_03-12-2012_9_3'!E877,"AAAAAG3/6sU=")</f>
        <v>#VALUE!</v>
      </c>
      <c r="GQ55" t="e">
        <f>AND('Planilla_General_03-12-2012_9_3'!F877,"AAAAAG3/6sY=")</f>
        <v>#VALUE!</v>
      </c>
      <c r="GR55" t="e">
        <f>AND('Planilla_General_03-12-2012_9_3'!G877,"AAAAAG3/6sc=")</f>
        <v>#VALUE!</v>
      </c>
      <c r="GS55" t="e">
        <f>AND('Planilla_General_03-12-2012_9_3'!H877,"AAAAAG3/6sg=")</f>
        <v>#VALUE!</v>
      </c>
      <c r="GT55" t="e">
        <f>AND('Planilla_General_03-12-2012_9_3'!I877,"AAAAAG3/6sk=")</f>
        <v>#VALUE!</v>
      </c>
      <c r="GU55" t="e">
        <f>AND('Planilla_General_03-12-2012_9_3'!J877,"AAAAAG3/6so=")</f>
        <v>#VALUE!</v>
      </c>
      <c r="GV55" t="e">
        <f>AND('Planilla_General_03-12-2012_9_3'!K877,"AAAAAG3/6ss=")</f>
        <v>#VALUE!</v>
      </c>
      <c r="GW55" t="e">
        <f>AND('Planilla_General_03-12-2012_9_3'!L877,"AAAAAG3/6sw=")</f>
        <v>#VALUE!</v>
      </c>
      <c r="GX55" t="e">
        <f>AND('Planilla_General_03-12-2012_9_3'!M877,"AAAAAG3/6s0=")</f>
        <v>#VALUE!</v>
      </c>
      <c r="GY55" t="e">
        <f>AND('Planilla_General_03-12-2012_9_3'!N877,"AAAAAG3/6s4=")</f>
        <v>#VALUE!</v>
      </c>
      <c r="GZ55" t="e">
        <f>AND('Planilla_General_03-12-2012_9_3'!O877,"AAAAAG3/6s8=")</f>
        <v>#VALUE!</v>
      </c>
      <c r="HA55">
        <f>IF('Planilla_General_03-12-2012_9_3'!878:878,"AAAAAG3/6tA=",0)</f>
        <v>0</v>
      </c>
      <c r="HB55" t="e">
        <f>AND('Planilla_General_03-12-2012_9_3'!A878,"AAAAAG3/6tE=")</f>
        <v>#VALUE!</v>
      </c>
      <c r="HC55" t="e">
        <f>AND('Planilla_General_03-12-2012_9_3'!B878,"AAAAAG3/6tI=")</f>
        <v>#VALUE!</v>
      </c>
      <c r="HD55" t="e">
        <f>AND('Planilla_General_03-12-2012_9_3'!C878,"AAAAAG3/6tM=")</f>
        <v>#VALUE!</v>
      </c>
      <c r="HE55" t="e">
        <f>AND('Planilla_General_03-12-2012_9_3'!D878,"AAAAAG3/6tQ=")</f>
        <v>#VALUE!</v>
      </c>
      <c r="HF55" t="e">
        <f>AND('Planilla_General_03-12-2012_9_3'!E878,"AAAAAG3/6tU=")</f>
        <v>#VALUE!</v>
      </c>
      <c r="HG55" t="e">
        <f>AND('Planilla_General_03-12-2012_9_3'!F878,"AAAAAG3/6tY=")</f>
        <v>#VALUE!</v>
      </c>
      <c r="HH55" t="e">
        <f>AND('Planilla_General_03-12-2012_9_3'!G878,"AAAAAG3/6tc=")</f>
        <v>#VALUE!</v>
      </c>
      <c r="HI55" t="e">
        <f>AND('Planilla_General_03-12-2012_9_3'!H878,"AAAAAG3/6tg=")</f>
        <v>#VALUE!</v>
      </c>
      <c r="HJ55" t="e">
        <f>AND('Planilla_General_03-12-2012_9_3'!I878,"AAAAAG3/6tk=")</f>
        <v>#VALUE!</v>
      </c>
      <c r="HK55" t="e">
        <f>AND('Planilla_General_03-12-2012_9_3'!J878,"AAAAAG3/6to=")</f>
        <v>#VALUE!</v>
      </c>
      <c r="HL55" t="e">
        <f>AND('Planilla_General_03-12-2012_9_3'!K878,"AAAAAG3/6ts=")</f>
        <v>#VALUE!</v>
      </c>
      <c r="HM55" t="e">
        <f>AND('Planilla_General_03-12-2012_9_3'!L878,"AAAAAG3/6tw=")</f>
        <v>#VALUE!</v>
      </c>
      <c r="HN55" t="e">
        <f>AND('Planilla_General_03-12-2012_9_3'!M878,"AAAAAG3/6t0=")</f>
        <v>#VALUE!</v>
      </c>
      <c r="HO55" t="e">
        <f>AND('Planilla_General_03-12-2012_9_3'!N878,"AAAAAG3/6t4=")</f>
        <v>#VALUE!</v>
      </c>
      <c r="HP55" t="e">
        <f>AND('Planilla_General_03-12-2012_9_3'!O878,"AAAAAG3/6t8=")</f>
        <v>#VALUE!</v>
      </c>
      <c r="HQ55">
        <f>IF('Planilla_General_03-12-2012_9_3'!879:879,"AAAAAG3/6uA=",0)</f>
        <v>0</v>
      </c>
      <c r="HR55" t="e">
        <f>AND('Planilla_General_03-12-2012_9_3'!A879,"AAAAAG3/6uE=")</f>
        <v>#VALUE!</v>
      </c>
      <c r="HS55" t="e">
        <f>AND('Planilla_General_03-12-2012_9_3'!B879,"AAAAAG3/6uI=")</f>
        <v>#VALUE!</v>
      </c>
      <c r="HT55" t="e">
        <f>AND('Planilla_General_03-12-2012_9_3'!C879,"AAAAAG3/6uM=")</f>
        <v>#VALUE!</v>
      </c>
      <c r="HU55" t="e">
        <f>AND('Planilla_General_03-12-2012_9_3'!D879,"AAAAAG3/6uQ=")</f>
        <v>#VALUE!</v>
      </c>
      <c r="HV55" t="e">
        <f>AND('Planilla_General_03-12-2012_9_3'!E879,"AAAAAG3/6uU=")</f>
        <v>#VALUE!</v>
      </c>
      <c r="HW55" t="e">
        <f>AND('Planilla_General_03-12-2012_9_3'!F879,"AAAAAG3/6uY=")</f>
        <v>#VALUE!</v>
      </c>
      <c r="HX55" t="e">
        <f>AND('Planilla_General_03-12-2012_9_3'!G879,"AAAAAG3/6uc=")</f>
        <v>#VALUE!</v>
      </c>
      <c r="HY55" t="e">
        <f>AND('Planilla_General_03-12-2012_9_3'!H879,"AAAAAG3/6ug=")</f>
        <v>#VALUE!</v>
      </c>
      <c r="HZ55" t="e">
        <f>AND('Planilla_General_03-12-2012_9_3'!I879,"AAAAAG3/6uk=")</f>
        <v>#VALUE!</v>
      </c>
      <c r="IA55" t="e">
        <f>AND('Planilla_General_03-12-2012_9_3'!J879,"AAAAAG3/6uo=")</f>
        <v>#VALUE!</v>
      </c>
      <c r="IB55" t="e">
        <f>AND('Planilla_General_03-12-2012_9_3'!K879,"AAAAAG3/6us=")</f>
        <v>#VALUE!</v>
      </c>
      <c r="IC55" t="e">
        <f>AND('Planilla_General_03-12-2012_9_3'!L879,"AAAAAG3/6uw=")</f>
        <v>#VALUE!</v>
      </c>
      <c r="ID55" t="e">
        <f>AND('Planilla_General_03-12-2012_9_3'!M879,"AAAAAG3/6u0=")</f>
        <v>#VALUE!</v>
      </c>
      <c r="IE55" t="e">
        <f>AND('Planilla_General_03-12-2012_9_3'!N879,"AAAAAG3/6u4=")</f>
        <v>#VALUE!</v>
      </c>
      <c r="IF55" t="e">
        <f>AND('Planilla_General_03-12-2012_9_3'!O879,"AAAAAG3/6u8=")</f>
        <v>#VALUE!</v>
      </c>
      <c r="IG55">
        <f>IF('Planilla_General_03-12-2012_9_3'!880:880,"AAAAAG3/6vA=",0)</f>
        <v>0</v>
      </c>
      <c r="IH55" t="e">
        <f>AND('Planilla_General_03-12-2012_9_3'!A880,"AAAAAG3/6vE=")</f>
        <v>#VALUE!</v>
      </c>
      <c r="II55" t="e">
        <f>AND('Planilla_General_03-12-2012_9_3'!B880,"AAAAAG3/6vI=")</f>
        <v>#VALUE!</v>
      </c>
      <c r="IJ55" t="e">
        <f>AND('Planilla_General_03-12-2012_9_3'!C880,"AAAAAG3/6vM=")</f>
        <v>#VALUE!</v>
      </c>
      <c r="IK55" t="e">
        <f>AND('Planilla_General_03-12-2012_9_3'!D880,"AAAAAG3/6vQ=")</f>
        <v>#VALUE!</v>
      </c>
      <c r="IL55" t="e">
        <f>AND('Planilla_General_03-12-2012_9_3'!E880,"AAAAAG3/6vU=")</f>
        <v>#VALUE!</v>
      </c>
      <c r="IM55" t="e">
        <f>AND('Planilla_General_03-12-2012_9_3'!F880,"AAAAAG3/6vY=")</f>
        <v>#VALUE!</v>
      </c>
      <c r="IN55" t="e">
        <f>AND('Planilla_General_03-12-2012_9_3'!G880,"AAAAAG3/6vc=")</f>
        <v>#VALUE!</v>
      </c>
      <c r="IO55" t="e">
        <f>AND('Planilla_General_03-12-2012_9_3'!H880,"AAAAAG3/6vg=")</f>
        <v>#VALUE!</v>
      </c>
      <c r="IP55" t="e">
        <f>AND('Planilla_General_03-12-2012_9_3'!I880,"AAAAAG3/6vk=")</f>
        <v>#VALUE!</v>
      </c>
      <c r="IQ55" t="e">
        <f>AND('Planilla_General_03-12-2012_9_3'!J880,"AAAAAG3/6vo=")</f>
        <v>#VALUE!</v>
      </c>
      <c r="IR55" t="e">
        <f>AND('Planilla_General_03-12-2012_9_3'!K880,"AAAAAG3/6vs=")</f>
        <v>#VALUE!</v>
      </c>
      <c r="IS55" t="e">
        <f>AND('Planilla_General_03-12-2012_9_3'!L880,"AAAAAG3/6vw=")</f>
        <v>#VALUE!</v>
      </c>
      <c r="IT55" t="e">
        <f>AND('Planilla_General_03-12-2012_9_3'!M880,"AAAAAG3/6v0=")</f>
        <v>#VALUE!</v>
      </c>
      <c r="IU55" t="e">
        <f>AND('Planilla_General_03-12-2012_9_3'!N880,"AAAAAG3/6v4=")</f>
        <v>#VALUE!</v>
      </c>
      <c r="IV55" t="e">
        <f>AND('Planilla_General_03-12-2012_9_3'!O880,"AAAAAG3/6v8=")</f>
        <v>#VALUE!</v>
      </c>
    </row>
    <row r="56" spans="1:256" x14ac:dyDescent="0.25">
      <c r="A56" t="e">
        <f>IF('Planilla_General_03-12-2012_9_3'!881:881,"AAAAAG36/QA=",0)</f>
        <v>#VALUE!</v>
      </c>
      <c r="B56" t="e">
        <f>AND('Planilla_General_03-12-2012_9_3'!A881,"AAAAAG36/QE=")</f>
        <v>#VALUE!</v>
      </c>
      <c r="C56" t="e">
        <f>AND('Planilla_General_03-12-2012_9_3'!B881,"AAAAAG36/QI=")</f>
        <v>#VALUE!</v>
      </c>
      <c r="D56" t="e">
        <f>AND('Planilla_General_03-12-2012_9_3'!C881,"AAAAAG36/QM=")</f>
        <v>#VALUE!</v>
      </c>
      <c r="E56" t="e">
        <f>AND('Planilla_General_03-12-2012_9_3'!D881,"AAAAAG36/QQ=")</f>
        <v>#VALUE!</v>
      </c>
      <c r="F56" t="e">
        <f>AND('Planilla_General_03-12-2012_9_3'!E881,"AAAAAG36/QU=")</f>
        <v>#VALUE!</v>
      </c>
      <c r="G56" t="e">
        <f>AND('Planilla_General_03-12-2012_9_3'!F881,"AAAAAG36/QY=")</f>
        <v>#VALUE!</v>
      </c>
      <c r="H56" t="e">
        <f>AND('Planilla_General_03-12-2012_9_3'!G881,"AAAAAG36/Qc=")</f>
        <v>#VALUE!</v>
      </c>
      <c r="I56" t="e">
        <f>AND('Planilla_General_03-12-2012_9_3'!H881,"AAAAAG36/Qg=")</f>
        <v>#VALUE!</v>
      </c>
      <c r="J56" t="e">
        <f>AND('Planilla_General_03-12-2012_9_3'!I881,"AAAAAG36/Qk=")</f>
        <v>#VALUE!</v>
      </c>
      <c r="K56" t="e">
        <f>AND('Planilla_General_03-12-2012_9_3'!J881,"AAAAAG36/Qo=")</f>
        <v>#VALUE!</v>
      </c>
      <c r="L56" t="e">
        <f>AND('Planilla_General_03-12-2012_9_3'!K881,"AAAAAG36/Qs=")</f>
        <v>#VALUE!</v>
      </c>
      <c r="M56" t="e">
        <f>AND('Planilla_General_03-12-2012_9_3'!L881,"AAAAAG36/Qw=")</f>
        <v>#VALUE!</v>
      </c>
      <c r="N56" t="e">
        <f>AND('Planilla_General_03-12-2012_9_3'!M881,"AAAAAG36/Q0=")</f>
        <v>#VALUE!</v>
      </c>
      <c r="O56" t="e">
        <f>AND('Planilla_General_03-12-2012_9_3'!N881,"AAAAAG36/Q4=")</f>
        <v>#VALUE!</v>
      </c>
      <c r="P56" t="e">
        <f>AND('Planilla_General_03-12-2012_9_3'!O881,"AAAAAG36/Q8=")</f>
        <v>#VALUE!</v>
      </c>
      <c r="Q56">
        <f>IF('Planilla_General_03-12-2012_9_3'!882:882,"AAAAAG36/RA=",0)</f>
        <v>0</v>
      </c>
      <c r="R56" t="e">
        <f>AND('Planilla_General_03-12-2012_9_3'!A882,"AAAAAG36/RE=")</f>
        <v>#VALUE!</v>
      </c>
      <c r="S56" t="e">
        <f>AND('Planilla_General_03-12-2012_9_3'!B882,"AAAAAG36/RI=")</f>
        <v>#VALUE!</v>
      </c>
      <c r="T56" t="e">
        <f>AND('Planilla_General_03-12-2012_9_3'!C882,"AAAAAG36/RM=")</f>
        <v>#VALUE!</v>
      </c>
      <c r="U56" t="e">
        <f>AND('Planilla_General_03-12-2012_9_3'!D882,"AAAAAG36/RQ=")</f>
        <v>#VALUE!</v>
      </c>
      <c r="V56" t="e">
        <f>AND('Planilla_General_03-12-2012_9_3'!E882,"AAAAAG36/RU=")</f>
        <v>#VALUE!</v>
      </c>
      <c r="W56" t="e">
        <f>AND('Planilla_General_03-12-2012_9_3'!F882,"AAAAAG36/RY=")</f>
        <v>#VALUE!</v>
      </c>
      <c r="X56" t="e">
        <f>AND('Planilla_General_03-12-2012_9_3'!G882,"AAAAAG36/Rc=")</f>
        <v>#VALUE!</v>
      </c>
      <c r="Y56" t="e">
        <f>AND('Planilla_General_03-12-2012_9_3'!H882,"AAAAAG36/Rg=")</f>
        <v>#VALUE!</v>
      </c>
      <c r="Z56" t="e">
        <f>AND('Planilla_General_03-12-2012_9_3'!I882,"AAAAAG36/Rk=")</f>
        <v>#VALUE!</v>
      </c>
      <c r="AA56" t="e">
        <f>AND('Planilla_General_03-12-2012_9_3'!J882,"AAAAAG36/Ro=")</f>
        <v>#VALUE!</v>
      </c>
      <c r="AB56" t="e">
        <f>AND('Planilla_General_03-12-2012_9_3'!K882,"AAAAAG36/Rs=")</f>
        <v>#VALUE!</v>
      </c>
      <c r="AC56" t="e">
        <f>AND('Planilla_General_03-12-2012_9_3'!L882,"AAAAAG36/Rw=")</f>
        <v>#VALUE!</v>
      </c>
      <c r="AD56" t="e">
        <f>AND('Planilla_General_03-12-2012_9_3'!M882,"AAAAAG36/R0=")</f>
        <v>#VALUE!</v>
      </c>
      <c r="AE56" t="e">
        <f>AND('Planilla_General_03-12-2012_9_3'!N882,"AAAAAG36/R4=")</f>
        <v>#VALUE!</v>
      </c>
      <c r="AF56" t="e">
        <f>AND('Planilla_General_03-12-2012_9_3'!O882,"AAAAAG36/R8=")</f>
        <v>#VALUE!</v>
      </c>
      <c r="AG56">
        <f>IF('Planilla_General_03-12-2012_9_3'!883:883,"AAAAAG36/SA=",0)</f>
        <v>0</v>
      </c>
      <c r="AH56" t="e">
        <f>AND('Planilla_General_03-12-2012_9_3'!A883,"AAAAAG36/SE=")</f>
        <v>#VALUE!</v>
      </c>
      <c r="AI56" t="e">
        <f>AND('Planilla_General_03-12-2012_9_3'!B883,"AAAAAG36/SI=")</f>
        <v>#VALUE!</v>
      </c>
      <c r="AJ56" t="e">
        <f>AND('Planilla_General_03-12-2012_9_3'!C883,"AAAAAG36/SM=")</f>
        <v>#VALUE!</v>
      </c>
      <c r="AK56" t="e">
        <f>AND('Planilla_General_03-12-2012_9_3'!D883,"AAAAAG36/SQ=")</f>
        <v>#VALUE!</v>
      </c>
      <c r="AL56" t="e">
        <f>AND('Planilla_General_03-12-2012_9_3'!E883,"AAAAAG36/SU=")</f>
        <v>#VALUE!</v>
      </c>
      <c r="AM56" t="e">
        <f>AND('Planilla_General_03-12-2012_9_3'!F883,"AAAAAG36/SY=")</f>
        <v>#VALUE!</v>
      </c>
      <c r="AN56" t="e">
        <f>AND('Planilla_General_03-12-2012_9_3'!G883,"AAAAAG36/Sc=")</f>
        <v>#VALUE!</v>
      </c>
      <c r="AO56" t="e">
        <f>AND('Planilla_General_03-12-2012_9_3'!H883,"AAAAAG36/Sg=")</f>
        <v>#VALUE!</v>
      </c>
      <c r="AP56" t="e">
        <f>AND('Planilla_General_03-12-2012_9_3'!I883,"AAAAAG36/Sk=")</f>
        <v>#VALUE!</v>
      </c>
      <c r="AQ56" t="e">
        <f>AND('Planilla_General_03-12-2012_9_3'!J883,"AAAAAG36/So=")</f>
        <v>#VALUE!</v>
      </c>
      <c r="AR56" t="e">
        <f>AND('Planilla_General_03-12-2012_9_3'!K883,"AAAAAG36/Ss=")</f>
        <v>#VALUE!</v>
      </c>
      <c r="AS56" t="e">
        <f>AND('Planilla_General_03-12-2012_9_3'!L883,"AAAAAG36/Sw=")</f>
        <v>#VALUE!</v>
      </c>
      <c r="AT56" t="e">
        <f>AND('Planilla_General_03-12-2012_9_3'!M883,"AAAAAG36/S0=")</f>
        <v>#VALUE!</v>
      </c>
      <c r="AU56" t="e">
        <f>AND('Planilla_General_03-12-2012_9_3'!N883,"AAAAAG36/S4=")</f>
        <v>#VALUE!</v>
      </c>
      <c r="AV56" t="e">
        <f>AND('Planilla_General_03-12-2012_9_3'!O883,"AAAAAG36/S8=")</f>
        <v>#VALUE!</v>
      </c>
      <c r="AW56">
        <f>IF('Planilla_General_03-12-2012_9_3'!884:884,"AAAAAG36/TA=",0)</f>
        <v>0</v>
      </c>
      <c r="AX56" t="e">
        <f>AND('Planilla_General_03-12-2012_9_3'!A884,"AAAAAG36/TE=")</f>
        <v>#VALUE!</v>
      </c>
      <c r="AY56" t="e">
        <f>AND('Planilla_General_03-12-2012_9_3'!B884,"AAAAAG36/TI=")</f>
        <v>#VALUE!</v>
      </c>
      <c r="AZ56" t="e">
        <f>AND('Planilla_General_03-12-2012_9_3'!C884,"AAAAAG36/TM=")</f>
        <v>#VALUE!</v>
      </c>
      <c r="BA56" t="e">
        <f>AND('Planilla_General_03-12-2012_9_3'!D884,"AAAAAG36/TQ=")</f>
        <v>#VALUE!</v>
      </c>
      <c r="BB56" t="e">
        <f>AND('Planilla_General_03-12-2012_9_3'!E884,"AAAAAG36/TU=")</f>
        <v>#VALUE!</v>
      </c>
      <c r="BC56" t="e">
        <f>AND('Planilla_General_03-12-2012_9_3'!F884,"AAAAAG36/TY=")</f>
        <v>#VALUE!</v>
      </c>
      <c r="BD56" t="e">
        <f>AND('Planilla_General_03-12-2012_9_3'!G884,"AAAAAG36/Tc=")</f>
        <v>#VALUE!</v>
      </c>
      <c r="BE56" t="e">
        <f>AND('Planilla_General_03-12-2012_9_3'!H884,"AAAAAG36/Tg=")</f>
        <v>#VALUE!</v>
      </c>
      <c r="BF56" t="e">
        <f>AND('Planilla_General_03-12-2012_9_3'!I884,"AAAAAG36/Tk=")</f>
        <v>#VALUE!</v>
      </c>
      <c r="BG56" t="e">
        <f>AND('Planilla_General_03-12-2012_9_3'!J884,"AAAAAG36/To=")</f>
        <v>#VALUE!</v>
      </c>
      <c r="BH56" t="e">
        <f>AND('Planilla_General_03-12-2012_9_3'!K884,"AAAAAG36/Ts=")</f>
        <v>#VALUE!</v>
      </c>
      <c r="BI56" t="e">
        <f>AND('Planilla_General_03-12-2012_9_3'!L884,"AAAAAG36/Tw=")</f>
        <v>#VALUE!</v>
      </c>
      <c r="BJ56" t="e">
        <f>AND('Planilla_General_03-12-2012_9_3'!M884,"AAAAAG36/T0=")</f>
        <v>#VALUE!</v>
      </c>
      <c r="BK56" t="e">
        <f>AND('Planilla_General_03-12-2012_9_3'!N884,"AAAAAG36/T4=")</f>
        <v>#VALUE!</v>
      </c>
      <c r="BL56" t="e">
        <f>AND('Planilla_General_03-12-2012_9_3'!O884,"AAAAAG36/T8=")</f>
        <v>#VALUE!</v>
      </c>
      <c r="BM56">
        <f>IF('Planilla_General_03-12-2012_9_3'!885:885,"AAAAAG36/UA=",0)</f>
        <v>0</v>
      </c>
      <c r="BN56" t="e">
        <f>AND('Planilla_General_03-12-2012_9_3'!A885,"AAAAAG36/UE=")</f>
        <v>#VALUE!</v>
      </c>
      <c r="BO56" t="e">
        <f>AND('Planilla_General_03-12-2012_9_3'!B885,"AAAAAG36/UI=")</f>
        <v>#VALUE!</v>
      </c>
      <c r="BP56" t="e">
        <f>AND('Planilla_General_03-12-2012_9_3'!C885,"AAAAAG36/UM=")</f>
        <v>#VALUE!</v>
      </c>
      <c r="BQ56" t="e">
        <f>AND('Planilla_General_03-12-2012_9_3'!D885,"AAAAAG36/UQ=")</f>
        <v>#VALUE!</v>
      </c>
      <c r="BR56" t="e">
        <f>AND('Planilla_General_03-12-2012_9_3'!E885,"AAAAAG36/UU=")</f>
        <v>#VALUE!</v>
      </c>
      <c r="BS56" t="e">
        <f>AND('Planilla_General_03-12-2012_9_3'!F885,"AAAAAG36/UY=")</f>
        <v>#VALUE!</v>
      </c>
      <c r="BT56" t="e">
        <f>AND('Planilla_General_03-12-2012_9_3'!G885,"AAAAAG36/Uc=")</f>
        <v>#VALUE!</v>
      </c>
      <c r="BU56" t="e">
        <f>AND('Planilla_General_03-12-2012_9_3'!H885,"AAAAAG36/Ug=")</f>
        <v>#VALUE!</v>
      </c>
      <c r="BV56" t="e">
        <f>AND('Planilla_General_03-12-2012_9_3'!I885,"AAAAAG36/Uk=")</f>
        <v>#VALUE!</v>
      </c>
      <c r="BW56" t="e">
        <f>AND('Planilla_General_03-12-2012_9_3'!J885,"AAAAAG36/Uo=")</f>
        <v>#VALUE!</v>
      </c>
      <c r="BX56" t="e">
        <f>AND('Planilla_General_03-12-2012_9_3'!K885,"AAAAAG36/Us=")</f>
        <v>#VALUE!</v>
      </c>
      <c r="BY56" t="e">
        <f>AND('Planilla_General_03-12-2012_9_3'!L885,"AAAAAG36/Uw=")</f>
        <v>#VALUE!</v>
      </c>
      <c r="BZ56" t="e">
        <f>AND('Planilla_General_03-12-2012_9_3'!M885,"AAAAAG36/U0=")</f>
        <v>#VALUE!</v>
      </c>
      <c r="CA56" t="e">
        <f>AND('Planilla_General_03-12-2012_9_3'!N885,"AAAAAG36/U4=")</f>
        <v>#VALUE!</v>
      </c>
      <c r="CB56" t="e">
        <f>AND('Planilla_General_03-12-2012_9_3'!O885,"AAAAAG36/U8=")</f>
        <v>#VALUE!</v>
      </c>
      <c r="CC56">
        <f>IF('Planilla_General_03-12-2012_9_3'!886:886,"AAAAAG36/VA=",0)</f>
        <v>0</v>
      </c>
      <c r="CD56" t="e">
        <f>AND('Planilla_General_03-12-2012_9_3'!A886,"AAAAAG36/VE=")</f>
        <v>#VALUE!</v>
      </c>
      <c r="CE56" t="e">
        <f>AND('Planilla_General_03-12-2012_9_3'!B886,"AAAAAG36/VI=")</f>
        <v>#VALUE!</v>
      </c>
      <c r="CF56" t="e">
        <f>AND('Planilla_General_03-12-2012_9_3'!C886,"AAAAAG36/VM=")</f>
        <v>#VALUE!</v>
      </c>
      <c r="CG56" t="e">
        <f>AND('Planilla_General_03-12-2012_9_3'!D886,"AAAAAG36/VQ=")</f>
        <v>#VALUE!</v>
      </c>
      <c r="CH56" t="e">
        <f>AND('Planilla_General_03-12-2012_9_3'!E886,"AAAAAG36/VU=")</f>
        <v>#VALUE!</v>
      </c>
      <c r="CI56" t="e">
        <f>AND('Planilla_General_03-12-2012_9_3'!F886,"AAAAAG36/VY=")</f>
        <v>#VALUE!</v>
      </c>
      <c r="CJ56" t="e">
        <f>AND('Planilla_General_03-12-2012_9_3'!G886,"AAAAAG36/Vc=")</f>
        <v>#VALUE!</v>
      </c>
      <c r="CK56" t="e">
        <f>AND('Planilla_General_03-12-2012_9_3'!H886,"AAAAAG36/Vg=")</f>
        <v>#VALUE!</v>
      </c>
      <c r="CL56" t="e">
        <f>AND('Planilla_General_03-12-2012_9_3'!I886,"AAAAAG36/Vk=")</f>
        <v>#VALUE!</v>
      </c>
      <c r="CM56" t="e">
        <f>AND('Planilla_General_03-12-2012_9_3'!J886,"AAAAAG36/Vo=")</f>
        <v>#VALUE!</v>
      </c>
      <c r="CN56" t="e">
        <f>AND('Planilla_General_03-12-2012_9_3'!K886,"AAAAAG36/Vs=")</f>
        <v>#VALUE!</v>
      </c>
      <c r="CO56" t="e">
        <f>AND('Planilla_General_03-12-2012_9_3'!L886,"AAAAAG36/Vw=")</f>
        <v>#VALUE!</v>
      </c>
      <c r="CP56" t="e">
        <f>AND('Planilla_General_03-12-2012_9_3'!M886,"AAAAAG36/V0=")</f>
        <v>#VALUE!</v>
      </c>
      <c r="CQ56" t="e">
        <f>AND('Planilla_General_03-12-2012_9_3'!N886,"AAAAAG36/V4=")</f>
        <v>#VALUE!</v>
      </c>
      <c r="CR56" t="e">
        <f>AND('Planilla_General_03-12-2012_9_3'!O886,"AAAAAG36/V8=")</f>
        <v>#VALUE!</v>
      </c>
      <c r="CS56">
        <f>IF('Planilla_General_03-12-2012_9_3'!887:887,"AAAAAG36/WA=",0)</f>
        <v>0</v>
      </c>
      <c r="CT56" t="e">
        <f>AND('Planilla_General_03-12-2012_9_3'!A887,"AAAAAG36/WE=")</f>
        <v>#VALUE!</v>
      </c>
      <c r="CU56" t="e">
        <f>AND('Planilla_General_03-12-2012_9_3'!B887,"AAAAAG36/WI=")</f>
        <v>#VALUE!</v>
      </c>
      <c r="CV56" t="e">
        <f>AND('Planilla_General_03-12-2012_9_3'!C887,"AAAAAG36/WM=")</f>
        <v>#VALUE!</v>
      </c>
      <c r="CW56" t="e">
        <f>AND('Planilla_General_03-12-2012_9_3'!D887,"AAAAAG36/WQ=")</f>
        <v>#VALUE!</v>
      </c>
      <c r="CX56" t="e">
        <f>AND('Planilla_General_03-12-2012_9_3'!E887,"AAAAAG36/WU=")</f>
        <v>#VALUE!</v>
      </c>
      <c r="CY56" t="e">
        <f>AND('Planilla_General_03-12-2012_9_3'!F887,"AAAAAG36/WY=")</f>
        <v>#VALUE!</v>
      </c>
      <c r="CZ56" t="e">
        <f>AND('Planilla_General_03-12-2012_9_3'!G887,"AAAAAG36/Wc=")</f>
        <v>#VALUE!</v>
      </c>
      <c r="DA56" t="e">
        <f>AND('Planilla_General_03-12-2012_9_3'!H887,"AAAAAG36/Wg=")</f>
        <v>#VALUE!</v>
      </c>
      <c r="DB56" t="e">
        <f>AND('Planilla_General_03-12-2012_9_3'!I887,"AAAAAG36/Wk=")</f>
        <v>#VALUE!</v>
      </c>
      <c r="DC56" t="e">
        <f>AND('Planilla_General_03-12-2012_9_3'!J887,"AAAAAG36/Wo=")</f>
        <v>#VALUE!</v>
      </c>
      <c r="DD56" t="e">
        <f>AND('Planilla_General_03-12-2012_9_3'!K887,"AAAAAG36/Ws=")</f>
        <v>#VALUE!</v>
      </c>
      <c r="DE56" t="e">
        <f>AND('Planilla_General_03-12-2012_9_3'!L887,"AAAAAG36/Ww=")</f>
        <v>#VALUE!</v>
      </c>
      <c r="DF56" t="e">
        <f>AND('Planilla_General_03-12-2012_9_3'!M887,"AAAAAG36/W0=")</f>
        <v>#VALUE!</v>
      </c>
      <c r="DG56" t="e">
        <f>AND('Planilla_General_03-12-2012_9_3'!N887,"AAAAAG36/W4=")</f>
        <v>#VALUE!</v>
      </c>
      <c r="DH56" t="e">
        <f>AND('Planilla_General_03-12-2012_9_3'!O887,"AAAAAG36/W8=")</f>
        <v>#VALUE!</v>
      </c>
      <c r="DI56">
        <f>IF('Planilla_General_03-12-2012_9_3'!888:888,"AAAAAG36/XA=",0)</f>
        <v>0</v>
      </c>
      <c r="DJ56" t="e">
        <f>AND('Planilla_General_03-12-2012_9_3'!A888,"AAAAAG36/XE=")</f>
        <v>#VALUE!</v>
      </c>
      <c r="DK56" t="e">
        <f>AND('Planilla_General_03-12-2012_9_3'!B888,"AAAAAG36/XI=")</f>
        <v>#VALUE!</v>
      </c>
      <c r="DL56" t="e">
        <f>AND('Planilla_General_03-12-2012_9_3'!C888,"AAAAAG36/XM=")</f>
        <v>#VALUE!</v>
      </c>
      <c r="DM56" t="e">
        <f>AND('Planilla_General_03-12-2012_9_3'!D888,"AAAAAG36/XQ=")</f>
        <v>#VALUE!</v>
      </c>
      <c r="DN56" t="e">
        <f>AND('Planilla_General_03-12-2012_9_3'!E888,"AAAAAG36/XU=")</f>
        <v>#VALUE!</v>
      </c>
      <c r="DO56" t="e">
        <f>AND('Planilla_General_03-12-2012_9_3'!F888,"AAAAAG36/XY=")</f>
        <v>#VALUE!</v>
      </c>
      <c r="DP56" t="e">
        <f>AND('Planilla_General_03-12-2012_9_3'!G888,"AAAAAG36/Xc=")</f>
        <v>#VALUE!</v>
      </c>
      <c r="DQ56" t="e">
        <f>AND('Planilla_General_03-12-2012_9_3'!H888,"AAAAAG36/Xg=")</f>
        <v>#VALUE!</v>
      </c>
      <c r="DR56" t="e">
        <f>AND('Planilla_General_03-12-2012_9_3'!I888,"AAAAAG36/Xk=")</f>
        <v>#VALUE!</v>
      </c>
      <c r="DS56" t="e">
        <f>AND('Planilla_General_03-12-2012_9_3'!J888,"AAAAAG36/Xo=")</f>
        <v>#VALUE!</v>
      </c>
      <c r="DT56" t="e">
        <f>AND('Planilla_General_03-12-2012_9_3'!K888,"AAAAAG36/Xs=")</f>
        <v>#VALUE!</v>
      </c>
      <c r="DU56" t="e">
        <f>AND('Planilla_General_03-12-2012_9_3'!L888,"AAAAAG36/Xw=")</f>
        <v>#VALUE!</v>
      </c>
      <c r="DV56" t="e">
        <f>AND('Planilla_General_03-12-2012_9_3'!M888,"AAAAAG36/X0=")</f>
        <v>#VALUE!</v>
      </c>
      <c r="DW56" t="e">
        <f>AND('Planilla_General_03-12-2012_9_3'!N888,"AAAAAG36/X4=")</f>
        <v>#VALUE!</v>
      </c>
      <c r="DX56" t="e">
        <f>AND('Planilla_General_03-12-2012_9_3'!O888,"AAAAAG36/X8=")</f>
        <v>#VALUE!</v>
      </c>
      <c r="DY56">
        <f>IF('Planilla_General_03-12-2012_9_3'!889:889,"AAAAAG36/YA=",0)</f>
        <v>0</v>
      </c>
      <c r="DZ56" t="e">
        <f>AND('Planilla_General_03-12-2012_9_3'!A889,"AAAAAG36/YE=")</f>
        <v>#VALUE!</v>
      </c>
      <c r="EA56" t="e">
        <f>AND('Planilla_General_03-12-2012_9_3'!B889,"AAAAAG36/YI=")</f>
        <v>#VALUE!</v>
      </c>
      <c r="EB56" t="e">
        <f>AND('Planilla_General_03-12-2012_9_3'!C889,"AAAAAG36/YM=")</f>
        <v>#VALUE!</v>
      </c>
      <c r="EC56" t="e">
        <f>AND('Planilla_General_03-12-2012_9_3'!D889,"AAAAAG36/YQ=")</f>
        <v>#VALUE!</v>
      </c>
      <c r="ED56" t="e">
        <f>AND('Planilla_General_03-12-2012_9_3'!E889,"AAAAAG36/YU=")</f>
        <v>#VALUE!</v>
      </c>
      <c r="EE56" t="e">
        <f>AND('Planilla_General_03-12-2012_9_3'!F889,"AAAAAG36/YY=")</f>
        <v>#VALUE!</v>
      </c>
      <c r="EF56" t="e">
        <f>AND('Planilla_General_03-12-2012_9_3'!G889,"AAAAAG36/Yc=")</f>
        <v>#VALUE!</v>
      </c>
      <c r="EG56" t="e">
        <f>AND('Planilla_General_03-12-2012_9_3'!H889,"AAAAAG36/Yg=")</f>
        <v>#VALUE!</v>
      </c>
      <c r="EH56" t="e">
        <f>AND('Planilla_General_03-12-2012_9_3'!I889,"AAAAAG36/Yk=")</f>
        <v>#VALUE!</v>
      </c>
      <c r="EI56" t="e">
        <f>AND('Planilla_General_03-12-2012_9_3'!J889,"AAAAAG36/Yo=")</f>
        <v>#VALUE!</v>
      </c>
      <c r="EJ56" t="e">
        <f>AND('Planilla_General_03-12-2012_9_3'!K889,"AAAAAG36/Ys=")</f>
        <v>#VALUE!</v>
      </c>
      <c r="EK56" t="e">
        <f>AND('Planilla_General_03-12-2012_9_3'!L889,"AAAAAG36/Yw=")</f>
        <v>#VALUE!</v>
      </c>
      <c r="EL56" t="e">
        <f>AND('Planilla_General_03-12-2012_9_3'!M889,"AAAAAG36/Y0=")</f>
        <v>#VALUE!</v>
      </c>
      <c r="EM56" t="e">
        <f>AND('Planilla_General_03-12-2012_9_3'!N889,"AAAAAG36/Y4=")</f>
        <v>#VALUE!</v>
      </c>
      <c r="EN56" t="e">
        <f>AND('Planilla_General_03-12-2012_9_3'!O889,"AAAAAG36/Y8=")</f>
        <v>#VALUE!</v>
      </c>
      <c r="EO56">
        <f>IF('Planilla_General_03-12-2012_9_3'!890:890,"AAAAAG36/ZA=",0)</f>
        <v>0</v>
      </c>
      <c r="EP56" t="e">
        <f>AND('Planilla_General_03-12-2012_9_3'!A890,"AAAAAG36/ZE=")</f>
        <v>#VALUE!</v>
      </c>
      <c r="EQ56" t="e">
        <f>AND('Planilla_General_03-12-2012_9_3'!B890,"AAAAAG36/ZI=")</f>
        <v>#VALUE!</v>
      </c>
      <c r="ER56" t="e">
        <f>AND('Planilla_General_03-12-2012_9_3'!C890,"AAAAAG36/ZM=")</f>
        <v>#VALUE!</v>
      </c>
      <c r="ES56" t="e">
        <f>AND('Planilla_General_03-12-2012_9_3'!D890,"AAAAAG36/ZQ=")</f>
        <v>#VALUE!</v>
      </c>
      <c r="ET56" t="e">
        <f>AND('Planilla_General_03-12-2012_9_3'!E890,"AAAAAG36/ZU=")</f>
        <v>#VALUE!</v>
      </c>
      <c r="EU56" t="e">
        <f>AND('Planilla_General_03-12-2012_9_3'!F890,"AAAAAG36/ZY=")</f>
        <v>#VALUE!</v>
      </c>
      <c r="EV56" t="e">
        <f>AND('Planilla_General_03-12-2012_9_3'!G890,"AAAAAG36/Zc=")</f>
        <v>#VALUE!</v>
      </c>
      <c r="EW56" t="e">
        <f>AND('Planilla_General_03-12-2012_9_3'!H890,"AAAAAG36/Zg=")</f>
        <v>#VALUE!</v>
      </c>
      <c r="EX56" t="e">
        <f>AND('Planilla_General_03-12-2012_9_3'!I890,"AAAAAG36/Zk=")</f>
        <v>#VALUE!</v>
      </c>
      <c r="EY56" t="e">
        <f>AND('Planilla_General_03-12-2012_9_3'!J890,"AAAAAG36/Zo=")</f>
        <v>#VALUE!</v>
      </c>
      <c r="EZ56" t="e">
        <f>AND('Planilla_General_03-12-2012_9_3'!K890,"AAAAAG36/Zs=")</f>
        <v>#VALUE!</v>
      </c>
      <c r="FA56" t="e">
        <f>AND('Planilla_General_03-12-2012_9_3'!L890,"AAAAAG36/Zw=")</f>
        <v>#VALUE!</v>
      </c>
      <c r="FB56" t="e">
        <f>AND('Planilla_General_03-12-2012_9_3'!M890,"AAAAAG36/Z0=")</f>
        <v>#VALUE!</v>
      </c>
      <c r="FC56" t="e">
        <f>AND('Planilla_General_03-12-2012_9_3'!N890,"AAAAAG36/Z4=")</f>
        <v>#VALUE!</v>
      </c>
      <c r="FD56" t="e">
        <f>AND('Planilla_General_03-12-2012_9_3'!O890,"AAAAAG36/Z8=")</f>
        <v>#VALUE!</v>
      </c>
      <c r="FE56">
        <f>IF('Planilla_General_03-12-2012_9_3'!891:891,"AAAAAG36/aA=",0)</f>
        <v>0</v>
      </c>
      <c r="FF56" t="e">
        <f>AND('Planilla_General_03-12-2012_9_3'!A891,"AAAAAG36/aE=")</f>
        <v>#VALUE!</v>
      </c>
      <c r="FG56" t="e">
        <f>AND('Planilla_General_03-12-2012_9_3'!B891,"AAAAAG36/aI=")</f>
        <v>#VALUE!</v>
      </c>
      <c r="FH56" t="e">
        <f>AND('Planilla_General_03-12-2012_9_3'!C891,"AAAAAG36/aM=")</f>
        <v>#VALUE!</v>
      </c>
      <c r="FI56" t="e">
        <f>AND('Planilla_General_03-12-2012_9_3'!D891,"AAAAAG36/aQ=")</f>
        <v>#VALUE!</v>
      </c>
      <c r="FJ56" t="e">
        <f>AND('Planilla_General_03-12-2012_9_3'!E891,"AAAAAG36/aU=")</f>
        <v>#VALUE!</v>
      </c>
      <c r="FK56" t="e">
        <f>AND('Planilla_General_03-12-2012_9_3'!F891,"AAAAAG36/aY=")</f>
        <v>#VALUE!</v>
      </c>
      <c r="FL56" t="e">
        <f>AND('Planilla_General_03-12-2012_9_3'!G891,"AAAAAG36/ac=")</f>
        <v>#VALUE!</v>
      </c>
      <c r="FM56" t="e">
        <f>AND('Planilla_General_03-12-2012_9_3'!H891,"AAAAAG36/ag=")</f>
        <v>#VALUE!</v>
      </c>
      <c r="FN56" t="e">
        <f>AND('Planilla_General_03-12-2012_9_3'!I891,"AAAAAG36/ak=")</f>
        <v>#VALUE!</v>
      </c>
      <c r="FO56" t="e">
        <f>AND('Planilla_General_03-12-2012_9_3'!J891,"AAAAAG36/ao=")</f>
        <v>#VALUE!</v>
      </c>
      <c r="FP56" t="e">
        <f>AND('Planilla_General_03-12-2012_9_3'!K891,"AAAAAG36/as=")</f>
        <v>#VALUE!</v>
      </c>
      <c r="FQ56" t="e">
        <f>AND('Planilla_General_03-12-2012_9_3'!L891,"AAAAAG36/aw=")</f>
        <v>#VALUE!</v>
      </c>
      <c r="FR56" t="e">
        <f>AND('Planilla_General_03-12-2012_9_3'!M891,"AAAAAG36/a0=")</f>
        <v>#VALUE!</v>
      </c>
      <c r="FS56" t="e">
        <f>AND('Planilla_General_03-12-2012_9_3'!N891,"AAAAAG36/a4=")</f>
        <v>#VALUE!</v>
      </c>
      <c r="FT56" t="e">
        <f>AND('Planilla_General_03-12-2012_9_3'!O891,"AAAAAG36/a8=")</f>
        <v>#VALUE!</v>
      </c>
      <c r="FU56">
        <f>IF('Planilla_General_03-12-2012_9_3'!892:892,"AAAAAG36/bA=",0)</f>
        <v>0</v>
      </c>
      <c r="FV56" t="e">
        <f>AND('Planilla_General_03-12-2012_9_3'!A892,"AAAAAG36/bE=")</f>
        <v>#VALUE!</v>
      </c>
      <c r="FW56" t="e">
        <f>AND('Planilla_General_03-12-2012_9_3'!B892,"AAAAAG36/bI=")</f>
        <v>#VALUE!</v>
      </c>
      <c r="FX56" t="e">
        <f>AND('Planilla_General_03-12-2012_9_3'!C892,"AAAAAG36/bM=")</f>
        <v>#VALUE!</v>
      </c>
      <c r="FY56" t="e">
        <f>AND('Planilla_General_03-12-2012_9_3'!D892,"AAAAAG36/bQ=")</f>
        <v>#VALUE!</v>
      </c>
      <c r="FZ56" t="e">
        <f>AND('Planilla_General_03-12-2012_9_3'!E892,"AAAAAG36/bU=")</f>
        <v>#VALUE!</v>
      </c>
      <c r="GA56" t="e">
        <f>AND('Planilla_General_03-12-2012_9_3'!F892,"AAAAAG36/bY=")</f>
        <v>#VALUE!</v>
      </c>
      <c r="GB56" t="e">
        <f>AND('Planilla_General_03-12-2012_9_3'!G892,"AAAAAG36/bc=")</f>
        <v>#VALUE!</v>
      </c>
      <c r="GC56" t="e">
        <f>AND('Planilla_General_03-12-2012_9_3'!H892,"AAAAAG36/bg=")</f>
        <v>#VALUE!</v>
      </c>
      <c r="GD56" t="e">
        <f>AND('Planilla_General_03-12-2012_9_3'!I892,"AAAAAG36/bk=")</f>
        <v>#VALUE!</v>
      </c>
      <c r="GE56" t="e">
        <f>AND('Planilla_General_03-12-2012_9_3'!J892,"AAAAAG36/bo=")</f>
        <v>#VALUE!</v>
      </c>
      <c r="GF56" t="e">
        <f>AND('Planilla_General_03-12-2012_9_3'!K892,"AAAAAG36/bs=")</f>
        <v>#VALUE!</v>
      </c>
      <c r="GG56" t="e">
        <f>AND('Planilla_General_03-12-2012_9_3'!L892,"AAAAAG36/bw=")</f>
        <v>#VALUE!</v>
      </c>
      <c r="GH56" t="e">
        <f>AND('Planilla_General_03-12-2012_9_3'!M892,"AAAAAG36/b0=")</f>
        <v>#VALUE!</v>
      </c>
      <c r="GI56" t="e">
        <f>AND('Planilla_General_03-12-2012_9_3'!N892,"AAAAAG36/b4=")</f>
        <v>#VALUE!</v>
      </c>
      <c r="GJ56" t="e">
        <f>AND('Planilla_General_03-12-2012_9_3'!O892,"AAAAAG36/b8=")</f>
        <v>#VALUE!</v>
      </c>
      <c r="GK56">
        <f>IF('Planilla_General_03-12-2012_9_3'!893:893,"AAAAAG36/cA=",0)</f>
        <v>0</v>
      </c>
      <c r="GL56" t="e">
        <f>AND('Planilla_General_03-12-2012_9_3'!A893,"AAAAAG36/cE=")</f>
        <v>#VALUE!</v>
      </c>
      <c r="GM56" t="e">
        <f>AND('Planilla_General_03-12-2012_9_3'!B893,"AAAAAG36/cI=")</f>
        <v>#VALUE!</v>
      </c>
      <c r="GN56" t="e">
        <f>AND('Planilla_General_03-12-2012_9_3'!C893,"AAAAAG36/cM=")</f>
        <v>#VALUE!</v>
      </c>
      <c r="GO56" t="e">
        <f>AND('Planilla_General_03-12-2012_9_3'!D893,"AAAAAG36/cQ=")</f>
        <v>#VALUE!</v>
      </c>
      <c r="GP56" t="e">
        <f>AND('Planilla_General_03-12-2012_9_3'!E893,"AAAAAG36/cU=")</f>
        <v>#VALUE!</v>
      </c>
      <c r="GQ56" t="e">
        <f>AND('Planilla_General_03-12-2012_9_3'!F893,"AAAAAG36/cY=")</f>
        <v>#VALUE!</v>
      </c>
      <c r="GR56" t="e">
        <f>AND('Planilla_General_03-12-2012_9_3'!G893,"AAAAAG36/cc=")</f>
        <v>#VALUE!</v>
      </c>
      <c r="GS56" t="e">
        <f>AND('Planilla_General_03-12-2012_9_3'!H893,"AAAAAG36/cg=")</f>
        <v>#VALUE!</v>
      </c>
      <c r="GT56" t="e">
        <f>AND('Planilla_General_03-12-2012_9_3'!I893,"AAAAAG36/ck=")</f>
        <v>#VALUE!</v>
      </c>
      <c r="GU56" t="e">
        <f>AND('Planilla_General_03-12-2012_9_3'!J893,"AAAAAG36/co=")</f>
        <v>#VALUE!</v>
      </c>
      <c r="GV56" t="e">
        <f>AND('Planilla_General_03-12-2012_9_3'!K893,"AAAAAG36/cs=")</f>
        <v>#VALUE!</v>
      </c>
      <c r="GW56" t="e">
        <f>AND('Planilla_General_03-12-2012_9_3'!L893,"AAAAAG36/cw=")</f>
        <v>#VALUE!</v>
      </c>
      <c r="GX56" t="e">
        <f>AND('Planilla_General_03-12-2012_9_3'!M893,"AAAAAG36/c0=")</f>
        <v>#VALUE!</v>
      </c>
      <c r="GY56" t="e">
        <f>AND('Planilla_General_03-12-2012_9_3'!N893,"AAAAAG36/c4=")</f>
        <v>#VALUE!</v>
      </c>
      <c r="GZ56" t="e">
        <f>AND('Planilla_General_03-12-2012_9_3'!O893,"AAAAAG36/c8=")</f>
        <v>#VALUE!</v>
      </c>
      <c r="HA56">
        <f>IF('Planilla_General_03-12-2012_9_3'!894:894,"AAAAAG36/dA=",0)</f>
        <v>0</v>
      </c>
      <c r="HB56" t="e">
        <f>AND('Planilla_General_03-12-2012_9_3'!A894,"AAAAAG36/dE=")</f>
        <v>#VALUE!</v>
      </c>
      <c r="HC56" t="e">
        <f>AND('Planilla_General_03-12-2012_9_3'!B894,"AAAAAG36/dI=")</f>
        <v>#VALUE!</v>
      </c>
      <c r="HD56" t="e">
        <f>AND('Planilla_General_03-12-2012_9_3'!C894,"AAAAAG36/dM=")</f>
        <v>#VALUE!</v>
      </c>
      <c r="HE56" t="e">
        <f>AND('Planilla_General_03-12-2012_9_3'!D894,"AAAAAG36/dQ=")</f>
        <v>#VALUE!</v>
      </c>
      <c r="HF56" t="e">
        <f>AND('Planilla_General_03-12-2012_9_3'!E894,"AAAAAG36/dU=")</f>
        <v>#VALUE!</v>
      </c>
      <c r="HG56" t="e">
        <f>AND('Planilla_General_03-12-2012_9_3'!F894,"AAAAAG36/dY=")</f>
        <v>#VALUE!</v>
      </c>
      <c r="HH56" t="e">
        <f>AND('Planilla_General_03-12-2012_9_3'!G894,"AAAAAG36/dc=")</f>
        <v>#VALUE!</v>
      </c>
      <c r="HI56" t="e">
        <f>AND('Planilla_General_03-12-2012_9_3'!H894,"AAAAAG36/dg=")</f>
        <v>#VALUE!</v>
      </c>
      <c r="HJ56" t="e">
        <f>AND('Planilla_General_03-12-2012_9_3'!I894,"AAAAAG36/dk=")</f>
        <v>#VALUE!</v>
      </c>
      <c r="HK56" t="e">
        <f>AND('Planilla_General_03-12-2012_9_3'!J894,"AAAAAG36/do=")</f>
        <v>#VALUE!</v>
      </c>
      <c r="HL56" t="e">
        <f>AND('Planilla_General_03-12-2012_9_3'!K894,"AAAAAG36/ds=")</f>
        <v>#VALUE!</v>
      </c>
      <c r="HM56" t="e">
        <f>AND('Planilla_General_03-12-2012_9_3'!L894,"AAAAAG36/dw=")</f>
        <v>#VALUE!</v>
      </c>
      <c r="HN56" t="e">
        <f>AND('Planilla_General_03-12-2012_9_3'!M894,"AAAAAG36/d0=")</f>
        <v>#VALUE!</v>
      </c>
      <c r="HO56" t="e">
        <f>AND('Planilla_General_03-12-2012_9_3'!N894,"AAAAAG36/d4=")</f>
        <v>#VALUE!</v>
      </c>
      <c r="HP56" t="e">
        <f>AND('Planilla_General_03-12-2012_9_3'!O894,"AAAAAG36/d8=")</f>
        <v>#VALUE!</v>
      </c>
      <c r="HQ56">
        <f>IF('Planilla_General_03-12-2012_9_3'!895:895,"AAAAAG36/eA=",0)</f>
        <v>0</v>
      </c>
      <c r="HR56" t="e">
        <f>AND('Planilla_General_03-12-2012_9_3'!A895,"AAAAAG36/eE=")</f>
        <v>#VALUE!</v>
      </c>
      <c r="HS56" t="e">
        <f>AND('Planilla_General_03-12-2012_9_3'!B895,"AAAAAG36/eI=")</f>
        <v>#VALUE!</v>
      </c>
      <c r="HT56" t="e">
        <f>AND('Planilla_General_03-12-2012_9_3'!C895,"AAAAAG36/eM=")</f>
        <v>#VALUE!</v>
      </c>
      <c r="HU56" t="e">
        <f>AND('Planilla_General_03-12-2012_9_3'!D895,"AAAAAG36/eQ=")</f>
        <v>#VALUE!</v>
      </c>
      <c r="HV56" t="e">
        <f>AND('Planilla_General_03-12-2012_9_3'!E895,"AAAAAG36/eU=")</f>
        <v>#VALUE!</v>
      </c>
      <c r="HW56" t="e">
        <f>AND('Planilla_General_03-12-2012_9_3'!F895,"AAAAAG36/eY=")</f>
        <v>#VALUE!</v>
      </c>
      <c r="HX56" t="e">
        <f>AND('Planilla_General_03-12-2012_9_3'!G895,"AAAAAG36/ec=")</f>
        <v>#VALUE!</v>
      </c>
      <c r="HY56" t="e">
        <f>AND('Planilla_General_03-12-2012_9_3'!H895,"AAAAAG36/eg=")</f>
        <v>#VALUE!</v>
      </c>
      <c r="HZ56" t="e">
        <f>AND('Planilla_General_03-12-2012_9_3'!I895,"AAAAAG36/ek=")</f>
        <v>#VALUE!</v>
      </c>
      <c r="IA56" t="e">
        <f>AND('Planilla_General_03-12-2012_9_3'!J895,"AAAAAG36/eo=")</f>
        <v>#VALUE!</v>
      </c>
      <c r="IB56" t="e">
        <f>AND('Planilla_General_03-12-2012_9_3'!K895,"AAAAAG36/es=")</f>
        <v>#VALUE!</v>
      </c>
      <c r="IC56" t="e">
        <f>AND('Planilla_General_03-12-2012_9_3'!L895,"AAAAAG36/ew=")</f>
        <v>#VALUE!</v>
      </c>
      <c r="ID56" t="e">
        <f>AND('Planilla_General_03-12-2012_9_3'!M895,"AAAAAG36/e0=")</f>
        <v>#VALUE!</v>
      </c>
      <c r="IE56" t="e">
        <f>AND('Planilla_General_03-12-2012_9_3'!N895,"AAAAAG36/e4=")</f>
        <v>#VALUE!</v>
      </c>
      <c r="IF56" t="e">
        <f>AND('Planilla_General_03-12-2012_9_3'!O895,"AAAAAG36/e8=")</f>
        <v>#VALUE!</v>
      </c>
      <c r="IG56">
        <f>IF('Planilla_General_03-12-2012_9_3'!896:896,"AAAAAG36/fA=",0)</f>
        <v>0</v>
      </c>
      <c r="IH56" t="e">
        <f>AND('Planilla_General_03-12-2012_9_3'!A896,"AAAAAG36/fE=")</f>
        <v>#VALUE!</v>
      </c>
      <c r="II56" t="e">
        <f>AND('Planilla_General_03-12-2012_9_3'!B896,"AAAAAG36/fI=")</f>
        <v>#VALUE!</v>
      </c>
      <c r="IJ56" t="e">
        <f>AND('Planilla_General_03-12-2012_9_3'!C896,"AAAAAG36/fM=")</f>
        <v>#VALUE!</v>
      </c>
      <c r="IK56" t="e">
        <f>AND('Planilla_General_03-12-2012_9_3'!D896,"AAAAAG36/fQ=")</f>
        <v>#VALUE!</v>
      </c>
      <c r="IL56" t="e">
        <f>AND('Planilla_General_03-12-2012_9_3'!E896,"AAAAAG36/fU=")</f>
        <v>#VALUE!</v>
      </c>
      <c r="IM56" t="e">
        <f>AND('Planilla_General_03-12-2012_9_3'!F896,"AAAAAG36/fY=")</f>
        <v>#VALUE!</v>
      </c>
      <c r="IN56" t="e">
        <f>AND('Planilla_General_03-12-2012_9_3'!G896,"AAAAAG36/fc=")</f>
        <v>#VALUE!</v>
      </c>
      <c r="IO56" t="e">
        <f>AND('Planilla_General_03-12-2012_9_3'!H896,"AAAAAG36/fg=")</f>
        <v>#VALUE!</v>
      </c>
      <c r="IP56" t="e">
        <f>AND('Planilla_General_03-12-2012_9_3'!I896,"AAAAAG36/fk=")</f>
        <v>#VALUE!</v>
      </c>
      <c r="IQ56" t="e">
        <f>AND('Planilla_General_03-12-2012_9_3'!J896,"AAAAAG36/fo=")</f>
        <v>#VALUE!</v>
      </c>
      <c r="IR56" t="e">
        <f>AND('Planilla_General_03-12-2012_9_3'!K896,"AAAAAG36/fs=")</f>
        <v>#VALUE!</v>
      </c>
      <c r="IS56" t="e">
        <f>AND('Planilla_General_03-12-2012_9_3'!L896,"AAAAAG36/fw=")</f>
        <v>#VALUE!</v>
      </c>
      <c r="IT56" t="e">
        <f>AND('Planilla_General_03-12-2012_9_3'!M896,"AAAAAG36/f0=")</f>
        <v>#VALUE!</v>
      </c>
      <c r="IU56" t="e">
        <f>AND('Planilla_General_03-12-2012_9_3'!N896,"AAAAAG36/f4=")</f>
        <v>#VALUE!</v>
      </c>
      <c r="IV56" t="e">
        <f>AND('Planilla_General_03-12-2012_9_3'!O896,"AAAAAG36/f8=")</f>
        <v>#VALUE!</v>
      </c>
    </row>
    <row r="57" spans="1:256" x14ac:dyDescent="0.25">
      <c r="A57" t="e">
        <f>IF('Planilla_General_03-12-2012_9_3'!897:897,"AAAAAG5+LwA=",0)</f>
        <v>#VALUE!</v>
      </c>
      <c r="B57" t="e">
        <f>AND('Planilla_General_03-12-2012_9_3'!A897,"AAAAAG5+LwE=")</f>
        <v>#VALUE!</v>
      </c>
      <c r="C57" t="e">
        <f>AND('Planilla_General_03-12-2012_9_3'!B897,"AAAAAG5+LwI=")</f>
        <v>#VALUE!</v>
      </c>
      <c r="D57" t="e">
        <f>AND('Planilla_General_03-12-2012_9_3'!C897,"AAAAAG5+LwM=")</f>
        <v>#VALUE!</v>
      </c>
      <c r="E57" t="e">
        <f>AND('Planilla_General_03-12-2012_9_3'!D897,"AAAAAG5+LwQ=")</f>
        <v>#VALUE!</v>
      </c>
      <c r="F57" t="e">
        <f>AND('Planilla_General_03-12-2012_9_3'!E897,"AAAAAG5+LwU=")</f>
        <v>#VALUE!</v>
      </c>
      <c r="G57" t="e">
        <f>AND('Planilla_General_03-12-2012_9_3'!F897,"AAAAAG5+LwY=")</f>
        <v>#VALUE!</v>
      </c>
      <c r="H57" t="e">
        <f>AND('Planilla_General_03-12-2012_9_3'!G897,"AAAAAG5+Lwc=")</f>
        <v>#VALUE!</v>
      </c>
      <c r="I57" t="e">
        <f>AND('Planilla_General_03-12-2012_9_3'!H897,"AAAAAG5+Lwg=")</f>
        <v>#VALUE!</v>
      </c>
      <c r="J57" t="e">
        <f>AND('Planilla_General_03-12-2012_9_3'!I897,"AAAAAG5+Lwk=")</f>
        <v>#VALUE!</v>
      </c>
      <c r="K57" t="e">
        <f>AND('Planilla_General_03-12-2012_9_3'!J897,"AAAAAG5+Lwo=")</f>
        <v>#VALUE!</v>
      </c>
      <c r="L57" t="e">
        <f>AND('Planilla_General_03-12-2012_9_3'!K897,"AAAAAG5+Lws=")</f>
        <v>#VALUE!</v>
      </c>
      <c r="M57" t="e">
        <f>AND('Planilla_General_03-12-2012_9_3'!L897,"AAAAAG5+Lww=")</f>
        <v>#VALUE!</v>
      </c>
      <c r="N57" t="e">
        <f>AND('Planilla_General_03-12-2012_9_3'!M897,"AAAAAG5+Lw0=")</f>
        <v>#VALUE!</v>
      </c>
      <c r="O57" t="e">
        <f>AND('Planilla_General_03-12-2012_9_3'!N897,"AAAAAG5+Lw4=")</f>
        <v>#VALUE!</v>
      </c>
      <c r="P57" t="e">
        <f>AND('Planilla_General_03-12-2012_9_3'!O897,"AAAAAG5+Lw8=")</f>
        <v>#VALUE!</v>
      </c>
      <c r="Q57">
        <f>IF('Planilla_General_03-12-2012_9_3'!898:898,"AAAAAG5+LxA=",0)</f>
        <v>0</v>
      </c>
      <c r="R57" t="e">
        <f>AND('Planilla_General_03-12-2012_9_3'!A898,"AAAAAG5+LxE=")</f>
        <v>#VALUE!</v>
      </c>
      <c r="S57" t="e">
        <f>AND('Planilla_General_03-12-2012_9_3'!B898,"AAAAAG5+LxI=")</f>
        <v>#VALUE!</v>
      </c>
      <c r="T57" t="e">
        <f>AND('Planilla_General_03-12-2012_9_3'!C898,"AAAAAG5+LxM=")</f>
        <v>#VALUE!</v>
      </c>
      <c r="U57" t="e">
        <f>AND('Planilla_General_03-12-2012_9_3'!D898,"AAAAAG5+LxQ=")</f>
        <v>#VALUE!</v>
      </c>
      <c r="V57" t="e">
        <f>AND('Planilla_General_03-12-2012_9_3'!E898,"AAAAAG5+LxU=")</f>
        <v>#VALUE!</v>
      </c>
      <c r="W57" t="e">
        <f>AND('Planilla_General_03-12-2012_9_3'!F898,"AAAAAG5+LxY=")</f>
        <v>#VALUE!</v>
      </c>
      <c r="X57" t="e">
        <f>AND('Planilla_General_03-12-2012_9_3'!G898,"AAAAAG5+Lxc=")</f>
        <v>#VALUE!</v>
      </c>
      <c r="Y57" t="e">
        <f>AND('Planilla_General_03-12-2012_9_3'!H898,"AAAAAG5+Lxg=")</f>
        <v>#VALUE!</v>
      </c>
      <c r="Z57" t="e">
        <f>AND('Planilla_General_03-12-2012_9_3'!I898,"AAAAAG5+Lxk=")</f>
        <v>#VALUE!</v>
      </c>
      <c r="AA57" t="e">
        <f>AND('Planilla_General_03-12-2012_9_3'!J898,"AAAAAG5+Lxo=")</f>
        <v>#VALUE!</v>
      </c>
      <c r="AB57" t="e">
        <f>AND('Planilla_General_03-12-2012_9_3'!K898,"AAAAAG5+Lxs=")</f>
        <v>#VALUE!</v>
      </c>
      <c r="AC57" t="e">
        <f>AND('Planilla_General_03-12-2012_9_3'!L898,"AAAAAG5+Lxw=")</f>
        <v>#VALUE!</v>
      </c>
      <c r="AD57" t="e">
        <f>AND('Planilla_General_03-12-2012_9_3'!M898,"AAAAAG5+Lx0=")</f>
        <v>#VALUE!</v>
      </c>
      <c r="AE57" t="e">
        <f>AND('Planilla_General_03-12-2012_9_3'!N898,"AAAAAG5+Lx4=")</f>
        <v>#VALUE!</v>
      </c>
      <c r="AF57" t="e">
        <f>AND('Planilla_General_03-12-2012_9_3'!O898,"AAAAAG5+Lx8=")</f>
        <v>#VALUE!</v>
      </c>
      <c r="AG57">
        <f>IF('Planilla_General_03-12-2012_9_3'!899:899,"AAAAAG5+LyA=",0)</f>
        <v>0</v>
      </c>
      <c r="AH57" t="e">
        <f>AND('Planilla_General_03-12-2012_9_3'!A899,"AAAAAG5+LyE=")</f>
        <v>#VALUE!</v>
      </c>
      <c r="AI57" t="e">
        <f>AND('Planilla_General_03-12-2012_9_3'!B899,"AAAAAG5+LyI=")</f>
        <v>#VALUE!</v>
      </c>
      <c r="AJ57" t="e">
        <f>AND('Planilla_General_03-12-2012_9_3'!C899,"AAAAAG5+LyM=")</f>
        <v>#VALUE!</v>
      </c>
      <c r="AK57" t="e">
        <f>AND('Planilla_General_03-12-2012_9_3'!D899,"AAAAAG5+LyQ=")</f>
        <v>#VALUE!</v>
      </c>
      <c r="AL57" t="e">
        <f>AND('Planilla_General_03-12-2012_9_3'!E899,"AAAAAG5+LyU=")</f>
        <v>#VALUE!</v>
      </c>
      <c r="AM57" t="e">
        <f>AND('Planilla_General_03-12-2012_9_3'!F899,"AAAAAG5+LyY=")</f>
        <v>#VALUE!</v>
      </c>
      <c r="AN57" t="e">
        <f>AND('Planilla_General_03-12-2012_9_3'!G899,"AAAAAG5+Lyc=")</f>
        <v>#VALUE!</v>
      </c>
      <c r="AO57" t="e">
        <f>AND('Planilla_General_03-12-2012_9_3'!H899,"AAAAAG5+Lyg=")</f>
        <v>#VALUE!</v>
      </c>
      <c r="AP57" t="e">
        <f>AND('Planilla_General_03-12-2012_9_3'!I899,"AAAAAG5+Lyk=")</f>
        <v>#VALUE!</v>
      </c>
      <c r="AQ57" t="e">
        <f>AND('Planilla_General_03-12-2012_9_3'!J899,"AAAAAG5+Lyo=")</f>
        <v>#VALUE!</v>
      </c>
      <c r="AR57" t="e">
        <f>AND('Planilla_General_03-12-2012_9_3'!K899,"AAAAAG5+Lys=")</f>
        <v>#VALUE!</v>
      </c>
      <c r="AS57" t="e">
        <f>AND('Planilla_General_03-12-2012_9_3'!L899,"AAAAAG5+Lyw=")</f>
        <v>#VALUE!</v>
      </c>
      <c r="AT57" t="e">
        <f>AND('Planilla_General_03-12-2012_9_3'!M899,"AAAAAG5+Ly0=")</f>
        <v>#VALUE!</v>
      </c>
      <c r="AU57" t="e">
        <f>AND('Planilla_General_03-12-2012_9_3'!N899,"AAAAAG5+Ly4=")</f>
        <v>#VALUE!</v>
      </c>
      <c r="AV57" t="e">
        <f>AND('Planilla_General_03-12-2012_9_3'!O899,"AAAAAG5+Ly8=")</f>
        <v>#VALUE!</v>
      </c>
      <c r="AW57">
        <f>IF('Planilla_General_03-12-2012_9_3'!900:900,"AAAAAG5+LzA=",0)</f>
        <v>0</v>
      </c>
      <c r="AX57" t="e">
        <f>AND('Planilla_General_03-12-2012_9_3'!A900,"AAAAAG5+LzE=")</f>
        <v>#VALUE!</v>
      </c>
      <c r="AY57" t="e">
        <f>AND('Planilla_General_03-12-2012_9_3'!B900,"AAAAAG5+LzI=")</f>
        <v>#VALUE!</v>
      </c>
      <c r="AZ57" t="e">
        <f>AND('Planilla_General_03-12-2012_9_3'!C900,"AAAAAG5+LzM=")</f>
        <v>#VALUE!</v>
      </c>
      <c r="BA57" t="e">
        <f>AND('Planilla_General_03-12-2012_9_3'!D900,"AAAAAG5+LzQ=")</f>
        <v>#VALUE!</v>
      </c>
      <c r="BB57" t="e">
        <f>AND('Planilla_General_03-12-2012_9_3'!E900,"AAAAAG5+LzU=")</f>
        <v>#VALUE!</v>
      </c>
      <c r="BC57" t="e">
        <f>AND('Planilla_General_03-12-2012_9_3'!F900,"AAAAAG5+LzY=")</f>
        <v>#VALUE!</v>
      </c>
      <c r="BD57" t="e">
        <f>AND('Planilla_General_03-12-2012_9_3'!G900,"AAAAAG5+Lzc=")</f>
        <v>#VALUE!</v>
      </c>
      <c r="BE57" t="e">
        <f>AND('Planilla_General_03-12-2012_9_3'!H900,"AAAAAG5+Lzg=")</f>
        <v>#VALUE!</v>
      </c>
      <c r="BF57" t="e">
        <f>AND('Planilla_General_03-12-2012_9_3'!I900,"AAAAAG5+Lzk=")</f>
        <v>#VALUE!</v>
      </c>
      <c r="BG57" t="e">
        <f>AND('Planilla_General_03-12-2012_9_3'!J900,"AAAAAG5+Lzo=")</f>
        <v>#VALUE!</v>
      </c>
      <c r="BH57" t="e">
        <f>AND('Planilla_General_03-12-2012_9_3'!K900,"AAAAAG5+Lzs=")</f>
        <v>#VALUE!</v>
      </c>
      <c r="BI57" t="e">
        <f>AND('Planilla_General_03-12-2012_9_3'!L900,"AAAAAG5+Lzw=")</f>
        <v>#VALUE!</v>
      </c>
      <c r="BJ57" t="e">
        <f>AND('Planilla_General_03-12-2012_9_3'!M900,"AAAAAG5+Lz0=")</f>
        <v>#VALUE!</v>
      </c>
      <c r="BK57" t="e">
        <f>AND('Planilla_General_03-12-2012_9_3'!N900,"AAAAAG5+Lz4=")</f>
        <v>#VALUE!</v>
      </c>
      <c r="BL57" t="e">
        <f>AND('Planilla_General_03-12-2012_9_3'!O900,"AAAAAG5+Lz8=")</f>
        <v>#VALUE!</v>
      </c>
      <c r="BM57">
        <f>IF('Planilla_General_03-12-2012_9_3'!901:901,"AAAAAG5+L0A=",0)</f>
        <v>0</v>
      </c>
      <c r="BN57" t="e">
        <f>AND('Planilla_General_03-12-2012_9_3'!A901,"AAAAAG5+L0E=")</f>
        <v>#VALUE!</v>
      </c>
      <c r="BO57" t="e">
        <f>AND('Planilla_General_03-12-2012_9_3'!B901,"AAAAAG5+L0I=")</f>
        <v>#VALUE!</v>
      </c>
      <c r="BP57" t="e">
        <f>AND('Planilla_General_03-12-2012_9_3'!C901,"AAAAAG5+L0M=")</f>
        <v>#VALUE!</v>
      </c>
      <c r="BQ57" t="e">
        <f>AND('Planilla_General_03-12-2012_9_3'!D901,"AAAAAG5+L0Q=")</f>
        <v>#VALUE!</v>
      </c>
      <c r="BR57" t="e">
        <f>AND('Planilla_General_03-12-2012_9_3'!E901,"AAAAAG5+L0U=")</f>
        <v>#VALUE!</v>
      </c>
      <c r="BS57" t="e">
        <f>AND('Planilla_General_03-12-2012_9_3'!F901,"AAAAAG5+L0Y=")</f>
        <v>#VALUE!</v>
      </c>
      <c r="BT57" t="e">
        <f>AND('Planilla_General_03-12-2012_9_3'!G901,"AAAAAG5+L0c=")</f>
        <v>#VALUE!</v>
      </c>
      <c r="BU57" t="e">
        <f>AND('Planilla_General_03-12-2012_9_3'!H901,"AAAAAG5+L0g=")</f>
        <v>#VALUE!</v>
      </c>
      <c r="BV57" t="e">
        <f>AND('Planilla_General_03-12-2012_9_3'!I901,"AAAAAG5+L0k=")</f>
        <v>#VALUE!</v>
      </c>
      <c r="BW57" t="e">
        <f>AND('Planilla_General_03-12-2012_9_3'!J901,"AAAAAG5+L0o=")</f>
        <v>#VALUE!</v>
      </c>
      <c r="BX57" t="e">
        <f>AND('Planilla_General_03-12-2012_9_3'!K901,"AAAAAG5+L0s=")</f>
        <v>#VALUE!</v>
      </c>
      <c r="BY57" t="e">
        <f>AND('Planilla_General_03-12-2012_9_3'!L901,"AAAAAG5+L0w=")</f>
        <v>#VALUE!</v>
      </c>
      <c r="BZ57" t="e">
        <f>AND('Planilla_General_03-12-2012_9_3'!M901,"AAAAAG5+L00=")</f>
        <v>#VALUE!</v>
      </c>
      <c r="CA57" t="e">
        <f>AND('Planilla_General_03-12-2012_9_3'!N901,"AAAAAG5+L04=")</f>
        <v>#VALUE!</v>
      </c>
      <c r="CB57" t="e">
        <f>AND('Planilla_General_03-12-2012_9_3'!O901,"AAAAAG5+L08=")</f>
        <v>#VALUE!</v>
      </c>
      <c r="CC57">
        <f>IF('Planilla_General_03-12-2012_9_3'!902:902,"AAAAAG5+L1A=",0)</f>
        <v>0</v>
      </c>
      <c r="CD57" t="e">
        <f>AND('Planilla_General_03-12-2012_9_3'!A902,"AAAAAG5+L1E=")</f>
        <v>#VALUE!</v>
      </c>
      <c r="CE57" t="e">
        <f>AND('Planilla_General_03-12-2012_9_3'!B902,"AAAAAG5+L1I=")</f>
        <v>#VALUE!</v>
      </c>
      <c r="CF57" t="e">
        <f>AND('Planilla_General_03-12-2012_9_3'!C902,"AAAAAG5+L1M=")</f>
        <v>#VALUE!</v>
      </c>
      <c r="CG57" t="e">
        <f>AND('Planilla_General_03-12-2012_9_3'!D902,"AAAAAG5+L1Q=")</f>
        <v>#VALUE!</v>
      </c>
      <c r="CH57" t="e">
        <f>AND('Planilla_General_03-12-2012_9_3'!E902,"AAAAAG5+L1U=")</f>
        <v>#VALUE!</v>
      </c>
      <c r="CI57" t="e">
        <f>AND('Planilla_General_03-12-2012_9_3'!F902,"AAAAAG5+L1Y=")</f>
        <v>#VALUE!</v>
      </c>
      <c r="CJ57" t="e">
        <f>AND('Planilla_General_03-12-2012_9_3'!G902,"AAAAAG5+L1c=")</f>
        <v>#VALUE!</v>
      </c>
      <c r="CK57" t="e">
        <f>AND('Planilla_General_03-12-2012_9_3'!H902,"AAAAAG5+L1g=")</f>
        <v>#VALUE!</v>
      </c>
      <c r="CL57" t="e">
        <f>AND('Planilla_General_03-12-2012_9_3'!I902,"AAAAAG5+L1k=")</f>
        <v>#VALUE!</v>
      </c>
      <c r="CM57" t="e">
        <f>AND('Planilla_General_03-12-2012_9_3'!J902,"AAAAAG5+L1o=")</f>
        <v>#VALUE!</v>
      </c>
      <c r="CN57" t="e">
        <f>AND('Planilla_General_03-12-2012_9_3'!K902,"AAAAAG5+L1s=")</f>
        <v>#VALUE!</v>
      </c>
      <c r="CO57" t="e">
        <f>AND('Planilla_General_03-12-2012_9_3'!L902,"AAAAAG5+L1w=")</f>
        <v>#VALUE!</v>
      </c>
      <c r="CP57" t="e">
        <f>AND('Planilla_General_03-12-2012_9_3'!M902,"AAAAAG5+L10=")</f>
        <v>#VALUE!</v>
      </c>
      <c r="CQ57" t="e">
        <f>AND('Planilla_General_03-12-2012_9_3'!N902,"AAAAAG5+L14=")</f>
        <v>#VALUE!</v>
      </c>
      <c r="CR57" t="e">
        <f>AND('Planilla_General_03-12-2012_9_3'!O902,"AAAAAG5+L18=")</f>
        <v>#VALUE!</v>
      </c>
      <c r="CS57">
        <f>IF('Planilla_General_03-12-2012_9_3'!903:903,"AAAAAG5+L2A=",0)</f>
        <v>0</v>
      </c>
      <c r="CT57" t="e">
        <f>AND('Planilla_General_03-12-2012_9_3'!A903,"AAAAAG5+L2E=")</f>
        <v>#VALUE!</v>
      </c>
      <c r="CU57" t="e">
        <f>AND('Planilla_General_03-12-2012_9_3'!B903,"AAAAAG5+L2I=")</f>
        <v>#VALUE!</v>
      </c>
      <c r="CV57" t="e">
        <f>AND('Planilla_General_03-12-2012_9_3'!C903,"AAAAAG5+L2M=")</f>
        <v>#VALUE!</v>
      </c>
      <c r="CW57" t="e">
        <f>AND('Planilla_General_03-12-2012_9_3'!D903,"AAAAAG5+L2Q=")</f>
        <v>#VALUE!</v>
      </c>
      <c r="CX57" t="e">
        <f>AND('Planilla_General_03-12-2012_9_3'!E903,"AAAAAG5+L2U=")</f>
        <v>#VALUE!</v>
      </c>
      <c r="CY57" t="e">
        <f>AND('Planilla_General_03-12-2012_9_3'!F903,"AAAAAG5+L2Y=")</f>
        <v>#VALUE!</v>
      </c>
      <c r="CZ57" t="e">
        <f>AND('Planilla_General_03-12-2012_9_3'!G903,"AAAAAG5+L2c=")</f>
        <v>#VALUE!</v>
      </c>
      <c r="DA57" t="e">
        <f>AND('Planilla_General_03-12-2012_9_3'!H903,"AAAAAG5+L2g=")</f>
        <v>#VALUE!</v>
      </c>
      <c r="DB57" t="e">
        <f>AND('Planilla_General_03-12-2012_9_3'!I903,"AAAAAG5+L2k=")</f>
        <v>#VALUE!</v>
      </c>
      <c r="DC57" t="e">
        <f>AND('Planilla_General_03-12-2012_9_3'!J903,"AAAAAG5+L2o=")</f>
        <v>#VALUE!</v>
      </c>
      <c r="DD57" t="e">
        <f>AND('Planilla_General_03-12-2012_9_3'!K903,"AAAAAG5+L2s=")</f>
        <v>#VALUE!</v>
      </c>
      <c r="DE57" t="e">
        <f>AND('Planilla_General_03-12-2012_9_3'!L903,"AAAAAG5+L2w=")</f>
        <v>#VALUE!</v>
      </c>
      <c r="DF57" t="e">
        <f>AND('Planilla_General_03-12-2012_9_3'!M903,"AAAAAG5+L20=")</f>
        <v>#VALUE!</v>
      </c>
      <c r="DG57" t="e">
        <f>AND('Planilla_General_03-12-2012_9_3'!N903,"AAAAAG5+L24=")</f>
        <v>#VALUE!</v>
      </c>
      <c r="DH57" t="e">
        <f>AND('Planilla_General_03-12-2012_9_3'!O903,"AAAAAG5+L28=")</f>
        <v>#VALUE!</v>
      </c>
      <c r="DI57">
        <f>IF('Planilla_General_03-12-2012_9_3'!904:904,"AAAAAG5+L3A=",0)</f>
        <v>0</v>
      </c>
      <c r="DJ57" t="e">
        <f>AND('Planilla_General_03-12-2012_9_3'!A904,"AAAAAG5+L3E=")</f>
        <v>#VALUE!</v>
      </c>
      <c r="DK57" t="e">
        <f>AND('Planilla_General_03-12-2012_9_3'!B904,"AAAAAG5+L3I=")</f>
        <v>#VALUE!</v>
      </c>
      <c r="DL57" t="e">
        <f>AND('Planilla_General_03-12-2012_9_3'!C904,"AAAAAG5+L3M=")</f>
        <v>#VALUE!</v>
      </c>
      <c r="DM57" t="e">
        <f>AND('Planilla_General_03-12-2012_9_3'!D904,"AAAAAG5+L3Q=")</f>
        <v>#VALUE!</v>
      </c>
      <c r="DN57" t="e">
        <f>AND('Planilla_General_03-12-2012_9_3'!E904,"AAAAAG5+L3U=")</f>
        <v>#VALUE!</v>
      </c>
      <c r="DO57" t="e">
        <f>AND('Planilla_General_03-12-2012_9_3'!F904,"AAAAAG5+L3Y=")</f>
        <v>#VALUE!</v>
      </c>
      <c r="DP57" t="e">
        <f>AND('Planilla_General_03-12-2012_9_3'!G904,"AAAAAG5+L3c=")</f>
        <v>#VALUE!</v>
      </c>
      <c r="DQ57" t="e">
        <f>AND('Planilla_General_03-12-2012_9_3'!H904,"AAAAAG5+L3g=")</f>
        <v>#VALUE!</v>
      </c>
      <c r="DR57" t="e">
        <f>AND('Planilla_General_03-12-2012_9_3'!I904,"AAAAAG5+L3k=")</f>
        <v>#VALUE!</v>
      </c>
      <c r="DS57" t="e">
        <f>AND('Planilla_General_03-12-2012_9_3'!J904,"AAAAAG5+L3o=")</f>
        <v>#VALUE!</v>
      </c>
      <c r="DT57" t="e">
        <f>AND('Planilla_General_03-12-2012_9_3'!K904,"AAAAAG5+L3s=")</f>
        <v>#VALUE!</v>
      </c>
      <c r="DU57" t="e">
        <f>AND('Planilla_General_03-12-2012_9_3'!L904,"AAAAAG5+L3w=")</f>
        <v>#VALUE!</v>
      </c>
      <c r="DV57" t="e">
        <f>AND('Planilla_General_03-12-2012_9_3'!M904,"AAAAAG5+L30=")</f>
        <v>#VALUE!</v>
      </c>
      <c r="DW57" t="e">
        <f>AND('Planilla_General_03-12-2012_9_3'!N904,"AAAAAG5+L34=")</f>
        <v>#VALUE!</v>
      </c>
      <c r="DX57" t="e">
        <f>AND('Planilla_General_03-12-2012_9_3'!O904,"AAAAAG5+L38=")</f>
        <v>#VALUE!</v>
      </c>
      <c r="DY57">
        <f>IF('Planilla_General_03-12-2012_9_3'!905:905,"AAAAAG5+L4A=",0)</f>
        <v>0</v>
      </c>
      <c r="DZ57" t="e">
        <f>AND('Planilla_General_03-12-2012_9_3'!A905,"AAAAAG5+L4E=")</f>
        <v>#VALUE!</v>
      </c>
      <c r="EA57" t="e">
        <f>AND('Planilla_General_03-12-2012_9_3'!B905,"AAAAAG5+L4I=")</f>
        <v>#VALUE!</v>
      </c>
      <c r="EB57" t="e">
        <f>AND('Planilla_General_03-12-2012_9_3'!C905,"AAAAAG5+L4M=")</f>
        <v>#VALUE!</v>
      </c>
      <c r="EC57" t="e">
        <f>AND('Planilla_General_03-12-2012_9_3'!D905,"AAAAAG5+L4Q=")</f>
        <v>#VALUE!</v>
      </c>
      <c r="ED57" t="e">
        <f>AND('Planilla_General_03-12-2012_9_3'!E905,"AAAAAG5+L4U=")</f>
        <v>#VALUE!</v>
      </c>
      <c r="EE57" t="e">
        <f>AND('Planilla_General_03-12-2012_9_3'!F905,"AAAAAG5+L4Y=")</f>
        <v>#VALUE!</v>
      </c>
      <c r="EF57" t="e">
        <f>AND('Planilla_General_03-12-2012_9_3'!G905,"AAAAAG5+L4c=")</f>
        <v>#VALUE!</v>
      </c>
      <c r="EG57" t="e">
        <f>AND('Planilla_General_03-12-2012_9_3'!H905,"AAAAAG5+L4g=")</f>
        <v>#VALUE!</v>
      </c>
      <c r="EH57" t="e">
        <f>AND('Planilla_General_03-12-2012_9_3'!I905,"AAAAAG5+L4k=")</f>
        <v>#VALUE!</v>
      </c>
      <c r="EI57" t="e">
        <f>AND('Planilla_General_03-12-2012_9_3'!J905,"AAAAAG5+L4o=")</f>
        <v>#VALUE!</v>
      </c>
      <c r="EJ57" t="e">
        <f>AND('Planilla_General_03-12-2012_9_3'!K905,"AAAAAG5+L4s=")</f>
        <v>#VALUE!</v>
      </c>
      <c r="EK57" t="e">
        <f>AND('Planilla_General_03-12-2012_9_3'!L905,"AAAAAG5+L4w=")</f>
        <v>#VALUE!</v>
      </c>
      <c r="EL57" t="e">
        <f>AND('Planilla_General_03-12-2012_9_3'!M905,"AAAAAG5+L40=")</f>
        <v>#VALUE!</v>
      </c>
      <c r="EM57" t="e">
        <f>AND('Planilla_General_03-12-2012_9_3'!N905,"AAAAAG5+L44=")</f>
        <v>#VALUE!</v>
      </c>
      <c r="EN57" t="e">
        <f>AND('Planilla_General_03-12-2012_9_3'!O905,"AAAAAG5+L48=")</f>
        <v>#VALUE!</v>
      </c>
      <c r="EO57">
        <f>IF('Planilla_General_03-12-2012_9_3'!906:906,"AAAAAG5+L5A=",0)</f>
        <v>0</v>
      </c>
      <c r="EP57" t="e">
        <f>AND('Planilla_General_03-12-2012_9_3'!A906,"AAAAAG5+L5E=")</f>
        <v>#VALUE!</v>
      </c>
      <c r="EQ57" t="e">
        <f>AND('Planilla_General_03-12-2012_9_3'!B906,"AAAAAG5+L5I=")</f>
        <v>#VALUE!</v>
      </c>
      <c r="ER57" t="e">
        <f>AND('Planilla_General_03-12-2012_9_3'!C906,"AAAAAG5+L5M=")</f>
        <v>#VALUE!</v>
      </c>
      <c r="ES57" t="e">
        <f>AND('Planilla_General_03-12-2012_9_3'!D906,"AAAAAG5+L5Q=")</f>
        <v>#VALUE!</v>
      </c>
      <c r="ET57" t="e">
        <f>AND('Planilla_General_03-12-2012_9_3'!E906,"AAAAAG5+L5U=")</f>
        <v>#VALUE!</v>
      </c>
      <c r="EU57" t="e">
        <f>AND('Planilla_General_03-12-2012_9_3'!F906,"AAAAAG5+L5Y=")</f>
        <v>#VALUE!</v>
      </c>
      <c r="EV57" t="e">
        <f>AND('Planilla_General_03-12-2012_9_3'!G906,"AAAAAG5+L5c=")</f>
        <v>#VALUE!</v>
      </c>
      <c r="EW57" t="e">
        <f>AND('Planilla_General_03-12-2012_9_3'!H906,"AAAAAG5+L5g=")</f>
        <v>#VALUE!</v>
      </c>
      <c r="EX57" t="e">
        <f>AND('Planilla_General_03-12-2012_9_3'!I906,"AAAAAG5+L5k=")</f>
        <v>#VALUE!</v>
      </c>
      <c r="EY57" t="e">
        <f>AND('Planilla_General_03-12-2012_9_3'!J906,"AAAAAG5+L5o=")</f>
        <v>#VALUE!</v>
      </c>
      <c r="EZ57" t="e">
        <f>AND('Planilla_General_03-12-2012_9_3'!K906,"AAAAAG5+L5s=")</f>
        <v>#VALUE!</v>
      </c>
      <c r="FA57" t="e">
        <f>AND('Planilla_General_03-12-2012_9_3'!L906,"AAAAAG5+L5w=")</f>
        <v>#VALUE!</v>
      </c>
      <c r="FB57" t="e">
        <f>AND('Planilla_General_03-12-2012_9_3'!M906,"AAAAAG5+L50=")</f>
        <v>#VALUE!</v>
      </c>
      <c r="FC57" t="e">
        <f>AND('Planilla_General_03-12-2012_9_3'!N906,"AAAAAG5+L54=")</f>
        <v>#VALUE!</v>
      </c>
      <c r="FD57" t="e">
        <f>AND('Planilla_General_03-12-2012_9_3'!O906,"AAAAAG5+L58=")</f>
        <v>#VALUE!</v>
      </c>
      <c r="FE57">
        <f>IF('Planilla_General_03-12-2012_9_3'!907:907,"AAAAAG5+L6A=",0)</f>
        <v>0</v>
      </c>
      <c r="FF57" t="e">
        <f>AND('Planilla_General_03-12-2012_9_3'!A907,"AAAAAG5+L6E=")</f>
        <v>#VALUE!</v>
      </c>
      <c r="FG57" t="e">
        <f>AND('Planilla_General_03-12-2012_9_3'!B907,"AAAAAG5+L6I=")</f>
        <v>#VALUE!</v>
      </c>
      <c r="FH57" t="e">
        <f>AND('Planilla_General_03-12-2012_9_3'!C907,"AAAAAG5+L6M=")</f>
        <v>#VALUE!</v>
      </c>
      <c r="FI57" t="e">
        <f>AND('Planilla_General_03-12-2012_9_3'!D907,"AAAAAG5+L6Q=")</f>
        <v>#VALUE!</v>
      </c>
      <c r="FJ57" t="e">
        <f>AND('Planilla_General_03-12-2012_9_3'!E907,"AAAAAG5+L6U=")</f>
        <v>#VALUE!</v>
      </c>
      <c r="FK57" t="e">
        <f>AND('Planilla_General_03-12-2012_9_3'!F907,"AAAAAG5+L6Y=")</f>
        <v>#VALUE!</v>
      </c>
      <c r="FL57" t="e">
        <f>AND('Planilla_General_03-12-2012_9_3'!G907,"AAAAAG5+L6c=")</f>
        <v>#VALUE!</v>
      </c>
      <c r="FM57" t="e">
        <f>AND('Planilla_General_03-12-2012_9_3'!H907,"AAAAAG5+L6g=")</f>
        <v>#VALUE!</v>
      </c>
      <c r="FN57" t="e">
        <f>AND('Planilla_General_03-12-2012_9_3'!I907,"AAAAAG5+L6k=")</f>
        <v>#VALUE!</v>
      </c>
      <c r="FO57" t="e">
        <f>AND('Planilla_General_03-12-2012_9_3'!J907,"AAAAAG5+L6o=")</f>
        <v>#VALUE!</v>
      </c>
      <c r="FP57" t="e">
        <f>AND('Planilla_General_03-12-2012_9_3'!K907,"AAAAAG5+L6s=")</f>
        <v>#VALUE!</v>
      </c>
      <c r="FQ57" t="e">
        <f>AND('Planilla_General_03-12-2012_9_3'!L907,"AAAAAG5+L6w=")</f>
        <v>#VALUE!</v>
      </c>
      <c r="FR57" t="e">
        <f>AND('Planilla_General_03-12-2012_9_3'!M907,"AAAAAG5+L60=")</f>
        <v>#VALUE!</v>
      </c>
      <c r="FS57" t="e">
        <f>AND('Planilla_General_03-12-2012_9_3'!N907,"AAAAAG5+L64=")</f>
        <v>#VALUE!</v>
      </c>
      <c r="FT57" t="e">
        <f>AND('Planilla_General_03-12-2012_9_3'!O907,"AAAAAG5+L68=")</f>
        <v>#VALUE!</v>
      </c>
      <c r="FU57">
        <f>IF('Planilla_General_03-12-2012_9_3'!908:908,"AAAAAG5+L7A=",0)</f>
        <v>0</v>
      </c>
      <c r="FV57" t="e">
        <f>AND('Planilla_General_03-12-2012_9_3'!A908,"AAAAAG5+L7E=")</f>
        <v>#VALUE!</v>
      </c>
      <c r="FW57" t="e">
        <f>AND('Planilla_General_03-12-2012_9_3'!B908,"AAAAAG5+L7I=")</f>
        <v>#VALUE!</v>
      </c>
      <c r="FX57" t="e">
        <f>AND('Planilla_General_03-12-2012_9_3'!C908,"AAAAAG5+L7M=")</f>
        <v>#VALUE!</v>
      </c>
      <c r="FY57" t="e">
        <f>AND('Planilla_General_03-12-2012_9_3'!D908,"AAAAAG5+L7Q=")</f>
        <v>#VALUE!</v>
      </c>
      <c r="FZ57" t="e">
        <f>AND('Planilla_General_03-12-2012_9_3'!E908,"AAAAAG5+L7U=")</f>
        <v>#VALUE!</v>
      </c>
      <c r="GA57" t="e">
        <f>AND('Planilla_General_03-12-2012_9_3'!F908,"AAAAAG5+L7Y=")</f>
        <v>#VALUE!</v>
      </c>
      <c r="GB57" t="e">
        <f>AND('Planilla_General_03-12-2012_9_3'!G908,"AAAAAG5+L7c=")</f>
        <v>#VALUE!</v>
      </c>
      <c r="GC57" t="e">
        <f>AND('Planilla_General_03-12-2012_9_3'!H908,"AAAAAG5+L7g=")</f>
        <v>#VALUE!</v>
      </c>
      <c r="GD57" t="e">
        <f>AND('Planilla_General_03-12-2012_9_3'!I908,"AAAAAG5+L7k=")</f>
        <v>#VALUE!</v>
      </c>
      <c r="GE57" t="e">
        <f>AND('Planilla_General_03-12-2012_9_3'!J908,"AAAAAG5+L7o=")</f>
        <v>#VALUE!</v>
      </c>
      <c r="GF57" t="e">
        <f>AND('Planilla_General_03-12-2012_9_3'!K908,"AAAAAG5+L7s=")</f>
        <v>#VALUE!</v>
      </c>
      <c r="GG57" t="e">
        <f>AND('Planilla_General_03-12-2012_9_3'!L908,"AAAAAG5+L7w=")</f>
        <v>#VALUE!</v>
      </c>
      <c r="GH57" t="e">
        <f>AND('Planilla_General_03-12-2012_9_3'!M908,"AAAAAG5+L70=")</f>
        <v>#VALUE!</v>
      </c>
      <c r="GI57" t="e">
        <f>AND('Planilla_General_03-12-2012_9_3'!N908,"AAAAAG5+L74=")</f>
        <v>#VALUE!</v>
      </c>
      <c r="GJ57" t="e">
        <f>AND('Planilla_General_03-12-2012_9_3'!O908,"AAAAAG5+L78=")</f>
        <v>#VALUE!</v>
      </c>
      <c r="GK57">
        <f>IF('Planilla_General_03-12-2012_9_3'!909:909,"AAAAAG5+L8A=",0)</f>
        <v>0</v>
      </c>
      <c r="GL57" t="e">
        <f>AND('Planilla_General_03-12-2012_9_3'!A909,"AAAAAG5+L8E=")</f>
        <v>#VALUE!</v>
      </c>
      <c r="GM57" t="e">
        <f>AND('Planilla_General_03-12-2012_9_3'!B909,"AAAAAG5+L8I=")</f>
        <v>#VALUE!</v>
      </c>
      <c r="GN57" t="e">
        <f>AND('Planilla_General_03-12-2012_9_3'!C909,"AAAAAG5+L8M=")</f>
        <v>#VALUE!</v>
      </c>
      <c r="GO57" t="e">
        <f>AND('Planilla_General_03-12-2012_9_3'!D909,"AAAAAG5+L8Q=")</f>
        <v>#VALUE!</v>
      </c>
      <c r="GP57" t="e">
        <f>AND('Planilla_General_03-12-2012_9_3'!E909,"AAAAAG5+L8U=")</f>
        <v>#VALUE!</v>
      </c>
      <c r="GQ57" t="e">
        <f>AND('Planilla_General_03-12-2012_9_3'!F909,"AAAAAG5+L8Y=")</f>
        <v>#VALUE!</v>
      </c>
      <c r="GR57" t="e">
        <f>AND('Planilla_General_03-12-2012_9_3'!G909,"AAAAAG5+L8c=")</f>
        <v>#VALUE!</v>
      </c>
      <c r="GS57" t="e">
        <f>AND('Planilla_General_03-12-2012_9_3'!H909,"AAAAAG5+L8g=")</f>
        <v>#VALUE!</v>
      </c>
      <c r="GT57" t="e">
        <f>AND('Planilla_General_03-12-2012_9_3'!I909,"AAAAAG5+L8k=")</f>
        <v>#VALUE!</v>
      </c>
      <c r="GU57" t="e">
        <f>AND('Planilla_General_03-12-2012_9_3'!J909,"AAAAAG5+L8o=")</f>
        <v>#VALUE!</v>
      </c>
      <c r="GV57" t="e">
        <f>AND('Planilla_General_03-12-2012_9_3'!K909,"AAAAAG5+L8s=")</f>
        <v>#VALUE!</v>
      </c>
      <c r="GW57" t="e">
        <f>AND('Planilla_General_03-12-2012_9_3'!L909,"AAAAAG5+L8w=")</f>
        <v>#VALUE!</v>
      </c>
      <c r="GX57" t="e">
        <f>AND('Planilla_General_03-12-2012_9_3'!M909,"AAAAAG5+L80=")</f>
        <v>#VALUE!</v>
      </c>
      <c r="GY57" t="e">
        <f>AND('Planilla_General_03-12-2012_9_3'!N909,"AAAAAG5+L84=")</f>
        <v>#VALUE!</v>
      </c>
      <c r="GZ57" t="e">
        <f>AND('Planilla_General_03-12-2012_9_3'!O909,"AAAAAG5+L88=")</f>
        <v>#VALUE!</v>
      </c>
      <c r="HA57">
        <f>IF('Planilla_General_03-12-2012_9_3'!910:910,"AAAAAG5+L9A=",0)</f>
        <v>0</v>
      </c>
      <c r="HB57" t="e">
        <f>AND('Planilla_General_03-12-2012_9_3'!A910,"AAAAAG5+L9E=")</f>
        <v>#VALUE!</v>
      </c>
      <c r="HC57" t="e">
        <f>AND('Planilla_General_03-12-2012_9_3'!B910,"AAAAAG5+L9I=")</f>
        <v>#VALUE!</v>
      </c>
      <c r="HD57" t="e">
        <f>AND('Planilla_General_03-12-2012_9_3'!C910,"AAAAAG5+L9M=")</f>
        <v>#VALUE!</v>
      </c>
      <c r="HE57" t="e">
        <f>AND('Planilla_General_03-12-2012_9_3'!D910,"AAAAAG5+L9Q=")</f>
        <v>#VALUE!</v>
      </c>
      <c r="HF57" t="e">
        <f>AND('Planilla_General_03-12-2012_9_3'!E910,"AAAAAG5+L9U=")</f>
        <v>#VALUE!</v>
      </c>
      <c r="HG57" t="e">
        <f>AND('Planilla_General_03-12-2012_9_3'!F910,"AAAAAG5+L9Y=")</f>
        <v>#VALUE!</v>
      </c>
      <c r="HH57" t="e">
        <f>AND('Planilla_General_03-12-2012_9_3'!G910,"AAAAAG5+L9c=")</f>
        <v>#VALUE!</v>
      </c>
      <c r="HI57" t="e">
        <f>AND('Planilla_General_03-12-2012_9_3'!H910,"AAAAAG5+L9g=")</f>
        <v>#VALUE!</v>
      </c>
      <c r="HJ57" t="e">
        <f>AND('Planilla_General_03-12-2012_9_3'!I910,"AAAAAG5+L9k=")</f>
        <v>#VALUE!</v>
      </c>
      <c r="HK57" t="e">
        <f>AND('Planilla_General_03-12-2012_9_3'!J910,"AAAAAG5+L9o=")</f>
        <v>#VALUE!</v>
      </c>
      <c r="HL57" t="e">
        <f>AND('Planilla_General_03-12-2012_9_3'!K910,"AAAAAG5+L9s=")</f>
        <v>#VALUE!</v>
      </c>
      <c r="HM57" t="e">
        <f>AND('Planilla_General_03-12-2012_9_3'!L910,"AAAAAG5+L9w=")</f>
        <v>#VALUE!</v>
      </c>
      <c r="HN57" t="e">
        <f>AND('Planilla_General_03-12-2012_9_3'!M910,"AAAAAG5+L90=")</f>
        <v>#VALUE!</v>
      </c>
      <c r="HO57" t="e">
        <f>AND('Planilla_General_03-12-2012_9_3'!N910,"AAAAAG5+L94=")</f>
        <v>#VALUE!</v>
      </c>
      <c r="HP57" t="e">
        <f>AND('Planilla_General_03-12-2012_9_3'!O910,"AAAAAG5+L98=")</f>
        <v>#VALUE!</v>
      </c>
      <c r="HQ57">
        <f>IF('Planilla_General_03-12-2012_9_3'!911:911,"AAAAAG5+L+A=",0)</f>
        <v>0</v>
      </c>
      <c r="HR57" t="e">
        <f>AND('Planilla_General_03-12-2012_9_3'!A911,"AAAAAG5+L+E=")</f>
        <v>#VALUE!</v>
      </c>
      <c r="HS57" t="e">
        <f>AND('Planilla_General_03-12-2012_9_3'!B911,"AAAAAG5+L+I=")</f>
        <v>#VALUE!</v>
      </c>
      <c r="HT57" t="e">
        <f>AND('Planilla_General_03-12-2012_9_3'!C911,"AAAAAG5+L+M=")</f>
        <v>#VALUE!</v>
      </c>
      <c r="HU57" t="e">
        <f>AND('Planilla_General_03-12-2012_9_3'!D911,"AAAAAG5+L+Q=")</f>
        <v>#VALUE!</v>
      </c>
      <c r="HV57" t="e">
        <f>AND('Planilla_General_03-12-2012_9_3'!E911,"AAAAAG5+L+U=")</f>
        <v>#VALUE!</v>
      </c>
      <c r="HW57" t="e">
        <f>AND('Planilla_General_03-12-2012_9_3'!F911,"AAAAAG5+L+Y=")</f>
        <v>#VALUE!</v>
      </c>
      <c r="HX57" t="e">
        <f>AND('Planilla_General_03-12-2012_9_3'!G911,"AAAAAG5+L+c=")</f>
        <v>#VALUE!</v>
      </c>
      <c r="HY57" t="e">
        <f>AND('Planilla_General_03-12-2012_9_3'!H911,"AAAAAG5+L+g=")</f>
        <v>#VALUE!</v>
      </c>
      <c r="HZ57" t="e">
        <f>AND('Planilla_General_03-12-2012_9_3'!I911,"AAAAAG5+L+k=")</f>
        <v>#VALUE!</v>
      </c>
      <c r="IA57" t="e">
        <f>AND('Planilla_General_03-12-2012_9_3'!J911,"AAAAAG5+L+o=")</f>
        <v>#VALUE!</v>
      </c>
      <c r="IB57" t="e">
        <f>AND('Planilla_General_03-12-2012_9_3'!K911,"AAAAAG5+L+s=")</f>
        <v>#VALUE!</v>
      </c>
      <c r="IC57" t="e">
        <f>AND('Planilla_General_03-12-2012_9_3'!L911,"AAAAAG5+L+w=")</f>
        <v>#VALUE!</v>
      </c>
      <c r="ID57" t="e">
        <f>AND('Planilla_General_03-12-2012_9_3'!M911,"AAAAAG5+L+0=")</f>
        <v>#VALUE!</v>
      </c>
      <c r="IE57" t="e">
        <f>AND('Planilla_General_03-12-2012_9_3'!N911,"AAAAAG5+L+4=")</f>
        <v>#VALUE!</v>
      </c>
      <c r="IF57" t="e">
        <f>AND('Planilla_General_03-12-2012_9_3'!O911,"AAAAAG5+L+8=")</f>
        <v>#VALUE!</v>
      </c>
      <c r="IG57">
        <f>IF('Planilla_General_03-12-2012_9_3'!912:912,"AAAAAG5+L/A=",0)</f>
        <v>0</v>
      </c>
      <c r="IH57" t="e">
        <f>AND('Planilla_General_03-12-2012_9_3'!A912,"AAAAAG5+L/E=")</f>
        <v>#VALUE!</v>
      </c>
      <c r="II57" t="e">
        <f>AND('Planilla_General_03-12-2012_9_3'!B912,"AAAAAG5+L/I=")</f>
        <v>#VALUE!</v>
      </c>
      <c r="IJ57" t="e">
        <f>AND('Planilla_General_03-12-2012_9_3'!C912,"AAAAAG5+L/M=")</f>
        <v>#VALUE!</v>
      </c>
      <c r="IK57" t="e">
        <f>AND('Planilla_General_03-12-2012_9_3'!D912,"AAAAAG5+L/Q=")</f>
        <v>#VALUE!</v>
      </c>
      <c r="IL57" t="e">
        <f>AND('Planilla_General_03-12-2012_9_3'!E912,"AAAAAG5+L/U=")</f>
        <v>#VALUE!</v>
      </c>
      <c r="IM57" t="e">
        <f>AND('Planilla_General_03-12-2012_9_3'!F912,"AAAAAG5+L/Y=")</f>
        <v>#VALUE!</v>
      </c>
      <c r="IN57" t="e">
        <f>AND('Planilla_General_03-12-2012_9_3'!G912,"AAAAAG5+L/c=")</f>
        <v>#VALUE!</v>
      </c>
      <c r="IO57" t="e">
        <f>AND('Planilla_General_03-12-2012_9_3'!H912,"AAAAAG5+L/g=")</f>
        <v>#VALUE!</v>
      </c>
      <c r="IP57" t="e">
        <f>AND('Planilla_General_03-12-2012_9_3'!I912,"AAAAAG5+L/k=")</f>
        <v>#VALUE!</v>
      </c>
      <c r="IQ57" t="e">
        <f>AND('Planilla_General_03-12-2012_9_3'!J912,"AAAAAG5+L/o=")</f>
        <v>#VALUE!</v>
      </c>
      <c r="IR57" t="e">
        <f>AND('Planilla_General_03-12-2012_9_3'!K912,"AAAAAG5+L/s=")</f>
        <v>#VALUE!</v>
      </c>
      <c r="IS57" t="e">
        <f>AND('Planilla_General_03-12-2012_9_3'!L912,"AAAAAG5+L/w=")</f>
        <v>#VALUE!</v>
      </c>
      <c r="IT57" t="e">
        <f>AND('Planilla_General_03-12-2012_9_3'!M912,"AAAAAG5+L/0=")</f>
        <v>#VALUE!</v>
      </c>
      <c r="IU57" t="e">
        <f>AND('Planilla_General_03-12-2012_9_3'!N912,"AAAAAG5+L/4=")</f>
        <v>#VALUE!</v>
      </c>
      <c r="IV57" t="e">
        <f>AND('Planilla_General_03-12-2012_9_3'!O912,"AAAAAG5+L/8=")</f>
        <v>#VALUE!</v>
      </c>
    </row>
    <row r="58" spans="1:256" x14ac:dyDescent="0.25">
      <c r="A58" t="e">
        <f>IF('Planilla_General_03-12-2012_9_3'!913:913,"AAAAAH77/gA=",0)</f>
        <v>#VALUE!</v>
      </c>
      <c r="B58" t="e">
        <f>AND('Planilla_General_03-12-2012_9_3'!A913,"AAAAAH77/gE=")</f>
        <v>#VALUE!</v>
      </c>
      <c r="C58" t="e">
        <f>AND('Planilla_General_03-12-2012_9_3'!B913,"AAAAAH77/gI=")</f>
        <v>#VALUE!</v>
      </c>
      <c r="D58" t="e">
        <f>AND('Planilla_General_03-12-2012_9_3'!C913,"AAAAAH77/gM=")</f>
        <v>#VALUE!</v>
      </c>
      <c r="E58" t="e">
        <f>AND('Planilla_General_03-12-2012_9_3'!D913,"AAAAAH77/gQ=")</f>
        <v>#VALUE!</v>
      </c>
      <c r="F58" t="e">
        <f>AND('Planilla_General_03-12-2012_9_3'!E913,"AAAAAH77/gU=")</f>
        <v>#VALUE!</v>
      </c>
      <c r="G58" t="e">
        <f>AND('Planilla_General_03-12-2012_9_3'!F913,"AAAAAH77/gY=")</f>
        <v>#VALUE!</v>
      </c>
      <c r="H58" t="e">
        <f>AND('Planilla_General_03-12-2012_9_3'!G913,"AAAAAH77/gc=")</f>
        <v>#VALUE!</v>
      </c>
      <c r="I58" t="e">
        <f>AND('Planilla_General_03-12-2012_9_3'!H913,"AAAAAH77/gg=")</f>
        <v>#VALUE!</v>
      </c>
      <c r="J58" t="e">
        <f>AND('Planilla_General_03-12-2012_9_3'!I913,"AAAAAH77/gk=")</f>
        <v>#VALUE!</v>
      </c>
      <c r="K58" t="e">
        <f>AND('Planilla_General_03-12-2012_9_3'!J913,"AAAAAH77/go=")</f>
        <v>#VALUE!</v>
      </c>
      <c r="L58" t="e">
        <f>AND('Planilla_General_03-12-2012_9_3'!K913,"AAAAAH77/gs=")</f>
        <v>#VALUE!</v>
      </c>
      <c r="M58" t="e">
        <f>AND('Planilla_General_03-12-2012_9_3'!L913,"AAAAAH77/gw=")</f>
        <v>#VALUE!</v>
      </c>
      <c r="N58" t="e">
        <f>AND('Planilla_General_03-12-2012_9_3'!M913,"AAAAAH77/g0=")</f>
        <v>#VALUE!</v>
      </c>
      <c r="O58" t="e">
        <f>AND('Planilla_General_03-12-2012_9_3'!N913,"AAAAAH77/g4=")</f>
        <v>#VALUE!</v>
      </c>
      <c r="P58" t="e">
        <f>AND('Planilla_General_03-12-2012_9_3'!O913,"AAAAAH77/g8=")</f>
        <v>#VALUE!</v>
      </c>
      <c r="Q58">
        <f>IF('Planilla_General_03-12-2012_9_3'!914:914,"AAAAAH77/hA=",0)</f>
        <v>0</v>
      </c>
      <c r="R58" t="e">
        <f>AND('Planilla_General_03-12-2012_9_3'!A914,"AAAAAH77/hE=")</f>
        <v>#VALUE!</v>
      </c>
      <c r="S58" t="e">
        <f>AND('Planilla_General_03-12-2012_9_3'!B914,"AAAAAH77/hI=")</f>
        <v>#VALUE!</v>
      </c>
      <c r="T58" t="e">
        <f>AND('Planilla_General_03-12-2012_9_3'!C914,"AAAAAH77/hM=")</f>
        <v>#VALUE!</v>
      </c>
      <c r="U58" t="e">
        <f>AND('Planilla_General_03-12-2012_9_3'!D914,"AAAAAH77/hQ=")</f>
        <v>#VALUE!</v>
      </c>
      <c r="V58" t="e">
        <f>AND('Planilla_General_03-12-2012_9_3'!E914,"AAAAAH77/hU=")</f>
        <v>#VALUE!</v>
      </c>
      <c r="W58" t="e">
        <f>AND('Planilla_General_03-12-2012_9_3'!F914,"AAAAAH77/hY=")</f>
        <v>#VALUE!</v>
      </c>
      <c r="X58" t="e">
        <f>AND('Planilla_General_03-12-2012_9_3'!G914,"AAAAAH77/hc=")</f>
        <v>#VALUE!</v>
      </c>
      <c r="Y58" t="e">
        <f>AND('Planilla_General_03-12-2012_9_3'!H914,"AAAAAH77/hg=")</f>
        <v>#VALUE!</v>
      </c>
      <c r="Z58" t="e">
        <f>AND('Planilla_General_03-12-2012_9_3'!I914,"AAAAAH77/hk=")</f>
        <v>#VALUE!</v>
      </c>
      <c r="AA58" t="e">
        <f>AND('Planilla_General_03-12-2012_9_3'!J914,"AAAAAH77/ho=")</f>
        <v>#VALUE!</v>
      </c>
      <c r="AB58" t="e">
        <f>AND('Planilla_General_03-12-2012_9_3'!K914,"AAAAAH77/hs=")</f>
        <v>#VALUE!</v>
      </c>
      <c r="AC58" t="e">
        <f>AND('Planilla_General_03-12-2012_9_3'!L914,"AAAAAH77/hw=")</f>
        <v>#VALUE!</v>
      </c>
      <c r="AD58" t="e">
        <f>AND('Planilla_General_03-12-2012_9_3'!M914,"AAAAAH77/h0=")</f>
        <v>#VALUE!</v>
      </c>
      <c r="AE58" t="e">
        <f>AND('Planilla_General_03-12-2012_9_3'!N914,"AAAAAH77/h4=")</f>
        <v>#VALUE!</v>
      </c>
      <c r="AF58" t="e">
        <f>AND('Planilla_General_03-12-2012_9_3'!O914,"AAAAAH77/h8=")</f>
        <v>#VALUE!</v>
      </c>
      <c r="AG58">
        <f>IF('Planilla_General_03-12-2012_9_3'!915:915,"AAAAAH77/iA=",0)</f>
        <v>0</v>
      </c>
      <c r="AH58" t="e">
        <f>AND('Planilla_General_03-12-2012_9_3'!A915,"AAAAAH77/iE=")</f>
        <v>#VALUE!</v>
      </c>
      <c r="AI58" t="e">
        <f>AND('Planilla_General_03-12-2012_9_3'!B915,"AAAAAH77/iI=")</f>
        <v>#VALUE!</v>
      </c>
      <c r="AJ58" t="e">
        <f>AND('Planilla_General_03-12-2012_9_3'!C915,"AAAAAH77/iM=")</f>
        <v>#VALUE!</v>
      </c>
      <c r="AK58" t="e">
        <f>AND('Planilla_General_03-12-2012_9_3'!D915,"AAAAAH77/iQ=")</f>
        <v>#VALUE!</v>
      </c>
      <c r="AL58" t="e">
        <f>AND('Planilla_General_03-12-2012_9_3'!E915,"AAAAAH77/iU=")</f>
        <v>#VALUE!</v>
      </c>
      <c r="AM58" t="e">
        <f>AND('Planilla_General_03-12-2012_9_3'!F915,"AAAAAH77/iY=")</f>
        <v>#VALUE!</v>
      </c>
      <c r="AN58" t="e">
        <f>AND('Planilla_General_03-12-2012_9_3'!G915,"AAAAAH77/ic=")</f>
        <v>#VALUE!</v>
      </c>
      <c r="AO58" t="e">
        <f>AND('Planilla_General_03-12-2012_9_3'!H915,"AAAAAH77/ig=")</f>
        <v>#VALUE!</v>
      </c>
      <c r="AP58" t="e">
        <f>AND('Planilla_General_03-12-2012_9_3'!I915,"AAAAAH77/ik=")</f>
        <v>#VALUE!</v>
      </c>
      <c r="AQ58" t="e">
        <f>AND('Planilla_General_03-12-2012_9_3'!J915,"AAAAAH77/io=")</f>
        <v>#VALUE!</v>
      </c>
      <c r="AR58" t="e">
        <f>AND('Planilla_General_03-12-2012_9_3'!K915,"AAAAAH77/is=")</f>
        <v>#VALUE!</v>
      </c>
      <c r="AS58" t="e">
        <f>AND('Planilla_General_03-12-2012_9_3'!L915,"AAAAAH77/iw=")</f>
        <v>#VALUE!</v>
      </c>
      <c r="AT58" t="e">
        <f>AND('Planilla_General_03-12-2012_9_3'!M915,"AAAAAH77/i0=")</f>
        <v>#VALUE!</v>
      </c>
      <c r="AU58" t="e">
        <f>AND('Planilla_General_03-12-2012_9_3'!N915,"AAAAAH77/i4=")</f>
        <v>#VALUE!</v>
      </c>
      <c r="AV58" t="e">
        <f>AND('Planilla_General_03-12-2012_9_3'!O915,"AAAAAH77/i8=")</f>
        <v>#VALUE!</v>
      </c>
      <c r="AW58">
        <f>IF('Planilla_General_03-12-2012_9_3'!916:916,"AAAAAH77/jA=",0)</f>
        <v>0</v>
      </c>
      <c r="AX58" t="e">
        <f>AND('Planilla_General_03-12-2012_9_3'!A916,"AAAAAH77/jE=")</f>
        <v>#VALUE!</v>
      </c>
      <c r="AY58" t="e">
        <f>AND('Planilla_General_03-12-2012_9_3'!B916,"AAAAAH77/jI=")</f>
        <v>#VALUE!</v>
      </c>
      <c r="AZ58" t="e">
        <f>AND('Planilla_General_03-12-2012_9_3'!C916,"AAAAAH77/jM=")</f>
        <v>#VALUE!</v>
      </c>
      <c r="BA58" t="e">
        <f>AND('Planilla_General_03-12-2012_9_3'!D916,"AAAAAH77/jQ=")</f>
        <v>#VALUE!</v>
      </c>
      <c r="BB58" t="e">
        <f>AND('Planilla_General_03-12-2012_9_3'!E916,"AAAAAH77/jU=")</f>
        <v>#VALUE!</v>
      </c>
      <c r="BC58" t="e">
        <f>AND('Planilla_General_03-12-2012_9_3'!F916,"AAAAAH77/jY=")</f>
        <v>#VALUE!</v>
      </c>
      <c r="BD58" t="e">
        <f>AND('Planilla_General_03-12-2012_9_3'!G916,"AAAAAH77/jc=")</f>
        <v>#VALUE!</v>
      </c>
      <c r="BE58" t="e">
        <f>AND('Planilla_General_03-12-2012_9_3'!H916,"AAAAAH77/jg=")</f>
        <v>#VALUE!</v>
      </c>
      <c r="BF58" t="e">
        <f>AND('Planilla_General_03-12-2012_9_3'!I916,"AAAAAH77/jk=")</f>
        <v>#VALUE!</v>
      </c>
      <c r="BG58" t="e">
        <f>AND('Planilla_General_03-12-2012_9_3'!J916,"AAAAAH77/jo=")</f>
        <v>#VALUE!</v>
      </c>
      <c r="BH58" t="e">
        <f>AND('Planilla_General_03-12-2012_9_3'!K916,"AAAAAH77/js=")</f>
        <v>#VALUE!</v>
      </c>
      <c r="BI58" t="e">
        <f>AND('Planilla_General_03-12-2012_9_3'!L916,"AAAAAH77/jw=")</f>
        <v>#VALUE!</v>
      </c>
      <c r="BJ58" t="e">
        <f>AND('Planilla_General_03-12-2012_9_3'!M916,"AAAAAH77/j0=")</f>
        <v>#VALUE!</v>
      </c>
      <c r="BK58" t="e">
        <f>AND('Planilla_General_03-12-2012_9_3'!N916,"AAAAAH77/j4=")</f>
        <v>#VALUE!</v>
      </c>
      <c r="BL58" t="e">
        <f>AND('Planilla_General_03-12-2012_9_3'!O916,"AAAAAH77/j8=")</f>
        <v>#VALUE!</v>
      </c>
      <c r="BM58">
        <f>IF('Planilla_General_03-12-2012_9_3'!917:917,"AAAAAH77/kA=",0)</f>
        <v>0</v>
      </c>
      <c r="BN58" t="e">
        <f>AND('Planilla_General_03-12-2012_9_3'!A917,"AAAAAH77/kE=")</f>
        <v>#VALUE!</v>
      </c>
      <c r="BO58" t="e">
        <f>AND('Planilla_General_03-12-2012_9_3'!B917,"AAAAAH77/kI=")</f>
        <v>#VALUE!</v>
      </c>
      <c r="BP58" t="e">
        <f>AND('Planilla_General_03-12-2012_9_3'!C917,"AAAAAH77/kM=")</f>
        <v>#VALUE!</v>
      </c>
      <c r="BQ58" t="e">
        <f>AND('Planilla_General_03-12-2012_9_3'!D917,"AAAAAH77/kQ=")</f>
        <v>#VALUE!</v>
      </c>
      <c r="BR58" t="e">
        <f>AND('Planilla_General_03-12-2012_9_3'!E917,"AAAAAH77/kU=")</f>
        <v>#VALUE!</v>
      </c>
      <c r="BS58" t="e">
        <f>AND('Planilla_General_03-12-2012_9_3'!F917,"AAAAAH77/kY=")</f>
        <v>#VALUE!</v>
      </c>
      <c r="BT58" t="e">
        <f>AND('Planilla_General_03-12-2012_9_3'!G917,"AAAAAH77/kc=")</f>
        <v>#VALUE!</v>
      </c>
      <c r="BU58" t="e">
        <f>AND('Planilla_General_03-12-2012_9_3'!H917,"AAAAAH77/kg=")</f>
        <v>#VALUE!</v>
      </c>
      <c r="BV58" t="e">
        <f>AND('Planilla_General_03-12-2012_9_3'!I917,"AAAAAH77/kk=")</f>
        <v>#VALUE!</v>
      </c>
      <c r="BW58" t="e">
        <f>AND('Planilla_General_03-12-2012_9_3'!J917,"AAAAAH77/ko=")</f>
        <v>#VALUE!</v>
      </c>
      <c r="BX58" t="e">
        <f>AND('Planilla_General_03-12-2012_9_3'!K917,"AAAAAH77/ks=")</f>
        <v>#VALUE!</v>
      </c>
      <c r="BY58" t="e">
        <f>AND('Planilla_General_03-12-2012_9_3'!L917,"AAAAAH77/kw=")</f>
        <v>#VALUE!</v>
      </c>
      <c r="BZ58" t="e">
        <f>AND('Planilla_General_03-12-2012_9_3'!M917,"AAAAAH77/k0=")</f>
        <v>#VALUE!</v>
      </c>
      <c r="CA58" t="e">
        <f>AND('Planilla_General_03-12-2012_9_3'!N917,"AAAAAH77/k4=")</f>
        <v>#VALUE!</v>
      </c>
      <c r="CB58" t="e">
        <f>AND('Planilla_General_03-12-2012_9_3'!O917,"AAAAAH77/k8=")</f>
        <v>#VALUE!</v>
      </c>
      <c r="CC58">
        <f>IF('Planilla_General_03-12-2012_9_3'!918:918,"AAAAAH77/lA=",0)</f>
        <v>0</v>
      </c>
      <c r="CD58" t="e">
        <f>AND('Planilla_General_03-12-2012_9_3'!A918,"AAAAAH77/lE=")</f>
        <v>#VALUE!</v>
      </c>
      <c r="CE58" t="e">
        <f>AND('Planilla_General_03-12-2012_9_3'!B918,"AAAAAH77/lI=")</f>
        <v>#VALUE!</v>
      </c>
      <c r="CF58" t="e">
        <f>AND('Planilla_General_03-12-2012_9_3'!C918,"AAAAAH77/lM=")</f>
        <v>#VALUE!</v>
      </c>
      <c r="CG58" t="e">
        <f>AND('Planilla_General_03-12-2012_9_3'!D918,"AAAAAH77/lQ=")</f>
        <v>#VALUE!</v>
      </c>
      <c r="CH58" t="e">
        <f>AND('Planilla_General_03-12-2012_9_3'!E918,"AAAAAH77/lU=")</f>
        <v>#VALUE!</v>
      </c>
      <c r="CI58" t="e">
        <f>AND('Planilla_General_03-12-2012_9_3'!F918,"AAAAAH77/lY=")</f>
        <v>#VALUE!</v>
      </c>
      <c r="CJ58" t="e">
        <f>AND('Planilla_General_03-12-2012_9_3'!G918,"AAAAAH77/lc=")</f>
        <v>#VALUE!</v>
      </c>
      <c r="CK58" t="e">
        <f>AND('Planilla_General_03-12-2012_9_3'!H918,"AAAAAH77/lg=")</f>
        <v>#VALUE!</v>
      </c>
      <c r="CL58" t="e">
        <f>AND('Planilla_General_03-12-2012_9_3'!I918,"AAAAAH77/lk=")</f>
        <v>#VALUE!</v>
      </c>
      <c r="CM58" t="e">
        <f>AND('Planilla_General_03-12-2012_9_3'!J918,"AAAAAH77/lo=")</f>
        <v>#VALUE!</v>
      </c>
      <c r="CN58" t="e">
        <f>AND('Planilla_General_03-12-2012_9_3'!K918,"AAAAAH77/ls=")</f>
        <v>#VALUE!</v>
      </c>
      <c r="CO58" t="e">
        <f>AND('Planilla_General_03-12-2012_9_3'!L918,"AAAAAH77/lw=")</f>
        <v>#VALUE!</v>
      </c>
      <c r="CP58" t="e">
        <f>AND('Planilla_General_03-12-2012_9_3'!M918,"AAAAAH77/l0=")</f>
        <v>#VALUE!</v>
      </c>
      <c r="CQ58" t="e">
        <f>AND('Planilla_General_03-12-2012_9_3'!N918,"AAAAAH77/l4=")</f>
        <v>#VALUE!</v>
      </c>
      <c r="CR58" t="e">
        <f>AND('Planilla_General_03-12-2012_9_3'!O918,"AAAAAH77/l8=")</f>
        <v>#VALUE!</v>
      </c>
      <c r="CS58">
        <f>IF('Planilla_General_03-12-2012_9_3'!919:919,"AAAAAH77/mA=",0)</f>
        <v>0</v>
      </c>
      <c r="CT58" t="e">
        <f>AND('Planilla_General_03-12-2012_9_3'!A919,"AAAAAH77/mE=")</f>
        <v>#VALUE!</v>
      </c>
      <c r="CU58" t="e">
        <f>AND('Planilla_General_03-12-2012_9_3'!B919,"AAAAAH77/mI=")</f>
        <v>#VALUE!</v>
      </c>
      <c r="CV58" t="e">
        <f>AND('Planilla_General_03-12-2012_9_3'!C919,"AAAAAH77/mM=")</f>
        <v>#VALUE!</v>
      </c>
      <c r="CW58" t="e">
        <f>AND('Planilla_General_03-12-2012_9_3'!D919,"AAAAAH77/mQ=")</f>
        <v>#VALUE!</v>
      </c>
      <c r="CX58" t="e">
        <f>AND('Planilla_General_03-12-2012_9_3'!E919,"AAAAAH77/mU=")</f>
        <v>#VALUE!</v>
      </c>
      <c r="CY58" t="e">
        <f>AND('Planilla_General_03-12-2012_9_3'!F919,"AAAAAH77/mY=")</f>
        <v>#VALUE!</v>
      </c>
      <c r="CZ58" t="e">
        <f>AND('Planilla_General_03-12-2012_9_3'!G919,"AAAAAH77/mc=")</f>
        <v>#VALUE!</v>
      </c>
      <c r="DA58" t="e">
        <f>AND('Planilla_General_03-12-2012_9_3'!H919,"AAAAAH77/mg=")</f>
        <v>#VALUE!</v>
      </c>
      <c r="DB58" t="e">
        <f>AND('Planilla_General_03-12-2012_9_3'!I919,"AAAAAH77/mk=")</f>
        <v>#VALUE!</v>
      </c>
      <c r="DC58" t="e">
        <f>AND('Planilla_General_03-12-2012_9_3'!J919,"AAAAAH77/mo=")</f>
        <v>#VALUE!</v>
      </c>
      <c r="DD58" t="e">
        <f>AND('Planilla_General_03-12-2012_9_3'!K919,"AAAAAH77/ms=")</f>
        <v>#VALUE!</v>
      </c>
      <c r="DE58" t="e">
        <f>AND('Planilla_General_03-12-2012_9_3'!L919,"AAAAAH77/mw=")</f>
        <v>#VALUE!</v>
      </c>
      <c r="DF58" t="e">
        <f>AND('Planilla_General_03-12-2012_9_3'!M919,"AAAAAH77/m0=")</f>
        <v>#VALUE!</v>
      </c>
      <c r="DG58" t="e">
        <f>AND('Planilla_General_03-12-2012_9_3'!N919,"AAAAAH77/m4=")</f>
        <v>#VALUE!</v>
      </c>
      <c r="DH58" t="e">
        <f>AND('Planilla_General_03-12-2012_9_3'!O919,"AAAAAH77/m8=")</f>
        <v>#VALUE!</v>
      </c>
      <c r="DI58">
        <f>IF('Planilla_General_03-12-2012_9_3'!920:920,"AAAAAH77/nA=",0)</f>
        <v>0</v>
      </c>
      <c r="DJ58" t="e">
        <f>AND('Planilla_General_03-12-2012_9_3'!A920,"AAAAAH77/nE=")</f>
        <v>#VALUE!</v>
      </c>
      <c r="DK58" t="e">
        <f>AND('Planilla_General_03-12-2012_9_3'!B920,"AAAAAH77/nI=")</f>
        <v>#VALUE!</v>
      </c>
      <c r="DL58" t="e">
        <f>AND('Planilla_General_03-12-2012_9_3'!C920,"AAAAAH77/nM=")</f>
        <v>#VALUE!</v>
      </c>
      <c r="DM58" t="e">
        <f>AND('Planilla_General_03-12-2012_9_3'!D920,"AAAAAH77/nQ=")</f>
        <v>#VALUE!</v>
      </c>
      <c r="DN58" t="e">
        <f>AND('Planilla_General_03-12-2012_9_3'!E920,"AAAAAH77/nU=")</f>
        <v>#VALUE!</v>
      </c>
      <c r="DO58" t="e">
        <f>AND('Planilla_General_03-12-2012_9_3'!F920,"AAAAAH77/nY=")</f>
        <v>#VALUE!</v>
      </c>
      <c r="DP58" t="e">
        <f>AND('Planilla_General_03-12-2012_9_3'!G920,"AAAAAH77/nc=")</f>
        <v>#VALUE!</v>
      </c>
      <c r="DQ58" t="e">
        <f>AND('Planilla_General_03-12-2012_9_3'!H920,"AAAAAH77/ng=")</f>
        <v>#VALUE!</v>
      </c>
      <c r="DR58" t="e">
        <f>AND('Planilla_General_03-12-2012_9_3'!I920,"AAAAAH77/nk=")</f>
        <v>#VALUE!</v>
      </c>
      <c r="DS58" t="e">
        <f>AND('Planilla_General_03-12-2012_9_3'!J920,"AAAAAH77/no=")</f>
        <v>#VALUE!</v>
      </c>
      <c r="DT58" t="e">
        <f>AND('Planilla_General_03-12-2012_9_3'!K920,"AAAAAH77/ns=")</f>
        <v>#VALUE!</v>
      </c>
      <c r="DU58" t="e">
        <f>AND('Planilla_General_03-12-2012_9_3'!L920,"AAAAAH77/nw=")</f>
        <v>#VALUE!</v>
      </c>
      <c r="DV58" t="e">
        <f>AND('Planilla_General_03-12-2012_9_3'!M920,"AAAAAH77/n0=")</f>
        <v>#VALUE!</v>
      </c>
      <c r="DW58" t="e">
        <f>AND('Planilla_General_03-12-2012_9_3'!N920,"AAAAAH77/n4=")</f>
        <v>#VALUE!</v>
      </c>
      <c r="DX58" t="e">
        <f>AND('Planilla_General_03-12-2012_9_3'!O920,"AAAAAH77/n8=")</f>
        <v>#VALUE!</v>
      </c>
      <c r="DY58">
        <f>IF('Planilla_General_03-12-2012_9_3'!921:921,"AAAAAH77/oA=",0)</f>
        <v>0</v>
      </c>
      <c r="DZ58" t="e">
        <f>AND('Planilla_General_03-12-2012_9_3'!A921,"AAAAAH77/oE=")</f>
        <v>#VALUE!</v>
      </c>
      <c r="EA58" t="e">
        <f>AND('Planilla_General_03-12-2012_9_3'!B921,"AAAAAH77/oI=")</f>
        <v>#VALUE!</v>
      </c>
      <c r="EB58" t="e">
        <f>AND('Planilla_General_03-12-2012_9_3'!C921,"AAAAAH77/oM=")</f>
        <v>#VALUE!</v>
      </c>
      <c r="EC58" t="e">
        <f>AND('Planilla_General_03-12-2012_9_3'!D921,"AAAAAH77/oQ=")</f>
        <v>#VALUE!</v>
      </c>
      <c r="ED58" t="e">
        <f>AND('Planilla_General_03-12-2012_9_3'!E921,"AAAAAH77/oU=")</f>
        <v>#VALUE!</v>
      </c>
      <c r="EE58" t="e">
        <f>AND('Planilla_General_03-12-2012_9_3'!F921,"AAAAAH77/oY=")</f>
        <v>#VALUE!</v>
      </c>
      <c r="EF58" t="e">
        <f>AND('Planilla_General_03-12-2012_9_3'!G921,"AAAAAH77/oc=")</f>
        <v>#VALUE!</v>
      </c>
      <c r="EG58" t="e">
        <f>AND('Planilla_General_03-12-2012_9_3'!H921,"AAAAAH77/og=")</f>
        <v>#VALUE!</v>
      </c>
      <c r="EH58" t="e">
        <f>AND('Planilla_General_03-12-2012_9_3'!I921,"AAAAAH77/ok=")</f>
        <v>#VALUE!</v>
      </c>
      <c r="EI58" t="e">
        <f>AND('Planilla_General_03-12-2012_9_3'!J921,"AAAAAH77/oo=")</f>
        <v>#VALUE!</v>
      </c>
      <c r="EJ58" t="e">
        <f>AND('Planilla_General_03-12-2012_9_3'!K921,"AAAAAH77/os=")</f>
        <v>#VALUE!</v>
      </c>
      <c r="EK58" t="e">
        <f>AND('Planilla_General_03-12-2012_9_3'!L921,"AAAAAH77/ow=")</f>
        <v>#VALUE!</v>
      </c>
      <c r="EL58" t="e">
        <f>AND('Planilla_General_03-12-2012_9_3'!M921,"AAAAAH77/o0=")</f>
        <v>#VALUE!</v>
      </c>
      <c r="EM58" t="e">
        <f>AND('Planilla_General_03-12-2012_9_3'!N921,"AAAAAH77/o4=")</f>
        <v>#VALUE!</v>
      </c>
      <c r="EN58" t="e">
        <f>AND('Planilla_General_03-12-2012_9_3'!O921,"AAAAAH77/o8=")</f>
        <v>#VALUE!</v>
      </c>
      <c r="EO58">
        <f>IF('Planilla_General_03-12-2012_9_3'!922:922,"AAAAAH77/pA=",0)</f>
        <v>0</v>
      </c>
      <c r="EP58" t="e">
        <f>AND('Planilla_General_03-12-2012_9_3'!A922,"AAAAAH77/pE=")</f>
        <v>#VALUE!</v>
      </c>
      <c r="EQ58" t="e">
        <f>AND('Planilla_General_03-12-2012_9_3'!B922,"AAAAAH77/pI=")</f>
        <v>#VALUE!</v>
      </c>
      <c r="ER58" t="e">
        <f>AND('Planilla_General_03-12-2012_9_3'!C922,"AAAAAH77/pM=")</f>
        <v>#VALUE!</v>
      </c>
      <c r="ES58" t="e">
        <f>AND('Planilla_General_03-12-2012_9_3'!D922,"AAAAAH77/pQ=")</f>
        <v>#VALUE!</v>
      </c>
      <c r="ET58" t="e">
        <f>AND('Planilla_General_03-12-2012_9_3'!E922,"AAAAAH77/pU=")</f>
        <v>#VALUE!</v>
      </c>
      <c r="EU58" t="e">
        <f>AND('Planilla_General_03-12-2012_9_3'!F922,"AAAAAH77/pY=")</f>
        <v>#VALUE!</v>
      </c>
      <c r="EV58" t="e">
        <f>AND('Planilla_General_03-12-2012_9_3'!G922,"AAAAAH77/pc=")</f>
        <v>#VALUE!</v>
      </c>
      <c r="EW58" t="e">
        <f>AND('Planilla_General_03-12-2012_9_3'!H922,"AAAAAH77/pg=")</f>
        <v>#VALUE!</v>
      </c>
      <c r="EX58" t="e">
        <f>AND('Planilla_General_03-12-2012_9_3'!I922,"AAAAAH77/pk=")</f>
        <v>#VALUE!</v>
      </c>
      <c r="EY58" t="e">
        <f>AND('Planilla_General_03-12-2012_9_3'!J922,"AAAAAH77/po=")</f>
        <v>#VALUE!</v>
      </c>
      <c r="EZ58" t="e">
        <f>AND('Planilla_General_03-12-2012_9_3'!K922,"AAAAAH77/ps=")</f>
        <v>#VALUE!</v>
      </c>
      <c r="FA58" t="e">
        <f>AND('Planilla_General_03-12-2012_9_3'!L922,"AAAAAH77/pw=")</f>
        <v>#VALUE!</v>
      </c>
      <c r="FB58" t="e">
        <f>AND('Planilla_General_03-12-2012_9_3'!M922,"AAAAAH77/p0=")</f>
        <v>#VALUE!</v>
      </c>
      <c r="FC58" t="e">
        <f>AND('Planilla_General_03-12-2012_9_3'!N922,"AAAAAH77/p4=")</f>
        <v>#VALUE!</v>
      </c>
      <c r="FD58" t="e">
        <f>AND('Planilla_General_03-12-2012_9_3'!O922,"AAAAAH77/p8=")</f>
        <v>#VALUE!</v>
      </c>
      <c r="FE58">
        <f>IF('Planilla_General_03-12-2012_9_3'!923:923,"AAAAAH77/qA=",0)</f>
        <v>0</v>
      </c>
      <c r="FF58" t="e">
        <f>AND('Planilla_General_03-12-2012_9_3'!A923,"AAAAAH77/qE=")</f>
        <v>#VALUE!</v>
      </c>
      <c r="FG58" t="e">
        <f>AND('Planilla_General_03-12-2012_9_3'!B923,"AAAAAH77/qI=")</f>
        <v>#VALUE!</v>
      </c>
      <c r="FH58" t="e">
        <f>AND('Planilla_General_03-12-2012_9_3'!C923,"AAAAAH77/qM=")</f>
        <v>#VALUE!</v>
      </c>
      <c r="FI58" t="e">
        <f>AND('Planilla_General_03-12-2012_9_3'!D923,"AAAAAH77/qQ=")</f>
        <v>#VALUE!</v>
      </c>
      <c r="FJ58" t="e">
        <f>AND('Planilla_General_03-12-2012_9_3'!E923,"AAAAAH77/qU=")</f>
        <v>#VALUE!</v>
      </c>
      <c r="FK58" t="e">
        <f>AND('Planilla_General_03-12-2012_9_3'!F923,"AAAAAH77/qY=")</f>
        <v>#VALUE!</v>
      </c>
      <c r="FL58" t="e">
        <f>AND('Planilla_General_03-12-2012_9_3'!G923,"AAAAAH77/qc=")</f>
        <v>#VALUE!</v>
      </c>
      <c r="FM58" t="e">
        <f>AND('Planilla_General_03-12-2012_9_3'!H923,"AAAAAH77/qg=")</f>
        <v>#VALUE!</v>
      </c>
      <c r="FN58" t="e">
        <f>AND('Planilla_General_03-12-2012_9_3'!I923,"AAAAAH77/qk=")</f>
        <v>#VALUE!</v>
      </c>
      <c r="FO58" t="e">
        <f>AND('Planilla_General_03-12-2012_9_3'!J923,"AAAAAH77/qo=")</f>
        <v>#VALUE!</v>
      </c>
      <c r="FP58" t="e">
        <f>AND('Planilla_General_03-12-2012_9_3'!K923,"AAAAAH77/qs=")</f>
        <v>#VALUE!</v>
      </c>
      <c r="FQ58" t="e">
        <f>AND('Planilla_General_03-12-2012_9_3'!L923,"AAAAAH77/qw=")</f>
        <v>#VALUE!</v>
      </c>
      <c r="FR58" t="e">
        <f>AND('Planilla_General_03-12-2012_9_3'!M923,"AAAAAH77/q0=")</f>
        <v>#VALUE!</v>
      </c>
      <c r="FS58" t="e">
        <f>AND('Planilla_General_03-12-2012_9_3'!N923,"AAAAAH77/q4=")</f>
        <v>#VALUE!</v>
      </c>
      <c r="FT58" t="e">
        <f>AND('Planilla_General_03-12-2012_9_3'!O923,"AAAAAH77/q8=")</f>
        <v>#VALUE!</v>
      </c>
      <c r="FU58">
        <f>IF('Planilla_General_03-12-2012_9_3'!924:924,"AAAAAH77/rA=",0)</f>
        <v>0</v>
      </c>
      <c r="FV58" t="e">
        <f>AND('Planilla_General_03-12-2012_9_3'!A924,"AAAAAH77/rE=")</f>
        <v>#VALUE!</v>
      </c>
      <c r="FW58" t="e">
        <f>AND('Planilla_General_03-12-2012_9_3'!B924,"AAAAAH77/rI=")</f>
        <v>#VALUE!</v>
      </c>
      <c r="FX58" t="e">
        <f>AND('Planilla_General_03-12-2012_9_3'!C924,"AAAAAH77/rM=")</f>
        <v>#VALUE!</v>
      </c>
      <c r="FY58" t="e">
        <f>AND('Planilla_General_03-12-2012_9_3'!D924,"AAAAAH77/rQ=")</f>
        <v>#VALUE!</v>
      </c>
      <c r="FZ58" t="e">
        <f>AND('Planilla_General_03-12-2012_9_3'!E924,"AAAAAH77/rU=")</f>
        <v>#VALUE!</v>
      </c>
      <c r="GA58" t="e">
        <f>AND('Planilla_General_03-12-2012_9_3'!F924,"AAAAAH77/rY=")</f>
        <v>#VALUE!</v>
      </c>
      <c r="GB58" t="e">
        <f>AND('Planilla_General_03-12-2012_9_3'!G924,"AAAAAH77/rc=")</f>
        <v>#VALUE!</v>
      </c>
      <c r="GC58" t="e">
        <f>AND('Planilla_General_03-12-2012_9_3'!H924,"AAAAAH77/rg=")</f>
        <v>#VALUE!</v>
      </c>
      <c r="GD58" t="e">
        <f>AND('Planilla_General_03-12-2012_9_3'!I924,"AAAAAH77/rk=")</f>
        <v>#VALUE!</v>
      </c>
      <c r="GE58" t="e">
        <f>AND('Planilla_General_03-12-2012_9_3'!J924,"AAAAAH77/ro=")</f>
        <v>#VALUE!</v>
      </c>
      <c r="GF58" t="e">
        <f>AND('Planilla_General_03-12-2012_9_3'!K924,"AAAAAH77/rs=")</f>
        <v>#VALUE!</v>
      </c>
      <c r="GG58" t="e">
        <f>AND('Planilla_General_03-12-2012_9_3'!L924,"AAAAAH77/rw=")</f>
        <v>#VALUE!</v>
      </c>
      <c r="GH58" t="e">
        <f>AND('Planilla_General_03-12-2012_9_3'!M924,"AAAAAH77/r0=")</f>
        <v>#VALUE!</v>
      </c>
      <c r="GI58" t="e">
        <f>AND('Planilla_General_03-12-2012_9_3'!N924,"AAAAAH77/r4=")</f>
        <v>#VALUE!</v>
      </c>
      <c r="GJ58" t="e">
        <f>AND('Planilla_General_03-12-2012_9_3'!O924,"AAAAAH77/r8=")</f>
        <v>#VALUE!</v>
      </c>
      <c r="GK58">
        <f>IF('Planilla_General_03-12-2012_9_3'!925:925,"AAAAAH77/sA=",0)</f>
        <v>0</v>
      </c>
      <c r="GL58" t="e">
        <f>AND('Planilla_General_03-12-2012_9_3'!A925,"AAAAAH77/sE=")</f>
        <v>#VALUE!</v>
      </c>
      <c r="GM58" t="e">
        <f>AND('Planilla_General_03-12-2012_9_3'!B925,"AAAAAH77/sI=")</f>
        <v>#VALUE!</v>
      </c>
      <c r="GN58" t="e">
        <f>AND('Planilla_General_03-12-2012_9_3'!C925,"AAAAAH77/sM=")</f>
        <v>#VALUE!</v>
      </c>
      <c r="GO58" t="e">
        <f>AND('Planilla_General_03-12-2012_9_3'!D925,"AAAAAH77/sQ=")</f>
        <v>#VALUE!</v>
      </c>
      <c r="GP58" t="e">
        <f>AND('Planilla_General_03-12-2012_9_3'!E925,"AAAAAH77/sU=")</f>
        <v>#VALUE!</v>
      </c>
      <c r="GQ58" t="e">
        <f>AND('Planilla_General_03-12-2012_9_3'!F925,"AAAAAH77/sY=")</f>
        <v>#VALUE!</v>
      </c>
      <c r="GR58" t="e">
        <f>AND('Planilla_General_03-12-2012_9_3'!G925,"AAAAAH77/sc=")</f>
        <v>#VALUE!</v>
      </c>
      <c r="GS58" t="e">
        <f>AND('Planilla_General_03-12-2012_9_3'!H925,"AAAAAH77/sg=")</f>
        <v>#VALUE!</v>
      </c>
      <c r="GT58" t="e">
        <f>AND('Planilla_General_03-12-2012_9_3'!I925,"AAAAAH77/sk=")</f>
        <v>#VALUE!</v>
      </c>
      <c r="GU58" t="e">
        <f>AND('Planilla_General_03-12-2012_9_3'!J925,"AAAAAH77/so=")</f>
        <v>#VALUE!</v>
      </c>
      <c r="GV58" t="e">
        <f>AND('Planilla_General_03-12-2012_9_3'!K925,"AAAAAH77/ss=")</f>
        <v>#VALUE!</v>
      </c>
      <c r="GW58" t="e">
        <f>AND('Planilla_General_03-12-2012_9_3'!L925,"AAAAAH77/sw=")</f>
        <v>#VALUE!</v>
      </c>
      <c r="GX58" t="e">
        <f>AND('Planilla_General_03-12-2012_9_3'!M925,"AAAAAH77/s0=")</f>
        <v>#VALUE!</v>
      </c>
      <c r="GY58" t="e">
        <f>AND('Planilla_General_03-12-2012_9_3'!N925,"AAAAAH77/s4=")</f>
        <v>#VALUE!</v>
      </c>
      <c r="GZ58" t="e">
        <f>AND('Planilla_General_03-12-2012_9_3'!O925,"AAAAAH77/s8=")</f>
        <v>#VALUE!</v>
      </c>
      <c r="HA58">
        <f>IF('Planilla_General_03-12-2012_9_3'!926:926,"AAAAAH77/tA=",0)</f>
        <v>0</v>
      </c>
      <c r="HB58" t="e">
        <f>AND('Planilla_General_03-12-2012_9_3'!A926,"AAAAAH77/tE=")</f>
        <v>#VALUE!</v>
      </c>
      <c r="HC58" t="e">
        <f>AND('Planilla_General_03-12-2012_9_3'!B926,"AAAAAH77/tI=")</f>
        <v>#VALUE!</v>
      </c>
      <c r="HD58" t="e">
        <f>AND('Planilla_General_03-12-2012_9_3'!C926,"AAAAAH77/tM=")</f>
        <v>#VALUE!</v>
      </c>
      <c r="HE58" t="e">
        <f>AND('Planilla_General_03-12-2012_9_3'!D926,"AAAAAH77/tQ=")</f>
        <v>#VALUE!</v>
      </c>
      <c r="HF58" t="e">
        <f>AND('Planilla_General_03-12-2012_9_3'!E926,"AAAAAH77/tU=")</f>
        <v>#VALUE!</v>
      </c>
      <c r="HG58" t="e">
        <f>AND('Planilla_General_03-12-2012_9_3'!F926,"AAAAAH77/tY=")</f>
        <v>#VALUE!</v>
      </c>
      <c r="HH58" t="e">
        <f>AND('Planilla_General_03-12-2012_9_3'!G926,"AAAAAH77/tc=")</f>
        <v>#VALUE!</v>
      </c>
      <c r="HI58" t="e">
        <f>AND('Planilla_General_03-12-2012_9_3'!H926,"AAAAAH77/tg=")</f>
        <v>#VALUE!</v>
      </c>
      <c r="HJ58" t="e">
        <f>AND('Planilla_General_03-12-2012_9_3'!I926,"AAAAAH77/tk=")</f>
        <v>#VALUE!</v>
      </c>
      <c r="HK58" t="e">
        <f>AND('Planilla_General_03-12-2012_9_3'!J926,"AAAAAH77/to=")</f>
        <v>#VALUE!</v>
      </c>
      <c r="HL58" t="e">
        <f>AND('Planilla_General_03-12-2012_9_3'!K926,"AAAAAH77/ts=")</f>
        <v>#VALUE!</v>
      </c>
      <c r="HM58" t="e">
        <f>AND('Planilla_General_03-12-2012_9_3'!L926,"AAAAAH77/tw=")</f>
        <v>#VALUE!</v>
      </c>
      <c r="HN58" t="e">
        <f>AND('Planilla_General_03-12-2012_9_3'!M926,"AAAAAH77/t0=")</f>
        <v>#VALUE!</v>
      </c>
      <c r="HO58" t="e">
        <f>AND('Planilla_General_03-12-2012_9_3'!N926,"AAAAAH77/t4=")</f>
        <v>#VALUE!</v>
      </c>
      <c r="HP58" t="e">
        <f>AND('Planilla_General_03-12-2012_9_3'!O926,"AAAAAH77/t8=")</f>
        <v>#VALUE!</v>
      </c>
      <c r="HQ58">
        <f>IF('Planilla_General_03-12-2012_9_3'!927:927,"AAAAAH77/uA=",0)</f>
        <v>0</v>
      </c>
      <c r="HR58" t="e">
        <f>AND('Planilla_General_03-12-2012_9_3'!A927,"AAAAAH77/uE=")</f>
        <v>#VALUE!</v>
      </c>
      <c r="HS58" t="e">
        <f>AND('Planilla_General_03-12-2012_9_3'!B927,"AAAAAH77/uI=")</f>
        <v>#VALUE!</v>
      </c>
      <c r="HT58" t="e">
        <f>AND('Planilla_General_03-12-2012_9_3'!C927,"AAAAAH77/uM=")</f>
        <v>#VALUE!</v>
      </c>
      <c r="HU58" t="e">
        <f>AND('Planilla_General_03-12-2012_9_3'!D927,"AAAAAH77/uQ=")</f>
        <v>#VALUE!</v>
      </c>
      <c r="HV58" t="e">
        <f>AND('Planilla_General_03-12-2012_9_3'!E927,"AAAAAH77/uU=")</f>
        <v>#VALUE!</v>
      </c>
      <c r="HW58" t="e">
        <f>AND('Planilla_General_03-12-2012_9_3'!F927,"AAAAAH77/uY=")</f>
        <v>#VALUE!</v>
      </c>
      <c r="HX58" t="e">
        <f>AND('Planilla_General_03-12-2012_9_3'!G927,"AAAAAH77/uc=")</f>
        <v>#VALUE!</v>
      </c>
      <c r="HY58" t="e">
        <f>AND('Planilla_General_03-12-2012_9_3'!H927,"AAAAAH77/ug=")</f>
        <v>#VALUE!</v>
      </c>
      <c r="HZ58" t="e">
        <f>AND('Planilla_General_03-12-2012_9_3'!I927,"AAAAAH77/uk=")</f>
        <v>#VALUE!</v>
      </c>
      <c r="IA58" t="e">
        <f>AND('Planilla_General_03-12-2012_9_3'!J927,"AAAAAH77/uo=")</f>
        <v>#VALUE!</v>
      </c>
      <c r="IB58" t="e">
        <f>AND('Planilla_General_03-12-2012_9_3'!K927,"AAAAAH77/us=")</f>
        <v>#VALUE!</v>
      </c>
      <c r="IC58" t="e">
        <f>AND('Planilla_General_03-12-2012_9_3'!L927,"AAAAAH77/uw=")</f>
        <v>#VALUE!</v>
      </c>
      <c r="ID58" t="e">
        <f>AND('Planilla_General_03-12-2012_9_3'!M927,"AAAAAH77/u0=")</f>
        <v>#VALUE!</v>
      </c>
      <c r="IE58" t="e">
        <f>AND('Planilla_General_03-12-2012_9_3'!N927,"AAAAAH77/u4=")</f>
        <v>#VALUE!</v>
      </c>
      <c r="IF58" t="e">
        <f>AND('Planilla_General_03-12-2012_9_3'!O927,"AAAAAH77/u8=")</f>
        <v>#VALUE!</v>
      </c>
      <c r="IG58">
        <f>IF('Planilla_General_03-12-2012_9_3'!928:928,"AAAAAH77/vA=",0)</f>
        <v>0</v>
      </c>
      <c r="IH58" t="e">
        <f>AND('Planilla_General_03-12-2012_9_3'!A928,"AAAAAH77/vE=")</f>
        <v>#VALUE!</v>
      </c>
      <c r="II58" t="e">
        <f>AND('Planilla_General_03-12-2012_9_3'!B928,"AAAAAH77/vI=")</f>
        <v>#VALUE!</v>
      </c>
      <c r="IJ58" t="e">
        <f>AND('Planilla_General_03-12-2012_9_3'!C928,"AAAAAH77/vM=")</f>
        <v>#VALUE!</v>
      </c>
      <c r="IK58" t="e">
        <f>AND('Planilla_General_03-12-2012_9_3'!D928,"AAAAAH77/vQ=")</f>
        <v>#VALUE!</v>
      </c>
      <c r="IL58" t="e">
        <f>AND('Planilla_General_03-12-2012_9_3'!E928,"AAAAAH77/vU=")</f>
        <v>#VALUE!</v>
      </c>
      <c r="IM58" t="e">
        <f>AND('Planilla_General_03-12-2012_9_3'!F928,"AAAAAH77/vY=")</f>
        <v>#VALUE!</v>
      </c>
      <c r="IN58" t="e">
        <f>AND('Planilla_General_03-12-2012_9_3'!G928,"AAAAAH77/vc=")</f>
        <v>#VALUE!</v>
      </c>
      <c r="IO58" t="e">
        <f>AND('Planilla_General_03-12-2012_9_3'!H928,"AAAAAH77/vg=")</f>
        <v>#VALUE!</v>
      </c>
      <c r="IP58" t="e">
        <f>AND('Planilla_General_03-12-2012_9_3'!I928,"AAAAAH77/vk=")</f>
        <v>#VALUE!</v>
      </c>
      <c r="IQ58" t="e">
        <f>AND('Planilla_General_03-12-2012_9_3'!J928,"AAAAAH77/vo=")</f>
        <v>#VALUE!</v>
      </c>
      <c r="IR58" t="e">
        <f>AND('Planilla_General_03-12-2012_9_3'!K928,"AAAAAH77/vs=")</f>
        <v>#VALUE!</v>
      </c>
      <c r="IS58" t="e">
        <f>AND('Planilla_General_03-12-2012_9_3'!L928,"AAAAAH77/vw=")</f>
        <v>#VALUE!</v>
      </c>
      <c r="IT58" t="e">
        <f>AND('Planilla_General_03-12-2012_9_3'!M928,"AAAAAH77/v0=")</f>
        <v>#VALUE!</v>
      </c>
      <c r="IU58" t="e">
        <f>AND('Planilla_General_03-12-2012_9_3'!N928,"AAAAAH77/v4=")</f>
        <v>#VALUE!</v>
      </c>
      <c r="IV58" t="e">
        <f>AND('Planilla_General_03-12-2012_9_3'!O928,"AAAAAH77/v8=")</f>
        <v>#VALUE!</v>
      </c>
    </row>
    <row r="59" spans="1:256" x14ac:dyDescent="0.25">
      <c r="A59" t="e">
        <f>IF('Planilla_General_03-12-2012_9_3'!929:929,"AAAAACnr6AA=",0)</f>
        <v>#VALUE!</v>
      </c>
      <c r="B59" t="e">
        <f>AND('Planilla_General_03-12-2012_9_3'!A929,"AAAAACnr6AE=")</f>
        <v>#VALUE!</v>
      </c>
      <c r="C59" t="e">
        <f>AND('Planilla_General_03-12-2012_9_3'!B929,"AAAAACnr6AI=")</f>
        <v>#VALUE!</v>
      </c>
      <c r="D59" t="e">
        <f>AND('Planilla_General_03-12-2012_9_3'!C929,"AAAAACnr6AM=")</f>
        <v>#VALUE!</v>
      </c>
      <c r="E59" t="e">
        <f>AND('Planilla_General_03-12-2012_9_3'!D929,"AAAAACnr6AQ=")</f>
        <v>#VALUE!</v>
      </c>
      <c r="F59" t="e">
        <f>AND('Planilla_General_03-12-2012_9_3'!E929,"AAAAACnr6AU=")</f>
        <v>#VALUE!</v>
      </c>
      <c r="G59" t="e">
        <f>AND('Planilla_General_03-12-2012_9_3'!F929,"AAAAACnr6AY=")</f>
        <v>#VALUE!</v>
      </c>
      <c r="H59" t="e">
        <f>AND('Planilla_General_03-12-2012_9_3'!G929,"AAAAACnr6Ac=")</f>
        <v>#VALUE!</v>
      </c>
      <c r="I59" t="e">
        <f>AND('Planilla_General_03-12-2012_9_3'!H929,"AAAAACnr6Ag=")</f>
        <v>#VALUE!</v>
      </c>
      <c r="J59" t="e">
        <f>AND('Planilla_General_03-12-2012_9_3'!I929,"AAAAACnr6Ak=")</f>
        <v>#VALUE!</v>
      </c>
      <c r="K59" t="e">
        <f>AND('Planilla_General_03-12-2012_9_3'!J929,"AAAAACnr6Ao=")</f>
        <v>#VALUE!</v>
      </c>
      <c r="L59" t="e">
        <f>AND('Planilla_General_03-12-2012_9_3'!K929,"AAAAACnr6As=")</f>
        <v>#VALUE!</v>
      </c>
      <c r="M59" t="e">
        <f>AND('Planilla_General_03-12-2012_9_3'!L929,"AAAAACnr6Aw=")</f>
        <v>#VALUE!</v>
      </c>
      <c r="N59" t="e">
        <f>AND('Planilla_General_03-12-2012_9_3'!M929,"AAAAACnr6A0=")</f>
        <v>#VALUE!</v>
      </c>
      <c r="O59" t="e">
        <f>AND('Planilla_General_03-12-2012_9_3'!N929,"AAAAACnr6A4=")</f>
        <v>#VALUE!</v>
      </c>
      <c r="P59" t="e">
        <f>AND('Planilla_General_03-12-2012_9_3'!O929,"AAAAACnr6A8=")</f>
        <v>#VALUE!</v>
      </c>
      <c r="Q59">
        <f>IF('Planilla_General_03-12-2012_9_3'!930:930,"AAAAACnr6BA=",0)</f>
        <v>0</v>
      </c>
      <c r="R59" t="e">
        <f>AND('Planilla_General_03-12-2012_9_3'!A930,"AAAAACnr6BE=")</f>
        <v>#VALUE!</v>
      </c>
      <c r="S59" t="e">
        <f>AND('Planilla_General_03-12-2012_9_3'!B930,"AAAAACnr6BI=")</f>
        <v>#VALUE!</v>
      </c>
      <c r="T59" t="e">
        <f>AND('Planilla_General_03-12-2012_9_3'!C930,"AAAAACnr6BM=")</f>
        <v>#VALUE!</v>
      </c>
      <c r="U59" t="e">
        <f>AND('Planilla_General_03-12-2012_9_3'!D930,"AAAAACnr6BQ=")</f>
        <v>#VALUE!</v>
      </c>
      <c r="V59" t="e">
        <f>AND('Planilla_General_03-12-2012_9_3'!E930,"AAAAACnr6BU=")</f>
        <v>#VALUE!</v>
      </c>
      <c r="W59" t="e">
        <f>AND('Planilla_General_03-12-2012_9_3'!F930,"AAAAACnr6BY=")</f>
        <v>#VALUE!</v>
      </c>
      <c r="X59" t="e">
        <f>AND('Planilla_General_03-12-2012_9_3'!G930,"AAAAACnr6Bc=")</f>
        <v>#VALUE!</v>
      </c>
      <c r="Y59" t="e">
        <f>AND('Planilla_General_03-12-2012_9_3'!H930,"AAAAACnr6Bg=")</f>
        <v>#VALUE!</v>
      </c>
      <c r="Z59" t="e">
        <f>AND('Planilla_General_03-12-2012_9_3'!I930,"AAAAACnr6Bk=")</f>
        <v>#VALUE!</v>
      </c>
      <c r="AA59" t="e">
        <f>AND('Planilla_General_03-12-2012_9_3'!J930,"AAAAACnr6Bo=")</f>
        <v>#VALUE!</v>
      </c>
      <c r="AB59" t="e">
        <f>AND('Planilla_General_03-12-2012_9_3'!K930,"AAAAACnr6Bs=")</f>
        <v>#VALUE!</v>
      </c>
      <c r="AC59" t="e">
        <f>AND('Planilla_General_03-12-2012_9_3'!L930,"AAAAACnr6Bw=")</f>
        <v>#VALUE!</v>
      </c>
      <c r="AD59" t="e">
        <f>AND('Planilla_General_03-12-2012_9_3'!M930,"AAAAACnr6B0=")</f>
        <v>#VALUE!</v>
      </c>
      <c r="AE59" t="e">
        <f>AND('Planilla_General_03-12-2012_9_3'!N930,"AAAAACnr6B4=")</f>
        <v>#VALUE!</v>
      </c>
      <c r="AF59" t="e">
        <f>AND('Planilla_General_03-12-2012_9_3'!O930,"AAAAACnr6B8=")</f>
        <v>#VALUE!</v>
      </c>
      <c r="AG59">
        <f>IF('Planilla_General_03-12-2012_9_3'!931:931,"AAAAACnr6CA=",0)</f>
        <v>0</v>
      </c>
      <c r="AH59" t="e">
        <f>AND('Planilla_General_03-12-2012_9_3'!A931,"AAAAACnr6CE=")</f>
        <v>#VALUE!</v>
      </c>
      <c r="AI59" t="e">
        <f>AND('Planilla_General_03-12-2012_9_3'!B931,"AAAAACnr6CI=")</f>
        <v>#VALUE!</v>
      </c>
      <c r="AJ59" t="e">
        <f>AND('Planilla_General_03-12-2012_9_3'!C931,"AAAAACnr6CM=")</f>
        <v>#VALUE!</v>
      </c>
      <c r="AK59" t="e">
        <f>AND('Planilla_General_03-12-2012_9_3'!D931,"AAAAACnr6CQ=")</f>
        <v>#VALUE!</v>
      </c>
      <c r="AL59" t="e">
        <f>AND('Planilla_General_03-12-2012_9_3'!E931,"AAAAACnr6CU=")</f>
        <v>#VALUE!</v>
      </c>
      <c r="AM59" t="e">
        <f>AND('Planilla_General_03-12-2012_9_3'!F931,"AAAAACnr6CY=")</f>
        <v>#VALUE!</v>
      </c>
      <c r="AN59" t="e">
        <f>AND('Planilla_General_03-12-2012_9_3'!G931,"AAAAACnr6Cc=")</f>
        <v>#VALUE!</v>
      </c>
      <c r="AO59" t="e">
        <f>AND('Planilla_General_03-12-2012_9_3'!H931,"AAAAACnr6Cg=")</f>
        <v>#VALUE!</v>
      </c>
      <c r="AP59" t="e">
        <f>AND('Planilla_General_03-12-2012_9_3'!I931,"AAAAACnr6Ck=")</f>
        <v>#VALUE!</v>
      </c>
      <c r="AQ59" t="e">
        <f>AND('Planilla_General_03-12-2012_9_3'!J931,"AAAAACnr6Co=")</f>
        <v>#VALUE!</v>
      </c>
      <c r="AR59" t="e">
        <f>AND('Planilla_General_03-12-2012_9_3'!K931,"AAAAACnr6Cs=")</f>
        <v>#VALUE!</v>
      </c>
      <c r="AS59" t="e">
        <f>AND('Planilla_General_03-12-2012_9_3'!L931,"AAAAACnr6Cw=")</f>
        <v>#VALUE!</v>
      </c>
      <c r="AT59" t="e">
        <f>AND('Planilla_General_03-12-2012_9_3'!M931,"AAAAACnr6C0=")</f>
        <v>#VALUE!</v>
      </c>
      <c r="AU59" t="e">
        <f>AND('Planilla_General_03-12-2012_9_3'!N931,"AAAAACnr6C4=")</f>
        <v>#VALUE!</v>
      </c>
      <c r="AV59" t="e">
        <f>AND('Planilla_General_03-12-2012_9_3'!O931,"AAAAACnr6C8=")</f>
        <v>#VALUE!</v>
      </c>
      <c r="AW59">
        <f>IF('Planilla_General_03-12-2012_9_3'!932:932,"AAAAACnr6DA=",0)</f>
        <v>0</v>
      </c>
      <c r="AX59" t="e">
        <f>AND('Planilla_General_03-12-2012_9_3'!A932,"AAAAACnr6DE=")</f>
        <v>#VALUE!</v>
      </c>
      <c r="AY59" t="e">
        <f>AND('Planilla_General_03-12-2012_9_3'!B932,"AAAAACnr6DI=")</f>
        <v>#VALUE!</v>
      </c>
      <c r="AZ59" t="e">
        <f>AND('Planilla_General_03-12-2012_9_3'!C932,"AAAAACnr6DM=")</f>
        <v>#VALUE!</v>
      </c>
      <c r="BA59" t="e">
        <f>AND('Planilla_General_03-12-2012_9_3'!D932,"AAAAACnr6DQ=")</f>
        <v>#VALUE!</v>
      </c>
      <c r="BB59" t="e">
        <f>AND('Planilla_General_03-12-2012_9_3'!E932,"AAAAACnr6DU=")</f>
        <v>#VALUE!</v>
      </c>
      <c r="BC59" t="e">
        <f>AND('Planilla_General_03-12-2012_9_3'!F932,"AAAAACnr6DY=")</f>
        <v>#VALUE!</v>
      </c>
      <c r="BD59" t="e">
        <f>AND('Planilla_General_03-12-2012_9_3'!G932,"AAAAACnr6Dc=")</f>
        <v>#VALUE!</v>
      </c>
      <c r="BE59" t="e">
        <f>AND('Planilla_General_03-12-2012_9_3'!H932,"AAAAACnr6Dg=")</f>
        <v>#VALUE!</v>
      </c>
      <c r="BF59" t="e">
        <f>AND('Planilla_General_03-12-2012_9_3'!I932,"AAAAACnr6Dk=")</f>
        <v>#VALUE!</v>
      </c>
      <c r="BG59" t="e">
        <f>AND('Planilla_General_03-12-2012_9_3'!J932,"AAAAACnr6Do=")</f>
        <v>#VALUE!</v>
      </c>
      <c r="BH59" t="e">
        <f>AND('Planilla_General_03-12-2012_9_3'!K932,"AAAAACnr6Ds=")</f>
        <v>#VALUE!</v>
      </c>
      <c r="BI59" t="e">
        <f>AND('Planilla_General_03-12-2012_9_3'!L932,"AAAAACnr6Dw=")</f>
        <v>#VALUE!</v>
      </c>
      <c r="BJ59" t="e">
        <f>AND('Planilla_General_03-12-2012_9_3'!M932,"AAAAACnr6D0=")</f>
        <v>#VALUE!</v>
      </c>
      <c r="BK59" t="e">
        <f>AND('Planilla_General_03-12-2012_9_3'!N932,"AAAAACnr6D4=")</f>
        <v>#VALUE!</v>
      </c>
      <c r="BL59" t="e">
        <f>AND('Planilla_General_03-12-2012_9_3'!O932,"AAAAACnr6D8=")</f>
        <v>#VALUE!</v>
      </c>
      <c r="BM59">
        <f>IF('Planilla_General_03-12-2012_9_3'!933:933,"AAAAACnr6EA=",0)</f>
        <v>0</v>
      </c>
      <c r="BN59" t="e">
        <f>AND('Planilla_General_03-12-2012_9_3'!A933,"AAAAACnr6EE=")</f>
        <v>#VALUE!</v>
      </c>
      <c r="BO59" t="e">
        <f>AND('Planilla_General_03-12-2012_9_3'!B933,"AAAAACnr6EI=")</f>
        <v>#VALUE!</v>
      </c>
      <c r="BP59" t="e">
        <f>AND('Planilla_General_03-12-2012_9_3'!C933,"AAAAACnr6EM=")</f>
        <v>#VALUE!</v>
      </c>
      <c r="BQ59" t="e">
        <f>AND('Planilla_General_03-12-2012_9_3'!D933,"AAAAACnr6EQ=")</f>
        <v>#VALUE!</v>
      </c>
      <c r="BR59" t="e">
        <f>AND('Planilla_General_03-12-2012_9_3'!E933,"AAAAACnr6EU=")</f>
        <v>#VALUE!</v>
      </c>
      <c r="BS59" t="e">
        <f>AND('Planilla_General_03-12-2012_9_3'!F933,"AAAAACnr6EY=")</f>
        <v>#VALUE!</v>
      </c>
      <c r="BT59" t="e">
        <f>AND('Planilla_General_03-12-2012_9_3'!G933,"AAAAACnr6Ec=")</f>
        <v>#VALUE!</v>
      </c>
      <c r="BU59" t="e">
        <f>AND('Planilla_General_03-12-2012_9_3'!H933,"AAAAACnr6Eg=")</f>
        <v>#VALUE!</v>
      </c>
      <c r="BV59" t="e">
        <f>AND('Planilla_General_03-12-2012_9_3'!I933,"AAAAACnr6Ek=")</f>
        <v>#VALUE!</v>
      </c>
      <c r="BW59" t="e">
        <f>AND('Planilla_General_03-12-2012_9_3'!J933,"AAAAACnr6Eo=")</f>
        <v>#VALUE!</v>
      </c>
      <c r="BX59" t="e">
        <f>AND('Planilla_General_03-12-2012_9_3'!K933,"AAAAACnr6Es=")</f>
        <v>#VALUE!</v>
      </c>
      <c r="BY59" t="e">
        <f>AND('Planilla_General_03-12-2012_9_3'!L933,"AAAAACnr6Ew=")</f>
        <v>#VALUE!</v>
      </c>
      <c r="BZ59" t="e">
        <f>AND('Planilla_General_03-12-2012_9_3'!M933,"AAAAACnr6E0=")</f>
        <v>#VALUE!</v>
      </c>
      <c r="CA59" t="e">
        <f>AND('Planilla_General_03-12-2012_9_3'!N933,"AAAAACnr6E4=")</f>
        <v>#VALUE!</v>
      </c>
      <c r="CB59" t="e">
        <f>AND('Planilla_General_03-12-2012_9_3'!O933,"AAAAACnr6E8=")</f>
        <v>#VALUE!</v>
      </c>
      <c r="CC59">
        <f>IF('Planilla_General_03-12-2012_9_3'!934:934,"AAAAACnr6FA=",0)</f>
        <v>0</v>
      </c>
      <c r="CD59" t="e">
        <f>AND('Planilla_General_03-12-2012_9_3'!A934,"AAAAACnr6FE=")</f>
        <v>#VALUE!</v>
      </c>
      <c r="CE59" t="e">
        <f>AND('Planilla_General_03-12-2012_9_3'!B934,"AAAAACnr6FI=")</f>
        <v>#VALUE!</v>
      </c>
      <c r="CF59" t="e">
        <f>AND('Planilla_General_03-12-2012_9_3'!C934,"AAAAACnr6FM=")</f>
        <v>#VALUE!</v>
      </c>
      <c r="CG59" t="e">
        <f>AND('Planilla_General_03-12-2012_9_3'!D934,"AAAAACnr6FQ=")</f>
        <v>#VALUE!</v>
      </c>
      <c r="CH59" t="e">
        <f>AND('Planilla_General_03-12-2012_9_3'!E934,"AAAAACnr6FU=")</f>
        <v>#VALUE!</v>
      </c>
      <c r="CI59" t="e">
        <f>AND('Planilla_General_03-12-2012_9_3'!F934,"AAAAACnr6FY=")</f>
        <v>#VALUE!</v>
      </c>
      <c r="CJ59" t="e">
        <f>AND('Planilla_General_03-12-2012_9_3'!G934,"AAAAACnr6Fc=")</f>
        <v>#VALUE!</v>
      </c>
      <c r="CK59" t="e">
        <f>AND('Planilla_General_03-12-2012_9_3'!H934,"AAAAACnr6Fg=")</f>
        <v>#VALUE!</v>
      </c>
      <c r="CL59" t="e">
        <f>AND('Planilla_General_03-12-2012_9_3'!I934,"AAAAACnr6Fk=")</f>
        <v>#VALUE!</v>
      </c>
      <c r="CM59" t="e">
        <f>AND('Planilla_General_03-12-2012_9_3'!J934,"AAAAACnr6Fo=")</f>
        <v>#VALUE!</v>
      </c>
      <c r="CN59" t="e">
        <f>AND('Planilla_General_03-12-2012_9_3'!K934,"AAAAACnr6Fs=")</f>
        <v>#VALUE!</v>
      </c>
      <c r="CO59" t="e">
        <f>AND('Planilla_General_03-12-2012_9_3'!L934,"AAAAACnr6Fw=")</f>
        <v>#VALUE!</v>
      </c>
      <c r="CP59" t="e">
        <f>AND('Planilla_General_03-12-2012_9_3'!M934,"AAAAACnr6F0=")</f>
        <v>#VALUE!</v>
      </c>
      <c r="CQ59" t="e">
        <f>AND('Planilla_General_03-12-2012_9_3'!N934,"AAAAACnr6F4=")</f>
        <v>#VALUE!</v>
      </c>
      <c r="CR59" t="e">
        <f>AND('Planilla_General_03-12-2012_9_3'!O934,"AAAAACnr6F8=")</f>
        <v>#VALUE!</v>
      </c>
      <c r="CS59">
        <f>IF('Planilla_General_03-12-2012_9_3'!935:935,"AAAAACnr6GA=",0)</f>
        <v>0</v>
      </c>
      <c r="CT59" t="e">
        <f>AND('Planilla_General_03-12-2012_9_3'!A935,"AAAAACnr6GE=")</f>
        <v>#VALUE!</v>
      </c>
      <c r="CU59" t="e">
        <f>AND('Planilla_General_03-12-2012_9_3'!B935,"AAAAACnr6GI=")</f>
        <v>#VALUE!</v>
      </c>
      <c r="CV59" t="e">
        <f>AND('Planilla_General_03-12-2012_9_3'!C935,"AAAAACnr6GM=")</f>
        <v>#VALUE!</v>
      </c>
      <c r="CW59" t="e">
        <f>AND('Planilla_General_03-12-2012_9_3'!D935,"AAAAACnr6GQ=")</f>
        <v>#VALUE!</v>
      </c>
      <c r="CX59" t="e">
        <f>AND('Planilla_General_03-12-2012_9_3'!E935,"AAAAACnr6GU=")</f>
        <v>#VALUE!</v>
      </c>
      <c r="CY59" t="e">
        <f>AND('Planilla_General_03-12-2012_9_3'!F935,"AAAAACnr6GY=")</f>
        <v>#VALUE!</v>
      </c>
      <c r="CZ59" t="e">
        <f>AND('Planilla_General_03-12-2012_9_3'!G935,"AAAAACnr6Gc=")</f>
        <v>#VALUE!</v>
      </c>
      <c r="DA59" t="e">
        <f>AND('Planilla_General_03-12-2012_9_3'!H935,"AAAAACnr6Gg=")</f>
        <v>#VALUE!</v>
      </c>
      <c r="DB59" t="e">
        <f>AND('Planilla_General_03-12-2012_9_3'!I935,"AAAAACnr6Gk=")</f>
        <v>#VALUE!</v>
      </c>
      <c r="DC59" t="e">
        <f>AND('Planilla_General_03-12-2012_9_3'!J935,"AAAAACnr6Go=")</f>
        <v>#VALUE!</v>
      </c>
      <c r="DD59" t="e">
        <f>AND('Planilla_General_03-12-2012_9_3'!K935,"AAAAACnr6Gs=")</f>
        <v>#VALUE!</v>
      </c>
      <c r="DE59" t="e">
        <f>AND('Planilla_General_03-12-2012_9_3'!L935,"AAAAACnr6Gw=")</f>
        <v>#VALUE!</v>
      </c>
      <c r="DF59" t="e">
        <f>AND('Planilla_General_03-12-2012_9_3'!M935,"AAAAACnr6G0=")</f>
        <v>#VALUE!</v>
      </c>
      <c r="DG59" t="e">
        <f>AND('Planilla_General_03-12-2012_9_3'!N935,"AAAAACnr6G4=")</f>
        <v>#VALUE!</v>
      </c>
      <c r="DH59" t="e">
        <f>AND('Planilla_General_03-12-2012_9_3'!O935,"AAAAACnr6G8=")</f>
        <v>#VALUE!</v>
      </c>
      <c r="DI59">
        <f>IF('Planilla_General_03-12-2012_9_3'!936:936,"AAAAACnr6HA=",0)</f>
        <v>0</v>
      </c>
      <c r="DJ59" t="e">
        <f>AND('Planilla_General_03-12-2012_9_3'!A936,"AAAAACnr6HE=")</f>
        <v>#VALUE!</v>
      </c>
      <c r="DK59" t="e">
        <f>AND('Planilla_General_03-12-2012_9_3'!B936,"AAAAACnr6HI=")</f>
        <v>#VALUE!</v>
      </c>
      <c r="DL59" t="e">
        <f>AND('Planilla_General_03-12-2012_9_3'!C936,"AAAAACnr6HM=")</f>
        <v>#VALUE!</v>
      </c>
      <c r="DM59" t="e">
        <f>AND('Planilla_General_03-12-2012_9_3'!D936,"AAAAACnr6HQ=")</f>
        <v>#VALUE!</v>
      </c>
      <c r="DN59" t="e">
        <f>AND('Planilla_General_03-12-2012_9_3'!E936,"AAAAACnr6HU=")</f>
        <v>#VALUE!</v>
      </c>
      <c r="DO59" t="e">
        <f>AND('Planilla_General_03-12-2012_9_3'!F936,"AAAAACnr6HY=")</f>
        <v>#VALUE!</v>
      </c>
      <c r="DP59" t="e">
        <f>AND('Planilla_General_03-12-2012_9_3'!G936,"AAAAACnr6Hc=")</f>
        <v>#VALUE!</v>
      </c>
      <c r="DQ59" t="e">
        <f>AND('Planilla_General_03-12-2012_9_3'!H936,"AAAAACnr6Hg=")</f>
        <v>#VALUE!</v>
      </c>
      <c r="DR59" t="e">
        <f>AND('Planilla_General_03-12-2012_9_3'!I936,"AAAAACnr6Hk=")</f>
        <v>#VALUE!</v>
      </c>
      <c r="DS59" t="e">
        <f>AND('Planilla_General_03-12-2012_9_3'!J936,"AAAAACnr6Ho=")</f>
        <v>#VALUE!</v>
      </c>
      <c r="DT59" t="e">
        <f>AND('Planilla_General_03-12-2012_9_3'!K936,"AAAAACnr6Hs=")</f>
        <v>#VALUE!</v>
      </c>
      <c r="DU59" t="e">
        <f>AND('Planilla_General_03-12-2012_9_3'!L936,"AAAAACnr6Hw=")</f>
        <v>#VALUE!</v>
      </c>
      <c r="DV59" t="e">
        <f>AND('Planilla_General_03-12-2012_9_3'!M936,"AAAAACnr6H0=")</f>
        <v>#VALUE!</v>
      </c>
      <c r="DW59" t="e">
        <f>AND('Planilla_General_03-12-2012_9_3'!N936,"AAAAACnr6H4=")</f>
        <v>#VALUE!</v>
      </c>
      <c r="DX59" t="e">
        <f>AND('Planilla_General_03-12-2012_9_3'!O936,"AAAAACnr6H8=")</f>
        <v>#VALUE!</v>
      </c>
      <c r="DY59">
        <f>IF('Planilla_General_03-12-2012_9_3'!937:937,"AAAAACnr6IA=",0)</f>
        <v>0</v>
      </c>
      <c r="DZ59" t="e">
        <f>AND('Planilla_General_03-12-2012_9_3'!A937,"AAAAACnr6IE=")</f>
        <v>#VALUE!</v>
      </c>
      <c r="EA59" t="e">
        <f>AND('Planilla_General_03-12-2012_9_3'!B937,"AAAAACnr6II=")</f>
        <v>#VALUE!</v>
      </c>
      <c r="EB59" t="e">
        <f>AND('Planilla_General_03-12-2012_9_3'!C937,"AAAAACnr6IM=")</f>
        <v>#VALUE!</v>
      </c>
      <c r="EC59" t="e">
        <f>AND('Planilla_General_03-12-2012_9_3'!D937,"AAAAACnr6IQ=")</f>
        <v>#VALUE!</v>
      </c>
      <c r="ED59" t="e">
        <f>AND('Planilla_General_03-12-2012_9_3'!E937,"AAAAACnr6IU=")</f>
        <v>#VALUE!</v>
      </c>
      <c r="EE59" t="e">
        <f>AND('Planilla_General_03-12-2012_9_3'!F937,"AAAAACnr6IY=")</f>
        <v>#VALUE!</v>
      </c>
      <c r="EF59" t="e">
        <f>AND('Planilla_General_03-12-2012_9_3'!G937,"AAAAACnr6Ic=")</f>
        <v>#VALUE!</v>
      </c>
      <c r="EG59" t="e">
        <f>AND('Planilla_General_03-12-2012_9_3'!H937,"AAAAACnr6Ig=")</f>
        <v>#VALUE!</v>
      </c>
      <c r="EH59" t="e">
        <f>AND('Planilla_General_03-12-2012_9_3'!I937,"AAAAACnr6Ik=")</f>
        <v>#VALUE!</v>
      </c>
      <c r="EI59" t="e">
        <f>AND('Planilla_General_03-12-2012_9_3'!J937,"AAAAACnr6Io=")</f>
        <v>#VALUE!</v>
      </c>
      <c r="EJ59" t="e">
        <f>AND('Planilla_General_03-12-2012_9_3'!K937,"AAAAACnr6Is=")</f>
        <v>#VALUE!</v>
      </c>
      <c r="EK59" t="e">
        <f>AND('Planilla_General_03-12-2012_9_3'!L937,"AAAAACnr6Iw=")</f>
        <v>#VALUE!</v>
      </c>
      <c r="EL59" t="e">
        <f>AND('Planilla_General_03-12-2012_9_3'!M937,"AAAAACnr6I0=")</f>
        <v>#VALUE!</v>
      </c>
      <c r="EM59" t="e">
        <f>AND('Planilla_General_03-12-2012_9_3'!N937,"AAAAACnr6I4=")</f>
        <v>#VALUE!</v>
      </c>
      <c r="EN59" t="e">
        <f>AND('Planilla_General_03-12-2012_9_3'!O937,"AAAAACnr6I8=")</f>
        <v>#VALUE!</v>
      </c>
      <c r="EO59">
        <f>IF('Planilla_General_03-12-2012_9_3'!938:938,"AAAAACnr6JA=",0)</f>
        <v>0</v>
      </c>
      <c r="EP59" t="e">
        <f>AND('Planilla_General_03-12-2012_9_3'!A938,"AAAAACnr6JE=")</f>
        <v>#VALUE!</v>
      </c>
      <c r="EQ59" t="e">
        <f>AND('Planilla_General_03-12-2012_9_3'!B938,"AAAAACnr6JI=")</f>
        <v>#VALUE!</v>
      </c>
      <c r="ER59" t="e">
        <f>AND('Planilla_General_03-12-2012_9_3'!C938,"AAAAACnr6JM=")</f>
        <v>#VALUE!</v>
      </c>
      <c r="ES59" t="e">
        <f>AND('Planilla_General_03-12-2012_9_3'!D938,"AAAAACnr6JQ=")</f>
        <v>#VALUE!</v>
      </c>
      <c r="ET59" t="e">
        <f>AND('Planilla_General_03-12-2012_9_3'!E938,"AAAAACnr6JU=")</f>
        <v>#VALUE!</v>
      </c>
      <c r="EU59" t="e">
        <f>AND('Planilla_General_03-12-2012_9_3'!F938,"AAAAACnr6JY=")</f>
        <v>#VALUE!</v>
      </c>
      <c r="EV59" t="e">
        <f>AND('Planilla_General_03-12-2012_9_3'!G938,"AAAAACnr6Jc=")</f>
        <v>#VALUE!</v>
      </c>
      <c r="EW59" t="e">
        <f>AND('Planilla_General_03-12-2012_9_3'!H938,"AAAAACnr6Jg=")</f>
        <v>#VALUE!</v>
      </c>
      <c r="EX59" t="e">
        <f>AND('Planilla_General_03-12-2012_9_3'!I938,"AAAAACnr6Jk=")</f>
        <v>#VALUE!</v>
      </c>
      <c r="EY59" t="e">
        <f>AND('Planilla_General_03-12-2012_9_3'!J938,"AAAAACnr6Jo=")</f>
        <v>#VALUE!</v>
      </c>
      <c r="EZ59" t="e">
        <f>AND('Planilla_General_03-12-2012_9_3'!K938,"AAAAACnr6Js=")</f>
        <v>#VALUE!</v>
      </c>
      <c r="FA59" t="e">
        <f>AND('Planilla_General_03-12-2012_9_3'!L938,"AAAAACnr6Jw=")</f>
        <v>#VALUE!</v>
      </c>
      <c r="FB59" t="e">
        <f>AND('Planilla_General_03-12-2012_9_3'!M938,"AAAAACnr6J0=")</f>
        <v>#VALUE!</v>
      </c>
      <c r="FC59" t="e">
        <f>AND('Planilla_General_03-12-2012_9_3'!N938,"AAAAACnr6J4=")</f>
        <v>#VALUE!</v>
      </c>
      <c r="FD59" t="e">
        <f>AND('Planilla_General_03-12-2012_9_3'!O938,"AAAAACnr6J8=")</f>
        <v>#VALUE!</v>
      </c>
      <c r="FE59">
        <f>IF('Planilla_General_03-12-2012_9_3'!939:939,"AAAAACnr6KA=",0)</f>
        <v>0</v>
      </c>
      <c r="FF59" t="e">
        <f>AND('Planilla_General_03-12-2012_9_3'!A939,"AAAAACnr6KE=")</f>
        <v>#VALUE!</v>
      </c>
      <c r="FG59" t="e">
        <f>AND('Planilla_General_03-12-2012_9_3'!B939,"AAAAACnr6KI=")</f>
        <v>#VALUE!</v>
      </c>
      <c r="FH59" t="e">
        <f>AND('Planilla_General_03-12-2012_9_3'!C939,"AAAAACnr6KM=")</f>
        <v>#VALUE!</v>
      </c>
      <c r="FI59" t="e">
        <f>AND('Planilla_General_03-12-2012_9_3'!D939,"AAAAACnr6KQ=")</f>
        <v>#VALUE!</v>
      </c>
      <c r="FJ59" t="e">
        <f>AND('Planilla_General_03-12-2012_9_3'!E939,"AAAAACnr6KU=")</f>
        <v>#VALUE!</v>
      </c>
      <c r="FK59" t="e">
        <f>AND('Planilla_General_03-12-2012_9_3'!F939,"AAAAACnr6KY=")</f>
        <v>#VALUE!</v>
      </c>
      <c r="FL59" t="e">
        <f>AND('Planilla_General_03-12-2012_9_3'!G939,"AAAAACnr6Kc=")</f>
        <v>#VALUE!</v>
      </c>
      <c r="FM59" t="e">
        <f>AND('Planilla_General_03-12-2012_9_3'!H939,"AAAAACnr6Kg=")</f>
        <v>#VALUE!</v>
      </c>
      <c r="FN59" t="e">
        <f>AND('Planilla_General_03-12-2012_9_3'!I939,"AAAAACnr6Kk=")</f>
        <v>#VALUE!</v>
      </c>
      <c r="FO59" t="e">
        <f>AND('Planilla_General_03-12-2012_9_3'!J939,"AAAAACnr6Ko=")</f>
        <v>#VALUE!</v>
      </c>
      <c r="FP59" t="e">
        <f>AND('Planilla_General_03-12-2012_9_3'!K939,"AAAAACnr6Ks=")</f>
        <v>#VALUE!</v>
      </c>
      <c r="FQ59" t="e">
        <f>AND('Planilla_General_03-12-2012_9_3'!L939,"AAAAACnr6Kw=")</f>
        <v>#VALUE!</v>
      </c>
      <c r="FR59" t="e">
        <f>AND('Planilla_General_03-12-2012_9_3'!M939,"AAAAACnr6K0=")</f>
        <v>#VALUE!</v>
      </c>
      <c r="FS59" t="e">
        <f>AND('Planilla_General_03-12-2012_9_3'!N939,"AAAAACnr6K4=")</f>
        <v>#VALUE!</v>
      </c>
      <c r="FT59" t="e">
        <f>AND('Planilla_General_03-12-2012_9_3'!O939,"AAAAACnr6K8=")</f>
        <v>#VALUE!</v>
      </c>
      <c r="FU59">
        <f>IF('Planilla_General_03-12-2012_9_3'!940:940,"AAAAACnr6LA=",0)</f>
        <v>0</v>
      </c>
      <c r="FV59" t="e">
        <f>AND('Planilla_General_03-12-2012_9_3'!A940,"AAAAACnr6LE=")</f>
        <v>#VALUE!</v>
      </c>
      <c r="FW59" t="e">
        <f>AND('Planilla_General_03-12-2012_9_3'!B940,"AAAAACnr6LI=")</f>
        <v>#VALUE!</v>
      </c>
      <c r="FX59" t="e">
        <f>AND('Planilla_General_03-12-2012_9_3'!C940,"AAAAACnr6LM=")</f>
        <v>#VALUE!</v>
      </c>
      <c r="FY59" t="e">
        <f>AND('Planilla_General_03-12-2012_9_3'!D940,"AAAAACnr6LQ=")</f>
        <v>#VALUE!</v>
      </c>
      <c r="FZ59" t="e">
        <f>AND('Planilla_General_03-12-2012_9_3'!E940,"AAAAACnr6LU=")</f>
        <v>#VALUE!</v>
      </c>
      <c r="GA59" t="e">
        <f>AND('Planilla_General_03-12-2012_9_3'!F940,"AAAAACnr6LY=")</f>
        <v>#VALUE!</v>
      </c>
      <c r="GB59" t="e">
        <f>AND('Planilla_General_03-12-2012_9_3'!G940,"AAAAACnr6Lc=")</f>
        <v>#VALUE!</v>
      </c>
      <c r="GC59" t="e">
        <f>AND('Planilla_General_03-12-2012_9_3'!H940,"AAAAACnr6Lg=")</f>
        <v>#VALUE!</v>
      </c>
      <c r="GD59" t="e">
        <f>AND('Planilla_General_03-12-2012_9_3'!I940,"AAAAACnr6Lk=")</f>
        <v>#VALUE!</v>
      </c>
      <c r="GE59" t="e">
        <f>AND('Planilla_General_03-12-2012_9_3'!J940,"AAAAACnr6Lo=")</f>
        <v>#VALUE!</v>
      </c>
      <c r="GF59" t="e">
        <f>AND('Planilla_General_03-12-2012_9_3'!K940,"AAAAACnr6Ls=")</f>
        <v>#VALUE!</v>
      </c>
      <c r="GG59" t="e">
        <f>AND('Planilla_General_03-12-2012_9_3'!L940,"AAAAACnr6Lw=")</f>
        <v>#VALUE!</v>
      </c>
      <c r="GH59" t="e">
        <f>AND('Planilla_General_03-12-2012_9_3'!M940,"AAAAACnr6L0=")</f>
        <v>#VALUE!</v>
      </c>
      <c r="GI59" t="e">
        <f>AND('Planilla_General_03-12-2012_9_3'!N940,"AAAAACnr6L4=")</f>
        <v>#VALUE!</v>
      </c>
      <c r="GJ59" t="e">
        <f>AND('Planilla_General_03-12-2012_9_3'!O940,"AAAAACnr6L8=")</f>
        <v>#VALUE!</v>
      </c>
      <c r="GK59">
        <f>IF('Planilla_General_03-12-2012_9_3'!941:941,"AAAAACnr6MA=",0)</f>
        <v>0</v>
      </c>
      <c r="GL59" t="e">
        <f>AND('Planilla_General_03-12-2012_9_3'!A941,"AAAAACnr6ME=")</f>
        <v>#VALUE!</v>
      </c>
      <c r="GM59" t="e">
        <f>AND('Planilla_General_03-12-2012_9_3'!B941,"AAAAACnr6MI=")</f>
        <v>#VALUE!</v>
      </c>
      <c r="GN59" t="e">
        <f>AND('Planilla_General_03-12-2012_9_3'!C941,"AAAAACnr6MM=")</f>
        <v>#VALUE!</v>
      </c>
      <c r="GO59" t="e">
        <f>AND('Planilla_General_03-12-2012_9_3'!D941,"AAAAACnr6MQ=")</f>
        <v>#VALUE!</v>
      </c>
      <c r="GP59" t="e">
        <f>AND('Planilla_General_03-12-2012_9_3'!E941,"AAAAACnr6MU=")</f>
        <v>#VALUE!</v>
      </c>
      <c r="GQ59" t="e">
        <f>AND('Planilla_General_03-12-2012_9_3'!F941,"AAAAACnr6MY=")</f>
        <v>#VALUE!</v>
      </c>
      <c r="GR59" t="e">
        <f>AND('Planilla_General_03-12-2012_9_3'!G941,"AAAAACnr6Mc=")</f>
        <v>#VALUE!</v>
      </c>
      <c r="GS59" t="e">
        <f>AND('Planilla_General_03-12-2012_9_3'!H941,"AAAAACnr6Mg=")</f>
        <v>#VALUE!</v>
      </c>
      <c r="GT59" t="e">
        <f>AND('Planilla_General_03-12-2012_9_3'!I941,"AAAAACnr6Mk=")</f>
        <v>#VALUE!</v>
      </c>
      <c r="GU59" t="e">
        <f>AND('Planilla_General_03-12-2012_9_3'!J941,"AAAAACnr6Mo=")</f>
        <v>#VALUE!</v>
      </c>
      <c r="GV59" t="e">
        <f>AND('Planilla_General_03-12-2012_9_3'!K941,"AAAAACnr6Ms=")</f>
        <v>#VALUE!</v>
      </c>
      <c r="GW59" t="e">
        <f>AND('Planilla_General_03-12-2012_9_3'!L941,"AAAAACnr6Mw=")</f>
        <v>#VALUE!</v>
      </c>
      <c r="GX59" t="e">
        <f>AND('Planilla_General_03-12-2012_9_3'!M941,"AAAAACnr6M0=")</f>
        <v>#VALUE!</v>
      </c>
      <c r="GY59" t="e">
        <f>AND('Planilla_General_03-12-2012_9_3'!N941,"AAAAACnr6M4=")</f>
        <v>#VALUE!</v>
      </c>
      <c r="GZ59" t="e">
        <f>AND('Planilla_General_03-12-2012_9_3'!O941,"AAAAACnr6M8=")</f>
        <v>#VALUE!</v>
      </c>
      <c r="HA59">
        <f>IF('Planilla_General_03-12-2012_9_3'!942:942,"AAAAACnr6NA=",0)</f>
        <v>0</v>
      </c>
      <c r="HB59" t="e">
        <f>AND('Planilla_General_03-12-2012_9_3'!A942,"AAAAACnr6NE=")</f>
        <v>#VALUE!</v>
      </c>
      <c r="HC59" t="e">
        <f>AND('Planilla_General_03-12-2012_9_3'!B942,"AAAAACnr6NI=")</f>
        <v>#VALUE!</v>
      </c>
      <c r="HD59" t="e">
        <f>AND('Planilla_General_03-12-2012_9_3'!C942,"AAAAACnr6NM=")</f>
        <v>#VALUE!</v>
      </c>
      <c r="HE59" t="e">
        <f>AND('Planilla_General_03-12-2012_9_3'!D942,"AAAAACnr6NQ=")</f>
        <v>#VALUE!</v>
      </c>
      <c r="HF59" t="e">
        <f>AND('Planilla_General_03-12-2012_9_3'!E942,"AAAAACnr6NU=")</f>
        <v>#VALUE!</v>
      </c>
      <c r="HG59" t="e">
        <f>AND('Planilla_General_03-12-2012_9_3'!F942,"AAAAACnr6NY=")</f>
        <v>#VALUE!</v>
      </c>
      <c r="HH59" t="e">
        <f>AND('Planilla_General_03-12-2012_9_3'!G942,"AAAAACnr6Nc=")</f>
        <v>#VALUE!</v>
      </c>
      <c r="HI59" t="e">
        <f>AND('Planilla_General_03-12-2012_9_3'!H942,"AAAAACnr6Ng=")</f>
        <v>#VALUE!</v>
      </c>
      <c r="HJ59" t="e">
        <f>AND('Planilla_General_03-12-2012_9_3'!I942,"AAAAACnr6Nk=")</f>
        <v>#VALUE!</v>
      </c>
      <c r="HK59" t="e">
        <f>AND('Planilla_General_03-12-2012_9_3'!J942,"AAAAACnr6No=")</f>
        <v>#VALUE!</v>
      </c>
      <c r="HL59" t="e">
        <f>AND('Planilla_General_03-12-2012_9_3'!K942,"AAAAACnr6Ns=")</f>
        <v>#VALUE!</v>
      </c>
      <c r="HM59" t="e">
        <f>AND('Planilla_General_03-12-2012_9_3'!L942,"AAAAACnr6Nw=")</f>
        <v>#VALUE!</v>
      </c>
      <c r="HN59" t="e">
        <f>AND('Planilla_General_03-12-2012_9_3'!M942,"AAAAACnr6N0=")</f>
        <v>#VALUE!</v>
      </c>
      <c r="HO59" t="e">
        <f>AND('Planilla_General_03-12-2012_9_3'!N942,"AAAAACnr6N4=")</f>
        <v>#VALUE!</v>
      </c>
      <c r="HP59" t="e">
        <f>AND('Planilla_General_03-12-2012_9_3'!O942,"AAAAACnr6N8=")</f>
        <v>#VALUE!</v>
      </c>
      <c r="HQ59">
        <f>IF('Planilla_General_03-12-2012_9_3'!943:943,"AAAAACnr6OA=",0)</f>
        <v>0</v>
      </c>
      <c r="HR59" t="e">
        <f>AND('Planilla_General_03-12-2012_9_3'!A943,"AAAAACnr6OE=")</f>
        <v>#VALUE!</v>
      </c>
      <c r="HS59" t="e">
        <f>AND('Planilla_General_03-12-2012_9_3'!B943,"AAAAACnr6OI=")</f>
        <v>#VALUE!</v>
      </c>
      <c r="HT59" t="e">
        <f>AND('Planilla_General_03-12-2012_9_3'!C943,"AAAAACnr6OM=")</f>
        <v>#VALUE!</v>
      </c>
      <c r="HU59" t="e">
        <f>AND('Planilla_General_03-12-2012_9_3'!D943,"AAAAACnr6OQ=")</f>
        <v>#VALUE!</v>
      </c>
      <c r="HV59" t="e">
        <f>AND('Planilla_General_03-12-2012_9_3'!E943,"AAAAACnr6OU=")</f>
        <v>#VALUE!</v>
      </c>
      <c r="HW59" t="e">
        <f>AND('Planilla_General_03-12-2012_9_3'!F943,"AAAAACnr6OY=")</f>
        <v>#VALUE!</v>
      </c>
      <c r="HX59" t="e">
        <f>AND('Planilla_General_03-12-2012_9_3'!G943,"AAAAACnr6Oc=")</f>
        <v>#VALUE!</v>
      </c>
      <c r="HY59" t="e">
        <f>AND('Planilla_General_03-12-2012_9_3'!H943,"AAAAACnr6Og=")</f>
        <v>#VALUE!</v>
      </c>
      <c r="HZ59" t="e">
        <f>AND('Planilla_General_03-12-2012_9_3'!I943,"AAAAACnr6Ok=")</f>
        <v>#VALUE!</v>
      </c>
      <c r="IA59" t="e">
        <f>AND('Planilla_General_03-12-2012_9_3'!J943,"AAAAACnr6Oo=")</f>
        <v>#VALUE!</v>
      </c>
      <c r="IB59" t="e">
        <f>AND('Planilla_General_03-12-2012_9_3'!K943,"AAAAACnr6Os=")</f>
        <v>#VALUE!</v>
      </c>
      <c r="IC59" t="e">
        <f>AND('Planilla_General_03-12-2012_9_3'!L943,"AAAAACnr6Ow=")</f>
        <v>#VALUE!</v>
      </c>
      <c r="ID59" t="e">
        <f>AND('Planilla_General_03-12-2012_9_3'!M943,"AAAAACnr6O0=")</f>
        <v>#VALUE!</v>
      </c>
      <c r="IE59" t="e">
        <f>AND('Planilla_General_03-12-2012_9_3'!N943,"AAAAACnr6O4=")</f>
        <v>#VALUE!</v>
      </c>
      <c r="IF59" t="e">
        <f>AND('Planilla_General_03-12-2012_9_3'!O943,"AAAAACnr6O8=")</f>
        <v>#VALUE!</v>
      </c>
      <c r="IG59">
        <f>IF('Planilla_General_03-12-2012_9_3'!944:944,"AAAAACnr6PA=",0)</f>
        <v>0</v>
      </c>
      <c r="IH59" t="e">
        <f>AND('Planilla_General_03-12-2012_9_3'!A944,"AAAAACnr6PE=")</f>
        <v>#VALUE!</v>
      </c>
      <c r="II59" t="e">
        <f>AND('Planilla_General_03-12-2012_9_3'!B944,"AAAAACnr6PI=")</f>
        <v>#VALUE!</v>
      </c>
      <c r="IJ59" t="e">
        <f>AND('Planilla_General_03-12-2012_9_3'!C944,"AAAAACnr6PM=")</f>
        <v>#VALUE!</v>
      </c>
      <c r="IK59" t="e">
        <f>AND('Planilla_General_03-12-2012_9_3'!D944,"AAAAACnr6PQ=")</f>
        <v>#VALUE!</v>
      </c>
      <c r="IL59" t="e">
        <f>AND('Planilla_General_03-12-2012_9_3'!E944,"AAAAACnr6PU=")</f>
        <v>#VALUE!</v>
      </c>
      <c r="IM59" t="e">
        <f>AND('Planilla_General_03-12-2012_9_3'!F944,"AAAAACnr6PY=")</f>
        <v>#VALUE!</v>
      </c>
      <c r="IN59" t="e">
        <f>AND('Planilla_General_03-12-2012_9_3'!G944,"AAAAACnr6Pc=")</f>
        <v>#VALUE!</v>
      </c>
      <c r="IO59" t="e">
        <f>AND('Planilla_General_03-12-2012_9_3'!H944,"AAAAACnr6Pg=")</f>
        <v>#VALUE!</v>
      </c>
      <c r="IP59" t="e">
        <f>AND('Planilla_General_03-12-2012_9_3'!I944,"AAAAACnr6Pk=")</f>
        <v>#VALUE!</v>
      </c>
      <c r="IQ59" t="e">
        <f>AND('Planilla_General_03-12-2012_9_3'!J944,"AAAAACnr6Po=")</f>
        <v>#VALUE!</v>
      </c>
      <c r="IR59" t="e">
        <f>AND('Planilla_General_03-12-2012_9_3'!K944,"AAAAACnr6Ps=")</f>
        <v>#VALUE!</v>
      </c>
      <c r="IS59" t="e">
        <f>AND('Planilla_General_03-12-2012_9_3'!L944,"AAAAACnr6Pw=")</f>
        <v>#VALUE!</v>
      </c>
      <c r="IT59" t="e">
        <f>AND('Planilla_General_03-12-2012_9_3'!M944,"AAAAACnr6P0=")</f>
        <v>#VALUE!</v>
      </c>
      <c r="IU59" t="e">
        <f>AND('Planilla_General_03-12-2012_9_3'!N944,"AAAAACnr6P4=")</f>
        <v>#VALUE!</v>
      </c>
      <c r="IV59" t="e">
        <f>AND('Planilla_General_03-12-2012_9_3'!O944,"AAAAACnr6P8=")</f>
        <v>#VALUE!</v>
      </c>
    </row>
    <row r="60" spans="1:256" x14ac:dyDescent="0.25">
      <c r="A60" t="e">
        <f>IF('Planilla_General_03-12-2012_9_3'!945:945,"AAAAAHVb9wA=",0)</f>
        <v>#VALUE!</v>
      </c>
      <c r="B60" t="e">
        <f>AND('Planilla_General_03-12-2012_9_3'!A945,"AAAAAHVb9wE=")</f>
        <v>#VALUE!</v>
      </c>
      <c r="C60" t="e">
        <f>AND('Planilla_General_03-12-2012_9_3'!B945,"AAAAAHVb9wI=")</f>
        <v>#VALUE!</v>
      </c>
      <c r="D60" t="e">
        <f>AND('Planilla_General_03-12-2012_9_3'!C945,"AAAAAHVb9wM=")</f>
        <v>#VALUE!</v>
      </c>
      <c r="E60" t="e">
        <f>AND('Planilla_General_03-12-2012_9_3'!D945,"AAAAAHVb9wQ=")</f>
        <v>#VALUE!</v>
      </c>
      <c r="F60" t="e">
        <f>AND('Planilla_General_03-12-2012_9_3'!E945,"AAAAAHVb9wU=")</f>
        <v>#VALUE!</v>
      </c>
      <c r="G60" t="e">
        <f>AND('Planilla_General_03-12-2012_9_3'!F945,"AAAAAHVb9wY=")</f>
        <v>#VALUE!</v>
      </c>
      <c r="H60" t="e">
        <f>AND('Planilla_General_03-12-2012_9_3'!G945,"AAAAAHVb9wc=")</f>
        <v>#VALUE!</v>
      </c>
      <c r="I60" t="e">
        <f>AND('Planilla_General_03-12-2012_9_3'!H945,"AAAAAHVb9wg=")</f>
        <v>#VALUE!</v>
      </c>
      <c r="J60" t="e">
        <f>AND('Planilla_General_03-12-2012_9_3'!I945,"AAAAAHVb9wk=")</f>
        <v>#VALUE!</v>
      </c>
      <c r="K60" t="e">
        <f>AND('Planilla_General_03-12-2012_9_3'!J945,"AAAAAHVb9wo=")</f>
        <v>#VALUE!</v>
      </c>
      <c r="L60" t="e">
        <f>AND('Planilla_General_03-12-2012_9_3'!K945,"AAAAAHVb9ws=")</f>
        <v>#VALUE!</v>
      </c>
      <c r="M60" t="e">
        <f>AND('Planilla_General_03-12-2012_9_3'!L945,"AAAAAHVb9ww=")</f>
        <v>#VALUE!</v>
      </c>
      <c r="N60" t="e">
        <f>AND('Planilla_General_03-12-2012_9_3'!M945,"AAAAAHVb9w0=")</f>
        <v>#VALUE!</v>
      </c>
      <c r="O60" t="e">
        <f>AND('Planilla_General_03-12-2012_9_3'!N945,"AAAAAHVb9w4=")</f>
        <v>#VALUE!</v>
      </c>
      <c r="P60" t="e">
        <f>AND('Planilla_General_03-12-2012_9_3'!O945,"AAAAAHVb9w8=")</f>
        <v>#VALUE!</v>
      </c>
      <c r="Q60">
        <f>IF('Planilla_General_03-12-2012_9_3'!946:946,"AAAAAHVb9xA=",0)</f>
        <v>0</v>
      </c>
      <c r="R60" t="e">
        <f>AND('Planilla_General_03-12-2012_9_3'!A946,"AAAAAHVb9xE=")</f>
        <v>#VALUE!</v>
      </c>
      <c r="S60" t="e">
        <f>AND('Planilla_General_03-12-2012_9_3'!B946,"AAAAAHVb9xI=")</f>
        <v>#VALUE!</v>
      </c>
      <c r="T60" t="e">
        <f>AND('Planilla_General_03-12-2012_9_3'!C946,"AAAAAHVb9xM=")</f>
        <v>#VALUE!</v>
      </c>
      <c r="U60" t="e">
        <f>AND('Planilla_General_03-12-2012_9_3'!D946,"AAAAAHVb9xQ=")</f>
        <v>#VALUE!</v>
      </c>
      <c r="V60" t="e">
        <f>AND('Planilla_General_03-12-2012_9_3'!E946,"AAAAAHVb9xU=")</f>
        <v>#VALUE!</v>
      </c>
      <c r="W60" t="e">
        <f>AND('Planilla_General_03-12-2012_9_3'!F946,"AAAAAHVb9xY=")</f>
        <v>#VALUE!</v>
      </c>
      <c r="X60" t="e">
        <f>AND('Planilla_General_03-12-2012_9_3'!G946,"AAAAAHVb9xc=")</f>
        <v>#VALUE!</v>
      </c>
      <c r="Y60" t="e">
        <f>AND('Planilla_General_03-12-2012_9_3'!H946,"AAAAAHVb9xg=")</f>
        <v>#VALUE!</v>
      </c>
      <c r="Z60" t="e">
        <f>AND('Planilla_General_03-12-2012_9_3'!I946,"AAAAAHVb9xk=")</f>
        <v>#VALUE!</v>
      </c>
      <c r="AA60" t="e">
        <f>AND('Planilla_General_03-12-2012_9_3'!J946,"AAAAAHVb9xo=")</f>
        <v>#VALUE!</v>
      </c>
      <c r="AB60" t="e">
        <f>AND('Planilla_General_03-12-2012_9_3'!K946,"AAAAAHVb9xs=")</f>
        <v>#VALUE!</v>
      </c>
      <c r="AC60" t="e">
        <f>AND('Planilla_General_03-12-2012_9_3'!L946,"AAAAAHVb9xw=")</f>
        <v>#VALUE!</v>
      </c>
      <c r="AD60" t="e">
        <f>AND('Planilla_General_03-12-2012_9_3'!M946,"AAAAAHVb9x0=")</f>
        <v>#VALUE!</v>
      </c>
      <c r="AE60" t="e">
        <f>AND('Planilla_General_03-12-2012_9_3'!N946,"AAAAAHVb9x4=")</f>
        <v>#VALUE!</v>
      </c>
      <c r="AF60" t="e">
        <f>AND('Planilla_General_03-12-2012_9_3'!O946,"AAAAAHVb9x8=")</f>
        <v>#VALUE!</v>
      </c>
      <c r="AG60">
        <f>IF('Planilla_General_03-12-2012_9_3'!947:947,"AAAAAHVb9yA=",0)</f>
        <v>0</v>
      </c>
      <c r="AH60" t="e">
        <f>AND('Planilla_General_03-12-2012_9_3'!A947,"AAAAAHVb9yE=")</f>
        <v>#VALUE!</v>
      </c>
      <c r="AI60" t="e">
        <f>AND('Planilla_General_03-12-2012_9_3'!B947,"AAAAAHVb9yI=")</f>
        <v>#VALUE!</v>
      </c>
      <c r="AJ60" t="e">
        <f>AND('Planilla_General_03-12-2012_9_3'!C947,"AAAAAHVb9yM=")</f>
        <v>#VALUE!</v>
      </c>
      <c r="AK60" t="e">
        <f>AND('Planilla_General_03-12-2012_9_3'!D947,"AAAAAHVb9yQ=")</f>
        <v>#VALUE!</v>
      </c>
      <c r="AL60" t="e">
        <f>AND('Planilla_General_03-12-2012_9_3'!E947,"AAAAAHVb9yU=")</f>
        <v>#VALUE!</v>
      </c>
      <c r="AM60" t="e">
        <f>AND('Planilla_General_03-12-2012_9_3'!F947,"AAAAAHVb9yY=")</f>
        <v>#VALUE!</v>
      </c>
      <c r="AN60" t="e">
        <f>AND('Planilla_General_03-12-2012_9_3'!G947,"AAAAAHVb9yc=")</f>
        <v>#VALUE!</v>
      </c>
      <c r="AO60" t="e">
        <f>AND('Planilla_General_03-12-2012_9_3'!H947,"AAAAAHVb9yg=")</f>
        <v>#VALUE!</v>
      </c>
      <c r="AP60" t="e">
        <f>AND('Planilla_General_03-12-2012_9_3'!I947,"AAAAAHVb9yk=")</f>
        <v>#VALUE!</v>
      </c>
      <c r="AQ60" t="e">
        <f>AND('Planilla_General_03-12-2012_9_3'!J947,"AAAAAHVb9yo=")</f>
        <v>#VALUE!</v>
      </c>
      <c r="AR60" t="e">
        <f>AND('Planilla_General_03-12-2012_9_3'!K947,"AAAAAHVb9ys=")</f>
        <v>#VALUE!</v>
      </c>
      <c r="AS60" t="e">
        <f>AND('Planilla_General_03-12-2012_9_3'!L947,"AAAAAHVb9yw=")</f>
        <v>#VALUE!</v>
      </c>
      <c r="AT60" t="e">
        <f>AND('Planilla_General_03-12-2012_9_3'!M947,"AAAAAHVb9y0=")</f>
        <v>#VALUE!</v>
      </c>
      <c r="AU60" t="e">
        <f>AND('Planilla_General_03-12-2012_9_3'!N947,"AAAAAHVb9y4=")</f>
        <v>#VALUE!</v>
      </c>
      <c r="AV60" t="e">
        <f>AND('Planilla_General_03-12-2012_9_3'!O947,"AAAAAHVb9y8=")</f>
        <v>#VALUE!</v>
      </c>
      <c r="AW60">
        <f>IF('Planilla_General_03-12-2012_9_3'!948:948,"AAAAAHVb9zA=",0)</f>
        <v>0</v>
      </c>
      <c r="AX60" t="e">
        <f>AND('Planilla_General_03-12-2012_9_3'!A948,"AAAAAHVb9zE=")</f>
        <v>#VALUE!</v>
      </c>
      <c r="AY60" t="e">
        <f>AND('Planilla_General_03-12-2012_9_3'!B948,"AAAAAHVb9zI=")</f>
        <v>#VALUE!</v>
      </c>
      <c r="AZ60" t="e">
        <f>AND('Planilla_General_03-12-2012_9_3'!C948,"AAAAAHVb9zM=")</f>
        <v>#VALUE!</v>
      </c>
      <c r="BA60" t="e">
        <f>AND('Planilla_General_03-12-2012_9_3'!D948,"AAAAAHVb9zQ=")</f>
        <v>#VALUE!</v>
      </c>
      <c r="BB60" t="e">
        <f>AND('Planilla_General_03-12-2012_9_3'!E948,"AAAAAHVb9zU=")</f>
        <v>#VALUE!</v>
      </c>
      <c r="BC60" t="e">
        <f>AND('Planilla_General_03-12-2012_9_3'!F948,"AAAAAHVb9zY=")</f>
        <v>#VALUE!</v>
      </c>
      <c r="BD60" t="e">
        <f>AND('Planilla_General_03-12-2012_9_3'!G948,"AAAAAHVb9zc=")</f>
        <v>#VALUE!</v>
      </c>
      <c r="BE60" t="e">
        <f>AND('Planilla_General_03-12-2012_9_3'!H948,"AAAAAHVb9zg=")</f>
        <v>#VALUE!</v>
      </c>
      <c r="BF60" t="e">
        <f>AND('Planilla_General_03-12-2012_9_3'!I948,"AAAAAHVb9zk=")</f>
        <v>#VALUE!</v>
      </c>
      <c r="BG60" t="e">
        <f>AND('Planilla_General_03-12-2012_9_3'!J948,"AAAAAHVb9zo=")</f>
        <v>#VALUE!</v>
      </c>
      <c r="BH60" t="e">
        <f>AND('Planilla_General_03-12-2012_9_3'!K948,"AAAAAHVb9zs=")</f>
        <v>#VALUE!</v>
      </c>
      <c r="BI60" t="e">
        <f>AND('Planilla_General_03-12-2012_9_3'!L948,"AAAAAHVb9zw=")</f>
        <v>#VALUE!</v>
      </c>
      <c r="BJ60" t="e">
        <f>AND('Planilla_General_03-12-2012_9_3'!M948,"AAAAAHVb9z0=")</f>
        <v>#VALUE!</v>
      </c>
      <c r="BK60" t="e">
        <f>AND('Planilla_General_03-12-2012_9_3'!N948,"AAAAAHVb9z4=")</f>
        <v>#VALUE!</v>
      </c>
      <c r="BL60" t="e">
        <f>AND('Planilla_General_03-12-2012_9_3'!O948,"AAAAAHVb9z8=")</f>
        <v>#VALUE!</v>
      </c>
      <c r="BM60">
        <f>IF('Planilla_General_03-12-2012_9_3'!949:949,"AAAAAHVb90A=",0)</f>
        <v>0</v>
      </c>
      <c r="BN60" t="e">
        <f>AND('Planilla_General_03-12-2012_9_3'!A949,"AAAAAHVb90E=")</f>
        <v>#VALUE!</v>
      </c>
      <c r="BO60" t="e">
        <f>AND('Planilla_General_03-12-2012_9_3'!B949,"AAAAAHVb90I=")</f>
        <v>#VALUE!</v>
      </c>
      <c r="BP60" t="e">
        <f>AND('Planilla_General_03-12-2012_9_3'!C949,"AAAAAHVb90M=")</f>
        <v>#VALUE!</v>
      </c>
      <c r="BQ60" t="e">
        <f>AND('Planilla_General_03-12-2012_9_3'!D949,"AAAAAHVb90Q=")</f>
        <v>#VALUE!</v>
      </c>
      <c r="BR60" t="e">
        <f>AND('Planilla_General_03-12-2012_9_3'!E949,"AAAAAHVb90U=")</f>
        <v>#VALUE!</v>
      </c>
      <c r="BS60" t="e">
        <f>AND('Planilla_General_03-12-2012_9_3'!F949,"AAAAAHVb90Y=")</f>
        <v>#VALUE!</v>
      </c>
      <c r="BT60" t="e">
        <f>AND('Planilla_General_03-12-2012_9_3'!G949,"AAAAAHVb90c=")</f>
        <v>#VALUE!</v>
      </c>
      <c r="BU60" t="e">
        <f>AND('Planilla_General_03-12-2012_9_3'!H949,"AAAAAHVb90g=")</f>
        <v>#VALUE!</v>
      </c>
      <c r="BV60" t="e">
        <f>AND('Planilla_General_03-12-2012_9_3'!I949,"AAAAAHVb90k=")</f>
        <v>#VALUE!</v>
      </c>
      <c r="BW60" t="e">
        <f>AND('Planilla_General_03-12-2012_9_3'!J949,"AAAAAHVb90o=")</f>
        <v>#VALUE!</v>
      </c>
      <c r="BX60" t="e">
        <f>AND('Planilla_General_03-12-2012_9_3'!K949,"AAAAAHVb90s=")</f>
        <v>#VALUE!</v>
      </c>
      <c r="BY60" t="e">
        <f>AND('Planilla_General_03-12-2012_9_3'!L949,"AAAAAHVb90w=")</f>
        <v>#VALUE!</v>
      </c>
      <c r="BZ60" t="e">
        <f>AND('Planilla_General_03-12-2012_9_3'!M949,"AAAAAHVb900=")</f>
        <v>#VALUE!</v>
      </c>
      <c r="CA60" t="e">
        <f>AND('Planilla_General_03-12-2012_9_3'!N949,"AAAAAHVb904=")</f>
        <v>#VALUE!</v>
      </c>
      <c r="CB60" t="e">
        <f>AND('Planilla_General_03-12-2012_9_3'!O949,"AAAAAHVb908=")</f>
        <v>#VALUE!</v>
      </c>
      <c r="CC60">
        <f>IF('Planilla_General_03-12-2012_9_3'!950:950,"AAAAAHVb91A=",0)</f>
        <v>0</v>
      </c>
      <c r="CD60" t="e">
        <f>AND('Planilla_General_03-12-2012_9_3'!A950,"AAAAAHVb91E=")</f>
        <v>#VALUE!</v>
      </c>
      <c r="CE60" t="e">
        <f>AND('Planilla_General_03-12-2012_9_3'!B950,"AAAAAHVb91I=")</f>
        <v>#VALUE!</v>
      </c>
      <c r="CF60" t="e">
        <f>AND('Planilla_General_03-12-2012_9_3'!C950,"AAAAAHVb91M=")</f>
        <v>#VALUE!</v>
      </c>
      <c r="CG60" t="e">
        <f>AND('Planilla_General_03-12-2012_9_3'!D950,"AAAAAHVb91Q=")</f>
        <v>#VALUE!</v>
      </c>
      <c r="CH60" t="e">
        <f>AND('Planilla_General_03-12-2012_9_3'!E950,"AAAAAHVb91U=")</f>
        <v>#VALUE!</v>
      </c>
      <c r="CI60" t="e">
        <f>AND('Planilla_General_03-12-2012_9_3'!F950,"AAAAAHVb91Y=")</f>
        <v>#VALUE!</v>
      </c>
      <c r="CJ60" t="e">
        <f>AND('Planilla_General_03-12-2012_9_3'!G950,"AAAAAHVb91c=")</f>
        <v>#VALUE!</v>
      </c>
      <c r="CK60" t="e">
        <f>AND('Planilla_General_03-12-2012_9_3'!H950,"AAAAAHVb91g=")</f>
        <v>#VALUE!</v>
      </c>
      <c r="CL60" t="e">
        <f>AND('Planilla_General_03-12-2012_9_3'!I950,"AAAAAHVb91k=")</f>
        <v>#VALUE!</v>
      </c>
      <c r="CM60" t="e">
        <f>AND('Planilla_General_03-12-2012_9_3'!J950,"AAAAAHVb91o=")</f>
        <v>#VALUE!</v>
      </c>
      <c r="CN60" t="e">
        <f>AND('Planilla_General_03-12-2012_9_3'!K950,"AAAAAHVb91s=")</f>
        <v>#VALUE!</v>
      </c>
      <c r="CO60" t="e">
        <f>AND('Planilla_General_03-12-2012_9_3'!L950,"AAAAAHVb91w=")</f>
        <v>#VALUE!</v>
      </c>
      <c r="CP60" t="e">
        <f>AND('Planilla_General_03-12-2012_9_3'!M950,"AAAAAHVb910=")</f>
        <v>#VALUE!</v>
      </c>
      <c r="CQ60" t="e">
        <f>AND('Planilla_General_03-12-2012_9_3'!N950,"AAAAAHVb914=")</f>
        <v>#VALUE!</v>
      </c>
      <c r="CR60" t="e">
        <f>AND('Planilla_General_03-12-2012_9_3'!O950,"AAAAAHVb918=")</f>
        <v>#VALUE!</v>
      </c>
      <c r="CS60">
        <f>IF('Planilla_General_03-12-2012_9_3'!951:951,"AAAAAHVb92A=",0)</f>
        <v>0</v>
      </c>
      <c r="CT60" t="e">
        <f>AND('Planilla_General_03-12-2012_9_3'!A951,"AAAAAHVb92E=")</f>
        <v>#VALUE!</v>
      </c>
      <c r="CU60" t="e">
        <f>AND('Planilla_General_03-12-2012_9_3'!B951,"AAAAAHVb92I=")</f>
        <v>#VALUE!</v>
      </c>
      <c r="CV60" t="e">
        <f>AND('Planilla_General_03-12-2012_9_3'!C951,"AAAAAHVb92M=")</f>
        <v>#VALUE!</v>
      </c>
      <c r="CW60" t="e">
        <f>AND('Planilla_General_03-12-2012_9_3'!D951,"AAAAAHVb92Q=")</f>
        <v>#VALUE!</v>
      </c>
      <c r="CX60" t="e">
        <f>AND('Planilla_General_03-12-2012_9_3'!E951,"AAAAAHVb92U=")</f>
        <v>#VALUE!</v>
      </c>
      <c r="CY60" t="e">
        <f>AND('Planilla_General_03-12-2012_9_3'!F951,"AAAAAHVb92Y=")</f>
        <v>#VALUE!</v>
      </c>
      <c r="CZ60" t="e">
        <f>AND('Planilla_General_03-12-2012_9_3'!G951,"AAAAAHVb92c=")</f>
        <v>#VALUE!</v>
      </c>
      <c r="DA60" t="e">
        <f>AND('Planilla_General_03-12-2012_9_3'!H951,"AAAAAHVb92g=")</f>
        <v>#VALUE!</v>
      </c>
      <c r="DB60" t="e">
        <f>AND('Planilla_General_03-12-2012_9_3'!I951,"AAAAAHVb92k=")</f>
        <v>#VALUE!</v>
      </c>
      <c r="DC60" t="e">
        <f>AND('Planilla_General_03-12-2012_9_3'!J951,"AAAAAHVb92o=")</f>
        <v>#VALUE!</v>
      </c>
      <c r="DD60" t="e">
        <f>AND('Planilla_General_03-12-2012_9_3'!K951,"AAAAAHVb92s=")</f>
        <v>#VALUE!</v>
      </c>
      <c r="DE60" t="e">
        <f>AND('Planilla_General_03-12-2012_9_3'!L951,"AAAAAHVb92w=")</f>
        <v>#VALUE!</v>
      </c>
      <c r="DF60" t="e">
        <f>AND('Planilla_General_03-12-2012_9_3'!M951,"AAAAAHVb920=")</f>
        <v>#VALUE!</v>
      </c>
      <c r="DG60" t="e">
        <f>AND('Planilla_General_03-12-2012_9_3'!N951,"AAAAAHVb924=")</f>
        <v>#VALUE!</v>
      </c>
      <c r="DH60" t="e">
        <f>AND('Planilla_General_03-12-2012_9_3'!O951,"AAAAAHVb928=")</f>
        <v>#VALUE!</v>
      </c>
      <c r="DI60">
        <f>IF('Planilla_General_03-12-2012_9_3'!952:952,"AAAAAHVb93A=",0)</f>
        <v>0</v>
      </c>
      <c r="DJ60" t="e">
        <f>AND('Planilla_General_03-12-2012_9_3'!A952,"AAAAAHVb93E=")</f>
        <v>#VALUE!</v>
      </c>
      <c r="DK60" t="e">
        <f>AND('Planilla_General_03-12-2012_9_3'!B952,"AAAAAHVb93I=")</f>
        <v>#VALUE!</v>
      </c>
      <c r="DL60" t="e">
        <f>AND('Planilla_General_03-12-2012_9_3'!C952,"AAAAAHVb93M=")</f>
        <v>#VALUE!</v>
      </c>
      <c r="DM60" t="e">
        <f>AND('Planilla_General_03-12-2012_9_3'!D952,"AAAAAHVb93Q=")</f>
        <v>#VALUE!</v>
      </c>
      <c r="DN60" t="e">
        <f>AND('Planilla_General_03-12-2012_9_3'!E952,"AAAAAHVb93U=")</f>
        <v>#VALUE!</v>
      </c>
      <c r="DO60" t="e">
        <f>AND('Planilla_General_03-12-2012_9_3'!F952,"AAAAAHVb93Y=")</f>
        <v>#VALUE!</v>
      </c>
      <c r="DP60" t="e">
        <f>AND('Planilla_General_03-12-2012_9_3'!G952,"AAAAAHVb93c=")</f>
        <v>#VALUE!</v>
      </c>
      <c r="DQ60" t="e">
        <f>AND('Planilla_General_03-12-2012_9_3'!H952,"AAAAAHVb93g=")</f>
        <v>#VALUE!</v>
      </c>
      <c r="DR60" t="e">
        <f>AND('Planilla_General_03-12-2012_9_3'!I952,"AAAAAHVb93k=")</f>
        <v>#VALUE!</v>
      </c>
      <c r="DS60" t="e">
        <f>AND('Planilla_General_03-12-2012_9_3'!J952,"AAAAAHVb93o=")</f>
        <v>#VALUE!</v>
      </c>
      <c r="DT60" t="e">
        <f>AND('Planilla_General_03-12-2012_9_3'!K952,"AAAAAHVb93s=")</f>
        <v>#VALUE!</v>
      </c>
      <c r="DU60" t="e">
        <f>AND('Planilla_General_03-12-2012_9_3'!L952,"AAAAAHVb93w=")</f>
        <v>#VALUE!</v>
      </c>
      <c r="DV60" t="e">
        <f>AND('Planilla_General_03-12-2012_9_3'!M952,"AAAAAHVb930=")</f>
        <v>#VALUE!</v>
      </c>
      <c r="DW60" t="e">
        <f>AND('Planilla_General_03-12-2012_9_3'!N952,"AAAAAHVb934=")</f>
        <v>#VALUE!</v>
      </c>
      <c r="DX60" t="e">
        <f>AND('Planilla_General_03-12-2012_9_3'!O952,"AAAAAHVb938=")</f>
        <v>#VALUE!</v>
      </c>
      <c r="DY60">
        <f>IF('Planilla_General_03-12-2012_9_3'!953:953,"AAAAAHVb94A=",0)</f>
        <v>0</v>
      </c>
      <c r="DZ60" t="e">
        <f>AND('Planilla_General_03-12-2012_9_3'!A953,"AAAAAHVb94E=")</f>
        <v>#VALUE!</v>
      </c>
      <c r="EA60" t="e">
        <f>AND('Planilla_General_03-12-2012_9_3'!B953,"AAAAAHVb94I=")</f>
        <v>#VALUE!</v>
      </c>
      <c r="EB60" t="e">
        <f>AND('Planilla_General_03-12-2012_9_3'!C953,"AAAAAHVb94M=")</f>
        <v>#VALUE!</v>
      </c>
      <c r="EC60" t="e">
        <f>AND('Planilla_General_03-12-2012_9_3'!D953,"AAAAAHVb94Q=")</f>
        <v>#VALUE!</v>
      </c>
      <c r="ED60" t="e">
        <f>AND('Planilla_General_03-12-2012_9_3'!E953,"AAAAAHVb94U=")</f>
        <v>#VALUE!</v>
      </c>
      <c r="EE60" t="e">
        <f>AND('Planilla_General_03-12-2012_9_3'!F953,"AAAAAHVb94Y=")</f>
        <v>#VALUE!</v>
      </c>
      <c r="EF60" t="e">
        <f>AND('Planilla_General_03-12-2012_9_3'!G953,"AAAAAHVb94c=")</f>
        <v>#VALUE!</v>
      </c>
      <c r="EG60" t="e">
        <f>AND('Planilla_General_03-12-2012_9_3'!H953,"AAAAAHVb94g=")</f>
        <v>#VALUE!</v>
      </c>
      <c r="EH60" t="e">
        <f>AND('Planilla_General_03-12-2012_9_3'!I953,"AAAAAHVb94k=")</f>
        <v>#VALUE!</v>
      </c>
      <c r="EI60" t="e">
        <f>AND('Planilla_General_03-12-2012_9_3'!J953,"AAAAAHVb94o=")</f>
        <v>#VALUE!</v>
      </c>
      <c r="EJ60" t="e">
        <f>AND('Planilla_General_03-12-2012_9_3'!K953,"AAAAAHVb94s=")</f>
        <v>#VALUE!</v>
      </c>
      <c r="EK60" t="e">
        <f>AND('Planilla_General_03-12-2012_9_3'!L953,"AAAAAHVb94w=")</f>
        <v>#VALUE!</v>
      </c>
      <c r="EL60" t="e">
        <f>AND('Planilla_General_03-12-2012_9_3'!M953,"AAAAAHVb940=")</f>
        <v>#VALUE!</v>
      </c>
      <c r="EM60" t="e">
        <f>AND('Planilla_General_03-12-2012_9_3'!N953,"AAAAAHVb944=")</f>
        <v>#VALUE!</v>
      </c>
      <c r="EN60" t="e">
        <f>AND('Planilla_General_03-12-2012_9_3'!O953,"AAAAAHVb948=")</f>
        <v>#VALUE!</v>
      </c>
      <c r="EO60">
        <f>IF('Planilla_General_03-12-2012_9_3'!954:954,"AAAAAHVb95A=",0)</f>
        <v>0</v>
      </c>
      <c r="EP60" t="e">
        <f>AND('Planilla_General_03-12-2012_9_3'!A954,"AAAAAHVb95E=")</f>
        <v>#VALUE!</v>
      </c>
      <c r="EQ60" t="e">
        <f>AND('Planilla_General_03-12-2012_9_3'!B954,"AAAAAHVb95I=")</f>
        <v>#VALUE!</v>
      </c>
      <c r="ER60" t="e">
        <f>AND('Planilla_General_03-12-2012_9_3'!C954,"AAAAAHVb95M=")</f>
        <v>#VALUE!</v>
      </c>
      <c r="ES60" t="e">
        <f>AND('Planilla_General_03-12-2012_9_3'!D954,"AAAAAHVb95Q=")</f>
        <v>#VALUE!</v>
      </c>
      <c r="ET60" t="e">
        <f>AND('Planilla_General_03-12-2012_9_3'!E954,"AAAAAHVb95U=")</f>
        <v>#VALUE!</v>
      </c>
      <c r="EU60" t="e">
        <f>AND('Planilla_General_03-12-2012_9_3'!F954,"AAAAAHVb95Y=")</f>
        <v>#VALUE!</v>
      </c>
      <c r="EV60" t="e">
        <f>AND('Planilla_General_03-12-2012_9_3'!G954,"AAAAAHVb95c=")</f>
        <v>#VALUE!</v>
      </c>
      <c r="EW60" t="e">
        <f>AND('Planilla_General_03-12-2012_9_3'!H954,"AAAAAHVb95g=")</f>
        <v>#VALUE!</v>
      </c>
      <c r="EX60" t="e">
        <f>AND('Planilla_General_03-12-2012_9_3'!I954,"AAAAAHVb95k=")</f>
        <v>#VALUE!</v>
      </c>
      <c r="EY60" t="e">
        <f>AND('Planilla_General_03-12-2012_9_3'!J954,"AAAAAHVb95o=")</f>
        <v>#VALUE!</v>
      </c>
      <c r="EZ60" t="e">
        <f>AND('Planilla_General_03-12-2012_9_3'!K954,"AAAAAHVb95s=")</f>
        <v>#VALUE!</v>
      </c>
      <c r="FA60" t="e">
        <f>AND('Planilla_General_03-12-2012_9_3'!L954,"AAAAAHVb95w=")</f>
        <v>#VALUE!</v>
      </c>
      <c r="FB60" t="e">
        <f>AND('Planilla_General_03-12-2012_9_3'!M954,"AAAAAHVb950=")</f>
        <v>#VALUE!</v>
      </c>
      <c r="FC60" t="e">
        <f>AND('Planilla_General_03-12-2012_9_3'!N954,"AAAAAHVb954=")</f>
        <v>#VALUE!</v>
      </c>
      <c r="FD60" t="e">
        <f>AND('Planilla_General_03-12-2012_9_3'!O954,"AAAAAHVb958=")</f>
        <v>#VALUE!</v>
      </c>
      <c r="FE60">
        <f>IF('Planilla_General_03-12-2012_9_3'!955:955,"AAAAAHVb96A=",0)</f>
        <v>0</v>
      </c>
      <c r="FF60" t="e">
        <f>AND('Planilla_General_03-12-2012_9_3'!A955,"AAAAAHVb96E=")</f>
        <v>#VALUE!</v>
      </c>
      <c r="FG60" t="e">
        <f>AND('Planilla_General_03-12-2012_9_3'!B955,"AAAAAHVb96I=")</f>
        <v>#VALUE!</v>
      </c>
      <c r="FH60" t="e">
        <f>AND('Planilla_General_03-12-2012_9_3'!C955,"AAAAAHVb96M=")</f>
        <v>#VALUE!</v>
      </c>
      <c r="FI60" t="e">
        <f>AND('Planilla_General_03-12-2012_9_3'!D955,"AAAAAHVb96Q=")</f>
        <v>#VALUE!</v>
      </c>
      <c r="FJ60" t="e">
        <f>AND('Planilla_General_03-12-2012_9_3'!E955,"AAAAAHVb96U=")</f>
        <v>#VALUE!</v>
      </c>
      <c r="FK60" t="e">
        <f>AND('Planilla_General_03-12-2012_9_3'!F955,"AAAAAHVb96Y=")</f>
        <v>#VALUE!</v>
      </c>
      <c r="FL60" t="e">
        <f>AND('Planilla_General_03-12-2012_9_3'!G955,"AAAAAHVb96c=")</f>
        <v>#VALUE!</v>
      </c>
      <c r="FM60" t="e">
        <f>AND('Planilla_General_03-12-2012_9_3'!H955,"AAAAAHVb96g=")</f>
        <v>#VALUE!</v>
      </c>
      <c r="FN60" t="e">
        <f>AND('Planilla_General_03-12-2012_9_3'!I955,"AAAAAHVb96k=")</f>
        <v>#VALUE!</v>
      </c>
      <c r="FO60" t="e">
        <f>AND('Planilla_General_03-12-2012_9_3'!J955,"AAAAAHVb96o=")</f>
        <v>#VALUE!</v>
      </c>
      <c r="FP60" t="e">
        <f>AND('Planilla_General_03-12-2012_9_3'!K955,"AAAAAHVb96s=")</f>
        <v>#VALUE!</v>
      </c>
      <c r="FQ60" t="e">
        <f>AND('Planilla_General_03-12-2012_9_3'!L955,"AAAAAHVb96w=")</f>
        <v>#VALUE!</v>
      </c>
      <c r="FR60" t="e">
        <f>AND('Planilla_General_03-12-2012_9_3'!M955,"AAAAAHVb960=")</f>
        <v>#VALUE!</v>
      </c>
      <c r="FS60" t="e">
        <f>AND('Planilla_General_03-12-2012_9_3'!N955,"AAAAAHVb964=")</f>
        <v>#VALUE!</v>
      </c>
      <c r="FT60" t="e">
        <f>AND('Planilla_General_03-12-2012_9_3'!O955,"AAAAAHVb968=")</f>
        <v>#VALUE!</v>
      </c>
      <c r="FU60">
        <f>IF('Planilla_General_03-12-2012_9_3'!956:956,"AAAAAHVb97A=",0)</f>
        <v>0</v>
      </c>
      <c r="FV60" t="e">
        <f>AND('Planilla_General_03-12-2012_9_3'!A956,"AAAAAHVb97E=")</f>
        <v>#VALUE!</v>
      </c>
      <c r="FW60" t="e">
        <f>AND('Planilla_General_03-12-2012_9_3'!B956,"AAAAAHVb97I=")</f>
        <v>#VALUE!</v>
      </c>
      <c r="FX60" t="e">
        <f>AND('Planilla_General_03-12-2012_9_3'!C956,"AAAAAHVb97M=")</f>
        <v>#VALUE!</v>
      </c>
      <c r="FY60" t="e">
        <f>AND('Planilla_General_03-12-2012_9_3'!D956,"AAAAAHVb97Q=")</f>
        <v>#VALUE!</v>
      </c>
      <c r="FZ60" t="e">
        <f>AND('Planilla_General_03-12-2012_9_3'!E956,"AAAAAHVb97U=")</f>
        <v>#VALUE!</v>
      </c>
      <c r="GA60" t="e">
        <f>AND('Planilla_General_03-12-2012_9_3'!F956,"AAAAAHVb97Y=")</f>
        <v>#VALUE!</v>
      </c>
      <c r="GB60" t="e">
        <f>AND('Planilla_General_03-12-2012_9_3'!G956,"AAAAAHVb97c=")</f>
        <v>#VALUE!</v>
      </c>
      <c r="GC60" t="e">
        <f>AND('Planilla_General_03-12-2012_9_3'!H956,"AAAAAHVb97g=")</f>
        <v>#VALUE!</v>
      </c>
      <c r="GD60" t="e">
        <f>AND('Planilla_General_03-12-2012_9_3'!I956,"AAAAAHVb97k=")</f>
        <v>#VALUE!</v>
      </c>
      <c r="GE60" t="e">
        <f>AND('Planilla_General_03-12-2012_9_3'!J956,"AAAAAHVb97o=")</f>
        <v>#VALUE!</v>
      </c>
      <c r="GF60" t="e">
        <f>AND('Planilla_General_03-12-2012_9_3'!K956,"AAAAAHVb97s=")</f>
        <v>#VALUE!</v>
      </c>
      <c r="GG60" t="e">
        <f>AND('Planilla_General_03-12-2012_9_3'!L956,"AAAAAHVb97w=")</f>
        <v>#VALUE!</v>
      </c>
      <c r="GH60" t="e">
        <f>AND('Planilla_General_03-12-2012_9_3'!M956,"AAAAAHVb970=")</f>
        <v>#VALUE!</v>
      </c>
      <c r="GI60" t="e">
        <f>AND('Planilla_General_03-12-2012_9_3'!N956,"AAAAAHVb974=")</f>
        <v>#VALUE!</v>
      </c>
      <c r="GJ60" t="e">
        <f>AND('Planilla_General_03-12-2012_9_3'!O956,"AAAAAHVb978=")</f>
        <v>#VALUE!</v>
      </c>
      <c r="GK60">
        <f>IF('Planilla_General_03-12-2012_9_3'!957:957,"AAAAAHVb98A=",0)</f>
        <v>0</v>
      </c>
      <c r="GL60" t="e">
        <f>AND('Planilla_General_03-12-2012_9_3'!A957,"AAAAAHVb98E=")</f>
        <v>#VALUE!</v>
      </c>
      <c r="GM60" t="e">
        <f>AND('Planilla_General_03-12-2012_9_3'!B957,"AAAAAHVb98I=")</f>
        <v>#VALUE!</v>
      </c>
      <c r="GN60" t="e">
        <f>AND('Planilla_General_03-12-2012_9_3'!C957,"AAAAAHVb98M=")</f>
        <v>#VALUE!</v>
      </c>
      <c r="GO60" t="e">
        <f>AND('Planilla_General_03-12-2012_9_3'!D957,"AAAAAHVb98Q=")</f>
        <v>#VALUE!</v>
      </c>
      <c r="GP60" t="e">
        <f>AND('Planilla_General_03-12-2012_9_3'!E957,"AAAAAHVb98U=")</f>
        <v>#VALUE!</v>
      </c>
      <c r="GQ60" t="e">
        <f>AND('Planilla_General_03-12-2012_9_3'!F957,"AAAAAHVb98Y=")</f>
        <v>#VALUE!</v>
      </c>
      <c r="GR60" t="e">
        <f>AND('Planilla_General_03-12-2012_9_3'!G957,"AAAAAHVb98c=")</f>
        <v>#VALUE!</v>
      </c>
      <c r="GS60" t="e">
        <f>AND('Planilla_General_03-12-2012_9_3'!H957,"AAAAAHVb98g=")</f>
        <v>#VALUE!</v>
      </c>
      <c r="GT60" t="e">
        <f>AND('Planilla_General_03-12-2012_9_3'!I957,"AAAAAHVb98k=")</f>
        <v>#VALUE!</v>
      </c>
      <c r="GU60" t="e">
        <f>AND('Planilla_General_03-12-2012_9_3'!J957,"AAAAAHVb98o=")</f>
        <v>#VALUE!</v>
      </c>
      <c r="GV60" t="e">
        <f>AND('Planilla_General_03-12-2012_9_3'!K957,"AAAAAHVb98s=")</f>
        <v>#VALUE!</v>
      </c>
      <c r="GW60" t="e">
        <f>AND('Planilla_General_03-12-2012_9_3'!L957,"AAAAAHVb98w=")</f>
        <v>#VALUE!</v>
      </c>
      <c r="GX60" t="e">
        <f>AND('Planilla_General_03-12-2012_9_3'!M957,"AAAAAHVb980=")</f>
        <v>#VALUE!</v>
      </c>
      <c r="GY60" t="e">
        <f>AND('Planilla_General_03-12-2012_9_3'!N957,"AAAAAHVb984=")</f>
        <v>#VALUE!</v>
      </c>
      <c r="GZ60" t="e">
        <f>AND('Planilla_General_03-12-2012_9_3'!O957,"AAAAAHVb988=")</f>
        <v>#VALUE!</v>
      </c>
      <c r="HA60">
        <f>IF('Planilla_General_03-12-2012_9_3'!958:958,"AAAAAHVb99A=",0)</f>
        <v>0</v>
      </c>
      <c r="HB60" t="e">
        <f>AND('Planilla_General_03-12-2012_9_3'!A958,"AAAAAHVb99E=")</f>
        <v>#VALUE!</v>
      </c>
      <c r="HC60" t="e">
        <f>AND('Planilla_General_03-12-2012_9_3'!B958,"AAAAAHVb99I=")</f>
        <v>#VALUE!</v>
      </c>
      <c r="HD60" t="e">
        <f>AND('Planilla_General_03-12-2012_9_3'!C958,"AAAAAHVb99M=")</f>
        <v>#VALUE!</v>
      </c>
      <c r="HE60" t="e">
        <f>AND('Planilla_General_03-12-2012_9_3'!D958,"AAAAAHVb99Q=")</f>
        <v>#VALUE!</v>
      </c>
      <c r="HF60" t="e">
        <f>AND('Planilla_General_03-12-2012_9_3'!E958,"AAAAAHVb99U=")</f>
        <v>#VALUE!</v>
      </c>
      <c r="HG60" t="e">
        <f>AND('Planilla_General_03-12-2012_9_3'!F958,"AAAAAHVb99Y=")</f>
        <v>#VALUE!</v>
      </c>
      <c r="HH60" t="e">
        <f>AND('Planilla_General_03-12-2012_9_3'!G958,"AAAAAHVb99c=")</f>
        <v>#VALUE!</v>
      </c>
      <c r="HI60" t="e">
        <f>AND('Planilla_General_03-12-2012_9_3'!H958,"AAAAAHVb99g=")</f>
        <v>#VALUE!</v>
      </c>
      <c r="HJ60" t="e">
        <f>AND('Planilla_General_03-12-2012_9_3'!I958,"AAAAAHVb99k=")</f>
        <v>#VALUE!</v>
      </c>
      <c r="HK60" t="e">
        <f>AND('Planilla_General_03-12-2012_9_3'!J958,"AAAAAHVb99o=")</f>
        <v>#VALUE!</v>
      </c>
      <c r="HL60" t="e">
        <f>AND('Planilla_General_03-12-2012_9_3'!K958,"AAAAAHVb99s=")</f>
        <v>#VALUE!</v>
      </c>
      <c r="HM60" t="e">
        <f>AND('Planilla_General_03-12-2012_9_3'!L958,"AAAAAHVb99w=")</f>
        <v>#VALUE!</v>
      </c>
      <c r="HN60" t="e">
        <f>AND('Planilla_General_03-12-2012_9_3'!M958,"AAAAAHVb990=")</f>
        <v>#VALUE!</v>
      </c>
      <c r="HO60" t="e">
        <f>AND('Planilla_General_03-12-2012_9_3'!N958,"AAAAAHVb994=")</f>
        <v>#VALUE!</v>
      </c>
      <c r="HP60" t="e">
        <f>AND('Planilla_General_03-12-2012_9_3'!O958,"AAAAAHVb998=")</f>
        <v>#VALUE!</v>
      </c>
      <c r="HQ60">
        <f>IF('Planilla_General_03-12-2012_9_3'!959:959,"AAAAAHVb9+A=",0)</f>
        <v>0</v>
      </c>
      <c r="HR60" t="e">
        <f>AND('Planilla_General_03-12-2012_9_3'!A959,"AAAAAHVb9+E=")</f>
        <v>#VALUE!</v>
      </c>
      <c r="HS60" t="e">
        <f>AND('Planilla_General_03-12-2012_9_3'!B959,"AAAAAHVb9+I=")</f>
        <v>#VALUE!</v>
      </c>
      <c r="HT60" t="e">
        <f>AND('Planilla_General_03-12-2012_9_3'!C959,"AAAAAHVb9+M=")</f>
        <v>#VALUE!</v>
      </c>
      <c r="HU60" t="e">
        <f>AND('Planilla_General_03-12-2012_9_3'!D959,"AAAAAHVb9+Q=")</f>
        <v>#VALUE!</v>
      </c>
      <c r="HV60" t="e">
        <f>AND('Planilla_General_03-12-2012_9_3'!E959,"AAAAAHVb9+U=")</f>
        <v>#VALUE!</v>
      </c>
      <c r="HW60" t="e">
        <f>AND('Planilla_General_03-12-2012_9_3'!F959,"AAAAAHVb9+Y=")</f>
        <v>#VALUE!</v>
      </c>
      <c r="HX60" t="e">
        <f>AND('Planilla_General_03-12-2012_9_3'!G959,"AAAAAHVb9+c=")</f>
        <v>#VALUE!</v>
      </c>
      <c r="HY60" t="e">
        <f>AND('Planilla_General_03-12-2012_9_3'!H959,"AAAAAHVb9+g=")</f>
        <v>#VALUE!</v>
      </c>
      <c r="HZ60" t="e">
        <f>AND('Planilla_General_03-12-2012_9_3'!I959,"AAAAAHVb9+k=")</f>
        <v>#VALUE!</v>
      </c>
      <c r="IA60" t="e">
        <f>AND('Planilla_General_03-12-2012_9_3'!J959,"AAAAAHVb9+o=")</f>
        <v>#VALUE!</v>
      </c>
      <c r="IB60" t="e">
        <f>AND('Planilla_General_03-12-2012_9_3'!K959,"AAAAAHVb9+s=")</f>
        <v>#VALUE!</v>
      </c>
      <c r="IC60" t="e">
        <f>AND('Planilla_General_03-12-2012_9_3'!L959,"AAAAAHVb9+w=")</f>
        <v>#VALUE!</v>
      </c>
      <c r="ID60" t="e">
        <f>AND('Planilla_General_03-12-2012_9_3'!M959,"AAAAAHVb9+0=")</f>
        <v>#VALUE!</v>
      </c>
      <c r="IE60" t="e">
        <f>AND('Planilla_General_03-12-2012_9_3'!N959,"AAAAAHVb9+4=")</f>
        <v>#VALUE!</v>
      </c>
      <c r="IF60" t="e">
        <f>AND('Planilla_General_03-12-2012_9_3'!O959,"AAAAAHVb9+8=")</f>
        <v>#VALUE!</v>
      </c>
      <c r="IG60">
        <f>IF('Planilla_General_03-12-2012_9_3'!960:960,"AAAAAHVb9/A=",0)</f>
        <v>0</v>
      </c>
      <c r="IH60" t="e">
        <f>AND('Planilla_General_03-12-2012_9_3'!A960,"AAAAAHVb9/E=")</f>
        <v>#VALUE!</v>
      </c>
      <c r="II60" t="e">
        <f>AND('Planilla_General_03-12-2012_9_3'!B960,"AAAAAHVb9/I=")</f>
        <v>#VALUE!</v>
      </c>
      <c r="IJ60" t="e">
        <f>AND('Planilla_General_03-12-2012_9_3'!C960,"AAAAAHVb9/M=")</f>
        <v>#VALUE!</v>
      </c>
      <c r="IK60" t="e">
        <f>AND('Planilla_General_03-12-2012_9_3'!D960,"AAAAAHVb9/Q=")</f>
        <v>#VALUE!</v>
      </c>
      <c r="IL60" t="e">
        <f>AND('Planilla_General_03-12-2012_9_3'!E960,"AAAAAHVb9/U=")</f>
        <v>#VALUE!</v>
      </c>
      <c r="IM60" t="e">
        <f>AND('Planilla_General_03-12-2012_9_3'!F960,"AAAAAHVb9/Y=")</f>
        <v>#VALUE!</v>
      </c>
      <c r="IN60" t="e">
        <f>AND('Planilla_General_03-12-2012_9_3'!G960,"AAAAAHVb9/c=")</f>
        <v>#VALUE!</v>
      </c>
      <c r="IO60" t="e">
        <f>AND('Planilla_General_03-12-2012_9_3'!H960,"AAAAAHVb9/g=")</f>
        <v>#VALUE!</v>
      </c>
      <c r="IP60" t="e">
        <f>AND('Planilla_General_03-12-2012_9_3'!I960,"AAAAAHVb9/k=")</f>
        <v>#VALUE!</v>
      </c>
      <c r="IQ60" t="e">
        <f>AND('Planilla_General_03-12-2012_9_3'!J960,"AAAAAHVb9/o=")</f>
        <v>#VALUE!</v>
      </c>
      <c r="IR60" t="e">
        <f>AND('Planilla_General_03-12-2012_9_3'!K960,"AAAAAHVb9/s=")</f>
        <v>#VALUE!</v>
      </c>
      <c r="IS60" t="e">
        <f>AND('Planilla_General_03-12-2012_9_3'!L960,"AAAAAHVb9/w=")</f>
        <v>#VALUE!</v>
      </c>
      <c r="IT60" t="e">
        <f>AND('Planilla_General_03-12-2012_9_3'!M960,"AAAAAHVb9/0=")</f>
        <v>#VALUE!</v>
      </c>
      <c r="IU60" t="e">
        <f>AND('Planilla_General_03-12-2012_9_3'!N960,"AAAAAHVb9/4=")</f>
        <v>#VALUE!</v>
      </c>
      <c r="IV60" t="e">
        <f>AND('Planilla_General_03-12-2012_9_3'!O960,"AAAAAHVb9/8=")</f>
        <v>#VALUE!</v>
      </c>
    </row>
    <row r="61" spans="1:256" x14ac:dyDescent="0.25">
      <c r="A61" t="e">
        <f>IF('Planilla_General_03-12-2012_9_3'!961:961,"AAAAAGcrtwA=",0)</f>
        <v>#VALUE!</v>
      </c>
      <c r="B61" t="e">
        <f>AND('Planilla_General_03-12-2012_9_3'!A961,"AAAAAGcrtwE=")</f>
        <v>#VALUE!</v>
      </c>
      <c r="C61" t="e">
        <f>AND('Planilla_General_03-12-2012_9_3'!B961,"AAAAAGcrtwI=")</f>
        <v>#VALUE!</v>
      </c>
      <c r="D61" t="e">
        <f>AND('Planilla_General_03-12-2012_9_3'!C961,"AAAAAGcrtwM=")</f>
        <v>#VALUE!</v>
      </c>
      <c r="E61" t="e">
        <f>AND('Planilla_General_03-12-2012_9_3'!D961,"AAAAAGcrtwQ=")</f>
        <v>#VALUE!</v>
      </c>
      <c r="F61" t="e">
        <f>AND('Planilla_General_03-12-2012_9_3'!E961,"AAAAAGcrtwU=")</f>
        <v>#VALUE!</v>
      </c>
      <c r="G61" t="e">
        <f>AND('Planilla_General_03-12-2012_9_3'!F961,"AAAAAGcrtwY=")</f>
        <v>#VALUE!</v>
      </c>
      <c r="H61" t="e">
        <f>AND('Planilla_General_03-12-2012_9_3'!G961,"AAAAAGcrtwc=")</f>
        <v>#VALUE!</v>
      </c>
      <c r="I61" t="e">
        <f>AND('Planilla_General_03-12-2012_9_3'!H961,"AAAAAGcrtwg=")</f>
        <v>#VALUE!</v>
      </c>
      <c r="J61" t="e">
        <f>AND('Planilla_General_03-12-2012_9_3'!I961,"AAAAAGcrtwk=")</f>
        <v>#VALUE!</v>
      </c>
      <c r="K61" t="e">
        <f>AND('Planilla_General_03-12-2012_9_3'!J961,"AAAAAGcrtwo=")</f>
        <v>#VALUE!</v>
      </c>
      <c r="L61" t="e">
        <f>AND('Planilla_General_03-12-2012_9_3'!K961,"AAAAAGcrtws=")</f>
        <v>#VALUE!</v>
      </c>
      <c r="M61" t="e">
        <f>AND('Planilla_General_03-12-2012_9_3'!L961,"AAAAAGcrtww=")</f>
        <v>#VALUE!</v>
      </c>
      <c r="N61" t="e">
        <f>AND('Planilla_General_03-12-2012_9_3'!M961,"AAAAAGcrtw0=")</f>
        <v>#VALUE!</v>
      </c>
      <c r="O61" t="e">
        <f>AND('Planilla_General_03-12-2012_9_3'!N961,"AAAAAGcrtw4=")</f>
        <v>#VALUE!</v>
      </c>
      <c r="P61" t="e">
        <f>AND('Planilla_General_03-12-2012_9_3'!O961,"AAAAAGcrtw8=")</f>
        <v>#VALUE!</v>
      </c>
      <c r="Q61">
        <f>IF('Planilla_General_03-12-2012_9_3'!962:962,"AAAAAGcrtxA=",0)</f>
        <v>0</v>
      </c>
      <c r="R61" t="e">
        <f>AND('Planilla_General_03-12-2012_9_3'!A962,"AAAAAGcrtxE=")</f>
        <v>#VALUE!</v>
      </c>
      <c r="S61" t="e">
        <f>AND('Planilla_General_03-12-2012_9_3'!B962,"AAAAAGcrtxI=")</f>
        <v>#VALUE!</v>
      </c>
      <c r="T61" t="e">
        <f>AND('Planilla_General_03-12-2012_9_3'!C962,"AAAAAGcrtxM=")</f>
        <v>#VALUE!</v>
      </c>
      <c r="U61" t="e">
        <f>AND('Planilla_General_03-12-2012_9_3'!D962,"AAAAAGcrtxQ=")</f>
        <v>#VALUE!</v>
      </c>
      <c r="V61" t="e">
        <f>AND('Planilla_General_03-12-2012_9_3'!E962,"AAAAAGcrtxU=")</f>
        <v>#VALUE!</v>
      </c>
      <c r="W61" t="e">
        <f>AND('Planilla_General_03-12-2012_9_3'!F962,"AAAAAGcrtxY=")</f>
        <v>#VALUE!</v>
      </c>
      <c r="X61" t="e">
        <f>AND('Planilla_General_03-12-2012_9_3'!G962,"AAAAAGcrtxc=")</f>
        <v>#VALUE!</v>
      </c>
      <c r="Y61" t="e">
        <f>AND('Planilla_General_03-12-2012_9_3'!H962,"AAAAAGcrtxg=")</f>
        <v>#VALUE!</v>
      </c>
      <c r="Z61" t="e">
        <f>AND('Planilla_General_03-12-2012_9_3'!I962,"AAAAAGcrtxk=")</f>
        <v>#VALUE!</v>
      </c>
      <c r="AA61" t="e">
        <f>AND('Planilla_General_03-12-2012_9_3'!J962,"AAAAAGcrtxo=")</f>
        <v>#VALUE!</v>
      </c>
      <c r="AB61" t="e">
        <f>AND('Planilla_General_03-12-2012_9_3'!K962,"AAAAAGcrtxs=")</f>
        <v>#VALUE!</v>
      </c>
      <c r="AC61" t="e">
        <f>AND('Planilla_General_03-12-2012_9_3'!L962,"AAAAAGcrtxw=")</f>
        <v>#VALUE!</v>
      </c>
      <c r="AD61" t="e">
        <f>AND('Planilla_General_03-12-2012_9_3'!M962,"AAAAAGcrtx0=")</f>
        <v>#VALUE!</v>
      </c>
      <c r="AE61" t="e">
        <f>AND('Planilla_General_03-12-2012_9_3'!N962,"AAAAAGcrtx4=")</f>
        <v>#VALUE!</v>
      </c>
      <c r="AF61" t="e">
        <f>AND('Planilla_General_03-12-2012_9_3'!O962,"AAAAAGcrtx8=")</f>
        <v>#VALUE!</v>
      </c>
      <c r="AG61">
        <f>IF('Planilla_General_03-12-2012_9_3'!963:963,"AAAAAGcrtyA=",0)</f>
        <v>0</v>
      </c>
      <c r="AH61" t="e">
        <f>AND('Planilla_General_03-12-2012_9_3'!A963,"AAAAAGcrtyE=")</f>
        <v>#VALUE!</v>
      </c>
      <c r="AI61" t="e">
        <f>AND('Planilla_General_03-12-2012_9_3'!B963,"AAAAAGcrtyI=")</f>
        <v>#VALUE!</v>
      </c>
      <c r="AJ61" t="e">
        <f>AND('Planilla_General_03-12-2012_9_3'!C963,"AAAAAGcrtyM=")</f>
        <v>#VALUE!</v>
      </c>
      <c r="AK61" t="e">
        <f>AND('Planilla_General_03-12-2012_9_3'!D963,"AAAAAGcrtyQ=")</f>
        <v>#VALUE!</v>
      </c>
      <c r="AL61" t="e">
        <f>AND('Planilla_General_03-12-2012_9_3'!E963,"AAAAAGcrtyU=")</f>
        <v>#VALUE!</v>
      </c>
      <c r="AM61" t="e">
        <f>AND('Planilla_General_03-12-2012_9_3'!F963,"AAAAAGcrtyY=")</f>
        <v>#VALUE!</v>
      </c>
      <c r="AN61" t="e">
        <f>AND('Planilla_General_03-12-2012_9_3'!G963,"AAAAAGcrtyc=")</f>
        <v>#VALUE!</v>
      </c>
      <c r="AO61" t="e">
        <f>AND('Planilla_General_03-12-2012_9_3'!H963,"AAAAAGcrtyg=")</f>
        <v>#VALUE!</v>
      </c>
      <c r="AP61" t="e">
        <f>AND('Planilla_General_03-12-2012_9_3'!I963,"AAAAAGcrtyk=")</f>
        <v>#VALUE!</v>
      </c>
      <c r="AQ61" t="e">
        <f>AND('Planilla_General_03-12-2012_9_3'!J963,"AAAAAGcrtyo=")</f>
        <v>#VALUE!</v>
      </c>
      <c r="AR61" t="e">
        <f>AND('Planilla_General_03-12-2012_9_3'!K963,"AAAAAGcrtys=")</f>
        <v>#VALUE!</v>
      </c>
      <c r="AS61" t="e">
        <f>AND('Planilla_General_03-12-2012_9_3'!L963,"AAAAAGcrtyw=")</f>
        <v>#VALUE!</v>
      </c>
      <c r="AT61" t="e">
        <f>AND('Planilla_General_03-12-2012_9_3'!M963,"AAAAAGcrty0=")</f>
        <v>#VALUE!</v>
      </c>
      <c r="AU61" t="e">
        <f>AND('Planilla_General_03-12-2012_9_3'!N963,"AAAAAGcrty4=")</f>
        <v>#VALUE!</v>
      </c>
      <c r="AV61" t="e">
        <f>AND('Planilla_General_03-12-2012_9_3'!O963,"AAAAAGcrty8=")</f>
        <v>#VALUE!</v>
      </c>
      <c r="AW61">
        <f>IF('Planilla_General_03-12-2012_9_3'!964:964,"AAAAAGcrtzA=",0)</f>
        <v>0</v>
      </c>
      <c r="AX61" t="e">
        <f>AND('Planilla_General_03-12-2012_9_3'!A964,"AAAAAGcrtzE=")</f>
        <v>#VALUE!</v>
      </c>
      <c r="AY61" t="e">
        <f>AND('Planilla_General_03-12-2012_9_3'!B964,"AAAAAGcrtzI=")</f>
        <v>#VALUE!</v>
      </c>
      <c r="AZ61" t="e">
        <f>AND('Planilla_General_03-12-2012_9_3'!C964,"AAAAAGcrtzM=")</f>
        <v>#VALUE!</v>
      </c>
      <c r="BA61" t="e">
        <f>AND('Planilla_General_03-12-2012_9_3'!D964,"AAAAAGcrtzQ=")</f>
        <v>#VALUE!</v>
      </c>
      <c r="BB61" t="e">
        <f>AND('Planilla_General_03-12-2012_9_3'!E964,"AAAAAGcrtzU=")</f>
        <v>#VALUE!</v>
      </c>
      <c r="BC61" t="e">
        <f>AND('Planilla_General_03-12-2012_9_3'!F964,"AAAAAGcrtzY=")</f>
        <v>#VALUE!</v>
      </c>
      <c r="BD61" t="e">
        <f>AND('Planilla_General_03-12-2012_9_3'!G964,"AAAAAGcrtzc=")</f>
        <v>#VALUE!</v>
      </c>
      <c r="BE61" t="e">
        <f>AND('Planilla_General_03-12-2012_9_3'!H964,"AAAAAGcrtzg=")</f>
        <v>#VALUE!</v>
      </c>
      <c r="BF61" t="e">
        <f>AND('Planilla_General_03-12-2012_9_3'!I964,"AAAAAGcrtzk=")</f>
        <v>#VALUE!</v>
      </c>
      <c r="BG61" t="e">
        <f>AND('Planilla_General_03-12-2012_9_3'!J964,"AAAAAGcrtzo=")</f>
        <v>#VALUE!</v>
      </c>
      <c r="BH61" t="e">
        <f>AND('Planilla_General_03-12-2012_9_3'!K964,"AAAAAGcrtzs=")</f>
        <v>#VALUE!</v>
      </c>
      <c r="BI61" t="e">
        <f>AND('Planilla_General_03-12-2012_9_3'!L964,"AAAAAGcrtzw=")</f>
        <v>#VALUE!</v>
      </c>
      <c r="BJ61" t="e">
        <f>AND('Planilla_General_03-12-2012_9_3'!M964,"AAAAAGcrtz0=")</f>
        <v>#VALUE!</v>
      </c>
      <c r="BK61" t="e">
        <f>AND('Planilla_General_03-12-2012_9_3'!N964,"AAAAAGcrtz4=")</f>
        <v>#VALUE!</v>
      </c>
      <c r="BL61" t="e">
        <f>AND('Planilla_General_03-12-2012_9_3'!O964,"AAAAAGcrtz8=")</f>
        <v>#VALUE!</v>
      </c>
      <c r="BM61">
        <f>IF('Planilla_General_03-12-2012_9_3'!965:965,"AAAAAGcrt0A=",0)</f>
        <v>0</v>
      </c>
      <c r="BN61" t="e">
        <f>AND('Planilla_General_03-12-2012_9_3'!A965,"AAAAAGcrt0E=")</f>
        <v>#VALUE!</v>
      </c>
      <c r="BO61" t="e">
        <f>AND('Planilla_General_03-12-2012_9_3'!B965,"AAAAAGcrt0I=")</f>
        <v>#VALUE!</v>
      </c>
      <c r="BP61" t="e">
        <f>AND('Planilla_General_03-12-2012_9_3'!C965,"AAAAAGcrt0M=")</f>
        <v>#VALUE!</v>
      </c>
      <c r="BQ61" t="e">
        <f>AND('Planilla_General_03-12-2012_9_3'!D965,"AAAAAGcrt0Q=")</f>
        <v>#VALUE!</v>
      </c>
      <c r="BR61" t="e">
        <f>AND('Planilla_General_03-12-2012_9_3'!E965,"AAAAAGcrt0U=")</f>
        <v>#VALUE!</v>
      </c>
      <c r="BS61" t="e">
        <f>AND('Planilla_General_03-12-2012_9_3'!F965,"AAAAAGcrt0Y=")</f>
        <v>#VALUE!</v>
      </c>
      <c r="BT61" t="e">
        <f>AND('Planilla_General_03-12-2012_9_3'!G965,"AAAAAGcrt0c=")</f>
        <v>#VALUE!</v>
      </c>
      <c r="BU61" t="e">
        <f>AND('Planilla_General_03-12-2012_9_3'!H965,"AAAAAGcrt0g=")</f>
        <v>#VALUE!</v>
      </c>
      <c r="BV61" t="e">
        <f>AND('Planilla_General_03-12-2012_9_3'!I965,"AAAAAGcrt0k=")</f>
        <v>#VALUE!</v>
      </c>
      <c r="BW61" t="e">
        <f>AND('Planilla_General_03-12-2012_9_3'!J965,"AAAAAGcrt0o=")</f>
        <v>#VALUE!</v>
      </c>
      <c r="BX61" t="e">
        <f>AND('Planilla_General_03-12-2012_9_3'!K965,"AAAAAGcrt0s=")</f>
        <v>#VALUE!</v>
      </c>
      <c r="BY61" t="e">
        <f>AND('Planilla_General_03-12-2012_9_3'!L965,"AAAAAGcrt0w=")</f>
        <v>#VALUE!</v>
      </c>
      <c r="BZ61" t="e">
        <f>AND('Planilla_General_03-12-2012_9_3'!M965,"AAAAAGcrt00=")</f>
        <v>#VALUE!</v>
      </c>
      <c r="CA61" t="e">
        <f>AND('Planilla_General_03-12-2012_9_3'!N965,"AAAAAGcrt04=")</f>
        <v>#VALUE!</v>
      </c>
      <c r="CB61" t="e">
        <f>AND('Planilla_General_03-12-2012_9_3'!O965,"AAAAAGcrt08=")</f>
        <v>#VALUE!</v>
      </c>
      <c r="CC61">
        <f>IF('Planilla_General_03-12-2012_9_3'!966:966,"AAAAAGcrt1A=",0)</f>
        <v>0</v>
      </c>
      <c r="CD61" t="e">
        <f>AND('Planilla_General_03-12-2012_9_3'!A966,"AAAAAGcrt1E=")</f>
        <v>#VALUE!</v>
      </c>
      <c r="CE61" t="e">
        <f>AND('Planilla_General_03-12-2012_9_3'!B966,"AAAAAGcrt1I=")</f>
        <v>#VALUE!</v>
      </c>
      <c r="CF61" t="e">
        <f>AND('Planilla_General_03-12-2012_9_3'!C966,"AAAAAGcrt1M=")</f>
        <v>#VALUE!</v>
      </c>
      <c r="CG61" t="e">
        <f>AND('Planilla_General_03-12-2012_9_3'!D966,"AAAAAGcrt1Q=")</f>
        <v>#VALUE!</v>
      </c>
      <c r="CH61" t="e">
        <f>AND('Planilla_General_03-12-2012_9_3'!E966,"AAAAAGcrt1U=")</f>
        <v>#VALUE!</v>
      </c>
      <c r="CI61" t="e">
        <f>AND('Planilla_General_03-12-2012_9_3'!F966,"AAAAAGcrt1Y=")</f>
        <v>#VALUE!</v>
      </c>
      <c r="CJ61" t="e">
        <f>AND('Planilla_General_03-12-2012_9_3'!G966,"AAAAAGcrt1c=")</f>
        <v>#VALUE!</v>
      </c>
      <c r="CK61" t="e">
        <f>AND('Planilla_General_03-12-2012_9_3'!H966,"AAAAAGcrt1g=")</f>
        <v>#VALUE!</v>
      </c>
      <c r="CL61" t="e">
        <f>AND('Planilla_General_03-12-2012_9_3'!I966,"AAAAAGcrt1k=")</f>
        <v>#VALUE!</v>
      </c>
      <c r="CM61" t="e">
        <f>AND('Planilla_General_03-12-2012_9_3'!J966,"AAAAAGcrt1o=")</f>
        <v>#VALUE!</v>
      </c>
      <c r="CN61" t="e">
        <f>AND('Planilla_General_03-12-2012_9_3'!K966,"AAAAAGcrt1s=")</f>
        <v>#VALUE!</v>
      </c>
      <c r="CO61" t="e">
        <f>AND('Planilla_General_03-12-2012_9_3'!L966,"AAAAAGcrt1w=")</f>
        <v>#VALUE!</v>
      </c>
      <c r="CP61" t="e">
        <f>AND('Planilla_General_03-12-2012_9_3'!M966,"AAAAAGcrt10=")</f>
        <v>#VALUE!</v>
      </c>
      <c r="CQ61" t="e">
        <f>AND('Planilla_General_03-12-2012_9_3'!N966,"AAAAAGcrt14=")</f>
        <v>#VALUE!</v>
      </c>
      <c r="CR61" t="e">
        <f>AND('Planilla_General_03-12-2012_9_3'!O966,"AAAAAGcrt18=")</f>
        <v>#VALUE!</v>
      </c>
      <c r="CS61">
        <f>IF('Planilla_General_03-12-2012_9_3'!967:967,"AAAAAGcrt2A=",0)</f>
        <v>0</v>
      </c>
      <c r="CT61" t="e">
        <f>AND('Planilla_General_03-12-2012_9_3'!A967,"AAAAAGcrt2E=")</f>
        <v>#VALUE!</v>
      </c>
      <c r="CU61" t="e">
        <f>AND('Planilla_General_03-12-2012_9_3'!B967,"AAAAAGcrt2I=")</f>
        <v>#VALUE!</v>
      </c>
      <c r="CV61" t="e">
        <f>AND('Planilla_General_03-12-2012_9_3'!C967,"AAAAAGcrt2M=")</f>
        <v>#VALUE!</v>
      </c>
      <c r="CW61" t="e">
        <f>AND('Planilla_General_03-12-2012_9_3'!D967,"AAAAAGcrt2Q=")</f>
        <v>#VALUE!</v>
      </c>
      <c r="CX61" t="e">
        <f>AND('Planilla_General_03-12-2012_9_3'!E967,"AAAAAGcrt2U=")</f>
        <v>#VALUE!</v>
      </c>
      <c r="CY61" t="e">
        <f>AND('Planilla_General_03-12-2012_9_3'!F967,"AAAAAGcrt2Y=")</f>
        <v>#VALUE!</v>
      </c>
      <c r="CZ61" t="e">
        <f>AND('Planilla_General_03-12-2012_9_3'!G967,"AAAAAGcrt2c=")</f>
        <v>#VALUE!</v>
      </c>
      <c r="DA61" t="e">
        <f>AND('Planilla_General_03-12-2012_9_3'!H967,"AAAAAGcrt2g=")</f>
        <v>#VALUE!</v>
      </c>
      <c r="DB61" t="e">
        <f>AND('Planilla_General_03-12-2012_9_3'!I967,"AAAAAGcrt2k=")</f>
        <v>#VALUE!</v>
      </c>
      <c r="DC61" t="e">
        <f>AND('Planilla_General_03-12-2012_9_3'!J967,"AAAAAGcrt2o=")</f>
        <v>#VALUE!</v>
      </c>
      <c r="DD61" t="e">
        <f>AND('Planilla_General_03-12-2012_9_3'!K967,"AAAAAGcrt2s=")</f>
        <v>#VALUE!</v>
      </c>
      <c r="DE61" t="e">
        <f>AND('Planilla_General_03-12-2012_9_3'!L967,"AAAAAGcrt2w=")</f>
        <v>#VALUE!</v>
      </c>
      <c r="DF61" t="e">
        <f>AND('Planilla_General_03-12-2012_9_3'!M967,"AAAAAGcrt20=")</f>
        <v>#VALUE!</v>
      </c>
      <c r="DG61" t="e">
        <f>AND('Planilla_General_03-12-2012_9_3'!N967,"AAAAAGcrt24=")</f>
        <v>#VALUE!</v>
      </c>
      <c r="DH61" t="e">
        <f>AND('Planilla_General_03-12-2012_9_3'!O967,"AAAAAGcrt28=")</f>
        <v>#VALUE!</v>
      </c>
      <c r="DI61">
        <f>IF('Planilla_General_03-12-2012_9_3'!968:968,"AAAAAGcrt3A=",0)</f>
        <v>0</v>
      </c>
      <c r="DJ61" t="e">
        <f>AND('Planilla_General_03-12-2012_9_3'!A968,"AAAAAGcrt3E=")</f>
        <v>#VALUE!</v>
      </c>
      <c r="DK61" t="e">
        <f>AND('Planilla_General_03-12-2012_9_3'!B968,"AAAAAGcrt3I=")</f>
        <v>#VALUE!</v>
      </c>
      <c r="DL61" t="e">
        <f>AND('Planilla_General_03-12-2012_9_3'!C968,"AAAAAGcrt3M=")</f>
        <v>#VALUE!</v>
      </c>
      <c r="DM61" t="e">
        <f>AND('Planilla_General_03-12-2012_9_3'!D968,"AAAAAGcrt3Q=")</f>
        <v>#VALUE!</v>
      </c>
      <c r="DN61" t="e">
        <f>AND('Planilla_General_03-12-2012_9_3'!E968,"AAAAAGcrt3U=")</f>
        <v>#VALUE!</v>
      </c>
      <c r="DO61" t="e">
        <f>AND('Planilla_General_03-12-2012_9_3'!F968,"AAAAAGcrt3Y=")</f>
        <v>#VALUE!</v>
      </c>
      <c r="DP61" t="e">
        <f>AND('Planilla_General_03-12-2012_9_3'!G968,"AAAAAGcrt3c=")</f>
        <v>#VALUE!</v>
      </c>
      <c r="DQ61" t="e">
        <f>AND('Planilla_General_03-12-2012_9_3'!H968,"AAAAAGcrt3g=")</f>
        <v>#VALUE!</v>
      </c>
      <c r="DR61" t="e">
        <f>AND('Planilla_General_03-12-2012_9_3'!I968,"AAAAAGcrt3k=")</f>
        <v>#VALUE!</v>
      </c>
      <c r="DS61" t="e">
        <f>AND('Planilla_General_03-12-2012_9_3'!J968,"AAAAAGcrt3o=")</f>
        <v>#VALUE!</v>
      </c>
      <c r="DT61" t="e">
        <f>AND('Planilla_General_03-12-2012_9_3'!K968,"AAAAAGcrt3s=")</f>
        <v>#VALUE!</v>
      </c>
      <c r="DU61" t="e">
        <f>AND('Planilla_General_03-12-2012_9_3'!L968,"AAAAAGcrt3w=")</f>
        <v>#VALUE!</v>
      </c>
      <c r="DV61" t="e">
        <f>AND('Planilla_General_03-12-2012_9_3'!M968,"AAAAAGcrt30=")</f>
        <v>#VALUE!</v>
      </c>
      <c r="DW61" t="e">
        <f>AND('Planilla_General_03-12-2012_9_3'!N968,"AAAAAGcrt34=")</f>
        <v>#VALUE!</v>
      </c>
      <c r="DX61" t="e">
        <f>AND('Planilla_General_03-12-2012_9_3'!O968,"AAAAAGcrt38=")</f>
        <v>#VALUE!</v>
      </c>
      <c r="DY61">
        <f>IF('Planilla_General_03-12-2012_9_3'!969:969,"AAAAAGcrt4A=",0)</f>
        <v>0</v>
      </c>
      <c r="DZ61" t="e">
        <f>AND('Planilla_General_03-12-2012_9_3'!A969,"AAAAAGcrt4E=")</f>
        <v>#VALUE!</v>
      </c>
      <c r="EA61" t="e">
        <f>AND('Planilla_General_03-12-2012_9_3'!B969,"AAAAAGcrt4I=")</f>
        <v>#VALUE!</v>
      </c>
      <c r="EB61" t="e">
        <f>AND('Planilla_General_03-12-2012_9_3'!C969,"AAAAAGcrt4M=")</f>
        <v>#VALUE!</v>
      </c>
      <c r="EC61" t="e">
        <f>AND('Planilla_General_03-12-2012_9_3'!D969,"AAAAAGcrt4Q=")</f>
        <v>#VALUE!</v>
      </c>
      <c r="ED61" t="e">
        <f>AND('Planilla_General_03-12-2012_9_3'!E969,"AAAAAGcrt4U=")</f>
        <v>#VALUE!</v>
      </c>
      <c r="EE61" t="e">
        <f>AND('Planilla_General_03-12-2012_9_3'!F969,"AAAAAGcrt4Y=")</f>
        <v>#VALUE!</v>
      </c>
      <c r="EF61" t="e">
        <f>AND('Planilla_General_03-12-2012_9_3'!G969,"AAAAAGcrt4c=")</f>
        <v>#VALUE!</v>
      </c>
      <c r="EG61" t="e">
        <f>AND('Planilla_General_03-12-2012_9_3'!H969,"AAAAAGcrt4g=")</f>
        <v>#VALUE!</v>
      </c>
      <c r="EH61" t="e">
        <f>AND('Planilla_General_03-12-2012_9_3'!I969,"AAAAAGcrt4k=")</f>
        <v>#VALUE!</v>
      </c>
      <c r="EI61" t="e">
        <f>AND('Planilla_General_03-12-2012_9_3'!J969,"AAAAAGcrt4o=")</f>
        <v>#VALUE!</v>
      </c>
      <c r="EJ61" t="e">
        <f>AND('Planilla_General_03-12-2012_9_3'!K969,"AAAAAGcrt4s=")</f>
        <v>#VALUE!</v>
      </c>
      <c r="EK61" t="e">
        <f>AND('Planilla_General_03-12-2012_9_3'!L969,"AAAAAGcrt4w=")</f>
        <v>#VALUE!</v>
      </c>
      <c r="EL61" t="e">
        <f>AND('Planilla_General_03-12-2012_9_3'!M969,"AAAAAGcrt40=")</f>
        <v>#VALUE!</v>
      </c>
      <c r="EM61" t="e">
        <f>AND('Planilla_General_03-12-2012_9_3'!N969,"AAAAAGcrt44=")</f>
        <v>#VALUE!</v>
      </c>
      <c r="EN61" t="e">
        <f>AND('Planilla_General_03-12-2012_9_3'!O969,"AAAAAGcrt48=")</f>
        <v>#VALUE!</v>
      </c>
      <c r="EO61">
        <f>IF('Planilla_General_03-12-2012_9_3'!970:970,"AAAAAGcrt5A=",0)</f>
        <v>0</v>
      </c>
      <c r="EP61" t="e">
        <f>AND('Planilla_General_03-12-2012_9_3'!A970,"AAAAAGcrt5E=")</f>
        <v>#VALUE!</v>
      </c>
      <c r="EQ61" t="e">
        <f>AND('Planilla_General_03-12-2012_9_3'!B970,"AAAAAGcrt5I=")</f>
        <v>#VALUE!</v>
      </c>
      <c r="ER61" t="e">
        <f>AND('Planilla_General_03-12-2012_9_3'!C970,"AAAAAGcrt5M=")</f>
        <v>#VALUE!</v>
      </c>
      <c r="ES61" t="e">
        <f>AND('Planilla_General_03-12-2012_9_3'!D970,"AAAAAGcrt5Q=")</f>
        <v>#VALUE!</v>
      </c>
      <c r="ET61" t="e">
        <f>AND('Planilla_General_03-12-2012_9_3'!E970,"AAAAAGcrt5U=")</f>
        <v>#VALUE!</v>
      </c>
      <c r="EU61" t="e">
        <f>AND('Planilla_General_03-12-2012_9_3'!F970,"AAAAAGcrt5Y=")</f>
        <v>#VALUE!</v>
      </c>
      <c r="EV61" t="e">
        <f>AND('Planilla_General_03-12-2012_9_3'!G970,"AAAAAGcrt5c=")</f>
        <v>#VALUE!</v>
      </c>
      <c r="EW61" t="e">
        <f>AND('Planilla_General_03-12-2012_9_3'!H970,"AAAAAGcrt5g=")</f>
        <v>#VALUE!</v>
      </c>
      <c r="EX61" t="e">
        <f>AND('Planilla_General_03-12-2012_9_3'!I970,"AAAAAGcrt5k=")</f>
        <v>#VALUE!</v>
      </c>
      <c r="EY61" t="e">
        <f>AND('Planilla_General_03-12-2012_9_3'!J970,"AAAAAGcrt5o=")</f>
        <v>#VALUE!</v>
      </c>
      <c r="EZ61" t="e">
        <f>AND('Planilla_General_03-12-2012_9_3'!K970,"AAAAAGcrt5s=")</f>
        <v>#VALUE!</v>
      </c>
      <c r="FA61" t="e">
        <f>AND('Planilla_General_03-12-2012_9_3'!L970,"AAAAAGcrt5w=")</f>
        <v>#VALUE!</v>
      </c>
      <c r="FB61" t="e">
        <f>AND('Planilla_General_03-12-2012_9_3'!M970,"AAAAAGcrt50=")</f>
        <v>#VALUE!</v>
      </c>
      <c r="FC61" t="e">
        <f>AND('Planilla_General_03-12-2012_9_3'!N970,"AAAAAGcrt54=")</f>
        <v>#VALUE!</v>
      </c>
      <c r="FD61" t="e">
        <f>AND('Planilla_General_03-12-2012_9_3'!O970,"AAAAAGcrt58=")</f>
        <v>#VALUE!</v>
      </c>
      <c r="FE61">
        <f>IF('Planilla_General_03-12-2012_9_3'!971:971,"AAAAAGcrt6A=",0)</f>
        <v>0</v>
      </c>
      <c r="FF61" t="e">
        <f>AND('Planilla_General_03-12-2012_9_3'!A971,"AAAAAGcrt6E=")</f>
        <v>#VALUE!</v>
      </c>
      <c r="FG61" t="e">
        <f>AND('Planilla_General_03-12-2012_9_3'!B971,"AAAAAGcrt6I=")</f>
        <v>#VALUE!</v>
      </c>
      <c r="FH61" t="e">
        <f>AND('Planilla_General_03-12-2012_9_3'!C971,"AAAAAGcrt6M=")</f>
        <v>#VALUE!</v>
      </c>
      <c r="FI61" t="e">
        <f>AND('Planilla_General_03-12-2012_9_3'!D971,"AAAAAGcrt6Q=")</f>
        <v>#VALUE!</v>
      </c>
      <c r="FJ61" t="e">
        <f>AND('Planilla_General_03-12-2012_9_3'!E971,"AAAAAGcrt6U=")</f>
        <v>#VALUE!</v>
      </c>
      <c r="FK61" t="e">
        <f>AND('Planilla_General_03-12-2012_9_3'!F971,"AAAAAGcrt6Y=")</f>
        <v>#VALUE!</v>
      </c>
      <c r="FL61" t="e">
        <f>AND('Planilla_General_03-12-2012_9_3'!G971,"AAAAAGcrt6c=")</f>
        <v>#VALUE!</v>
      </c>
      <c r="FM61" t="e">
        <f>AND('Planilla_General_03-12-2012_9_3'!H971,"AAAAAGcrt6g=")</f>
        <v>#VALUE!</v>
      </c>
      <c r="FN61" t="e">
        <f>AND('Planilla_General_03-12-2012_9_3'!I971,"AAAAAGcrt6k=")</f>
        <v>#VALUE!</v>
      </c>
      <c r="FO61" t="e">
        <f>AND('Planilla_General_03-12-2012_9_3'!J971,"AAAAAGcrt6o=")</f>
        <v>#VALUE!</v>
      </c>
      <c r="FP61" t="e">
        <f>AND('Planilla_General_03-12-2012_9_3'!K971,"AAAAAGcrt6s=")</f>
        <v>#VALUE!</v>
      </c>
      <c r="FQ61" t="e">
        <f>AND('Planilla_General_03-12-2012_9_3'!L971,"AAAAAGcrt6w=")</f>
        <v>#VALUE!</v>
      </c>
      <c r="FR61" t="e">
        <f>AND('Planilla_General_03-12-2012_9_3'!M971,"AAAAAGcrt60=")</f>
        <v>#VALUE!</v>
      </c>
      <c r="FS61" t="e">
        <f>AND('Planilla_General_03-12-2012_9_3'!N971,"AAAAAGcrt64=")</f>
        <v>#VALUE!</v>
      </c>
      <c r="FT61" t="e">
        <f>AND('Planilla_General_03-12-2012_9_3'!O971,"AAAAAGcrt68=")</f>
        <v>#VALUE!</v>
      </c>
      <c r="FU61">
        <f>IF('Planilla_General_03-12-2012_9_3'!972:972,"AAAAAGcrt7A=",0)</f>
        <v>0</v>
      </c>
      <c r="FV61" t="e">
        <f>AND('Planilla_General_03-12-2012_9_3'!A972,"AAAAAGcrt7E=")</f>
        <v>#VALUE!</v>
      </c>
      <c r="FW61" t="e">
        <f>AND('Planilla_General_03-12-2012_9_3'!B972,"AAAAAGcrt7I=")</f>
        <v>#VALUE!</v>
      </c>
      <c r="FX61" t="e">
        <f>AND('Planilla_General_03-12-2012_9_3'!C972,"AAAAAGcrt7M=")</f>
        <v>#VALUE!</v>
      </c>
      <c r="FY61" t="e">
        <f>AND('Planilla_General_03-12-2012_9_3'!D972,"AAAAAGcrt7Q=")</f>
        <v>#VALUE!</v>
      </c>
      <c r="FZ61" t="e">
        <f>AND('Planilla_General_03-12-2012_9_3'!E972,"AAAAAGcrt7U=")</f>
        <v>#VALUE!</v>
      </c>
      <c r="GA61" t="e">
        <f>AND('Planilla_General_03-12-2012_9_3'!F972,"AAAAAGcrt7Y=")</f>
        <v>#VALUE!</v>
      </c>
      <c r="GB61" t="e">
        <f>AND('Planilla_General_03-12-2012_9_3'!G972,"AAAAAGcrt7c=")</f>
        <v>#VALUE!</v>
      </c>
      <c r="GC61" t="e">
        <f>AND('Planilla_General_03-12-2012_9_3'!H972,"AAAAAGcrt7g=")</f>
        <v>#VALUE!</v>
      </c>
      <c r="GD61" t="e">
        <f>AND('Planilla_General_03-12-2012_9_3'!I972,"AAAAAGcrt7k=")</f>
        <v>#VALUE!</v>
      </c>
      <c r="GE61" t="e">
        <f>AND('Planilla_General_03-12-2012_9_3'!J972,"AAAAAGcrt7o=")</f>
        <v>#VALUE!</v>
      </c>
      <c r="GF61" t="e">
        <f>AND('Planilla_General_03-12-2012_9_3'!K972,"AAAAAGcrt7s=")</f>
        <v>#VALUE!</v>
      </c>
      <c r="GG61" t="e">
        <f>AND('Planilla_General_03-12-2012_9_3'!L972,"AAAAAGcrt7w=")</f>
        <v>#VALUE!</v>
      </c>
      <c r="GH61" t="e">
        <f>AND('Planilla_General_03-12-2012_9_3'!M972,"AAAAAGcrt70=")</f>
        <v>#VALUE!</v>
      </c>
      <c r="GI61" t="e">
        <f>AND('Planilla_General_03-12-2012_9_3'!N972,"AAAAAGcrt74=")</f>
        <v>#VALUE!</v>
      </c>
      <c r="GJ61" t="e">
        <f>AND('Planilla_General_03-12-2012_9_3'!O972,"AAAAAGcrt78=")</f>
        <v>#VALUE!</v>
      </c>
      <c r="GK61">
        <f>IF('Planilla_General_03-12-2012_9_3'!973:973,"AAAAAGcrt8A=",0)</f>
        <v>0</v>
      </c>
      <c r="GL61" t="e">
        <f>AND('Planilla_General_03-12-2012_9_3'!A973,"AAAAAGcrt8E=")</f>
        <v>#VALUE!</v>
      </c>
      <c r="GM61" t="e">
        <f>AND('Planilla_General_03-12-2012_9_3'!B973,"AAAAAGcrt8I=")</f>
        <v>#VALUE!</v>
      </c>
      <c r="GN61" t="e">
        <f>AND('Planilla_General_03-12-2012_9_3'!C973,"AAAAAGcrt8M=")</f>
        <v>#VALUE!</v>
      </c>
      <c r="GO61" t="e">
        <f>AND('Planilla_General_03-12-2012_9_3'!D973,"AAAAAGcrt8Q=")</f>
        <v>#VALUE!</v>
      </c>
      <c r="GP61" t="e">
        <f>AND('Planilla_General_03-12-2012_9_3'!E973,"AAAAAGcrt8U=")</f>
        <v>#VALUE!</v>
      </c>
      <c r="GQ61" t="e">
        <f>AND('Planilla_General_03-12-2012_9_3'!F973,"AAAAAGcrt8Y=")</f>
        <v>#VALUE!</v>
      </c>
      <c r="GR61" t="e">
        <f>AND('Planilla_General_03-12-2012_9_3'!G973,"AAAAAGcrt8c=")</f>
        <v>#VALUE!</v>
      </c>
      <c r="GS61" t="e">
        <f>AND('Planilla_General_03-12-2012_9_3'!H973,"AAAAAGcrt8g=")</f>
        <v>#VALUE!</v>
      </c>
      <c r="GT61" t="e">
        <f>AND('Planilla_General_03-12-2012_9_3'!I973,"AAAAAGcrt8k=")</f>
        <v>#VALUE!</v>
      </c>
      <c r="GU61" t="e">
        <f>AND('Planilla_General_03-12-2012_9_3'!J973,"AAAAAGcrt8o=")</f>
        <v>#VALUE!</v>
      </c>
      <c r="GV61" t="e">
        <f>AND('Planilla_General_03-12-2012_9_3'!K973,"AAAAAGcrt8s=")</f>
        <v>#VALUE!</v>
      </c>
      <c r="GW61" t="e">
        <f>AND('Planilla_General_03-12-2012_9_3'!L973,"AAAAAGcrt8w=")</f>
        <v>#VALUE!</v>
      </c>
      <c r="GX61" t="e">
        <f>AND('Planilla_General_03-12-2012_9_3'!M973,"AAAAAGcrt80=")</f>
        <v>#VALUE!</v>
      </c>
      <c r="GY61" t="e">
        <f>AND('Planilla_General_03-12-2012_9_3'!N973,"AAAAAGcrt84=")</f>
        <v>#VALUE!</v>
      </c>
      <c r="GZ61" t="e">
        <f>AND('Planilla_General_03-12-2012_9_3'!O973,"AAAAAGcrt88=")</f>
        <v>#VALUE!</v>
      </c>
      <c r="HA61">
        <f>IF('Planilla_General_03-12-2012_9_3'!974:974,"AAAAAGcrt9A=",0)</f>
        <v>0</v>
      </c>
      <c r="HB61" t="e">
        <f>AND('Planilla_General_03-12-2012_9_3'!A974,"AAAAAGcrt9E=")</f>
        <v>#VALUE!</v>
      </c>
      <c r="HC61" t="e">
        <f>AND('Planilla_General_03-12-2012_9_3'!B974,"AAAAAGcrt9I=")</f>
        <v>#VALUE!</v>
      </c>
      <c r="HD61" t="e">
        <f>AND('Planilla_General_03-12-2012_9_3'!C974,"AAAAAGcrt9M=")</f>
        <v>#VALUE!</v>
      </c>
      <c r="HE61" t="e">
        <f>AND('Planilla_General_03-12-2012_9_3'!D974,"AAAAAGcrt9Q=")</f>
        <v>#VALUE!</v>
      </c>
      <c r="HF61" t="e">
        <f>AND('Planilla_General_03-12-2012_9_3'!E974,"AAAAAGcrt9U=")</f>
        <v>#VALUE!</v>
      </c>
      <c r="HG61" t="e">
        <f>AND('Planilla_General_03-12-2012_9_3'!F974,"AAAAAGcrt9Y=")</f>
        <v>#VALUE!</v>
      </c>
      <c r="HH61" t="e">
        <f>AND('Planilla_General_03-12-2012_9_3'!G974,"AAAAAGcrt9c=")</f>
        <v>#VALUE!</v>
      </c>
      <c r="HI61" t="e">
        <f>AND('Planilla_General_03-12-2012_9_3'!H974,"AAAAAGcrt9g=")</f>
        <v>#VALUE!</v>
      </c>
      <c r="HJ61" t="e">
        <f>AND('Planilla_General_03-12-2012_9_3'!I974,"AAAAAGcrt9k=")</f>
        <v>#VALUE!</v>
      </c>
      <c r="HK61" t="e">
        <f>AND('Planilla_General_03-12-2012_9_3'!J974,"AAAAAGcrt9o=")</f>
        <v>#VALUE!</v>
      </c>
      <c r="HL61" t="e">
        <f>AND('Planilla_General_03-12-2012_9_3'!K974,"AAAAAGcrt9s=")</f>
        <v>#VALUE!</v>
      </c>
      <c r="HM61" t="e">
        <f>AND('Planilla_General_03-12-2012_9_3'!L974,"AAAAAGcrt9w=")</f>
        <v>#VALUE!</v>
      </c>
      <c r="HN61" t="e">
        <f>AND('Planilla_General_03-12-2012_9_3'!M974,"AAAAAGcrt90=")</f>
        <v>#VALUE!</v>
      </c>
      <c r="HO61" t="e">
        <f>AND('Planilla_General_03-12-2012_9_3'!N974,"AAAAAGcrt94=")</f>
        <v>#VALUE!</v>
      </c>
      <c r="HP61" t="e">
        <f>AND('Planilla_General_03-12-2012_9_3'!O974,"AAAAAGcrt98=")</f>
        <v>#VALUE!</v>
      </c>
      <c r="HQ61">
        <f>IF('Planilla_General_03-12-2012_9_3'!975:975,"AAAAAGcrt+A=",0)</f>
        <v>0</v>
      </c>
      <c r="HR61" t="e">
        <f>AND('Planilla_General_03-12-2012_9_3'!A975,"AAAAAGcrt+E=")</f>
        <v>#VALUE!</v>
      </c>
      <c r="HS61" t="e">
        <f>AND('Planilla_General_03-12-2012_9_3'!B975,"AAAAAGcrt+I=")</f>
        <v>#VALUE!</v>
      </c>
      <c r="HT61" t="e">
        <f>AND('Planilla_General_03-12-2012_9_3'!C975,"AAAAAGcrt+M=")</f>
        <v>#VALUE!</v>
      </c>
      <c r="HU61" t="e">
        <f>AND('Planilla_General_03-12-2012_9_3'!D975,"AAAAAGcrt+Q=")</f>
        <v>#VALUE!</v>
      </c>
      <c r="HV61" t="e">
        <f>AND('Planilla_General_03-12-2012_9_3'!E975,"AAAAAGcrt+U=")</f>
        <v>#VALUE!</v>
      </c>
      <c r="HW61" t="e">
        <f>AND('Planilla_General_03-12-2012_9_3'!F975,"AAAAAGcrt+Y=")</f>
        <v>#VALUE!</v>
      </c>
      <c r="HX61" t="e">
        <f>AND('Planilla_General_03-12-2012_9_3'!G975,"AAAAAGcrt+c=")</f>
        <v>#VALUE!</v>
      </c>
      <c r="HY61" t="e">
        <f>AND('Planilla_General_03-12-2012_9_3'!H975,"AAAAAGcrt+g=")</f>
        <v>#VALUE!</v>
      </c>
      <c r="HZ61" t="e">
        <f>AND('Planilla_General_03-12-2012_9_3'!I975,"AAAAAGcrt+k=")</f>
        <v>#VALUE!</v>
      </c>
      <c r="IA61" t="e">
        <f>AND('Planilla_General_03-12-2012_9_3'!J975,"AAAAAGcrt+o=")</f>
        <v>#VALUE!</v>
      </c>
      <c r="IB61" t="e">
        <f>AND('Planilla_General_03-12-2012_9_3'!K975,"AAAAAGcrt+s=")</f>
        <v>#VALUE!</v>
      </c>
      <c r="IC61" t="e">
        <f>AND('Planilla_General_03-12-2012_9_3'!L975,"AAAAAGcrt+w=")</f>
        <v>#VALUE!</v>
      </c>
      <c r="ID61" t="e">
        <f>AND('Planilla_General_03-12-2012_9_3'!M975,"AAAAAGcrt+0=")</f>
        <v>#VALUE!</v>
      </c>
      <c r="IE61" t="e">
        <f>AND('Planilla_General_03-12-2012_9_3'!N975,"AAAAAGcrt+4=")</f>
        <v>#VALUE!</v>
      </c>
      <c r="IF61" t="e">
        <f>AND('Planilla_General_03-12-2012_9_3'!O975,"AAAAAGcrt+8=")</f>
        <v>#VALUE!</v>
      </c>
      <c r="IG61">
        <f>IF('Planilla_General_03-12-2012_9_3'!976:976,"AAAAAGcrt/A=",0)</f>
        <v>0</v>
      </c>
      <c r="IH61" t="e">
        <f>AND('Planilla_General_03-12-2012_9_3'!A976,"AAAAAGcrt/E=")</f>
        <v>#VALUE!</v>
      </c>
      <c r="II61" t="e">
        <f>AND('Planilla_General_03-12-2012_9_3'!B976,"AAAAAGcrt/I=")</f>
        <v>#VALUE!</v>
      </c>
      <c r="IJ61" t="e">
        <f>AND('Planilla_General_03-12-2012_9_3'!C976,"AAAAAGcrt/M=")</f>
        <v>#VALUE!</v>
      </c>
      <c r="IK61" t="e">
        <f>AND('Planilla_General_03-12-2012_9_3'!D976,"AAAAAGcrt/Q=")</f>
        <v>#VALUE!</v>
      </c>
      <c r="IL61" t="e">
        <f>AND('Planilla_General_03-12-2012_9_3'!E976,"AAAAAGcrt/U=")</f>
        <v>#VALUE!</v>
      </c>
      <c r="IM61" t="e">
        <f>AND('Planilla_General_03-12-2012_9_3'!F976,"AAAAAGcrt/Y=")</f>
        <v>#VALUE!</v>
      </c>
      <c r="IN61" t="e">
        <f>AND('Planilla_General_03-12-2012_9_3'!G976,"AAAAAGcrt/c=")</f>
        <v>#VALUE!</v>
      </c>
      <c r="IO61" t="e">
        <f>AND('Planilla_General_03-12-2012_9_3'!H976,"AAAAAGcrt/g=")</f>
        <v>#VALUE!</v>
      </c>
      <c r="IP61" t="e">
        <f>AND('Planilla_General_03-12-2012_9_3'!I976,"AAAAAGcrt/k=")</f>
        <v>#VALUE!</v>
      </c>
      <c r="IQ61" t="e">
        <f>AND('Planilla_General_03-12-2012_9_3'!J976,"AAAAAGcrt/o=")</f>
        <v>#VALUE!</v>
      </c>
      <c r="IR61" t="e">
        <f>AND('Planilla_General_03-12-2012_9_3'!K976,"AAAAAGcrt/s=")</f>
        <v>#VALUE!</v>
      </c>
      <c r="IS61" t="e">
        <f>AND('Planilla_General_03-12-2012_9_3'!L976,"AAAAAGcrt/w=")</f>
        <v>#VALUE!</v>
      </c>
      <c r="IT61" t="e">
        <f>AND('Planilla_General_03-12-2012_9_3'!M976,"AAAAAGcrt/0=")</f>
        <v>#VALUE!</v>
      </c>
      <c r="IU61" t="e">
        <f>AND('Planilla_General_03-12-2012_9_3'!N976,"AAAAAGcrt/4=")</f>
        <v>#VALUE!</v>
      </c>
      <c r="IV61" t="e">
        <f>AND('Planilla_General_03-12-2012_9_3'!O976,"AAAAAGcrt/8=")</f>
        <v>#VALUE!</v>
      </c>
    </row>
    <row r="62" spans="1:256" x14ac:dyDescent="0.25">
      <c r="A62" t="e">
        <f>IF('Planilla_General_03-12-2012_9_3'!977:977,"AAAAAG+f/wA=",0)</f>
        <v>#VALUE!</v>
      </c>
      <c r="B62" t="e">
        <f>AND('Planilla_General_03-12-2012_9_3'!A977,"AAAAAG+f/wE=")</f>
        <v>#VALUE!</v>
      </c>
      <c r="C62" t="e">
        <f>AND('Planilla_General_03-12-2012_9_3'!B977,"AAAAAG+f/wI=")</f>
        <v>#VALUE!</v>
      </c>
      <c r="D62" t="e">
        <f>AND('Planilla_General_03-12-2012_9_3'!C977,"AAAAAG+f/wM=")</f>
        <v>#VALUE!</v>
      </c>
      <c r="E62" t="e">
        <f>AND('Planilla_General_03-12-2012_9_3'!D977,"AAAAAG+f/wQ=")</f>
        <v>#VALUE!</v>
      </c>
      <c r="F62" t="e">
        <f>AND('Planilla_General_03-12-2012_9_3'!E977,"AAAAAG+f/wU=")</f>
        <v>#VALUE!</v>
      </c>
      <c r="G62" t="e">
        <f>AND('Planilla_General_03-12-2012_9_3'!F977,"AAAAAG+f/wY=")</f>
        <v>#VALUE!</v>
      </c>
      <c r="H62" t="e">
        <f>AND('Planilla_General_03-12-2012_9_3'!G977,"AAAAAG+f/wc=")</f>
        <v>#VALUE!</v>
      </c>
      <c r="I62" t="e">
        <f>AND('Planilla_General_03-12-2012_9_3'!H977,"AAAAAG+f/wg=")</f>
        <v>#VALUE!</v>
      </c>
      <c r="J62" t="e">
        <f>AND('Planilla_General_03-12-2012_9_3'!I977,"AAAAAG+f/wk=")</f>
        <v>#VALUE!</v>
      </c>
      <c r="K62" t="e">
        <f>AND('Planilla_General_03-12-2012_9_3'!J977,"AAAAAG+f/wo=")</f>
        <v>#VALUE!</v>
      </c>
      <c r="L62" t="e">
        <f>AND('Planilla_General_03-12-2012_9_3'!K977,"AAAAAG+f/ws=")</f>
        <v>#VALUE!</v>
      </c>
      <c r="M62" t="e">
        <f>AND('Planilla_General_03-12-2012_9_3'!L977,"AAAAAG+f/ww=")</f>
        <v>#VALUE!</v>
      </c>
      <c r="N62" t="e">
        <f>AND('Planilla_General_03-12-2012_9_3'!M977,"AAAAAG+f/w0=")</f>
        <v>#VALUE!</v>
      </c>
      <c r="O62" t="e">
        <f>AND('Planilla_General_03-12-2012_9_3'!N977,"AAAAAG+f/w4=")</f>
        <v>#VALUE!</v>
      </c>
      <c r="P62" t="e">
        <f>AND('Planilla_General_03-12-2012_9_3'!O977,"AAAAAG+f/w8=")</f>
        <v>#VALUE!</v>
      </c>
      <c r="Q62">
        <f>IF('Planilla_General_03-12-2012_9_3'!978:978,"AAAAAG+f/xA=",0)</f>
        <v>0</v>
      </c>
      <c r="R62" t="e">
        <f>AND('Planilla_General_03-12-2012_9_3'!A978,"AAAAAG+f/xE=")</f>
        <v>#VALUE!</v>
      </c>
      <c r="S62" t="e">
        <f>AND('Planilla_General_03-12-2012_9_3'!B978,"AAAAAG+f/xI=")</f>
        <v>#VALUE!</v>
      </c>
      <c r="T62" t="e">
        <f>AND('Planilla_General_03-12-2012_9_3'!C978,"AAAAAG+f/xM=")</f>
        <v>#VALUE!</v>
      </c>
      <c r="U62" t="e">
        <f>AND('Planilla_General_03-12-2012_9_3'!D978,"AAAAAG+f/xQ=")</f>
        <v>#VALUE!</v>
      </c>
      <c r="V62" t="e">
        <f>AND('Planilla_General_03-12-2012_9_3'!E978,"AAAAAG+f/xU=")</f>
        <v>#VALUE!</v>
      </c>
      <c r="W62" t="e">
        <f>AND('Planilla_General_03-12-2012_9_3'!F978,"AAAAAG+f/xY=")</f>
        <v>#VALUE!</v>
      </c>
      <c r="X62" t="e">
        <f>AND('Planilla_General_03-12-2012_9_3'!G978,"AAAAAG+f/xc=")</f>
        <v>#VALUE!</v>
      </c>
      <c r="Y62" t="e">
        <f>AND('Planilla_General_03-12-2012_9_3'!H978,"AAAAAG+f/xg=")</f>
        <v>#VALUE!</v>
      </c>
      <c r="Z62" t="e">
        <f>AND('Planilla_General_03-12-2012_9_3'!I978,"AAAAAG+f/xk=")</f>
        <v>#VALUE!</v>
      </c>
      <c r="AA62" t="e">
        <f>AND('Planilla_General_03-12-2012_9_3'!J978,"AAAAAG+f/xo=")</f>
        <v>#VALUE!</v>
      </c>
      <c r="AB62" t="e">
        <f>AND('Planilla_General_03-12-2012_9_3'!K978,"AAAAAG+f/xs=")</f>
        <v>#VALUE!</v>
      </c>
      <c r="AC62" t="e">
        <f>AND('Planilla_General_03-12-2012_9_3'!L978,"AAAAAG+f/xw=")</f>
        <v>#VALUE!</v>
      </c>
      <c r="AD62" t="e">
        <f>AND('Planilla_General_03-12-2012_9_3'!M978,"AAAAAG+f/x0=")</f>
        <v>#VALUE!</v>
      </c>
      <c r="AE62" t="e">
        <f>AND('Planilla_General_03-12-2012_9_3'!N978,"AAAAAG+f/x4=")</f>
        <v>#VALUE!</v>
      </c>
      <c r="AF62" t="e">
        <f>AND('Planilla_General_03-12-2012_9_3'!O978,"AAAAAG+f/x8=")</f>
        <v>#VALUE!</v>
      </c>
      <c r="AG62">
        <f>IF('Planilla_General_03-12-2012_9_3'!979:979,"AAAAAG+f/yA=",0)</f>
        <v>0</v>
      </c>
      <c r="AH62" t="e">
        <f>AND('Planilla_General_03-12-2012_9_3'!A979,"AAAAAG+f/yE=")</f>
        <v>#VALUE!</v>
      </c>
      <c r="AI62" t="e">
        <f>AND('Planilla_General_03-12-2012_9_3'!B979,"AAAAAG+f/yI=")</f>
        <v>#VALUE!</v>
      </c>
      <c r="AJ62" t="e">
        <f>AND('Planilla_General_03-12-2012_9_3'!C979,"AAAAAG+f/yM=")</f>
        <v>#VALUE!</v>
      </c>
      <c r="AK62" t="e">
        <f>AND('Planilla_General_03-12-2012_9_3'!D979,"AAAAAG+f/yQ=")</f>
        <v>#VALUE!</v>
      </c>
      <c r="AL62" t="e">
        <f>AND('Planilla_General_03-12-2012_9_3'!E979,"AAAAAG+f/yU=")</f>
        <v>#VALUE!</v>
      </c>
      <c r="AM62" t="e">
        <f>AND('Planilla_General_03-12-2012_9_3'!F979,"AAAAAG+f/yY=")</f>
        <v>#VALUE!</v>
      </c>
      <c r="AN62" t="e">
        <f>AND('Planilla_General_03-12-2012_9_3'!G979,"AAAAAG+f/yc=")</f>
        <v>#VALUE!</v>
      </c>
      <c r="AO62" t="e">
        <f>AND('Planilla_General_03-12-2012_9_3'!H979,"AAAAAG+f/yg=")</f>
        <v>#VALUE!</v>
      </c>
      <c r="AP62" t="e">
        <f>AND('Planilla_General_03-12-2012_9_3'!I979,"AAAAAG+f/yk=")</f>
        <v>#VALUE!</v>
      </c>
      <c r="AQ62" t="e">
        <f>AND('Planilla_General_03-12-2012_9_3'!J979,"AAAAAG+f/yo=")</f>
        <v>#VALUE!</v>
      </c>
      <c r="AR62" t="e">
        <f>AND('Planilla_General_03-12-2012_9_3'!K979,"AAAAAG+f/ys=")</f>
        <v>#VALUE!</v>
      </c>
      <c r="AS62" t="e">
        <f>AND('Planilla_General_03-12-2012_9_3'!L979,"AAAAAG+f/yw=")</f>
        <v>#VALUE!</v>
      </c>
      <c r="AT62" t="e">
        <f>AND('Planilla_General_03-12-2012_9_3'!M979,"AAAAAG+f/y0=")</f>
        <v>#VALUE!</v>
      </c>
      <c r="AU62" t="e">
        <f>AND('Planilla_General_03-12-2012_9_3'!N979,"AAAAAG+f/y4=")</f>
        <v>#VALUE!</v>
      </c>
      <c r="AV62" t="e">
        <f>AND('Planilla_General_03-12-2012_9_3'!O979,"AAAAAG+f/y8=")</f>
        <v>#VALUE!</v>
      </c>
      <c r="AW62">
        <f>IF('Planilla_General_03-12-2012_9_3'!980:980,"AAAAAG+f/zA=",0)</f>
        <v>0</v>
      </c>
      <c r="AX62" t="e">
        <f>AND('Planilla_General_03-12-2012_9_3'!A980,"AAAAAG+f/zE=")</f>
        <v>#VALUE!</v>
      </c>
      <c r="AY62" t="e">
        <f>AND('Planilla_General_03-12-2012_9_3'!B980,"AAAAAG+f/zI=")</f>
        <v>#VALUE!</v>
      </c>
      <c r="AZ62" t="e">
        <f>AND('Planilla_General_03-12-2012_9_3'!C980,"AAAAAG+f/zM=")</f>
        <v>#VALUE!</v>
      </c>
      <c r="BA62" t="e">
        <f>AND('Planilla_General_03-12-2012_9_3'!D980,"AAAAAG+f/zQ=")</f>
        <v>#VALUE!</v>
      </c>
      <c r="BB62" t="e">
        <f>AND('Planilla_General_03-12-2012_9_3'!E980,"AAAAAG+f/zU=")</f>
        <v>#VALUE!</v>
      </c>
      <c r="BC62" t="e">
        <f>AND('Planilla_General_03-12-2012_9_3'!F980,"AAAAAG+f/zY=")</f>
        <v>#VALUE!</v>
      </c>
      <c r="BD62" t="e">
        <f>AND('Planilla_General_03-12-2012_9_3'!G980,"AAAAAG+f/zc=")</f>
        <v>#VALUE!</v>
      </c>
      <c r="BE62" t="e">
        <f>AND('Planilla_General_03-12-2012_9_3'!H980,"AAAAAG+f/zg=")</f>
        <v>#VALUE!</v>
      </c>
      <c r="BF62" t="e">
        <f>AND('Planilla_General_03-12-2012_9_3'!I980,"AAAAAG+f/zk=")</f>
        <v>#VALUE!</v>
      </c>
      <c r="BG62" t="e">
        <f>AND('Planilla_General_03-12-2012_9_3'!J980,"AAAAAG+f/zo=")</f>
        <v>#VALUE!</v>
      </c>
      <c r="BH62" t="e">
        <f>AND('Planilla_General_03-12-2012_9_3'!K980,"AAAAAG+f/zs=")</f>
        <v>#VALUE!</v>
      </c>
      <c r="BI62" t="e">
        <f>AND('Planilla_General_03-12-2012_9_3'!L980,"AAAAAG+f/zw=")</f>
        <v>#VALUE!</v>
      </c>
      <c r="BJ62" t="e">
        <f>AND('Planilla_General_03-12-2012_9_3'!M980,"AAAAAG+f/z0=")</f>
        <v>#VALUE!</v>
      </c>
      <c r="BK62" t="e">
        <f>AND('Planilla_General_03-12-2012_9_3'!N980,"AAAAAG+f/z4=")</f>
        <v>#VALUE!</v>
      </c>
      <c r="BL62" t="e">
        <f>AND('Planilla_General_03-12-2012_9_3'!O980,"AAAAAG+f/z8=")</f>
        <v>#VALUE!</v>
      </c>
      <c r="BM62">
        <f>IF('Planilla_General_03-12-2012_9_3'!981:981,"AAAAAG+f/0A=",0)</f>
        <v>0</v>
      </c>
      <c r="BN62" t="e">
        <f>AND('Planilla_General_03-12-2012_9_3'!A981,"AAAAAG+f/0E=")</f>
        <v>#VALUE!</v>
      </c>
      <c r="BO62" t="e">
        <f>AND('Planilla_General_03-12-2012_9_3'!B981,"AAAAAG+f/0I=")</f>
        <v>#VALUE!</v>
      </c>
      <c r="BP62" t="e">
        <f>AND('Planilla_General_03-12-2012_9_3'!C981,"AAAAAG+f/0M=")</f>
        <v>#VALUE!</v>
      </c>
      <c r="BQ62" t="e">
        <f>AND('Planilla_General_03-12-2012_9_3'!D981,"AAAAAG+f/0Q=")</f>
        <v>#VALUE!</v>
      </c>
      <c r="BR62" t="e">
        <f>AND('Planilla_General_03-12-2012_9_3'!E981,"AAAAAG+f/0U=")</f>
        <v>#VALUE!</v>
      </c>
      <c r="BS62" t="e">
        <f>AND('Planilla_General_03-12-2012_9_3'!F981,"AAAAAG+f/0Y=")</f>
        <v>#VALUE!</v>
      </c>
      <c r="BT62" t="e">
        <f>AND('Planilla_General_03-12-2012_9_3'!G981,"AAAAAG+f/0c=")</f>
        <v>#VALUE!</v>
      </c>
      <c r="BU62" t="e">
        <f>AND('Planilla_General_03-12-2012_9_3'!H981,"AAAAAG+f/0g=")</f>
        <v>#VALUE!</v>
      </c>
      <c r="BV62" t="e">
        <f>AND('Planilla_General_03-12-2012_9_3'!I981,"AAAAAG+f/0k=")</f>
        <v>#VALUE!</v>
      </c>
      <c r="BW62" t="e">
        <f>AND('Planilla_General_03-12-2012_9_3'!J981,"AAAAAG+f/0o=")</f>
        <v>#VALUE!</v>
      </c>
      <c r="BX62" t="e">
        <f>AND('Planilla_General_03-12-2012_9_3'!K981,"AAAAAG+f/0s=")</f>
        <v>#VALUE!</v>
      </c>
      <c r="BY62" t="e">
        <f>AND('Planilla_General_03-12-2012_9_3'!L981,"AAAAAG+f/0w=")</f>
        <v>#VALUE!</v>
      </c>
      <c r="BZ62" t="e">
        <f>AND('Planilla_General_03-12-2012_9_3'!M981,"AAAAAG+f/00=")</f>
        <v>#VALUE!</v>
      </c>
      <c r="CA62" t="e">
        <f>AND('Planilla_General_03-12-2012_9_3'!N981,"AAAAAG+f/04=")</f>
        <v>#VALUE!</v>
      </c>
      <c r="CB62" t="e">
        <f>AND('Planilla_General_03-12-2012_9_3'!O981,"AAAAAG+f/08=")</f>
        <v>#VALUE!</v>
      </c>
      <c r="CC62">
        <f>IF('Planilla_General_03-12-2012_9_3'!982:982,"AAAAAG+f/1A=",0)</f>
        <v>0</v>
      </c>
      <c r="CD62" t="e">
        <f>AND('Planilla_General_03-12-2012_9_3'!A982,"AAAAAG+f/1E=")</f>
        <v>#VALUE!</v>
      </c>
      <c r="CE62" t="e">
        <f>AND('Planilla_General_03-12-2012_9_3'!B982,"AAAAAG+f/1I=")</f>
        <v>#VALUE!</v>
      </c>
      <c r="CF62" t="e">
        <f>AND('Planilla_General_03-12-2012_9_3'!C982,"AAAAAG+f/1M=")</f>
        <v>#VALUE!</v>
      </c>
      <c r="CG62" t="e">
        <f>AND('Planilla_General_03-12-2012_9_3'!D982,"AAAAAG+f/1Q=")</f>
        <v>#VALUE!</v>
      </c>
      <c r="CH62" t="e">
        <f>AND('Planilla_General_03-12-2012_9_3'!E982,"AAAAAG+f/1U=")</f>
        <v>#VALUE!</v>
      </c>
      <c r="CI62" t="e">
        <f>AND('Planilla_General_03-12-2012_9_3'!F982,"AAAAAG+f/1Y=")</f>
        <v>#VALUE!</v>
      </c>
      <c r="CJ62" t="e">
        <f>AND('Planilla_General_03-12-2012_9_3'!G982,"AAAAAG+f/1c=")</f>
        <v>#VALUE!</v>
      </c>
      <c r="CK62" t="e">
        <f>AND('Planilla_General_03-12-2012_9_3'!H982,"AAAAAG+f/1g=")</f>
        <v>#VALUE!</v>
      </c>
      <c r="CL62" t="e">
        <f>AND('Planilla_General_03-12-2012_9_3'!I982,"AAAAAG+f/1k=")</f>
        <v>#VALUE!</v>
      </c>
      <c r="CM62" t="e">
        <f>AND('Planilla_General_03-12-2012_9_3'!J982,"AAAAAG+f/1o=")</f>
        <v>#VALUE!</v>
      </c>
      <c r="CN62" t="e">
        <f>AND('Planilla_General_03-12-2012_9_3'!K982,"AAAAAG+f/1s=")</f>
        <v>#VALUE!</v>
      </c>
      <c r="CO62" t="e">
        <f>AND('Planilla_General_03-12-2012_9_3'!L982,"AAAAAG+f/1w=")</f>
        <v>#VALUE!</v>
      </c>
      <c r="CP62" t="e">
        <f>AND('Planilla_General_03-12-2012_9_3'!M982,"AAAAAG+f/10=")</f>
        <v>#VALUE!</v>
      </c>
      <c r="CQ62" t="e">
        <f>AND('Planilla_General_03-12-2012_9_3'!N982,"AAAAAG+f/14=")</f>
        <v>#VALUE!</v>
      </c>
      <c r="CR62" t="e">
        <f>AND('Planilla_General_03-12-2012_9_3'!O982,"AAAAAG+f/18=")</f>
        <v>#VALUE!</v>
      </c>
      <c r="CS62">
        <f>IF('Planilla_General_03-12-2012_9_3'!983:983,"AAAAAG+f/2A=",0)</f>
        <v>0</v>
      </c>
      <c r="CT62" t="e">
        <f>AND('Planilla_General_03-12-2012_9_3'!A983,"AAAAAG+f/2E=")</f>
        <v>#VALUE!</v>
      </c>
      <c r="CU62" t="e">
        <f>AND('Planilla_General_03-12-2012_9_3'!B983,"AAAAAG+f/2I=")</f>
        <v>#VALUE!</v>
      </c>
      <c r="CV62" t="e">
        <f>AND('Planilla_General_03-12-2012_9_3'!C983,"AAAAAG+f/2M=")</f>
        <v>#VALUE!</v>
      </c>
      <c r="CW62" t="e">
        <f>AND('Planilla_General_03-12-2012_9_3'!D983,"AAAAAG+f/2Q=")</f>
        <v>#VALUE!</v>
      </c>
      <c r="CX62" t="e">
        <f>AND('Planilla_General_03-12-2012_9_3'!E983,"AAAAAG+f/2U=")</f>
        <v>#VALUE!</v>
      </c>
      <c r="CY62" t="e">
        <f>AND('Planilla_General_03-12-2012_9_3'!F983,"AAAAAG+f/2Y=")</f>
        <v>#VALUE!</v>
      </c>
      <c r="CZ62" t="e">
        <f>AND('Planilla_General_03-12-2012_9_3'!G983,"AAAAAG+f/2c=")</f>
        <v>#VALUE!</v>
      </c>
      <c r="DA62" t="e">
        <f>AND('Planilla_General_03-12-2012_9_3'!H983,"AAAAAG+f/2g=")</f>
        <v>#VALUE!</v>
      </c>
      <c r="DB62" t="e">
        <f>AND('Planilla_General_03-12-2012_9_3'!I983,"AAAAAG+f/2k=")</f>
        <v>#VALUE!</v>
      </c>
      <c r="DC62" t="e">
        <f>AND('Planilla_General_03-12-2012_9_3'!J983,"AAAAAG+f/2o=")</f>
        <v>#VALUE!</v>
      </c>
      <c r="DD62" t="e">
        <f>AND('Planilla_General_03-12-2012_9_3'!K983,"AAAAAG+f/2s=")</f>
        <v>#VALUE!</v>
      </c>
      <c r="DE62" t="e">
        <f>AND('Planilla_General_03-12-2012_9_3'!L983,"AAAAAG+f/2w=")</f>
        <v>#VALUE!</v>
      </c>
      <c r="DF62" t="e">
        <f>AND('Planilla_General_03-12-2012_9_3'!M983,"AAAAAG+f/20=")</f>
        <v>#VALUE!</v>
      </c>
      <c r="DG62" t="e">
        <f>AND('Planilla_General_03-12-2012_9_3'!N983,"AAAAAG+f/24=")</f>
        <v>#VALUE!</v>
      </c>
      <c r="DH62" t="e">
        <f>AND('Planilla_General_03-12-2012_9_3'!O983,"AAAAAG+f/28=")</f>
        <v>#VALUE!</v>
      </c>
      <c r="DI62">
        <f>IF('Planilla_General_03-12-2012_9_3'!984:984,"AAAAAG+f/3A=",0)</f>
        <v>0</v>
      </c>
      <c r="DJ62" t="e">
        <f>AND('Planilla_General_03-12-2012_9_3'!A984,"AAAAAG+f/3E=")</f>
        <v>#VALUE!</v>
      </c>
      <c r="DK62" t="e">
        <f>AND('Planilla_General_03-12-2012_9_3'!B984,"AAAAAG+f/3I=")</f>
        <v>#VALUE!</v>
      </c>
      <c r="DL62" t="e">
        <f>AND('Planilla_General_03-12-2012_9_3'!C984,"AAAAAG+f/3M=")</f>
        <v>#VALUE!</v>
      </c>
      <c r="DM62" t="e">
        <f>AND('Planilla_General_03-12-2012_9_3'!D984,"AAAAAG+f/3Q=")</f>
        <v>#VALUE!</v>
      </c>
      <c r="DN62" t="e">
        <f>AND('Planilla_General_03-12-2012_9_3'!E984,"AAAAAG+f/3U=")</f>
        <v>#VALUE!</v>
      </c>
      <c r="DO62" t="e">
        <f>AND('Planilla_General_03-12-2012_9_3'!F984,"AAAAAG+f/3Y=")</f>
        <v>#VALUE!</v>
      </c>
      <c r="DP62" t="e">
        <f>AND('Planilla_General_03-12-2012_9_3'!G984,"AAAAAG+f/3c=")</f>
        <v>#VALUE!</v>
      </c>
      <c r="DQ62" t="e">
        <f>AND('Planilla_General_03-12-2012_9_3'!H984,"AAAAAG+f/3g=")</f>
        <v>#VALUE!</v>
      </c>
      <c r="DR62" t="e">
        <f>AND('Planilla_General_03-12-2012_9_3'!I984,"AAAAAG+f/3k=")</f>
        <v>#VALUE!</v>
      </c>
      <c r="DS62" t="e">
        <f>AND('Planilla_General_03-12-2012_9_3'!J984,"AAAAAG+f/3o=")</f>
        <v>#VALUE!</v>
      </c>
      <c r="DT62" t="e">
        <f>AND('Planilla_General_03-12-2012_9_3'!K984,"AAAAAG+f/3s=")</f>
        <v>#VALUE!</v>
      </c>
      <c r="DU62" t="e">
        <f>AND('Planilla_General_03-12-2012_9_3'!L984,"AAAAAG+f/3w=")</f>
        <v>#VALUE!</v>
      </c>
      <c r="DV62" t="e">
        <f>AND('Planilla_General_03-12-2012_9_3'!M984,"AAAAAG+f/30=")</f>
        <v>#VALUE!</v>
      </c>
      <c r="DW62" t="e">
        <f>AND('Planilla_General_03-12-2012_9_3'!N984,"AAAAAG+f/34=")</f>
        <v>#VALUE!</v>
      </c>
      <c r="DX62" t="e">
        <f>AND('Planilla_General_03-12-2012_9_3'!O984,"AAAAAG+f/38=")</f>
        <v>#VALUE!</v>
      </c>
      <c r="DY62">
        <f>IF('Planilla_General_03-12-2012_9_3'!985:985,"AAAAAG+f/4A=",0)</f>
        <v>0</v>
      </c>
      <c r="DZ62" t="e">
        <f>AND('Planilla_General_03-12-2012_9_3'!A985,"AAAAAG+f/4E=")</f>
        <v>#VALUE!</v>
      </c>
      <c r="EA62" t="e">
        <f>AND('Planilla_General_03-12-2012_9_3'!B985,"AAAAAG+f/4I=")</f>
        <v>#VALUE!</v>
      </c>
      <c r="EB62" t="e">
        <f>AND('Planilla_General_03-12-2012_9_3'!C985,"AAAAAG+f/4M=")</f>
        <v>#VALUE!</v>
      </c>
      <c r="EC62" t="e">
        <f>AND('Planilla_General_03-12-2012_9_3'!D985,"AAAAAG+f/4Q=")</f>
        <v>#VALUE!</v>
      </c>
      <c r="ED62" t="e">
        <f>AND('Planilla_General_03-12-2012_9_3'!E985,"AAAAAG+f/4U=")</f>
        <v>#VALUE!</v>
      </c>
      <c r="EE62" t="e">
        <f>AND('Planilla_General_03-12-2012_9_3'!F985,"AAAAAG+f/4Y=")</f>
        <v>#VALUE!</v>
      </c>
      <c r="EF62" t="e">
        <f>AND('Planilla_General_03-12-2012_9_3'!G985,"AAAAAG+f/4c=")</f>
        <v>#VALUE!</v>
      </c>
      <c r="EG62" t="e">
        <f>AND('Planilla_General_03-12-2012_9_3'!H985,"AAAAAG+f/4g=")</f>
        <v>#VALUE!</v>
      </c>
      <c r="EH62" t="e">
        <f>AND('Planilla_General_03-12-2012_9_3'!I985,"AAAAAG+f/4k=")</f>
        <v>#VALUE!</v>
      </c>
      <c r="EI62" t="e">
        <f>AND('Planilla_General_03-12-2012_9_3'!J985,"AAAAAG+f/4o=")</f>
        <v>#VALUE!</v>
      </c>
      <c r="EJ62" t="e">
        <f>AND('Planilla_General_03-12-2012_9_3'!K985,"AAAAAG+f/4s=")</f>
        <v>#VALUE!</v>
      </c>
      <c r="EK62" t="e">
        <f>AND('Planilla_General_03-12-2012_9_3'!L985,"AAAAAG+f/4w=")</f>
        <v>#VALUE!</v>
      </c>
      <c r="EL62" t="e">
        <f>AND('Planilla_General_03-12-2012_9_3'!M985,"AAAAAG+f/40=")</f>
        <v>#VALUE!</v>
      </c>
      <c r="EM62" t="e">
        <f>AND('Planilla_General_03-12-2012_9_3'!N985,"AAAAAG+f/44=")</f>
        <v>#VALUE!</v>
      </c>
      <c r="EN62" t="e">
        <f>AND('Planilla_General_03-12-2012_9_3'!O985,"AAAAAG+f/48=")</f>
        <v>#VALUE!</v>
      </c>
      <c r="EO62">
        <f>IF('Planilla_General_03-12-2012_9_3'!986:986,"AAAAAG+f/5A=",0)</f>
        <v>0</v>
      </c>
      <c r="EP62" t="e">
        <f>AND('Planilla_General_03-12-2012_9_3'!A986,"AAAAAG+f/5E=")</f>
        <v>#VALUE!</v>
      </c>
      <c r="EQ62" t="e">
        <f>AND('Planilla_General_03-12-2012_9_3'!B986,"AAAAAG+f/5I=")</f>
        <v>#VALUE!</v>
      </c>
      <c r="ER62" t="e">
        <f>AND('Planilla_General_03-12-2012_9_3'!C986,"AAAAAG+f/5M=")</f>
        <v>#VALUE!</v>
      </c>
      <c r="ES62" t="e">
        <f>AND('Planilla_General_03-12-2012_9_3'!D986,"AAAAAG+f/5Q=")</f>
        <v>#VALUE!</v>
      </c>
      <c r="ET62" t="e">
        <f>AND('Planilla_General_03-12-2012_9_3'!E986,"AAAAAG+f/5U=")</f>
        <v>#VALUE!</v>
      </c>
      <c r="EU62" t="e">
        <f>AND('Planilla_General_03-12-2012_9_3'!F986,"AAAAAG+f/5Y=")</f>
        <v>#VALUE!</v>
      </c>
      <c r="EV62" t="e">
        <f>AND('Planilla_General_03-12-2012_9_3'!G986,"AAAAAG+f/5c=")</f>
        <v>#VALUE!</v>
      </c>
      <c r="EW62" t="e">
        <f>AND('Planilla_General_03-12-2012_9_3'!H986,"AAAAAG+f/5g=")</f>
        <v>#VALUE!</v>
      </c>
      <c r="EX62" t="e">
        <f>AND('Planilla_General_03-12-2012_9_3'!I986,"AAAAAG+f/5k=")</f>
        <v>#VALUE!</v>
      </c>
      <c r="EY62" t="e">
        <f>AND('Planilla_General_03-12-2012_9_3'!J986,"AAAAAG+f/5o=")</f>
        <v>#VALUE!</v>
      </c>
      <c r="EZ62" t="e">
        <f>AND('Planilla_General_03-12-2012_9_3'!K986,"AAAAAG+f/5s=")</f>
        <v>#VALUE!</v>
      </c>
      <c r="FA62" t="e">
        <f>AND('Planilla_General_03-12-2012_9_3'!L986,"AAAAAG+f/5w=")</f>
        <v>#VALUE!</v>
      </c>
      <c r="FB62" t="e">
        <f>AND('Planilla_General_03-12-2012_9_3'!M986,"AAAAAG+f/50=")</f>
        <v>#VALUE!</v>
      </c>
      <c r="FC62" t="e">
        <f>AND('Planilla_General_03-12-2012_9_3'!N986,"AAAAAG+f/54=")</f>
        <v>#VALUE!</v>
      </c>
      <c r="FD62" t="e">
        <f>AND('Planilla_General_03-12-2012_9_3'!O986,"AAAAAG+f/58=")</f>
        <v>#VALUE!</v>
      </c>
      <c r="FE62">
        <f>IF('Planilla_General_03-12-2012_9_3'!987:987,"AAAAAG+f/6A=",0)</f>
        <v>0</v>
      </c>
      <c r="FF62" t="e">
        <f>AND('Planilla_General_03-12-2012_9_3'!A987,"AAAAAG+f/6E=")</f>
        <v>#VALUE!</v>
      </c>
      <c r="FG62" t="e">
        <f>AND('Planilla_General_03-12-2012_9_3'!B987,"AAAAAG+f/6I=")</f>
        <v>#VALUE!</v>
      </c>
      <c r="FH62" t="e">
        <f>AND('Planilla_General_03-12-2012_9_3'!C987,"AAAAAG+f/6M=")</f>
        <v>#VALUE!</v>
      </c>
      <c r="FI62" t="e">
        <f>AND('Planilla_General_03-12-2012_9_3'!D987,"AAAAAG+f/6Q=")</f>
        <v>#VALUE!</v>
      </c>
      <c r="FJ62" t="e">
        <f>AND('Planilla_General_03-12-2012_9_3'!E987,"AAAAAG+f/6U=")</f>
        <v>#VALUE!</v>
      </c>
      <c r="FK62" t="e">
        <f>AND('Planilla_General_03-12-2012_9_3'!F987,"AAAAAG+f/6Y=")</f>
        <v>#VALUE!</v>
      </c>
      <c r="FL62" t="e">
        <f>AND('Planilla_General_03-12-2012_9_3'!G987,"AAAAAG+f/6c=")</f>
        <v>#VALUE!</v>
      </c>
      <c r="FM62" t="e">
        <f>AND('Planilla_General_03-12-2012_9_3'!H987,"AAAAAG+f/6g=")</f>
        <v>#VALUE!</v>
      </c>
      <c r="FN62" t="e">
        <f>AND('Planilla_General_03-12-2012_9_3'!I987,"AAAAAG+f/6k=")</f>
        <v>#VALUE!</v>
      </c>
      <c r="FO62" t="e">
        <f>AND('Planilla_General_03-12-2012_9_3'!J987,"AAAAAG+f/6o=")</f>
        <v>#VALUE!</v>
      </c>
      <c r="FP62" t="e">
        <f>AND('Planilla_General_03-12-2012_9_3'!K987,"AAAAAG+f/6s=")</f>
        <v>#VALUE!</v>
      </c>
      <c r="FQ62" t="e">
        <f>AND('Planilla_General_03-12-2012_9_3'!L987,"AAAAAG+f/6w=")</f>
        <v>#VALUE!</v>
      </c>
      <c r="FR62" t="e">
        <f>AND('Planilla_General_03-12-2012_9_3'!M987,"AAAAAG+f/60=")</f>
        <v>#VALUE!</v>
      </c>
      <c r="FS62" t="e">
        <f>AND('Planilla_General_03-12-2012_9_3'!N987,"AAAAAG+f/64=")</f>
        <v>#VALUE!</v>
      </c>
      <c r="FT62" t="e">
        <f>AND('Planilla_General_03-12-2012_9_3'!O987,"AAAAAG+f/68=")</f>
        <v>#VALUE!</v>
      </c>
      <c r="FU62">
        <f>IF('Planilla_General_03-12-2012_9_3'!988:988,"AAAAAG+f/7A=",0)</f>
        <v>0</v>
      </c>
      <c r="FV62" t="e">
        <f>AND('Planilla_General_03-12-2012_9_3'!A988,"AAAAAG+f/7E=")</f>
        <v>#VALUE!</v>
      </c>
      <c r="FW62" t="e">
        <f>AND('Planilla_General_03-12-2012_9_3'!B988,"AAAAAG+f/7I=")</f>
        <v>#VALUE!</v>
      </c>
      <c r="FX62" t="e">
        <f>AND('Planilla_General_03-12-2012_9_3'!C988,"AAAAAG+f/7M=")</f>
        <v>#VALUE!</v>
      </c>
      <c r="FY62" t="e">
        <f>AND('Planilla_General_03-12-2012_9_3'!D988,"AAAAAG+f/7Q=")</f>
        <v>#VALUE!</v>
      </c>
      <c r="FZ62" t="e">
        <f>AND('Planilla_General_03-12-2012_9_3'!E988,"AAAAAG+f/7U=")</f>
        <v>#VALUE!</v>
      </c>
      <c r="GA62" t="e">
        <f>AND('Planilla_General_03-12-2012_9_3'!F988,"AAAAAG+f/7Y=")</f>
        <v>#VALUE!</v>
      </c>
      <c r="GB62" t="e">
        <f>AND('Planilla_General_03-12-2012_9_3'!G988,"AAAAAG+f/7c=")</f>
        <v>#VALUE!</v>
      </c>
      <c r="GC62" t="e">
        <f>AND('Planilla_General_03-12-2012_9_3'!H988,"AAAAAG+f/7g=")</f>
        <v>#VALUE!</v>
      </c>
      <c r="GD62" t="e">
        <f>AND('Planilla_General_03-12-2012_9_3'!I988,"AAAAAG+f/7k=")</f>
        <v>#VALUE!</v>
      </c>
      <c r="GE62" t="e">
        <f>AND('Planilla_General_03-12-2012_9_3'!J988,"AAAAAG+f/7o=")</f>
        <v>#VALUE!</v>
      </c>
      <c r="GF62" t="e">
        <f>AND('Planilla_General_03-12-2012_9_3'!K988,"AAAAAG+f/7s=")</f>
        <v>#VALUE!</v>
      </c>
      <c r="GG62" t="e">
        <f>AND('Planilla_General_03-12-2012_9_3'!L988,"AAAAAG+f/7w=")</f>
        <v>#VALUE!</v>
      </c>
      <c r="GH62" t="e">
        <f>AND('Planilla_General_03-12-2012_9_3'!M988,"AAAAAG+f/70=")</f>
        <v>#VALUE!</v>
      </c>
      <c r="GI62" t="e">
        <f>AND('Planilla_General_03-12-2012_9_3'!N988,"AAAAAG+f/74=")</f>
        <v>#VALUE!</v>
      </c>
      <c r="GJ62" t="e">
        <f>AND('Planilla_General_03-12-2012_9_3'!O988,"AAAAAG+f/78=")</f>
        <v>#VALUE!</v>
      </c>
      <c r="GK62">
        <f>IF('Planilla_General_03-12-2012_9_3'!989:989,"AAAAAG+f/8A=",0)</f>
        <v>0</v>
      </c>
      <c r="GL62" t="e">
        <f>AND('Planilla_General_03-12-2012_9_3'!A989,"AAAAAG+f/8E=")</f>
        <v>#VALUE!</v>
      </c>
      <c r="GM62" t="e">
        <f>AND('Planilla_General_03-12-2012_9_3'!B989,"AAAAAG+f/8I=")</f>
        <v>#VALUE!</v>
      </c>
      <c r="GN62" t="e">
        <f>AND('Planilla_General_03-12-2012_9_3'!C989,"AAAAAG+f/8M=")</f>
        <v>#VALUE!</v>
      </c>
      <c r="GO62" t="e">
        <f>AND('Planilla_General_03-12-2012_9_3'!D989,"AAAAAG+f/8Q=")</f>
        <v>#VALUE!</v>
      </c>
      <c r="GP62" t="e">
        <f>AND('Planilla_General_03-12-2012_9_3'!E989,"AAAAAG+f/8U=")</f>
        <v>#VALUE!</v>
      </c>
      <c r="GQ62" t="e">
        <f>AND('Planilla_General_03-12-2012_9_3'!F989,"AAAAAG+f/8Y=")</f>
        <v>#VALUE!</v>
      </c>
      <c r="GR62" t="e">
        <f>AND('Planilla_General_03-12-2012_9_3'!G989,"AAAAAG+f/8c=")</f>
        <v>#VALUE!</v>
      </c>
      <c r="GS62" t="e">
        <f>AND('Planilla_General_03-12-2012_9_3'!H989,"AAAAAG+f/8g=")</f>
        <v>#VALUE!</v>
      </c>
      <c r="GT62" t="e">
        <f>AND('Planilla_General_03-12-2012_9_3'!I989,"AAAAAG+f/8k=")</f>
        <v>#VALUE!</v>
      </c>
      <c r="GU62" t="e">
        <f>AND('Planilla_General_03-12-2012_9_3'!J989,"AAAAAG+f/8o=")</f>
        <v>#VALUE!</v>
      </c>
      <c r="GV62" t="e">
        <f>AND('Planilla_General_03-12-2012_9_3'!K989,"AAAAAG+f/8s=")</f>
        <v>#VALUE!</v>
      </c>
      <c r="GW62" t="e">
        <f>AND('Planilla_General_03-12-2012_9_3'!L989,"AAAAAG+f/8w=")</f>
        <v>#VALUE!</v>
      </c>
      <c r="GX62" t="e">
        <f>AND('Planilla_General_03-12-2012_9_3'!M989,"AAAAAG+f/80=")</f>
        <v>#VALUE!</v>
      </c>
      <c r="GY62" t="e">
        <f>AND('Planilla_General_03-12-2012_9_3'!N989,"AAAAAG+f/84=")</f>
        <v>#VALUE!</v>
      </c>
      <c r="GZ62" t="e">
        <f>AND('Planilla_General_03-12-2012_9_3'!O989,"AAAAAG+f/88=")</f>
        <v>#VALUE!</v>
      </c>
      <c r="HA62">
        <f>IF('Planilla_General_03-12-2012_9_3'!990:990,"AAAAAG+f/9A=",0)</f>
        <v>0</v>
      </c>
      <c r="HB62" t="e">
        <f>AND('Planilla_General_03-12-2012_9_3'!A990,"AAAAAG+f/9E=")</f>
        <v>#VALUE!</v>
      </c>
      <c r="HC62" t="e">
        <f>AND('Planilla_General_03-12-2012_9_3'!B990,"AAAAAG+f/9I=")</f>
        <v>#VALUE!</v>
      </c>
      <c r="HD62" t="e">
        <f>AND('Planilla_General_03-12-2012_9_3'!C990,"AAAAAG+f/9M=")</f>
        <v>#VALUE!</v>
      </c>
      <c r="HE62" t="e">
        <f>AND('Planilla_General_03-12-2012_9_3'!D990,"AAAAAG+f/9Q=")</f>
        <v>#VALUE!</v>
      </c>
      <c r="HF62" t="e">
        <f>AND('Planilla_General_03-12-2012_9_3'!E990,"AAAAAG+f/9U=")</f>
        <v>#VALUE!</v>
      </c>
      <c r="HG62" t="e">
        <f>AND('Planilla_General_03-12-2012_9_3'!F990,"AAAAAG+f/9Y=")</f>
        <v>#VALUE!</v>
      </c>
      <c r="HH62" t="e">
        <f>AND('Planilla_General_03-12-2012_9_3'!G990,"AAAAAG+f/9c=")</f>
        <v>#VALUE!</v>
      </c>
      <c r="HI62" t="e">
        <f>AND('Planilla_General_03-12-2012_9_3'!H990,"AAAAAG+f/9g=")</f>
        <v>#VALUE!</v>
      </c>
      <c r="HJ62" t="e">
        <f>AND('Planilla_General_03-12-2012_9_3'!I990,"AAAAAG+f/9k=")</f>
        <v>#VALUE!</v>
      </c>
      <c r="HK62" t="e">
        <f>AND('Planilla_General_03-12-2012_9_3'!J990,"AAAAAG+f/9o=")</f>
        <v>#VALUE!</v>
      </c>
      <c r="HL62" t="e">
        <f>AND('Planilla_General_03-12-2012_9_3'!K990,"AAAAAG+f/9s=")</f>
        <v>#VALUE!</v>
      </c>
      <c r="HM62" t="e">
        <f>AND('Planilla_General_03-12-2012_9_3'!L990,"AAAAAG+f/9w=")</f>
        <v>#VALUE!</v>
      </c>
      <c r="HN62" t="e">
        <f>AND('Planilla_General_03-12-2012_9_3'!M990,"AAAAAG+f/90=")</f>
        <v>#VALUE!</v>
      </c>
      <c r="HO62" t="e">
        <f>AND('Planilla_General_03-12-2012_9_3'!N990,"AAAAAG+f/94=")</f>
        <v>#VALUE!</v>
      </c>
      <c r="HP62" t="e">
        <f>AND('Planilla_General_03-12-2012_9_3'!O990,"AAAAAG+f/98=")</f>
        <v>#VALUE!</v>
      </c>
      <c r="HQ62">
        <f>IF('Planilla_General_03-12-2012_9_3'!991:991,"AAAAAG+f/+A=",0)</f>
        <v>0</v>
      </c>
      <c r="HR62" t="e">
        <f>AND('Planilla_General_03-12-2012_9_3'!A991,"AAAAAG+f/+E=")</f>
        <v>#VALUE!</v>
      </c>
      <c r="HS62" t="e">
        <f>AND('Planilla_General_03-12-2012_9_3'!B991,"AAAAAG+f/+I=")</f>
        <v>#VALUE!</v>
      </c>
      <c r="HT62" t="e">
        <f>AND('Planilla_General_03-12-2012_9_3'!C991,"AAAAAG+f/+M=")</f>
        <v>#VALUE!</v>
      </c>
      <c r="HU62" t="e">
        <f>AND('Planilla_General_03-12-2012_9_3'!D991,"AAAAAG+f/+Q=")</f>
        <v>#VALUE!</v>
      </c>
      <c r="HV62" t="e">
        <f>AND('Planilla_General_03-12-2012_9_3'!E991,"AAAAAG+f/+U=")</f>
        <v>#VALUE!</v>
      </c>
      <c r="HW62" t="e">
        <f>AND('Planilla_General_03-12-2012_9_3'!F991,"AAAAAG+f/+Y=")</f>
        <v>#VALUE!</v>
      </c>
      <c r="HX62" t="e">
        <f>AND('Planilla_General_03-12-2012_9_3'!G991,"AAAAAG+f/+c=")</f>
        <v>#VALUE!</v>
      </c>
      <c r="HY62" t="e">
        <f>AND('Planilla_General_03-12-2012_9_3'!H991,"AAAAAG+f/+g=")</f>
        <v>#VALUE!</v>
      </c>
      <c r="HZ62" t="e">
        <f>AND('Planilla_General_03-12-2012_9_3'!I991,"AAAAAG+f/+k=")</f>
        <v>#VALUE!</v>
      </c>
      <c r="IA62" t="e">
        <f>AND('Planilla_General_03-12-2012_9_3'!J991,"AAAAAG+f/+o=")</f>
        <v>#VALUE!</v>
      </c>
      <c r="IB62" t="e">
        <f>AND('Planilla_General_03-12-2012_9_3'!K991,"AAAAAG+f/+s=")</f>
        <v>#VALUE!</v>
      </c>
      <c r="IC62" t="e">
        <f>AND('Planilla_General_03-12-2012_9_3'!L991,"AAAAAG+f/+w=")</f>
        <v>#VALUE!</v>
      </c>
      <c r="ID62" t="e">
        <f>AND('Planilla_General_03-12-2012_9_3'!M991,"AAAAAG+f/+0=")</f>
        <v>#VALUE!</v>
      </c>
      <c r="IE62" t="e">
        <f>AND('Planilla_General_03-12-2012_9_3'!N991,"AAAAAG+f/+4=")</f>
        <v>#VALUE!</v>
      </c>
      <c r="IF62" t="e">
        <f>AND('Planilla_General_03-12-2012_9_3'!O991,"AAAAAG+f/+8=")</f>
        <v>#VALUE!</v>
      </c>
      <c r="IG62">
        <f>IF('Planilla_General_03-12-2012_9_3'!992:992,"AAAAAG+f//A=",0)</f>
        <v>0</v>
      </c>
      <c r="IH62" t="e">
        <f>AND('Planilla_General_03-12-2012_9_3'!A992,"AAAAAG+f//E=")</f>
        <v>#VALUE!</v>
      </c>
      <c r="II62" t="e">
        <f>AND('Planilla_General_03-12-2012_9_3'!B992,"AAAAAG+f//I=")</f>
        <v>#VALUE!</v>
      </c>
      <c r="IJ62" t="e">
        <f>AND('Planilla_General_03-12-2012_9_3'!C992,"AAAAAG+f//M=")</f>
        <v>#VALUE!</v>
      </c>
      <c r="IK62" t="e">
        <f>AND('Planilla_General_03-12-2012_9_3'!D992,"AAAAAG+f//Q=")</f>
        <v>#VALUE!</v>
      </c>
      <c r="IL62" t="e">
        <f>AND('Planilla_General_03-12-2012_9_3'!E992,"AAAAAG+f//U=")</f>
        <v>#VALUE!</v>
      </c>
      <c r="IM62" t="e">
        <f>AND('Planilla_General_03-12-2012_9_3'!F992,"AAAAAG+f//Y=")</f>
        <v>#VALUE!</v>
      </c>
      <c r="IN62" t="e">
        <f>AND('Planilla_General_03-12-2012_9_3'!G992,"AAAAAG+f//c=")</f>
        <v>#VALUE!</v>
      </c>
      <c r="IO62" t="e">
        <f>AND('Planilla_General_03-12-2012_9_3'!H992,"AAAAAG+f//g=")</f>
        <v>#VALUE!</v>
      </c>
      <c r="IP62" t="e">
        <f>AND('Planilla_General_03-12-2012_9_3'!I992,"AAAAAG+f//k=")</f>
        <v>#VALUE!</v>
      </c>
      <c r="IQ62" t="e">
        <f>AND('Planilla_General_03-12-2012_9_3'!J992,"AAAAAG+f//o=")</f>
        <v>#VALUE!</v>
      </c>
      <c r="IR62" t="e">
        <f>AND('Planilla_General_03-12-2012_9_3'!K992,"AAAAAG+f//s=")</f>
        <v>#VALUE!</v>
      </c>
      <c r="IS62" t="e">
        <f>AND('Planilla_General_03-12-2012_9_3'!L992,"AAAAAG+f//w=")</f>
        <v>#VALUE!</v>
      </c>
      <c r="IT62" t="e">
        <f>AND('Planilla_General_03-12-2012_9_3'!M992,"AAAAAG+f//0=")</f>
        <v>#VALUE!</v>
      </c>
      <c r="IU62" t="e">
        <f>AND('Planilla_General_03-12-2012_9_3'!N992,"AAAAAG+f//4=")</f>
        <v>#VALUE!</v>
      </c>
      <c r="IV62" t="e">
        <f>AND('Planilla_General_03-12-2012_9_3'!O992,"AAAAAG+f//8=")</f>
        <v>#VALUE!</v>
      </c>
    </row>
    <row r="63" spans="1:256" x14ac:dyDescent="0.25">
      <c r="A63" t="e">
        <f>IF('Planilla_General_03-12-2012_9_3'!993:993,"AAAAADZ33wA=",0)</f>
        <v>#VALUE!</v>
      </c>
      <c r="B63" t="e">
        <f>AND('Planilla_General_03-12-2012_9_3'!A993,"AAAAADZ33wE=")</f>
        <v>#VALUE!</v>
      </c>
      <c r="C63" t="e">
        <f>AND('Planilla_General_03-12-2012_9_3'!B993,"AAAAADZ33wI=")</f>
        <v>#VALUE!</v>
      </c>
      <c r="D63" t="e">
        <f>AND('Planilla_General_03-12-2012_9_3'!C993,"AAAAADZ33wM=")</f>
        <v>#VALUE!</v>
      </c>
      <c r="E63" t="e">
        <f>AND('Planilla_General_03-12-2012_9_3'!D993,"AAAAADZ33wQ=")</f>
        <v>#VALUE!</v>
      </c>
      <c r="F63" t="e">
        <f>AND('Planilla_General_03-12-2012_9_3'!E993,"AAAAADZ33wU=")</f>
        <v>#VALUE!</v>
      </c>
      <c r="G63" t="e">
        <f>AND('Planilla_General_03-12-2012_9_3'!F993,"AAAAADZ33wY=")</f>
        <v>#VALUE!</v>
      </c>
      <c r="H63" t="e">
        <f>AND('Planilla_General_03-12-2012_9_3'!G993,"AAAAADZ33wc=")</f>
        <v>#VALUE!</v>
      </c>
      <c r="I63" t="e">
        <f>AND('Planilla_General_03-12-2012_9_3'!H993,"AAAAADZ33wg=")</f>
        <v>#VALUE!</v>
      </c>
      <c r="J63" t="e">
        <f>AND('Planilla_General_03-12-2012_9_3'!I993,"AAAAADZ33wk=")</f>
        <v>#VALUE!</v>
      </c>
      <c r="K63" t="e">
        <f>AND('Planilla_General_03-12-2012_9_3'!J993,"AAAAADZ33wo=")</f>
        <v>#VALUE!</v>
      </c>
      <c r="L63" t="e">
        <f>AND('Planilla_General_03-12-2012_9_3'!K993,"AAAAADZ33ws=")</f>
        <v>#VALUE!</v>
      </c>
      <c r="M63" t="e">
        <f>AND('Planilla_General_03-12-2012_9_3'!L993,"AAAAADZ33ww=")</f>
        <v>#VALUE!</v>
      </c>
      <c r="N63" t="e">
        <f>AND('Planilla_General_03-12-2012_9_3'!M993,"AAAAADZ33w0=")</f>
        <v>#VALUE!</v>
      </c>
      <c r="O63" t="e">
        <f>AND('Planilla_General_03-12-2012_9_3'!N993,"AAAAADZ33w4=")</f>
        <v>#VALUE!</v>
      </c>
      <c r="P63" t="e">
        <f>AND('Planilla_General_03-12-2012_9_3'!O993,"AAAAADZ33w8=")</f>
        <v>#VALUE!</v>
      </c>
      <c r="Q63">
        <f>IF('Planilla_General_03-12-2012_9_3'!994:994,"AAAAADZ33xA=",0)</f>
        <v>0</v>
      </c>
      <c r="R63" t="e">
        <f>AND('Planilla_General_03-12-2012_9_3'!A994,"AAAAADZ33xE=")</f>
        <v>#VALUE!</v>
      </c>
      <c r="S63" t="e">
        <f>AND('Planilla_General_03-12-2012_9_3'!B994,"AAAAADZ33xI=")</f>
        <v>#VALUE!</v>
      </c>
      <c r="T63" t="e">
        <f>AND('Planilla_General_03-12-2012_9_3'!C994,"AAAAADZ33xM=")</f>
        <v>#VALUE!</v>
      </c>
      <c r="U63" t="e">
        <f>AND('Planilla_General_03-12-2012_9_3'!D994,"AAAAADZ33xQ=")</f>
        <v>#VALUE!</v>
      </c>
      <c r="V63" t="e">
        <f>AND('Planilla_General_03-12-2012_9_3'!E994,"AAAAADZ33xU=")</f>
        <v>#VALUE!</v>
      </c>
      <c r="W63" t="e">
        <f>AND('Planilla_General_03-12-2012_9_3'!F994,"AAAAADZ33xY=")</f>
        <v>#VALUE!</v>
      </c>
      <c r="X63" t="e">
        <f>AND('Planilla_General_03-12-2012_9_3'!G994,"AAAAADZ33xc=")</f>
        <v>#VALUE!</v>
      </c>
      <c r="Y63" t="e">
        <f>AND('Planilla_General_03-12-2012_9_3'!H994,"AAAAADZ33xg=")</f>
        <v>#VALUE!</v>
      </c>
      <c r="Z63" t="e">
        <f>AND('Planilla_General_03-12-2012_9_3'!I994,"AAAAADZ33xk=")</f>
        <v>#VALUE!</v>
      </c>
      <c r="AA63" t="e">
        <f>AND('Planilla_General_03-12-2012_9_3'!J994,"AAAAADZ33xo=")</f>
        <v>#VALUE!</v>
      </c>
      <c r="AB63" t="e">
        <f>AND('Planilla_General_03-12-2012_9_3'!K994,"AAAAADZ33xs=")</f>
        <v>#VALUE!</v>
      </c>
      <c r="AC63" t="e">
        <f>AND('Planilla_General_03-12-2012_9_3'!L994,"AAAAADZ33xw=")</f>
        <v>#VALUE!</v>
      </c>
      <c r="AD63" t="e">
        <f>AND('Planilla_General_03-12-2012_9_3'!M994,"AAAAADZ33x0=")</f>
        <v>#VALUE!</v>
      </c>
      <c r="AE63" t="e">
        <f>AND('Planilla_General_03-12-2012_9_3'!N994,"AAAAADZ33x4=")</f>
        <v>#VALUE!</v>
      </c>
      <c r="AF63" t="e">
        <f>AND('Planilla_General_03-12-2012_9_3'!O994,"AAAAADZ33x8=")</f>
        <v>#VALUE!</v>
      </c>
      <c r="AG63">
        <f>IF('Planilla_General_03-12-2012_9_3'!995:995,"AAAAADZ33yA=",0)</f>
        <v>0</v>
      </c>
      <c r="AH63" t="e">
        <f>AND('Planilla_General_03-12-2012_9_3'!A995,"AAAAADZ33yE=")</f>
        <v>#VALUE!</v>
      </c>
      <c r="AI63" t="e">
        <f>AND('Planilla_General_03-12-2012_9_3'!B995,"AAAAADZ33yI=")</f>
        <v>#VALUE!</v>
      </c>
      <c r="AJ63" t="e">
        <f>AND('Planilla_General_03-12-2012_9_3'!C995,"AAAAADZ33yM=")</f>
        <v>#VALUE!</v>
      </c>
      <c r="AK63" t="e">
        <f>AND('Planilla_General_03-12-2012_9_3'!D995,"AAAAADZ33yQ=")</f>
        <v>#VALUE!</v>
      </c>
      <c r="AL63" t="e">
        <f>AND('Planilla_General_03-12-2012_9_3'!E995,"AAAAADZ33yU=")</f>
        <v>#VALUE!</v>
      </c>
      <c r="AM63" t="e">
        <f>AND('Planilla_General_03-12-2012_9_3'!F995,"AAAAADZ33yY=")</f>
        <v>#VALUE!</v>
      </c>
      <c r="AN63" t="e">
        <f>AND('Planilla_General_03-12-2012_9_3'!G995,"AAAAADZ33yc=")</f>
        <v>#VALUE!</v>
      </c>
      <c r="AO63" t="e">
        <f>AND('Planilla_General_03-12-2012_9_3'!H995,"AAAAADZ33yg=")</f>
        <v>#VALUE!</v>
      </c>
      <c r="AP63" t="e">
        <f>AND('Planilla_General_03-12-2012_9_3'!I995,"AAAAADZ33yk=")</f>
        <v>#VALUE!</v>
      </c>
      <c r="AQ63" t="e">
        <f>AND('Planilla_General_03-12-2012_9_3'!J995,"AAAAADZ33yo=")</f>
        <v>#VALUE!</v>
      </c>
      <c r="AR63" t="e">
        <f>AND('Planilla_General_03-12-2012_9_3'!K995,"AAAAADZ33ys=")</f>
        <v>#VALUE!</v>
      </c>
      <c r="AS63" t="e">
        <f>AND('Planilla_General_03-12-2012_9_3'!L995,"AAAAADZ33yw=")</f>
        <v>#VALUE!</v>
      </c>
      <c r="AT63" t="e">
        <f>AND('Planilla_General_03-12-2012_9_3'!M995,"AAAAADZ33y0=")</f>
        <v>#VALUE!</v>
      </c>
      <c r="AU63" t="e">
        <f>AND('Planilla_General_03-12-2012_9_3'!N995,"AAAAADZ33y4=")</f>
        <v>#VALUE!</v>
      </c>
      <c r="AV63" t="e">
        <f>AND('Planilla_General_03-12-2012_9_3'!O995,"AAAAADZ33y8=")</f>
        <v>#VALUE!</v>
      </c>
      <c r="AW63">
        <f>IF('Planilla_General_03-12-2012_9_3'!996:996,"AAAAADZ33zA=",0)</f>
        <v>0</v>
      </c>
      <c r="AX63" t="e">
        <f>AND('Planilla_General_03-12-2012_9_3'!A996,"AAAAADZ33zE=")</f>
        <v>#VALUE!</v>
      </c>
      <c r="AY63" t="e">
        <f>AND('Planilla_General_03-12-2012_9_3'!B996,"AAAAADZ33zI=")</f>
        <v>#VALUE!</v>
      </c>
      <c r="AZ63" t="e">
        <f>AND('Planilla_General_03-12-2012_9_3'!C996,"AAAAADZ33zM=")</f>
        <v>#VALUE!</v>
      </c>
      <c r="BA63" t="e">
        <f>AND('Planilla_General_03-12-2012_9_3'!D996,"AAAAADZ33zQ=")</f>
        <v>#VALUE!</v>
      </c>
      <c r="BB63" t="e">
        <f>AND('Planilla_General_03-12-2012_9_3'!E996,"AAAAADZ33zU=")</f>
        <v>#VALUE!</v>
      </c>
      <c r="BC63" t="e">
        <f>AND('Planilla_General_03-12-2012_9_3'!F996,"AAAAADZ33zY=")</f>
        <v>#VALUE!</v>
      </c>
      <c r="BD63" t="e">
        <f>AND('Planilla_General_03-12-2012_9_3'!G996,"AAAAADZ33zc=")</f>
        <v>#VALUE!</v>
      </c>
      <c r="BE63" t="e">
        <f>AND('Planilla_General_03-12-2012_9_3'!H996,"AAAAADZ33zg=")</f>
        <v>#VALUE!</v>
      </c>
      <c r="BF63" t="e">
        <f>AND('Planilla_General_03-12-2012_9_3'!I996,"AAAAADZ33zk=")</f>
        <v>#VALUE!</v>
      </c>
      <c r="BG63" t="e">
        <f>AND('Planilla_General_03-12-2012_9_3'!J996,"AAAAADZ33zo=")</f>
        <v>#VALUE!</v>
      </c>
      <c r="BH63" t="e">
        <f>AND('Planilla_General_03-12-2012_9_3'!K996,"AAAAADZ33zs=")</f>
        <v>#VALUE!</v>
      </c>
      <c r="BI63" t="e">
        <f>AND('Planilla_General_03-12-2012_9_3'!L996,"AAAAADZ33zw=")</f>
        <v>#VALUE!</v>
      </c>
      <c r="BJ63" t="e">
        <f>AND('Planilla_General_03-12-2012_9_3'!M996,"AAAAADZ33z0=")</f>
        <v>#VALUE!</v>
      </c>
      <c r="BK63" t="e">
        <f>AND('Planilla_General_03-12-2012_9_3'!N996,"AAAAADZ33z4=")</f>
        <v>#VALUE!</v>
      </c>
      <c r="BL63" t="e">
        <f>AND('Planilla_General_03-12-2012_9_3'!O996,"AAAAADZ33z8=")</f>
        <v>#VALUE!</v>
      </c>
      <c r="BM63">
        <f>IF('Planilla_General_03-12-2012_9_3'!997:997,"AAAAADZ330A=",0)</f>
        <v>0</v>
      </c>
      <c r="BN63" t="e">
        <f>AND('Planilla_General_03-12-2012_9_3'!A997,"AAAAADZ330E=")</f>
        <v>#VALUE!</v>
      </c>
      <c r="BO63" t="e">
        <f>AND('Planilla_General_03-12-2012_9_3'!B997,"AAAAADZ330I=")</f>
        <v>#VALUE!</v>
      </c>
      <c r="BP63" t="e">
        <f>AND('Planilla_General_03-12-2012_9_3'!C997,"AAAAADZ330M=")</f>
        <v>#VALUE!</v>
      </c>
      <c r="BQ63" t="e">
        <f>AND('Planilla_General_03-12-2012_9_3'!D997,"AAAAADZ330Q=")</f>
        <v>#VALUE!</v>
      </c>
      <c r="BR63" t="e">
        <f>AND('Planilla_General_03-12-2012_9_3'!E997,"AAAAADZ330U=")</f>
        <v>#VALUE!</v>
      </c>
      <c r="BS63" t="e">
        <f>AND('Planilla_General_03-12-2012_9_3'!F997,"AAAAADZ330Y=")</f>
        <v>#VALUE!</v>
      </c>
      <c r="BT63" t="e">
        <f>AND('Planilla_General_03-12-2012_9_3'!G997,"AAAAADZ330c=")</f>
        <v>#VALUE!</v>
      </c>
      <c r="BU63" t="e">
        <f>AND('Planilla_General_03-12-2012_9_3'!H997,"AAAAADZ330g=")</f>
        <v>#VALUE!</v>
      </c>
      <c r="BV63" t="e">
        <f>AND('Planilla_General_03-12-2012_9_3'!I997,"AAAAADZ330k=")</f>
        <v>#VALUE!</v>
      </c>
      <c r="BW63" t="e">
        <f>AND('Planilla_General_03-12-2012_9_3'!J997,"AAAAADZ330o=")</f>
        <v>#VALUE!</v>
      </c>
      <c r="BX63" t="e">
        <f>AND('Planilla_General_03-12-2012_9_3'!K997,"AAAAADZ330s=")</f>
        <v>#VALUE!</v>
      </c>
      <c r="BY63" t="e">
        <f>AND('Planilla_General_03-12-2012_9_3'!L997,"AAAAADZ330w=")</f>
        <v>#VALUE!</v>
      </c>
      <c r="BZ63" t="e">
        <f>AND('Planilla_General_03-12-2012_9_3'!M997,"AAAAADZ3300=")</f>
        <v>#VALUE!</v>
      </c>
      <c r="CA63" t="e">
        <f>AND('Planilla_General_03-12-2012_9_3'!N997,"AAAAADZ3304=")</f>
        <v>#VALUE!</v>
      </c>
      <c r="CB63" t="e">
        <f>AND('Planilla_General_03-12-2012_9_3'!O997,"AAAAADZ3308=")</f>
        <v>#VALUE!</v>
      </c>
      <c r="CC63">
        <f>IF('Planilla_General_03-12-2012_9_3'!998:998,"AAAAADZ331A=",0)</f>
        <v>0</v>
      </c>
      <c r="CD63" t="e">
        <f>AND('Planilla_General_03-12-2012_9_3'!A998,"AAAAADZ331E=")</f>
        <v>#VALUE!</v>
      </c>
      <c r="CE63" t="e">
        <f>AND('Planilla_General_03-12-2012_9_3'!B998,"AAAAADZ331I=")</f>
        <v>#VALUE!</v>
      </c>
      <c r="CF63" t="e">
        <f>AND('Planilla_General_03-12-2012_9_3'!C998,"AAAAADZ331M=")</f>
        <v>#VALUE!</v>
      </c>
      <c r="CG63" t="e">
        <f>AND('Planilla_General_03-12-2012_9_3'!D998,"AAAAADZ331Q=")</f>
        <v>#VALUE!</v>
      </c>
      <c r="CH63" t="e">
        <f>AND('Planilla_General_03-12-2012_9_3'!E998,"AAAAADZ331U=")</f>
        <v>#VALUE!</v>
      </c>
      <c r="CI63" t="e">
        <f>AND('Planilla_General_03-12-2012_9_3'!F998,"AAAAADZ331Y=")</f>
        <v>#VALUE!</v>
      </c>
      <c r="CJ63" t="e">
        <f>AND('Planilla_General_03-12-2012_9_3'!G998,"AAAAADZ331c=")</f>
        <v>#VALUE!</v>
      </c>
      <c r="CK63" t="e">
        <f>AND('Planilla_General_03-12-2012_9_3'!H998,"AAAAADZ331g=")</f>
        <v>#VALUE!</v>
      </c>
      <c r="CL63" t="e">
        <f>AND('Planilla_General_03-12-2012_9_3'!I998,"AAAAADZ331k=")</f>
        <v>#VALUE!</v>
      </c>
      <c r="CM63" t="e">
        <f>AND('Planilla_General_03-12-2012_9_3'!J998,"AAAAADZ331o=")</f>
        <v>#VALUE!</v>
      </c>
      <c r="CN63" t="e">
        <f>AND('Planilla_General_03-12-2012_9_3'!K998,"AAAAADZ331s=")</f>
        <v>#VALUE!</v>
      </c>
      <c r="CO63" t="e">
        <f>AND('Planilla_General_03-12-2012_9_3'!L998,"AAAAADZ331w=")</f>
        <v>#VALUE!</v>
      </c>
      <c r="CP63" t="e">
        <f>AND('Planilla_General_03-12-2012_9_3'!M998,"AAAAADZ3310=")</f>
        <v>#VALUE!</v>
      </c>
      <c r="CQ63" t="e">
        <f>AND('Planilla_General_03-12-2012_9_3'!N998,"AAAAADZ3314=")</f>
        <v>#VALUE!</v>
      </c>
      <c r="CR63" t="e">
        <f>AND('Planilla_General_03-12-2012_9_3'!O998,"AAAAADZ3318=")</f>
        <v>#VALUE!</v>
      </c>
      <c r="CS63">
        <f>IF('Planilla_General_03-12-2012_9_3'!999:999,"AAAAADZ332A=",0)</f>
        <v>0</v>
      </c>
      <c r="CT63" t="e">
        <f>AND('Planilla_General_03-12-2012_9_3'!A999,"AAAAADZ332E=")</f>
        <v>#VALUE!</v>
      </c>
      <c r="CU63" t="e">
        <f>AND('Planilla_General_03-12-2012_9_3'!B999,"AAAAADZ332I=")</f>
        <v>#VALUE!</v>
      </c>
      <c r="CV63" t="e">
        <f>AND('Planilla_General_03-12-2012_9_3'!C999,"AAAAADZ332M=")</f>
        <v>#VALUE!</v>
      </c>
      <c r="CW63" t="e">
        <f>AND('Planilla_General_03-12-2012_9_3'!D999,"AAAAADZ332Q=")</f>
        <v>#VALUE!</v>
      </c>
      <c r="CX63" t="e">
        <f>AND('Planilla_General_03-12-2012_9_3'!E999,"AAAAADZ332U=")</f>
        <v>#VALUE!</v>
      </c>
      <c r="CY63" t="e">
        <f>AND('Planilla_General_03-12-2012_9_3'!F999,"AAAAADZ332Y=")</f>
        <v>#VALUE!</v>
      </c>
      <c r="CZ63" t="e">
        <f>AND('Planilla_General_03-12-2012_9_3'!G999,"AAAAADZ332c=")</f>
        <v>#VALUE!</v>
      </c>
      <c r="DA63" t="e">
        <f>AND('Planilla_General_03-12-2012_9_3'!H999,"AAAAADZ332g=")</f>
        <v>#VALUE!</v>
      </c>
      <c r="DB63" t="e">
        <f>AND('Planilla_General_03-12-2012_9_3'!I999,"AAAAADZ332k=")</f>
        <v>#VALUE!</v>
      </c>
      <c r="DC63" t="e">
        <f>AND('Planilla_General_03-12-2012_9_3'!J999,"AAAAADZ332o=")</f>
        <v>#VALUE!</v>
      </c>
      <c r="DD63" t="e">
        <f>AND('Planilla_General_03-12-2012_9_3'!K999,"AAAAADZ332s=")</f>
        <v>#VALUE!</v>
      </c>
      <c r="DE63" t="e">
        <f>AND('Planilla_General_03-12-2012_9_3'!L999,"AAAAADZ332w=")</f>
        <v>#VALUE!</v>
      </c>
      <c r="DF63" t="e">
        <f>AND('Planilla_General_03-12-2012_9_3'!M999,"AAAAADZ3320=")</f>
        <v>#VALUE!</v>
      </c>
      <c r="DG63" t="e">
        <f>AND('Planilla_General_03-12-2012_9_3'!N999,"AAAAADZ3324=")</f>
        <v>#VALUE!</v>
      </c>
      <c r="DH63" t="e">
        <f>AND('Planilla_General_03-12-2012_9_3'!O999,"AAAAADZ3328=")</f>
        <v>#VALUE!</v>
      </c>
      <c r="DI63">
        <f>IF('Planilla_General_03-12-2012_9_3'!1000:1000,"AAAAADZ333A=",0)</f>
        <v>0</v>
      </c>
      <c r="DJ63" t="e">
        <f>AND('Planilla_General_03-12-2012_9_3'!A1000,"AAAAADZ333E=")</f>
        <v>#VALUE!</v>
      </c>
      <c r="DK63" t="e">
        <f>AND('Planilla_General_03-12-2012_9_3'!B1000,"AAAAADZ333I=")</f>
        <v>#VALUE!</v>
      </c>
      <c r="DL63" t="e">
        <f>AND('Planilla_General_03-12-2012_9_3'!C1000,"AAAAADZ333M=")</f>
        <v>#VALUE!</v>
      </c>
      <c r="DM63" t="e">
        <f>AND('Planilla_General_03-12-2012_9_3'!D1000,"AAAAADZ333Q=")</f>
        <v>#VALUE!</v>
      </c>
      <c r="DN63" t="e">
        <f>AND('Planilla_General_03-12-2012_9_3'!E1000,"AAAAADZ333U=")</f>
        <v>#VALUE!</v>
      </c>
      <c r="DO63" t="e">
        <f>AND('Planilla_General_03-12-2012_9_3'!F1000,"AAAAADZ333Y=")</f>
        <v>#VALUE!</v>
      </c>
      <c r="DP63" t="e">
        <f>AND('Planilla_General_03-12-2012_9_3'!G1000,"AAAAADZ333c=")</f>
        <v>#VALUE!</v>
      </c>
      <c r="DQ63" t="e">
        <f>AND('Planilla_General_03-12-2012_9_3'!H1000,"AAAAADZ333g=")</f>
        <v>#VALUE!</v>
      </c>
      <c r="DR63" t="e">
        <f>AND('Planilla_General_03-12-2012_9_3'!I1000,"AAAAADZ333k=")</f>
        <v>#VALUE!</v>
      </c>
      <c r="DS63" t="e">
        <f>AND('Planilla_General_03-12-2012_9_3'!J1000,"AAAAADZ333o=")</f>
        <v>#VALUE!</v>
      </c>
      <c r="DT63" t="e">
        <f>AND('Planilla_General_03-12-2012_9_3'!K1000,"AAAAADZ333s=")</f>
        <v>#VALUE!</v>
      </c>
      <c r="DU63" t="e">
        <f>AND('Planilla_General_03-12-2012_9_3'!L1000,"AAAAADZ333w=")</f>
        <v>#VALUE!</v>
      </c>
      <c r="DV63" t="e">
        <f>AND('Planilla_General_03-12-2012_9_3'!M1000,"AAAAADZ3330=")</f>
        <v>#VALUE!</v>
      </c>
      <c r="DW63" t="e">
        <f>AND('Planilla_General_03-12-2012_9_3'!N1000,"AAAAADZ3334=")</f>
        <v>#VALUE!</v>
      </c>
      <c r="DX63" t="e">
        <f>AND('Planilla_General_03-12-2012_9_3'!O1000,"AAAAADZ3338=")</f>
        <v>#VALUE!</v>
      </c>
      <c r="DY63">
        <f>IF('Planilla_General_03-12-2012_9_3'!1001:1001,"AAAAADZ334A=",0)</f>
        <v>0</v>
      </c>
      <c r="DZ63" t="e">
        <f>AND('Planilla_General_03-12-2012_9_3'!A1001,"AAAAADZ334E=")</f>
        <v>#VALUE!</v>
      </c>
      <c r="EA63" t="e">
        <f>AND('Planilla_General_03-12-2012_9_3'!B1001,"AAAAADZ334I=")</f>
        <v>#VALUE!</v>
      </c>
      <c r="EB63" t="e">
        <f>AND('Planilla_General_03-12-2012_9_3'!C1001,"AAAAADZ334M=")</f>
        <v>#VALUE!</v>
      </c>
      <c r="EC63" t="e">
        <f>AND('Planilla_General_03-12-2012_9_3'!D1001,"AAAAADZ334Q=")</f>
        <v>#VALUE!</v>
      </c>
      <c r="ED63" t="e">
        <f>AND('Planilla_General_03-12-2012_9_3'!E1001,"AAAAADZ334U=")</f>
        <v>#VALUE!</v>
      </c>
      <c r="EE63" t="e">
        <f>AND('Planilla_General_03-12-2012_9_3'!F1001,"AAAAADZ334Y=")</f>
        <v>#VALUE!</v>
      </c>
      <c r="EF63" t="e">
        <f>AND('Planilla_General_03-12-2012_9_3'!G1001,"AAAAADZ334c=")</f>
        <v>#VALUE!</v>
      </c>
      <c r="EG63" t="e">
        <f>AND('Planilla_General_03-12-2012_9_3'!H1001,"AAAAADZ334g=")</f>
        <v>#VALUE!</v>
      </c>
      <c r="EH63" t="e">
        <f>AND('Planilla_General_03-12-2012_9_3'!I1001,"AAAAADZ334k=")</f>
        <v>#VALUE!</v>
      </c>
      <c r="EI63" t="e">
        <f>AND('Planilla_General_03-12-2012_9_3'!J1001,"AAAAADZ334o=")</f>
        <v>#VALUE!</v>
      </c>
      <c r="EJ63" t="e">
        <f>AND('Planilla_General_03-12-2012_9_3'!K1001,"AAAAADZ334s=")</f>
        <v>#VALUE!</v>
      </c>
      <c r="EK63" t="e">
        <f>AND('Planilla_General_03-12-2012_9_3'!L1001,"AAAAADZ334w=")</f>
        <v>#VALUE!</v>
      </c>
      <c r="EL63" t="e">
        <f>AND('Planilla_General_03-12-2012_9_3'!M1001,"AAAAADZ3340=")</f>
        <v>#VALUE!</v>
      </c>
      <c r="EM63" t="e">
        <f>AND('Planilla_General_03-12-2012_9_3'!N1001,"AAAAADZ3344=")</f>
        <v>#VALUE!</v>
      </c>
      <c r="EN63" t="e">
        <f>AND('Planilla_General_03-12-2012_9_3'!O1001,"AAAAADZ3348=")</f>
        <v>#VALUE!</v>
      </c>
      <c r="EO63">
        <f>IF('Planilla_General_03-12-2012_9_3'!1002:1002,"AAAAADZ335A=",0)</f>
        <v>0</v>
      </c>
      <c r="EP63" t="e">
        <f>AND('Planilla_General_03-12-2012_9_3'!A1002,"AAAAADZ335E=")</f>
        <v>#VALUE!</v>
      </c>
      <c r="EQ63" t="e">
        <f>AND('Planilla_General_03-12-2012_9_3'!B1002,"AAAAADZ335I=")</f>
        <v>#VALUE!</v>
      </c>
      <c r="ER63" t="e">
        <f>AND('Planilla_General_03-12-2012_9_3'!C1002,"AAAAADZ335M=")</f>
        <v>#VALUE!</v>
      </c>
      <c r="ES63" t="e">
        <f>AND('Planilla_General_03-12-2012_9_3'!D1002,"AAAAADZ335Q=")</f>
        <v>#VALUE!</v>
      </c>
      <c r="ET63" t="e">
        <f>AND('Planilla_General_03-12-2012_9_3'!E1002,"AAAAADZ335U=")</f>
        <v>#VALUE!</v>
      </c>
      <c r="EU63" t="e">
        <f>AND('Planilla_General_03-12-2012_9_3'!F1002,"AAAAADZ335Y=")</f>
        <v>#VALUE!</v>
      </c>
      <c r="EV63" t="e">
        <f>AND('Planilla_General_03-12-2012_9_3'!G1002,"AAAAADZ335c=")</f>
        <v>#VALUE!</v>
      </c>
      <c r="EW63" t="e">
        <f>AND('Planilla_General_03-12-2012_9_3'!H1002,"AAAAADZ335g=")</f>
        <v>#VALUE!</v>
      </c>
      <c r="EX63" t="e">
        <f>AND('Planilla_General_03-12-2012_9_3'!I1002,"AAAAADZ335k=")</f>
        <v>#VALUE!</v>
      </c>
      <c r="EY63" t="e">
        <f>AND('Planilla_General_03-12-2012_9_3'!J1002,"AAAAADZ335o=")</f>
        <v>#VALUE!</v>
      </c>
      <c r="EZ63" t="e">
        <f>AND('Planilla_General_03-12-2012_9_3'!K1002,"AAAAADZ335s=")</f>
        <v>#VALUE!</v>
      </c>
      <c r="FA63" t="e">
        <f>AND('Planilla_General_03-12-2012_9_3'!L1002,"AAAAADZ335w=")</f>
        <v>#VALUE!</v>
      </c>
      <c r="FB63" t="e">
        <f>AND('Planilla_General_03-12-2012_9_3'!M1002,"AAAAADZ3350=")</f>
        <v>#VALUE!</v>
      </c>
      <c r="FC63" t="e">
        <f>AND('Planilla_General_03-12-2012_9_3'!N1002,"AAAAADZ3354=")</f>
        <v>#VALUE!</v>
      </c>
      <c r="FD63" t="e">
        <f>AND('Planilla_General_03-12-2012_9_3'!O1002,"AAAAADZ3358=")</f>
        <v>#VALUE!</v>
      </c>
      <c r="FE63">
        <f>IF('Planilla_General_03-12-2012_9_3'!1003:1003,"AAAAADZ336A=",0)</f>
        <v>0</v>
      </c>
      <c r="FF63" t="e">
        <f>AND('Planilla_General_03-12-2012_9_3'!A1003,"AAAAADZ336E=")</f>
        <v>#VALUE!</v>
      </c>
      <c r="FG63" t="e">
        <f>AND('Planilla_General_03-12-2012_9_3'!B1003,"AAAAADZ336I=")</f>
        <v>#VALUE!</v>
      </c>
      <c r="FH63" t="e">
        <f>AND('Planilla_General_03-12-2012_9_3'!C1003,"AAAAADZ336M=")</f>
        <v>#VALUE!</v>
      </c>
      <c r="FI63" t="e">
        <f>AND('Planilla_General_03-12-2012_9_3'!D1003,"AAAAADZ336Q=")</f>
        <v>#VALUE!</v>
      </c>
      <c r="FJ63" t="e">
        <f>AND('Planilla_General_03-12-2012_9_3'!E1003,"AAAAADZ336U=")</f>
        <v>#VALUE!</v>
      </c>
      <c r="FK63" t="e">
        <f>AND('Planilla_General_03-12-2012_9_3'!F1003,"AAAAADZ336Y=")</f>
        <v>#VALUE!</v>
      </c>
      <c r="FL63" t="e">
        <f>AND('Planilla_General_03-12-2012_9_3'!G1003,"AAAAADZ336c=")</f>
        <v>#VALUE!</v>
      </c>
      <c r="FM63" t="e">
        <f>AND('Planilla_General_03-12-2012_9_3'!H1003,"AAAAADZ336g=")</f>
        <v>#VALUE!</v>
      </c>
      <c r="FN63" t="e">
        <f>AND('Planilla_General_03-12-2012_9_3'!I1003,"AAAAADZ336k=")</f>
        <v>#VALUE!</v>
      </c>
      <c r="FO63" t="e">
        <f>AND('Planilla_General_03-12-2012_9_3'!J1003,"AAAAADZ336o=")</f>
        <v>#VALUE!</v>
      </c>
      <c r="FP63" t="e">
        <f>AND('Planilla_General_03-12-2012_9_3'!K1003,"AAAAADZ336s=")</f>
        <v>#VALUE!</v>
      </c>
      <c r="FQ63" t="e">
        <f>AND('Planilla_General_03-12-2012_9_3'!L1003,"AAAAADZ336w=")</f>
        <v>#VALUE!</v>
      </c>
      <c r="FR63" t="e">
        <f>AND('Planilla_General_03-12-2012_9_3'!M1003,"AAAAADZ3360=")</f>
        <v>#VALUE!</v>
      </c>
      <c r="FS63" t="e">
        <f>AND('Planilla_General_03-12-2012_9_3'!N1003,"AAAAADZ3364=")</f>
        <v>#VALUE!</v>
      </c>
      <c r="FT63" t="e">
        <f>AND('Planilla_General_03-12-2012_9_3'!O1003,"AAAAADZ3368=")</f>
        <v>#VALUE!</v>
      </c>
      <c r="FU63">
        <f>IF('Planilla_General_03-12-2012_9_3'!1004:1004,"AAAAADZ337A=",0)</f>
        <v>0</v>
      </c>
      <c r="FV63" t="e">
        <f>AND('Planilla_General_03-12-2012_9_3'!A1004,"AAAAADZ337E=")</f>
        <v>#VALUE!</v>
      </c>
      <c r="FW63" t="e">
        <f>AND('Planilla_General_03-12-2012_9_3'!B1004,"AAAAADZ337I=")</f>
        <v>#VALUE!</v>
      </c>
      <c r="FX63" t="e">
        <f>AND('Planilla_General_03-12-2012_9_3'!C1004,"AAAAADZ337M=")</f>
        <v>#VALUE!</v>
      </c>
      <c r="FY63" t="e">
        <f>AND('Planilla_General_03-12-2012_9_3'!D1004,"AAAAADZ337Q=")</f>
        <v>#VALUE!</v>
      </c>
      <c r="FZ63" t="e">
        <f>AND('Planilla_General_03-12-2012_9_3'!E1004,"AAAAADZ337U=")</f>
        <v>#VALUE!</v>
      </c>
      <c r="GA63" t="e">
        <f>AND('Planilla_General_03-12-2012_9_3'!F1004,"AAAAADZ337Y=")</f>
        <v>#VALUE!</v>
      </c>
      <c r="GB63" t="e">
        <f>AND('Planilla_General_03-12-2012_9_3'!G1004,"AAAAADZ337c=")</f>
        <v>#VALUE!</v>
      </c>
      <c r="GC63" t="e">
        <f>AND('Planilla_General_03-12-2012_9_3'!H1004,"AAAAADZ337g=")</f>
        <v>#VALUE!</v>
      </c>
      <c r="GD63" t="e">
        <f>AND('Planilla_General_03-12-2012_9_3'!I1004,"AAAAADZ337k=")</f>
        <v>#VALUE!</v>
      </c>
      <c r="GE63" t="e">
        <f>AND('Planilla_General_03-12-2012_9_3'!J1004,"AAAAADZ337o=")</f>
        <v>#VALUE!</v>
      </c>
      <c r="GF63" t="e">
        <f>AND('Planilla_General_03-12-2012_9_3'!K1004,"AAAAADZ337s=")</f>
        <v>#VALUE!</v>
      </c>
      <c r="GG63" t="e">
        <f>AND('Planilla_General_03-12-2012_9_3'!L1004,"AAAAADZ337w=")</f>
        <v>#VALUE!</v>
      </c>
      <c r="GH63" t="e">
        <f>AND('Planilla_General_03-12-2012_9_3'!M1004,"AAAAADZ3370=")</f>
        <v>#VALUE!</v>
      </c>
      <c r="GI63" t="e">
        <f>AND('Planilla_General_03-12-2012_9_3'!N1004,"AAAAADZ3374=")</f>
        <v>#VALUE!</v>
      </c>
      <c r="GJ63" t="e">
        <f>AND('Planilla_General_03-12-2012_9_3'!O1004,"AAAAADZ3378=")</f>
        <v>#VALUE!</v>
      </c>
      <c r="GK63">
        <f>IF('Planilla_General_03-12-2012_9_3'!1005:1005,"AAAAADZ338A=",0)</f>
        <v>0</v>
      </c>
      <c r="GL63" t="e">
        <f>AND('Planilla_General_03-12-2012_9_3'!A1005,"AAAAADZ338E=")</f>
        <v>#VALUE!</v>
      </c>
      <c r="GM63" t="e">
        <f>AND('Planilla_General_03-12-2012_9_3'!B1005,"AAAAADZ338I=")</f>
        <v>#VALUE!</v>
      </c>
      <c r="GN63" t="e">
        <f>AND('Planilla_General_03-12-2012_9_3'!C1005,"AAAAADZ338M=")</f>
        <v>#VALUE!</v>
      </c>
      <c r="GO63" t="e">
        <f>AND('Planilla_General_03-12-2012_9_3'!D1005,"AAAAADZ338Q=")</f>
        <v>#VALUE!</v>
      </c>
      <c r="GP63" t="e">
        <f>AND('Planilla_General_03-12-2012_9_3'!E1005,"AAAAADZ338U=")</f>
        <v>#VALUE!</v>
      </c>
      <c r="GQ63" t="e">
        <f>AND('Planilla_General_03-12-2012_9_3'!F1005,"AAAAADZ338Y=")</f>
        <v>#VALUE!</v>
      </c>
      <c r="GR63" t="e">
        <f>AND('Planilla_General_03-12-2012_9_3'!G1005,"AAAAADZ338c=")</f>
        <v>#VALUE!</v>
      </c>
      <c r="GS63" t="e">
        <f>AND('Planilla_General_03-12-2012_9_3'!H1005,"AAAAADZ338g=")</f>
        <v>#VALUE!</v>
      </c>
      <c r="GT63" t="e">
        <f>AND('Planilla_General_03-12-2012_9_3'!I1005,"AAAAADZ338k=")</f>
        <v>#VALUE!</v>
      </c>
      <c r="GU63" t="e">
        <f>AND('Planilla_General_03-12-2012_9_3'!J1005,"AAAAADZ338o=")</f>
        <v>#VALUE!</v>
      </c>
      <c r="GV63" t="e">
        <f>AND('Planilla_General_03-12-2012_9_3'!K1005,"AAAAADZ338s=")</f>
        <v>#VALUE!</v>
      </c>
      <c r="GW63" t="e">
        <f>AND('Planilla_General_03-12-2012_9_3'!L1005,"AAAAADZ338w=")</f>
        <v>#VALUE!</v>
      </c>
      <c r="GX63" t="e">
        <f>AND('Planilla_General_03-12-2012_9_3'!M1005,"AAAAADZ3380=")</f>
        <v>#VALUE!</v>
      </c>
      <c r="GY63" t="e">
        <f>AND('Planilla_General_03-12-2012_9_3'!N1005,"AAAAADZ3384=")</f>
        <v>#VALUE!</v>
      </c>
      <c r="GZ63" t="e">
        <f>AND('Planilla_General_03-12-2012_9_3'!O1005,"AAAAADZ3388=")</f>
        <v>#VALUE!</v>
      </c>
      <c r="HA63">
        <f>IF('Planilla_General_03-12-2012_9_3'!1006:1006,"AAAAADZ339A=",0)</f>
        <v>0</v>
      </c>
      <c r="HB63" t="e">
        <f>AND('Planilla_General_03-12-2012_9_3'!A1006,"AAAAADZ339E=")</f>
        <v>#VALUE!</v>
      </c>
      <c r="HC63" t="e">
        <f>AND('Planilla_General_03-12-2012_9_3'!B1006,"AAAAADZ339I=")</f>
        <v>#VALUE!</v>
      </c>
      <c r="HD63" t="e">
        <f>AND('Planilla_General_03-12-2012_9_3'!C1006,"AAAAADZ339M=")</f>
        <v>#VALUE!</v>
      </c>
      <c r="HE63" t="e">
        <f>AND('Planilla_General_03-12-2012_9_3'!D1006,"AAAAADZ339Q=")</f>
        <v>#VALUE!</v>
      </c>
      <c r="HF63" t="e">
        <f>AND('Planilla_General_03-12-2012_9_3'!E1006,"AAAAADZ339U=")</f>
        <v>#VALUE!</v>
      </c>
      <c r="HG63" t="e">
        <f>AND('Planilla_General_03-12-2012_9_3'!F1006,"AAAAADZ339Y=")</f>
        <v>#VALUE!</v>
      </c>
      <c r="HH63" t="e">
        <f>AND('Planilla_General_03-12-2012_9_3'!G1006,"AAAAADZ339c=")</f>
        <v>#VALUE!</v>
      </c>
      <c r="HI63" t="e">
        <f>AND('Planilla_General_03-12-2012_9_3'!H1006,"AAAAADZ339g=")</f>
        <v>#VALUE!</v>
      </c>
      <c r="HJ63" t="e">
        <f>AND('Planilla_General_03-12-2012_9_3'!I1006,"AAAAADZ339k=")</f>
        <v>#VALUE!</v>
      </c>
      <c r="HK63" t="e">
        <f>AND('Planilla_General_03-12-2012_9_3'!J1006,"AAAAADZ339o=")</f>
        <v>#VALUE!</v>
      </c>
      <c r="HL63" t="e">
        <f>AND('Planilla_General_03-12-2012_9_3'!K1006,"AAAAADZ339s=")</f>
        <v>#VALUE!</v>
      </c>
      <c r="HM63" t="e">
        <f>AND('Planilla_General_03-12-2012_9_3'!L1006,"AAAAADZ339w=")</f>
        <v>#VALUE!</v>
      </c>
      <c r="HN63" t="e">
        <f>AND('Planilla_General_03-12-2012_9_3'!M1006,"AAAAADZ3390=")</f>
        <v>#VALUE!</v>
      </c>
      <c r="HO63" t="e">
        <f>AND('Planilla_General_03-12-2012_9_3'!N1006,"AAAAADZ3394=")</f>
        <v>#VALUE!</v>
      </c>
      <c r="HP63" t="e">
        <f>AND('Planilla_General_03-12-2012_9_3'!O1006,"AAAAADZ3398=")</f>
        <v>#VALUE!</v>
      </c>
      <c r="HQ63">
        <f>IF('Planilla_General_03-12-2012_9_3'!1007:1007,"AAAAADZ33+A=",0)</f>
        <v>0</v>
      </c>
      <c r="HR63" t="e">
        <f>AND('Planilla_General_03-12-2012_9_3'!A1007,"AAAAADZ33+E=")</f>
        <v>#VALUE!</v>
      </c>
      <c r="HS63" t="e">
        <f>AND('Planilla_General_03-12-2012_9_3'!B1007,"AAAAADZ33+I=")</f>
        <v>#VALUE!</v>
      </c>
      <c r="HT63" t="e">
        <f>AND('Planilla_General_03-12-2012_9_3'!C1007,"AAAAADZ33+M=")</f>
        <v>#VALUE!</v>
      </c>
      <c r="HU63" t="e">
        <f>AND('Planilla_General_03-12-2012_9_3'!D1007,"AAAAADZ33+Q=")</f>
        <v>#VALUE!</v>
      </c>
      <c r="HV63" t="e">
        <f>AND('Planilla_General_03-12-2012_9_3'!E1007,"AAAAADZ33+U=")</f>
        <v>#VALUE!</v>
      </c>
      <c r="HW63" t="e">
        <f>AND('Planilla_General_03-12-2012_9_3'!F1007,"AAAAADZ33+Y=")</f>
        <v>#VALUE!</v>
      </c>
      <c r="HX63" t="e">
        <f>AND('Planilla_General_03-12-2012_9_3'!G1007,"AAAAADZ33+c=")</f>
        <v>#VALUE!</v>
      </c>
      <c r="HY63" t="e">
        <f>AND('Planilla_General_03-12-2012_9_3'!H1007,"AAAAADZ33+g=")</f>
        <v>#VALUE!</v>
      </c>
      <c r="HZ63" t="e">
        <f>AND('Planilla_General_03-12-2012_9_3'!I1007,"AAAAADZ33+k=")</f>
        <v>#VALUE!</v>
      </c>
      <c r="IA63" t="e">
        <f>AND('Planilla_General_03-12-2012_9_3'!J1007,"AAAAADZ33+o=")</f>
        <v>#VALUE!</v>
      </c>
      <c r="IB63" t="e">
        <f>AND('Planilla_General_03-12-2012_9_3'!K1007,"AAAAADZ33+s=")</f>
        <v>#VALUE!</v>
      </c>
      <c r="IC63" t="e">
        <f>AND('Planilla_General_03-12-2012_9_3'!L1007,"AAAAADZ33+w=")</f>
        <v>#VALUE!</v>
      </c>
      <c r="ID63" t="e">
        <f>AND('Planilla_General_03-12-2012_9_3'!M1007,"AAAAADZ33+0=")</f>
        <v>#VALUE!</v>
      </c>
      <c r="IE63" t="e">
        <f>AND('Planilla_General_03-12-2012_9_3'!N1007,"AAAAADZ33+4=")</f>
        <v>#VALUE!</v>
      </c>
      <c r="IF63" t="e">
        <f>AND('Planilla_General_03-12-2012_9_3'!O1007,"AAAAADZ33+8=")</f>
        <v>#VALUE!</v>
      </c>
      <c r="IG63">
        <f>IF('Planilla_General_03-12-2012_9_3'!1008:1008,"AAAAADZ33/A=",0)</f>
        <v>0</v>
      </c>
      <c r="IH63" t="e">
        <f>AND('Planilla_General_03-12-2012_9_3'!A1008,"AAAAADZ33/E=")</f>
        <v>#VALUE!</v>
      </c>
      <c r="II63" t="e">
        <f>AND('Planilla_General_03-12-2012_9_3'!B1008,"AAAAADZ33/I=")</f>
        <v>#VALUE!</v>
      </c>
      <c r="IJ63" t="e">
        <f>AND('Planilla_General_03-12-2012_9_3'!C1008,"AAAAADZ33/M=")</f>
        <v>#VALUE!</v>
      </c>
      <c r="IK63" t="e">
        <f>AND('Planilla_General_03-12-2012_9_3'!D1008,"AAAAADZ33/Q=")</f>
        <v>#VALUE!</v>
      </c>
      <c r="IL63" t="e">
        <f>AND('Planilla_General_03-12-2012_9_3'!E1008,"AAAAADZ33/U=")</f>
        <v>#VALUE!</v>
      </c>
      <c r="IM63" t="e">
        <f>AND('Planilla_General_03-12-2012_9_3'!F1008,"AAAAADZ33/Y=")</f>
        <v>#VALUE!</v>
      </c>
      <c r="IN63" t="e">
        <f>AND('Planilla_General_03-12-2012_9_3'!G1008,"AAAAADZ33/c=")</f>
        <v>#VALUE!</v>
      </c>
      <c r="IO63" t="e">
        <f>AND('Planilla_General_03-12-2012_9_3'!H1008,"AAAAADZ33/g=")</f>
        <v>#VALUE!</v>
      </c>
      <c r="IP63" t="e">
        <f>AND('Planilla_General_03-12-2012_9_3'!I1008,"AAAAADZ33/k=")</f>
        <v>#VALUE!</v>
      </c>
      <c r="IQ63" t="e">
        <f>AND('Planilla_General_03-12-2012_9_3'!J1008,"AAAAADZ33/o=")</f>
        <v>#VALUE!</v>
      </c>
      <c r="IR63" t="e">
        <f>AND('Planilla_General_03-12-2012_9_3'!K1008,"AAAAADZ33/s=")</f>
        <v>#VALUE!</v>
      </c>
      <c r="IS63" t="e">
        <f>AND('Planilla_General_03-12-2012_9_3'!L1008,"AAAAADZ33/w=")</f>
        <v>#VALUE!</v>
      </c>
      <c r="IT63" t="e">
        <f>AND('Planilla_General_03-12-2012_9_3'!M1008,"AAAAADZ33/0=")</f>
        <v>#VALUE!</v>
      </c>
      <c r="IU63" t="e">
        <f>AND('Planilla_General_03-12-2012_9_3'!N1008,"AAAAADZ33/4=")</f>
        <v>#VALUE!</v>
      </c>
      <c r="IV63" t="e">
        <f>AND('Planilla_General_03-12-2012_9_3'!O1008,"AAAAADZ33/8=")</f>
        <v>#VALUE!</v>
      </c>
    </row>
    <row r="64" spans="1:256" x14ac:dyDescent="0.25">
      <c r="A64" t="e">
        <f>IF('Planilla_General_03-12-2012_9_3'!1009:1009,"AAAAAHufdwA=",0)</f>
        <v>#VALUE!</v>
      </c>
      <c r="B64" t="e">
        <f>AND('Planilla_General_03-12-2012_9_3'!A1009,"AAAAAHufdwE=")</f>
        <v>#VALUE!</v>
      </c>
      <c r="C64" t="e">
        <f>AND('Planilla_General_03-12-2012_9_3'!B1009,"AAAAAHufdwI=")</f>
        <v>#VALUE!</v>
      </c>
      <c r="D64" t="e">
        <f>AND('Planilla_General_03-12-2012_9_3'!C1009,"AAAAAHufdwM=")</f>
        <v>#VALUE!</v>
      </c>
      <c r="E64" t="e">
        <f>AND('Planilla_General_03-12-2012_9_3'!D1009,"AAAAAHufdwQ=")</f>
        <v>#VALUE!</v>
      </c>
      <c r="F64" t="e">
        <f>AND('Planilla_General_03-12-2012_9_3'!E1009,"AAAAAHufdwU=")</f>
        <v>#VALUE!</v>
      </c>
      <c r="G64" t="e">
        <f>AND('Planilla_General_03-12-2012_9_3'!F1009,"AAAAAHufdwY=")</f>
        <v>#VALUE!</v>
      </c>
      <c r="H64" t="e">
        <f>AND('Planilla_General_03-12-2012_9_3'!G1009,"AAAAAHufdwc=")</f>
        <v>#VALUE!</v>
      </c>
      <c r="I64" t="e">
        <f>AND('Planilla_General_03-12-2012_9_3'!H1009,"AAAAAHufdwg=")</f>
        <v>#VALUE!</v>
      </c>
      <c r="J64" t="e">
        <f>AND('Planilla_General_03-12-2012_9_3'!I1009,"AAAAAHufdwk=")</f>
        <v>#VALUE!</v>
      </c>
      <c r="K64" t="e">
        <f>AND('Planilla_General_03-12-2012_9_3'!J1009,"AAAAAHufdwo=")</f>
        <v>#VALUE!</v>
      </c>
      <c r="L64" t="e">
        <f>AND('Planilla_General_03-12-2012_9_3'!K1009,"AAAAAHufdws=")</f>
        <v>#VALUE!</v>
      </c>
      <c r="M64" t="e">
        <f>AND('Planilla_General_03-12-2012_9_3'!L1009,"AAAAAHufdww=")</f>
        <v>#VALUE!</v>
      </c>
      <c r="N64" t="e">
        <f>AND('Planilla_General_03-12-2012_9_3'!M1009,"AAAAAHufdw0=")</f>
        <v>#VALUE!</v>
      </c>
      <c r="O64" t="e">
        <f>AND('Planilla_General_03-12-2012_9_3'!N1009,"AAAAAHufdw4=")</f>
        <v>#VALUE!</v>
      </c>
      <c r="P64" t="e">
        <f>AND('Planilla_General_03-12-2012_9_3'!O1009,"AAAAAHufdw8=")</f>
        <v>#VALUE!</v>
      </c>
      <c r="Q64">
        <f>IF('Planilla_General_03-12-2012_9_3'!1010:1010,"AAAAAHufdxA=",0)</f>
        <v>0</v>
      </c>
      <c r="R64" t="e">
        <f>AND('Planilla_General_03-12-2012_9_3'!A1010,"AAAAAHufdxE=")</f>
        <v>#VALUE!</v>
      </c>
      <c r="S64" t="e">
        <f>AND('Planilla_General_03-12-2012_9_3'!B1010,"AAAAAHufdxI=")</f>
        <v>#VALUE!</v>
      </c>
      <c r="T64" t="e">
        <f>AND('Planilla_General_03-12-2012_9_3'!C1010,"AAAAAHufdxM=")</f>
        <v>#VALUE!</v>
      </c>
      <c r="U64" t="e">
        <f>AND('Planilla_General_03-12-2012_9_3'!D1010,"AAAAAHufdxQ=")</f>
        <v>#VALUE!</v>
      </c>
      <c r="V64" t="e">
        <f>AND('Planilla_General_03-12-2012_9_3'!E1010,"AAAAAHufdxU=")</f>
        <v>#VALUE!</v>
      </c>
      <c r="W64" t="e">
        <f>AND('Planilla_General_03-12-2012_9_3'!F1010,"AAAAAHufdxY=")</f>
        <v>#VALUE!</v>
      </c>
      <c r="X64" t="e">
        <f>AND('Planilla_General_03-12-2012_9_3'!G1010,"AAAAAHufdxc=")</f>
        <v>#VALUE!</v>
      </c>
      <c r="Y64" t="e">
        <f>AND('Planilla_General_03-12-2012_9_3'!H1010,"AAAAAHufdxg=")</f>
        <v>#VALUE!</v>
      </c>
      <c r="Z64" t="e">
        <f>AND('Planilla_General_03-12-2012_9_3'!I1010,"AAAAAHufdxk=")</f>
        <v>#VALUE!</v>
      </c>
      <c r="AA64" t="e">
        <f>AND('Planilla_General_03-12-2012_9_3'!J1010,"AAAAAHufdxo=")</f>
        <v>#VALUE!</v>
      </c>
      <c r="AB64" t="e">
        <f>AND('Planilla_General_03-12-2012_9_3'!K1010,"AAAAAHufdxs=")</f>
        <v>#VALUE!</v>
      </c>
      <c r="AC64" t="e">
        <f>AND('Planilla_General_03-12-2012_9_3'!L1010,"AAAAAHufdxw=")</f>
        <v>#VALUE!</v>
      </c>
      <c r="AD64" t="e">
        <f>AND('Planilla_General_03-12-2012_9_3'!M1010,"AAAAAHufdx0=")</f>
        <v>#VALUE!</v>
      </c>
      <c r="AE64" t="e">
        <f>AND('Planilla_General_03-12-2012_9_3'!N1010,"AAAAAHufdx4=")</f>
        <v>#VALUE!</v>
      </c>
      <c r="AF64" t="e">
        <f>AND('Planilla_General_03-12-2012_9_3'!O1010,"AAAAAHufdx8=")</f>
        <v>#VALUE!</v>
      </c>
      <c r="AG64">
        <f>IF('Planilla_General_03-12-2012_9_3'!1011:1011,"AAAAAHufdyA=",0)</f>
        <v>0</v>
      </c>
      <c r="AH64" t="e">
        <f>AND('Planilla_General_03-12-2012_9_3'!A1011,"AAAAAHufdyE=")</f>
        <v>#VALUE!</v>
      </c>
      <c r="AI64" t="e">
        <f>AND('Planilla_General_03-12-2012_9_3'!B1011,"AAAAAHufdyI=")</f>
        <v>#VALUE!</v>
      </c>
      <c r="AJ64" t="e">
        <f>AND('Planilla_General_03-12-2012_9_3'!C1011,"AAAAAHufdyM=")</f>
        <v>#VALUE!</v>
      </c>
      <c r="AK64" t="e">
        <f>AND('Planilla_General_03-12-2012_9_3'!D1011,"AAAAAHufdyQ=")</f>
        <v>#VALUE!</v>
      </c>
      <c r="AL64" t="e">
        <f>AND('Planilla_General_03-12-2012_9_3'!E1011,"AAAAAHufdyU=")</f>
        <v>#VALUE!</v>
      </c>
      <c r="AM64" t="e">
        <f>AND('Planilla_General_03-12-2012_9_3'!F1011,"AAAAAHufdyY=")</f>
        <v>#VALUE!</v>
      </c>
      <c r="AN64" t="e">
        <f>AND('Planilla_General_03-12-2012_9_3'!G1011,"AAAAAHufdyc=")</f>
        <v>#VALUE!</v>
      </c>
      <c r="AO64" t="e">
        <f>AND('Planilla_General_03-12-2012_9_3'!H1011,"AAAAAHufdyg=")</f>
        <v>#VALUE!</v>
      </c>
      <c r="AP64" t="e">
        <f>AND('Planilla_General_03-12-2012_9_3'!I1011,"AAAAAHufdyk=")</f>
        <v>#VALUE!</v>
      </c>
      <c r="AQ64" t="e">
        <f>AND('Planilla_General_03-12-2012_9_3'!J1011,"AAAAAHufdyo=")</f>
        <v>#VALUE!</v>
      </c>
      <c r="AR64" t="e">
        <f>AND('Planilla_General_03-12-2012_9_3'!K1011,"AAAAAHufdys=")</f>
        <v>#VALUE!</v>
      </c>
      <c r="AS64" t="e">
        <f>AND('Planilla_General_03-12-2012_9_3'!L1011,"AAAAAHufdyw=")</f>
        <v>#VALUE!</v>
      </c>
      <c r="AT64" t="e">
        <f>AND('Planilla_General_03-12-2012_9_3'!M1011,"AAAAAHufdy0=")</f>
        <v>#VALUE!</v>
      </c>
      <c r="AU64" t="e">
        <f>AND('Planilla_General_03-12-2012_9_3'!N1011,"AAAAAHufdy4=")</f>
        <v>#VALUE!</v>
      </c>
      <c r="AV64" t="e">
        <f>AND('Planilla_General_03-12-2012_9_3'!O1011,"AAAAAHufdy8=")</f>
        <v>#VALUE!</v>
      </c>
      <c r="AW64">
        <f>IF('Planilla_General_03-12-2012_9_3'!1012:1012,"AAAAAHufdzA=",0)</f>
        <v>0</v>
      </c>
      <c r="AX64" t="e">
        <f>AND('Planilla_General_03-12-2012_9_3'!A1012,"AAAAAHufdzE=")</f>
        <v>#VALUE!</v>
      </c>
      <c r="AY64" t="e">
        <f>AND('Planilla_General_03-12-2012_9_3'!B1012,"AAAAAHufdzI=")</f>
        <v>#VALUE!</v>
      </c>
      <c r="AZ64" t="e">
        <f>AND('Planilla_General_03-12-2012_9_3'!C1012,"AAAAAHufdzM=")</f>
        <v>#VALUE!</v>
      </c>
      <c r="BA64" t="e">
        <f>AND('Planilla_General_03-12-2012_9_3'!D1012,"AAAAAHufdzQ=")</f>
        <v>#VALUE!</v>
      </c>
      <c r="BB64" t="e">
        <f>AND('Planilla_General_03-12-2012_9_3'!E1012,"AAAAAHufdzU=")</f>
        <v>#VALUE!</v>
      </c>
      <c r="BC64" t="e">
        <f>AND('Planilla_General_03-12-2012_9_3'!F1012,"AAAAAHufdzY=")</f>
        <v>#VALUE!</v>
      </c>
      <c r="BD64" t="e">
        <f>AND('Planilla_General_03-12-2012_9_3'!G1012,"AAAAAHufdzc=")</f>
        <v>#VALUE!</v>
      </c>
      <c r="BE64" t="e">
        <f>AND('Planilla_General_03-12-2012_9_3'!H1012,"AAAAAHufdzg=")</f>
        <v>#VALUE!</v>
      </c>
      <c r="BF64" t="e">
        <f>AND('Planilla_General_03-12-2012_9_3'!I1012,"AAAAAHufdzk=")</f>
        <v>#VALUE!</v>
      </c>
      <c r="BG64" t="e">
        <f>AND('Planilla_General_03-12-2012_9_3'!J1012,"AAAAAHufdzo=")</f>
        <v>#VALUE!</v>
      </c>
      <c r="BH64" t="e">
        <f>AND('Planilla_General_03-12-2012_9_3'!K1012,"AAAAAHufdzs=")</f>
        <v>#VALUE!</v>
      </c>
      <c r="BI64" t="e">
        <f>AND('Planilla_General_03-12-2012_9_3'!L1012,"AAAAAHufdzw=")</f>
        <v>#VALUE!</v>
      </c>
      <c r="BJ64" t="e">
        <f>AND('Planilla_General_03-12-2012_9_3'!M1012,"AAAAAHufdz0=")</f>
        <v>#VALUE!</v>
      </c>
      <c r="BK64" t="e">
        <f>AND('Planilla_General_03-12-2012_9_3'!N1012,"AAAAAHufdz4=")</f>
        <v>#VALUE!</v>
      </c>
      <c r="BL64" t="e">
        <f>AND('Planilla_General_03-12-2012_9_3'!O1012,"AAAAAHufdz8=")</f>
        <v>#VALUE!</v>
      </c>
      <c r="BM64">
        <f>IF('Planilla_General_03-12-2012_9_3'!1013:1013,"AAAAAHufd0A=",0)</f>
        <v>0</v>
      </c>
      <c r="BN64" t="e">
        <f>AND('Planilla_General_03-12-2012_9_3'!A1013,"AAAAAHufd0E=")</f>
        <v>#VALUE!</v>
      </c>
      <c r="BO64" t="e">
        <f>AND('Planilla_General_03-12-2012_9_3'!B1013,"AAAAAHufd0I=")</f>
        <v>#VALUE!</v>
      </c>
      <c r="BP64" t="e">
        <f>AND('Planilla_General_03-12-2012_9_3'!C1013,"AAAAAHufd0M=")</f>
        <v>#VALUE!</v>
      </c>
      <c r="BQ64" t="e">
        <f>AND('Planilla_General_03-12-2012_9_3'!D1013,"AAAAAHufd0Q=")</f>
        <v>#VALUE!</v>
      </c>
      <c r="BR64" t="e">
        <f>AND('Planilla_General_03-12-2012_9_3'!E1013,"AAAAAHufd0U=")</f>
        <v>#VALUE!</v>
      </c>
      <c r="BS64" t="e">
        <f>AND('Planilla_General_03-12-2012_9_3'!F1013,"AAAAAHufd0Y=")</f>
        <v>#VALUE!</v>
      </c>
      <c r="BT64" t="e">
        <f>AND('Planilla_General_03-12-2012_9_3'!G1013,"AAAAAHufd0c=")</f>
        <v>#VALUE!</v>
      </c>
      <c r="BU64" t="e">
        <f>AND('Planilla_General_03-12-2012_9_3'!H1013,"AAAAAHufd0g=")</f>
        <v>#VALUE!</v>
      </c>
      <c r="BV64" t="e">
        <f>AND('Planilla_General_03-12-2012_9_3'!I1013,"AAAAAHufd0k=")</f>
        <v>#VALUE!</v>
      </c>
      <c r="BW64" t="e">
        <f>AND('Planilla_General_03-12-2012_9_3'!J1013,"AAAAAHufd0o=")</f>
        <v>#VALUE!</v>
      </c>
      <c r="BX64" t="e">
        <f>AND('Planilla_General_03-12-2012_9_3'!K1013,"AAAAAHufd0s=")</f>
        <v>#VALUE!</v>
      </c>
      <c r="BY64" t="e">
        <f>AND('Planilla_General_03-12-2012_9_3'!L1013,"AAAAAHufd0w=")</f>
        <v>#VALUE!</v>
      </c>
      <c r="BZ64" t="e">
        <f>AND('Planilla_General_03-12-2012_9_3'!M1013,"AAAAAHufd00=")</f>
        <v>#VALUE!</v>
      </c>
      <c r="CA64" t="e">
        <f>AND('Planilla_General_03-12-2012_9_3'!N1013,"AAAAAHufd04=")</f>
        <v>#VALUE!</v>
      </c>
      <c r="CB64" t="e">
        <f>AND('Planilla_General_03-12-2012_9_3'!O1013,"AAAAAHufd08=")</f>
        <v>#VALUE!</v>
      </c>
      <c r="CC64">
        <f>IF('Planilla_General_03-12-2012_9_3'!1014:1014,"AAAAAHufd1A=",0)</f>
        <v>0</v>
      </c>
      <c r="CD64" t="e">
        <f>AND('Planilla_General_03-12-2012_9_3'!A1014,"AAAAAHufd1E=")</f>
        <v>#VALUE!</v>
      </c>
      <c r="CE64" t="e">
        <f>AND('Planilla_General_03-12-2012_9_3'!B1014,"AAAAAHufd1I=")</f>
        <v>#VALUE!</v>
      </c>
      <c r="CF64" t="e">
        <f>AND('Planilla_General_03-12-2012_9_3'!C1014,"AAAAAHufd1M=")</f>
        <v>#VALUE!</v>
      </c>
      <c r="CG64" t="e">
        <f>AND('Planilla_General_03-12-2012_9_3'!D1014,"AAAAAHufd1Q=")</f>
        <v>#VALUE!</v>
      </c>
      <c r="CH64" t="e">
        <f>AND('Planilla_General_03-12-2012_9_3'!E1014,"AAAAAHufd1U=")</f>
        <v>#VALUE!</v>
      </c>
      <c r="CI64" t="e">
        <f>AND('Planilla_General_03-12-2012_9_3'!F1014,"AAAAAHufd1Y=")</f>
        <v>#VALUE!</v>
      </c>
      <c r="CJ64" t="e">
        <f>AND('Planilla_General_03-12-2012_9_3'!G1014,"AAAAAHufd1c=")</f>
        <v>#VALUE!</v>
      </c>
      <c r="CK64" t="e">
        <f>AND('Planilla_General_03-12-2012_9_3'!H1014,"AAAAAHufd1g=")</f>
        <v>#VALUE!</v>
      </c>
      <c r="CL64" t="e">
        <f>AND('Planilla_General_03-12-2012_9_3'!I1014,"AAAAAHufd1k=")</f>
        <v>#VALUE!</v>
      </c>
      <c r="CM64" t="e">
        <f>AND('Planilla_General_03-12-2012_9_3'!J1014,"AAAAAHufd1o=")</f>
        <v>#VALUE!</v>
      </c>
      <c r="CN64" t="e">
        <f>AND('Planilla_General_03-12-2012_9_3'!K1014,"AAAAAHufd1s=")</f>
        <v>#VALUE!</v>
      </c>
      <c r="CO64" t="e">
        <f>AND('Planilla_General_03-12-2012_9_3'!L1014,"AAAAAHufd1w=")</f>
        <v>#VALUE!</v>
      </c>
      <c r="CP64" t="e">
        <f>AND('Planilla_General_03-12-2012_9_3'!M1014,"AAAAAHufd10=")</f>
        <v>#VALUE!</v>
      </c>
      <c r="CQ64" t="e">
        <f>AND('Planilla_General_03-12-2012_9_3'!N1014,"AAAAAHufd14=")</f>
        <v>#VALUE!</v>
      </c>
      <c r="CR64" t="e">
        <f>AND('Planilla_General_03-12-2012_9_3'!O1014,"AAAAAHufd18=")</f>
        <v>#VALUE!</v>
      </c>
      <c r="CS64">
        <f>IF('Planilla_General_03-12-2012_9_3'!1015:1015,"AAAAAHufd2A=",0)</f>
        <v>0</v>
      </c>
      <c r="CT64" t="e">
        <f>AND('Planilla_General_03-12-2012_9_3'!A1015,"AAAAAHufd2E=")</f>
        <v>#VALUE!</v>
      </c>
      <c r="CU64" t="e">
        <f>AND('Planilla_General_03-12-2012_9_3'!B1015,"AAAAAHufd2I=")</f>
        <v>#VALUE!</v>
      </c>
      <c r="CV64" t="e">
        <f>AND('Planilla_General_03-12-2012_9_3'!C1015,"AAAAAHufd2M=")</f>
        <v>#VALUE!</v>
      </c>
      <c r="CW64" t="e">
        <f>AND('Planilla_General_03-12-2012_9_3'!D1015,"AAAAAHufd2Q=")</f>
        <v>#VALUE!</v>
      </c>
      <c r="CX64" t="e">
        <f>AND('Planilla_General_03-12-2012_9_3'!E1015,"AAAAAHufd2U=")</f>
        <v>#VALUE!</v>
      </c>
      <c r="CY64" t="e">
        <f>AND('Planilla_General_03-12-2012_9_3'!F1015,"AAAAAHufd2Y=")</f>
        <v>#VALUE!</v>
      </c>
      <c r="CZ64" t="e">
        <f>AND('Planilla_General_03-12-2012_9_3'!G1015,"AAAAAHufd2c=")</f>
        <v>#VALUE!</v>
      </c>
      <c r="DA64" t="e">
        <f>AND('Planilla_General_03-12-2012_9_3'!H1015,"AAAAAHufd2g=")</f>
        <v>#VALUE!</v>
      </c>
      <c r="DB64" t="e">
        <f>AND('Planilla_General_03-12-2012_9_3'!I1015,"AAAAAHufd2k=")</f>
        <v>#VALUE!</v>
      </c>
      <c r="DC64" t="e">
        <f>AND('Planilla_General_03-12-2012_9_3'!J1015,"AAAAAHufd2o=")</f>
        <v>#VALUE!</v>
      </c>
      <c r="DD64" t="e">
        <f>AND('Planilla_General_03-12-2012_9_3'!K1015,"AAAAAHufd2s=")</f>
        <v>#VALUE!</v>
      </c>
      <c r="DE64" t="e">
        <f>AND('Planilla_General_03-12-2012_9_3'!L1015,"AAAAAHufd2w=")</f>
        <v>#VALUE!</v>
      </c>
      <c r="DF64" t="e">
        <f>AND('Planilla_General_03-12-2012_9_3'!M1015,"AAAAAHufd20=")</f>
        <v>#VALUE!</v>
      </c>
      <c r="DG64" t="e">
        <f>AND('Planilla_General_03-12-2012_9_3'!N1015,"AAAAAHufd24=")</f>
        <v>#VALUE!</v>
      </c>
      <c r="DH64" t="e">
        <f>AND('Planilla_General_03-12-2012_9_3'!O1015,"AAAAAHufd28=")</f>
        <v>#VALUE!</v>
      </c>
      <c r="DI64">
        <f>IF('Planilla_General_03-12-2012_9_3'!1016:1016,"AAAAAHufd3A=",0)</f>
        <v>0</v>
      </c>
      <c r="DJ64" t="e">
        <f>AND('Planilla_General_03-12-2012_9_3'!A1016,"AAAAAHufd3E=")</f>
        <v>#VALUE!</v>
      </c>
      <c r="DK64" t="e">
        <f>AND('Planilla_General_03-12-2012_9_3'!B1016,"AAAAAHufd3I=")</f>
        <v>#VALUE!</v>
      </c>
      <c r="DL64" t="e">
        <f>AND('Planilla_General_03-12-2012_9_3'!C1016,"AAAAAHufd3M=")</f>
        <v>#VALUE!</v>
      </c>
      <c r="DM64" t="e">
        <f>AND('Planilla_General_03-12-2012_9_3'!D1016,"AAAAAHufd3Q=")</f>
        <v>#VALUE!</v>
      </c>
      <c r="DN64" t="e">
        <f>AND('Planilla_General_03-12-2012_9_3'!E1016,"AAAAAHufd3U=")</f>
        <v>#VALUE!</v>
      </c>
      <c r="DO64" t="e">
        <f>AND('Planilla_General_03-12-2012_9_3'!F1016,"AAAAAHufd3Y=")</f>
        <v>#VALUE!</v>
      </c>
      <c r="DP64" t="e">
        <f>AND('Planilla_General_03-12-2012_9_3'!G1016,"AAAAAHufd3c=")</f>
        <v>#VALUE!</v>
      </c>
      <c r="DQ64" t="e">
        <f>AND('Planilla_General_03-12-2012_9_3'!H1016,"AAAAAHufd3g=")</f>
        <v>#VALUE!</v>
      </c>
      <c r="DR64" t="e">
        <f>AND('Planilla_General_03-12-2012_9_3'!I1016,"AAAAAHufd3k=")</f>
        <v>#VALUE!</v>
      </c>
      <c r="DS64" t="e">
        <f>AND('Planilla_General_03-12-2012_9_3'!J1016,"AAAAAHufd3o=")</f>
        <v>#VALUE!</v>
      </c>
      <c r="DT64" t="e">
        <f>AND('Planilla_General_03-12-2012_9_3'!K1016,"AAAAAHufd3s=")</f>
        <v>#VALUE!</v>
      </c>
      <c r="DU64" t="e">
        <f>AND('Planilla_General_03-12-2012_9_3'!L1016,"AAAAAHufd3w=")</f>
        <v>#VALUE!</v>
      </c>
      <c r="DV64" t="e">
        <f>AND('Planilla_General_03-12-2012_9_3'!M1016,"AAAAAHufd30=")</f>
        <v>#VALUE!</v>
      </c>
      <c r="DW64" t="e">
        <f>AND('Planilla_General_03-12-2012_9_3'!N1016,"AAAAAHufd34=")</f>
        <v>#VALUE!</v>
      </c>
      <c r="DX64" t="e">
        <f>AND('Planilla_General_03-12-2012_9_3'!O1016,"AAAAAHufd38=")</f>
        <v>#VALUE!</v>
      </c>
      <c r="DY64">
        <f>IF('Planilla_General_03-12-2012_9_3'!1017:1017,"AAAAAHufd4A=",0)</f>
        <v>0</v>
      </c>
      <c r="DZ64" t="e">
        <f>AND('Planilla_General_03-12-2012_9_3'!A1017,"AAAAAHufd4E=")</f>
        <v>#VALUE!</v>
      </c>
      <c r="EA64" t="e">
        <f>AND('Planilla_General_03-12-2012_9_3'!B1017,"AAAAAHufd4I=")</f>
        <v>#VALUE!</v>
      </c>
      <c r="EB64" t="e">
        <f>AND('Planilla_General_03-12-2012_9_3'!C1017,"AAAAAHufd4M=")</f>
        <v>#VALUE!</v>
      </c>
      <c r="EC64" t="e">
        <f>AND('Planilla_General_03-12-2012_9_3'!D1017,"AAAAAHufd4Q=")</f>
        <v>#VALUE!</v>
      </c>
      <c r="ED64" t="e">
        <f>AND('Planilla_General_03-12-2012_9_3'!E1017,"AAAAAHufd4U=")</f>
        <v>#VALUE!</v>
      </c>
      <c r="EE64" t="e">
        <f>AND('Planilla_General_03-12-2012_9_3'!F1017,"AAAAAHufd4Y=")</f>
        <v>#VALUE!</v>
      </c>
      <c r="EF64" t="e">
        <f>AND('Planilla_General_03-12-2012_9_3'!G1017,"AAAAAHufd4c=")</f>
        <v>#VALUE!</v>
      </c>
      <c r="EG64" t="e">
        <f>AND('Planilla_General_03-12-2012_9_3'!H1017,"AAAAAHufd4g=")</f>
        <v>#VALUE!</v>
      </c>
      <c r="EH64" t="e">
        <f>AND('Planilla_General_03-12-2012_9_3'!I1017,"AAAAAHufd4k=")</f>
        <v>#VALUE!</v>
      </c>
      <c r="EI64" t="e">
        <f>AND('Planilla_General_03-12-2012_9_3'!J1017,"AAAAAHufd4o=")</f>
        <v>#VALUE!</v>
      </c>
      <c r="EJ64" t="e">
        <f>AND('Planilla_General_03-12-2012_9_3'!K1017,"AAAAAHufd4s=")</f>
        <v>#VALUE!</v>
      </c>
      <c r="EK64" t="e">
        <f>AND('Planilla_General_03-12-2012_9_3'!L1017,"AAAAAHufd4w=")</f>
        <v>#VALUE!</v>
      </c>
      <c r="EL64" t="e">
        <f>AND('Planilla_General_03-12-2012_9_3'!M1017,"AAAAAHufd40=")</f>
        <v>#VALUE!</v>
      </c>
      <c r="EM64" t="e">
        <f>AND('Planilla_General_03-12-2012_9_3'!N1017,"AAAAAHufd44=")</f>
        <v>#VALUE!</v>
      </c>
      <c r="EN64" t="e">
        <f>AND('Planilla_General_03-12-2012_9_3'!O1017,"AAAAAHufd48=")</f>
        <v>#VALUE!</v>
      </c>
      <c r="EO64">
        <f>IF('Planilla_General_03-12-2012_9_3'!1018:1018,"AAAAAHufd5A=",0)</f>
        <v>0</v>
      </c>
      <c r="EP64" t="e">
        <f>AND('Planilla_General_03-12-2012_9_3'!A1018,"AAAAAHufd5E=")</f>
        <v>#VALUE!</v>
      </c>
      <c r="EQ64" t="e">
        <f>AND('Planilla_General_03-12-2012_9_3'!B1018,"AAAAAHufd5I=")</f>
        <v>#VALUE!</v>
      </c>
      <c r="ER64" t="e">
        <f>AND('Planilla_General_03-12-2012_9_3'!C1018,"AAAAAHufd5M=")</f>
        <v>#VALUE!</v>
      </c>
      <c r="ES64" t="e">
        <f>AND('Planilla_General_03-12-2012_9_3'!D1018,"AAAAAHufd5Q=")</f>
        <v>#VALUE!</v>
      </c>
      <c r="ET64" t="e">
        <f>AND('Planilla_General_03-12-2012_9_3'!E1018,"AAAAAHufd5U=")</f>
        <v>#VALUE!</v>
      </c>
      <c r="EU64" t="e">
        <f>AND('Planilla_General_03-12-2012_9_3'!F1018,"AAAAAHufd5Y=")</f>
        <v>#VALUE!</v>
      </c>
      <c r="EV64" t="e">
        <f>AND('Planilla_General_03-12-2012_9_3'!G1018,"AAAAAHufd5c=")</f>
        <v>#VALUE!</v>
      </c>
      <c r="EW64" t="e">
        <f>AND('Planilla_General_03-12-2012_9_3'!H1018,"AAAAAHufd5g=")</f>
        <v>#VALUE!</v>
      </c>
      <c r="EX64" t="e">
        <f>AND('Planilla_General_03-12-2012_9_3'!I1018,"AAAAAHufd5k=")</f>
        <v>#VALUE!</v>
      </c>
      <c r="EY64" t="e">
        <f>AND('Planilla_General_03-12-2012_9_3'!J1018,"AAAAAHufd5o=")</f>
        <v>#VALUE!</v>
      </c>
      <c r="EZ64" t="e">
        <f>AND('Planilla_General_03-12-2012_9_3'!K1018,"AAAAAHufd5s=")</f>
        <v>#VALUE!</v>
      </c>
      <c r="FA64" t="e">
        <f>AND('Planilla_General_03-12-2012_9_3'!L1018,"AAAAAHufd5w=")</f>
        <v>#VALUE!</v>
      </c>
      <c r="FB64" t="e">
        <f>AND('Planilla_General_03-12-2012_9_3'!M1018,"AAAAAHufd50=")</f>
        <v>#VALUE!</v>
      </c>
      <c r="FC64" t="e">
        <f>AND('Planilla_General_03-12-2012_9_3'!N1018,"AAAAAHufd54=")</f>
        <v>#VALUE!</v>
      </c>
      <c r="FD64" t="e">
        <f>AND('Planilla_General_03-12-2012_9_3'!O1018,"AAAAAHufd58=")</f>
        <v>#VALUE!</v>
      </c>
      <c r="FE64">
        <f>IF('Planilla_General_03-12-2012_9_3'!1019:1019,"AAAAAHufd6A=",0)</f>
        <v>0</v>
      </c>
      <c r="FF64" t="e">
        <f>AND('Planilla_General_03-12-2012_9_3'!A1019,"AAAAAHufd6E=")</f>
        <v>#VALUE!</v>
      </c>
      <c r="FG64" t="e">
        <f>AND('Planilla_General_03-12-2012_9_3'!B1019,"AAAAAHufd6I=")</f>
        <v>#VALUE!</v>
      </c>
      <c r="FH64" t="e">
        <f>AND('Planilla_General_03-12-2012_9_3'!C1019,"AAAAAHufd6M=")</f>
        <v>#VALUE!</v>
      </c>
      <c r="FI64" t="e">
        <f>AND('Planilla_General_03-12-2012_9_3'!D1019,"AAAAAHufd6Q=")</f>
        <v>#VALUE!</v>
      </c>
      <c r="FJ64" t="e">
        <f>AND('Planilla_General_03-12-2012_9_3'!E1019,"AAAAAHufd6U=")</f>
        <v>#VALUE!</v>
      </c>
      <c r="FK64" t="e">
        <f>AND('Planilla_General_03-12-2012_9_3'!F1019,"AAAAAHufd6Y=")</f>
        <v>#VALUE!</v>
      </c>
      <c r="FL64" t="e">
        <f>AND('Planilla_General_03-12-2012_9_3'!G1019,"AAAAAHufd6c=")</f>
        <v>#VALUE!</v>
      </c>
      <c r="FM64" t="e">
        <f>AND('Planilla_General_03-12-2012_9_3'!H1019,"AAAAAHufd6g=")</f>
        <v>#VALUE!</v>
      </c>
      <c r="FN64" t="e">
        <f>AND('Planilla_General_03-12-2012_9_3'!I1019,"AAAAAHufd6k=")</f>
        <v>#VALUE!</v>
      </c>
      <c r="FO64" t="e">
        <f>AND('Planilla_General_03-12-2012_9_3'!J1019,"AAAAAHufd6o=")</f>
        <v>#VALUE!</v>
      </c>
      <c r="FP64" t="e">
        <f>AND('Planilla_General_03-12-2012_9_3'!K1019,"AAAAAHufd6s=")</f>
        <v>#VALUE!</v>
      </c>
      <c r="FQ64" t="e">
        <f>AND('Planilla_General_03-12-2012_9_3'!L1019,"AAAAAHufd6w=")</f>
        <v>#VALUE!</v>
      </c>
      <c r="FR64" t="e">
        <f>AND('Planilla_General_03-12-2012_9_3'!M1019,"AAAAAHufd60=")</f>
        <v>#VALUE!</v>
      </c>
      <c r="FS64" t="e">
        <f>AND('Planilla_General_03-12-2012_9_3'!N1019,"AAAAAHufd64=")</f>
        <v>#VALUE!</v>
      </c>
      <c r="FT64" t="e">
        <f>AND('Planilla_General_03-12-2012_9_3'!O1019,"AAAAAHufd68=")</f>
        <v>#VALUE!</v>
      </c>
      <c r="FU64">
        <f>IF('Planilla_General_03-12-2012_9_3'!1020:1020,"AAAAAHufd7A=",0)</f>
        <v>0</v>
      </c>
      <c r="FV64" t="e">
        <f>AND('Planilla_General_03-12-2012_9_3'!A1020,"AAAAAHufd7E=")</f>
        <v>#VALUE!</v>
      </c>
      <c r="FW64" t="e">
        <f>AND('Planilla_General_03-12-2012_9_3'!B1020,"AAAAAHufd7I=")</f>
        <v>#VALUE!</v>
      </c>
      <c r="FX64" t="e">
        <f>AND('Planilla_General_03-12-2012_9_3'!C1020,"AAAAAHufd7M=")</f>
        <v>#VALUE!</v>
      </c>
      <c r="FY64" t="e">
        <f>AND('Planilla_General_03-12-2012_9_3'!D1020,"AAAAAHufd7Q=")</f>
        <v>#VALUE!</v>
      </c>
      <c r="FZ64" t="e">
        <f>AND('Planilla_General_03-12-2012_9_3'!E1020,"AAAAAHufd7U=")</f>
        <v>#VALUE!</v>
      </c>
      <c r="GA64" t="e">
        <f>AND('Planilla_General_03-12-2012_9_3'!F1020,"AAAAAHufd7Y=")</f>
        <v>#VALUE!</v>
      </c>
      <c r="GB64" t="e">
        <f>AND('Planilla_General_03-12-2012_9_3'!G1020,"AAAAAHufd7c=")</f>
        <v>#VALUE!</v>
      </c>
      <c r="GC64" t="e">
        <f>AND('Planilla_General_03-12-2012_9_3'!H1020,"AAAAAHufd7g=")</f>
        <v>#VALUE!</v>
      </c>
      <c r="GD64" t="e">
        <f>AND('Planilla_General_03-12-2012_9_3'!I1020,"AAAAAHufd7k=")</f>
        <v>#VALUE!</v>
      </c>
      <c r="GE64" t="e">
        <f>AND('Planilla_General_03-12-2012_9_3'!J1020,"AAAAAHufd7o=")</f>
        <v>#VALUE!</v>
      </c>
      <c r="GF64" t="e">
        <f>AND('Planilla_General_03-12-2012_9_3'!K1020,"AAAAAHufd7s=")</f>
        <v>#VALUE!</v>
      </c>
      <c r="GG64" t="e">
        <f>AND('Planilla_General_03-12-2012_9_3'!L1020,"AAAAAHufd7w=")</f>
        <v>#VALUE!</v>
      </c>
      <c r="GH64" t="e">
        <f>AND('Planilla_General_03-12-2012_9_3'!M1020,"AAAAAHufd70=")</f>
        <v>#VALUE!</v>
      </c>
      <c r="GI64" t="e">
        <f>AND('Planilla_General_03-12-2012_9_3'!N1020,"AAAAAHufd74=")</f>
        <v>#VALUE!</v>
      </c>
      <c r="GJ64" t="e">
        <f>AND('Planilla_General_03-12-2012_9_3'!O1020,"AAAAAHufd78=")</f>
        <v>#VALUE!</v>
      </c>
      <c r="GK64">
        <f>IF('Planilla_General_03-12-2012_9_3'!1021:1021,"AAAAAHufd8A=",0)</f>
        <v>0</v>
      </c>
      <c r="GL64" t="e">
        <f>AND('Planilla_General_03-12-2012_9_3'!A1021,"AAAAAHufd8E=")</f>
        <v>#VALUE!</v>
      </c>
      <c r="GM64" t="e">
        <f>AND('Planilla_General_03-12-2012_9_3'!B1021,"AAAAAHufd8I=")</f>
        <v>#VALUE!</v>
      </c>
      <c r="GN64" t="e">
        <f>AND('Planilla_General_03-12-2012_9_3'!C1021,"AAAAAHufd8M=")</f>
        <v>#VALUE!</v>
      </c>
      <c r="GO64" t="e">
        <f>AND('Planilla_General_03-12-2012_9_3'!D1021,"AAAAAHufd8Q=")</f>
        <v>#VALUE!</v>
      </c>
      <c r="GP64" t="e">
        <f>AND('Planilla_General_03-12-2012_9_3'!E1021,"AAAAAHufd8U=")</f>
        <v>#VALUE!</v>
      </c>
      <c r="GQ64" t="e">
        <f>AND('Planilla_General_03-12-2012_9_3'!F1021,"AAAAAHufd8Y=")</f>
        <v>#VALUE!</v>
      </c>
      <c r="GR64" t="e">
        <f>AND('Planilla_General_03-12-2012_9_3'!G1021,"AAAAAHufd8c=")</f>
        <v>#VALUE!</v>
      </c>
      <c r="GS64" t="e">
        <f>AND('Planilla_General_03-12-2012_9_3'!H1021,"AAAAAHufd8g=")</f>
        <v>#VALUE!</v>
      </c>
      <c r="GT64" t="e">
        <f>AND('Planilla_General_03-12-2012_9_3'!I1021,"AAAAAHufd8k=")</f>
        <v>#VALUE!</v>
      </c>
      <c r="GU64" t="e">
        <f>AND('Planilla_General_03-12-2012_9_3'!J1021,"AAAAAHufd8o=")</f>
        <v>#VALUE!</v>
      </c>
      <c r="GV64" t="e">
        <f>AND('Planilla_General_03-12-2012_9_3'!K1021,"AAAAAHufd8s=")</f>
        <v>#VALUE!</v>
      </c>
      <c r="GW64" t="e">
        <f>AND('Planilla_General_03-12-2012_9_3'!L1021,"AAAAAHufd8w=")</f>
        <v>#VALUE!</v>
      </c>
      <c r="GX64" t="e">
        <f>AND('Planilla_General_03-12-2012_9_3'!M1021,"AAAAAHufd80=")</f>
        <v>#VALUE!</v>
      </c>
      <c r="GY64" t="e">
        <f>AND('Planilla_General_03-12-2012_9_3'!N1021,"AAAAAHufd84=")</f>
        <v>#VALUE!</v>
      </c>
      <c r="GZ64" t="e">
        <f>AND('Planilla_General_03-12-2012_9_3'!O1021,"AAAAAHufd88=")</f>
        <v>#VALUE!</v>
      </c>
      <c r="HA64">
        <f>IF('Planilla_General_03-12-2012_9_3'!1022:1022,"AAAAAHufd9A=",0)</f>
        <v>0</v>
      </c>
      <c r="HB64" t="e">
        <f>AND('Planilla_General_03-12-2012_9_3'!A1022,"AAAAAHufd9E=")</f>
        <v>#VALUE!</v>
      </c>
      <c r="HC64" t="e">
        <f>AND('Planilla_General_03-12-2012_9_3'!B1022,"AAAAAHufd9I=")</f>
        <v>#VALUE!</v>
      </c>
      <c r="HD64" t="e">
        <f>AND('Planilla_General_03-12-2012_9_3'!C1022,"AAAAAHufd9M=")</f>
        <v>#VALUE!</v>
      </c>
      <c r="HE64" t="e">
        <f>AND('Planilla_General_03-12-2012_9_3'!D1022,"AAAAAHufd9Q=")</f>
        <v>#VALUE!</v>
      </c>
      <c r="HF64" t="e">
        <f>AND('Planilla_General_03-12-2012_9_3'!E1022,"AAAAAHufd9U=")</f>
        <v>#VALUE!</v>
      </c>
      <c r="HG64" t="e">
        <f>AND('Planilla_General_03-12-2012_9_3'!F1022,"AAAAAHufd9Y=")</f>
        <v>#VALUE!</v>
      </c>
      <c r="HH64" t="e">
        <f>AND('Planilla_General_03-12-2012_9_3'!G1022,"AAAAAHufd9c=")</f>
        <v>#VALUE!</v>
      </c>
      <c r="HI64" t="e">
        <f>AND('Planilla_General_03-12-2012_9_3'!H1022,"AAAAAHufd9g=")</f>
        <v>#VALUE!</v>
      </c>
      <c r="HJ64" t="e">
        <f>AND('Planilla_General_03-12-2012_9_3'!I1022,"AAAAAHufd9k=")</f>
        <v>#VALUE!</v>
      </c>
      <c r="HK64" t="e">
        <f>AND('Planilla_General_03-12-2012_9_3'!J1022,"AAAAAHufd9o=")</f>
        <v>#VALUE!</v>
      </c>
      <c r="HL64" t="e">
        <f>AND('Planilla_General_03-12-2012_9_3'!K1022,"AAAAAHufd9s=")</f>
        <v>#VALUE!</v>
      </c>
      <c r="HM64" t="e">
        <f>AND('Planilla_General_03-12-2012_9_3'!L1022,"AAAAAHufd9w=")</f>
        <v>#VALUE!</v>
      </c>
      <c r="HN64" t="e">
        <f>AND('Planilla_General_03-12-2012_9_3'!M1022,"AAAAAHufd90=")</f>
        <v>#VALUE!</v>
      </c>
      <c r="HO64" t="e">
        <f>AND('Planilla_General_03-12-2012_9_3'!N1022,"AAAAAHufd94=")</f>
        <v>#VALUE!</v>
      </c>
      <c r="HP64" t="e">
        <f>AND('Planilla_General_03-12-2012_9_3'!O1022,"AAAAAHufd98=")</f>
        <v>#VALUE!</v>
      </c>
      <c r="HQ64">
        <f>IF('Planilla_General_03-12-2012_9_3'!1023:1023,"AAAAAHufd+A=",0)</f>
        <v>0</v>
      </c>
      <c r="HR64" t="e">
        <f>AND('Planilla_General_03-12-2012_9_3'!A1023,"AAAAAHufd+E=")</f>
        <v>#VALUE!</v>
      </c>
      <c r="HS64" t="e">
        <f>AND('Planilla_General_03-12-2012_9_3'!B1023,"AAAAAHufd+I=")</f>
        <v>#VALUE!</v>
      </c>
      <c r="HT64" t="e">
        <f>AND('Planilla_General_03-12-2012_9_3'!C1023,"AAAAAHufd+M=")</f>
        <v>#VALUE!</v>
      </c>
      <c r="HU64" t="e">
        <f>AND('Planilla_General_03-12-2012_9_3'!D1023,"AAAAAHufd+Q=")</f>
        <v>#VALUE!</v>
      </c>
      <c r="HV64" t="e">
        <f>AND('Planilla_General_03-12-2012_9_3'!E1023,"AAAAAHufd+U=")</f>
        <v>#VALUE!</v>
      </c>
      <c r="HW64" t="e">
        <f>AND('Planilla_General_03-12-2012_9_3'!F1023,"AAAAAHufd+Y=")</f>
        <v>#VALUE!</v>
      </c>
      <c r="HX64" t="e">
        <f>AND('Planilla_General_03-12-2012_9_3'!G1023,"AAAAAHufd+c=")</f>
        <v>#VALUE!</v>
      </c>
      <c r="HY64" t="e">
        <f>AND('Planilla_General_03-12-2012_9_3'!H1023,"AAAAAHufd+g=")</f>
        <v>#VALUE!</v>
      </c>
      <c r="HZ64" t="e">
        <f>AND('Planilla_General_03-12-2012_9_3'!I1023,"AAAAAHufd+k=")</f>
        <v>#VALUE!</v>
      </c>
      <c r="IA64" t="e">
        <f>AND('Planilla_General_03-12-2012_9_3'!J1023,"AAAAAHufd+o=")</f>
        <v>#VALUE!</v>
      </c>
      <c r="IB64" t="e">
        <f>AND('Planilla_General_03-12-2012_9_3'!K1023,"AAAAAHufd+s=")</f>
        <v>#VALUE!</v>
      </c>
      <c r="IC64" t="e">
        <f>AND('Planilla_General_03-12-2012_9_3'!L1023,"AAAAAHufd+w=")</f>
        <v>#VALUE!</v>
      </c>
      <c r="ID64" t="e">
        <f>AND('Planilla_General_03-12-2012_9_3'!M1023,"AAAAAHufd+0=")</f>
        <v>#VALUE!</v>
      </c>
      <c r="IE64" t="e">
        <f>AND('Planilla_General_03-12-2012_9_3'!N1023,"AAAAAHufd+4=")</f>
        <v>#VALUE!</v>
      </c>
      <c r="IF64" t="e">
        <f>AND('Planilla_General_03-12-2012_9_3'!O1023,"AAAAAHufd+8=")</f>
        <v>#VALUE!</v>
      </c>
      <c r="IG64">
        <f>IF('Planilla_General_03-12-2012_9_3'!1024:1024,"AAAAAHufd/A=",0)</f>
        <v>0</v>
      </c>
      <c r="IH64" t="e">
        <f>AND('Planilla_General_03-12-2012_9_3'!A1024,"AAAAAHufd/E=")</f>
        <v>#VALUE!</v>
      </c>
      <c r="II64" t="e">
        <f>AND('Planilla_General_03-12-2012_9_3'!B1024,"AAAAAHufd/I=")</f>
        <v>#VALUE!</v>
      </c>
      <c r="IJ64" t="e">
        <f>AND('Planilla_General_03-12-2012_9_3'!C1024,"AAAAAHufd/M=")</f>
        <v>#VALUE!</v>
      </c>
      <c r="IK64" t="e">
        <f>AND('Planilla_General_03-12-2012_9_3'!D1024,"AAAAAHufd/Q=")</f>
        <v>#VALUE!</v>
      </c>
      <c r="IL64" t="e">
        <f>AND('Planilla_General_03-12-2012_9_3'!E1024,"AAAAAHufd/U=")</f>
        <v>#VALUE!</v>
      </c>
      <c r="IM64" t="e">
        <f>AND('Planilla_General_03-12-2012_9_3'!F1024,"AAAAAHufd/Y=")</f>
        <v>#VALUE!</v>
      </c>
      <c r="IN64" t="e">
        <f>AND('Planilla_General_03-12-2012_9_3'!G1024,"AAAAAHufd/c=")</f>
        <v>#VALUE!</v>
      </c>
      <c r="IO64" t="e">
        <f>AND('Planilla_General_03-12-2012_9_3'!H1024,"AAAAAHufd/g=")</f>
        <v>#VALUE!</v>
      </c>
      <c r="IP64" t="e">
        <f>AND('Planilla_General_03-12-2012_9_3'!I1024,"AAAAAHufd/k=")</f>
        <v>#VALUE!</v>
      </c>
      <c r="IQ64" t="e">
        <f>AND('Planilla_General_03-12-2012_9_3'!J1024,"AAAAAHufd/o=")</f>
        <v>#VALUE!</v>
      </c>
      <c r="IR64" t="e">
        <f>AND('Planilla_General_03-12-2012_9_3'!K1024,"AAAAAHufd/s=")</f>
        <v>#VALUE!</v>
      </c>
      <c r="IS64" t="e">
        <f>AND('Planilla_General_03-12-2012_9_3'!L1024,"AAAAAHufd/w=")</f>
        <v>#VALUE!</v>
      </c>
      <c r="IT64" t="e">
        <f>AND('Planilla_General_03-12-2012_9_3'!M1024,"AAAAAHufd/0=")</f>
        <v>#VALUE!</v>
      </c>
      <c r="IU64" t="e">
        <f>AND('Planilla_General_03-12-2012_9_3'!N1024,"AAAAAHufd/4=")</f>
        <v>#VALUE!</v>
      </c>
      <c r="IV64" t="e">
        <f>AND('Planilla_General_03-12-2012_9_3'!O1024,"AAAAAHufd/8=")</f>
        <v>#VALUE!</v>
      </c>
    </row>
    <row r="65" spans="1:256" x14ac:dyDescent="0.25">
      <c r="A65" t="e">
        <f>IF('Planilla_General_03-12-2012_9_3'!1025:1025,"AAAAAE7/6gA=",0)</f>
        <v>#VALUE!</v>
      </c>
      <c r="B65" t="e">
        <f>AND('Planilla_General_03-12-2012_9_3'!A1025,"AAAAAE7/6gE=")</f>
        <v>#VALUE!</v>
      </c>
      <c r="C65" t="e">
        <f>AND('Planilla_General_03-12-2012_9_3'!B1025,"AAAAAE7/6gI=")</f>
        <v>#VALUE!</v>
      </c>
      <c r="D65" t="e">
        <f>AND('Planilla_General_03-12-2012_9_3'!C1025,"AAAAAE7/6gM=")</f>
        <v>#VALUE!</v>
      </c>
      <c r="E65" t="e">
        <f>AND('Planilla_General_03-12-2012_9_3'!D1025,"AAAAAE7/6gQ=")</f>
        <v>#VALUE!</v>
      </c>
      <c r="F65" t="e">
        <f>AND('Planilla_General_03-12-2012_9_3'!E1025,"AAAAAE7/6gU=")</f>
        <v>#VALUE!</v>
      </c>
      <c r="G65" t="e">
        <f>AND('Planilla_General_03-12-2012_9_3'!F1025,"AAAAAE7/6gY=")</f>
        <v>#VALUE!</v>
      </c>
      <c r="H65" t="e">
        <f>AND('Planilla_General_03-12-2012_9_3'!G1025,"AAAAAE7/6gc=")</f>
        <v>#VALUE!</v>
      </c>
      <c r="I65" t="e">
        <f>AND('Planilla_General_03-12-2012_9_3'!H1025,"AAAAAE7/6gg=")</f>
        <v>#VALUE!</v>
      </c>
      <c r="J65" t="e">
        <f>AND('Planilla_General_03-12-2012_9_3'!I1025,"AAAAAE7/6gk=")</f>
        <v>#VALUE!</v>
      </c>
      <c r="K65" t="e">
        <f>AND('Planilla_General_03-12-2012_9_3'!J1025,"AAAAAE7/6go=")</f>
        <v>#VALUE!</v>
      </c>
      <c r="L65" t="e">
        <f>AND('Planilla_General_03-12-2012_9_3'!K1025,"AAAAAE7/6gs=")</f>
        <v>#VALUE!</v>
      </c>
      <c r="M65" t="e">
        <f>AND('Planilla_General_03-12-2012_9_3'!L1025,"AAAAAE7/6gw=")</f>
        <v>#VALUE!</v>
      </c>
      <c r="N65" t="e">
        <f>AND('Planilla_General_03-12-2012_9_3'!M1025,"AAAAAE7/6g0=")</f>
        <v>#VALUE!</v>
      </c>
      <c r="O65" t="e">
        <f>AND('Planilla_General_03-12-2012_9_3'!N1025,"AAAAAE7/6g4=")</f>
        <v>#VALUE!</v>
      </c>
      <c r="P65" t="e">
        <f>AND('Planilla_General_03-12-2012_9_3'!O1025,"AAAAAE7/6g8=")</f>
        <v>#VALUE!</v>
      </c>
      <c r="Q65">
        <f>IF('Planilla_General_03-12-2012_9_3'!1026:1026,"AAAAAE7/6hA=",0)</f>
        <v>0</v>
      </c>
      <c r="R65" t="e">
        <f>AND('Planilla_General_03-12-2012_9_3'!A1026,"AAAAAE7/6hE=")</f>
        <v>#VALUE!</v>
      </c>
      <c r="S65" t="e">
        <f>AND('Planilla_General_03-12-2012_9_3'!B1026,"AAAAAE7/6hI=")</f>
        <v>#VALUE!</v>
      </c>
      <c r="T65" t="e">
        <f>AND('Planilla_General_03-12-2012_9_3'!C1026,"AAAAAE7/6hM=")</f>
        <v>#VALUE!</v>
      </c>
      <c r="U65" t="e">
        <f>AND('Planilla_General_03-12-2012_9_3'!D1026,"AAAAAE7/6hQ=")</f>
        <v>#VALUE!</v>
      </c>
      <c r="V65" t="e">
        <f>AND('Planilla_General_03-12-2012_9_3'!E1026,"AAAAAE7/6hU=")</f>
        <v>#VALUE!</v>
      </c>
      <c r="W65" t="e">
        <f>AND('Planilla_General_03-12-2012_9_3'!F1026,"AAAAAE7/6hY=")</f>
        <v>#VALUE!</v>
      </c>
      <c r="X65" t="e">
        <f>AND('Planilla_General_03-12-2012_9_3'!G1026,"AAAAAE7/6hc=")</f>
        <v>#VALUE!</v>
      </c>
      <c r="Y65" t="e">
        <f>AND('Planilla_General_03-12-2012_9_3'!H1026,"AAAAAE7/6hg=")</f>
        <v>#VALUE!</v>
      </c>
      <c r="Z65" t="e">
        <f>AND('Planilla_General_03-12-2012_9_3'!I1026,"AAAAAE7/6hk=")</f>
        <v>#VALUE!</v>
      </c>
      <c r="AA65" t="e">
        <f>AND('Planilla_General_03-12-2012_9_3'!J1026,"AAAAAE7/6ho=")</f>
        <v>#VALUE!</v>
      </c>
      <c r="AB65" t="e">
        <f>AND('Planilla_General_03-12-2012_9_3'!K1026,"AAAAAE7/6hs=")</f>
        <v>#VALUE!</v>
      </c>
      <c r="AC65" t="e">
        <f>AND('Planilla_General_03-12-2012_9_3'!L1026,"AAAAAE7/6hw=")</f>
        <v>#VALUE!</v>
      </c>
      <c r="AD65" t="e">
        <f>AND('Planilla_General_03-12-2012_9_3'!M1026,"AAAAAE7/6h0=")</f>
        <v>#VALUE!</v>
      </c>
      <c r="AE65" t="e">
        <f>AND('Planilla_General_03-12-2012_9_3'!N1026,"AAAAAE7/6h4=")</f>
        <v>#VALUE!</v>
      </c>
      <c r="AF65" t="e">
        <f>AND('Planilla_General_03-12-2012_9_3'!O1026,"AAAAAE7/6h8=")</f>
        <v>#VALUE!</v>
      </c>
      <c r="AG65">
        <f>IF('Planilla_General_03-12-2012_9_3'!1027:1027,"AAAAAE7/6iA=",0)</f>
        <v>0</v>
      </c>
      <c r="AH65" t="e">
        <f>AND('Planilla_General_03-12-2012_9_3'!A1027,"AAAAAE7/6iE=")</f>
        <v>#VALUE!</v>
      </c>
      <c r="AI65" t="e">
        <f>AND('Planilla_General_03-12-2012_9_3'!B1027,"AAAAAE7/6iI=")</f>
        <v>#VALUE!</v>
      </c>
      <c r="AJ65" t="e">
        <f>AND('Planilla_General_03-12-2012_9_3'!C1027,"AAAAAE7/6iM=")</f>
        <v>#VALUE!</v>
      </c>
      <c r="AK65" t="e">
        <f>AND('Planilla_General_03-12-2012_9_3'!D1027,"AAAAAE7/6iQ=")</f>
        <v>#VALUE!</v>
      </c>
      <c r="AL65" t="e">
        <f>AND('Planilla_General_03-12-2012_9_3'!E1027,"AAAAAE7/6iU=")</f>
        <v>#VALUE!</v>
      </c>
      <c r="AM65" t="e">
        <f>AND('Planilla_General_03-12-2012_9_3'!F1027,"AAAAAE7/6iY=")</f>
        <v>#VALUE!</v>
      </c>
      <c r="AN65" t="e">
        <f>AND('Planilla_General_03-12-2012_9_3'!G1027,"AAAAAE7/6ic=")</f>
        <v>#VALUE!</v>
      </c>
      <c r="AO65" t="e">
        <f>AND('Planilla_General_03-12-2012_9_3'!H1027,"AAAAAE7/6ig=")</f>
        <v>#VALUE!</v>
      </c>
      <c r="AP65" t="e">
        <f>AND('Planilla_General_03-12-2012_9_3'!I1027,"AAAAAE7/6ik=")</f>
        <v>#VALUE!</v>
      </c>
      <c r="AQ65" t="e">
        <f>AND('Planilla_General_03-12-2012_9_3'!J1027,"AAAAAE7/6io=")</f>
        <v>#VALUE!</v>
      </c>
      <c r="AR65" t="e">
        <f>AND('Planilla_General_03-12-2012_9_3'!K1027,"AAAAAE7/6is=")</f>
        <v>#VALUE!</v>
      </c>
      <c r="AS65" t="e">
        <f>AND('Planilla_General_03-12-2012_9_3'!L1027,"AAAAAE7/6iw=")</f>
        <v>#VALUE!</v>
      </c>
      <c r="AT65" t="e">
        <f>AND('Planilla_General_03-12-2012_9_3'!M1027,"AAAAAE7/6i0=")</f>
        <v>#VALUE!</v>
      </c>
      <c r="AU65" t="e">
        <f>AND('Planilla_General_03-12-2012_9_3'!N1027,"AAAAAE7/6i4=")</f>
        <v>#VALUE!</v>
      </c>
      <c r="AV65" t="e">
        <f>AND('Planilla_General_03-12-2012_9_3'!O1027,"AAAAAE7/6i8=")</f>
        <v>#VALUE!</v>
      </c>
      <c r="AW65">
        <f>IF('Planilla_General_03-12-2012_9_3'!1028:1028,"AAAAAE7/6jA=",0)</f>
        <v>0</v>
      </c>
      <c r="AX65" t="e">
        <f>AND('Planilla_General_03-12-2012_9_3'!A1028,"AAAAAE7/6jE=")</f>
        <v>#VALUE!</v>
      </c>
      <c r="AY65" t="e">
        <f>AND('Planilla_General_03-12-2012_9_3'!B1028,"AAAAAE7/6jI=")</f>
        <v>#VALUE!</v>
      </c>
      <c r="AZ65" t="e">
        <f>AND('Planilla_General_03-12-2012_9_3'!C1028,"AAAAAE7/6jM=")</f>
        <v>#VALUE!</v>
      </c>
      <c r="BA65" t="e">
        <f>AND('Planilla_General_03-12-2012_9_3'!D1028,"AAAAAE7/6jQ=")</f>
        <v>#VALUE!</v>
      </c>
      <c r="BB65" t="e">
        <f>AND('Planilla_General_03-12-2012_9_3'!E1028,"AAAAAE7/6jU=")</f>
        <v>#VALUE!</v>
      </c>
      <c r="BC65" t="e">
        <f>AND('Planilla_General_03-12-2012_9_3'!F1028,"AAAAAE7/6jY=")</f>
        <v>#VALUE!</v>
      </c>
      <c r="BD65" t="e">
        <f>AND('Planilla_General_03-12-2012_9_3'!G1028,"AAAAAE7/6jc=")</f>
        <v>#VALUE!</v>
      </c>
      <c r="BE65" t="e">
        <f>AND('Planilla_General_03-12-2012_9_3'!H1028,"AAAAAE7/6jg=")</f>
        <v>#VALUE!</v>
      </c>
      <c r="BF65" t="e">
        <f>AND('Planilla_General_03-12-2012_9_3'!I1028,"AAAAAE7/6jk=")</f>
        <v>#VALUE!</v>
      </c>
      <c r="BG65" t="e">
        <f>AND('Planilla_General_03-12-2012_9_3'!J1028,"AAAAAE7/6jo=")</f>
        <v>#VALUE!</v>
      </c>
      <c r="BH65" t="e">
        <f>AND('Planilla_General_03-12-2012_9_3'!K1028,"AAAAAE7/6js=")</f>
        <v>#VALUE!</v>
      </c>
      <c r="BI65" t="e">
        <f>AND('Planilla_General_03-12-2012_9_3'!L1028,"AAAAAE7/6jw=")</f>
        <v>#VALUE!</v>
      </c>
      <c r="BJ65" t="e">
        <f>AND('Planilla_General_03-12-2012_9_3'!M1028,"AAAAAE7/6j0=")</f>
        <v>#VALUE!</v>
      </c>
      <c r="BK65" t="e">
        <f>AND('Planilla_General_03-12-2012_9_3'!N1028,"AAAAAE7/6j4=")</f>
        <v>#VALUE!</v>
      </c>
      <c r="BL65" t="e">
        <f>AND('Planilla_General_03-12-2012_9_3'!O1028,"AAAAAE7/6j8=")</f>
        <v>#VALUE!</v>
      </c>
      <c r="BM65">
        <f>IF('Planilla_General_03-12-2012_9_3'!1029:1029,"AAAAAE7/6kA=",0)</f>
        <v>0</v>
      </c>
      <c r="BN65" t="e">
        <f>AND('Planilla_General_03-12-2012_9_3'!A1029,"AAAAAE7/6kE=")</f>
        <v>#VALUE!</v>
      </c>
      <c r="BO65" t="e">
        <f>AND('Planilla_General_03-12-2012_9_3'!B1029,"AAAAAE7/6kI=")</f>
        <v>#VALUE!</v>
      </c>
      <c r="BP65" t="e">
        <f>AND('Planilla_General_03-12-2012_9_3'!C1029,"AAAAAE7/6kM=")</f>
        <v>#VALUE!</v>
      </c>
      <c r="BQ65" t="e">
        <f>AND('Planilla_General_03-12-2012_9_3'!D1029,"AAAAAE7/6kQ=")</f>
        <v>#VALUE!</v>
      </c>
      <c r="BR65" t="e">
        <f>AND('Planilla_General_03-12-2012_9_3'!E1029,"AAAAAE7/6kU=")</f>
        <v>#VALUE!</v>
      </c>
      <c r="BS65" t="e">
        <f>AND('Planilla_General_03-12-2012_9_3'!F1029,"AAAAAE7/6kY=")</f>
        <v>#VALUE!</v>
      </c>
      <c r="BT65" t="e">
        <f>AND('Planilla_General_03-12-2012_9_3'!G1029,"AAAAAE7/6kc=")</f>
        <v>#VALUE!</v>
      </c>
      <c r="BU65" t="e">
        <f>AND('Planilla_General_03-12-2012_9_3'!H1029,"AAAAAE7/6kg=")</f>
        <v>#VALUE!</v>
      </c>
      <c r="BV65" t="e">
        <f>AND('Planilla_General_03-12-2012_9_3'!I1029,"AAAAAE7/6kk=")</f>
        <v>#VALUE!</v>
      </c>
      <c r="BW65" t="e">
        <f>AND('Planilla_General_03-12-2012_9_3'!J1029,"AAAAAE7/6ko=")</f>
        <v>#VALUE!</v>
      </c>
      <c r="BX65" t="e">
        <f>AND('Planilla_General_03-12-2012_9_3'!K1029,"AAAAAE7/6ks=")</f>
        <v>#VALUE!</v>
      </c>
      <c r="BY65" t="e">
        <f>AND('Planilla_General_03-12-2012_9_3'!L1029,"AAAAAE7/6kw=")</f>
        <v>#VALUE!</v>
      </c>
      <c r="BZ65" t="e">
        <f>AND('Planilla_General_03-12-2012_9_3'!M1029,"AAAAAE7/6k0=")</f>
        <v>#VALUE!</v>
      </c>
      <c r="CA65" t="e">
        <f>AND('Planilla_General_03-12-2012_9_3'!N1029,"AAAAAE7/6k4=")</f>
        <v>#VALUE!</v>
      </c>
      <c r="CB65" t="e">
        <f>AND('Planilla_General_03-12-2012_9_3'!O1029,"AAAAAE7/6k8=")</f>
        <v>#VALUE!</v>
      </c>
      <c r="CC65">
        <f>IF('Planilla_General_03-12-2012_9_3'!1030:1030,"AAAAAE7/6lA=",0)</f>
        <v>0</v>
      </c>
      <c r="CD65" t="e">
        <f>AND('Planilla_General_03-12-2012_9_3'!A1030,"AAAAAE7/6lE=")</f>
        <v>#VALUE!</v>
      </c>
      <c r="CE65" t="e">
        <f>AND('Planilla_General_03-12-2012_9_3'!B1030,"AAAAAE7/6lI=")</f>
        <v>#VALUE!</v>
      </c>
      <c r="CF65" t="e">
        <f>AND('Planilla_General_03-12-2012_9_3'!C1030,"AAAAAE7/6lM=")</f>
        <v>#VALUE!</v>
      </c>
      <c r="CG65" t="e">
        <f>AND('Planilla_General_03-12-2012_9_3'!D1030,"AAAAAE7/6lQ=")</f>
        <v>#VALUE!</v>
      </c>
      <c r="CH65" t="e">
        <f>AND('Planilla_General_03-12-2012_9_3'!E1030,"AAAAAE7/6lU=")</f>
        <v>#VALUE!</v>
      </c>
      <c r="CI65" t="e">
        <f>AND('Planilla_General_03-12-2012_9_3'!F1030,"AAAAAE7/6lY=")</f>
        <v>#VALUE!</v>
      </c>
      <c r="CJ65" t="e">
        <f>AND('Planilla_General_03-12-2012_9_3'!G1030,"AAAAAE7/6lc=")</f>
        <v>#VALUE!</v>
      </c>
      <c r="CK65" t="e">
        <f>AND('Planilla_General_03-12-2012_9_3'!H1030,"AAAAAE7/6lg=")</f>
        <v>#VALUE!</v>
      </c>
      <c r="CL65" t="e">
        <f>AND('Planilla_General_03-12-2012_9_3'!I1030,"AAAAAE7/6lk=")</f>
        <v>#VALUE!</v>
      </c>
      <c r="CM65" t="e">
        <f>AND('Planilla_General_03-12-2012_9_3'!J1030,"AAAAAE7/6lo=")</f>
        <v>#VALUE!</v>
      </c>
      <c r="CN65" t="e">
        <f>AND('Planilla_General_03-12-2012_9_3'!K1030,"AAAAAE7/6ls=")</f>
        <v>#VALUE!</v>
      </c>
      <c r="CO65" t="e">
        <f>AND('Planilla_General_03-12-2012_9_3'!L1030,"AAAAAE7/6lw=")</f>
        <v>#VALUE!</v>
      </c>
      <c r="CP65" t="e">
        <f>AND('Planilla_General_03-12-2012_9_3'!M1030,"AAAAAE7/6l0=")</f>
        <v>#VALUE!</v>
      </c>
      <c r="CQ65" t="e">
        <f>AND('Planilla_General_03-12-2012_9_3'!N1030,"AAAAAE7/6l4=")</f>
        <v>#VALUE!</v>
      </c>
      <c r="CR65" t="e">
        <f>AND('Planilla_General_03-12-2012_9_3'!O1030,"AAAAAE7/6l8=")</f>
        <v>#VALUE!</v>
      </c>
      <c r="CS65">
        <f>IF('Planilla_General_03-12-2012_9_3'!1031:1031,"AAAAAE7/6mA=",0)</f>
        <v>0</v>
      </c>
      <c r="CT65" t="e">
        <f>AND('Planilla_General_03-12-2012_9_3'!A1031,"AAAAAE7/6mE=")</f>
        <v>#VALUE!</v>
      </c>
      <c r="CU65" t="e">
        <f>AND('Planilla_General_03-12-2012_9_3'!B1031,"AAAAAE7/6mI=")</f>
        <v>#VALUE!</v>
      </c>
      <c r="CV65" t="e">
        <f>AND('Planilla_General_03-12-2012_9_3'!C1031,"AAAAAE7/6mM=")</f>
        <v>#VALUE!</v>
      </c>
      <c r="CW65" t="e">
        <f>AND('Planilla_General_03-12-2012_9_3'!D1031,"AAAAAE7/6mQ=")</f>
        <v>#VALUE!</v>
      </c>
      <c r="CX65" t="e">
        <f>AND('Planilla_General_03-12-2012_9_3'!E1031,"AAAAAE7/6mU=")</f>
        <v>#VALUE!</v>
      </c>
      <c r="CY65" t="e">
        <f>AND('Planilla_General_03-12-2012_9_3'!F1031,"AAAAAE7/6mY=")</f>
        <v>#VALUE!</v>
      </c>
      <c r="CZ65" t="e">
        <f>AND('Planilla_General_03-12-2012_9_3'!G1031,"AAAAAE7/6mc=")</f>
        <v>#VALUE!</v>
      </c>
      <c r="DA65" t="e">
        <f>AND('Planilla_General_03-12-2012_9_3'!H1031,"AAAAAE7/6mg=")</f>
        <v>#VALUE!</v>
      </c>
      <c r="DB65" t="e">
        <f>AND('Planilla_General_03-12-2012_9_3'!I1031,"AAAAAE7/6mk=")</f>
        <v>#VALUE!</v>
      </c>
      <c r="DC65" t="e">
        <f>AND('Planilla_General_03-12-2012_9_3'!J1031,"AAAAAE7/6mo=")</f>
        <v>#VALUE!</v>
      </c>
      <c r="DD65" t="e">
        <f>AND('Planilla_General_03-12-2012_9_3'!K1031,"AAAAAE7/6ms=")</f>
        <v>#VALUE!</v>
      </c>
      <c r="DE65" t="e">
        <f>AND('Planilla_General_03-12-2012_9_3'!L1031,"AAAAAE7/6mw=")</f>
        <v>#VALUE!</v>
      </c>
      <c r="DF65" t="e">
        <f>AND('Planilla_General_03-12-2012_9_3'!M1031,"AAAAAE7/6m0=")</f>
        <v>#VALUE!</v>
      </c>
      <c r="DG65" t="e">
        <f>AND('Planilla_General_03-12-2012_9_3'!N1031,"AAAAAE7/6m4=")</f>
        <v>#VALUE!</v>
      </c>
      <c r="DH65" t="e">
        <f>AND('Planilla_General_03-12-2012_9_3'!O1031,"AAAAAE7/6m8=")</f>
        <v>#VALUE!</v>
      </c>
      <c r="DI65">
        <f>IF('Planilla_General_03-12-2012_9_3'!1032:1032,"AAAAAE7/6nA=",0)</f>
        <v>0</v>
      </c>
      <c r="DJ65" t="e">
        <f>AND('Planilla_General_03-12-2012_9_3'!A1032,"AAAAAE7/6nE=")</f>
        <v>#VALUE!</v>
      </c>
      <c r="DK65" t="e">
        <f>AND('Planilla_General_03-12-2012_9_3'!B1032,"AAAAAE7/6nI=")</f>
        <v>#VALUE!</v>
      </c>
      <c r="DL65" t="e">
        <f>AND('Planilla_General_03-12-2012_9_3'!C1032,"AAAAAE7/6nM=")</f>
        <v>#VALUE!</v>
      </c>
      <c r="DM65" t="e">
        <f>AND('Planilla_General_03-12-2012_9_3'!D1032,"AAAAAE7/6nQ=")</f>
        <v>#VALUE!</v>
      </c>
      <c r="DN65" t="e">
        <f>AND('Planilla_General_03-12-2012_9_3'!E1032,"AAAAAE7/6nU=")</f>
        <v>#VALUE!</v>
      </c>
      <c r="DO65" t="e">
        <f>AND('Planilla_General_03-12-2012_9_3'!F1032,"AAAAAE7/6nY=")</f>
        <v>#VALUE!</v>
      </c>
      <c r="DP65" t="e">
        <f>AND('Planilla_General_03-12-2012_9_3'!G1032,"AAAAAE7/6nc=")</f>
        <v>#VALUE!</v>
      </c>
      <c r="DQ65" t="e">
        <f>AND('Planilla_General_03-12-2012_9_3'!H1032,"AAAAAE7/6ng=")</f>
        <v>#VALUE!</v>
      </c>
      <c r="DR65" t="e">
        <f>AND('Planilla_General_03-12-2012_9_3'!I1032,"AAAAAE7/6nk=")</f>
        <v>#VALUE!</v>
      </c>
      <c r="DS65" t="e">
        <f>AND('Planilla_General_03-12-2012_9_3'!J1032,"AAAAAE7/6no=")</f>
        <v>#VALUE!</v>
      </c>
      <c r="DT65" t="e">
        <f>AND('Planilla_General_03-12-2012_9_3'!K1032,"AAAAAE7/6ns=")</f>
        <v>#VALUE!</v>
      </c>
      <c r="DU65" t="e">
        <f>AND('Planilla_General_03-12-2012_9_3'!L1032,"AAAAAE7/6nw=")</f>
        <v>#VALUE!</v>
      </c>
      <c r="DV65" t="e">
        <f>AND('Planilla_General_03-12-2012_9_3'!M1032,"AAAAAE7/6n0=")</f>
        <v>#VALUE!</v>
      </c>
      <c r="DW65" t="e">
        <f>AND('Planilla_General_03-12-2012_9_3'!N1032,"AAAAAE7/6n4=")</f>
        <v>#VALUE!</v>
      </c>
      <c r="DX65" t="e">
        <f>AND('Planilla_General_03-12-2012_9_3'!O1032,"AAAAAE7/6n8=")</f>
        <v>#VALUE!</v>
      </c>
      <c r="DY65">
        <f>IF('Planilla_General_03-12-2012_9_3'!1033:1033,"AAAAAE7/6oA=",0)</f>
        <v>0</v>
      </c>
      <c r="DZ65" t="e">
        <f>AND('Planilla_General_03-12-2012_9_3'!A1033,"AAAAAE7/6oE=")</f>
        <v>#VALUE!</v>
      </c>
      <c r="EA65" t="e">
        <f>AND('Planilla_General_03-12-2012_9_3'!B1033,"AAAAAE7/6oI=")</f>
        <v>#VALUE!</v>
      </c>
      <c r="EB65" t="e">
        <f>AND('Planilla_General_03-12-2012_9_3'!C1033,"AAAAAE7/6oM=")</f>
        <v>#VALUE!</v>
      </c>
      <c r="EC65" t="e">
        <f>AND('Planilla_General_03-12-2012_9_3'!D1033,"AAAAAE7/6oQ=")</f>
        <v>#VALUE!</v>
      </c>
      <c r="ED65" t="e">
        <f>AND('Planilla_General_03-12-2012_9_3'!E1033,"AAAAAE7/6oU=")</f>
        <v>#VALUE!</v>
      </c>
      <c r="EE65" t="e">
        <f>AND('Planilla_General_03-12-2012_9_3'!F1033,"AAAAAE7/6oY=")</f>
        <v>#VALUE!</v>
      </c>
      <c r="EF65" t="e">
        <f>AND('Planilla_General_03-12-2012_9_3'!G1033,"AAAAAE7/6oc=")</f>
        <v>#VALUE!</v>
      </c>
      <c r="EG65" t="e">
        <f>AND('Planilla_General_03-12-2012_9_3'!H1033,"AAAAAE7/6og=")</f>
        <v>#VALUE!</v>
      </c>
      <c r="EH65" t="e">
        <f>AND('Planilla_General_03-12-2012_9_3'!I1033,"AAAAAE7/6ok=")</f>
        <v>#VALUE!</v>
      </c>
      <c r="EI65" t="e">
        <f>AND('Planilla_General_03-12-2012_9_3'!J1033,"AAAAAE7/6oo=")</f>
        <v>#VALUE!</v>
      </c>
      <c r="EJ65" t="e">
        <f>AND('Planilla_General_03-12-2012_9_3'!K1033,"AAAAAE7/6os=")</f>
        <v>#VALUE!</v>
      </c>
      <c r="EK65" t="e">
        <f>AND('Planilla_General_03-12-2012_9_3'!L1033,"AAAAAE7/6ow=")</f>
        <v>#VALUE!</v>
      </c>
      <c r="EL65" t="e">
        <f>AND('Planilla_General_03-12-2012_9_3'!M1033,"AAAAAE7/6o0=")</f>
        <v>#VALUE!</v>
      </c>
      <c r="EM65" t="e">
        <f>AND('Planilla_General_03-12-2012_9_3'!N1033,"AAAAAE7/6o4=")</f>
        <v>#VALUE!</v>
      </c>
      <c r="EN65" t="e">
        <f>AND('Planilla_General_03-12-2012_9_3'!O1033,"AAAAAE7/6o8=")</f>
        <v>#VALUE!</v>
      </c>
      <c r="EO65">
        <f>IF('Planilla_General_03-12-2012_9_3'!1034:1034,"AAAAAE7/6pA=",0)</f>
        <v>0</v>
      </c>
      <c r="EP65" t="e">
        <f>AND('Planilla_General_03-12-2012_9_3'!A1034,"AAAAAE7/6pE=")</f>
        <v>#VALUE!</v>
      </c>
      <c r="EQ65" t="e">
        <f>AND('Planilla_General_03-12-2012_9_3'!B1034,"AAAAAE7/6pI=")</f>
        <v>#VALUE!</v>
      </c>
      <c r="ER65" t="e">
        <f>AND('Planilla_General_03-12-2012_9_3'!C1034,"AAAAAE7/6pM=")</f>
        <v>#VALUE!</v>
      </c>
      <c r="ES65" t="e">
        <f>AND('Planilla_General_03-12-2012_9_3'!D1034,"AAAAAE7/6pQ=")</f>
        <v>#VALUE!</v>
      </c>
      <c r="ET65" t="e">
        <f>AND('Planilla_General_03-12-2012_9_3'!E1034,"AAAAAE7/6pU=")</f>
        <v>#VALUE!</v>
      </c>
      <c r="EU65" t="e">
        <f>AND('Planilla_General_03-12-2012_9_3'!F1034,"AAAAAE7/6pY=")</f>
        <v>#VALUE!</v>
      </c>
      <c r="EV65" t="e">
        <f>AND('Planilla_General_03-12-2012_9_3'!G1034,"AAAAAE7/6pc=")</f>
        <v>#VALUE!</v>
      </c>
      <c r="EW65" t="e">
        <f>AND('Planilla_General_03-12-2012_9_3'!H1034,"AAAAAE7/6pg=")</f>
        <v>#VALUE!</v>
      </c>
      <c r="EX65" t="e">
        <f>AND('Planilla_General_03-12-2012_9_3'!I1034,"AAAAAE7/6pk=")</f>
        <v>#VALUE!</v>
      </c>
      <c r="EY65" t="e">
        <f>AND('Planilla_General_03-12-2012_9_3'!J1034,"AAAAAE7/6po=")</f>
        <v>#VALUE!</v>
      </c>
      <c r="EZ65" t="e">
        <f>AND('Planilla_General_03-12-2012_9_3'!K1034,"AAAAAE7/6ps=")</f>
        <v>#VALUE!</v>
      </c>
      <c r="FA65" t="e">
        <f>AND('Planilla_General_03-12-2012_9_3'!L1034,"AAAAAE7/6pw=")</f>
        <v>#VALUE!</v>
      </c>
      <c r="FB65" t="e">
        <f>AND('Planilla_General_03-12-2012_9_3'!M1034,"AAAAAE7/6p0=")</f>
        <v>#VALUE!</v>
      </c>
      <c r="FC65" t="e">
        <f>AND('Planilla_General_03-12-2012_9_3'!N1034,"AAAAAE7/6p4=")</f>
        <v>#VALUE!</v>
      </c>
      <c r="FD65" t="e">
        <f>AND('Planilla_General_03-12-2012_9_3'!O1034,"AAAAAE7/6p8=")</f>
        <v>#VALUE!</v>
      </c>
      <c r="FE65">
        <f>IF('Planilla_General_03-12-2012_9_3'!1035:1035,"AAAAAE7/6qA=",0)</f>
        <v>0</v>
      </c>
      <c r="FF65" t="e">
        <f>AND('Planilla_General_03-12-2012_9_3'!A1035,"AAAAAE7/6qE=")</f>
        <v>#VALUE!</v>
      </c>
      <c r="FG65" t="e">
        <f>AND('Planilla_General_03-12-2012_9_3'!B1035,"AAAAAE7/6qI=")</f>
        <v>#VALUE!</v>
      </c>
      <c r="FH65" t="e">
        <f>AND('Planilla_General_03-12-2012_9_3'!C1035,"AAAAAE7/6qM=")</f>
        <v>#VALUE!</v>
      </c>
      <c r="FI65" t="e">
        <f>AND('Planilla_General_03-12-2012_9_3'!D1035,"AAAAAE7/6qQ=")</f>
        <v>#VALUE!</v>
      </c>
      <c r="FJ65" t="e">
        <f>AND('Planilla_General_03-12-2012_9_3'!E1035,"AAAAAE7/6qU=")</f>
        <v>#VALUE!</v>
      </c>
      <c r="FK65" t="e">
        <f>AND('Planilla_General_03-12-2012_9_3'!F1035,"AAAAAE7/6qY=")</f>
        <v>#VALUE!</v>
      </c>
      <c r="FL65" t="e">
        <f>AND('Planilla_General_03-12-2012_9_3'!G1035,"AAAAAE7/6qc=")</f>
        <v>#VALUE!</v>
      </c>
      <c r="FM65" t="e">
        <f>AND('Planilla_General_03-12-2012_9_3'!H1035,"AAAAAE7/6qg=")</f>
        <v>#VALUE!</v>
      </c>
      <c r="FN65" t="e">
        <f>AND('Planilla_General_03-12-2012_9_3'!I1035,"AAAAAE7/6qk=")</f>
        <v>#VALUE!</v>
      </c>
      <c r="FO65" t="e">
        <f>AND('Planilla_General_03-12-2012_9_3'!J1035,"AAAAAE7/6qo=")</f>
        <v>#VALUE!</v>
      </c>
      <c r="FP65" t="e">
        <f>AND('Planilla_General_03-12-2012_9_3'!K1035,"AAAAAE7/6qs=")</f>
        <v>#VALUE!</v>
      </c>
      <c r="FQ65" t="e">
        <f>AND('Planilla_General_03-12-2012_9_3'!L1035,"AAAAAE7/6qw=")</f>
        <v>#VALUE!</v>
      </c>
      <c r="FR65" t="e">
        <f>AND('Planilla_General_03-12-2012_9_3'!M1035,"AAAAAE7/6q0=")</f>
        <v>#VALUE!</v>
      </c>
      <c r="FS65" t="e">
        <f>AND('Planilla_General_03-12-2012_9_3'!N1035,"AAAAAE7/6q4=")</f>
        <v>#VALUE!</v>
      </c>
      <c r="FT65" t="e">
        <f>AND('Planilla_General_03-12-2012_9_3'!O1035,"AAAAAE7/6q8=")</f>
        <v>#VALUE!</v>
      </c>
      <c r="FU65">
        <f>IF('Planilla_General_03-12-2012_9_3'!1036:1036,"AAAAAE7/6rA=",0)</f>
        <v>0</v>
      </c>
      <c r="FV65" t="e">
        <f>AND('Planilla_General_03-12-2012_9_3'!A1036,"AAAAAE7/6rE=")</f>
        <v>#VALUE!</v>
      </c>
      <c r="FW65" t="e">
        <f>AND('Planilla_General_03-12-2012_9_3'!B1036,"AAAAAE7/6rI=")</f>
        <v>#VALUE!</v>
      </c>
      <c r="FX65" t="e">
        <f>AND('Planilla_General_03-12-2012_9_3'!C1036,"AAAAAE7/6rM=")</f>
        <v>#VALUE!</v>
      </c>
      <c r="FY65" t="e">
        <f>AND('Planilla_General_03-12-2012_9_3'!D1036,"AAAAAE7/6rQ=")</f>
        <v>#VALUE!</v>
      </c>
      <c r="FZ65" t="e">
        <f>AND('Planilla_General_03-12-2012_9_3'!E1036,"AAAAAE7/6rU=")</f>
        <v>#VALUE!</v>
      </c>
      <c r="GA65" t="e">
        <f>AND('Planilla_General_03-12-2012_9_3'!F1036,"AAAAAE7/6rY=")</f>
        <v>#VALUE!</v>
      </c>
      <c r="GB65" t="e">
        <f>AND('Planilla_General_03-12-2012_9_3'!G1036,"AAAAAE7/6rc=")</f>
        <v>#VALUE!</v>
      </c>
      <c r="GC65" t="e">
        <f>AND('Planilla_General_03-12-2012_9_3'!H1036,"AAAAAE7/6rg=")</f>
        <v>#VALUE!</v>
      </c>
      <c r="GD65" t="e">
        <f>AND('Planilla_General_03-12-2012_9_3'!I1036,"AAAAAE7/6rk=")</f>
        <v>#VALUE!</v>
      </c>
      <c r="GE65" t="e">
        <f>AND('Planilla_General_03-12-2012_9_3'!J1036,"AAAAAE7/6ro=")</f>
        <v>#VALUE!</v>
      </c>
      <c r="GF65" t="e">
        <f>AND('Planilla_General_03-12-2012_9_3'!K1036,"AAAAAE7/6rs=")</f>
        <v>#VALUE!</v>
      </c>
      <c r="GG65" t="e">
        <f>AND('Planilla_General_03-12-2012_9_3'!L1036,"AAAAAE7/6rw=")</f>
        <v>#VALUE!</v>
      </c>
      <c r="GH65" t="e">
        <f>AND('Planilla_General_03-12-2012_9_3'!M1036,"AAAAAE7/6r0=")</f>
        <v>#VALUE!</v>
      </c>
      <c r="GI65" t="e">
        <f>AND('Planilla_General_03-12-2012_9_3'!N1036,"AAAAAE7/6r4=")</f>
        <v>#VALUE!</v>
      </c>
      <c r="GJ65" t="e">
        <f>AND('Planilla_General_03-12-2012_9_3'!O1036,"AAAAAE7/6r8=")</f>
        <v>#VALUE!</v>
      </c>
      <c r="GK65">
        <f>IF('Planilla_General_03-12-2012_9_3'!1037:1037,"AAAAAE7/6sA=",0)</f>
        <v>0</v>
      </c>
      <c r="GL65" t="e">
        <f>AND('Planilla_General_03-12-2012_9_3'!A1037,"AAAAAE7/6sE=")</f>
        <v>#VALUE!</v>
      </c>
      <c r="GM65" t="e">
        <f>AND('Planilla_General_03-12-2012_9_3'!B1037,"AAAAAE7/6sI=")</f>
        <v>#VALUE!</v>
      </c>
      <c r="GN65" t="e">
        <f>AND('Planilla_General_03-12-2012_9_3'!C1037,"AAAAAE7/6sM=")</f>
        <v>#VALUE!</v>
      </c>
      <c r="GO65" t="e">
        <f>AND('Planilla_General_03-12-2012_9_3'!D1037,"AAAAAE7/6sQ=")</f>
        <v>#VALUE!</v>
      </c>
      <c r="GP65" t="e">
        <f>AND('Planilla_General_03-12-2012_9_3'!E1037,"AAAAAE7/6sU=")</f>
        <v>#VALUE!</v>
      </c>
      <c r="GQ65" t="e">
        <f>AND('Planilla_General_03-12-2012_9_3'!F1037,"AAAAAE7/6sY=")</f>
        <v>#VALUE!</v>
      </c>
      <c r="GR65" t="e">
        <f>AND('Planilla_General_03-12-2012_9_3'!G1037,"AAAAAE7/6sc=")</f>
        <v>#VALUE!</v>
      </c>
      <c r="GS65" t="e">
        <f>AND('Planilla_General_03-12-2012_9_3'!H1037,"AAAAAE7/6sg=")</f>
        <v>#VALUE!</v>
      </c>
      <c r="GT65" t="e">
        <f>AND('Planilla_General_03-12-2012_9_3'!I1037,"AAAAAE7/6sk=")</f>
        <v>#VALUE!</v>
      </c>
      <c r="GU65" t="e">
        <f>AND('Planilla_General_03-12-2012_9_3'!J1037,"AAAAAE7/6so=")</f>
        <v>#VALUE!</v>
      </c>
      <c r="GV65" t="e">
        <f>AND('Planilla_General_03-12-2012_9_3'!K1037,"AAAAAE7/6ss=")</f>
        <v>#VALUE!</v>
      </c>
      <c r="GW65" t="e">
        <f>AND('Planilla_General_03-12-2012_9_3'!L1037,"AAAAAE7/6sw=")</f>
        <v>#VALUE!</v>
      </c>
      <c r="GX65" t="e">
        <f>AND('Planilla_General_03-12-2012_9_3'!M1037,"AAAAAE7/6s0=")</f>
        <v>#VALUE!</v>
      </c>
      <c r="GY65" t="e">
        <f>AND('Planilla_General_03-12-2012_9_3'!N1037,"AAAAAE7/6s4=")</f>
        <v>#VALUE!</v>
      </c>
      <c r="GZ65" t="e">
        <f>AND('Planilla_General_03-12-2012_9_3'!O1037,"AAAAAE7/6s8=")</f>
        <v>#VALUE!</v>
      </c>
      <c r="HA65">
        <f>IF('Planilla_General_03-12-2012_9_3'!1038:1038,"AAAAAE7/6tA=",0)</f>
        <v>0</v>
      </c>
      <c r="HB65" t="e">
        <f>AND('Planilla_General_03-12-2012_9_3'!A1038,"AAAAAE7/6tE=")</f>
        <v>#VALUE!</v>
      </c>
      <c r="HC65" t="e">
        <f>AND('Planilla_General_03-12-2012_9_3'!B1038,"AAAAAE7/6tI=")</f>
        <v>#VALUE!</v>
      </c>
      <c r="HD65" t="e">
        <f>AND('Planilla_General_03-12-2012_9_3'!C1038,"AAAAAE7/6tM=")</f>
        <v>#VALUE!</v>
      </c>
      <c r="HE65" t="e">
        <f>AND('Planilla_General_03-12-2012_9_3'!D1038,"AAAAAE7/6tQ=")</f>
        <v>#VALUE!</v>
      </c>
      <c r="HF65" t="e">
        <f>AND('Planilla_General_03-12-2012_9_3'!E1038,"AAAAAE7/6tU=")</f>
        <v>#VALUE!</v>
      </c>
      <c r="HG65" t="e">
        <f>AND('Planilla_General_03-12-2012_9_3'!F1038,"AAAAAE7/6tY=")</f>
        <v>#VALUE!</v>
      </c>
      <c r="HH65" t="e">
        <f>AND('Planilla_General_03-12-2012_9_3'!G1038,"AAAAAE7/6tc=")</f>
        <v>#VALUE!</v>
      </c>
      <c r="HI65" t="e">
        <f>AND('Planilla_General_03-12-2012_9_3'!H1038,"AAAAAE7/6tg=")</f>
        <v>#VALUE!</v>
      </c>
      <c r="HJ65" t="e">
        <f>AND('Planilla_General_03-12-2012_9_3'!I1038,"AAAAAE7/6tk=")</f>
        <v>#VALUE!</v>
      </c>
      <c r="HK65" t="e">
        <f>AND('Planilla_General_03-12-2012_9_3'!J1038,"AAAAAE7/6to=")</f>
        <v>#VALUE!</v>
      </c>
      <c r="HL65" t="e">
        <f>AND('Planilla_General_03-12-2012_9_3'!K1038,"AAAAAE7/6ts=")</f>
        <v>#VALUE!</v>
      </c>
      <c r="HM65" t="e">
        <f>AND('Planilla_General_03-12-2012_9_3'!L1038,"AAAAAE7/6tw=")</f>
        <v>#VALUE!</v>
      </c>
      <c r="HN65" t="e">
        <f>AND('Planilla_General_03-12-2012_9_3'!M1038,"AAAAAE7/6t0=")</f>
        <v>#VALUE!</v>
      </c>
      <c r="HO65" t="e">
        <f>AND('Planilla_General_03-12-2012_9_3'!N1038,"AAAAAE7/6t4=")</f>
        <v>#VALUE!</v>
      </c>
      <c r="HP65" t="e">
        <f>AND('Planilla_General_03-12-2012_9_3'!O1038,"AAAAAE7/6t8=")</f>
        <v>#VALUE!</v>
      </c>
      <c r="HQ65">
        <f>IF('Planilla_General_03-12-2012_9_3'!1039:1039,"AAAAAE7/6uA=",0)</f>
        <v>0</v>
      </c>
      <c r="HR65" t="e">
        <f>AND('Planilla_General_03-12-2012_9_3'!A1039,"AAAAAE7/6uE=")</f>
        <v>#VALUE!</v>
      </c>
      <c r="HS65" t="e">
        <f>AND('Planilla_General_03-12-2012_9_3'!B1039,"AAAAAE7/6uI=")</f>
        <v>#VALUE!</v>
      </c>
      <c r="HT65" t="e">
        <f>AND('Planilla_General_03-12-2012_9_3'!C1039,"AAAAAE7/6uM=")</f>
        <v>#VALUE!</v>
      </c>
      <c r="HU65" t="e">
        <f>AND('Planilla_General_03-12-2012_9_3'!D1039,"AAAAAE7/6uQ=")</f>
        <v>#VALUE!</v>
      </c>
      <c r="HV65" t="e">
        <f>AND('Planilla_General_03-12-2012_9_3'!E1039,"AAAAAE7/6uU=")</f>
        <v>#VALUE!</v>
      </c>
      <c r="HW65" t="e">
        <f>AND('Planilla_General_03-12-2012_9_3'!F1039,"AAAAAE7/6uY=")</f>
        <v>#VALUE!</v>
      </c>
      <c r="HX65" t="e">
        <f>AND('Planilla_General_03-12-2012_9_3'!G1039,"AAAAAE7/6uc=")</f>
        <v>#VALUE!</v>
      </c>
      <c r="HY65" t="e">
        <f>AND('Planilla_General_03-12-2012_9_3'!H1039,"AAAAAE7/6ug=")</f>
        <v>#VALUE!</v>
      </c>
      <c r="HZ65" t="e">
        <f>AND('Planilla_General_03-12-2012_9_3'!I1039,"AAAAAE7/6uk=")</f>
        <v>#VALUE!</v>
      </c>
      <c r="IA65" t="e">
        <f>AND('Planilla_General_03-12-2012_9_3'!J1039,"AAAAAE7/6uo=")</f>
        <v>#VALUE!</v>
      </c>
      <c r="IB65" t="e">
        <f>AND('Planilla_General_03-12-2012_9_3'!K1039,"AAAAAE7/6us=")</f>
        <v>#VALUE!</v>
      </c>
      <c r="IC65" t="e">
        <f>AND('Planilla_General_03-12-2012_9_3'!L1039,"AAAAAE7/6uw=")</f>
        <v>#VALUE!</v>
      </c>
      <c r="ID65" t="e">
        <f>AND('Planilla_General_03-12-2012_9_3'!M1039,"AAAAAE7/6u0=")</f>
        <v>#VALUE!</v>
      </c>
      <c r="IE65" t="e">
        <f>AND('Planilla_General_03-12-2012_9_3'!N1039,"AAAAAE7/6u4=")</f>
        <v>#VALUE!</v>
      </c>
      <c r="IF65" t="e">
        <f>AND('Planilla_General_03-12-2012_9_3'!O1039,"AAAAAE7/6u8=")</f>
        <v>#VALUE!</v>
      </c>
      <c r="IG65">
        <f>IF('Planilla_General_03-12-2012_9_3'!1040:1040,"AAAAAE7/6vA=",0)</f>
        <v>0</v>
      </c>
      <c r="IH65" t="e">
        <f>AND('Planilla_General_03-12-2012_9_3'!A1040,"AAAAAE7/6vE=")</f>
        <v>#VALUE!</v>
      </c>
      <c r="II65" t="e">
        <f>AND('Planilla_General_03-12-2012_9_3'!B1040,"AAAAAE7/6vI=")</f>
        <v>#VALUE!</v>
      </c>
      <c r="IJ65" t="e">
        <f>AND('Planilla_General_03-12-2012_9_3'!C1040,"AAAAAE7/6vM=")</f>
        <v>#VALUE!</v>
      </c>
      <c r="IK65" t="e">
        <f>AND('Planilla_General_03-12-2012_9_3'!D1040,"AAAAAE7/6vQ=")</f>
        <v>#VALUE!</v>
      </c>
      <c r="IL65" t="e">
        <f>AND('Planilla_General_03-12-2012_9_3'!E1040,"AAAAAE7/6vU=")</f>
        <v>#VALUE!</v>
      </c>
      <c r="IM65" t="e">
        <f>AND('Planilla_General_03-12-2012_9_3'!F1040,"AAAAAE7/6vY=")</f>
        <v>#VALUE!</v>
      </c>
      <c r="IN65" t="e">
        <f>AND('Planilla_General_03-12-2012_9_3'!G1040,"AAAAAE7/6vc=")</f>
        <v>#VALUE!</v>
      </c>
      <c r="IO65" t="e">
        <f>AND('Planilla_General_03-12-2012_9_3'!H1040,"AAAAAE7/6vg=")</f>
        <v>#VALUE!</v>
      </c>
      <c r="IP65" t="e">
        <f>AND('Planilla_General_03-12-2012_9_3'!I1040,"AAAAAE7/6vk=")</f>
        <v>#VALUE!</v>
      </c>
      <c r="IQ65" t="e">
        <f>AND('Planilla_General_03-12-2012_9_3'!J1040,"AAAAAE7/6vo=")</f>
        <v>#VALUE!</v>
      </c>
      <c r="IR65" t="e">
        <f>AND('Planilla_General_03-12-2012_9_3'!K1040,"AAAAAE7/6vs=")</f>
        <v>#VALUE!</v>
      </c>
      <c r="IS65" t="e">
        <f>AND('Planilla_General_03-12-2012_9_3'!L1040,"AAAAAE7/6vw=")</f>
        <v>#VALUE!</v>
      </c>
      <c r="IT65" t="e">
        <f>AND('Planilla_General_03-12-2012_9_3'!M1040,"AAAAAE7/6v0=")</f>
        <v>#VALUE!</v>
      </c>
      <c r="IU65" t="e">
        <f>AND('Planilla_General_03-12-2012_9_3'!N1040,"AAAAAE7/6v4=")</f>
        <v>#VALUE!</v>
      </c>
      <c r="IV65" t="e">
        <f>AND('Planilla_General_03-12-2012_9_3'!O1040,"AAAAAE7/6v8=")</f>
        <v>#VALUE!</v>
      </c>
    </row>
    <row r="66" spans="1:256" x14ac:dyDescent="0.25">
      <c r="A66" t="e">
        <f>IF('Planilla_General_03-12-2012_9_3'!1041:1041,"AAAAAFL/1gA=",0)</f>
        <v>#VALUE!</v>
      </c>
      <c r="B66" t="e">
        <f>AND('Planilla_General_03-12-2012_9_3'!A1041,"AAAAAFL/1gE=")</f>
        <v>#VALUE!</v>
      </c>
      <c r="C66" t="e">
        <f>AND('Planilla_General_03-12-2012_9_3'!B1041,"AAAAAFL/1gI=")</f>
        <v>#VALUE!</v>
      </c>
      <c r="D66" t="e">
        <f>AND('Planilla_General_03-12-2012_9_3'!C1041,"AAAAAFL/1gM=")</f>
        <v>#VALUE!</v>
      </c>
      <c r="E66" t="e">
        <f>AND('Planilla_General_03-12-2012_9_3'!D1041,"AAAAAFL/1gQ=")</f>
        <v>#VALUE!</v>
      </c>
      <c r="F66" t="e">
        <f>AND('Planilla_General_03-12-2012_9_3'!E1041,"AAAAAFL/1gU=")</f>
        <v>#VALUE!</v>
      </c>
      <c r="G66" t="e">
        <f>AND('Planilla_General_03-12-2012_9_3'!F1041,"AAAAAFL/1gY=")</f>
        <v>#VALUE!</v>
      </c>
      <c r="H66" t="e">
        <f>AND('Planilla_General_03-12-2012_9_3'!G1041,"AAAAAFL/1gc=")</f>
        <v>#VALUE!</v>
      </c>
      <c r="I66" t="e">
        <f>AND('Planilla_General_03-12-2012_9_3'!H1041,"AAAAAFL/1gg=")</f>
        <v>#VALUE!</v>
      </c>
      <c r="J66" t="e">
        <f>AND('Planilla_General_03-12-2012_9_3'!I1041,"AAAAAFL/1gk=")</f>
        <v>#VALUE!</v>
      </c>
      <c r="K66" t="e">
        <f>AND('Planilla_General_03-12-2012_9_3'!J1041,"AAAAAFL/1go=")</f>
        <v>#VALUE!</v>
      </c>
      <c r="L66" t="e">
        <f>AND('Planilla_General_03-12-2012_9_3'!K1041,"AAAAAFL/1gs=")</f>
        <v>#VALUE!</v>
      </c>
      <c r="M66" t="e">
        <f>AND('Planilla_General_03-12-2012_9_3'!L1041,"AAAAAFL/1gw=")</f>
        <v>#VALUE!</v>
      </c>
      <c r="N66" t="e">
        <f>AND('Planilla_General_03-12-2012_9_3'!M1041,"AAAAAFL/1g0=")</f>
        <v>#VALUE!</v>
      </c>
      <c r="O66" t="e">
        <f>AND('Planilla_General_03-12-2012_9_3'!N1041,"AAAAAFL/1g4=")</f>
        <v>#VALUE!</v>
      </c>
      <c r="P66" t="e">
        <f>AND('Planilla_General_03-12-2012_9_3'!O1041,"AAAAAFL/1g8=")</f>
        <v>#VALUE!</v>
      </c>
      <c r="Q66">
        <f>IF('Planilla_General_03-12-2012_9_3'!1042:1042,"AAAAAFL/1hA=",0)</f>
        <v>0</v>
      </c>
      <c r="R66" t="e">
        <f>AND('Planilla_General_03-12-2012_9_3'!A1042,"AAAAAFL/1hE=")</f>
        <v>#VALUE!</v>
      </c>
      <c r="S66" t="e">
        <f>AND('Planilla_General_03-12-2012_9_3'!B1042,"AAAAAFL/1hI=")</f>
        <v>#VALUE!</v>
      </c>
      <c r="T66" t="e">
        <f>AND('Planilla_General_03-12-2012_9_3'!C1042,"AAAAAFL/1hM=")</f>
        <v>#VALUE!</v>
      </c>
      <c r="U66" t="e">
        <f>AND('Planilla_General_03-12-2012_9_3'!D1042,"AAAAAFL/1hQ=")</f>
        <v>#VALUE!</v>
      </c>
      <c r="V66" t="e">
        <f>AND('Planilla_General_03-12-2012_9_3'!E1042,"AAAAAFL/1hU=")</f>
        <v>#VALUE!</v>
      </c>
      <c r="W66" t="e">
        <f>AND('Planilla_General_03-12-2012_9_3'!F1042,"AAAAAFL/1hY=")</f>
        <v>#VALUE!</v>
      </c>
      <c r="X66" t="e">
        <f>AND('Planilla_General_03-12-2012_9_3'!G1042,"AAAAAFL/1hc=")</f>
        <v>#VALUE!</v>
      </c>
      <c r="Y66" t="e">
        <f>AND('Planilla_General_03-12-2012_9_3'!H1042,"AAAAAFL/1hg=")</f>
        <v>#VALUE!</v>
      </c>
      <c r="Z66" t="e">
        <f>AND('Planilla_General_03-12-2012_9_3'!I1042,"AAAAAFL/1hk=")</f>
        <v>#VALUE!</v>
      </c>
      <c r="AA66" t="e">
        <f>AND('Planilla_General_03-12-2012_9_3'!J1042,"AAAAAFL/1ho=")</f>
        <v>#VALUE!</v>
      </c>
      <c r="AB66" t="e">
        <f>AND('Planilla_General_03-12-2012_9_3'!K1042,"AAAAAFL/1hs=")</f>
        <v>#VALUE!</v>
      </c>
      <c r="AC66" t="e">
        <f>AND('Planilla_General_03-12-2012_9_3'!L1042,"AAAAAFL/1hw=")</f>
        <v>#VALUE!</v>
      </c>
      <c r="AD66" t="e">
        <f>AND('Planilla_General_03-12-2012_9_3'!M1042,"AAAAAFL/1h0=")</f>
        <v>#VALUE!</v>
      </c>
      <c r="AE66" t="e">
        <f>AND('Planilla_General_03-12-2012_9_3'!N1042,"AAAAAFL/1h4=")</f>
        <v>#VALUE!</v>
      </c>
      <c r="AF66" t="e">
        <f>AND('Planilla_General_03-12-2012_9_3'!O1042,"AAAAAFL/1h8=")</f>
        <v>#VALUE!</v>
      </c>
      <c r="AG66">
        <f>IF('Planilla_General_03-12-2012_9_3'!1043:1043,"AAAAAFL/1iA=",0)</f>
        <v>0</v>
      </c>
      <c r="AH66" t="e">
        <f>AND('Planilla_General_03-12-2012_9_3'!A1043,"AAAAAFL/1iE=")</f>
        <v>#VALUE!</v>
      </c>
      <c r="AI66" t="e">
        <f>AND('Planilla_General_03-12-2012_9_3'!B1043,"AAAAAFL/1iI=")</f>
        <v>#VALUE!</v>
      </c>
      <c r="AJ66" t="e">
        <f>AND('Planilla_General_03-12-2012_9_3'!C1043,"AAAAAFL/1iM=")</f>
        <v>#VALUE!</v>
      </c>
      <c r="AK66" t="e">
        <f>AND('Planilla_General_03-12-2012_9_3'!D1043,"AAAAAFL/1iQ=")</f>
        <v>#VALUE!</v>
      </c>
      <c r="AL66" t="e">
        <f>AND('Planilla_General_03-12-2012_9_3'!E1043,"AAAAAFL/1iU=")</f>
        <v>#VALUE!</v>
      </c>
      <c r="AM66" t="e">
        <f>AND('Planilla_General_03-12-2012_9_3'!F1043,"AAAAAFL/1iY=")</f>
        <v>#VALUE!</v>
      </c>
      <c r="AN66" t="e">
        <f>AND('Planilla_General_03-12-2012_9_3'!G1043,"AAAAAFL/1ic=")</f>
        <v>#VALUE!</v>
      </c>
      <c r="AO66" t="e">
        <f>AND('Planilla_General_03-12-2012_9_3'!H1043,"AAAAAFL/1ig=")</f>
        <v>#VALUE!</v>
      </c>
      <c r="AP66" t="e">
        <f>AND('Planilla_General_03-12-2012_9_3'!I1043,"AAAAAFL/1ik=")</f>
        <v>#VALUE!</v>
      </c>
      <c r="AQ66" t="e">
        <f>AND('Planilla_General_03-12-2012_9_3'!J1043,"AAAAAFL/1io=")</f>
        <v>#VALUE!</v>
      </c>
      <c r="AR66" t="e">
        <f>AND('Planilla_General_03-12-2012_9_3'!K1043,"AAAAAFL/1is=")</f>
        <v>#VALUE!</v>
      </c>
      <c r="AS66" t="e">
        <f>AND('Planilla_General_03-12-2012_9_3'!L1043,"AAAAAFL/1iw=")</f>
        <v>#VALUE!</v>
      </c>
      <c r="AT66" t="e">
        <f>AND('Planilla_General_03-12-2012_9_3'!M1043,"AAAAAFL/1i0=")</f>
        <v>#VALUE!</v>
      </c>
      <c r="AU66" t="e">
        <f>AND('Planilla_General_03-12-2012_9_3'!N1043,"AAAAAFL/1i4=")</f>
        <v>#VALUE!</v>
      </c>
      <c r="AV66" t="e">
        <f>AND('Planilla_General_03-12-2012_9_3'!O1043,"AAAAAFL/1i8=")</f>
        <v>#VALUE!</v>
      </c>
      <c r="AW66">
        <f>IF('Planilla_General_03-12-2012_9_3'!1044:1044,"AAAAAFL/1jA=",0)</f>
        <v>0</v>
      </c>
      <c r="AX66" t="e">
        <f>AND('Planilla_General_03-12-2012_9_3'!A1044,"AAAAAFL/1jE=")</f>
        <v>#VALUE!</v>
      </c>
      <c r="AY66" t="e">
        <f>AND('Planilla_General_03-12-2012_9_3'!B1044,"AAAAAFL/1jI=")</f>
        <v>#VALUE!</v>
      </c>
      <c r="AZ66" t="e">
        <f>AND('Planilla_General_03-12-2012_9_3'!C1044,"AAAAAFL/1jM=")</f>
        <v>#VALUE!</v>
      </c>
      <c r="BA66" t="e">
        <f>AND('Planilla_General_03-12-2012_9_3'!D1044,"AAAAAFL/1jQ=")</f>
        <v>#VALUE!</v>
      </c>
      <c r="BB66" t="e">
        <f>AND('Planilla_General_03-12-2012_9_3'!E1044,"AAAAAFL/1jU=")</f>
        <v>#VALUE!</v>
      </c>
      <c r="BC66" t="e">
        <f>AND('Planilla_General_03-12-2012_9_3'!F1044,"AAAAAFL/1jY=")</f>
        <v>#VALUE!</v>
      </c>
      <c r="BD66" t="e">
        <f>AND('Planilla_General_03-12-2012_9_3'!G1044,"AAAAAFL/1jc=")</f>
        <v>#VALUE!</v>
      </c>
      <c r="BE66" t="e">
        <f>AND('Planilla_General_03-12-2012_9_3'!H1044,"AAAAAFL/1jg=")</f>
        <v>#VALUE!</v>
      </c>
      <c r="BF66" t="e">
        <f>AND('Planilla_General_03-12-2012_9_3'!I1044,"AAAAAFL/1jk=")</f>
        <v>#VALUE!</v>
      </c>
      <c r="BG66" t="e">
        <f>AND('Planilla_General_03-12-2012_9_3'!J1044,"AAAAAFL/1jo=")</f>
        <v>#VALUE!</v>
      </c>
      <c r="BH66" t="e">
        <f>AND('Planilla_General_03-12-2012_9_3'!K1044,"AAAAAFL/1js=")</f>
        <v>#VALUE!</v>
      </c>
      <c r="BI66" t="e">
        <f>AND('Planilla_General_03-12-2012_9_3'!L1044,"AAAAAFL/1jw=")</f>
        <v>#VALUE!</v>
      </c>
      <c r="BJ66" t="e">
        <f>AND('Planilla_General_03-12-2012_9_3'!M1044,"AAAAAFL/1j0=")</f>
        <v>#VALUE!</v>
      </c>
      <c r="BK66" t="e">
        <f>AND('Planilla_General_03-12-2012_9_3'!N1044,"AAAAAFL/1j4=")</f>
        <v>#VALUE!</v>
      </c>
      <c r="BL66" t="e">
        <f>AND('Planilla_General_03-12-2012_9_3'!O1044,"AAAAAFL/1j8=")</f>
        <v>#VALUE!</v>
      </c>
      <c r="BM66">
        <f>IF('Planilla_General_03-12-2012_9_3'!1045:1045,"AAAAAFL/1kA=",0)</f>
        <v>0</v>
      </c>
      <c r="BN66" t="e">
        <f>AND('Planilla_General_03-12-2012_9_3'!A1045,"AAAAAFL/1kE=")</f>
        <v>#VALUE!</v>
      </c>
      <c r="BO66" t="e">
        <f>AND('Planilla_General_03-12-2012_9_3'!B1045,"AAAAAFL/1kI=")</f>
        <v>#VALUE!</v>
      </c>
      <c r="BP66" t="e">
        <f>AND('Planilla_General_03-12-2012_9_3'!C1045,"AAAAAFL/1kM=")</f>
        <v>#VALUE!</v>
      </c>
      <c r="BQ66" t="e">
        <f>AND('Planilla_General_03-12-2012_9_3'!D1045,"AAAAAFL/1kQ=")</f>
        <v>#VALUE!</v>
      </c>
      <c r="BR66" t="e">
        <f>AND('Planilla_General_03-12-2012_9_3'!E1045,"AAAAAFL/1kU=")</f>
        <v>#VALUE!</v>
      </c>
      <c r="BS66" t="e">
        <f>AND('Planilla_General_03-12-2012_9_3'!F1045,"AAAAAFL/1kY=")</f>
        <v>#VALUE!</v>
      </c>
      <c r="BT66" t="e">
        <f>AND('Planilla_General_03-12-2012_9_3'!G1045,"AAAAAFL/1kc=")</f>
        <v>#VALUE!</v>
      </c>
      <c r="BU66" t="e">
        <f>AND('Planilla_General_03-12-2012_9_3'!H1045,"AAAAAFL/1kg=")</f>
        <v>#VALUE!</v>
      </c>
      <c r="BV66" t="e">
        <f>AND('Planilla_General_03-12-2012_9_3'!I1045,"AAAAAFL/1kk=")</f>
        <v>#VALUE!</v>
      </c>
      <c r="BW66" t="e">
        <f>AND('Planilla_General_03-12-2012_9_3'!J1045,"AAAAAFL/1ko=")</f>
        <v>#VALUE!</v>
      </c>
      <c r="BX66" t="e">
        <f>AND('Planilla_General_03-12-2012_9_3'!K1045,"AAAAAFL/1ks=")</f>
        <v>#VALUE!</v>
      </c>
      <c r="BY66" t="e">
        <f>AND('Planilla_General_03-12-2012_9_3'!L1045,"AAAAAFL/1kw=")</f>
        <v>#VALUE!</v>
      </c>
      <c r="BZ66" t="e">
        <f>AND('Planilla_General_03-12-2012_9_3'!M1045,"AAAAAFL/1k0=")</f>
        <v>#VALUE!</v>
      </c>
      <c r="CA66" t="e">
        <f>AND('Planilla_General_03-12-2012_9_3'!N1045,"AAAAAFL/1k4=")</f>
        <v>#VALUE!</v>
      </c>
      <c r="CB66" t="e">
        <f>AND('Planilla_General_03-12-2012_9_3'!O1045,"AAAAAFL/1k8=")</f>
        <v>#VALUE!</v>
      </c>
      <c r="CC66">
        <f>IF('Planilla_General_03-12-2012_9_3'!1046:1046,"AAAAAFL/1lA=",0)</f>
        <v>0</v>
      </c>
      <c r="CD66" t="e">
        <f>AND('Planilla_General_03-12-2012_9_3'!A1046,"AAAAAFL/1lE=")</f>
        <v>#VALUE!</v>
      </c>
      <c r="CE66" t="e">
        <f>AND('Planilla_General_03-12-2012_9_3'!B1046,"AAAAAFL/1lI=")</f>
        <v>#VALUE!</v>
      </c>
      <c r="CF66" t="e">
        <f>AND('Planilla_General_03-12-2012_9_3'!C1046,"AAAAAFL/1lM=")</f>
        <v>#VALUE!</v>
      </c>
      <c r="CG66" t="e">
        <f>AND('Planilla_General_03-12-2012_9_3'!D1046,"AAAAAFL/1lQ=")</f>
        <v>#VALUE!</v>
      </c>
      <c r="CH66" t="e">
        <f>AND('Planilla_General_03-12-2012_9_3'!E1046,"AAAAAFL/1lU=")</f>
        <v>#VALUE!</v>
      </c>
      <c r="CI66" t="e">
        <f>AND('Planilla_General_03-12-2012_9_3'!F1046,"AAAAAFL/1lY=")</f>
        <v>#VALUE!</v>
      </c>
      <c r="CJ66" t="e">
        <f>AND('Planilla_General_03-12-2012_9_3'!G1046,"AAAAAFL/1lc=")</f>
        <v>#VALUE!</v>
      </c>
      <c r="CK66" t="e">
        <f>AND('Planilla_General_03-12-2012_9_3'!H1046,"AAAAAFL/1lg=")</f>
        <v>#VALUE!</v>
      </c>
      <c r="CL66" t="e">
        <f>AND('Planilla_General_03-12-2012_9_3'!I1046,"AAAAAFL/1lk=")</f>
        <v>#VALUE!</v>
      </c>
      <c r="CM66" t="e">
        <f>AND('Planilla_General_03-12-2012_9_3'!J1046,"AAAAAFL/1lo=")</f>
        <v>#VALUE!</v>
      </c>
      <c r="CN66" t="e">
        <f>AND('Planilla_General_03-12-2012_9_3'!K1046,"AAAAAFL/1ls=")</f>
        <v>#VALUE!</v>
      </c>
      <c r="CO66" t="e">
        <f>AND('Planilla_General_03-12-2012_9_3'!L1046,"AAAAAFL/1lw=")</f>
        <v>#VALUE!</v>
      </c>
      <c r="CP66" t="e">
        <f>AND('Planilla_General_03-12-2012_9_3'!M1046,"AAAAAFL/1l0=")</f>
        <v>#VALUE!</v>
      </c>
      <c r="CQ66" t="e">
        <f>AND('Planilla_General_03-12-2012_9_3'!N1046,"AAAAAFL/1l4=")</f>
        <v>#VALUE!</v>
      </c>
      <c r="CR66" t="e">
        <f>AND('Planilla_General_03-12-2012_9_3'!O1046,"AAAAAFL/1l8=")</f>
        <v>#VALUE!</v>
      </c>
      <c r="CS66">
        <f>IF('Planilla_General_03-12-2012_9_3'!1047:1047,"AAAAAFL/1mA=",0)</f>
        <v>0</v>
      </c>
      <c r="CT66" t="e">
        <f>AND('Planilla_General_03-12-2012_9_3'!A1047,"AAAAAFL/1mE=")</f>
        <v>#VALUE!</v>
      </c>
      <c r="CU66" t="e">
        <f>AND('Planilla_General_03-12-2012_9_3'!B1047,"AAAAAFL/1mI=")</f>
        <v>#VALUE!</v>
      </c>
      <c r="CV66" t="e">
        <f>AND('Planilla_General_03-12-2012_9_3'!C1047,"AAAAAFL/1mM=")</f>
        <v>#VALUE!</v>
      </c>
      <c r="CW66" t="e">
        <f>AND('Planilla_General_03-12-2012_9_3'!D1047,"AAAAAFL/1mQ=")</f>
        <v>#VALUE!</v>
      </c>
      <c r="CX66" t="e">
        <f>AND('Planilla_General_03-12-2012_9_3'!E1047,"AAAAAFL/1mU=")</f>
        <v>#VALUE!</v>
      </c>
      <c r="CY66" t="e">
        <f>AND('Planilla_General_03-12-2012_9_3'!F1047,"AAAAAFL/1mY=")</f>
        <v>#VALUE!</v>
      </c>
      <c r="CZ66" t="e">
        <f>AND('Planilla_General_03-12-2012_9_3'!G1047,"AAAAAFL/1mc=")</f>
        <v>#VALUE!</v>
      </c>
      <c r="DA66" t="e">
        <f>AND('Planilla_General_03-12-2012_9_3'!H1047,"AAAAAFL/1mg=")</f>
        <v>#VALUE!</v>
      </c>
      <c r="DB66" t="e">
        <f>AND('Planilla_General_03-12-2012_9_3'!I1047,"AAAAAFL/1mk=")</f>
        <v>#VALUE!</v>
      </c>
      <c r="DC66" t="e">
        <f>AND('Planilla_General_03-12-2012_9_3'!J1047,"AAAAAFL/1mo=")</f>
        <v>#VALUE!</v>
      </c>
      <c r="DD66" t="e">
        <f>AND('Planilla_General_03-12-2012_9_3'!K1047,"AAAAAFL/1ms=")</f>
        <v>#VALUE!</v>
      </c>
      <c r="DE66" t="e">
        <f>AND('Planilla_General_03-12-2012_9_3'!L1047,"AAAAAFL/1mw=")</f>
        <v>#VALUE!</v>
      </c>
      <c r="DF66" t="e">
        <f>AND('Planilla_General_03-12-2012_9_3'!M1047,"AAAAAFL/1m0=")</f>
        <v>#VALUE!</v>
      </c>
      <c r="DG66" t="e">
        <f>AND('Planilla_General_03-12-2012_9_3'!N1047,"AAAAAFL/1m4=")</f>
        <v>#VALUE!</v>
      </c>
      <c r="DH66" t="e">
        <f>AND('Planilla_General_03-12-2012_9_3'!O1047,"AAAAAFL/1m8=")</f>
        <v>#VALUE!</v>
      </c>
      <c r="DI66">
        <f>IF('Planilla_General_03-12-2012_9_3'!1048:1048,"AAAAAFL/1nA=",0)</f>
        <v>0</v>
      </c>
      <c r="DJ66" t="e">
        <f>AND('Planilla_General_03-12-2012_9_3'!A1048,"AAAAAFL/1nE=")</f>
        <v>#VALUE!</v>
      </c>
      <c r="DK66" t="e">
        <f>AND('Planilla_General_03-12-2012_9_3'!B1048,"AAAAAFL/1nI=")</f>
        <v>#VALUE!</v>
      </c>
      <c r="DL66" t="e">
        <f>AND('Planilla_General_03-12-2012_9_3'!C1048,"AAAAAFL/1nM=")</f>
        <v>#VALUE!</v>
      </c>
      <c r="DM66" t="e">
        <f>AND('Planilla_General_03-12-2012_9_3'!D1048,"AAAAAFL/1nQ=")</f>
        <v>#VALUE!</v>
      </c>
      <c r="DN66" t="e">
        <f>AND('Planilla_General_03-12-2012_9_3'!E1048,"AAAAAFL/1nU=")</f>
        <v>#VALUE!</v>
      </c>
      <c r="DO66" t="e">
        <f>AND('Planilla_General_03-12-2012_9_3'!F1048,"AAAAAFL/1nY=")</f>
        <v>#VALUE!</v>
      </c>
      <c r="DP66" t="e">
        <f>AND('Planilla_General_03-12-2012_9_3'!G1048,"AAAAAFL/1nc=")</f>
        <v>#VALUE!</v>
      </c>
      <c r="DQ66" t="e">
        <f>AND('Planilla_General_03-12-2012_9_3'!H1048,"AAAAAFL/1ng=")</f>
        <v>#VALUE!</v>
      </c>
      <c r="DR66" t="e">
        <f>AND('Planilla_General_03-12-2012_9_3'!I1048,"AAAAAFL/1nk=")</f>
        <v>#VALUE!</v>
      </c>
      <c r="DS66" t="e">
        <f>AND('Planilla_General_03-12-2012_9_3'!J1048,"AAAAAFL/1no=")</f>
        <v>#VALUE!</v>
      </c>
      <c r="DT66" t="e">
        <f>AND('Planilla_General_03-12-2012_9_3'!K1048,"AAAAAFL/1ns=")</f>
        <v>#VALUE!</v>
      </c>
      <c r="DU66" t="e">
        <f>AND('Planilla_General_03-12-2012_9_3'!L1048,"AAAAAFL/1nw=")</f>
        <v>#VALUE!</v>
      </c>
      <c r="DV66" t="e">
        <f>AND('Planilla_General_03-12-2012_9_3'!M1048,"AAAAAFL/1n0=")</f>
        <v>#VALUE!</v>
      </c>
      <c r="DW66" t="e">
        <f>AND('Planilla_General_03-12-2012_9_3'!N1048,"AAAAAFL/1n4=")</f>
        <v>#VALUE!</v>
      </c>
      <c r="DX66" t="e">
        <f>AND('Planilla_General_03-12-2012_9_3'!O1048,"AAAAAFL/1n8=")</f>
        <v>#VALUE!</v>
      </c>
      <c r="DY66">
        <f>IF('Planilla_General_03-12-2012_9_3'!1049:1049,"AAAAAFL/1oA=",0)</f>
        <v>0</v>
      </c>
      <c r="DZ66" t="e">
        <f>AND('Planilla_General_03-12-2012_9_3'!A1049,"AAAAAFL/1oE=")</f>
        <v>#VALUE!</v>
      </c>
      <c r="EA66" t="e">
        <f>AND('Planilla_General_03-12-2012_9_3'!B1049,"AAAAAFL/1oI=")</f>
        <v>#VALUE!</v>
      </c>
      <c r="EB66" t="e">
        <f>AND('Planilla_General_03-12-2012_9_3'!C1049,"AAAAAFL/1oM=")</f>
        <v>#VALUE!</v>
      </c>
      <c r="EC66" t="e">
        <f>AND('Planilla_General_03-12-2012_9_3'!D1049,"AAAAAFL/1oQ=")</f>
        <v>#VALUE!</v>
      </c>
      <c r="ED66" t="e">
        <f>AND('Planilla_General_03-12-2012_9_3'!E1049,"AAAAAFL/1oU=")</f>
        <v>#VALUE!</v>
      </c>
      <c r="EE66" t="e">
        <f>AND('Planilla_General_03-12-2012_9_3'!F1049,"AAAAAFL/1oY=")</f>
        <v>#VALUE!</v>
      </c>
      <c r="EF66" t="e">
        <f>AND('Planilla_General_03-12-2012_9_3'!G1049,"AAAAAFL/1oc=")</f>
        <v>#VALUE!</v>
      </c>
      <c r="EG66" t="e">
        <f>AND('Planilla_General_03-12-2012_9_3'!H1049,"AAAAAFL/1og=")</f>
        <v>#VALUE!</v>
      </c>
      <c r="EH66" t="e">
        <f>AND('Planilla_General_03-12-2012_9_3'!I1049,"AAAAAFL/1ok=")</f>
        <v>#VALUE!</v>
      </c>
      <c r="EI66" t="e">
        <f>AND('Planilla_General_03-12-2012_9_3'!J1049,"AAAAAFL/1oo=")</f>
        <v>#VALUE!</v>
      </c>
      <c r="EJ66" t="e">
        <f>AND('Planilla_General_03-12-2012_9_3'!K1049,"AAAAAFL/1os=")</f>
        <v>#VALUE!</v>
      </c>
      <c r="EK66" t="e">
        <f>AND('Planilla_General_03-12-2012_9_3'!L1049,"AAAAAFL/1ow=")</f>
        <v>#VALUE!</v>
      </c>
      <c r="EL66" t="e">
        <f>AND('Planilla_General_03-12-2012_9_3'!M1049,"AAAAAFL/1o0=")</f>
        <v>#VALUE!</v>
      </c>
      <c r="EM66" t="e">
        <f>AND('Planilla_General_03-12-2012_9_3'!N1049,"AAAAAFL/1o4=")</f>
        <v>#VALUE!</v>
      </c>
      <c r="EN66" t="e">
        <f>AND('Planilla_General_03-12-2012_9_3'!O1049,"AAAAAFL/1o8=")</f>
        <v>#VALUE!</v>
      </c>
      <c r="EO66">
        <f>IF('Planilla_General_03-12-2012_9_3'!1050:1050,"AAAAAFL/1pA=",0)</f>
        <v>0</v>
      </c>
      <c r="EP66" t="e">
        <f>AND('Planilla_General_03-12-2012_9_3'!A1050,"AAAAAFL/1pE=")</f>
        <v>#VALUE!</v>
      </c>
      <c r="EQ66" t="e">
        <f>AND('Planilla_General_03-12-2012_9_3'!B1050,"AAAAAFL/1pI=")</f>
        <v>#VALUE!</v>
      </c>
      <c r="ER66" t="e">
        <f>AND('Planilla_General_03-12-2012_9_3'!C1050,"AAAAAFL/1pM=")</f>
        <v>#VALUE!</v>
      </c>
      <c r="ES66" t="e">
        <f>AND('Planilla_General_03-12-2012_9_3'!D1050,"AAAAAFL/1pQ=")</f>
        <v>#VALUE!</v>
      </c>
      <c r="ET66" t="e">
        <f>AND('Planilla_General_03-12-2012_9_3'!E1050,"AAAAAFL/1pU=")</f>
        <v>#VALUE!</v>
      </c>
      <c r="EU66" t="e">
        <f>AND('Planilla_General_03-12-2012_9_3'!F1050,"AAAAAFL/1pY=")</f>
        <v>#VALUE!</v>
      </c>
      <c r="EV66" t="e">
        <f>AND('Planilla_General_03-12-2012_9_3'!G1050,"AAAAAFL/1pc=")</f>
        <v>#VALUE!</v>
      </c>
      <c r="EW66" t="e">
        <f>AND('Planilla_General_03-12-2012_9_3'!H1050,"AAAAAFL/1pg=")</f>
        <v>#VALUE!</v>
      </c>
      <c r="EX66" t="e">
        <f>AND('Planilla_General_03-12-2012_9_3'!I1050,"AAAAAFL/1pk=")</f>
        <v>#VALUE!</v>
      </c>
      <c r="EY66" t="e">
        <f>AND('Planilla_General_03-12-2012_9_3'!J1050,"AAAAAFL/1po=")</f>
        <v>#VALUE!</v>
      </c>
      <c r="EZ66" t="e">
        <f>AND('Planilla_General_03-12-2012_9_3'!K1050,"AAAAAFL/1ps=")</f>
        <v>#VALUE!</v>
      </c>
      <c r="FA66" t="e">
        <f>AND('Planilla_General_03-12-2012_9_3'!L1050,"AAAAAFL/1pw=")</f>
        <v>#VALUE!</v>
      </c>
      <c r="FB66" t="e">
        <f>AND('Planilla_General_03-12-2012_9_3'!M1050,"AAAAAFL/1p0=")</f>
        <v>#VALUE!</v>
      </c>
      <c r="FC66" t="e">
        <f>AND('Planilla_General_03-12-2012_9_3'!N1050,"AAAAAFL/1p4=")</f>
        <v>#VALUE!</v>
      </c>
      <c r="FD66" t="e">
        <f>AND('Planilla_General_03-12-2012_9_3'!O1050,"AAAAAFL/1p8=")</f>
        <v>#VALUE!</v>
      </c>
      <c r="FE66">
        <f>IF('Planilla_General_03-12-2012_9_3'!1051:1051,"AAAAAFL/1qA=",0)</f>
        <v>0</v>
      </c>
      <c r="FF66" t="e">
        <f>AND('Planilla_General_03-12-2012_9_3'!A1051,"AAAAAFL/1qE=")</f>
        <v>#VALUE!</v>
      </c>
      <c r="FG66" t="e">
        <f>AND('Planilla_General_03-12-2012_9_3'!B1051,"AAAAAFL/1qI=")</f>
        <v>#VALUE!</v>
      </c>
      <c r="FH66" t="e">
        <f>AND('Planilla_General_03-12-2012_9_3'!C1051,"AAAAAFL/1qM=")</f>
        <v>#VALUE!</v>
      </c>
      <c r="FI66" t="e">
        <f>AND('Planilla_General_03-12-2012_9_3'!D1051,"AAAAAFL/1qQ=")</f>
        <v>#VALUE!</v>
      </c>
      <c r="FJ66" t="e">
        <f>AND('Planilla_General_03-12-2012_9_3'!E1051,"AAAAAFL/1qU=")</f>
        <v>#VALUE!</v>
      </c>
      <c r="FK66" t="e">
        <f>AND('Planilla_General_03-12-2012_9_3'!F1051,"AAAAAFL/1qY=")</f>
        <v>#VALUE!</v>
      </c>
      <c r="FL66" t="e">
        <f>AND('Planilla_General_03-12-2012_9_3'!G1051,"AAAAAFL/1qc=")</f>
        <v>#VALUE!</v>
      </c>
      <c r="FM66" t="e">
        <f>AND('Planilla_General_03-12-2012_9_3'!H1051,"AAAAAFL/1qg=")</f>
        <v>#VALUE!</v>
      </c>
      <c r="FN66" t="e">
        <f>AND('Planilla_General_03-12-2012_9_3'!I1051,"AAAAAFL/1qk=")</f>
        <v>#VALUE!</v>
      </c>
      <c r="FO66" t="e">
        <f>AND('Planilla_General_03-12-2012_9_3'!J1051,"AAAAAFL/1qo=")</f>
        <v>#VALUE!</v>
      </c>
      <c r="FP66" t="e">
        <f>AND('Planilla_General_03-12-2012_9_3'!K1051,"AAAAAFL/1qs=")</f>
        <v>#VALUE!</v>
      </c>
      <c r="FQ66" t="e">
        <f>AND('Planilla_General_03-12-2012_9_3'!L1051,"AAAAAFL/1qw=")</f>
        <v>#VALUE!</v>
      </c>
      <c r="FR66" t="e">
        <f>AND('Planilla_General_03-12-2012_9_3'!M1051,"AAAAAFL/1q0=")</f>
        <v>#VALUE!</v>
      </c>
      <c r="FS66" t="e">
        <f>AND('Planilla_General_03-12-2012_9_3'!N1051,"AAAAAFL/1q4=")</f>
        <v>#VALUE!</v>
      </c>
      <c r="FT66" t="e">
        <f>AND('Planilla_General_03-12-2012_9_3'!O1051,"AAAAAFL/1q8=")</f>
        <v>#VALUE!</v>
      </c>
      <c r="FU66">
        <f>IF('Planilla_General_03-12-2012_9_3'!1052:1052,"AAAAAFL/1rA=",0)</f>
        <v>0</v>
      </c>
      <c r="FV66" t="e">
        <f>AND('Planilla_General_03-12-2012_9_3'!A1052,"AAAAAFL/1rE=")</f>
        <v>#VALUE!</v>
      </c>
      <c r="FW66" t="e">
        <f>AND('Planilla_General_03-12-2012_9_3'!B1052,"AAAAAFL/1rI=")</f>
        <v>#VALUE!</v>
      </c>
      <c r="FX66" t="e">
        <f>AND('Planilla_General_03-12-2012_9_3'!C1052,"AAAAAFL/1rM=")</f>
        <v>#VALUE!</v>
      </c>
      <c r="FY66" t="e">
        <f>AND('Planilla_General_03-12-2012_9_3'!D1052,"AAAAAFL/1rQ=")</f>
        <v>#VALUE!</v>
      </c>
      <c r="FZ66" t="e">
        <f>AND('Planilla_General_03-12-2012_9_3'!E1052,"AAAAAFL/1rU=")</f>
        <v>#VALUE!</v>
      </c>
      <c r="GA66" t="e">
        <f>AND('Planilla_General_03-12-2012_9_3'!F1052,"AAAAAFL/1rY=")</f>
        <v>#VALUE!</v>
      </c>
      <c r="GB66" t="e">
        <f>AND('Planilla_General_03-12-2012_9_3'!G1052,"AAAAAFL/1rc=")</f>
        <v>#VALUE!</v>
      </c>
      <c r="GC66" t="e">
        <f>AND('Planilla_General_03-12-2012_9_3'!H1052,"AAAAAFL/1rg=")</f>
        <v>#VALUE!</v>
      </c>
      <c r="GD66" t="e">
        <f>AND('Planilla_General_03-12-2012_9_3'!I1052,"AAAAAFL/1rk=")</f>
        <v>#VALUE!</v>
      </c>
      <c r="GE66" t="e">
        <f>AND('Planilla_General_03-12-2012_9_3'!J1052,"AAAAAFL/1ro=")</f>
        <v>#VALUE!</v>
      </c>
      <c r="GF66" t="e">
        <f>AND('Planilla_General_03-12-2012_9_3'!K1052,"AAAAAFL/1rs=")</f>
        <v>#VALUE!</v>
      </c>
      <c r="GG66" t="e">
        <f>AND('Planilla_General_03-12-2012_9_3'!L1052,"AAAAAFL/1rw=")</f>
        <v>#VALUE!</v>
      </c>
      <c r="GH66" t="e">
        <f>AND('Planilla_General_03-12-2012_9_3'!M1052,"AAAAAFL/1r0=")</f>
        <v>#VALUE!</v>
      </c>
      <c r="GI66" t="e">
        <f>AND('Planilla_General_03-12-2012_9_3'!N1052,"AAAAAFL/1r4=")</f>
        <v>#VALUE!</v>
      </c>
      <c r="GJ66" t="e">
        <f>AND('Planilla_General_03-12-2012_9_3'!O1052,"AAAAAFL/1r8=")</f>
        <v>#VALUE!</v>
      </c>
      <c r="GK66">
        <f>IF('Planilla_General_03-12-2012_9_3'!1053:1053,"AAAAAFL/1sA=",0)</f>
        <v>0</v>
      </c>
      <c r="GL66" t="e">
        <f>AND('Planilla_General_03-12-2012_9_3'!A1053,"AAAAAFL/1sE=")</f>
        <v>#VALUE!</v>
      </c>
      <c r="GM66" t="e">
        <f>AND('Planilla_General_03-12-2012_9_3'!B1053,"AAAAAFL/1sI=")</f>
        <v>#VALUE!</v>
      </c>
      <c r="GN66" t="e">
        <f>AND('Planilla_General_03-12-2012_9_3'!C1053,"AAAAAFL/1sM=")</f>
        <v>#VALUE!</v>
      </c>
      <c r="GO66" t="e">
        <f>AND('Planilla_General_03-12-2012_9_3'!D1053,"AAAAAFL/1sQ=")</f>
        <v>#VALUE!</v>
      </c>
      <c r="GP66" t="e">
        <f>AND('Planilla_General_03-12-2012_9_3'!E1053,"AAAAAFL/1sU=")</f>
        <v>#VALUE!</v>
      </c>
      <c r="GQ66" t="e">
        <f>AND('Planilla_General_03-12-2012_9_3'!F1053,"AAAAAFL/1sY=")</f>
        <v>#VALUE!</v>
      </c>
      <c r="GR66" t="e">
        <f>AND('Planilla_General_03-12-2012_9_3'!G1053,"AAAAAFL/1sc=")</f>
        <v>#VALUE!</v>
      </c>
      <c r="GS66" t="e">
        <f>AND('Planilla_General_03-12-2012_9_3'!H1053,"AAAAAFL/1sg=")</f>
        <v>#VALUE!</v>
      </c>
      <c r="GT66" t="e">
        <f>AND('Planilla_General_03-12-2012_9_3'!I1053,"AAAAAFL/1sk=")</f>
        <v>#VALUE!</v>
      </c>
      <c r="GU66" t="e">
        <f>AND('Planilla_General_03-12-2012_9_3'!J1053,"AAAAAFL/1so=")</f>
        <v>#VALUE!</v>
      </c>
      <c r="GV66" t="e">
        <f>AND('Planilla_General_03-12-2012_9_3'!K1053,"AAAAAFL/1ss=")</f>
        <v>#VALUE!</v>
      </c>
      <c r="GW66" t="e">
        <f>AND('Planilla_General_03-12-2012_9_3'!L1053,"AAAAAFL/1sw=")</f>
        <v>#VALUE!</v>
      </c>
      <c r="GX66" t="e">
        <f>AND('Planilla_General_03-12-2012_9_3'!M1053,"AAAAAFL/1s0=")</f>
        <v>#VALUE!</v>
      </c>
      <c r="GY66" t="e">
        <f>AND('Planilla_General_03-12-2012_9_3'!N1053,"AAAAAFL/1s4=")</f>
        <v>#VALUE!</v>
      </c>
      <c r="GZ66" t="e">
        <f>AND('Planilla_General_03-12-2012_9_3'!O1053,"AAAAAFL/1s8=")</f>
        <v>#VALUE!</v>
      </c>
      <c r="HA66">
        <f>IF('Planilla_General_03-12-2012_9_3'!1054:1054,"AAAAAFL/1tA=",0)</f>
        <v>0</v>
      </c>
      <c r="HB66" t="e">
        <f>AND('Planilla_General_03-12-2012_9_3'!A1054,"AAAAAFL/1tE=")</f>
        <v>#VALUE!</v>
      </c>
      <c r="HC66" t="e">
        <f>AND('Planilla_General_03-12-2012_9_3'!B1054,"AAAAAFL/1tI=")</f>
        <v>#VALUE!</v>
      </c>
      <c r="HD66" t="e">
        <f>AND('Planilla_General_03-12-2012_9_3'!C1054,"AAAAAFL/1tM=")</f>
        <v>#VALUE!</v>
      </c>
      <c r="HE66" t="e">
        <f>AND('Planilla_General_03-12-2012_9_3'!D1054,"AAAAAFL/1tQ=")</f>
        <v>#VALUE!</v>
      </c>
      <c r="HF66" t="e">
        <f>AND('Planilla_General_03-12-2012_9_3'!E1054,"AAAAAFL/1tU=")</f>
        <v>#VALUE!</v>
      </c>
      <c r="HG66" t="e">
        <f>AND('Planilla_General_03-12-2012_9_3'!F1054,"AAAAAFL/1tY=")</f>
        <v>#VALUE!</v>
      </c>
      <c r="HH66" t="e">
        <f>AND('Planilla_General_03-12-2012_9_3'!G1054,"AAAAAFL/1tc=")</f>
        <v>#VALUE!</v>
      </c>
      <c r="HI66" t="e">
        <f>AND('Planilla_General_03-12-2012_9_3'!H1054,"AAAAAFL/1tg=")</f>
        <v>#VALUE!</v>
      </c>
      <c r="HJ66" t="e">
        <f>AND('Planilla_General_03-12-2012_9_3'!I1054,"AAAAAFL/1tk=")</f>
        <v>#VALUE!</v>
      </c>
      <c r="HK66" t="e">
        <f>AND('Planilla_General_03-12-2012_9_3'!J1054,"AAAAAFL/1to=")</f>
        <v>#VALUE!</v>
      </c>
      <c r="HL66" t="e">
        <f>AND('Planilla_General_03-12-2012_9_3'!K1054,"AAAAAFL/1ts=")</f>
        <v>#VALUE!</v>
      </c>
      <c r="HM66" t="e">
        <f>AND('Planilla_General_03-12-2012_9_3'!L1054,"AAAAAFL/1tw=")</f>
        <v>#VALUE!</v>
      </c>
      <c r="HN66" t="e">
        <f>AND('Planilla_General_03-12-2012_9_3'!M1054,"AAAAAFL/1t0=")</f>
        <v>#VALUE!</v>
      </c>
      <c r="HO66" t="e">
        <f>AND('Planilla_General_03-12-2012_9_3'!N1054,"AAAAAFL/1t4=")</f>
        <v>#VALUE!</v>
      </c>
      <c r="HP66" t="e">
        <f>AND('Planilla_General_03-12-2012_9_3'!O1054,"AAAAAFL/1t8=")</f>
        <v>#VALUE!</v>
      </c>
      <c r="HQ66">
        <f>IF('Planilla_General_03-12-2012_9_3'!1055:1055,"AAAAAFL/1uA=",0)</f>
        <v>0</v>
      </c>
      <c r="HR66" t="e">
        <f>AND('Planilla_General_03-12-2012_9_3'!A1055,"AAAAAFL/1uE=")</f>
        <v>#VALUE!</v>
      </c>
      <c r="HS66" t="e">
        <f>AND('Planilla_General_03-12-2012_9_3'!B1055,"AAAAAFL/1uI=")</f>
        <v>#VALUE!</v>
      </c>
      <c r="HT66" t="e">
        <f>AND('Planilla_General_03-12-2012_9_3'!C1055,"AAAAAFL/1uM=")</f>
        <v>#VALUE!</v>
      </c>
      <c r="HU66" t="e">
        <f>AND('Planilla_General_03-12-2012_9_3'!D1055,"AAAAAFL/1uQ=")</f>
        <v>#VALUE!</v>
      </c>
      <c r="HV66" t="e">
        <f>AND('Planilla_General_03-12-2012_9_3'!E1055,"AAAAAFL/1uU=")</f>
        <v>#VALUE!</v>
      </c>
      <c r="HW66" t="e">
        <f>AND('Planilla_General_03-12-2012_9_3'!F1055,"AAAAAFL/1uY=")</f>
        <v>#VALUE!</v>
      </c>
      <c r="HX66" t="e">
        <f>AND('Planilla_General_03-12-2012_9_3'!G1055,"AAAAAFL/1uc=")</f>
        <v>#VALUE!</v>
      </c>
      <c r="HY66" t="e">
        <f>AND('Planilla_General_03-12-2012_9_3'!H1055,"AAAAAFL/1ug=")</f>
        <v>#VALUE!</v>
      </c>
      <c r="HZ66" t="e">
        <f>AND('Planilla_General_03-12-2012_9_3'!I1055,"AAAAAFL/1uk=")</f>
        <v>#VALUE!</v>
      </c>
      <c r="IA66" t="e">
        <f>AND('Planilla_General_03-12-2012_9_3'!J1055,"AAAAAFL/1uo=")</f>
        <v>#VALUE!</v>
      </c>
      <c r="IB66" t="e">
        <f>AND('Planilla_General_03-12-2012_9_3'!K1055,"AAAAAFL/1us=")</f>
        <v>#VALUE!</v>
      </c>
      <c r="IC66" t="e">
        <f>AND('Planilla_General_03-12-2012_9_3'!L1055,"AAAAAFL/1uw=")</f>
        <v>#VALUE!</v>
      </c>
      <c r="ID66" t="e">
        <f>AND('Planilla_General_03-12-2012_9_3'!M1055,"AAAAAFL/1u0=")</f>
        <v>#VALUE!</v>
      </c>
      <c r="IE66" t="e">
        <f>AND('Planilla_General_03-12-2012_9_3'!N1055,"AAAAAFL/1u4=")</f>
        <v>#VALUE!</v>
      </c>
      <c r="IF66" t="e">
        <f>AND('Planilla_General_03-12-2012_9_3'!O1055,"AAAAAFL/1u8=")</f>
        <v>#VALUE!</v>
      </c>
      <c r="IG66">
        <f>IF('Planilla_General_03-12-2012_9_3'!1056:1056,"AAAAAFL/1vA=",0)</f>
        <v>0</v>
      </c>
      <c r="IH66" t="e">
        <f>AND('Planilla_General_03-12-2012_9_3'!A1056,"AAAAAFL/1vE=")</f>
        <v>#VALUE!</v>
      </c>
      <c r="II66" t="e">
        <f>AND('Planilla_General_03-12-2012_9_3'!B1056,"AAAAAFL/1vI=")</f>
        <v>#VALUE!</v>
      </c>
      <c r="IJ66" t="e">
        <f>AND('Planilla_General_03-12-2012_9_3'!C1056,"AAAAAFL/1vM=")</f>
        <v>#VALUE!</v>
      </c>
      <c r="IK66" t="e">
        <f>AND('Planilla_General_03-12-2012_9_3'!D1056,"AAAAAFL/1vQ=")</f>
        <v>#VALUE!</v>
      </c>
      <c r="IL66" t="e">
        <f>AND('Planilla_General_03-12-2012_9_3'!E1056,"AAAAAFL/1vU=")</f>
        <v>#VALUE!</v>
      </c>
      <c r="IM66" t="e">
        <f>AND('Planilla_General_03-12-2012_9_3'!F1056,"AAAAAFL/1vY=")</f>
        <v>#VALUE!</v>
      </c>
      <c r="IN66" t="e">
        <f>AND('Planilla_General_03-12-2012_9_3'!G1056,"AAAAAFL/1vc=")</f>
        <v>#VALUE!</v>
      </c>
      <c r="IO66" t="e">
        <f>AND('Planilla_General_03-12-2012_9_3'!H1056,"AAAAAFL/1vg=")</f>
        <v>#VALUE!</v>
      </c>
      <c r="IP66" t="e">
        <f>AND('Planilla_General_03-12-2012_9_3'!I1056,"AAAAAFL/1vk=")</f>
        <v>#VALUE!</v>
      </c>
      <c r="IQ66" t="e">
        <f>AND('Planilla_General_03-12-2012_9_3'!J1056,"AAAAAFL/1vo=")</f>
        <v>#VALUE!</v>
      </c>
      <c r="IR66" t="e">
        <f>AND('Planilla_General_03-12-2012_9_3'!K1056,"AAAAAFL/1vs=")</f>
        <v>#VALUE!</v>
      </c>
      <c r="IS66" t="e">
        <f>AND('Planilla_General_03-12-2012_9_3'!L1056,"AAAAAFL/1vw=")</f>
        <v>#VALUE!</v>
      </c>
      <c r="IT66" t="e">
        <f>AND('Planilla_General_03-12-2012_9_3'!M1056,"AAAAAFL/1v0=")</f>
        <v>#VALUE!</v>
      </c>
      <c r="IU66" t="e">
        <f>AND('Planilla_General_03-12-2012_9_3'!N1056,"AAAAAFL/1v4=")</f>
        <v>#VALUE!</v>
      </c>
      <c r="IV66" t="e">
        <f>AND('Planilla_General_03-12-2012_9_3'!O1056,"AAAAAFL/1v8=")</f>
        <v>#VALUE!</v>
      </c>
    </row>
    <row r="67" spans="1:256" x14ac:dyDescent="0.25">
      <c r="A67" t="e">
        <f>IF('Planilla_General_03-12-2012_9_3'!1057:1057,"AAAAAH+d/QA=",0)</f>
        <v>#VALUE!</v>
      </c>
      <c r="B67" t="e">
        <f>AND('Planilla_General_03-12-2012_9_3'!A1057,"AAAAAH+d/QE=")</f>
        <v>#VALUE!</v>
      </c>
      <c r="C67" t="e">
        <f>AND('Planilla_General_03-12-2012_9_3'!B1057,"AAAAAH+d/QI=")</f>
        <v>#VALUE!</v>
      </c>
      <c r="D67" t="e">
        <f>AND('Planilla_General_03-12-2012_9_3'!C1057,"AAAAAH+d/QM=")</f>
        <v>#VALUE!</v>
      </c>
      <c r="E67" t="e">
        <f>AND('Planilla_General_03-12-2012_9_3'!D1057,"AAAAAH+d/QQ=")</f>
        <v>#VALUE!</v>
      </c>
      <c r="F67" t="e">
        <f>AND('Planilla_General_03-12-2012_9_3'!E1057,"AAAAAH+d/QU=")</f>
        <v>#VALUE!</v>
      </c>
      <c r="G67" t="e">
        <f>AND('Planilla_General_03-12-2012_9_3'!F1057,"AAAAAH+d/QY=")</f>
        <v>#VALUE!</v>
      </c>
      <c r="H67" t="e">
        <f>AND('Planilla_General_03-12-2012_9_3'!G1057,"AAAAAH+d/Qc=")</f>
        <v>#VALUE!</v>
      </c>
      <c r="I67" t="e">
        <f>AND('Planilla_General_03-12-2012_9_3'!H1057,"AAAAAH+d/Qg=")</f>
        <v>#VALUE!</v>
      </c>
      <c r="J67" t="e">
        <f>AND('Planilla_General_03-12-2012_9_3'!I1057,"AAAAAH+d/Qk=")</f>
        <v>#VALUE!</v>
      </c>
      <c r="K67" t="e">
        <f>AND('Planilla_General_03-12-2012_9_3'!J1057,"AAAAAH+d/Qo=")</f>
        <v>#VALUE!</v>
      </c>
      <c r="L67" t="e">
        <f>AND('Planilla_General_03-12-2012_9_3'!K1057,"AAAAAH+d/Qs=")</f>
        <v>#VALUE!</v>
      </c>
      <c r="M67" t="e">
        <f>AND('Planilla_General_03-12-2012_9_3'!L1057,"AAAAAH+d/Qw=")</f>
        <v>#VALUE!</v>
      </c>
      <c r="N67" t="e">
        <f>AND('Planilla_General_03-12-2012_9_3'!M1057,"AAAAAH+d/Q0=")</f>
        <v>#VALUE!</v>
      </c>
      <c r="O67" t="e">
        <f>AND('Planilla_General_03-12-2012_9_3'!N1057,"AAAAAH+d/Q4=")</f>
        <v>#VALUE!</v>
      </c>
      <c r="P67" t="e">
        <f>AND('Planilla_General_03-12-2012_9_3'!O1057,"AAAAAH+d/Q8=")</f>
        <v>#VALUE!</v>
      </c>
      <c r="Q67">
        <f>IF('Planilla_General_03-12-2012_9_3'!1058:1058,"AAAAAH+d/RA=",0)</f>
        <v>0</v>
      </c>
      <c r="R67" t="e">
        <f>AND('Planilla_General_03-12-2012_9_3'!A1058,"AAAAAH+d/RE=")</f>
        <v>#VALUE!</v>
      </c>
      <c r="S67" t="e">
        <f>AND('Planilla_General_03-12-2012_9_3'!B1058,"AAAAAH+d/RI=")</f>
        <v>#VALUE!</v>
      </c>
      <c r="T67" t="e">
        <f>AND('Planilla_General_03-12-2012_9_3'!C1058,"AAAAAH+d/RM=")</f>
        <v>#VALUE!</v>
      </c>
      <c r="U67" t="e">
        <f>AND('Planilla_General_03-12-2012_9_3'!D1058,"AAAAAH+d/RQ=")</f>
        <v>#VALUE!</v>
      </c>
      <c r="V67" t="e">
        <f>AND('Planilla_General_03-12-2012_9_3'!E1058,"AAAAAH+d/RU=")</f>
        <v>#VALUE!</v>
      </c>
      <c r="W67" t="e">
        <f>AND('Planilla_General_03-12-2012_9_3'!F1058,"AAAAAH+d/RY=")</f>
        <v>#VALUE!</v>
      </c>
      <c r="X67" t="e">
        <f>AND('Planilla_General_03-12-2012_9_3'!G1058,"AAAAAH+d/Rc=")</f>
        <v>#VALUE!</v>
      </c>
      <c r="Y67" t="e">
        <f>AND('Planilla_General_03-12-2012_9_3'!H1058,"AAAAAH+d/Rg=")</f>
        <v>#VALUE!</v>
      </c>
      <c r="Z67" t="e">
        <f>AND('Planilla_General_03-12-2012_9_3'!I1058,"AAAAAH+d/Rk=")</f>
        <v>#VALUE!</v>
      </c>
      <c r="AA67" t="e">
        <f>AND('Planilla_General_03-12-2012_9_3'!J1058,"AAAAAH+d/Ro=")</f>
        <v>#VALUE!</v>
      </c>
      <c r="AB67" t="e">
        <f>AND('Planilla_General_03-12-2012_9_3'!K1058,"AAAAAH+d/Rs=")</f>
        <v>#VALUE!</v>
      </c>
      <c r="AC67" t="e">
        <f>AND('Planilla_General_03-12-2012_9_3'!L1058,"AAAAAH+d/Rw=")</f>
        <v>#VALUE!</v>
      </c>
      <c r="AD67" t="e">
        <f>AND('Planilla_General_03-12-2012_9_3'!M1058,"AAAAAH+d/R0=")</f>
        <v>#VALUE!</v>
      </c>
      <c r="AE67" t="e">
        <f>AND('Planilla_General_03-12-2012_9_3'!N1058,"AAAAAH+d/R4=")</f>
        <v>#VALUE!</v>
      </c>
      <c r="AF67" t="e">
        <f>AND('Planilla_General_03-12-2012_9_3'!O1058,"AAAAAH+d/R8=")</f>
        <v>#VALUE!</v>
      </c>
      <c r="AG67">
        <f>IF('Planilla_General_03-12-2012_9_3'!1059:1059,"AAAAAH+d/SA=",0)</f>
        <v>0</v>
      </c>
      <c r="AH67" t="e">
        <f>AND('Planilla_General_03-12-2012_9_3'!A1059,"AAAAAH+d/SE=")</f>
        <v>#VALUE!</v>
      </c>
      <c r="AI67" t="e">
        <f>AND('Planilla_General_03-12-2012_9_3'!B1059,"AAAAAH+d/SI=")</f>
        <v>#VALUE!</v>
      </c>
      <c r="AJ67" t="e">
        <f>AND('Planilla_General_03-12-2012_9_3'!C1059,"AAAAAH+d/SM=")</f>
        <v>#VALUE!</v>
      </c>
      <c r="AK67" t="e">
        <f>AND('Planilla_General_03-12-2012_9_3'!D1059,"AAAAAH+d/SQ=")</f>
        <v>#VALUE!</v>
      </c>
      <c r="AL67" t="e">
        <f>AND('Planilla_General_03-12-2012_9_3'!E1059,"AAAAAH+d/SU=")</f>
        <v>#VALUE!</v>
      </c>
      <c r="AM67" t="e">
        <f>AND('Planilla_General_03-12-2012_9_3'!F1059,"AAAAAH+d/SY=")</f>
        <v>#VALUE!</v>
      </c>
      <c r="AN67" t="e">
        <f>AND('Planilla_General_03-12-2012_9_3'!G1059,"AAAAAH+d/Sc=")</f>
        <v>#VALUE!</v>
      </c>
      <c r="AO67" t="e">
        <f>AND('Planilla_General_03-12-2012_9_3'!H1059,"AAAAAH+d/Sg=")</f>
        <v>#VALUE!</v>
      </c>
      <c r="AP67" t="e">
        <f>AND('Planilla_General_03-12-2012_9_3'!I1059,"AAAAAH+d/Sk=")</f>
        <v>#VALUE!</v>
      </c>
      <c r="AQ67" t="e">
        <f>AND('Planilla_General_03-12-2012_9_3'!J1059,"AAAAAH+d/So=")</f>
        <v>#VALUE!</v>
      </c>
      <c r="AR67" t="e">
        <f>AND('Planilla_General_03-12-2012_9_3'!K1059,"AAAAAH+d/Ss=")</f>
        <v>#VALUE!</v>
      </c>
      <c r="AS67" t="e">
        <f>AND('Planilla_General_03-12-2012_9_3'!L1059,"AAAAAH+d/Sw=")</f>
        <v>#VALUE!</v>
      </c>
      <c r="AT67" t="e">
        <f>AND('Planilla_General_03-12-2012_9_3'!M1059,"AAAAAH+d/S0=")</f>
        <v>#VALUE!</v>
      </c>
      <c r="AU67" t="e">
        <f>AND('Planilla_General_03-12-2012_9_3'!N1059,"AAAAAH+d/S4=")</f>
        <v>#VALUE!</v>
      </c>
      <c r="AV67" t="e">
        <f>AND('Planilla_General_03-12-2012_9_3'!O1059,"AAAAAH+d/S8=")</f>
        <v>#VALUE!</v>
      </c>
      <c r="AW67">
        <f>IF('Planilla_General_03-12-2012_9_3'!1060:1060,"AAAAAH+d/TA=",0)</f>
        <v>0</v>
      </c>
      <c r="AX67" t="e">
        <f>AND('Planilla_General_03-12-2012_9_3'!A1060,"AAAAAH+d/TE=")</f>
        <v>#VALUE!</v>
      </c>
      <c r="AY67" t="e">
        <f>AND('Planilla_General_03-12-2012_9_3'!B1060,"AAAAAH+d/TI=")</f>
        <v>#VALUE!</v>
      </c>
      <c r="AZ67" t="e">
        <f>AND('Planilla_General_03-12-2012_9_3'!C1060,"AAAAAH+d/TM=")</f>
        <v>#VALUE!</v>
      </c>
      <c r="BA67" t="e">
        <f>AND('Planilla_General_03-12-2012_9_3'!D1060,"AAAAAH+d/TQ=")</f>
        <v>#VALUE!</v>
      </c>
      <c r="BB67" t="e">
        <f>AND('Planilla_General_03-12-2012_9_3'!E1060,"AAAAAH+d/TU=")</f>
        <v>#VALUE!</v>
      </c>
      <c r="BC67" t="e">
        <f>AND('Planilla_General_03-12-2012_9_3'!F1060,"AAAAAH+d/TY=")</f>
        <v>#VALUE!</v>
      </c>
      <c r="BD67" t="e">
        <f>AND('Planilla_General_03-12-2012_9_3'!G1060,"AAAAAH+d/Tc=")</f>
        <v>#VALUE!</v>
      </c>
      <c r="BE67" t="e">
        <f>AND('Planilla_General_03-12-2012_9_3'!H1060,"AAAAAH+d/Tg=")</f>
        <v>#VALUE!</v>
      </c>
      <c r="BF67" t="e">
        <f>AND('Planilla_General_03-12-2012_9_3'!I1060,"AAAAAH+d/Tk=")</f>
        <v>#VALUE!</v>
      </c>
      <c r="BG67" t="e">
        <f>AND('Planilla_General_03-12-2012_9_3'!J1060,"AAAAAH+d/To=")</f>
        <v>#VALUE!</v>
      </c>
      <c r="BH67" t="e">
        <f>AND('Planilla_General_03-12-2012_9_3'!K1060,"AAAAAH+d/Ts=")</f>
        <v>#VALUE!</v>
      </c>
      <c r="BI67" t="e">
        <f>AND('Planilla_General_03-12-2012_9_3'!L1060,"AAAAAH+d/Tw=")</f>
        <v>#VALUE!</v>
      </c>
      <c r="BJ67" t="e">
        <f>AND('Planilla_General_03-12-2012_9_3'!M1060,"AAAAAH+d/T0=")</f>
        <v>#VALUE!</v>
      </c>
      <c r="BK67" t="e">
        <f>AND('Planilla_General_03-12-2012_9_3'!N1060,"AAAAAH+d/T4=")</f>
        <v>#VALUE!</v>
      </c>
      <c r="BL67" t="e">
        <f>AND('Planilla_General_03-12-2012_9_3'!O1060,"AAAAAH+d/T8=")</f>
        <v>#VALUE!</v>
      </c>
      <c r="BM67">
        <f>IF('Planilla_General_03-12-2012_9_3'!1061:1061,"AAAAAH+d/UA=",0)</f>
        <v>0</v>
      </c>
      <c r="BN67" t="e">
        <f>AND('Planilla_General_03-12-2012_9_3'!A1061,"AAAAAH+d/UE=")</f>
        <v>#VALUE!</v>
      </c>
      <c r="BO67" t="e">
        <f>AND('Planilla_General_03-12-2012_9_3'!B1061,"AAAAAH+d/UI=")</f>
        <v>#VALUE!</v>
      </c>
      <c r="BP67" t="e">
        <f>AND('Planilla_General_03-12-2012_9_3'!C1061,"AAAAAH+d/UM=")</f>
        <v>#VALUE!</v>
      </c>
      <c r="BQ67" t="e">
        <f>AND('Planilla_General_03-12-2012_9_3'!D1061,"AAAAAH+d/UQ=")</f>
        <v>#VALUE!</v>
      </c>
      <c r="BR67" t="e">
        <f>AND('Planilla_General_03-12-2012_9_3'!E1061,"AAAAAH+d/UU=")</f>
        <v>#VALUE!</v>
      </c>
      <c r="BS67" t="e">
        <f>AND('Planilla_General_03-12-2012_9_3'!F1061,"AAAAAH+d/UY=")</f>
        <v>#VALUE!</v>
      </c>
      <c r="BT67" t="e">
        <f>AND('Planilla_General_03-12-2012_9_3'!G1061,"AAAAAH+d/Uc=")</f>
        <v>#VALUE!</v>
      </c>
      <c r="BU67" t="e">
        <f>AND('Planilla_General_03-12-2012_9_3'!H1061,"AAAAAH+d/Ug=")</f>
        <v>#VALUE!</v>
      </c>
      <c r="BV67" t="e">
        <f>AND('Planilla_General_03-12-2012_9_3'!I1061,"AAAAAH+d/Uk=")</f>
        <v>#VALUE!</v>
      </c>
      <c r="BW67" t="e">
        <f>AND('Planilla_General_03-12-2012_9_3'!J1061,"AAAAAH+d/Uo=")</f>
        <v>#VALUE!</v>
      </c>
      <c r="BX67" t="e">
        <f>AND('Planilla_General_03-12-2012_9_3'!K1061,"AAAAAH+d/Us=")</f>
        <v>#VALUE!</v>
      </c>
      <c r="BY67" t="e">
        <f>AND('Planilla_General_03-12-2012_9_3'!L1061,"AAAAAH+d/Uw=")</f>
        <v>#VALUE!</v>
      </c>
      <c r="BZ67" t="e">
        <f>AND('Planilla_General_03-12-2012_9_3'!M1061,"AAAAAH+d/U0=")</f>
        <v>#VALUE!</v>
      </c>
      <c r="CA67" t="e">
        <f>AND('Planilla_General_03-12-2012_9_3'!N1061,"AAAAAH+d/U4=")</f>
        <v>#VALUE!</v>
      </c>
      <c r="CB67" t="e">
        <f>AND('Planilla_General_03-12-2012_9_3'!O1061,"AAAAAH+d/U8=")</f>
        <v>#VALUE!</v>
      </c>
      <c r="CC67">
        <f>IF('Planilla_General_03-12-2012_9_3'!1062:1062,"AAAAAH+d/VA=",0)</f>
        <v>0</v>
      </c>
      <c r="CD67" t="e">
        <f>AND('Planilla_General_03-12-2012_9_3'!A1062,"AAAAAH+d/VE=")</f>
        <v>#VALUE!</v>
      </c>
      <c r="CE67" t="e">
        <f>AND('Planilla_General_03-12-2012_9_3'!B1062,"AAAAAH+d/VI=")</f>
        <v>#VALUE!</v>
      </c>
      <c r="CF67" t="e">
        <f>AND('Planilla_General_03-12-2012_9_3'!C1062,"AAAAAH+d/VM=")</f>
        <v>#VALUE!</v>
      </c>
      <c r="CG67" t="e">
        <f>AND('Planilla_General_03-12-2012_9_3'!D1062,"AAAAAH+d/VQ=")</f>
        <v>#VALUE!</v>
      </c>
      <c r="CH67" t="e">
        <f>AND('Planilla_General_03-12-2012_9_3'!E1062,"AAAAAH+d/VU=")</f>
        <v>#VALUE!</v>
      </c>
      <c r="CI67" t="e">
        <f>AND('Planilla_General_03-12-2012_9_3'!F1062,"AAAAAH+d/VY=")</f>
        <v>#VALUE!</v>
      </c>
      <c r="CJ67" t="e">
        <f>AND('Planilla_General_03-12-2012_9_3'!G1062,"AAAAAH+d/Vc=")</f>
        <v>#VALUE!</v>
      </c>
      <c r="CK67" t="e">
        <f>AND('Planilla_General_03-12-2012_9_3'!H1062,"AAAAAH+d/Vg=")</f>
        <v>#VALUE!</v>
      </c>
      <c r="CL67" t="e">
        <f>AND('Planilla_General_03-12-2012_9_3'!I1062,"AAAAAH+d/Vk=")</f>
        <v>#VALUE!</v>
      </c>
      <c r="CM67" t="e">
        <f>AND('Planilla_General_03-12-2012_9_3'!J1062,"AAAAAH+d/Vo=")</f>
        <v>#VALUE!</v>
      </c>
      <c r="CN67" t="e">
        <f>AND('Planilla_General_03-12-2012_9_3'!K1062,"AAAAAH+d/Vs=")</f>
        <v>#VALUE!</v>
      </c>
      <c r="CO67" t="e">
        <f>AND('Planilla_General_03-12-2012_9_3'!L1062,"AAAAAH+d/Vw=")</f>
        <v>#VALUE!</v>
      </c>
      <c r="CP67" t="e">
        <f>AND('Planilla_General_03-12-2012_9_3'!M1062,"AAAAAH+d/V0=")</f>
        <v>#VALUE!</v>
      </c>
      <c r="CQ67" t="e">
        <f>AND('Planilla_General_03-12-2012_9_3'!N1062,"AAAAAH+d/V4=")</f>
        <v>#VALUE!</v>
      </c>
      <c r="CR67" t="e">
        <f>AND('Planilla_General_03-12-2012_9_3'!O1062,"AAAAAH+d/V8=")</f>
        <v>#VALUE!</v>
      </c>
      <c r="CS67">
        <f>IF('Planilla_General_03-12-2012_9_3'!1063:1063,"AAAAAH+d/WA=",0)</f>
        <v>0</v>
      </c>
      <c r="CT67" t="e">
        <f>AND('Planilla_General_03-12-2012_9_3'!A1063,"AAAAAH+d/WE=")</f>
        <v>#VALUE!</v>
      </c>
      <c r="CU67" t="e">
        <f>AND('Planilla_General_03-12-2012_9_3'!B1063,"AAAAAH+d/WI=")</f>
        <v>#VALUE!</v>
      </c>
      <c r="CV67" t="e">
        <f>AND('Planilla_General_03-12-2012_9_3'!C1063,"AAAAAH+d/WM=")</f>
        <v>#VALUE!</v>
      </c>
      <c r="CW67" t="e">
        <f>AND('Planilla_General_03-12-2012_9_3'!D1063,"AAAAAH+d/WQ=")</f>
        <v>#VALUE!</v>
      </c>
      <c r="CX67" t="e">
        <f>AND('Planilla_General_03-12-2012_9_3'!E1063,"AAAAAH+d/WU=")</f>
        <v>#VALUE!</v>
      </c>
      <c r="CY67" t="e">
        <f>AND('Planilla_General_03-12-2012_9_3'!F1063,"AAAAAH+d/WY=")</f>
        <v>#VALUE!</v>
      </c>
      <c r="CZ67" t="e">
        <f>AND('Planilla_General_03-12-2012_9_3'!G1063,"AAAAAH+d/Wc=")</f>
        <v>#VALUE!</v>
      </c>
      <c r="DA67" t="e">
        <f>AND('Planilla_General_03-12-2012_9_3'!H1063,"AAAAAH+d/Wg=")</f>
        <v>#VALUE!</v>
      </c>
      <c r="DB67" t="e">
        <f>AND('Planilla_General_03-12-2012_9_3'!I1063,"AAAAAH+d/Wk=")</f>
        <v>#VALUE!</v>
      </c>
      <c r="DC67" t="e">
        <f>AND('Planilla_General_03-12-2012_9_3'!J1063,"AAAAAH+d/Wo=")</f>
        <v>#VALUE!</v>
      </c>
      <c r="DD67" t="e">
        <f>AND('Planilla_General_03-12-2012_9_3'!K1063,"AAAAAH+d/Ws=")</f>
        <v>#VALUE!</v>
      </c>
      <c r="DE67" t="e">
        <f>AND('Planilla_General_03-12-2012_9_3'!L1063,"AAAAAH+d/Ww=")</f>
        <v>#VALUE!</v>
      </c>
      <c r="DF67" t="e">
        <f>AND('Planilla_General_03-12-2012_9_3'!M1063,"AAAAAH+d/W0=")</f>
        <v>#VALUE!</v>
      </c>
      <c r="DG67" t="e">
        <f>AND('Planilla_General_03-12-2012_9_3'!N1063,"AAAAAH+d/W4=")</f>
        <v>#VALUE!</v>
      </c>
      <c r="DH67" t="e">
        <f>AND('Planilla_General_03-12-2012_9_3'!O1063,"AAAAAH+d/W8=")</f>
        <v>#VALUE!</v>
      </c>
      <c r="DI67">
        <f>IF('Planilla_General_03-12-2012_9_3'!1064:1064,"AAAAAH+d/XA=",0)</f>
        <v>0</v>
      </c>
      <c r="DJ67" t="e">
        <f>AND('Planilla_General_03-12-2012_9_3'!A1064,"AAAAAH+d/XE=")</f>
        <v>#VALUE!</v>
      </c>
      <c r="DK67" t="e">
        <f>AND('Planilla_General_03-12-2012_9_3'!B1064,"AAAAAH+d/XI=")</f>
        <v>#VALUE!</v>
      </c>
      <c r="DL67" t="e">
        <f>AND('Planilla_General_03-12-2012_9_3'!C1064,"AAAAAH+d/XM=")</f>
        <v>#VALUE!</v>
      </c>
      <c r="DM67" t="e">
        <f>AND('Planilla_General_03-12-2012_9_3'!D1064,"AAAAAH+d/XQ=")</f>
        <v>#VALUE!</v>
      </c>
      <c r="DN67" t="e">
        <f>AND('Planilla_General_03-12-2012_9_3'!E1064,"AAAAAH+d/XU=")</f>
        <v>#VALUE!</v>
      </c>
      <c r="DO67" t="e">
        <f>AND('Planilla_General_03-12-2012_9_3'!F1064,"AAAAAH+d/XY=")</f>
        <v>#VALUE!</v>
      </c>
      <c r="DP67" t="e">
        <f>AND('Planilla_General_03-12-2012_9_3'!G1064,"AAAAAH+d/Xc=")</f>
        <v>#VALUE!</v>
      </c>
      <c r="DQ67" t="e">
        <f>AND('Planilla_General_03-12-2012_9_3'!H1064,"AAAAAH+d/Xg=")</f>
        <v>#VALUE!</v>
      </c>
      <c r="DR67" t="e">
        <f>AND('Planilla_General_03-12-2012_9_3'!I1064,"AAAAAH+d/Xk=")</f>
        <v>#VALUE!</v>
      </c>
      <c r="DS67" t="e">
        <f>AND('Planilla_General_03-12-2012_9_3'!J1064,"AAAAAH+d/Xo=")</f>
        <v>#VALUE!</v>
      </c>
      <c r="DT67" t="e">
        <f>AND('Planilla_General_03-12-2012_9_3'!K1064,"AAAAAH+d/Xs=")</f>
        <v>#VALUE!</v>
      </c>
      <c r="DU67" t="e">
        <f>AND('Planilla_General_03-12-2012_9_3'!L1064,"AAAAAH+d/Xw=")</f>
        <v>#VALUE!</v>
      </c>
      <c r="DV67" t="e">
        <f>AND('Planilla_General_03-12-2012_9_3'!M1064,"AAAAAH+d/X0=")</f>
        <v>#VALUE!</v>
      </c>
      <c r="DW67" t="e">
        <f>AND('Planilla_General_03-12-2012_9_3'!N1064,"AAAAAH+d/X4=")</f>
        <v>#VALUE!</v>
      </c>
      <c r="DX67" t="e">
        <f>AND('Planilla_General_03-12-2012_9_3'!O1064,"AAAAAH+d/X8=")</f>
        <v>#VALUE!</v>
      </c>
      <c r="DY67">
        <f>IF('Planilla_General_03-12-2012_9_3'!1065:1065,"AAAAAH+d/YA=",0)</f>
        <v>0</v>
      </c>
      <c r="DZ67" t="e">
        <f>AND('Planilla_General_03-12-2012_9_3'!A1065,"AAAAAH+d/YE=")</f>
        <v>#VALUE!</v>
      </c>
      <c r="EA67" t="e">
        <f>AND('Planilla_General_03-12-2012_9_3'!B1065,"AAAAAH+d/YI=")</f>
        <v>#VALUE!</v>
      </c>
      <c r="EB67" t="e">
        <f>AND('Planilla_General_03-12-2012_9_3'!C1065,"AAAAAH+d/YM=")</f>
        <v>#VALUE!</v>
      </c>
      <c r="EC67" t="e">
        <f>AND('Planilla_General_03-12-2012_9_3'!D1065,"AAAAAH+d/YQ=")</f>
        <v>#VALUE!</v>
      </c>
      <c r="ED67" t="e">
        <f>AND('Planilla_General_03-12-2012_9_3'!E1065,"AAAAAH+d/YU=")</f>
        <v>#VALUE!</v>
      </c>
      <c r="EE67" t="e">
        <f>AND('Planilla_General_03-12-2012_9_3'!F1065,"AAAAAH+d/YY=")</f>
        <v>#VALUE!</v>
      </c>
      <c r="EF67" t="e">
        <f>AND('Planilla_General_03-12-2012_9_3'!G1065,"AAAAAH+d/Yc=")</f>
        <v>#VALUE!</v>
      </c>
      <c r="EG67" t="e">
        <f>AND('Planilla_General_03-12-2012_9_3'!H1065,"AAAAAH+d/Yg=")</f>
        <v>#VALUE!</v>
      </c>
      <c r="EH67" t="e">
        <f>AND('Planilla_General_03-12-2012_9_3'!I1065,"AAAAAH+d/Yk=")</f>
        <v>#VALUE!</v>
      </c>
      <c r="EI67" t="e">
        <f>AND('Planilla_General_03-12-2012_9_3'!J1065,"AAAAAH+d/Yo=")</f>
        <v>#VALUE!</v>
      </c>
      <c r="EJ67" t="e">
        <f>AND('Planilla_General_03-12-2012_9_3'!K1065,"AAAAAH+d/Ys=")</f>
        <v>#VALUE!</v>
      </c>
      <c r="EK67" t="e">
        <f>AND('Planilla_General_03-12-2012_9_3'!L1065,"AAAAAH+d/Yw=")</f>
        <v>#VALUE!</v>
      </c>
      <c r="EL67" t="e">
        <f>AND('Planilla_General_03-12-2012_9_3'!M1065,"AAAAAH+d/Y0=")</f>
        <v>#VALUE!</v>
      </c>
      <c r="EM67" t="e">
        <f>AND('Planilla_General_03-12-2012_9_3'!N1065,"AAAAAH+d/Y4=")</f>
        <v>#VALUE!</v>
      </c>
      <c r="EN67" t="e">
        <f>AND('Planilla_General_03-12-2012_9_3'!O1065,"AAAAAH+d/Y8=")</f>
        <v>#VALUE!</v>
      </c>
      <c r="EO67">
        <f>IF('Planilla_General_03-12-2012_9_3'!1066:1066,"AAAAAH+d/ZA=",0)</f>
        <v>0</v>
      </c>
      <c r="EP67" t="e">
        <f>AND('Planilla_General_03-12-2012_9_3'!A1066,"AAAAAH+d/ZE=")</f>
        <v>#VALUE!</v>
      </c>
      <c r="EQ67" t="e">
        <f>AND('Planilla_General_03-12-2012_9_3'!B1066,"AAAAAH+d/ZI=")</f>
        <v>#VALUE!</v>
      </c>
      <c r="ER67" t="e">
        <f>AND('Planilla_General_03-12-2012_9_3'!C1066,"AAAAAH+d/ZM=")</f>
        <v>#VALUE!</v>
      </c>
      <c r="ES67" t="e">
        <f>AND('Planilla_General_03-12-2012_9_3'!D1066,"AAAAAH+d/ZQ=")</f>
        <v>#VALUE!</v>
      </c>
      <c r="ET67" t="e">
        <f>AND('Planilla_General_03-12-2012_9_3'!E1066,"AAAAAH+d/ZU=")</f>
        <v>#VALUE!</v>
      </c>
      <c r="EU67" t="e">
        <f>AND('Planilla_General_03-12-2012_9_3'!F1066,"AAAAAH+d/ZY=")</f>
        <v>#VALUE!</v>
      </c>
      <c r="EV67" t="e">
        <f>AND('Planilla_General_03-12-2012_9_3'!G1066,"AAAAAH+d/Zc=")</f>
        <v>#VALUE!</v>
      </c>
      <c r="EW67" t="e">
        <f>AND('Planilla_General_03-12-2012_9_3'!H1066,"AAAAAH+d/Zg=")</f>
        <v>#VALUE!</v>
      </c>
      <c r="EX67" t="e">
        <f>AND('Planilla_General_03-12-2012_9_3'!I1066,"AAAAAH+d/Zk=")</f>
        <v>#VALUE!</v>
      </c>
      <c r="EY67" t="e">
        <f>AND('Planilla_General_03-12-2012_9_3'!J1066,"AAAAAH+d/Zo=")</f>
        <v>#VALUE!</v>
      </c>
      <c r="EZ67" t="e">
        <f>AND('Planilla_General_03-12-2012_9_3'!K1066,"AAAAAH+d/Zs=")</f>
        <v>#VALUE!</v>
      </c>
      <c r="FA67" t="e">
        <f>AND('Planilla_General_03-12-2012_9_3'!L1066,"AAAAAH+d/Zw=")</f>
        <v>#VALUE!</v>
      </c>
      <c r="FB67" t="e">
        <f>AND('Planilla_General_03-12-2012_9_3'!M1066,"AAAAAH+d/Z0=")</f>
        <v>#VALUE!</v>
      </c>
      <c r="FC67" t="e">
        <f>AND('Planilla_General_03-12-2012_9_3'!N1066,"AAAAAH+d/Z4=")</f>
        <v>#VALUE!</v>
      </c>
      <c r="FD67" t="e">
        <f>AND('Planilla_General_03-12-2012_9_3'!O1066,"AAAAAH+d/Z8=")</f>
        <v>#VALUE!</v>
      </c>
      <c r="FE67">
        <f>IF('Planilla_General_03-12-2012_9_3'!1067:1067,"AAAAAH+d/aA=",0)</f>
        <v>0</v>
      </c>
      <c r="FF67" t="e">
        <f>AND('Planilla_General_03-12-2012_9_3'!A1067,"AAAAAH+d/aE=")</f>
        <v>#VALUE!</v>
      </c>
      <c r="FG67" t="e">
        <f>AND('Planilla_General_03-12-2012_9_3'!B1067,"AAAAAH+d/aI=")</f>
        <v>#VALUE!</v>
      </c>
      <c r="FH67" t="e">
        <f>AND('Planilla_General_03-12-2012_9_3'!C1067,"AAAAAH+d/aM=")</f>
        <v>#VALUE!</v>
      </c>
      <c r="FI67" t="e">
        <f>AND('Planilla_General_03-12-2012_9_3'!D1067,"AAAAAH+d/aQ=")</f>
        <v>#VALUE!</v>
      </c>
      <c r="FJ67" t="e">
        <f>AND('Planilla_General_03-12-2012_9_3'!E1067,"AAAAAH+d/aU=")</f>
        <v>#VALUE!</v>
      </c>
      <c r="FK67" t="e">
        <f>AND('Planilla_General_03-12-2012_9_3'!F1067,"AAAAAH+d/aY=")</f>
        <v>#VALUE!</v>
      </c>
      <c r="FL67" t="e">
        <f>AND('Planilla_General_03-12-2012_9_3'!G1067,"AAAAAH+d/ac=")</f>
        <v>#VALUE!</v>
      </c>
      <c r="FM67" t="e">
        <f>AND('Planilla_General_03-12-2012_9_3'!H1067,"AAAAAH+d/ag=")</f>
        <v>#VALUE!</v>
      </c>
      <c r="FN67" t="e">
        <f>AND('Planilla_General_03-12-2012_9_3'!I1067,"AAAAAH+d/ak=")</f>
        <v>#VALUE!</v>
      </c>
      <c r="FO67" t="e">
        <f>AND('Planilla_General_03-12-2012_9_3'!J1067,"AAAAAH+d/ao=")</f>
        <v>#VALUE!</v>
      </c>
      <c r="FP67" t="e">
        <f>AND('Planilla_General_03-12-2012_9_3'!K1067,"AAAAAH+d/as=")</f>
        <v>#VALUE!</v>
      </c>
      <c r="FQ67" t="e">
        <f>AND('Planilla_General_03-12-2012_9_3'!L1067,"AAAAAH+d/aw=")</f>
        <v>#VALUE!</v>
      </c>
      <c r="FR67" t="e">
        <f>AND('Planilla_General_03-12-2012_9_3'!M1067,"AAAAAH+d/a0=")</f>
        <v>#VALUE!</v>
      </c>
      <c r="FS67" t="e">
        <f>AND('Planilla_General_03-12-2012_9_3'!N1067,"AAAAAH+d/a4=")</f>
        <v>#VALUE!</v>
      </c>
      <c r="FT67" t="e">
        <f>AND('Planilla_General_03-12-2012_9_3'!O1067,"AAAAAH+d/a8=")</f>
        <v>#VALUE!</v>
      </c>
      <c r="FU67">
        <f>IF('Planilla_General_03-12-2012_9_3'!1068:1068,"AAAAAH+d/bA=",0)</f>
        <v>0</v>
      </c>
      <c r="FV67" t="e">
        <f>AND('Planilla_General_03-12-2012_9_3'!A1068,"AAAAAH+d/bE=")</f>
        <v>#VALUE!</v>
      </c>
      <c r="FW67" t="e">
        <f>AND('Planilla_General_03-12-2012_9_3'!B1068,"AAAAAH+d/bI=")</f>
        <v>#VALUE!</v>
      </c>
      <c r="FX67" t="e">
        <f>AND('Planilla_General_03-12-2012_9_3'!C1068,"AAAAAH+d/bM=")</f>
        <v>#VALUE!</v>
      </c>
      <c r="FY67" t="e">
        <f>AND('Planilla_General_03-12-2012_9_3'!D1068,"AAAAAH+d/bQ=")</f>
        <v>#VALUE!</v>
      </c>
      <c r="FZ67" t="e">
        <f>AND('Planilla_General_03-12-2012_9_3'!E1068,"AAAAAH+d/bU=")</f>
        <v>#VALUE!</v>
      </c>
      <c r="GA67" t="e">
        <f>AND('Planilla_General_03-12-2012_9_3'!F1068,"AAAAAH+d/bY=")</f>
        <v>#VALUE!</v>
      </c>
      <c r="GB67" t="e">
        <f>AND('Planilla_General_03-12-2012_9_3'!G1068,"AAAAAH+d/bc=")</f>
        <v>#VALUE!</v>
      </c>
      <c r="GC67" t="e">
        <f>AND('Planilla_General_03-12-2012_9_3'!H1068,"AAAAAH+d/bg=")</f>
        <v>#VALUE!</v>
      </c>
      <c r="GD67" t="e">
        <f>AND('Planilla_General_03-12-2012_9_3'!I1068,"AAAAAH+d/bk=")</f>
        <v>#VALUE!</v>
      </c>
      <c r="GE67" t="e">
        <f>AND('Planilla_General_03-12-2012_9_3'!J1068,"AAAAAH+d/bo=")</f>
        <v>#VALUE!</v>
      </c>
      <c r="GF67" t="e">
        <f>AND('Planilla_General_03-12-2012_9_3'!K1068,"AAAAAH+d/bs=")</f>
        <v>#VALUE!</v>
      </c>
      <c r="GG67" t="e">
        <f>AND('Planilla_General_03-12-2012_9_3'!L1068,"AAAAAH+d/bw=")</f>
        <v>#VALUE!</v>
      </c>
      <c r="GH67" t="e">
        <f>AND('Planilla_General_03-12-2012_9_3'!M1068,"AAAAAH+d/b0=")</f>
        <v>#VALUE!</v>
      </c>
      <c r="GI67" t="e">
        <f>AND('Planilla_General_03-12-2012_9_3'!N1068,"AAAAAH+d/b4=")</f>
        <v>#VALUE!</v>
      </c>
      <c r="GJ67" t="e">
        <f>AND('Planilla_General_03-12-2012_9_3'!O1068,"AAAAAH+d/b8=")</f>
        <v>#VALUE!</v>
      </c>
      <c r="GK67">
        <f>IF('Planilla_General_03-12-2012_9_3'!1069:1069,"AAAAAH+d/cA=",0)</f>
        <v>0</v>
      </c>
      <c r="GL67" t="e">
        <f>AND('Planilla_General_03-12-2012_9_3'!A1069,"AAAAAH+d/cE=")</f>
        <v>#VALUE!</v>
      </c>
      <c r="GM67" t="e">
        <f>AND('Planilla_General_03-12-2012_9_3'!B1069,"AAAAAH+d/cI=")</f>
        <v>#VALUE!</v>
      </c>
      <c r="GN67" t="e">
        <f>AND('Planilla_General_03-12-2012_9_3'!C1069,"AAAAAH+d/cM=")</f>
        <v>#VALUE!</v>
      </c>
      <c r="GO67" t="e">
        <f>AND('Planilla_General_03-12-2012_9_3'!D1069,"AAAAAH+d/cQ=")</f>
        <v>#VALUE!</v>
      </c>
      <c r="GP67" t="e">
        <f>AND('Planilla_General_03-12-2012_9_3'!E1069,"AAAAAH+d/cU=")</f>
        <v>#VALUE!</v>
      </c>
      <c r="GQ67" t="e">
        <f>AND('Planilla_General_03-12-2012_9_3'!F1069,"AAAAAH+d/cY=")</f>
        <v>#VALUE!</v>
      </c>
      <c r="GR67" t="e">
        <f>AND('Planilla_General_03-12-2012_9_3'!G1069,"AAAAAH+d/cc=")</f>
        <v>#VALUE!</v>
      </c>
      <c r="GS67" t="e">
        <f>AND('Planilla_General_03-12-2012_9_3'!H1069,"AAAAAH+d/cg=")</f>
        <v>#VALUE!</v>
      </c>
      <c r="GT67" t="e">
        <f>AND('Planilla_General_03-12-2012_9_3'!I1069,"AAAAAH+d/ck=")</f>
        <v>#VALUE!</v>
      </c>
      <c r="GU67" t="e">
        <f>AND('Planilla_General_03-12-2012_9_3'!J1069,"AAAAAH+d/co=")</f>
        <v>#VALUE!</v>
      </c>
      <c r="GV67" t="e">
        <f>AND('Planilla_General_03-12-2012_9_3'!K1069,"AAAAAH+d/cs=")</f>
        <v>#VALUE!</v>
      </c>
      <c r="GW67" t="e">
        <f>AND('Planilla_General_03-12-2012_9_3'!L1069,"AAAAAH+d/cw=")</f>
        <v>#VALUE!</v>
      </c>
      <c r="GX67" t="e">
        <f>AND('Planilla_General_03-12-2012_9_3'!M1069,"AAAAAH+d/c0=")</f>
        <v>#VALUE!</v>
      </c>
      <c r="GY67" t="e">
        <f>AND('Planilla_General_03-12-2012_9_3'!N1069,"AAAAAH+d/c4=")</f>
        <v>#VALUE!</v>
      </c>
      <c r="GZ67" t="e">
        <f>AND('Planilla_General_03-12-2012_9_3'!O1069,"AAAAAH+d/c8=")</f>
        <v>#VALUE!</v>
      </c>
      <c r="HA67">
        <f>IF('Planilla_General_03-12-2012_9_3'!1070:1070,"AAAAAH+d/dA=",0)</f>
        <v>0</v>
      </c>
      <c r="HB67" t="e">
        <f>AND('Planilla_General_03-12-2012_9_3'!A1070,"AAAAAH+d/dE=")</f>
        <v>#VALUE!</v>
      </c>
      <c r="HC67" t="e">
        <f>AND('Planilla_General_03-12-2012_9_3'!B1070,"AAAAAH+d/dI=")</f>
        <v>#VALUE!</v>
      </c>
      <c r="HD67" t="e">
        <f>AND('Planilla_General_03-12-2012_9_3'!C1070,"AAAAAH+d/dM=")</f>
        <v>#VALUE!</v>
      </c>
      <c r="HE67" t="e">
        <f>AND('Planilla_General_03-12-2012_9_3'!D1070,"AAAAAH+d/dQ=")</f>
        <v>#VALUE!</v>
      </c>
      <c r="HF67" t="e">
        <f>AND('Planilla_General_03-12-2012_9_3'!E1070,"AAAAAH+d/dU=")</f>
        <v>#VALUE!</v>
      </c>
      <c r="HG67" t="e">
        <f>AND('Planilla_General_03-12-2012_9_3'!F1070,"AAAAAH+d/dY=")</f>
        <v>#VALUE!</v>
      </c>
      <c r="HH67" t="e">
        <f>AND('Planilla_General_03-12-2012_9_3'!G1070,"AAAAAH+d/dc=")</f>
        <v>#VALUE!</v>
      </c>
      <c r="HI67" t="e">
        <f>AND('Planilla_General_03-12-2012_9_3'!H1070,"AAAAAH+d/dg=")</f>
        <v>#VALUE!</v>
      </c>
      <c r="HJ67" t="e">
        <f>AND('Planilla_General_03-12-2012_9_3'!I1070,"AAAAAH+d/dk=")</f>
        <v>#VALUE!</v>
      </c>
      <c r="HK67" t="e">
        <f>AND('Planilla_General_03-12-2012_9_3'!J1070,"AAAAAH+d/do=")</f>
        <v>#VALUE!</v>
      </c>
      <c r="HL67" t="e">
        <f>AND('Planilla_General_03-12-2012_9_3'!K1070,"AAAAAH+d/ds=")</f>
        <v>#VALUE!</v>
      </c>
      <c r="HM67" t="e">
        <f>AND('Planilla_General_03-12-2012_9_3'!L1070,"AAAAAH+d/dw=")</f>
        <v>#VALUE!</v>
      </c>
      <c r="HN67" t="e">
        <f>AND('Planilla_General_03-12-2012_9_3'!M1070,"AAAAAH+d/d0=")</f>
        <v>#VALUE!</v>
      </c>
      <c r="HO67" t="e">
        <f>AND('Planilla_General_03-12-2012_9_3'!N1070,"AAAAAH+d/d4=")</f>
        <v>#VALUE!</v>
      </c>
      <c r="HP67" t="e">
        <f>AND('Planilla_General_03-12-2012_9_3'!O1070,"AAAAAH+d/d8=")</f>
        <v>#VALUE!</v>
      </c>
      <c r="HQ67">
        <f>IF('Planilla_General_03-12-2012_9_3'!1071:1071,"AAAAAH+d/eA=",0)</f>
        <v>0</v>
      </c>
      <c r="HR67" t="e">
        <f>AND('Planilla_General_03-12-2012_9_3'!A1071,"AAAAAH+d/eE=")</f>
        <v>#VALUE!</v>
      </c>
      <c r="HS67" t="e">
        <f>AND('Planilla_General_03-12-2012_9_3'!B1071,"AAAAAH+d/eI=")</f>
        <v>#VALUE!</v>
      </c>
      <c r="HT67" t="e">
        <f>AND('Planilla_General_03-12-2012_9_3'!C1071,"AAAAAH+d/eM=")</f>
        <v>#VALUE!</v>
      </c>
      <c r="HU67" t="e">
        <f>AND('Planilla_General_03-12-2012_9_3'!D1071,"AAAAAH+d/eQ=")</f>
        <v>#VALUE!</v>
      </c>
      <c r="HV67" t="e">
        <f>AND('Planilla_General_03-12-2012_9_3'!E1071,"AAAAAH+d/eU=")</f>
        <v>#VALUE!</v>
      </c>
      <c r="HW67" t="e">
        <f>AND('Planilla_General_03-12-2012_9_3'!F1071,"AAAAAH+d/eY=")</f>
        <v>#VALUE!</v>
      </c>
      <c r="HX67" t="e">
        <f>AND('Planilla_General_03-12-2012_9_3'!G1071,"AAAAAH+d/ec=")</f>
        <v>#VALUE!</v>
      </c>
      <c r="HY67" t="e">
        <f>AND('Planilla_General_03-12-2012_9_3'!H1071,"AAAAAH+d/eg=")</f>
        <v>#VALUE!</v>
      </c>
      <c r="HZ67" t="e">
        <f>AND('Planilla_General_03-12-2012_9_3'!I1071,"AAAAAH+d/ek=")</f>
        <v>#VALUE!</v>
      </c>
      <c r="IA67" t="e">
        <f>AND('Planilla_General_03-12-2012_9_3'!J1071,"AAAAAH+d/eo=")</f>
        <v>#VALUE!</v>
      </c>
      <c r="IB67" t="e">
        <f>AND('Planilla_General_03-12-2012_9_3'!K1071,"AAAAAH+d/es=")</f>
        <v>#VALUE!</v>
      </c>
      <c r="IC67" t="e">
        <f>AND('Planilla_General_03-12-2012_9_3'!L1071,"AAAAAH+d/ew=")</f>
        <v>#VALUE!</v>
      </c>
      <c r="ID67" t="e">
        <f>AND('Planilla_General_03-12-2012_9_3'!M1071,"AAAAAH+d/e0=")</f>
        <v>#VALUE!</v>
      </c>
      <c r="IE67" t="e">
        <f>AND('Planilla_General_03-12-2012_9_3'!N1071,"AAAAAH+d/e4=")</f>
        <v>#VALUE!</v>
      </c>
      <c r="IF67" t="e">
        <f>AND('Planilla_General_03-12-2012_9_3'!O1071,"AAAAAH+d/e8=")</f>
        <v>#VALUE!</v>
      </c>
      <c r="IG67">
        <f>IF('Planilla_General_03-12-2012_9_3'!1072:1072,"AAAAAH+d/fA=",0)</f>
        <v>0</v>
      </c>
      <c r="IH67" t="e">
        <f>AND('Planilla_General_03-12-2012_9_3'!A1072,"AAAAAH+d/fE=")</f>
        <v>#VALUE!</v>
      </c>
      <c r="II67" t="e">
        <f>AND('Planilla_General_03-12-2012_9_3'!B1072,"AAAAAH+d/fI=")</f>
        <v>#VALUE!</v>
      </c>
      <c r="IJ67" t="e">
        <f>AND('Planilla_General_03-12-2012_9_3'!C1072,"AAAAAH+d/fM=")</f>
        <v>#VALUE!</v>
      </c>
      <c r="IK67" t="e">
        <f>AND('Planilla_General_03-12-2012_9_3'!D1072,"AAAAAH+d/fQ=")</f>
        <v>#VALUE!</v>
      </c>
      <c r="IL67" t="e">
        <f>AND('Planilla_General_03-12-2012_9_3'!E1072,"AAAAAH+d/fU=")</f>
        <v>#VALUE!</v>
      </c>
      <c r="IM67" t="e">
        <f>AND('Planilla_General_03-12-2012_9_3'!F1072,"AAAAAH+d/fY=")</f>
        <v>#VALUE!</v>
      </c>
      <c r="IN67" t="e">
        <f>AND('Planilla_General_03-12-2012_9_3'!G1072,"AAAAAH+d/fc=")</f>
        <v>#VALUE!</v>
      </c>
      <c r="IO67" t="e">
        <f>AND('Planilla_General_03-12-2012_9_3'!H1072,"AAAAAH+d/fg=")</f>
        <v>#VALUE!</v>
      </c>
      <c r="IP67" t="e">
        <f>AND('Planilla_General_03-12-2012_9_3'!I1072,"AAAAAH+d/fk=")</f>
        <v>#VALUE!</v>
      </c>
      <c r="IQ67" t="e">
        <f>AND('Planilla_General_03-12-2012_9_3'!J1072,"AAAAAH+d/fo=")</f>
        <v>#VALUE!</v>
      </c>
      <c r="IR67" t="e">
        <f>AND('Planilla_General_03-12-2012_9_3'!K1072,"AAAAAH+d/fs=")</f>
        <v>#VALUE!</v>
      </c>
      <c r="IS67" t="e">
        <f>AND('Planilla_General_03-12-2012_9_3'!L1072,"AAAAAH+d/fw=")</f>
        <v>#VALUE!</v>
      </c>
      <c r="IT67" t="e">
        <f>AND('Planilla_General_03-12-2012_9_3'!M1072,"AAAAAH+d/f0=")</f>
        <v>#VALUE!</v>
      </c>
      <c r="IU67" t="e">
        <f>AND('Planilla_General_03-12-2012_9_3'!N1072,"AAAAAH+d/f4=")</f>
        <v>#VALUE!</v>
      </c>
      <c r="IV67" t="e">
        <f>AND('Planilla_General_03-12-2012_9_3'!O1072,"AAAAAH+d/f8=")</f>
        <v>#VALUE!</v>
      </c>
    </row>
    <row r="68" spans="1:256" x14ac:dyDescent="0.25">
      <c r="A68" t="e">
        <f>IF('Planilla_General_03-12-2012_9_3'!1073:1073,"AAAAAF4rfwA=",0)</f>
        <v>#VALUE!</v>
      </c>
      <c r="B68" t="e">
        <f>AND('Planilla_General_03-12-2012_9_3'!A1073,"AAAAAF4rfwE=")</f>
        <v>#VALUE!</v>
      </c>
      <c r="C68" t="e">
        <f>AND('Planilla_General_03-12-2012_9_3'!B1073,"AAAAAF4rfwI=")</f>
        <v>#VALUE!</v>
      </c>
      <c r="D68" t="e">
        <f>AND('Planilla_General_03-12-2012_9_3'!C1073,"AAAAAF4rfwM=")</f>
        <v>#VALUE!</v>
      </c>
      <c r="E68" t="e">
        <f>AND('Planilla_General_03-12-2012_9_3'!D1073,"AAAAAF4rfwQ=")</f>
        <v>#VALUE!</v>
      </c>
      <c r="F68" t="e">
        <f>AND('Planilla_General_03-12-2012_9_3'!E1073,"AAAAAF4rfwU=")</f>
        <v>#VALUE!</v>
      </c>
      <c r="G68" t="e">
        <f>AND('Planilla_General_03-12-2012_9_3'!F1073,"AAAAAF4rfwY=")</f>
        <v>#VALUE!</v>
      </c>
      <c r="H68" t="e">
        <f>AND('Planilla_General_03-12-2012_9_3'!G1073,"AAAAAF4rfwc=")</f>
        <v>#VALUE!</v>
      </c>
      <c r="I68" t="e">
        <f>AND('Planilla_General_03-12-2012_9_3'!H1073,"AAAAAF4rfwg=")</f>
        <v>#VALUE!</v>
      </c>
      <c r="J68" t="e">
        <f>AND('Planilla_General_03-12-2012_9_3'!I1073,"AAAAAF4rfwk=")</f>
        <v>#VALUE!</v>
      </c>
      <c r="K68" t="e">
        <f>AND('Planilla_General_03-12-2012_9_3'!J1073,"AAAAAF4rfwo=")</f>
        <v>#VALUE!</v>
      </c>
      <c r="L68" t="e">
        <f>AND('Planilla_General_03-12-2012_9_3'!K1073,"AAAAAF4rfws=")</f>
        <v>#VALUE!</v>
      </c>
      <c r="M68" t="e">
        <f>AND('Planilla_General_03-12-2012_9_3'!L1073,"AAAAAF4rfww=")</f>
        <v>#VALUE!</v>
      </c>
      <c r="N68" t="e">
        <f>AND('Planilla_General_03-12-2012_9_3'!M1073,"AAAAAF4rfw0=")</f>
        <v>#VALUE!</v>
      </c>
      <c r="O68" t="e">
        <f>AND('Planilla_General_03-12-2012_9_3'!N1073,"AAAAAF4rfw4=")</f>
        <v>#VALUE!</v>
      </c>
      <c r="P68" t="e">
        <f>AND('Planilla_General_03-12-2012_9_3'!O1073,"AAAAAF4rfw8=")</f>
        <v>#VALUE!</v>
      </c>
      <c r="Q68">
        <f>IF('Planilla_General_03-12-2012_9_3'!1074:1074,"AAAAAF4rfxA=",0)</f>
        <v>0</v>
      </c>
      <c r="R68" t="e">
        <f>AND('Planilla_General_03-12-2012_9_3'!A1074,"AAAAAF4rfxE=")</f>
        <v>#VALUE!</v>
      </c>
      <c r="S68" t="e">
        <f>AND('Planilla_General_03-12-2012_9_3'!B1074,"AAAAAF4rfxI=")</f>
        <v>#VALUE!</v>
      </c>
      <c r="T68" t="e">
        <f>AND('Planilla_General_03-12-2012_9_3'!C1074,"AAAAAF4rfxM=")</f>
        <v>#VALUE!</v>
      </c>
      <c r="U68" t="e">
        <f>AND('Planilla_General_03-12-2012_9_3'!D1074,"AAAAAF4rfxQ=")</f>
        <v>#VALUE!</v>
      </c>
      <c r="V68" t="e">
        <f>AND('Planilla_General_03-12-2012_9_3'!E1074,"AAAAAF4rfxU=")</f>
        <v>#VALUE!</v>
      </c>
      <c r="W68" t="e">
        <f>AND('Planilla_General_03-12-2012_9_3'!F1074,"AAAAAF4rfxY=")</f>
        <v>#VALUE!</v>
      </c>
      <c r="X68" t="e">
        <f>AND('Planilla_General_03-12-2012_9_3'!G1074,"AAAAAF4rfxc=")</f>
        <v>#VALUE!</v>
      </c>
      <c r="Y68" t="e">
        <f>AND('Planilla_General_03-12-2012_9_3'!H1074,"AAAAAF4rfxg=")</f>
        <v>#VALUE!</v>
      </c>
      <c r="Z68" t="e">
        <f>AND('Planilla_General_03-12-2012_9_3'!I1074,"AAAAAF4rfxk=")</f>
        <v>#VALUE!</v>
      </c>
      <c r="AA68" t="e">
        <f>AND('Planilla_General_03-12-2012_9_3'!J1074,"AAAAAF4rfxo=")</f>
        <v>#VALUE!</v>
      </c>
      <c r="AB68" t="e">
        <f>AND('Planilla_General_03-12-2012_9_3'!K1074,"AAAAAF4rfxs=")</f>
        <v>#VALUE!</v>
      </c>
      <c r="AC68" t="e">
        <f>AND('Planilla_General_03-12-2012_9_3'!L1074,"AAAAAF4rfxw=")</f>
        <v>#VALUE!</v>
      </c>
      <c r="AD68" t="e">
        <f>AND('Planilla_General_03-12-2012_9_3'!M1074,"AAAAAF4rfx0=")</f>
        <v>#VALUE!</v>
      </c>
      <c r="AE68" t="e">
        <f>AND('Planilla_General_03-12-2012_9_3'!N1074,"AAAAAF4rfx4=")</f>
        <v>#VALUE!</v>
      </c>
      <c r="AF68" t="e">
        <f>AND('Planilla_General_03-12-2012_9_3'!O1074,"AAAAAF4rfx8=")</f>
        <v>#VALUE!</v>
      </c>
      <c r="AG68">
        <f>IF('Planilla_General_03-12-2012_9_3'!1075:1075,"AAAAAF4rfyA=",0)</f>
        <v>0</v>
      </c>
      <c r="AH68" t="e">
        <f>AND('Planilla_General_03-12-2012_9_3'!A1075,"AAAAAF4rfyE=")</f>
        <v>#VALUE!</v>
      </c>
      <c r="AI68" t="e">
        <f>AND('Planilla_General_03-12-2012_9_3'!B1075,"AAAAAF4rfyI=")</f>
        <v>#VALUE!</v>
      </c>
      <c r="AJ68" t="e">
        <f>AND('Planilla_General_03-12-2012_9_3'!C1075,"AAAAAF4rfyM=")</f>
        <v>#VALUE!</v>
      </c>
      <c r="AK68" t="e">
        <f>AND('Planilla_General_03-12-2012_9_3'!D1075,"AAAAAF4rfyQ=")</f>
        <v>#VALUE!</v>
      </c>
      <c r="AL68" t="e">
        <f>AND('Planilla_General_03-12-2012_9_3'!E1075,"AAAAAF4rfyU=")</f>
        <v>#VALUE!</v>
      </c>
      <c r="AM68" t="e">
        <f>AND('Planilla_General_03-12-2012_9_3'!F1075,"AAAAAF4rfyY=")</f>
        <v>#VALUE!</v>
      </c>
      <c r="AN68" t="e">
        <f>AND('Planilla_General_03-12-2012_9_3'!G1075,"AAAAAF4rfyc=")</f>
        <v>#VALUE!</v>
      </c>
      <c r="AO68" t="e">
        <f>AND('Planilla_General_03-12-2012_9_3'!H1075,"AAAAAF4rfyg=")</f>
        <v>#VALUE!</v>
      </c>
      <c r="AP68" t="e">
        <f>AND('Planilla_General_03-12-2012_9_3'!I1075,"AAAAAF4rfyk=")</f>
        <v>#VALUE!</v>
      </c>
      <c r="AQ68" t="e">
        <f>AND('Planilla_General_03-12-2012_9_3'!J1075,"AAAAAF4rfyo=")</f>
        <v>#VALUE!</v>
      </c>
      <c r="AR68" t="e">
        <f>AND('Planilla_General_03-12-2012_9_3'!K1075,"AAAAAF4rfys=")</f>
        <v>#VALUE!</v>
      </c>
      <c r="AS68" t="e">
        <f>AND('Planilla_General_03-12-2012_9_3'!L1075,"AAAAAF4rfyw=")</f>
        <v>#VALUE!</v>
      </c>
      <c r="AT68" t="e">
        <f>AND('Planilla_General_03-12-2012_9_3'!M1075,"AAAAAF4rfy0=")</f>
        <v>#VALUE!</v>
      </c>
      <c r="AU68" t="e">
        <f>AND('Planilla_General_03-12-2012_9_3'!N1075,"AAAAAF4rfy4=")</f>
        <v>#VALUE!</v>
      </c>
      <c r="AV68" t="e">
        <f>AND('Planilla_General_03-12-2012_9_3'!O1075,"AAAAAF4rfy8=")</f>
        <v>#VALUE!</v>
      </c>
      <c r="AW68">
        <f>IF('Planilla_General_03-12-2012_9_3'!1076:1076,"AAAAAF4rfzA=",0)</f>
        <v>0</v>
      </c>
      <c r="AX68" t="e">
        <f>AND('Planilla_General_03-12-2012_9_3'!A1076,"AAAAAF4rfzE=")</f>
        <v>#VALUE!</v>
      </c>
      <c r="AY68" t="e">
        <f>AND('Planilla_General_03-12-2012_9_3'!B1076,"AAAAAF4rfzI=")</f>
        <v>#VALUE!</v>
      </c>
      <c r="AZ68" t="e">
        <f>AND('Planilla_General_03-12-2012_9_3'!C1076,"AAAAAF4rfzM=")</f>
        <v>#VALUE!</v>
      </c>
      <c r="BA68" t="e">
        <f>AND('Planilla_General_03-12-2012_9_3'!D1076,"AAAAAF4rfzQ=")</f>
        <v>#VALUE!</v>
      </c>
      <c r="BB68" t="e">
        <f>AND('Planilla_General_03-12-2012_9_3'!E1076,"AAAAAF4rfzU=")</f>
        <v>#VALUE!</v>
      </c>
      <c r="BC68" t="e">
        <f>AND('Planilla_General_03-12-2012_9_3'!F1076,"AAAAAF4rfzY=")</f>
        <v>#VALUE!</v>
      </c>
      <c r="BD68" t="e">
        <f>AND('Planilla_General_03-12-2012_9_3'!G1076,"AAAAAF4rfzc=")</f>
        <v>#VALUE!</v>
      </c>
      <c r="BE68" t="e">
        <f>AND('Planilla_General_03-12-2012_9_3'!H1076,"AAAAAF4rfzg=")</f>
        <v>#VALUE!</v>
      </c>
      <c r="BF68" t="e">
        <f>AND('Planilla_General_03-12-2012_9_3'!I1076,"AAAAAF4rfzk=")</f>
        <v>#VALUE!</v>
      </c>
      <c r="BG68" t="e">
        <f>AND('Planilla_General_03-12-2012_9_3'!J1076,"AAAAAF4rfzo=")</f>
        <v>#VALUE!</v>
      </c>
      <c r="BH68" t="e">
        <f>AND('Planilla_General_03-12-2012_9_3'!K1076,"AAAAAF4rfzs=")</f>
        <v>#VALUE!</v>
      </c>
      <c r="BI68" t="e">
        <f>AND('Planilla_General_03-12-2012_9_3'!L1076,"AAAAAF4rfzw=")</f>
        <v>#VALUE!</v>
      </c>
      <c r="BJ68" t="e">
        <f>AND('Planilla_General_03-12-2012_9_3'!M1076,"AAAAAF4rfz0=")</f>
        <v>#VALUE!</v>
      </c>
      <c r="BK68" t="e">
        <f>AND('Planilla_General_03-12-2012_9_3'!N1076,"AAAAAF4rfz4=")</f>
        <v>#VALUE!</v>
      </c>
      <c r="BL68" t="e">
        <f>AND('Planilla_General_03-12-2012_9_3'!O1076,"AAAAAF4rfz8=")</f>
        <v>#VALUE!</v>
      </c>
      <c r="BM68">
        <f>IF('Planilla_General_03-12-2012_9_3'!1077:1077,"AAAAAF4rf0A=",0)</f>
        <v>0</v>
      </c>
      <c r="BN68" t="e">
        <f>AND('Planilla_General_03-12-2012_9_3'!A1077,"AAAAAF4rf0E=")</f>
        <v>#VALUE!</v>
      </c>
      <c r="BO68" t="e">
        <f>AND('Planilla_General_03-12-2012_9_3'!B1077,"AAAAAF4rf0I=")</f>
        <v>#VALUE!</v>
      </c>
      <c r="BP68" t="e">
        <f>AND('Planilla_General_03-12-2012_9_3'!C1077,"AAAAAF4rf0M=")</f>
        <v>#VALUE!</v>
      </c>
      <c r="BQ68" t="e">
        <f>AND('Planilla_General_03-12-2012_9_3'!D1077,"AAAAAF4rf0Q=")</f>
        <v>#VALUE!</v>
      </c>
      <c r="BR68" t="e">
        <f>AND('Planilla_General_03-12-2012_9_3'!E1077,"AAAAAF4rf0U=")</f>
        <v>#VALUE!</v>
      </c>
      <c r="BS68" t="e">
        <f>AND('Planilla_General_03-12-2012_9_3'!F1077,"AAAAAF4rf0Y=")</f>
        <v>#VALUE!</v>
      </c>
      <c r="BT68" t="e">
        <f>AND('Planilla_General_03-12-2012_9_3'!G1077,"AAAAAF4rf0c=")</f>
        <v>#VALUE!</v>
      </c>
      <c r="BU68" t="e">
        <f>AND('Planilla_General_03-12-2012_9_3'!H1077,"AAAAAF4rf0g=")</f>
        <v>#VALUE!</v>
      </c>
      <c r="BV68" t="e">
        <f>AND('Planilla_General_03-12-2012_9_3'!I1077,"AAAAAF4rf0k=")</f>
        <v>#VALUE!</v>
      </c>
      <c r="BW68" t="e">
        <f>AND('Planilla_General_03-12-2012_9_3'!J1077,"AAAAAF4rf0o=")</f>
        <v>#VALUE!</v>
      </c>
      <c r="BX68" t="e">
        <f>AND('Planilla_General_03-12-2012_9_3'!K1077,"AAAAAF4rf0s=")</f>
        <v>#VALUE!</v>
      </c>
      <c r="BY68" t="e">
        <f>AND('Planilla_General_03-12-2012_9_3'!L1077,"AAAAAF4rf0w=")</f>
        <v>#VALUE!</v>
      </c>
      <c r="BZ68" t="e">
        <f>AND('Planilla_General_03-12-2012_9_3'!M1077,"AAAAAF4rf00=")</f>
        <v>#VALUE!</v>
      </c>
      <c r="CA68" t="e">
        <f>AND('Planilla_General_03-12-2012_9_3'!N1077,"AAAAAF4rf04=")</f>
        <v>#VALUE!</v>
      </c>
      <c r="CB68" t="e">
        <f>AND('Planilla_General_03-12-2012_9_3'!O1077,"AAAAAF4rf08=")</f>
        <v>#VALUE!</v>
      </c>
      <c r="CC68">
        <f>IF('Planilla_General_03-12-2012_9_3'!1078:1078,"AAAAAF4rf1A=",0)</f>
        <v>0</v>
      </c>
      <c r="CD68" t="e">
        <f>AND('Planilla_General_03-12-2012_9_3'!A1078,"AAAAAF4rf1E=")</f>
        <v>#VALUE!</v>
      </c>
      <c r="CE68" t="e">
        <f>AND('Planilla_General_03-12-2012_9_3'!B1078,"AAAAAF4rf1I=")</f>
        <v>#VALUE!</v>
      </c>
      <c r="CF68" t="e">
        <f>AND('Planilla_General_03-12-2012_9_3'!C1078,"AAAAAF4rf1M=")</f>
        <v>#VALUE!</v>
      </c>
      <c r="CG68" t="e">
        <f>AND('Planilla_General_03-12-2012_9_3'!D1078,"AAAAAF4rf1Q=")</f>
        <v>#VALUE!</v>
      </c>
      <c r="CH68" t="e">
        <f>AND('Planilla_General_03-12-2012_9_3'!E1078,"AAAAAF4rf1U=")</f>
        <v>#VALUE!</v>
      </c>
      <c r="CI68" t="e">
        <f>AND('Planilla_General_03-12-2012_9_3'!F1078,"AAAAAF4rf1Y=")</f>
        <v>#VALUE!</v>
      </c>
      <c r="CJ68" t="e">
        <f>AND('Planilla_General_03-12-2012_9_3'!G1078,"AAAAAF4rf1c=")</f>
        <v>#VALUE!</v>
      </c>
      <c r="CK68" t="e">
        <f>AND('Planilla_General_03-12-2012_9_3'!H1078,"AAAAAF4rf1g=")</f>
        <v>#VALUE!</v>
      </c>
      <c r="CL68" t="e">
        <f>AND('Planilla_General_03-12-2012_9_3'!I1078,"AAAAAF4rf1k=")</f>
        <v>#VALUE!</v>
      </c>
      <c r="CM68" t="e">
        <f>AND('Planilla_General_03-12-2012_9_3'!J1078,"AAAAAF4rf1o=")</f>
        <v>#VALUE!</v>
      </c>
      <c r="CN68" t="e">
        <f>AND('Planilla_General_03-12-2012_9_3'!K1078,"AAAAAF4rf1s=")</f>
        <v>#VALUE!</v>
      </c>
      <c r="CO68" t="e">
        <f>AND('Planilla_General_03-12-2012_9_3'!L1078,"AAAAAF4rf1w=")</f>
        <v>#VALUE!</v>
      </c>
      <c r="CP68" t="e">
        <f>AND('Planilla_General_03-12-2012_9_3'!M1078,"AAAAAF4rf10=")</f>
        <v>#VALUE!</v>
      </c>
      <c r="CQ68" t="e">
        <f>AND('Planilla_General_03-12-2012_9_3'!N1078,"AAAAAF4rf14=")</f>
        <v>#VALUE!</v>
      </c>
      <c r="CR68" t="e">
        <f>AND('Planilla_General_03-12-2012_9_3'!O1078,"AAAAAF4rf18=")</f>
        <v>#VALUE!</v>
      </c>
      <c r="CS68">
        <f>IF('Planilla_General_03-12-2012_9_3'!1079:1079,"AAAAAF4rf2A=",0)</f>
        <v>0</v>
      </c>
      <c r="CT68" t="e">
        <f>AND('Planilla_General_03-12-2012_9_3'!A1079,"AAAAAF4rf2E=")</f>
        <v>#VALUE!</v>
      </c>
      <c r="CU68" t="e">
        <f>AND('Planilla_General_03-12-2012_9_3'!B1079,"AAAAAF4rf2I=")</f>
        <v>#VALUE!</v>
      </c>
      <c r="CV68" t="e">
        <f>AND('Planilla_General_03-12-2012_9_3'!C1079,"AAAAAF4rf2M=")</f>
        <v>#VALUE!</v>
      </c>
      <c r="CW68" t="e">
        <f>AND('Planilla_General_03-12-2012_9_3'!D1079,"AAAAAF4rf2Q=")</f>
        <v>#VALUE!</v>
      </c>
      <c r="CX68" t="e">
        <f>AND('Planilla_General_03-12-2012_9_3'!E1079,"AAAAAF4rf2U=")</f>
        <v>#VALUE!</v>
      </c>
      <c r="CY68" t="e">
        <f>AND('Planilla_General_03-12-2012_9_3'!F1079,"AAAAAF4rf2Y=")</f>
        <v>#VALUE!</v>
      </c>
      <c r="CZ68" t="e">
        <f>AND('Planilla_General_03-12-2012_9_3'!G1079,"AAAAAF4rf2c=")</f>
        <v>#VALUE!</v>
      </c>
      <c r="DA68" t="e">
        <f>AND('Planilla_General_03-12-2012_9_3'!H1079,"AAAAAF4rf2g=")</f>
        <v>#VALUE!</v>
      </c>
      <c r="DB68" t="e">
        <f>AND('Planilla_General_03-12-2012_9_3'!I1079,"AAAAAF4rf2k=")</f>
        <v>#VALUE!</v>
      </c>
      <c r="DC68" t="e">
        <f>AND('Planilla_General_03-12-2012_9_3'!J1079,"AAAAAF4rf2o=")</f>
        <v>#VALUE!</v>
      </c>
      <c r="DD68" t="e">
        <f>AND('Planilla_General_03-12-2012_9_3'!K1079,"AAAAAF4rf2s=")</f>
        <v>#VALUE!</v>
      </c>
      <c r="DE68" t="e">
        <f>AND('Planilla_General_03-12-2012_9_3'!L1079,"AAAAAF4rf2w=")</f>
        <v>#VALUE!</v>
      </c>
      <c r="DF68" t="e">
        <f>AND('Planilla_General_03-12-2012_9_3'!M1079,"AAAAAF4rf20=")</f>
        <v>#VALUE!</v>
      </c>
      <c r="DG68" t="e">
        <f>AND('Planilla_General_03-12-2012_9_3'!N1079,"AAAAAF4rf24=")</f>
        <v>#VALUE!</v>
      </c>
      <c r="DH68" t="e">
        <f>AND('Planilla_General_03-12-2012_9_3'!O1079,"AAAAAF4rf28=")</f>
        <v>#VALUE!</v>
      </c>
      <c r="DI68">
        <f>IF('Planilla_General_03-12-2012_9_3'!1080:1080,"AAAAAF4rf3A=",0)</f>
        <v>0</v>
      </c>
      <c r="DJ68" t="e">
        <f>AND('Planilla_General_03-12-2012_9_3'!A1080,"AAAAAF4rf3E=")</f>
        <v>#VALUE!</v>
      </c>
      <c r="DK68" t="e">
        <f>AND('Planilla_General_03-12-2012_9_3'!B1080,"AAAAAF4rf3I=")</f>
        <v>#VALUE!</v>
      </c>
      <c r="DL68" t="e">
        <f>AND('Planilla_General_03-12-2012_9_3'!C1080,"AAAAAF4rf3M=")</f>
        <v>#VALUE!</v>
      </c>
      <c r="DM68" t="e">
        <f>AND('Planilla_General_03-12-2012_9_3'!D1080,"AAAAAF4rf3Q=")</f>
        <v>#VALUE!</v>
      </c>
      <c r="DN68" t="e">
        <f>AND('Planilla_General_03-12-2012_9_3'!E1080,"AAAAAF4rf3U=")</f>
        <v>#VALUE!</v>
      </c>
      <c r="DO68" t="e">
        <f>AND('Planilla_General_03-12-2012_9_3'!F1080,"AAAAAF4rf3Y=")</f>
        <v>#VALUE!</v>
      </c>
      <c r="DP68" t="e">
        <f>AND('Planilla_General_03-12-2012_9_3'!G1080,"AAAAAF4rf3c=")</f>
        <v>#VALUE!</v>
      </c>
      <c r="DQ68" t="e">
        <f>AND('Planilla_General_03-12-2012_9_3'!H1080,"AAAAAF4rf3g=")</f>
        <v>#VALUE!</v>
      </c>
      <c r="DR68" t="e">
        <f>AND('Planilla_General_03-12-2012_9_3'!I1080,"AAAAAF4rf3k=")</f>
        <v>#VALUE!</v>
      </c>
      <c r="DS68" t="e">
        <f>AND('Planilla_General_03-12-2012_9_3'!J1080,"AAAAAF4rf3o=")</f>
        <v>#VALUE!</v>
      </c>
      <c r="DT68" t="e">
        <f>AND('Planilla_General_03-12-2012_9_3'!K1080,"AAAAAF4rf3s=")</f>
        <v>#VALUE!</v>
      </c>
      <c r="DU68" t="e">
        <f>AND('Planilla_General_03-12-2012_9_3'!L1080,"AAAAAF4rf3w=")</f>
        <v>#VALUE!</v>
      </c>
      <c r="DV68" t="e">
        <f>AND('Planilla_General_03-12-2012_9_3'!M1080,"AAAAAF4rf30=")</f>
        <v>#VALUE!</v>
      </c>
      <c r="DW68" t="e">
        <f>AND('Planilla_General_03-12-2012_9_3'!N1080,"AAAAAF4rf34=")</f>
        <v>#VALUE!</v>
      </c>
      <c r="DX68" t="e">
        <f>AND('Planilla_General_03-12-2012_9_3'!O1080,"AAAAAF4rf38=")</f>
        <v>#VALUE!</v>
      </c>
      <c r="DY68">
        <f>IF('Planilla_General_03-12-2012_9_3'!1081:1081,"AAAAAF4rf4A=",0)</f>
        <v>0</v>
      </c>
      <c r="DZ68" t="e">
        <f>AND('Planilla_General_03-12-2012_9_3'!A1081,"AAAAAF4rf4E=")</f>
        <v>#VALUE!</v>
      </c>
      <c r="EA68" t="e">
        <f>AND('Planilla_General_03-12-2012_9_3'!B1081,"AAAAAF4rf4I=")</f>
        <v>#VALUE!</v>
      </c>
      <c r="EB68" t="e">
        <f>AND('Planilla_General_03-12-2012_9_3'!C1081,"AAAAAF4rf4M=")</f>
        <v>#VALUE!</v>
      </c>
      <c r="EC68" t="e">
        <f>AND('Planilla_General_03-12-2012_9_3'!D1081,"AAAAAF4rf4Q=")</f>
        <v>#VALUE!</v>
      </c>
      <c r="ED68" t="e">
        <f>AND('Planilla_General_03-12-2012_9_3'!E1081,"AAAAAF4rf4U=")</f>
        <v>#VALUE!</v>
      </c>
      <c r="EE68" t="e">
        <f>AND('Planilla_General_03-12-2012_9_3'!F1081,"AAAAAF4rf4Y=")</f>
        <v>#VALUE!</v>
      </c>
      <c r="EF68" t="e">
        <f>AND('Planilla_General_03-12-2012_9_3'!G1081,"AAAAAF4rf4c=")</f>
        <v>#VALUE!</v>
      </c>
      <c r="EG68" t="e">
        <f>AND('Planilla_General_03-12-2012_9_3'!H1081,"AAAAAF4rf4g=")</f>
        <v>#VALUE!</v>
      </c>
      <c r="EH68" t="e">
        <f>AND('Planilla_General_03-12-2012_9_3'!I1081,"AAAAAF4rf4k=")</f>
        <v>#VALUE!</v>
      </c>
      <c r="EI68" t="e">
        <f>AND('Planilla_General_03-12-2012_9_3'!J1081,"AAAAAF4rf4o=")</f>
        <v>#VALUE!</v>
      </c>
      <c r="EJ68" t="e">
        <f>AND('Planilla_General_03-12-2012_9_3'!K1081,"AAAAAF4rf4s=")</f>
        <v>#VALUE!</v>
      </c>
      <c r="EK68" t="e">
        <f>AND('Planilla_General_03-12-2012_9_3'!L1081,"AAAAAF4rf4w=")</f>
        <v>#VALUE!</v>
      </c>
      <c r="EL68" t="e">
        <f>AND('Planilla_General_03-12-2012_9_3'!M1081,"AAAAAF4rf40=")</f>
        <v>#VALUE!</v>
      </c>
      <c r="EM68" t="e">
        <f>AND('Planilla_General_03-12-2012_9_3'!N1081,"AAAAAF4rf44=")</f>
        <v>#VALUE!</v>
      </c>
      <c r="EN68" t="e">
        <f>AND('Planilla_General_03-12-2012_9_3'!O1081,"AAAAAF4rf48=")</f>
        <v>#VALUE!</v>
      </c>
      <c r="EO68">
        <f>IF('Planilla_General_03-12-2012_9_3'!1082:1082,"AAAAAF4rf5A=",0)</f>
        <v>0</v>
      </c>
      <c r="EP68" t="e">
        <f>AND('Planilla_General_03-12-2012_9_3'!A1082,"AAAAAF4rf5E=")</f>
        <v>#VALUE!</v>
      </c>
      <c r="EQ68" t="e">
        <f>AND('Planilla_General_03-12-2012_9_3'!B1082,"AAAAAF4rf5I=")</f>
        <v>#VALUE!</v>
      </c>
      <c r="ER68" t="e">
        <f>AND('Planilla_General_03-12-2012_9_3'!C1082,"AAAAAF4rf5M=")</f>
        <v>#VALUE!</v>
      </c>
      <c r="ES68" t="e">
        <f>AND('Planilla_General_03-12-2012_9_3'!D1082,"AAAAAF4rf5Q=")</f>
        <v>#VALUE!</v>
      </c>
      <c r="ET68" t="e">
        <f>AND('Planilla_General_03-12-2012_9_3'!E1082,"AAAAAF4rf5U=")</f>
        <v>#VALUE!</v>
      </c>
      <c r="EU68" t="e">
        <f>AND('Planilla_General_03-12-2012_9_3'!F1082,"AAAAAF4rf5Y=")</f>
        <v>#VALUE!</v>
      </c>
      <c r="EV68" t="e">
        <f>AND('Planilla_General_03-12-2012_9_3'!G1082,"AAAAAF4rf5c=")</f>
        <v>#VALUE!</v>
      </c>
      <c r="EW68" t="e">
        <f>AND('Planilla_General_03-12-2012_9_3'!H1082,"AAAAAF4rf5g=")</f>
        <v>#VALUE!</v>
      </c>
      <c r="EX68" t="e">
        <f>AND('Planilla_General_03-12-2012_9_3'!I1082,"AAAAAF4rf5k=")</f>
        <v>#VALUE!</v>
      </c>
      <c r="EY68" t="e">
        <f>AND('Planilla_General_03-12-2012_9_3'!J1082,"AAAAAF4rf5o=")</f>
        <v>#VALUE!</v>
      </c>
      <c r="EZ68" t="e">
        <f>AND('Planilla_General_03-12-2012_9_3'!K1082,"AAAAAF4rf5s=")</f>
        <v>#VALUE!</v>
      </c>
      <c r="FA68" t="e">
        <f>AND('Planilla_General_03-12-2012_9_3'!L1082,"AAAAAF4rf5w=")</f>
        <v>#VALUE!</v>
      </c>
      <c r="FB68" t="e">
        <f>AND('Planilla_General_03-12-2012_9_3'!M1082,"AAAAAF4rf50=")</f>
        <v>#VALUE!</v>
      </c>
      <c r="FC68" t="e">
        <f>AND('Planilla_General_03-12-2012_9_3'!N1082,"AAAAAF4rf54=")</f>
        <v>#VALUE!</v>
      </c>
      <c r="FD68" t="e">
        <f>AND('Planilla_General_03-12-2012_9_3'!O1082,"AAAAAF4rf58=")</f>
        <v>#VALUE!</v>
      </c>
      <c r="FE68">
        <f>IF('Planilla_General_03-12-2012_9_3'!1083:1083,"AAAAAF4rf6A=",0)</f>
        <v>0</v>
      </c>
      <c r="FF68" t="e">
        <f>AND('Planilla_General_03-12-2012_9_3'!A1083,"AAAAAF4rf6E=")</f>
        <v>#VALUE!</v>
      </c>
      <c r="FG68" t="e">
        <f>AND('Planilla_General_03-12-2012_9_3'!B1083,"AAAAAF4rf6I=")</f>
        <v>#VALUE!</v>
      </c>
      <c r="FH68" t="e">
        <f>AND('Planilla_General_03-12-2012_9_3'!C1083,"AAAAAF4rf6M=")</f>
        <v>#VALUE!</v>
      </c>
      <c r="FI68" t="e">
        <f>AND('Planilla_General_03-12-2012_9_3'!D1083,"AAAAAF4rf6Q=")</f>
        <v>#VALUE!</v>
      </c>
      <c r="FJ68" t="e">
        <f>AND('Planilla_General_03-12-2012_9_3'!E1083,"AAAAAF4rf6U=")</f>
        <v>#VALUE!</v>
      </c>
      <c r="FK68" t="e">
        <f>AND('Planilla_General_03-12-2012_9_3'!F1083,"AAAAAF4rf6Y=")</f>
        <v>#VALUE!</v>
      </c>
      <c r="FL68" t="e">
        <f>AND('Planilla_General_03-12-2012_9_3'!G1083,"AAAAAF4rf6c=")</f>
        <v>#VALUE!</v>
      </c>
      <c r="FM68" t="e">
        <f>AND('Planilla_General_03-12-2012_9_3'!H1083,"AAAAAF4rf6g=")</f>
        <v>#VALUE!</v>
      </c>
      <c r="FN68" t="e">
        <f>AND('Planilla_General_03-12-2012_9_3'!I1083,"AAAAAF4rf6k=")</f>
        <v>#VALUE!</v>
      </c>
      <c r="FO68" t="e">
        <f>AND('Planilla_General_03-12-2012_9_3'!J1083,"AAAAAF4rf6o=")</f>
        <v>#VALUE!</v>
      </c>
      <c r="FP68" t="e">
        <f>AND('Planilla_General_03-12-2012_9_3'!K1083,"AAAAAF4rf6s=")</f>
        <v>#VALUE!</v>
      </c>
      <c r="FQ68" t="e">
        <f>AND('Planilla_General_03-12-2012_9_3'!L1083,"AAAAAF4rf6w=")</f>
        <v>#VALUE!</v>
      </c>
      <c r="FR68" t="e">
        <f>AND('Planilla_General_03-12-2012_9_3'!M1083,"AAAAAF4rf60=")</f>
        <v>#VALUE!</v>
      </c>
      <c r="FS68" t="e">
        <f>AND('Planilla_General_03-12-2012_9_3'!N1083,"AAAAAF4rf64=")</f>
        <v>#VALUE!</v>
      </c>
      <c r="FT68" t="e">
        <f>AND('Planilla_General_03-12-2012_9_3'!O1083,"AAAAAF4rf68=")</f>
        <v>#VALUE!</v>
      </c>
      <c r="FU68">
        <f>IF('Planilla_General_03-12-2012_9_3'!1084:1084,"AAAAAF4rf7A=",0)</f>
        <v>0</v>
      </c>
      <c r="FV68" t="e">
        <f>AND('Planilla_General_03-12-2012_9_3'!A1084,"AAAAAF4rf7E=")</f>
        <v>#VALUE!</v>
      </c>
      <c r="FW68" t="e">
        <f>AND('Planilla_General_03-12-2012_9_3'!B1084,"AAAAAF4rf7I=")</f>
        <v>#VALUE!</v>
      </c>
      <c r="FX68" t="e">
        <f>AND('Planilla_General_03-12-2012_9_3'!C1084,"AAAAAF4rf7M=")</f>
        <v>#VALUE!</v>
      </c>
      <c r="FY68" t="e">
        <f>AND('Planilla_General_03-12-2012_9_3'!D1084,"AAAAAF4rf7Q=")</f>
        <v>#VALUE!</v>
      </c>
      <c r="FZ68" t="e">
        <f>AND('Planilla_General_03-12-2012_9_3'!E1084,"AAAAAF4rf7U=")</f>
        <v>#VALUE!</v>
      </c>
      <c r="GA68" t="e">
        <f>AND('Planilla_General_03-12-2012_9_3'!F1084,"AAAAAF4rf7Y=")</f>
        <v>#VALUE!</v>
      </c>
      <c r="GB68" t="e">
        <f>AND('Planilla_General_03-12-2012_9_3'!G1084,"AAAAAF4rf7c=")</f>
        <v>#VALUE!</v>
      </c>
      <c r="GC68" t="e">
        <f>AND('Planilla_General_03-12-2012_9_3'!H1084,"AAAAAF4rf7g=")</f>
        <v>#VALUE!</v>
      </c>
      <c r="GD68" t="e">
        <f>AND('Planilla_General_03-12-2012_9_3'!I1084,"AAAAAF4rf7k=")</f>
        <v>#VALUE!</v>
      </c>
      <c r="GE68" t="e">
        <f>AND('Planilla_General_03-12-2012_9_3'!J1084,"AAAAAF4rf7o=")</f>
        <v>#VALUE!</v>
      </c>
      <c r="GF68" t="e">
        <f>AND('Planilla_General_03-12-2012_9_3'!K1084,"AAAAAF4rf7s=")</f>
        <v>#VALUE!</v>
      </c>
      <c r="GG68" t="e">
        <f>AND('Planilla_General_03-12-2012_9_3'!L1084,"AAAAAF4rf7w=")</f>
        <v>#VALUE!</v>
      </c>
      <c r="GH68" t="e">
        <f>AND('Planilla_General_03-12-2012_9_3'!M1084,"AAAAAF4rf70=")</f>
        <v>#VALUE!</v>
      </c>
      <c r="GI68" t="e">
        <f>AND('Planilla_General_03-12-2012_9_3'!N1084,"AAAAAF4rf74=")</f>
        <v>#VALUE!</v>
      </c>
      <c r="GJ68" t="e">
        <f>AND('Planilla_General_03-12-2012_9_3'!O1084,"AAAAAF4rf78=")</f>
        <v>#VALUE!</v>
      </c>
      <c r="GK68">
        <f>IF('Planilla_General_03-12-2012_9_3'!1085:1085,"AAAAAF4rf8A=",0)</f>
        <v>0</v>
      </c>
      <c r="GL68" t="e">
        <f>AND('Planilla_General_03-12-2012_9_3'!A1085,"AAAAAF4rf8E=")</f>
        <v>#VALUE!</v>
      </c>
      <c r="GM68" t="e">
        <f>AND('Planilla_General_03-12-2012_9_3'!B1085,"AAAAAF4rf8I=")</f>
        <v>#VALUE!</v>
      </c>
      <c r="GN68" t="e">
        <f>AND('Planilla_General_03-12-2012_9_3'!C1085,"AAAAAF4rf8M=")</f>
        <v>#VALUE!</v>
      </c>
      <c r="GO68" t="e">
        <f>AND('Planilla_General_03-12-2012_9_3'!D1085,"AAAAAF4rf8Q=")</f>
        <v>#VALUE!</v>
      </c>
      <c r="GP68" t="e">
        <f>AND('Planilla_General_03-12-2012_9_3'!E1085,"AAAAAF4rf8U=")</f>
        <v>#VALUE!</v>
      </c>
      <c r="GQ68" t="e">
        <f>AND('Planilla_General_03-12-2012_9_3'!F1085,"AAAAAF4rf8Y=")</f>
        <v>#VALUE!</v>
      </c>
      <c r="GR68" t="e">
        <f>AND('Planilla_General_03-12-2012_9_3'!G1085,"AAAAAF4rf8c=")</f>
        <v>#VALUE!</v>
      </c>
      <c r="GS68" t="e">
        <f>AND('Planilla_General_03-12-2012_9_3'!H1085,"AAAAAF4rf8g=")</f>
        <v>#VALUE!</v>
      </c>
      <c r="GT68" t="e">
        <f>AND('Planilla_General_03-12-2012_9_3'!I1085,"AAAAAF4rf8k=")</f>
        <v>#VALUE!</v>
      </c>
      <c r="GU68" t="e">
        <f>AND('Planilla_General_03-12-2012_9_3'!J1085,"AAAAAF4rf8o=")</f>
        <v>#VALUE!</v>
      </c>
      <c r="GV68" t="e">
        <f>AND('Planilla_General_03-12-2012_9_3'!K1085,"AAAAAF4rf8s=")</f>
        <v>#VALUE!</v>
      </c>
      <c r="GW68" t="e">
        <f>AND('Planilla_General_03-12-2012_9_3'!L1085,"AAAAAF4rf8w=")</f>
        <v>#VALUE!</v>
      </c>
      <c r="GX68" t="e">
        <f>AND('Planilla_General_03-12-2012_9_3'!M1085,"AAAAAF4rf80=")</f>
        <v>#VALUE!</v>
      </c>
      <c r="GY68" t="e">
        <f>AND('Planilla_General_03-12-2012_9_3'!N1085,"AAAAAF4rf84=")</f>
        <v>#VALUE!</v>
      </c>
      <c r="GZ68" t="e">
        <f>AND('Planilla_General_03-12-2012_9_3'!O1085,"AAAAAF4rf88=")</f>
        <v>#VALUE!</v>
      </c>
      <c r="HA68">
        <f>IF('Planilla_General_03-12-2012_9_3'!1086:1086,"AAAAAF4rf9A=",0)</f>
        <v>0</v>
      </c>
      <c r="HB68" t="e">
        <f>AND('Planilla_General_03-12-2012_9_3'!A1086,"AAAAAF4rf9E=")</f>
        <v>#VALUE!</v>
      </c>
      <c r="HC68" t="e">
        <f>AND('Planilla_General_03-12-2012_9_3'!B1086,"AAAAAF4rf9I=")</f>
        <v>#VALUE!</v>
      </c>
      <c r="HD68" t="e">
        <f>AND('Planilla_General_03-12-2012_9_3'!C1086,"AAAAAF4rf9M=")</f>
        <v>#VALUE!</v>
      </c>
      <c r="HE68" t="e">
        <f>AND('Planilla_General_03-12-2012_9_3'!D1086,"AAAAAF4rf9Q=")</f>
        <v>#VALUE!</v>
      </c>
      <c r="HF68" t="e">
        <f>AND('Planilla_General_03-12-2012_9_3'!E1086,"AAAAAF4rf9U=")</f>
        <v>#VALUE!</v>
      </c>
      <c r="HG68" t="e">
        <f>AND('Planilla_General_03-12-2012_9_3'!F1086,"AAAAAF4rf9Y=")</f>
        <v>#VALUE!</v>
      </c>
      <c r="HH68" t="e">
        <f>AND('Planilla_General_03-12-2012_9_3'!G1086,"AAAAAF4rf9c=")</f>
        <v>#VALUE!</v>
      </c>
      <c r="HI68" t="e">
        <f>AND('Planilla_General_03-12-2012_9_3'!H1086,"AAAAAF4rf9g=")</f>
        <v>#VALUE!</v>
      </c>
      <c r="HJ68" t="e">
        <f>AND('Planilla_General_03-12-2012_9_3'!I1086,"AAAAAF4rf9k=")</f>
        <v>#VALUE!</v>
      </c>
      <c r="HK68" t="e">
        <f>AND('Planilla_General_03-12-2012_9_3'!J1086,"AAAAAF4rf9o=")</f>
        <v>#VALUE!</v>
      </c>
      <c r="HL68" t="e">
        <f>AND('Planilla_General_03-12-2012_9_3'!K1086,"AAAAAF4rf9s=")</f>
        <v>#VALUE!</v>
      </c>
      <c r="HM68" t="e">
        <f>AND('Planilla_General_03-12-2012_9_3'!L1086,"AAAAAF4rf9w=")</f>
        <v>#VALUE!</v>
      </c>
      <c r="HN68" t="e">
        <f>AND('Planilla_General_03-12-2012_9_3'!M1086,"AAAAAF4rf90=")</f>
        <v>#VALUE!</v>
      </c>
      <c r="HO68" t="e">
        <f>AND('Planilla_General_03-12-2012_9_3'!N1086,"AAAAAF4rf94=")</f>
        <v>#VALUE!</v>
      </c>
      <c r="HP68" t="e">
        <f>AND('Planilla_General_03-12-2012_9_3'!O1086,"AAAAAF4rf98=")</f>
        <v>#VALUE!</v>
      </c>
      <c r="HQ68">
        <f>IF('Planilla_General_03-12-2012_9_3'!1087:1087,"AAAAAF4rf+A=",0)</f>
        <v>0</v>
      </c>
      <c r="HR68" t="e">
        <f>AND('Planilla_General_03-12-2012_9_3'!A1087,"AAAAAF4rf+E=")</f>
        <v>#VALUE!</v>
      </c>
      <c r="HS68" t="e">
        <f>AND('Planilla_General_03-12-2012_9_3'!B1087,"AAAAAF4rf+I=")</f>
        <v>#VALUE!</v>
      </c>
      <c r="HT68" t="e">
        <f>AND('Planilla_General_03-12-2012_9_3'!C1087,"AAAAAF4rf+M=")</f>
        <v>#VALUE!</v>
      </c>
      <c r="HU68" t="e">
        <f>AND('Planilla_General_03-12-2012_9_3'!D1087,"AAAAAF4rf+Q=")</f>
        <v>#VALUE!</v>
      </c>
      <c r="HV68" t="e">
        <f>AND('Planilla_General_03-12-2012_9_3'!E1087,"AAAAAF4rf+U=")</f>
        <v>#VALUE!</v>
      </c>
      <c r="HW68" t="e">
        <f>AND('Planilla_General_03-12-2012_9_3'!F1087,"AAAAAF4rf+Y=")</f>
        <v>#VALUE!</v>
      </c>
      <c r="HX68" t="e">
        <f>AND('Planilla_General_03-12-2012_9_3'!G1087,"AAAAAF4rf+c=")</f>
        <v>#VALUE!</v>
      </c>
      <c r="HY68" t="e">
        <f>AND('Planilla_General_03-12-2012_9_3'!H1087,"AAAAAF4rf+g=")</f>
        <v>#VALUE!</v>
      </c>
      <c r="HZ68" t="e">
        <f>AND('Planilla_General_03-12-2012_9_3'!I1087,"AAAAAF4rf+k=")</f>
        <v>#VALUE!</v>
      </c>
      <c r="IA68" t="e">
        <f>AND('Planilla_General_03-12-2012_9_3'!J1087,"AAAAAF4rf+o=")</f>
        <v>#VALUE!</v>
      </c>
      <c r="IB68" t="e">
        <f>AND('Planilla_General_03-12-2012_9_3'!K1087,"AAAAAF4rf+s=")</f>
        <v>#VALUE!</v>
      </c>
      <c r="IC68" t="e">
        <f>AND('Planilla_General_03-12-2012_9_3'!L1087,"AAAAAF4rf+w=")</f>
        <v>#VALUE!</v>
      </c>
      <c r="ID68" t="e">
        <f>AND('Planilla_General_03-12-2012_9_3'!M1087,"AAAAAF4rf+0=")</f>
        <v>#VALUE!</v>
      </c>
      <c r="IE68" t="e">
        <f>AND('Planilla_General_03-12-2012_9_3'!N1087,"AAAAAF4rf+4=")</f>
        <v>#VALUE!</v>
      </c>
      <c r="IF68" t="e">
        <f>AND('Planilla_General_03-12-2012_9_3'!O1087,"AAAAAF4rf+8=")</f>
        <v>#VALUE!</v>
      </c>
      <c r="IG68">
        <f>IF('Planilla_General_03-12-2012_9_3'!1088:1088,"AAAAAF4rf/A=",0)</f>
        <v>0</v>
      </c>
      <c r="IH68" t="e">
        <f>AND('Planilla_General_03-12-2012_9_3'!A1088,"AAAAAF4rf/E=")</f>
        <v>#VALUE!</v>
      </c>
      <c r="II68" t="e">
        <f>AND('Planilla_General_03-12-2012_9_3'!B1088,"AAAAAF4rf/I=")</f>
        <v>#VALUE!</v>
      </c>
      <c r="IJ68" t="e">
        <f>AND('Planilla_General_03-12-2012_9_3'!C1088,"AAAAAF4rf/M=")</f>
        <v>#VALUE!</v>
      </c>
      <c r="IK68" t="e">
        <f>AND('Planilla_General_03-12-2012_9_3'!D1088,"AAAAAF4rf/Q=")</f>
        <v>#VALUE!</v>
      </c>
      <c r="IL68" t="e">
        <f>AND('Planilla_General_03-12-2012_9_3'!E1088,"AAAAAF4rf/U=")</f>
        <v>#VALUE!</v>
      </c>
      <c r="IM68" t="e">
        <f>AND('Planilla_General_03-12-2012_9_3'!F1088,"AAAAAF4rf/Y=")</f>
        <v>#VALUE!</v>
      </c>
      <c r="IN68" t="e">
        <f>AND('Planilla_General_03-12-2012_9_3'!G1088,"AAAAAF4rf/c=")</f>
        <v>#VALUE!</v>
      </c>
      <c r="IO68" t="e">
        <f>AND('Planilla_General_03-12-2012_9_3'!H1088,"AAAAAF4rf/g=")</f>
        <v>#VALUE!</v>
      </c>
      <c r="IP68" t="e">
        <f>AND('Planilla_General_03-12-2012_9_3'!I1088,"AAAAAF4rf/k=")</f>
        <v>#VALUE!</v>
      </c>
      <c r="IQ68" t="e">
        <f>AND('Planilla_General_03-12-2012_9_3'!J1088,"AAAAAF4rf/o=")</f>
        <v>#VALUE!</v>
      </c>
      <c r="IR68" t="e">
        <f>AND('Planilla_General_03-12-2012_9_3'!K1088,"AAAAAF4rf/s=")</f>
        <v>#VALUE!</v>
      </c>
      <c r="IS68" t="e">
        <f>AND('Planilla_General_03-12-2012_9_3'!L1088,"AAAAAF4rf/w=")</f>
        <v>#VALUE!</v>
      </c>
      <c r="IT68" t="e">
        <f>AND('Planilla_General_03-12-2012_9_3'!M1088,"AAAAAF4rf/0=")</f>
        <v>#VALUE!</v>
      </c>
      <c r="IU68" t="e">
        <f>AND('Planilla_General_03-12-2012_9_3'!N1088,"AAAAAF4rf/4=")</f>
        <v>#VALUE!</v>
      </c>
      <c r="IV68" t="e">
        <f>AND('Planilla_General_03-12-2012_9_3'!O1088,"AAAAAF4rf/8=")</f>
        <v>#VALUE!</v>
      </c>
    </row>
    <row r="69" spans="1:256" x14ac:dyDescent="0.25">
      <c r="A69" t="e">
        <f>IF('Planilla_General_03-12-2012_9_3'!1089:1089,"AAAAAHe6rgA=",0)</f>
        <v>#VALUE!</v>
      </c>
      <c r="B69" t="e">
        <f>AND('Planilla_General_03-12-2012_9_3'!A1089,"AAAAAHe6rgE=")</f>
        <v>#VALUE!</v>
      </c>
      <c r="C69" t="e">
        <f>AND('Planilla_General_03-12-2012_9_3'!B1089,"AAAAAHe6rgI=")</f>
        <v>#VALUE!</v>
      </c>
      <c r="D69" t="e">
        <f>AND('Planilla_General_03-12-2012_9_3'!C1089,"AAAAAHe6rgM=")</f>
        <v>#VALUE!</v>
      </c>
      <c r="E69" t="e">
        <f>AND('Planilla_General_03-12-2012_9_3'!D1089,"AAAAAHe6rgQ=")</f>
        <v>#VALUE!</v>
      </c>
      <c r="F69" t="e">
        <f>AND('Planilla_General_03-12-2012_9_3'!E1089,"AAAAAHe6rgU=")</f>
        <v>#VALUE!</v>
      </c>
      <c r="G69" t="e">
        <f>AND('Planilla_General_03-12-2012_9_3'!F1089,"AAAAAHe6rgY=")</f>
        <v>#VALUE!</v>
      </c>
      <c r="H69" t="e">
        <f>AND('Planilla_General_03-12-2012_9_3'!G1089,"AAAAAHe6rgc=")</f>
        <v>#VALUE!</v>
      </c>
      <c r="I69" t="e">
        <f>AND('Planilla_General_03-12-2012_9_3'!H1089,"AAAAAHe6rgg=")</f>
        <v>#VALUE!</v>
      </c>
      <c r="J69" t="e">
        <f>AND('Planilla_General_03-12-2012_9_3'!I1089,"AAAAAHe6rgk=")</f>
        <v>#VALUE!</v>
      </c>
      <c r="K69" t="e">
        <f>AND('Planilla_General_03-12-2012_9_3'!J1089,"AAAAAHe6rgo=")</f>
        <v>#VALUE!</v>
      </c>
      <c r="L69" t="e">
        <f>AND('Planilla_General_03-12-2012_9_3'!K1089,"AAAAAHe6rgs=")</f>
        <v>#VALUE!</v>
      </c>
      <c r="M69" t="e">
        <f>AND('Planilla_General_03-12-2012_9_3'!L1089,"AAAAAHe6rgw=")</f>
        <v>#VALUE!</v>
      </c>
      <c r="N69" t="e">
        <f>AND('Planilla_General_03-12-2012_9_3'!M1089,"AAAAAHe6rg0=")</f>
        <v>#VALUE!</v>
      </c>
      <c r="O69" t="e">
        <f>AND('Planilla_General_03-12-2012_9_3'!N1089,"AAAAAHe6rg4=")</f>
        <v>#VALUE!</v>
      </c>
      <c r="P69" t="e">
        <f>AND('Planilla_General_03-12-2012_9_3'!O1089,"AAAAAHe6rg8=")</f>
        <v>#VALUE!</v>
      </c>
      <c r="Q69">
        <f>IF('Planilla_General_03-12-2012_9_3'!1090:1090,"AAAAAHe6rhA=",0)</f>
        <v>0</v>
      </c>
      <c r="R69" t="e">
        <f>AND('Planilla_General_03-12-2012_9_3'!A1090,"AAAAAHe6rhE=")</f>
        <v>#VALUE!</v>
      </c>
      <c r="S69" t="e">
        <f>AND('Planilla_General_03-12-2012_9_3'!B1090,"AAAAAHe6rhI=")</f>
        <v>#VALUE!</v>
      </c>
      <c r="T69" t="e">
        <f>AND('Planilla_General_03-12-2012_9_3'!C1090,"AAAAAHe6rhM=")</f>
        <v>#VALUE!</v>
      </c>
      <c r="U69" t="e">
        <f>AND('Planilla_General_03-12-2012_9_3'!D1090,"AAAAAHe6rhQ=")</f>
        <v>#VALUE!</v>
      </c>
      <c r="V69" t="e">
        <f>AND('Planilla_General_03-12-2012_9_3'!E1090,"AAAAAHe6rhU=")</f>
        <v>#VALUE!</v>
      </c>
      <c r="W69" t="e">
        <f>AND('Planilla_General_03-12-2012_9_3'!F1090,"AAAAAHe6rhY=")</f>
        <v>#VALUE!</v>
      </c>
      <c r="X69" t="e">
        <f>AND('Planilla_General_03-12-2012_9_3'!G1090,"AAAAAHe6rhc=")</f>
        <v>#VALUE!</v>
      </c>
      <c r="Y69" t="e">
        <f>AND('Planilla_General_03-12-2012_9_3'!H1090,"AAAAAHe6rhg=")</f>
        <v>#VALUE!</v>
      </c>
      <c r="Z69" t="e">
        <f>AND('Planilla_General_03-12-2012_9_3'!I1090,"AAAAAHe6rhk=")</f>
        <v>#VALUE!</v>
      </c>
      <c r="AA69" t="e">
        <f>AND('Planilla_General_03-12-2012_9_3'!J1090,"AAAAAHe6rho=")</f>
        <v>#VALUE!</v>
      </c>
      <c r="AB69" t="e">
        <f>AND('Planilla_General_03-12-2012_9_3'!K1090,"AAAAAHe6rhs=")</f>
        <v>#VALUE!</v>
      </c>
      <c r="AC69" t="e">
        <f>AND('Planilla_General_03-12-2012_9_3'!L1090,"AAAAAHe6rhw=")</f>
        <v>#VALUE!</v>
      </c>
      <c r="AD69" t="e">
        <f>AND('Planilla_General_03-12-2012_9_3'!M1090,"AAAAAHe6rh0=")</f>
        <v>#VALUE!</v>
      </c>
      <c r="AE69" t="e">
        <f>AND('Planilla_General_03-12-2012_9_3'!N1090,"AAAAAHe6rh4=")</f>
        <v>#VALUE!</v>
      </c>
      <c r="AF69" t="e">
        <f>AND('Planilla_General_03-12-2012_9_3'!O1090,"AAAAAHe6rh8=")</f>
        <v>#VALUE!</v>
      </c>
      <c r="AG69">
        <f>IF('Planilla_General_03-12-2012_9_3'!1091:1091,"AAAAAHe6riA=",0)</f>
        <v>0</v>
      </c>
      <c r="AH69" t="e">
        <f>AND('Planilla_General_03-12-2012_9_3'!A1091,"AAAAAHe6riE=")</f>
        <v>#VALUE!</v>
      </c>
      <c r="AI69" t="e">
        <f>AND('Planilla_General_03-12-2012_9_3'!B1091,"AAAAAHe6riI=")</f>
        <v>#VALUE!</v>
      </c>
      <c r="AJ69" t="e">
        <f>AND('Planilla_General_03-12-2012_9_3'!C1091,"AAAAAHe6riM=")</f>
        <v>#VALUE!</v>
      </c>
      <c r="AK69" t="e">
        <f>AND('Planilla_General_03-12-2012_9_3'!D1091,"AAAAAHe6riQ=")</f>
        <v>#VALUE!</v>
      </c>
      <c r="AL69" t="e">
        <f>AND('Planilla_General_03-12-2012_9_3'!E1091,"AAAAAHe6riU=")</f>
        <v>#VALUE!</v>
      </c>
      <c r="AM69" t="e">
        <f>AND('Planilla_General_03-12-2012_9_3'!F1091,"AAAAAHe6riY=")</f>
        <v>#VALUE!</v>
      </c>
      <c r="AN69" t="e">
        <f>AND('Planilla_General_03-12-2012_9_3'!G1091,"AAAAAHe6ric=")</f>
        <v>#VALUE!</v>
      </c>
      <c r="AO69" t="e">
        <f>AND('Planilla_General_03-12-2012_9_3'!H1091,"AAAAAHe6rig=")</f>
        <v>#VALUE!</v>
      </c>
      <c r="AP69" t="e">
        <f>AND('Planilla_General_03-12-2012_9_3'!I1091,"AAAAAHe6rik=")</f>
        <v>#VALUE!</v>
      </c>
      <c r="AQ69" t="e">
        <f>AND('Planilla_General_03-12-2012_9_3'!J1091,"AAAAAHe6rio=")</f>
        <v>#VALUE!</v>
      </c>
      <c r="AR69" t="e">
        <f>AND('Planilla_General_03-12-2012_9_3'!K1091,"AAAAAHe6ris=")</f>
        <v>#VALUE!</v>
      </c>
      <c r="AS69" t="e">
        <f>AND('Planilla_General_03-12-2012_9_3'!L1091,"AAAAAHe6riw=")</f>
        <v>#VALUE!</v>
      </c>
      <c r="AT69" t="e">
        <f>AND('Planilla_General_03-12-2012_9_3'!M1091,"AAAAAHe6ri0=")</f>
        <v>#VALUE!</v>
      </c>
      <c r="AU69" t="e">
        <f>AND('Planilla_General_03-12-2012_9_3'!N1091,"AAAAAHe6ri4=")</f>
        <v>#VALUE!</v>
      </c>
      <c r="AV69" t="e">
        <f>AND('Planilla_General_03-12-2012_9_3'!O1091,"AAAAAHe6ri8=")</f>
        <v>#VALUE!</v>
      </c>
      <c r="AW69">
        <f>IF('Planilla_General_03-12-2012_9_3'!1092:1092,"AAAAAHe6rjA=",0)</f>
        <v>0</v>
      </c>
      <c r="AX69" t="e">
        <f>AND('Planilla_General_03-12-2012_9_3'!A1092,"AAAAAHe6rjE=")</f>
        <v>#VALUE!</v>
      </c>
      <c r="AY69" t="e">
        <f>AND('Planilla_General_03-12-2012_9_3'!B1092,"AAAAAHe6rjI=")</f>
        <v>#VALUE!</v>
      </c>
      <c r="AZ69" t="e">
        <f>AND('Planilla_General_03-12-2012_9_3'!C1092,"AAAAAHe6rjM=")</f>
        <v>#VALUE!</v>
      </c>
      <c r="BA69" t="e">
        <f>AND('Planilla_General_03-12-2012_9_3'!D1092,"AAAAAHe6rjQ=")</f>
        <v>#VALUE!</v>
      </c>
      <c r="BB69" t="e">
        <f>AND('Planilla_General_03-12-2012_9_3'!E1092,"AAAAAHe6rjU=")</f>
        <v>#VALUE!</v>
      </c>
      <c r="BC69" t="e">
        <f>AND('Planilla_General_03-12-2012_9_3'!F1092,"AAAAAHe6rjY=")</f>
        <v>#VALUE!</v>
      </c>
      <c r="BD69" t="e">
        <f>AND('Planilla_General_03-12-2012_9_3'!G1092,"AAAAAHe6rjc=")</f>
        <v>#VALUE!</v>
      </c>
      <c r="BE69" t="e">
        <f>AND('Planilla_General_03-12-2012_9_3'!H1092,"AAAAAHe6rjg=")</f>
        <v>#VALUE!</v>
      </c>
      <c r="BF69" t="e">
        <f>AND('Planilla_General_03-12-2012_9_3'!I1092,"AAAAAHe6rjk=")</f>
        <v>#VALUE!</v>
      </c>
      <c r="BG69" t="e">
        <f>AND('Planilla_General_03-12-2012_9_3'!J1092,"AAAAAHe6rjo=")</f>
        <v>#VALUE!</v>
      </c>
      <c r="BH69" t="e">
        <f>AND('Planilla_General_03-12-2012_9_3'!K1092,"AAAAAHe6rjs=")</f>
        <v>#VALUE!</v>
      </c>
      <c r="BI69" t="e">
        <f>AND('Planilla_General_03-12-2012_9_3'!L1092,"AAAAAHe6rjw=")</f>
        <v>#VALUE!</v>
      </c>
      <c r="BJ69" t="e">
        <f>AND('Planilla_General_03-12-2012_9_3'!M1092,"AAAAAHe6rj0=")</f>
        <v>#VALUE!</v>
      </c>
      <c r="BK69" t="e">
        <f>AND('Planilla_General_03-12-2012_9_3'!N1092,"AAAAAHe6rj4=")</f>
        <v>#VALUE!</v>
      </c>
      <c r="BL69" t="e">
        <f>AND('Planilla_General_03-12-2012_9_3'!O1092,"AAAAAHe6rj8=")</f>
        <v>#VALUE!</v>
      </c>
      <c r="BM69">
        <f>IF('Planilla_General_03-12-2012_9_3'!1093:1093,"AAAAAHe6rkA=",0)</f>
        <v>0</v>
      </c>
      <c r="BN69" t="e">
        <f>AND('Planilla_General_03-12-2012_9_3'!A1093,"AAAAAHe6rkE=")</f>
        <v>#VALUE!</v>
      </c>
      <c r="BO69" t="e">
        <f>AND('Planilla_General_03-12-2012_9_3'!B1093,"AAAAAHe6rkI=")</f>
        <v>#VALUE!</v>
      </c>
      <c r="BP69" t="e">
        <f>AND('Planilla_General_03-12-2012_9_3'!C1093,"AAAAAHe6rkM=")</f>
        <v>#VALUE!</v>
      </c>
      <c r="BQ69" t="e">
        <f>AND('Planilla_General_03-12-2012_9_3'!D1093,"AAAAAHe6rkQ=")</f>
        <v>#VALUE!</v>
      </c>
      <c r="BR69" t="e">
        <f>AND('Planilla_General_03-12-2012_9_3'!E1093,"AAAAAHe6rkU=")</f>
        <v>#VALUE!</v>
      </c>
      <c r="BS69" t="e">
        <f>AND('Planilla_General_03-12-2012_9_3'!F1093,"AAAAAHe6rkY=")</f>
        <v>#VALUE!</v>
      </c>
      <c r="BT69" t="e">
        <f>AND('Planilla_General_03-12-2012_9_3'!G1093,"AAAAAHe6rkc=")</f>
        <v>#VALUE!</v>
      </c>
      <c r="BU69" t="e">
        <f>AND('Planilla_General_03-12-2012_9_3'!H1093,"AAAAAHe6rkg=")</f>
        <v>#VALUE!</v>
      </c>
      <c r="BV69" t="e">
        <f>AND('Planilla_General_03-12-2012_9_3'!I1093,"AAAAAHe6rkk=")</f>
        <v>#VALUE!</v>
      </c>
      <c r="BW69" t="e">
        <f>AND('Planilla_General_03-12-2012_9_3'!J1093,"AAAAAHe6rko=")</f>
        <v>#VALUE!</v>
      </c>
      <c r="BX69" t="e">
        <f>AND('Planilla_General_03-12-2012_9_3'!K1093,"AAAAAHe6rks=")</f>
        <v>#VALUE!</v>
      </c>
      <c r="BY69" t="e">
        <f>AND('Planilla_General_03-12-2012_9_3'!L1093,"AAAAAHe6rkw=")</f>
        <v>#VALUE!</v>
      </c>
      <c r="BZ69" t="e">
        <f>AND('Planilla_General_03-12-2012_9_3'!M1093,"AAAAAHe6rk0=")</f>
        <v>#VALUE!</v>
      </c>
      <c r="CA69" t="e">
        <f>AND('Planilla_General_03-12-2012_9_3'!N1093,"AAAAAHe6rk4=")</f>
        <v>#VALUE!</v>
      </c>
      <c r="CB69" t="e">
        <f>AND('Planilla_General_03-12-2012_9_3'!O1093,"AAAAAHe6rk8=")</f>
        <v>#VALUE!</v>
      </c>
      <c r="CC69">
        <f>IF('Planilla_General_03-12-2012_9_3'!1094:1094,"AAAAAHe6rlA=",0)</f>
        <v>0</v>
      </c>
      <c r="CD69" t="e">
        <f>AND('Planilla_General_03-12-2012_9_3'!A1094,"AAAAAHe6rlE=")</f>
        <v>#VALUE!</v>
      </c>
      <c r="CE69" t="e">
        <f>AND('Planilla_General_03-12-2012_9_3'!B1094,"AAAAAHe6rlI=")</f>
        <v>#VALUE!</v>
      </c>
      <c r="CF69" t="e">
        <f>AND('Planilla_General_03-12-2012_9_3'!C1094,"AAAAAHe6rlM=")</f>
        <v>#VALUE!</v>
      </c>
      <c r="CG69" t="e">
        <f>AND('Planilla_General_03-12-2012_9_3'!D1094,"AAAAAHe6rlQ=")</f>
        <v>#VALUE!</v>
      </c>
      <c r="CH69" t="e">
        <f>AND('Planilla_General_03-12-2012_9_3'!E1094,"AAAAAHe6rlU=")</f>
        <v>#VALUE!</v>
      </c>
      <c r="CI69" t="e">
        <f>AND('Planilla_General_03-12-2012_9_3'!F1094,"AAAAAHe6rlY=")</f>
        <v>#VALUE!</v>
      </c>
      <c r="CJ69" t="e">
        <f>AND('Planilla_General_03-12-2012_9_3'!G1094,"AAAAAHe6rlc=")</f>
        <v>#VALUE!</v>
      </c>
      <c r="CK69" t="e">
        <f>AND('Planilla_General_03-12-2012_9_3'!H1094,"AAAAAHe6rlg=")</f>
        <v>#VALUE!</v>
      </c>
      <c r="CL69" t="e">
        <f>AND('Planilla_General_03-12-2012_9_3'!I1094,"AAAAAHe6rlk=")</f>
        <v>#VALUE!</v>
      </c>
      <c r="CM69" t="e">
        <f>AND('Planilla_General_03-12-2012_9_3'!J1094,"AAAAAHe6rlo=")</f>
        <v>#VALUE!</v>
      </c>
      <c r="CN69" t="e">
        <f>AND('Planilla_General_03-12-2012_9_3'!K1094,"AAAAAHe6rls=")</f>
        <v>#VALUE!</v>
      </c>
      <c r="CO69" t="e">
        <f>AND('Planilla_General_03-12-2012_9_3'!L1094,"AAAAAHe6rlw=")</f>
        <v>#VALUE!</v>
      </c>
      <c r="CP69" t="e">
        <f>AND('Planilla_General_03-12-2012_9_3'!M1094,"AAAAAHe6rl0=")</f>
        <v>#VALUE!</v>
      </c>
      <c r="CQ69" t="e">
        <f>AND('Planilla_General_03-12-2012_9_3'!N1094,"AAAAAHe6rl4=")</f>
        <v>#VALUE!</v>
      </c>
      <c r="CR69" t="e">
        <f>AND('Planilla_General_03-12-2012_9_3'!O1094,"AAAAAHe6rl8=")</f>
        <v>#VALUE!</v>
      </c>
      <c r="CS69">
        <f>IF('Planilla_General_03-12-2012_9_3'!1095:1095,"AAAAAHe6rmA=",0)</f>
        <v>0</v>
      </c>
      <c r="CT69" t="e">
        <f>AND('Planilla_General_03-12-2012_9_3'!A1095,"AAAAAHe6rmE=")</f>
        <v>#VALUE!</v>
      </c>
      <c r="CU69" t="e">
        <f>AND('Planilla_General_03-12-2012_9_3'!B1095,"AAAAAHe6rmI=")</f>
        <v>#VALUE!</v>
      </c>
      <c r="CV69" t="e">
        <f>AND('Planilla_General_03-12-2012_9_3'!C1095,"AAAAAHe6rmM=")</f>
        <v>#VALUE!</v>
      </c>
      <c r="CW69" t="e">
        <f>AND('Planilla_General_03-12-2012_9_3'!D1095,"AAAAAHe6rmQ=")</f>
        <v>#VALUE!</v>
      </c>
      <c r="CX69" t="e">
        <f>AND('Planilla_General_03-12-2012_9_3'!E1095,"AAAAAHe6rmU=")</f>
        <v>#VALUE!</v>
      </c>
      <c r="CY69" t="e">
        <f>AND('Planilla_General_03-12-2012_9_3'!F1095,"AAAAAHe6rmY=")</f>
        <v>#VALUE!</v>
      </c>
      <c r="CZ69" t="e">
        <f>AND('Planilla_General_03-12-2012_9_3'!G1095,"AAAAAHe6rmc=")</f>
        <v>#VALUE!</v>
      </c>
      <c r="DA69" t="e">
        <f>AND('Planilla_General_03-12-2012_9_3'!H1095,"AAAAAHe6rmg=")</f>
        <v>#VALUE!</v>
      </c>
      <c r="DB69" t="e">
        <f>AND('Planilla_General_03-12-2012_9_3'!I1095,"AAAAAHe6rmk=")</f>
        <v>#VALUE!</v>
      </c>
      <c r="DC69" t="e">
        <f>AND('Planilla_General_03-12-2012_9_3'!J1095,"AAAAAHe6rmo=")</f>
        <v>#VALUE!</v>
      </c>
      <c r="DD69" t="e">
        <f>AND('Planilla_General_03-12-2012_9_3'!K1095,"AAAAAHe6rms=")</f>
        <v>#VALUE!</v>
      </c>
      <c r="DE69" t="e">
        <f>AND('Planilla_General_03-12-2012_9_3'!L1095,"AAAAAHe6rmw=")</f>
        <v>#VALUE!</v>
      </c>
      <c r="DF69" t="e">
        <f>AND('Planilla_General_03-12-2012_9_3'!M1095,"AAAAAHe6rm0=")</f>
        <v>#VALUE!</v>
      </c>
      <c r="DG69" t="e">
        <f>AND('Planilla_General_03-12-2012_9_3'!N1095,"AAAAAHe6rm4=")</f>
        <v>#VALUE!</v>
      </c>
      <c r="DH69" t="e">
        <f>AND('Planilla_General_03-12-2012_9_3'!O1095,"AAAAAHe6rm8=")</f>
        <v>#VALUE!</v>
      </c>
      <c r="DI69">
        <f>IF('Planilla_General_03-12-2012_9_3'!1096:1096,"AAAAAHe6rnA=",0)</f>
        <v>0</v>
      </c>
      <c r="DJ69" t="e">
        <f>AND('Planilla_General_03-12-2012_9_3'!A1096,"AAAAAHe6rnE=")</f>
        <v>#VALUE!</v>
      </c>
      <c r="DK69" t="e">
        <f>AND('Planilla_General_03-12-2012_9_3'!B1096,"AAAAAHe6rnI=")</f>
        <v>#VALUE!</v>
      </c>
      <c r="DL69" t="e">
        <f>AND('Planilla_General_03-12-2012_9_3'!C1096,"AAAAAHe6rnM=")</f>
        <v>#VALUE!</v>
      </c>
      <c r="DM69" t="e">
        <f>AND('Planilla_General_03-12-2012_9_3'!D1096,"AAAAAHe6rnQ=")</f>
        <v>#VALUE!</v>
      </c>
      <c r="DN69" t="e">
        <f>AND('Planilla_General_03-12-2012_9_3'!E1096,"AAAAAHe6rnU=")</f>
        <v>#VALUE!</v>
      </c>
      <c r="DO69" t="e">
        <f>AND('Planilla_General_03-12-2012_9_3'!F1096,"AAAAAHe6rnY=")</f>
        <v>#VALUE!</v>
      </c>
      <c r="DP69" t="e">
        <f>AND('Planilla_General_03-12-2012_9_3'!G1096,"AAAAAHe6rnc=")</f>
        <v>#VALUE!</v>
      </c>
      <c r="DQ69" t="e">
        <f>AND('Planilla_General_03-12-2012_9_3'!H1096,"AAAAAHe6rng=")</f>
        <v>#VALUE!</v>
      </c>
      <c r="DR69" t="e">
        <f>AND('Planilla_General_03-12-2012_9_3'!I1096,"AAAAAHe6rnk=")</f>
        <v>#VALUE!</v>
      </c>
      <c r="DS69" t="e">
        <f>AND('Planilla_General_03-12-2012_9_3'!J1096,"AAAAAHe6rno=")</f>
        <v>#VALUE!</v>
      </c>
      <c r="DT69" t="e">
        <f>AND('Planilla_General_03-12-2012_9_3'!K1096,"AAAAAHe6rns=")</f>
        <v>#VALUE!</v>
      </c>
      <c r="DU69" t="e">
        <f>AND('Planilla_General_03-12-2012_9_3'!L1096,"AAAAAHe6rnw=")</f>
        <v>#VALUE!</v>
      </c>
      <c r="DV69" t="e">
        <f>AND('Planilla_General_03-12-2012_9_3'!M1096,"AAAAAHe6rn0=")</f>
        <v>#VALUE!</v>
      </c>
      <c r="DW69" t="e">
        <f>AND('Planilla_General_03-12-2012_9_3'!N1096,"AAAAAHe6rn4=")</f>
        <v>#VALUE!</v>
      </c>
      <c r="DX69" t="e">
        <f>AND('Planilla_General_03-12-2012_9_3'!O1096,"AAAAAHe6rn8=")</f>
        <v>#VALUE!</v>
      </c>
      <c r="DY69">
        <f>IF('Planilla_General_03-12-2012_9_3'!1097:1097,"AAAAAHe6roA=",0)</f>
        <v>0</v>
      </c>
      <c r="DZ69" t="e">
        <f>AND('Planilla_General_03-12-2012_9_3'!A1097,"AAAAAHe6roE=")</f>
        <v>#VALUE!</v>
      </c>
      <c r="EA69" t="e">
        <f>AND('Planilla_General_03-12-2012_9_3'!B1097,"AAAAAHe6roI=")</f>
        <v>#VALUE!</v>
      </c>
      <c r="EB69" t="e">
        <f>AND('Planilla_General_03-12-2012_9_3'!C1097,"AAAAAHe6roM=")</f>
        <v>#VALUE!</v>
      </c>
      <c r="EC69" t="e">
        <f>AND('Planilla_General_03-12-2012_9_3'!D1097,"AAAAAHe6roQ=")</f>
        <v>#VALUE!</v>
      </c>
      <c r="ED69" t="e">
        <f>AND('Planilla_General_03-12-2012_9_3'!E1097,"AAAAAHe6roU=")</f>
        <v>#VALUE!</v>
      </c>
      <c r="EE69" t="e">
        <f>AND('Planilla_General_03-12-2012_9_3'!F1097,"AAAAAHe6roY=")</f>
        <v>#VALUE!</v>
      </c>
      <c r="EF69" t="e">
        <f>AND('Planilla_General_03-12-2012_9_3'!G1097,"AAAAAHe6roc=")</f>
        <v>#VALUE!</v>
      </c>
      <c r="EG69" t="e">
        <f>AND('Planilla_General_03-12-2012_9_3'!H1097,"AAAAAHe6rog=")</f>
        <v>#VALUE!</v>
      </c>
      <c r="EH69" t="e">
        <f>AND('Planilla_General_03-12-2012_9_3'!I1097,"AAAAAHe6rok=")</f>
        <v>#VALUE!</v>
      </c>
      <c r="EI69" t="e">
        <f>AND('Planilla_General_03-12-2012_9_3'!J1097,"AAAAAHe6roo=")</f>
        <v>#VALUE!</v>
      </c>
      <c r="EJ69" t="e">
        <f>AND('Planilla_General_03-12-2012_9_3'!K1097,"AAAAAHe6ros=")</f>
        <v>#VALUE!</v>
      </c>
      <c r="EK69" t="e">
        <f>AND('Planilla_General_03-12-2012_9_3'!L1097,"AAAAAHe6row=")</f>
        <v>#VALUE!</v>
      </c>
      <c r="EL69" t="e">
        <f>AND('Planilla_General_03-12-2012_9_3'!M1097,"AAAAAHe6ro0=")</f>
        <v>#VALUE!</v>
      </c>
      <c r="EM69" t="e">
        <f>AND('Planilla_General_03-12-2012_9_3'!N1097,"AAAAAHe6ro4=")</f>
        <v>#VALUE!</v>
      </c>
      <c r="EN69" t="e">
        <f>AND('Planilla_General_03-12-2012_9_3'!O1097,"AAAAAHe6ro8=")</f>
        <v>#VALUE!</v>
      </c>
      <c r="EO69">
        <f>IF('Planilla_General_03-12-2012_9_3'!1098:1098,"AAAAAHe6rpA=",0)</f>
        <v>0</v>
      </c>
      <c r="EP69" t="e">
        <f>AND('Planilla_General_03-12-2012_9_3'!A1098,"AAAAAHe6rpE=")</f>
        <v>#VALUE!</v>
      </c>
      <c r="EQ69" t="e">
        <f>AND('Planilla_General_03-12-2012_9_3'!B1098,"AAAAAHe6rpI=")</f>
        <v>#VALUE!</v>
      </c>
      <c r="ER69" t="e">
        <f>AND('Planilla_General_03-12-2012_9_3'!C1098,"AAAAAHe6rpM=")</f>
        <v>#VALUE!</v>
      </c>
      <c r="ES69" t="e">
        <f>AND('Planilla_General_03-12-2012_9_3'!D1098,"AAAAAHe6rpQ=")</f>
        <v>#VALUE!</v>
      </c>
      <c r="ET69" t="e">
        <f>AND('Planilla_General_03-12-2012_9_3'!E1098,"AAAAAHe6rpU=")</f>
        <v>#VALUE!</v>
      </c>
      <c r="EU69" t="e">
        <f>AND('Planilla_General_03-12-2012_9_3'!F1098,"AAAAAHe6rpY=")</f>
        <v>#VALUE!</v>
      </c>
      <c r="EV69" t="e">
        <f>AND('Planilla_General_03-12-2012_9_3'!G1098,"AAAAAHe6rpc=")</f>
        <v>#VALUE!</v>
      </c>
      <c r="EW69" t="e">
        <f>AND('Planilla_General_03-12-2012_9_3'!H1098,"AAAAAHe6rpg=")</f>
        <v>#VALUE!</v>
      </c>
      <c r="EX69" t="e">
        <f>AND('Planilla_General_03-12-2012_9_3'!I1098,"AAAAAHe6rpk=")</f>
        <v>#VALUE!</v>
      </c>
      <c r="EY69" t="e">
        <f>AND('Planilla_General_03-12-2012_9_3'!J1098,"AAAAAHe6rpo=")</f>
        <v>#VALUE!</v>
      </c>
      <c r="EZ69" t="e">
        <f>AND('Planilla_General_03-12-2012_9_3'!K1098,"AAAAAHe6rps=")</f>
        <v>#VALUE!</v>
      </c>
      <c r="FA69" t="e">
        <f>AND('Planilla_General_03-12-2012_9_3'!L1098,"AAAAAHe6rpw=")</f>
        <v>#VALUE!</v>
      </c>
      <c r="FB69" t="e">
        <f>AND('Planilla_General_03-12-2012_9_3'!M1098,"AAAAAHe6rp0=")</f>
        <v>#VALUE!</v>
      </c>
      <c r="FC69" t="e">
        <f>AND('Planilla_General_03-12-2012_9_3'!N1098,"AAAAAHe6rp4=")</f>
        <v>#VALUE!</v>
      </c>
      <c r="FD69" t="e">
        <f>AND('Planilla_General_03-12-2012_9_3'!O1098,"AAAAAHe6rp8=")</f>
        <v>#VALUE!</v>
      </c>
      <c r="FE69">
        <f>IF('Planilla_General_03-12-2012_9_3'!1099:1099,"AAAAAHe6rqA=",0)</f>
        <v>0</v>
      </c>
      <c r="FF69" t="e">
        <f>AND('Planilla_General_03-12-2012_9_3'!A1099,"AAAAAHe6rqE=")</f>
        <v>#VALUE!</v>
      </c>
      <c r="FG69" t="e">
        <f>AND('Planilla_General_03-12-2012_9_3'!B1099,"AAAAAHe6rqI=")</f>
        <v>#VALUE!</v>
      </c>
      <c r="FH69" t="e">
        <f>AND('Planilla_General_03-12-2012_9_3'!C1099,"AAAAAHe6rqM=")</f>
        <v>#VALUE!</v>
      </c>
      <c r="FI69" t="e">
        <f>AND('Planilla_General_03-12-2012_9_3'!D1099,"AAAAAHe6rqQ=")</f>
        <v>#VALUE!</v>
      </c>
      <c r="FJ69" t="e">
        <f>AND('Planilla_General_03-12-2012_9_3'!E1099,"AAAAAHe6rqU=")</f>
        <v>#VALUE!</v>
      </c>
      <c r="FK69" t="e">
        <f>AND('Planilla_General_03-12-2012_9_3'!F1099,"AAAAAHe6rqY=")</f>
        <v>#VALUE!</v>
      </c>
      <c r="FL69" t="e">
        <f>AND('Planilla_General_03-12-2012_9_3'!G1099,"AAAAAHe6rqc=")</f>
        <v>#VALUE!</v>
      </c>
      <c r="FM69" t="e">
        <f>AND('Planilla_General_03-12-2012_9_3'!H1099,"AAAAAHe6rqg=")</f>
        <v>#VALUE!</v>
      </c>
      <c r="FN69" t="e">
        <f>AND('Planilla_General_03-12-2012_9_3'!I1099,"AAAAAHe6rqk=")</f>
        <v>#VALUE!</v>
      </c>
      <c r="FO69" t="e">
        <f>AND('Planilla_General_03-12-2012_9_3'!J1099,"AAAAAHe6rqo=")</f>
        <v>#VALUE!</v>
      </c>
      <c r="FP69" t="e">
        <f>AND('Planilla_General_03-12-2012_9_3'!K1099,"AAAAAHe6rqs=")</f>
        <v>#VALUE!</v>
      </c>
      <c r="FQ69" t="e">
        <f>AND('Planilla_General_03-12-2012_9_3'!L1099,"AAAAAHe6rqw=")</f>
        <v>#VALUE!</v>
      </c>
      <c r="FR69" t="e">
        <f>AND('Planilla_General_03-12-2012_9_3'!M1099,"AAAAAHe6rq0=")</f>
        <v>#VALUE!</v>
      </c>
      <c r="FS69" t="e">
        <f>AND('Planilla_General_03-12-2012_9_3'!N1099,"AAAAAHe6rq4=")</f>
        <v>#VALUE!</v>
      </c>
      <c r="FT69" t="e">
        <f>AND('Planilla_General_03-12-2012_9_3'!O1099,"AAAAAHe6rq8=")</f>
        <v>#VALUE!</v>
      </c>
      <c r="FU69">
        <f>IF('Planilla_General_03-12-2012_9_3'!1100:1100,"AAAAAHe6rrA=",0)</f>
        <v>0</v>
      </c>
      <c r="FV69" t="e">
        <f>AND('Planilla_General_03-12-2012_9_3'!A1100,"AAAAAHe6rrE=")</f>
        <v>#VALUE!</v>
      </c>
      <c r="FW69" t="e">
        <f>AND('Planilla_General_03-12-2012_9_3'!B1100,"AAAAAHe6rrI=")</f>
        <v>#VALUE!</v>
      </c>
      <c r="FX69" t="e">
        <f>AND('Planilla_General_03-12-2012_9_3'!C1100,"AAAAAHe6rrM=")</f>
        <v>#VALUE!</v>
      </c>
      <c r="FY69" t="e">
        <f>AND('Planilla_General_03-12-2012_9_3'!D1100,"AAAAAHe6rrQ=")</f>
        <v>#VALUE!</v>
      </c>
      <c r="FZ69" t="e">
        <f>AND('Planilla_General_03-12-2012_9_3'!E1100,"AAAAAHe6rrU=")</f>
        <v>#VALUE!</v>
      </c>
      <c r="GA69" t="e">
        <f>AND('Planilla_General_03-12-2012_9_3'!F1100,"AAAAAHe6rrY=")</f>
        <v>#VALUE!</v>
      </c>
      <c r="GB69" t="e">
        <f>AND('Planilla_General_03-12-2012_9_3'!G1100,"AAAAAHe6rrc=")</f>
        <v>#VALUE!</v>
      </c>
      <c r="GC69" t="e">
        <f>AND('Planilla_General_03-12-2012_9_3'!H1100,"AAAAAHe6rrg=")</f>
        <v>#VALUE!</v>
      </c>
      <c r="GD69" t="e">
        <f>AND('Planilla_General_03-12-2012_9_3'!I1100,"AAAAAHe6rrk=")</f>
        <v>#VALUE!</v>
      </c>
      <c r="GE69" t="e">
        <f>AND('Planilla_General_03-12-2012_9_3'!J1100,"AAAAAHe6rro=")</f>
        <v>#VALUE!</v>
      </c>
      <c r="GF69" t="e">
        <f>AND('Planilla_General_03-12-2012_9_3'!K1100,"AAAAAHe6rrs=")</f>
        <v>#VALUE!</v>
      </c>
      <c r="GG69" t="e">
        <f>AND('Planilla_General_03-12-2012_9_3'!L1100,"AAAAAHe6rrw=")</f>
        <v>#VALUE!</v>
      </c>
      <c r="GH69" t="e">
        <f>AND('Planilla_General_03-12-2012_9_3'!M1100,"AAAAAHe6rr0=")</f>
        <v>#VALUE!</v>
      </c>
      <c r="GI69" t="e">
        <f>AND('Planilla_General_03-12-2012_9_3'!N1100,"AAAAAHe6rr4=")</f>
        <v>#VALUE!</v>
      </c>
      <c r="GJ69" t="e">
        <f>AND('Planilla_General_03-12-2012_9_3'!O1100,"AAAAAHe6rr8=")</f>
        <v>#VALUE!</v>
      </c>
      <c r="GK69">
        <f>IF('Planilla_General_03-12-2012_9_3'!1101:1101,"AAAAAHe6rsA=",0)</f>
        <v>0</v>
      </c>
      <c r="GL69" t="e">
        <f>AND('Planilla_General_03-12-2012_9_3'!A1101,"AAAAAHe6rsE=")</f>
        <v>#VALUE!</v>
      </c>
      <c r="GM69" t="e">
        <f>AND('Planilla_General_03-12-2012_9_3'!B1101,"AAAAAHe6rsI=")</f>
        <v>#VALUE!</v>
      </c>
      <c r="GN69" t="e">
        <f>AND('Planilla_General_03-12-2012_9_3'!C1101,"AAAAAHe6rsM=")</f>
        <v>#VALUE!</v>
      </c>
      <c r="GO69" t="e">
        <f>AND('Planilla_General_03-12-2012_9_3'!D1101,"AAAAAHe6rsQ=")</f>
        <v>#VALUE!</v>
      </c>
      <c r="GP69" t="e">
        <f>AND('Planilla_General_03-12-2012_9_3'!E1101,"AAAAAHe6rsU=")</f>
        <v>#VALUE!</v>
      </c>
      <c r="GQ69" t="e">
        <f>AND('Planilla_General_03-12-2012_9_3'!F1101,"AAAAAHe6rsY=")</f>
        <v>#VALUE!</v>
      </c>
      <c r="GR69" t="e">
        <f>AND('Planilla_General_03-12-2012_9_3'!G1101,"AAAAAHe6rsc=")</f>
        <v>#VALUE!</v>
      </c>
      <c r="GS69" t="e">
        <f>AND('Planilla_General_03-12-2012_9_3'!H1101,"AAAAAHe6rsg=")</f>
        <v>#VALUE!</v>
      </c>
      <c r="GT69" t="e">
        <f>AND('Planilla_General_03-12-2012_9_3'!I1101,"AAAAAHe6rsk=")</f>
        <v>#VALUE!</v>
      </c>
      <c r="GU69" t="e">
        <f>AND('Planilla_General_03-12-2012_9_3'!J1101,"AAAAAHe6rso=")</f>
        <v>#VALUE!</v>
      </c>
      <c r="GV69" t="e">
        <f>AND('Planilla_General_03-12-2012_9_3'!K1101,"AAAAAHe6rss=")</f>
        <v>#VALUE!</v>
      </c>
      <c r="GW69" t="e">
        <f>AND('Planilla_General_03-12-2012_9_3'!L1101,"AAAAAHe6rsw=")</f>
        <v>#VALUE!</v>
      </c>
      <c r="GX69" t="e">
        <f>AND('Planilla_General_03-12-2012_9_3'!M1101,"AAAAAHe6rs0=")</f>
        <v>#VALUE!</v>
      </c>
      <c r="GY69" t="e">
        <f>AND('Planilla_General_03-12-2012_9_3'!N1101,"AAAAAHe6rs4=")</f>
        <v>#VALUE!</v>
      </c>
      <c r="GZ69" t="e">
        <f>AND('Planilla_General_03-12-2012_9_3'!O1101,"AAAAAHe6rs8=")</f>
        <v>#VALUE!</v>
      </c>
      <c r="HA69">
        <f>IF('Planilla_General_03-12-2012_9_3'!1102:1102,"AAAAAHe6rtA=",0)</f>
        <v>0</v>
      </c>
      <c r="HB69" t="e">
        <f>AND('Planilla_General_03-12-2012_9_3'!A1102,"AAAAAHe6rtE=")</f>
        <v>#VALUE!</v>
      </c>
      <c r="HC69" t="e">
        <f>AND('Planilla_General_03-12-2012_9_3'!B1102,"AAAAAHe6rtI=")</f>
        <v>#VALUE!</v>
      </c>
      <c r="HD69" t="e">
        <f>AND('Planilla_General_03-12-2012_9_3'!C1102,"AAAAAHe6rtM=")</f>
        <v>#VALUE!</v>
      </c>
      <c r="HE69" t="e">
        <f>AND('Planilla_General_03-12-2012_9_3'!D1102,"AAAAAHe6rtQ=")</f>
        <v>#VALUE!</v>
      </c>
      <c r="HF69" t="e">
        <f>AND('Planilla_General_03-12-2012_9_3'!E1102,"AAAAAHe6rtU=")</f>
        <v>#VALUE!</v>
      </c>
      <c r="HG69" t="e">
        <f>AND('Planilla_General_03-12-2012_9_3'!F1102,"AAAAAHe6rtY=")</f>
        <v>#VALUE!</v>
      </c>
      <c r="HH69" t="e">
        <f>AND('Planilla_General_03-12-2012_9_3'!G1102,"AAAAAHe6rtc=")</f>
        <v>#VALUE!</v>
      </c>
      <c r="HI69" t="e">
        <f>AND('Planilla_General_03-12-2012_9_3'!H1102,"AAAAAHe6rtg=")</f>
        <v>#VALUE!</v>
      </c>
      <c r="HJ69" t="e">
        <f>AND('Planilla_General_03-12-2012_9_3'!I1102,"AAAAAHe6rtk=")</f>
        <v>#VALUE!</v>
      </c>
      <c r="HK69" t="e">
        <f>AND('Planilla_General_03-12-2012_9_3'!J1102,"AAAAAHe6rto=")</f>
        <v>#VALUE!</v>
      </c>
      <c r="HL69" t="e">
        <f>AND('Planilla_General_03-12-2012_9_3'!K1102,"AAAAAHe6rts=")</f>
        <v>#VALUE!</v>
      </c>
      <c r="HM69" t="e">
        <f>AND('Planilla_General_03-12-2012_9_3'!L1102,"AAAAAHe6rtw=")</f>
        <v>#VALUE!</v>
      </c>
      <c r="HN69" t="e">
        <f>AND('Planilla_General_03-12-2012_9_3'!M1102,"AAAAAHe6rt0=")</f>
        <v>#VALUE!</v>
      </c>
      <c r="HO69" t="e">
        <f>AND('Planilla_General_03-12-2012_9_3'!N1102,"AAAAAHe6rt4=")</f>
        <v>#VALUE!</v>
      </c>
      <c r="HP69" t="e">
        <f>AND('Planilla_General_03-12-2012_9_3'!O1102,"AAAAAHe6rt8=")</f>
        <v>#VALUE!</v>
      </c>
      <c r="HQ69">
        <f>IF('Planilla_General_03-12-2012_9_3'!1103:1103,"AAAAAHe6ruA=",0)</f>
        <v>0</v>
      </c>
      <c r="HR69" t="e">
        <f>AND('Planilla_General_03-12-2012_9_3'!A1103,"AAAAAHe6ruE=")</f>
        <v>#VALUE!</v>
      </c>
      <c r="HS69" t="e">
        <f>AND('Planilla_General_03-12-2012_9_3'!B1103,"AAAAAHe6ruI=")</f>
        <v>#VALUE!</v>
      </c>
      <c r="HT69" t="e">
        <f>AND('Planilla_General_03-12-2012_9_3'!C1103,"AAAAAHe6ruM=")</f>
        <v>#VALUE!</v>
      </c>
      <c r="HU69" t="e">
        <f>AND('Planilla_General_03-12-2012_9_3'!D1103,"AAAAAHe6ruQ=")</f>
        <v>#VALUE!</v>
      </c>
      <c r="HV69" t="e">
        <f>AND('Planilla_General_03-12-2012_9_3'!E1103,"AAAAAHe6ruU=")</f>
        <v>#VALUE!</v>
      </c>
      <c r="HW69" t="e">
        <f>AND('Planilla_General_03-12-2012_9_3'!F1103,"AAAAAHe6ruY=")</f>
        <v>#VALUE!</v>
      </c>
      <c r="HX69" t="e">
        <f>AND('Planilla_General_03-12-2012_9_3'!G1103,"AAAAAHe6ruc=")</f>
        <v>#VALUE!</v>
      </c>
      <c r="HY69" t="e">
        <f>AND('Planilla_General_03-12-2012_9_3'!H1103,"AAAAAHe6rug=")</f>
        <v>#VALUE!</v>
      </c>
      <c r="HZ69" t="e">
        <f>AND('Planilla_General_03-12-2012_9_3'!I1103,"AAAAAHe6ruk=")</f>
        <v>#VALUE!</v>
      </c>
      <c r="IA69" t="e">
        <f>AND('Planilla_General_03-12-2012_9_3'!J1103,"AAAAAHe6ruo=")</f>
        <v>#VALUE!</v>
      </c>
      <c r="IB69" t="e">
        <f>AND('Planilla_General_03-12-2012_9_3'!K1103,"AAAAAHe6rus=")</f>
        <v>#VALUE!</v>
      </c>
      <c r="IC69" t="e">
        <f>AND('Planilla_General_03-12-2012_9_3'!L1103,"AAAAAHe6ruw=")</f>
        <v>#VALUE!</v>
      </c>
      <c r="ID69" t="e">
        <f>AND('Planilla_General_03-12-2012_9_3'!M1103,"AAAAAHe6ru0=")</f>
        <v>#VALUE!</v>
      </c>
      <c r="IE69" t="e">
        <f>AND('Planilla_General_03-12-2012_9_3'!N1103,"AAAAAHe6ru4=")</f>
        <v>#VALUE!</v>
      </c>
      <c r="IF69" t="e">
        <f>AND('Planilla_General_03-12-2012_9_3'!O1103,"AAAAAHe6ru8=")</f>
        <v>#VALUE!</v>
      </c>
      <c r="IG69">
        <f>IF('Planilla_General_03-12-2012_9_3'!1104:1104,"AAAAAHe6rvA=",0)</f>
        <v>0</v>
      </c>
      <c r="IH69" t="e">
        <f>AND('Planilla_General_03-12-2012_9_3'!A1104,"AAAAAHe6rvE=")</f>
        <v>#VALUE!</v>
      </c>
      <c r="II69" t="e">
        <f>AND('Planilla_General_03-12-2012_9_3'!B1104,"AAAAAHe6rvI=")</f>
        <v>#VALUE!</v>
      </c>
      <c r="IJ69" t="e">
        <f>AND('Planilla_General_03-12-2012_9_3'!C1104,"AAAAAHe6rvM=")</f>
        <v>#VALUE!</v>
      </c>
      <c r="IK69" t="e">
        <f>AND('Planilla_General_03-12-2012_9_3'!D1104,"AAAAAHe6rvQ=")</f>
        <v>#VALUE!</v>
      </c>
      <c r="IL69" t="e">
        <f>AND('Planilla_General_03-12-2012_9_3'!E1104,"AAAAAHe6rvU=")</f>
        <v>#VALUE!</v>
      </c>
      <c r="IM69" t="e">
        <f>AND('Planilla_General_03-12-2012_9_3'!F1104,"AAAAAHe6rvY=")</f>
        <v>#VALUE!</v>
      </c>
      <c r="IN69" t="e">
        <f>AND('Planilla_General_03-12-2012_9_3'!G1104,"AAAAAHe6rvc=")</f>
        <v>#VALUE!</v>
      </c>
      <c r="IO69" t="e">
        <f>AND('Planilla_General_03-12-2012_9_3'!H1104,"AAAAAHe6rvg=")</f>
        <v>#VALUE!</v>
      </c>
      <c r="IP69" t="e">
        <f>AND('Planilla_General_03-12-2012_9_3'!I1104,"AAAAAHe6rvk=")</f>
        <v>#VALUE!</v>
      </c>
      <c r="IQ69" t="e">
        <f>AND('Planilla_General_03-12-2012_9_3'!J1104,"AAAAAHe6rvo=")</f>
        <v>#VALUE!</v>
      </c>
      <c r="IR69" t="e">
        <f>AND('Planilla_General_03-12-2012_9_3'!K1104,"AAAAAHe6rvs=")</f>
        <v>#VALUE!</v>
      </c>
      <c r="IS69" t="e">
        <f>AND('Planilla_General_03-12-2012_9_3'!L1104,"AAAAAHe6rvw=")</f>
        <v>#VALUE!</v>
      </c>
      <c r="IT69" t="e">
        <f>AND('Planilla_General_03-12-2012_9_3'!M1104,"AAAAAHe6rv0=")</f>
        <v>#VALUE!</v>
      </c>
      <c r="IU69" t="e">
        <f>AND('Planilla_General_03-12-2012_9_3'!N1104,"AAAAAHe6rv4=")</f>
        <v>#VALUE!</v>
      </c>
      <c r="IV69" t="e">
        <f>AND('Planilla_General_03-12-2012_9_3'!O1104,"AAAAAHe6rv8=")</f>
        <v>#VALUE!</v>
      </c>
    </row>
    <row r="70" spans="1:256" x14ac:dyDescent="0.25">
      <c r="A70" t="e">
        <f>IF('Planilla_General_03-12-2012_9_3'!1105:1105,"AAAAAF/vzwA=",0)</f>
        <v>#VALUE!</v>
      </c>
      <c r="B70" t="e">
        <f>AND('Planilla_General_03-12-2012_9_3'!A1105,"AAAAAF/vzwE=")</f>
        <v>#VALUE!</v>
      </c>
      <c r="C70" t="e">
        <f>AND('Planilla_General_03-12-2012_9_3'!B1105,"AAAAAF/vzwI=")</f>
        <v>#VALUE!</v>
      </c>
      <c r="D70" t="e">
        <f>AND('Planilla_General_03-12-2012_9_3'!C1105,"AAAAAF/vzwM=")</f>
        <v>#VALUE!</v>
      </c>
      <c r="E70" t="e">
        <f>AND('Planilla_General_03-12-2012_9_3'!D1105,"AAAAAF/vzwQ=")</f>
        <v>#VALUE!</v>
      </c>
      <c r="F70" t="e">
        <f>AND('Planilla_General_03-12-2012_9_3'!E1105,"AAAAAF/vzwU=")</f>
        <v>#VALUE!</v>
      </c>
      <c r="G70" t="e">
        <f>AND('Planilla_General_03-12-2012_9_3'!F1105,"AAAAAF/vzwY=")</f>
        <v>#VALUE!</v>
      </c>
      <c r="H70" t="e">
        <f>AND('Planilla_General_03-12-2012_9_3'!G1105,"AAAAAF/vzwc=")</f>
        <v>#VALUE!</v>
      </c>
      <c r="I70" t="e">
        <f>AND('Planilla_General_03-12-2012_9_3'!H1105,"AAAAAF/vzwg=")</f>
        <v>#VALUE!</v>
      </c>
      <c r="J70" t="e">
        <f>AND('Planilla_General_03-12-2012_9_3'!I1105,"AAAAAF/vzwk=")</f>
        <v>#VALUE!</v>
      </c>
      <c r="K70" t="e">
        <f>AND('Planilla_General_03-12-2012_9_3'!J1105,"AAAAAF/vzwo=")</f>
        <v>#VALUE!</v>
      </c>
      <c r="L70" t="e">
        <f>AND('Planilla_General_03-12-2012_9_3'!K1105,"AAAAAF/vzws=")</f>
        <v>#VALUE!</v>
      </c>
      <c r="M70" t="e">
        <f>AND('Planilla_General_03-12-2012_9_3'!L1105,"AAAAAF/vzww=")</f>
        <v>#VALUE!</v>
      </c>
      <c r="N70" t="e">
        <f>AND('Planilla_General_03-12-2012_9_3'!M1105,"AAAAAF/vzw0=")</f>
        <v>#VALUE!</v>
      </c>
      <c r="O70" t="e">
        <f>AND('Planilla_General_03-12-2012_9_3'!N1105,"AAAAAF/vzw4=")</f>
        <v>#VALUE!</v>
      </c>
      <c r="P70" t="e">
        <f>AND('Planilla_General_03-12-2012_9_3'!O1105,"AAAAAF/vzw8=")</f>
        <v>#VALUE!</v>
      </c>
      <c r="Q70">
        <f>IF('Planilla_General_03-12-2012_9_3'!1106:1106,"AAAAAF/vzxA=",0)</f>
        <v>0</v>
      </c>
      <c r="R70" t="e">
        <f>AND('Planilla_General_03-12-2012_9_3'!A1106,"AAAAAF/vzxE=")</f>
        <v>#VALUE!</v>
      </c>
      <c r="S70" t="e">
        <f>AND('Planilla_General_03-12-2012_9_3'!B1106,"AAAAAF/vzxI=")</f>
        <v>#VALUE!</v>
      </c>
      <c r="T70" t="e">
        <f>AND('Planilla_General_03-12-2012_9_3'!C1106,"AAAAAF/vzxM=")</f>
        <v>#VALUE!</v>
      </c>
      <c r="U70" t="e">
        <f>AND('Planilla_General_03-12-2012_9_3'!D1106,"AAAAAF/vzxQ=")</f>
        <v>#VALUE!</v>
      </c>
      <c r="V70" t="e">
        <f>AND('Planilla_General_03-12-2012_9_3'!E1106,"AAAAAF/vzxU=")</f>
        <v>#VALUE!</v>
      </c>
      <c r="W70" t="e">
        <f>AND('Planilla_General_03-12-2012_9_3'!F1106,"AAAAAF/vzxY=")</f>
        <v>#VALUE!</v>
      </c>
      <c r="X70" t="e">
        <f>AND('Planilla_General_03-12-2012_9_3'!G1106,"AAAAAF/vzxc=")</f>
        <v>#VALUE!</v>
      </c>
      <c r="Y70" t="e">
        <f>AND('Planilla_General_03-12-2012_9_3'!H1106,"AAAAAF/vzxg=")</f>
        <v>#VALUE!</v>
      </c>
      <c r="Z70" t="e">
        <f>AND('Planilla_General_03-12-2012_9_3'!I1106,"AAAAAF/vzxk=")</f>
        <v>#VALUE!</v>
      </c>
      <c r="AA70" t="e">
        <f>AND('Planilla_General_03-12-2012_9_3'!J1106,"AAAAAF/vzxo=")</f>
        <v>#VALUE!</v>
      </c>
      <c r="AB70" t="e">
        <f>AND('Planilla_General_03-12-2012_9_3'!K1106,"AAAAAF/vzxs=")</f>
        <v>#VALUE!</v>
      </c>
      <c r="AC70" t="e">
        <f>AND('Planilla_General_03-12-2012_9_3'!L1106,"AAAAAF/vzxw=")</f>
        <v>#VALUE!</v>
      </c>
      <c r="AD70" t="e">
        <f>AND('Planilla_General_03-12-2012_9_3'!M1106,"AAAAAF/vzx0=")</f>
        <v>#VALUE!</v>
      </c>
      <c r="AE70" t="e">
        <f>AND('Planilla_General_03-12-2012_9_3'!N1106,"AAAAAF/vzx4=")</f>
        <v>#VALUE!</v>
      </c>
      <c r="AF70" t="e">
        <f>AND('Planilla_General_03-12-2012_9_3'!O1106,"AAAAAF/vzx8=")</f>
        <v>#VALUE!</v>
      </c>
      <c r="AG70">
        <f>IF('Planilla_General_03-12-2012_9_3'!1107:1107,"AAAAAF/vzyA=",0)</f>
        <v>0</v>
      </c>
      <c r="AH70" t="e">
        <f>AND('Planilla_General_03-12-2012_9_3'!A1107,"AAAAAF/vzyE=")</f>
        <v>#VALUE!</v>
      </c>
      <c r="AI70" t="e">
        <f>AND('Planilla_General_03-12-2012_9_3'!B1107,"AAAAAF/vzyI=")</f>
        <v>#VALUE!</v>
      </c>
      <c r="AJ70" t="e">
        <f>AND('Planilla_General_03-12-2012_9_3'!C1107,"AAAAAF/vzyM=")</f>
        <v>#VALUE!</v>
      </c>
      <c r="AK70" t="e">
        <f>AND('Planilla_General_03-12-2012_9_3'!D1107,"AAAAAF/vzyQ=")</f>
        <v>#VALUE!</v>
      </c>
      <c r="AL70" t="e">
        <f>AND('Planilla_General_03-12-2012_9_3'!E1107,"AAAAAF/vzyU=")</f>
        <v>#VALUE!</v>
      </c>
      <c r="AM70" t="e">
        <f>AND('Planilla_General_03-12-2012_9_3'!F1107,"AAAAAF/vzyY=")</f>
        <v>#VALUE!</v>
      </c>
      <c r="AN70" t="e">
        <f>AND('Planilla_General_03-12-2012_9_3'!G1107,"AAAAAF/vzyc=")</f>
        <v>#VALUE!</v>
      </c>
      <c r="AO70" t="e">
        <f>AND('Planilla_General_03-12-2012_9_3'!H1107,"AAAAAF/vzyg=")</f>
        <v>#VALUE!</v>
      </c>
      <c r="AP70" t="e">
        <f>AND('Planilla_General_03-12-2012_9_3'!I1107,"AAAAAF/vzyk=")</f>
        <v>#VALUE!</v>
      </c>
      <c r="AQ70" t="e">
        <f>AND('Planilla_General_03-12-2012_9_3'!J1107,"AAAAAF/vzyo=")</f>
        <v>#VALUE!</v>
      </c>
      <c r="AR70" t="e">
        <f>AND('Planilla_General_03-12-2012_9_3'!K1107,"AAAAAF/vzys=")</f>
        <v>#VALUE!</v>
      </c>
      <c r="AS70" t="e">
        <f>AND('Planilla_General_03-12-2012_9_3'!L1107,"AAAAAF/vzyw=")</f>
        <v>#VALUE!</v>
      </c>
      <c r="AT70" t="e">
        <f>AND('Planilla_General_03-12-2012_9_3'!M1107,"AAAAAF/vzy0=")</f>
        <v>#VALUE!</v>
      </c>
      <c r="AU70" t="e">
        <f>AND('Planilla_General_03-12-2012_9_3'!N1107,"AAAAAF/vzy4=")</f>
        <v>#VALUE!</v>
      </c>
      <c r="AV70" t="e">
        <f>AND('Planilla_General_03-12-2012_9_3'!O1107,"AAAAAF/vzy8=")</f>
        <v>#VALUE!</v>
      </c>
      <c r="AW70">
        <f>IF('Planilla_General_03-12-2012_9_3'!1108:1108,"AAAAAF/vzzA=",0)</f>
        <v>0</v>
      </c>
      <c r="AX70" t="e">
        <f>AND('Planilla_General_03-12-2012_9_3'!A1108,"AAAAAF/vzzE=")</f>
        <v>#VALUE!</v>
      </c>
      <c r="AY70" t="e">
        <f>AND('Planilla_General_03-12-2012_9_3'!B1108,"AAAAAF/vzzI=")</f>
        <v>#VALUE!</v>
      </c>
      <c r="AZ70" t="e">
        <f>AND('Planilla_General_03-12-2012_9_3'!C1108,"AAAAAF/vzzM=")</f>
        <v>#VALUE!</v>
      </c>
      <c r="BA70" t="e">
        <f>AND('Planilla_General_03-12-2012_9_3'!D1108,"AAAAAF/vzzQ=")</f>
        <v>#VALUE!</v>
      </c>
      <c r="BB70" t="e">
        <f>AND('Planilla_General_03-12-2012_9_3'!E1108,"AAAAAF/vzzU=")</f>
        <v>#VALUE!</v>
      </c>
      <c r="BC70" t="e">
        <f>AND('Planilla_General_03-12-2012_9_3'!F1108,"AAAAAF/vzzY=")</f>
        <v>#VALUE!</v>
      </c>
      <c r="BD70" t="e">
        <f>AND('Planilla_General_03-12-2012_9_3'!G1108,"AAAAAF/vzzc=")</f>
        <v>#VALUE!</v>
      </c>
      <c r="BE70" t="e">
        <f>AND('Planilla_General_03-12-2012_9_3'!H1108,"AAAAAF/vzzg=")</f>
        <v>#VALUE!</v>
      </c>
      <c r="BF70" t="e">
        <f>AND('Planilla_General_03-12-2012_9_3'!I1108,"AAAAAF/vzzk=")</f>
        <v>#VALUE!</v>
      </c>
      <c r="BG70" t="e">
        <f>AND('Planilla_General_03-12-2012_9_3'!J1108,"AAAAAF/vzzo=")</f>
        <v>#VALUE!</v>
      </c>
      <c r="BH70" t="e">
        <f>AND('Planilla_General_03-12-2012_9_3'!K1108,"AAAAAF/vzzs=")</f>
        <v>#VALUE!</v>
      </c>
      <c r="BI70" t="e">
        <f>AND('Planilla_General_03-12-2012_9_3'!L1108,"AAAAAF/vzzw=")</f>
        <v>#VALUE!</v>
      </c>
      <c r="BJ70" t="e">
        <f>AND('Planilla_General_03-12-2012_9_3'!M1108,"AAAAAF/vzz0=")</f>
        <v>#VALUE!</v>
      </c>
      <c r="BK70" t="e">
        <f>AND('Planilla_General_03-12-2012_9_3'!N1108,"AAAAAF/vzz4=")</f>
        <v>#VALUE!</v>
      </c>
      <c r="BL70" t="e">
        <f>AND('Planilla_General_03-12-2012_9_3'!O1108,"AAAAAF/vzz8=")</f>
        <v>#VALUE!</v>
      </c>
      <c r="BM70">
        <f>IF('Planilla_General_03-12-2012_9_3'!1109:1109,"AAAAAF/vz0A=",0)</f>
        <v>0</v>
      </c>
      <c r="BN70" t="e">
        <f>AND('Planilla_General_03-12-2012_9_3'!A1109,"AAAAAF/vz0E=")</f>
        <v>#VALUE!</v>
      </c>
      <c r="BO70" t="e">
        <f>AND('Planilla_General_03-12-2012_9_3'!B1109,"AAAAAF/vz0I=")</f>
        <v>#VALUE!</v>
      </c>
      <c r="BP70" t="e">
        <f>AND('Planilla_General_03-12-2012_9_3'!C1109,"AAAAAF/vz0M=")</f>
        <v>#VALUE!</v>
      </c>
      <c r="BQ70" t="e">
        <f>AND('Planilla_General_03-12-2012_9_3'!D1109,"AAAAAF/vz0Q=")</f>
        <v>#VALUE!</v>
      </c>
      <c r="BR70" t="e">
        <f>AND('Planilla_General_03-12-2012_9_3'!E1109,"AAAAAF/vz0U=")</f>
        <v>#VALUE!</v>
      </c>
      <c r="BS70" t="e">
        <f>AND('Planilla_General_03-12-2012_9_3'!F1109,"AAAAAF/vz0Y=")</f>
        <v>#VALUE!</v>
      </c>
      <c r="BT70" t="e">
        <f>AND('Planilla_General_03-12-2012_9_3'!G1109,"AAAAAF/vz0c=")</f>
        <v>#VALUE!</v>
      </c>
      <c r="BU70" t="e">
        <f>AND('Planilla_General_03-12-2012_9_3'!H1109,"AAAAAF/vz0g=")</f>
        <v>#VALUE!</v>
      </c>
      <c r="BV70" t="e">
        <f>AND('Planilla_General_03-12-2012_9_3'!I1109,"AAAAAF/vz0k=")</f>
        <v>#VALUE!</v>
      </c>
      <c r="BW70" t="e">
        <f>AND('Planilla_General_03-12-2012_9_3'!J1109,"AAAAAF/vz0o=")</f>
        <v>#VALUE!</v>
      </c>
      <c r="BX70" t="e">
        <f>AND('Planilla_General_03-12-2012_9_3'!K1109,"AAAAAF/vz0s=")</f>
        <v>#VALUE!</v>
      </c>
      <c r="BY70" t="e">
        <f>AND('Planilla_General_03-12-2012_9_3'!L1109,"AAAAAF/vz0w=")</f>
        <v>#VALUE!</v>
      </c>
      <c r="BZ70" t="e">
        <f>AND('Planilla_General_03-12-2012_9_3'!M1109,"AAAAAF/vz00=")</f>
        <v>#VALUE!</v>
      </c>
      <c r="CA70" t="e">
        <f>AND('Planilla_General_03-12-2012_9_3'!N1109,"AAAAAF/vz04=")</f>
        <v>#VALUE!</v>
      </c>
      <c r="CB70" t="e">
        <f>AND('Planilla_General_03-12-2012_9_3'!O1109,"AAAAAF/vz08=")</f>
        <v>#VALUE!</v>
      </c>
      <c r="CC70">
        <f>IF('Planilla_General_03-12-2012_9_3'!1110:1110,"AAAAAF/vz1A=",0)</f>
        <v>0</v>
      </c>
      <c r="CD70" t="e">
        <f>AND('Planilla_General_03-12-2012_9_3'!A1110,"AAAAAF/vz1E=")</f>
        <v>#VALUE!</v>
      </c>
      <c r="CE70" t="e">
        <f>AND('Planilla_General_03-12-2012_9_3'!B1110,"AAAAAF/vz1I=")</f>
        <v>#VALUE!</v>
      </c>
      <c r="CF70" t="e">
        <f>AND('Planilla_General_03-12-2012_9_3'!C1110,"AAAAAF/vz1M=")</f>
        <v>#VALUE!</v>
      </c>
      <c r="CG70" t="e">
        <f>AND('Planilla_General_03-12-2012_9_3'!D1110,"AAAAAF/vz1Q=")</f>
        <v>#VALUE!</v>
      </c>
      <c r="CH70" t="e">
        <f>AND('Planilla_General_03-12-2012_9_3'!E1110,"AAAAAF/vz1U=")</f>
        <v>#VALUE!</v>
      </c>
      <c r="CI70" t="e">
        <f>AND('Planilla_General_03-12-2012_9_3'!F1110,"AAAAAF/vz1Y=")</f>
        <v>#VALUE!</v>
      </c>
      <c r="CJ70" t="e">
        <f>AND('Planilla_General_03-12-2012_9_3'!G1110,"AAAAAF/vz1c=")</f>
        <v>#VALUE!</v>
      </c>
      <c r="CK70" t="e">
        <f>AND('Planilla_General_03-12-2012_9_3'!H1110,"AAAAAF/vz1g=")</f>
        <v>#VALUE!</v>
      </c>
      <c r="CL70" t="e">
        <f>AND('Planilla_General_03-12-2012_9_3'!I1110,"AAAAAF/vz1k=")</f>
        <v>#VALUE!</v>
      </c>
      <c r="CM70" t="e">
        <f>AND('Planilla_General_03-12-2012_9_3'!J1110,"AAAAAF/vz1o=")</f>
        <v>#VALUE!</v>
      </c>
      <c r="CN70" t="e">
        <f>AND('Planilla_General_03-12-2012_9_3'!K1110,"AAAAAF/vz1s=")</f>
        <v>#VALUE!</v>
      </c>
      <c r="CO70" t="e">
        <f>AND('Planilla_General_03-12-2012_9_3'!L1110,"AAAAAF/vz1w=")</f>
        <v>#VALUE!</v>
      </c>
      <c r="CP70" t="e">
        <f>AND('Planilla_General_03-12-2012_9_3'!M1110,"AAAAAF/vz10=")</f>
        <v>#VALUE!</v>
      </c>
      <c r="CQ70" t="e">
        <f>AND('Planilla_General_03-12-2012_9_3'!N1110,"AAAAAF/vz14=")</f>
        <v>#VALUE!</v>
      </c>
      <c r="CR70" t="e">
        <f>AND('Planilla_General_03-12-2012_9_3'!O1110,"AAAAAF/vz18=")</f>
        <v>#VALUE!</v>
      </c>
      <c r="CS70">
        <f>IF('Planilla_General_03-12-2012_9_3'!1111:1111,"AAAAAF/vz2A=",0)</f>
        <v>0</v>
      </c>
      <c r="CT70" t="e">
        <f>AND('Planilla_General_03-12-2012_9_3'!A1111,"AAAAAF/vz2E=")</f>
        <v>#VALUE!</v>
      </c>
      <c r="CU70" t="e">
        <f>AND('Planilla_General_03-12-2012_9_3'!B1111,"AAAAAF/vz2I=")</f>
        <v>#VALUE!</v>
      </c>
      <c r="CV70" t="e">
        <f>AND('Planilla_General_03-12-2012_9_3'!C1111,"AAAAAF/vz2M=")</f>
        <v>#VALUE!</v>
      </c>
      <c r="CW70" t="e">
        <f>AND('Planilla_General_03-12-2012_9_3'!D1111,"AAAAAF/vz2Q=")</f>
        <v>#VALUE!</v>
      </c>
      <c r="CX70" t="e">
        <f>AND('Planilla_General_03-12-2012_9_3'!E1111,"AAAAAF/vz2U=")</f>
        <v>#VALUE!</v>
      </c>
      <c r="CY70" t="e">
        <f>AND('Planilla_General_03-12-2012_9_3'!F1111,"AAAAAF/vz2Y=")</f>
        <v>#VALUE!</v>
      </c>
      <c r="CZ70" t="e">
        <f>AND('Planilla_General_03-12-2012_9_3'!G1111,"AAAAAF/vz2c=")</f>
        <v>#VALUE!</v>
      </c>
      <c r="DA70" t="e">
        <f>AND('Planilla_General_03-12-2012_9_3'!H1111,"AAAAAF/vz2g=")</f>
        <v>#VALUE!</v>
      </c>
      <c r="DB70" t="e">
        <f>AND('Planilla_General_03-12-2012_9_3'!I1111,"AAAAAF/vz2k=")</f>
        <v>#VALUE!</v>
      </c>
      <c r="DC70" t="e">
        <f>AND('Planilla_General_03-12-2012_9_3'!J1111,"AAAAAF/vz2o=")</f>
        <v>#VALUE!</v>
      </c>
      <c r="DD70" t="e">
        <f>AND('Planilla_General_03-12-2012_9_3'!K1111,"AAAAAF/vz2s=")</f>
        <v>#VALUE!</v>
      </c>
      <c r="DE70" t="e">
        <f>AND('Planilla_General_03-12-2012_9_3'!L1111,"AAAAAF/vz2w=")</f>
        <v>#VALUE!</v>
      </c>
      <c r="DF70" t="e">
        <f>AND('Planilla_General_03-12-2012_9_3'!M1111,"AAAAAF/vz20=")</f>
        <v>#VALUE!</v>
      </c>
      <c r="DG70" t="e">
        <f>AND('Planilla_General_03-12-2012_9_3'!N1111,"AAAAAF/vz24=")</f>
        <v>#VALUE!</v>
      </c>
      <c r="DH70" t="e">
        <f>AND('Planilla_General_03-12-2012_9_3'!O1111,"AAAAAF/vz28=")</f>
        <v>#VALUE!</v>
      </c>
      <c r="DI70">
        <f>IF('Planilla_General_03-12-2012_9_3'!1112:1112,"AAAAAF/vz3A=",0)</f>
        <v>0</v>
      </c>
      <c r="DJ70" t="e">
        <f>AND('Planilla_General_03-12-2012_9_3'!A1112,"AAAAAF/vz3E=")</f>
        <v>#VALUE!</v>
      </c>
      <c r="DK70" t="e">
        <f>AND('Planilla_General_03-12-2012_9_3'!B1112,"AAAAAF/vz3I=")</f>
        <v>#VALUE!</v>
      </c>
      <c r="DL70" t="e">
        <f>AND('Planilla_General_03-12-2012_9_3'!C1112,"AAAAAF/vz3M=")</f>
        <v>#VALUE!</v>
      </c>
      <c r="DM70" t="e">
        <f>AND('Planilla_General_03-12-2012_9_3'!D1112,"AAAAAF/vz3Q=")</f>
        <v>#VALUE!</v>
      </c>
      <c r="DN70" t="e">
        <f>AND('Planilla_General_03-12-2012_9_3'!E1112,"AAAAAF/vz3U=")</f>
        <v>#VALUE!</v>
      </c>
      <c r="DO70" t="e">
        <f>AND('Planilla_General_03-12-2012_9_3'!F1112,"AAAAAF/vz3Y=")</f>
        <v>#VALUE!</v>
      </c>
      <c r="DP70" t="e">
        <f>AND('Planilla_General_03-12-2012_9_3'!G1112,"AAAAAF/vz3c=")</f>
        <v>#VALUE!</v>
      </c>
      <c r="DQ70" t="e">
        <f>AND('Planilla_General_03-12-2012_9_3'!H1112,"AAAAAF/vz3g=")</f>
        <v>#VALUE!</v>
      </c>
      <c r="DR70" t="e">
        <f>AND('Planilla_General_03-12-2012_9_3'!I1112,"AAAAAF/vz3k=")</f>
        <v>#VALUE!</v>
      </c>
      <c r="DS70" t="e">
        <f>AND('Planilla_General_03-12-2012_9_3'!J1112,"AAAAAF/vz3o=")</f>
        <v>#VALUE!</v>
      </c>
      <c r="DT70" t="e">
        <f>AND('Planilla_General_03-12-2012_9_3'!K1112,"AAAAAF/vz3s=")</f>
        <v>#VALUE!</v>
      </c>
      <c r="DU70" t="e">
        <f>AND('Planilla_General_03-12-2012_9_3'!L1112,"AAAAAF/vz3w=")</f>
        <v>#VALUE!</v>
      </c>
      <c r="DV70" t="e">
        <f>AND('Planilla_General_03-12-2012_9_3'!M1112,"AAAAAF/vz30=")</f>
        <v>#VALUE!</v>
      </c>
      <c r="DW70" t="e">
        <f>AND('Planilla_General_03-12-2012_9_3'!N1112,"AAAAAF/vz34=")</f>
        <v>#VALUE!</v>
      </c>
      <c r="DX70" t="e">
        <f>AND('Planilla_General_03-12-2012_9_3'!O1112,"AAAAAF/vz38=")</f>
        <v>#VALUE!</v>
      </c>
      <c r="DY70">
        <f>IF('Planilla_General_03-12-2012_9_3'!1113:1113,"AAAAAF/vz4A=",0)</f>
        <v>0</v>
      </c>
      <c r="DZ70" t="e">
        <f>AND('Planilla_General_03-12-2012_9_3'!A1113,"AAAAAF/vz4E=")</f>
        <v>#VALUE!</v>
      </c>
      <c r="EA70" t="e">
        <f>AND('Planilla_General_03-12-2012_9_3'!B1113,"AAAAAF/vz4I=")</f>
        <v>#VALUE!</v>
      </c>
      <c r="EB70" t="e">
        <f>AND('Planilla_General_03-12-2012_9_3'!C1113,"AAAAAF/vz4M=")</f>
        <v>#VALUE!</v>
      </c>
      <c r="EC70" t="e">
        <f>AND('Planilla_General_03-12-2012_9_3'!D1113,"AAAAAF/vz4Q=")</f>
        <v>#VALUE!</v>
      </c>
      <c r="ED70" t="e">
        <f>AND('Planilla_General_03-12-2012_9_3'!E1113,"AAAAAF/vz4U=")</f>
        <v>#VALUE!</v>
      </c>
      <c r="EE70" t="e">
        <f>AND('Planilla_General_03-12-2012_9_3'!F1113,"AAAAAF/vz4Y=")</f>
        <v>#VALUE!</v>
      </c>
      <c r="EF70" t="e">
        <f>AND('Planilla_General_03-12-2012_9_3'!G1113,"AAAAAF/vz4c=")</f>
        <v>#VALUE!</v>
      </c>
      <c r="EG70" t="e">
        <f>AND('Planilla_General_03-12-2012_9_3'!H1113,"AAAAAF/vz4g=")</f>
        <v>#VALUE!</v>
      </c>
      <c r="EH70" t="e">
        <f>AND('Planilla_General_03-12-2012_9_3'!I1113,"AAAAAF/vz4k=")</f>
        <v>#VALUE!</v>
      </c>
      <c r="EI70" t="e">
        <f>AND('Planilla_General_03-12-2012_9_3'!J1113,"AAAAAF/vz4o=")</f>
        <v>#VALUE!</v>
      </c>
      <c r="EJ70" t="e">
        <f>AND('Planilla_General_03-12-2012_9_3'!K1113,"AAAAAF/vz4s=")</f>
        <v>#VALUE!</v>
      </c>
      <c r="EK70" t="e">
        <f>AND('Planilla_General_03-12-2012_9_3'!L1113,"AAAAAF/vz4w=")</f>
        <v>#VALUE!</v>
      </c>
      <c r="EL70" t="e">
        <f>AND('Planilla_General_03-12-2012_9_3'!M1113,"AAAAAF/vz40=")</f>
        <v>#VALUE!</v>
      </c>
      <c r="EM70" t="e">
        <f>AND('Planilla_General_03-12-2012_9_3'!N1113,"AAAAAF/vz44=")</f>
        <v>#VALUE!</v>
      </c>
      <c r="EN70" t="e">
        <f>AND('Planilla_General_03-12-2012_9_3'!O1113,"AAAAAF/vz48=")</f>
        <v>#VALUE!</v>
      </c>
      <c r="EO70">
        <f>IF('Planilla_General_03-12-2012_9_3'!1114:1114,"AAAAAF/vz5A=",0)</f>
        <v>0</v>
      </c>
      <c r="EP70" t="e">
        <f>AND('Planilla_General_03-12-2012_9_3'!A1114,"AAAAAF/vz5E=")</f>
        <v>#VALUE!</v>
      </c>
      <c r="EQ70" t="e">
        <f>AND('Planilla_General_03-12-2012_9_3'!B1114,"AAAAAF/vz5I=")</f>
        <v>#VALUE!</v>
      </c>
      <c r="ER70" t="e">
        <f>AND('Planilla_General_03-12-2012_9_3'!C1114,"AAAAAF/vz5M=")</f>
        <v>#VALUE!</v>
      </c>
      <c r="ES70" t="e">
        <f>AND('Planilla_General_03-12-2012_9_3'!D1114,"AAAAAF/vz5Q=")</f>
        <v>#VALUE!</v>
      </c>
      <c r="ET70" t="e">
        <f>AND('Planilla_General_03-12-2012_9_3'!E1114,"AAAAAF/vz5U=")</f>
        <v>#VALUE!</v>
      </c>
      <c r="EU70" t="e">
        <f>AND('Planilla_General_03-12-2012_9_3'!F1114,"AAAAAF/vz5Y=")</f>
        <v>#VALUE!</v>
      </c>
      <c r="EV70" t="e">
        <f>AND('Planilla_General_03-12-2012_9_3'!G1114,"AAAAAF/vz5c=")</f>
        <v>#VALUE!</v>
      </c>
      <c r="EW70" t="e">
        <f>AND('Planilla_General_03-12-2012_9_3'!H1114,"AAAAAF/vz5g=")</f>
        <v>#VALUE!</v>
      </c>
      <c r="EX70" t="e">
        <f>AND('Planilla_General_03-12-2012_9_3'!I1114,"AAAAAF/vz5k=")</f>
        <v>#VALUE!</v>
      </c>
      <c r="EY70" t="e">
        <f>AND('Planilla_General_03-12-2012_9_3'!J1114,"AAAAAF/vz5o=")</f>
        <v>#VALUE!</v>
      </c>
      <c r="EZ70" t="e">
        <f>AND('Planilla_General_03-12-2012_9_3'!K1114,"AAAAAF/vz5s=")</f>
        <v>#VALUE!</v>
      </c>
      <c r="FA70" t="e">
        <f>AND('Planilla_General_03-12-2012_9_3'!L1114,"AAAAAF/vz5w=")</f>
        <v>#VALUE!</v>
      </c>
      <c r="FB70" t="e">
        <f>AND('Planilla_General_03-12-2012_9_3'!M1114,"AAAAAF/vz50=")</f>
        <v>#VALUE!</v>
      </c>
      <c r="FC70" t="e">
        <f>AND('Planilla_General_03-12-2012_9_3'!N1114,"AAAAAF/vz54=")</f>
        <v>#VALUE!</v>
      </c>
      <c r="FD70" t="e">
        <f>AND('Planilla_General_03-12-2012_9_3'!O1114,"AAAAAF/vz58=")</f>
        <v>#VALUE!</v>
      </c>
      <c r="FE70">
        <f>IF('Planilla_General_03-12-2012_9_3'!1115:1115,"AAAAAF/vz6A=",0)</f>
        <v>0</v>
      </c>
      <c r="FF70" t="e">
        <f>AND('Planilla_General_03-12-2012_9_3'!A1115,"AAAAAF/vz6E=")</f>
        <v>#VALUE!</v>
      </c>
      <c r="FG70" t="e">
        <f>AND('Planilla_General_03-12-2012_9_3'!B1115,"AAAAAF/vz6I=")</f>
        <v>#VALUE!</v>
      </c>
      <c r="FH70" t="e">
        <f>AND('Planilla_General_03-12-2012_9_3'!C1115,"AAAAAF/vz6M=")</f>
        <v>#VALUE!</v>
      </c>
      <c r="FI70" t="e">
        <f>AND('Planilla_General_03-12-2012_9_3'!D1115,"AAAAAF/vz6Q=")</f>
        <v>#VALUE!</v>
      </c>
      <c r="FJ70" t="e">
        <f>AND('Planilla_General_03-12-2012_9_3'!E1115,"AAAAAF/vz6U=")</f>
        <v>#VALUE!</v>
      </c>
      <c r="FK70" t="e">
        <f>AND('Planilla_General_03-12-2012_9_3'!F1115,"AAAAAF/vz6Y=")</f>
        <v>#VALUE!</v>
      </c>
      <c r="FL70" t="e">
        <f>AND('Planilla_General_03-12-2012_9_3'!G1115,"AAAAAF/vz6c=")</f>
        <v>#VALUE!</v>
      </c>
      <c r="FM70" t="e">
        <f>AND('Planilla_General_03-12-2012_9_3'!H1115,"AAAAAF/vz6g=")</f>
        <v>#VALUE!</v>
      </c>
      <c r="FN70" t="e">
        <f>AND('Planilla_General_03-12-2012_9_3'!I1115,"AAAAAF/vz6k=")</f>
        <v>#VALUE!</v>
      </c>
      <c r="FO70" t="e">
        <f>AND('Planilla_General_03-12-2012_9_3'!J1115,"AAAAAF/vz6o=")</f>
        <v>#VALUE!</v>
      </c>
      <c r="FP70" t="e">
        <f>AND('Planilla_General_03-12-2012_9_3'!K1115,"AAAAAF/vz6s=")</f>
        <v>#VALUE!</v>
      </c>
      <c r="FQ70" t="e">
        <f>AND('Planilla_General_03-12-2012_9_3'!L1115,"AAAAAF/vz6w=")</f>
        <v>#VALUE!</v>
      </c>
      <c r="FR70" t="e">
        <f>AND('Planilla_General_03-12-2012_9_3'!M1115,"AAAAAF/vz60=")</f>
        <v>#VALUE!</v>
      </c>
      <c r="FS70" t="e">
        <f>AND('Planilla_General_03-12-2012_9_3'!N1115,"AAAAAF/vz64=")</f>
        <v>#VALUE!</v>
      </c>
      <c r="FT70" t="e">
        <f>AND('Planilla_General_03-12-2012_9_3'!O1115,"AAAAAF/vz68=")</f>
        <v>#VALUE!</v>
      </c>
      <c r="FU70">
        <f>IF('Planilla_General_03-12-2012_9_3'!1116:1116,"AAAAAF/vz7A=",0)</f>
        <v>0</v>
      </c>
      <c r="FV70" t="e">
        <f>AND('Planilla_General_03-12-2012_9_3'!A1116,"AAAAAF/vz7E=")</f>
        <v>#VALUE!</v>
      </c>
      <c r="FW70" t="e">
        <f>AND('Planilla_General_03-12-2012_9_3'!B1116,"AAAAAF/vz7I=")</f>
        <v>#VALUE!</v>
      </c>
      <c r="FX70" t="e">
        <f>AND('Planilla_General_03-12-2012_9_3'!C1116,"AAAAAF/vz7M=")</f>
        <v>#VALUE!</v>
      </c>
      <c r="FY70" t="e">
        <f>AND('Planilla_General_03-12-2012_9_3'!D1116,"AAAAAF/vz7Q=")</f>
        <v>#VALUE!</v>
      </c>
      <c r="FZ70" t="e">
        <f>AND('Planilla_General_03-12-2012_9_3'!E1116,"AAAAAF/vz7U=")</f>
        <v>#VALUE!</v>
      </c>
      <c r="GA70" t="e">
        <f>AND('Planilla_General_03-12-2012_9_3'!F1116,"AAAAAF/vz7Y=")</f>
        <v>#VALUE!</v>
      </c>
      <c r="GB70" t="e">
        <f>AND('Planilla_General_03-12-2012_9_3'!G1116,"AAAAAF/vz7c=")</f>
        <v>#VALUE!</v>
      </c>
      <c r="GC70" t="e">
        <f>AND('Planilla_General_03-12-2012_9_3'!H1116,"AAAAAF/vz7g=")</f>
        <v>#VALUE!</v>
      </c>
      <c r="GD70" t="e">
        <f>AND('Planilla_General_03-12-2012_9_3'!I1116,"AAAAAF/vz7k=")</f>
        <v>#VALUE!</v>
      </c>
      <c r="GE70" t="e">
        <f>AND('Planilla_General_03-12-2012_9_3'!J1116,"AAAAAF/vz7o=")</f>
        <v>#VALUE!</v>
      </c>
      <c r="GF70" t="e">
        <f>AND('Planilla_General_03-12-2012_9_3'!K1116,"AAAAAF/vz7s=")</f>
        <v>#VALUE!</v>
      </c>
      <c r="GG70" t="e">
        <f>AND('Planilla_General_03-12-2012_9_3'!L1116,"AAAAAF/vz7w=")</f>
        <v>#VALUE!</v>
      </c>
      <c r="GH70" t="e">
        <f>AND('Planilla_General_03-12-2012_9_3'!M1116,"AAAAAF/vz70=")</f>
        <v>#VALUE!</v>
      </c>
      <c r="GI70" t="e">
        <f>AND('Planilla_General_03-12-2012_9_3'!N1116,"AAAAAF/vz74=")</f>
        <v>#VALUE!</v>
      </c>
      <c r="GJ70" t="e">
        <f>AND('Planilla_General_03-12-2012_9_3'!O1116,"AAAAAF/vz78=")</f>
        <v>#VALUE!</v>
      </c>
      <c r="GK70">
        <f>IF('Planilla_General_03-12-2012_9_3'!1117:1117,"AAAAAF/vz8A=",0)</f>
        <v>0</v>
      </c>
      <c r="GL70" t="e">
        <f>AND('Planilla_General_03-12-2012_9_3'!A1117,"AAAAAF/vz8E=")</f>
        <v>#VALUE!</v>
      </c>
      <c r="GM70" t="e">
        <f>AND('Planilla_General_03-12-2012_9_3'!B1117,"AAAAAF/vz8I=")</f>
        <v>#VALUE!</v>
      </c>
      <c r="GN70" t="e">
        <f>AND('Planilla_General_03-12-2012_9_3'!C1117,"AAAAAF/vz8M=")</f>
        <v>#VALUE!</v>
      </c>
      <c r="GO70" t="e">
        <f>AND('Planilla_General_03-12-2012_9_3'!D1117,"AAAAAF/vz8Q=")</f>
        <v>#VALUE!</v>
      </c>
      <c r="GP70" t="e">
        <f>AND('Planilla_General_03-12-2012_9_3'!E1117,"AAAAAF/vz8U=")</f>
        <v>#VALUE!</v>
      </c>
      <c r="GQ70" t="e">
        <f>AND('Planilla_General_03-12-2012_9_3'!F1117,"AAAAAF/vz8Y=")</f>
        <v>#VALUE!</v>
      </c>
      <c r="GR70" t="e">
        <f>AND('Planilla_General_03-12-2012_9_3'!G1117,"AAAAAF/vz8c=")</f>
        <v>#VALUE!</v>
      </c>
      <c r="GS70" t="e">
        <f>AND('Planilla_General_03-12-2012_9_3'!H1117,"AAAAAF/vz8g=")</f>
        <v>#VALUE!</v>
      </c>
      <c r="GT70" t="e">
        <f>AND('Planilla_General_03-12-2012_9_3'!I1117,"AAAAAF/vz8k=")</f>
        <v>#VALUE!</v>
      </c>
      <c r="GU70" t="e">
        <f>AND('Planilla_General_03-12-2012_9_3'!J1117,"AAAAAF/vz8o=")</f>
        <v>#VALUE!</v>
      </c>
      <c r="GV70" t="e">
        <f>AND('Planilla_General_03-12-2012_9_3'!K1117,"AAAAAF/vz8s=")</f>
        <v>#VALUE!</v>
      </c>
      <c r="GW70" t="e">
        <f>AND('Planilla_General_03-12-2012_9_3'!L1117,"AAAAAF/vz8w=")</f>
        <v>#VALUE!</v>
      </c>
      <c r="GX70" t="e">
        <f>AND('Planilla_General_03-12-2012_9_3'!M1117,"AAAAAF/vz80=")</f>
        <v>#VALUE!</v>
      </c>
      <c r="GY70" t="e">
        <f>AND('Planilla_General_03-12-2012_9_3'!N1117,"AAAAAF/vz84=")</f>
        <v>#VALUE!</v>
      </c>
      <c r="GZ70" t="e">
        <f>AND('Planilla_General_03-12-2012_9_3'!O1117,"AAAAAF/vz88=")</f>
        <v>#VALUE!</v>
      </c>
      <c r="HA70">
        <f>IF('Planilla_General_03-12-2012_9_3'!1118:1118,"AAAAAF/vz9A=",0)</f>
        <v>0</v>
      </c>
      <c r="HB70" t="e">
        <f>AND('Planilla_General_03-12-2012_9_3'!A1118,"AAAAAF/vz9E=")</f>
        <v>#VALUE!</v>
      </c>
      <c r="HC70" t="e">
        <f>AND('Planilla_General_03-12-2012_9_3'!B1118,"AAAAAF/vz9I=")</f>
        <v>#VALUE!</v>
      </c>
      <c r="HD70" t="e">
        <f>AND('Planilla_General_03-12-2012_9_3'!C1118,"AAAAAF/vz9M=")</f>
        <v>#VALUE!</v>
      </c>
      <c r="HE70" t="e">
        <f>AND('Planilla_General_03-12-2012_9_3'!D1118,"AAAAAF/vz9Q=")</f>
        <v>#VALUE!</v>
      </c>
      <c r="HF70" t="e">
        <f>AND('Planilla_General_03-12-2012_9_3'!E1118,"AAAAAF/vz9U=")</f>
        <v>#VALUE!</v>
      </c>
      <c r="HG70" t="e">
        <f>AND('Planilla_General_03-12-2012_9_3'!F1118,"AAAAAF/vz9Y=")</f>
        <v>#VALUE!</v>
      </c>
      <c r="HH70" t="e">
        <f>AND('Planilla_General_03-12-2012_9_3'!G1118,"AAAAAF/vz9c=")</f>
        <v>#VALUE!</v>
      </c>
      <c r="HI70" t="e">
        <f>AND('Planilla_General_03-12-2012_9_3'!H1118,"AAAAAF/vz9g=")</f>
        <v>#VALUE!</v>
      </c>
      <c r="HJ70" t="e">
        <f>AND('Planilla_General_03-12-2012_9_3'!I1118,"AAAAAF/vz9k=")</f>
        <v>#VALUE!</v>
      </c>
      <c r="HK70" t="e">
        <f>AND('Planilla_General_03-12-2012_9_3'!J1118,"AAAAAF/vz9o=")</f>
        <v>#VALUE!</v>
      </c>
      <c r="HL70" t="e">
        <f>AND('Planilla_General_03-12-2012_9_3'!K1118,"AAAAAF/vz9s=")</f>
        <v>#VALUE!</v>
      </c>
      <c r="HM70" t="e">
        <f>AND('Planilla_General_03-12-2012_9_3'!L1118,"AAAAAF/vz9w=")</f>
        <v>#VALUE!</v>
      </c>
      <c r="HN70" t="e">
        <f>AND('Planilla_General_03-12-2012_9_3'!M1118,"AAAAAF/vz90=")</f>
        <v>#VALUE!</v>
      </c>
      <c r="HO70" t="e">
        <f>AND('Planilla_General_03-12-2012_9_3'!N1118,"AAAAAF/vz94=")</f>
        <v>#VALUE!</v>
      </c>
      <c r="HP70" t="e">
        <f>AND('Planilla_General_03-12-2012_9_3'!O1118,"AAAAAF/vz98=")</f>
        <v>#VALUE!</v>
      </c>
      <c r="HQ70">
        <f>IF('Planilla_General_03-12-2012_9_3'!1119:1119,"AAAAAF/vz+A=",0)</f>
        <v>0</v>
      </c>
      <c r="HR70" t="e">
        <f>AND('Planilla_General_03-12-2012_9_3'!A1119,"AAAAAF/vz+E=")</f>
        <v>#VALUE!</v>
      </c>
      <c r="HS70" t="e">
        <f>AND('Planilla_General_03-12-2012_9_3'!B1119,"AAAAAF/vz+I=")</f>
        <v>#VALUE!</v>
      </c>
      <c r="HT70" t="e">
        <f>AND('Planilla_General_03-12-2012_9_3'!C1119,"AAAAAF/vz+M=")</f>
        <v>#VALUE!</v>
      </c>
      <c r="HU70" t="e">
        <f>AND('Planilla_General_03-12-2012_9_3'!D1119,"AAAAAF/vz+Q=")</f>
        <v>#VALUE!</v>
      </c>
      <c r="HV70" t="e">
        <f>AND('Planilla_General_03-12-2012_9_3'!E1119,"AAAAAF/vz+U=")</f>
        <v>#VALUE!</v>
      </c>
      <c r="HW70" t="e">
        <f>AND('Planilla_General_03-12-2012_9_3'!F1119,"AAAAAF/vz+Y=")</f>
        <v>#VALUE!</v>
      </c>
      <c r="HX70" t="e">
        <f>AND('Planilla_General_03-12-2012_9_3'!G1119,"AAAAAF/vz+c=")</f>
        <v>#VALUE!</v>
      </c>
      <c r="HY70" t="e">
        <f>AND('Planilla_General_03-12-2012_9_3'!H1119,"AAAAAF/vz+g=")</f>
        <v>#VALUE!</v>
      </c>
      <c r="HZ70" t="e">
        <f>AND('Planilla_General_03-12-2012_9_3'!I1119,"AAAAAF/vz+k=")</f>
        <v>#VALUE!</v>
      </c>
      <c r="IA70" t="e">
        <f>AND('Planilla_General_03-12-2012_9_3'!J1119,"AAAAAF/vz+o=")</f>
        <v>#VALUE!</v>
      </c>
      <c r="IB70" t="e">
        <f>AND('Planilla_General_03-12-2012_9_3'!K1119,"AAAAAF/vz+s=")</f>
        <v>#VALUE!</v>
      </c>
      <c r="IC70" t="e">
        <f>AND('Planilla_General_03-12-2012_9_3'!L1119,"AAAAAF/vz+w=")</f>
        <v>#VALUE!</v>
      </c>
      <c r="ID70" t="e">
        <f>AND('Planilla_General_03-12-2012_9_3'!M1119,"AAAAAF/vz+0=")</f>
        <v>#VALUE!</v>
      </c>
      <c r="IE70" t="e">
        <f>AND('Planilla_General_03-12-2012_9_3'!N1119,"AAAAAF/vz+4=")</f>
        <v>#VALUE!</v>
      </c>
      <c r="IF70" t="e">
        <f>AND('Planilla_General_03-12-2012_9_3'!O1119,"AAAAAF/vz+8=")</f>
        <v>#VALUE!</v>
      </c>
      <c r="IG70">
        <f>IF('Planilla_General_03-12-2012_9_3'!1120:1120,"AAAAAF/vz/A=",0)</f>
        <v>0</v>
      </c>
      <c r="IH70" t="e">
        <f>AND('Planilla_General_03-12-2012_9_3'!A1120,"AAAAAF/vz/E=")</f>
        <v>#VALUE!</v>
      </c>
      <c r="II70" t="e">
        <f>AND('Planilla_General_03-12-2012_9_3'!B1120,"AAAAAF/vz/I=")</f>
        <v>#VALUE!</v>
      </c>
      <c r="IJ70" t="e">
        <f>AND('Planilla_General_03-12-2012_9_3'!C1120,"AAAAAF/vz/M=")</f>
        <v>#VALUE!</v>
      </c>
      <c r="IK70" t="e">
        <f>AND('Planilla_General_03-12-2012_9_3'!D1120,"AAAAAF/vz/Q=")</f>
        <v>#VALUE!</v>
      </c>
      <c r="IL70" t="e">
        <f>AND('Planilla_General_03-12-2012_9_3'!E1120,"AAAAAF/vz/U=")</f>
        <v>#VALUE!</v>
      </c>
      <c r="IM70" t="e">
        <f>AND('Planilla_General_03-12-2012_9_3'!F1120,"AAAAAF/vz/Y=")</f>
        <v>#VALUE!</v>
      </c>
      <c r="IN70" t="e">
        <f>AND('Planilla_General_03-12-2012_9_3'!G1120,"AAAAAF/vz/c=")</f>
        <v>#VALUE!</v>
      </c>
      <c r="IO70" t="e">
        <f>AND('Planilla_General_03-12-2012_9_3'!H1120,"AAAAAF/vz/g=")</f>
        <v>#VALUE!</v>
      </c>
      <c r="IP70" t="e">
        <f>AND('Planilla_General_03-12-2012_9_3'!I1120,"AAAAAF/vz/k=")</f>
        <v>#VALUE!</v>
      </c>
      <c r="IQ70" t="e">
        <f>AND('Planilla_General_03-12-2012_9_3'!J1120,"AAAAAF/vz/o=")</f>
        <v>#VALUE!</v>
      </c>
      <c r="IR70" t="e">
        <f>AND('Planilla_General_03-12-2012_9_3'!K1120,"AAAAAF/vz/s=")</f>
        <v>#VALUE!</v>
      </c>
      <c r="IS70" t="e">
        <f>AND('Planilla_General_03-12-2012_9_3'!L1120,"AAAAAF/vz/w=")</f>
        <v>#VALUE!</v>
      </c>
      <c r="IT70" t="e">
        <f>AND('Planilla_General_03-12-2012_9_3'!M1120,"AAAAAF/vz/0=")</f>
        <v>#VALUE!</v>
      </c>
      <c r="IU70" t="e">
        <f>AND('Planilla_General_03-12-2012_9_3'!N1120,"AAAAAF/vz/4=")</f>
        <v>#VALUE!</v>
      </c>
      <c r="IV70" t="e">
        <f>AND('Planilla_General_03-12-2012_9_3'!O1120,"AAAAAF/vz/8=")</f>
        <v>#VALUE!</v>
      </c>
    </row>
    <row r="71" spans="1:256" x14ac:dyDescent="0.25">
      <c r="A71" t="e">
        <f>IF('Planilla_General_03-12-2012_9_3'!1121:1121,"AAAAAH29+wA=",0)</f>
        <v>#VALUE!</v>
      </c>
      <c r="B71" t="e">
        <f>AND('Planilla_General_03-12-2012_9_3'!A1121,"AAAAAH29+wE=")</f>
        <v>#VALUE!</v>
      </c>
      <c r="C71" t="e">
        <f>AND('Planilla_General_03-12-2012_9_3'!B1121,"AAAAAH29+wI=")</f>
        <v>#VALUE!</v>
      </c>
      <c r="D71" t="e">
        <f>AND('Planilla_General_03-12-2012_9_3'!C1121,"AAAAAH29+wM=")</f>
        <v>#VALUE!</v>
      </c>
      <c r="E71" t="e">
        <f>AND('Planilla_General_03-12-2012_9_3'!D1121,"AAAAAH29+wQ=")</f>
        <v>#VALUE!</v>
      </c>
      <c r="F71" t="e">
        <f>AND('Planilla_General_03-12-2012_9_3'!E1121,"AAAAAH29+wU=")</f>
        <v>#VALUE!</v>
      </c>
      <c r="G71" t="e">
        <f>AND('Planilla_General_03-12-2012_9_3'!F1121,"AAAAAH29+wY=")</f>
        <v>#VALUE!</v>
      </c>
      <c r="H71" t="e">
        <f>AND('Planilla_General_03-12-2012_9_3'!G1121,"AAAAAH29+wc=")</f>
        <v>#VALUE!</v>
      </c>
      <c r="I71" t="e">
        <f>AND('Planilla_General_03-12-2012_9_3'!H1121,"AAAAAH29+wg=")</f>
        <v>#VALUE!</v>
      </c>
      <c r="J71" t="e">
        <f>AND('Planilla_General_03-12-2012_9_3'!I1121,"AAAAAH29+wk=")</f>
        <v>#VALUE!</v>
      </c>
      <c r="K71" t="e">
        <f>AND('Planilla_General_03-12-2012_9_3'!J1121,"AAAAAH29+wo=")</f>
        <v>#VALUE!</v>
      </c>
      <c r="L71" t="e">
        <f>AND('Planilla_General_03-12-2012_9_3'!K1121,"AAAAAH29+ws=")</f>
        <v>#VALUE!</v>
      </c>
      <c r="M71" t="e">
        <f>AND('Planilla_General_03-12-2012_9_3'!L1121,"AAAAAH29+ww=")</f>
        <v>#VALUE!</v>
      </c>
      <c r="N71" t="e">
        <f>AND('Planilla_General_03-12-2012_9_3'!M1121,"AAAAAH29+w0=")</f>
        <v>#VALUE!</v>
      </c>
      <c r="O71" t="e">
        <f>AND('Planilla_General_03-12-2012_9_3'!N1121,"AAAAAH29+w4=")</f>
        <v>#VALUE!</v>
      </c>
      <c r="P71" t="e">
        <f>AND('Planilla_General_03-12-2012_9_3'!O1121,"AAAAAH29+w8=")</f>
        <v>#VALUE!</v>
      </c>
      <c r="Q71">
        <f>IF('Planilla_General_03-12-2012_9_3'!1122:1122,"AAAAAH29+xA=",0)</f>
        <v>0</v>
      </c>
      <c r="R71" t="e">
        <f>AND('Planilla_General_03-12-2012_9_3'!A1122,"AAAAAH29+xE=")</f>
        <v>#VALUE!</v>
      </c>
      <c r="S71" t="e">
        <f>AND('Planilla_General_03-12-2012_9_3'!B1122,"AAAAAH29+xI=")</f>
        <v>#VALUE!</v>
      </c>
      <c r="T71" t="e">
        <f>AND('Planilla_General_03-12-2012_9_3'!C1122,"AAAAAH29+xM=")</f>
        <v>#VALUE!</v>
      </c>
      <c r="U71" t="e">
        <f>AND('Planilla_General_03-12-2012_9_3'!D1122,"AAAAAH29+xQ=")</f>
        <v>#VALUE!</v>
      </c>
      <c r="V71" t="e">
        <f>AND('Planilla_General_03-12-2012_9_3'!E1122,"AAAAAH29+xU=")</f>
        <v>#VALUE!</v>
      </c>
      <c r="W71" t="e">
        <f>AND('Planilla_General_03-12-2012_9_3'!F1122,"AAAAAH29+xY=")</f>
        <v>#VALUE!</v>
      </c>
      <c r="X71" t="e">
        <f>AND('Planilla_General_03-12-2012_9_3'!G1122,"AAAAAH29+xc=")</f>
        <v>#VALUE!</v>
      </c>
      <c r="Y71" t="e">
        <f>AND('Planilla_General_03-12-2012_9_3'!H1122,"AAAAAH29+xg=")</f>
        <v>#VALUE!</v>
      </c>
      <c r="Z71" t="e">
        <f>AND('Planilla_General_03-12-2012_9_3'!I1122,"AAAAAH29+xk=")</f>
        <v>#VALUE!</v>
      </c>
      <c r="AA71" t="e">
        <f>AND('Planilla_General_03-12-2012_9_3'!J1122,"AAAAAH29+xo=")</f>
        <v>#VALUE!</v>
      </c>
      <c r="AB71" t="e">
        <f>AND('Planilla_General_03-12-2012_9_3'!K1122,"AAAAAH29+xs=")</f>
        <v>#VALUE!</v>
      </c>
      <c r="AC71" t="e">
        <f>AND('Planilla_General_03-12-2012_9_3'!L1122,"AAAAAH29+xw=")</f>
        <v>#VALUE!</v>
      </c>
      <c r="AD71" t="e">
        <f>AND('Planilla_General_03-12-2012_9_3'!M1122,"AAAAAH29+x0=")</f>
        <v>#VALUE!</v>
      </c>
      <c r="AE71" t="e">
        <f>AND('Planilla_General_03-12-2012_9_3'!N1122,"AAAAAH29+x4=")</f>
        <v>#VALUE!</v>
      </c>
      <c r="AF71" t="e">
        <f>AND('Planilla_General_03-12-2012_9_3'!O1122,"AAAAAH29+x8=")</f>
        <v>#VALUE!</v>
      </c>
      <c r="AG71">
        <f>IF('Planilla_General_03-12-2012_9_3'!1123:1123,"AAAAAH29+yA=",0)</f>
        <v>0</v>
      </c>
      <c r="AH71" t="e">
        <f>AND('Planilla_General_03-12-2012_9_3'!A1123,"AAAAAH29+yE=")</f>
        <v>#VALUE!</v>
      </c>
      <c r="AI71" t="e">
        <f>AND('Planilla_General_03-12-2012_9_3'!B1123,"AAAAAH29+yI=")</f>
        <v>#VALUE!</v>
      </c>
      <c r="AJ71" t="e">
        <f>AND('Planilla_General_03-12-2012_9_3'!C1123,"AAAAAH29+yM=")</f>
        <v>#VALUE!</v>
      </c>
      <c r="AK71" t="e">
        <f>AND('Planilla_General_03-12-2012_9_3'!D1123,"AAAAAH29+yQ=")</f>
        <v>#VALUE!</v>
      </c>
      <c r="AL71" t="e">
        <f>AND('Planilla_General_03-12-2012_9_3'!E1123,"AAAAAH29+yU=")</f>
        <v>#VALUE!</v>
      </c>
      <c r="AM71" t="e">
        <f>AND('Planilla_General_03-12-2012_9_3'!F1123,"AAAAAH29+yY=")</f>
        <v>#VALUE!</v>
      </c>
      <c r="AN71" t="e">
        <f>AND('Planilla_General_03-12-2012_9_3'!G1123,"AAAAAH29+yc=")</f>
        <v>#VALUE!</v>
      </c>
      <c r="AO71" t="e">
        <f>AND('Planilla_General_03-12-2012_9_3'!H1123,"AAAAAH29+yg=")</f>
        <v>#VALUE!</v>
      </c>
      <c r="AP71" t="e">
        <f>AND('Planilla_General_03-12-2012_9_3'!I1123,"AAAAAH29+yk=")</f>
        <v>#VALUE!</v>
      </c>
      <c r="AQ71" t="e">
        <f>AND('Planilla_General_03-12-2012_9_3'!J1123,"AAAAAH29+yo=")</f>
        <v>#VALUE!</v>
      </c>
      <c r="AR71" t="e">
        <f>AND('Planilla_General_03-12-2012_9_3'!K1123,"AAAAAH29+ys=")</f>
        <v>#VALUE!</v>
      </c>
      <c r="AS71" t="e">
        <f>AND('Planilla_General_03-12-2012_9_3'!L1123,"AAAAAH29+yw=")</f>
        <v>#VALUE!</v>
      </c>
      <c r="AT71" t="e">
        <f>AND('Planilla_General_03-12-2012_9_3'!M1123,"AAAAAH29+y0=")</f>
        <v>#VALUE!</v>
      </c>
      <c r="AU71" t="e">
        <f>AND('Planilla_General_03-12-2012_9_3'!N1123,"AAAAAH29+y4=")</f>
        <v>#VALUE!</v>
      </c>
      <c r="AV71" t="e">
        <f>AND('Planilla_General_03-12-2012_9_3'!O1123,"AAAAAH29+y8=")</f>
        <v>#VALUE!</v>
      </c>
      <c r="AW71">
        <f>IF('Planilla_General_03-12-2012_9_3'!1124:1124,"AAAAAH29+zA=",0)</f>
        <v>0</v>
      </c>
      <c r="AX71" t="e">
        <f>AND('Planilla_General_03-12-2012_9_3'!A1124,"AAAAAH29+zE=")</f>
        <v>#VALUE!</v>
      </c>
      <c r="AY71" t="e">
        <f>AND('Planilla_General_03-12-2012_9_3'!B1124,"AAAAAH29+zI=")</f>
        <v>#VALUE!</v>
      </c>
      <c r="AZ71" t="e">
        <f>AND('Planilla_General_03-12-2012_9_3'!C1124,"AAAAAH29+zM=")</f>
        <v>#VALUE!</v>
      </c>
      <c r="BA71" t="e">
        <f>AND('Planilla_General_03-12-2012_9_3'!D1124,"AAAAAH29+zQ=")</f>
        <v>#VALUE!</v>
      </c>
      <c r="BB71" t="e">
        <f>AND('Planilla_General_03-12-2012_9_3'!E1124,"AAAAAH29+zU=")</f>
        <v>#VALUE!</v>
      </c>
      <c r="BC71" t="e">
        <f>AND('Planilla_General_03-12-2012_9_3'!F1124,"AAAAAH29+zY=")</f>
        <v>#VALUE!</v>
      </c>
      <c r="BD71" t="e">
        <f>AND('Planilla_General_03-12-2012_9_3'!G1124,"AAAAAH29+zc=")</f>
        <v>#VALUE!</v>
      </c>
      <c r="BE71" t="e">
        <f>AND('Planilla_General_03-12-2012_9_3'!H1124,"AAAAAH29+zg=")</f>
        <v>#VALUE!</v>
      </c>
      <c r="BF71" t="e">
        <f>AND('Planilla_General_03-12-2012_9_3'!I1124,"AAAAAH29+zk=")</f>
        <v>#VALUE!</v>
      </c>
      <c r="BG71" t="e">
        <f>AND('Planilla_General_03-12-2012_9_3'!J1124,"AAAAAH29+zo=")</f>
        <v>#VALUE!</v>
      </c>
      <c r="BH71" t="e">
        <f>AND('Planilla_General_03-12-2012_9_3'!K1124,"AAAAAH29+zs=")</f>
        <v>#VALUE!</v>
      </c>
      <c r="BI71" t="e">
        <f>AND('Planilla_General_03-12-2012_9_3'!L1124,"AAAAAH29+zw=")</f>
        <v>#VALUE!</v>
      </c>
      <c r="BJ71" t="e">
        <f>AND('Planilla_General_03-12-2012_9_3'!M1124,"AAAAAH29+z0=")</f>
        <v>#VALUE!</v>
      </c>
      <c r="BK71" t="e">
        <f>AND('Planilla_General_03-12-2012_9_3'!N1124,"AAAAAH29+z4=")</f>
        <v>#VALUE!</v>
      </c>
      <c r="BL71" t="e">
        <f>AND('Planilla_General_03-12-2012_9_3'!O1124,"AAAAAH29+z8=")</f>
        <v>#VALUE!</v>
      </c>
      <c r="BM71">
        <f>IF('Planilla_General_03-12-2012_9_3'!1125:1125,"AAAAAH29+0A=",0)</f>
        <v>0</v>
      </c>
      <c r="BN71" t="e">
        <f>AND('Planilla_General_03-12-2012_9_3'!A1125,"AAAAAH29+0E=")</f>
        <v>#VALUE!</v>
      </c>
      <c r="BO71" t="e">
        <f>AND('Planilla_General_03-12-2012_9_3'!B1125,"AAAAAH29+0I=")</f>
        <v>#VALUE!</v>
      </c>
      <c r="BP71" t="e">
        <f>AND('Planilla_General_03-12-2012_9_3'!C1125,"AAAAAH29+0M=")</f>
        <v>#VALUE!</v>
      </c>
      <c r="BQ71" t="e">
        <f>AND('Planilla_General_03-12-2012_9_3'!D1125,"AAAAAH29+0Q=")</f>
        <v>#VALUE!</v>
      </c>
      <c r="BR71" t="e">
        <f>AND('Planilla_General_03-12-2012_9_3'!E1125,"AAAAAH29+0U=")</f>
        <v>#VALUE!</v>
      </c>
      <c r="BS71" t="e">
        <f>AND('Planilla_General_03-12-2012_9_3'!F1125,"AAAAAH29+0Y=")</f>
        <v>#VALUE!</v>
      </c>
      <c r="BT71" t="e">
        <f>AND('Planilla_General_03-12-2012_9_3'!G1125,"AAAAAH29+0c=")</f>
        <v>#VALUE!</v>
      </c>
      <c r="BU71" t="e">
        <f>AND('Planilla_General_03-12-2012_9_3'!H1125,"AAAAAH29+0g=")</f>
        <v>#VALUE!</v>
      </c>
      <c r="BV71" t="e">
        <f>AND('Planilla_General_03-12-2012_9_3'!I1125,"AAAAAH29+0k=")</f>
        <v>#VALUE!</v>
      </c>
      <c r="BW71" t="e">
        <f>AND('Planilla_General_03-12-2012_9_3'!J1125,"AAAAAH29+0o=")</f>
        <v>#VALUE!</v>
      </c>
      <c r="BX71" t="e">
        <f>AND('Planilla_General_03-12-2012_9_3'!K1125,"AAAAAH29+0s=")</f>
        <v>#VALUE!</v>
      </c>
      <c r="BY71" t="e">
        <f>AND('Planilla_General_03-12-2012_9_3'!L1125,"AAAAAH29+0w=")</f>
        <v>#VALUE!</v>
      </c>
      <c r="BZ71" t="e">
        <f>AND('Planilla_General_03-12-2012_9_3'!M1125,"AAAAAH29+00=")</f>
        <v>#VALUE!</v>
      </c>
      <c r="CA71" t="e">
        <f>AND('Planilla_General_03-12-2012_9_3'!N1125,"AAAAAH29+04=")</f>
        <v>#VALUE!</v>
      </c>
      <c r="CB71" t="e">
        <f>AND('Planilla_General_03-12-2012_9_3'!O1125,"AAAAAH29+08=")</f>
        <v>#VALUE!</v>
      </c>
      <c r="CC71">
        <f>IF('Planilla_General_03-12-2012_9_3'!1126:1126,"AAAAAH29+1A=",0)</f>
        <v>0</v>
      </c>
      <c r="CD71" t="e">
        <f>AND('Planilla_General_03-12-2012_9_3'!A1126,"AAAAAH29+1E=")</f>
        <v>#VALUE!</v>
      </c>
      <c r="CE71" t="e">
        <f>AND('Planilla_General_03-12-2012_9_3'!B1126,"AAAAAH29+1I=")</f>
        <v>#VALUE!</v>
      </c>
      <c r="CF71" t="e">
        <f>AND('Planilla_General_03-12-2012_9_3'!C1126,"AAAAAH29+1M=")</f>
        <v>#VALUE!</v>
      </c>
      <c r="CG71" t="e">
        <f>AND('Planilla_General_03-12-2012_9_3'!D1126,"AAAAAH29+1Q=")</f>
        <v>#VALUE!</v>
      </c>
      <c r="CH71" t="e">
        <f>AND('Planilla_General_03-12-2012_9_3'!E1126,"AAAAAH29+1U=")</f>
        <v>#VALUE!</v>
      </c>
      <c r="CI71" t="e">
        <f>AND('Planilla_General_03-12-2012_9_3'!F1126,"AAAAAH29+1Y=")</f>
        <v>#VALUE!</v>
      </c>
      <c r="CJ71" t="e">
        <f>AND('Planilla_General_03-12-2012_9_3'!G1126,"AAAAAH29+1c=")</f>
        <v>#VALUE!</v>
      </c>
      <c r="CK71" t="e">
        <f>AND('Planilla_General_03-12-2012_9_3'!H1126,"AAAAAH29+1g=")</f>
        <v>#VALUE!</v>
      </c>
      <c r="CL71" t="e">
        <f>AND('Planilla_General_03-12-2012_9_3'!I1126,"AAAAAH29+1k=")</f>
        <v>#VALUE!</v>
      </c>
      <c r="CM71" t="e">
        <f>AND('Planilla_General_03-12-2012_9_3'!J1126,"AAAAAH29+1o=")</f>
        <v>#VALUE!</v>
      </c>
      <c r="CN71" t="e">
        <f>AND('Planilla_General_03-12-2012_9_3'!K1126,"AAAAAH29+1s=")</f>
        <v>#VALUE!</v>
      </c>
      <c r="CO71" t="e">
        <f>AND('Planilla_General_03-12-2012_9_3'!L1126,"AAAAAH29+1w=")</f>
        <v>#VALUE!</v>
      </c>
      <c r="CP71" t="e">
        <f>AND('Planilla_General_03-12-2012_9_3'!M1126,"AAAAAH29+10=")</f>
        <v>#VALUE!</v>
      </c>
      <c r="CQ71" t="e">
        <f>AND('Planilla_General_03-12-2012_9_3'!N1126,"AAAAAH29+14=")</f>
        <v>#VALUE!</v>
      </c>
      <c r="CR71" t="e">
        <f>AND('Planilla_General_03-12-2012_9_3'!O1126,"AAAAAH29+18=")</f>
        <v>#VALUE!</v>
      </c>
      <c r="CS71">
        <f>IF('Planilla_General_03-12-2012_9_3'!1127:1127,"AAAAAH29+2A=",0)</f>
        <v>0</v>
      </c>
      <c r="CT71" t="e">
        <f>AND('Planilla_General_03-12-2012_9_3'!A1127,"AAAAAH29+2E=")</f>
        <v>#VALUE!</v>
      </c>
      <c r="CU71" t="e">
        <f>AND('Planilla_General_03-12-2012_9_3'!B1127,"AAAAAH29+2I=")</f>
        <v>#VALUE!</v>
      </c>
      <c r="CV71" t="e">
        <f>AND('Planilla_General_03-12-2012_9_3'!C1127,"AAAAAH29+2M=")</f>
        <v>#VALUE!</v>
      </c>
      <c r="CW71" t="e">
        <f>AND('Planilla_General_03-12-2012_9_3'!D1127,"AAAAAH29+2Q=")</f>
        <v>#VALUE!</v>
      </c>
      <c r="CX71" t="e">
        <f>AND('Planilla_General_03-12-2012_9_3'!E1127,"AAAAAH29+2U=")</f>
        <v>#VALUE!</v>
      </c>
      <c r="CY71" t="e">
        <f>AND('Planilla_General_03-12-2012_9_3'!F1127,"AAAAAH29+2Y=")</f>
        <v>#VALUE!</v>
      </c>
      <c r="CZ71" t="e">
        <f>AND('Planilla_General_03-12-2012_9_3'!G1127,"AAAAAH29+2c=")</f>
        <v>#VALUE!</v>
      </c>
      <c r="DA71" t="e">
        <f>AND('Planilla_General_03-12-2012_9_3'!H1127,"AAAAAH29+2g=")</f>
        <v>#VALUE!</v>
      </c>
      <c r="DB71" t="e">
        <f>AND('Planilla_General_03-12-2012_9_3'!I1127,"AAAAAH29+2k=")</f>
        <v>#VALUE!</v>
      </c>
      <c r="DC71" t="e">
        <f>AND('Planilla_General_03-12-2012_9_3'!J1127,"AAAAAH29+2o=")</f>
        <v>#VALUE!</v>
      </c>
      <c r="DD71" t="e">
        <f>AND('Planilla_General_03-12-2012_9_3'!K1127,"AAAAAH29+2s=")</f>
        <v>#VALUE!</v>
      </c>
      <c r="DE71" t="e">
        <f>AND('Planilla_General_03-12-2012_9_3'!L1127,"AAAAAH29+2w=")</f>
        <v>#VALUE!</v>
      </c>
      <c r="DF71" t="e">
        <f>AND('Planilla_General_03-12-2012_9_3'!M1127,"AAAAAH29+20=")</f>
        <v>#VALUE!</v>
      </c>
      <c r="DG71" t="e">
        <f>AND('Planilla_General_03-12-2012_9_3'!N1127,"AAAAAH29+24=")</f>
        <v>#VALUE!</v>
      </c>
      <c r="DH71" t="e">
        <f>AND('Planilla_General_03-12-2012_9_3'!O1127,"AAAAAH29+28=")</f>
        <v>#VALUE!</v>
      </c>
      <c r="DI71">
        <f>IF('Planilla_General_03-12-2012_9_3'!1128:1128,"AAAAAH29+3A=",0)</f>
        <v>0</v>
      </c>
      <c r="DJ71" t="e">
        <f>AND('Planilla_General_03-12-2012_9_3'!A1128,"AAAAAH29+3E=")</f>
        <v>#VALUE!</v>
      </c>
      <c r="DK71" t="e">
        <f>AND('Planilla_General_03-12-2012_9_3'!B1128,"AAAAAH29+3I=")</f>
        <v>#VALUE!</v>
      </c>
      <c r="DL71" t="e">
        <f>AND('Planilla_General_03-12-2012_9_3'!C1128,"AAAAAH29+3M=")</f>
        <v>#VALUE!</v>
      </c>
      <c r="DM71" t="e">
        <f>AND('Planilla_General_03-12-2012_9_3'!D1128,"AAAAAH29+3Q=")</f>
        <v>#VALUE!</v>
      </c>
      <c r="DN71" t="e">
        <f>AND('Planilla_General_03-12-2012_9_3'!E1128,"AAAAAH29+3U=")</f>
        <v>#VALUE!</v>
      </c>
      <c r="DO71" t="e">
        <f>AND('Planilla_General_03-12-2012_9_3'!F1128,"AAAAAH29+3Y=")</f>
        <v>#VALUE!</v>
      </c>
      <c r="DP71" t="e">
        <f>AND('Planilla_General_03-12-2012_9_3'!G1128,"AAAAAH29+3c=")</f>
        <v>#VALUE!</v>
      </c>
      <c r="DQ71" t="e">
        <f>AND('Planilla_General_03-12-2012_9_3'!H1128,"AAAAAH29+3g=")</f>
        <v>#VALUE!</v>
      </c>
      <c r="DR71" t="e">
        <f>AND('Planilla_General_03-12-2012_9_3'!I1128,"AAAAAH29+3k=")</f>
        <v>#VALUE!</v>
      </c>
      <c r="DS71" t="e">
        <f>AND('Planilla_General_03-12-2012_9_3'!J1128,"AAAAAH29+3o=")</f>
        <v>#VALUE!</v>
      </c>
      <c r="DT71" t="e">
        <f>AND('Planilla_General_03-12-2012_9_3'!K1128,"AAAAAH29+3s=")</f>
        <v>#VALUE!</v>
      </c>
      <c r="DU71" t="e">
        <f>AND('Planilla_General_03-12-2012_9_3'!L1128,"AAAAAH29+3w=")</f>
        <v>#VALUE!</v>
      </c>
      <c r="DV71" t="e">
        <f>AND('Planilla_General_03-12-2012_9_3'!M1128,"AAAAAH29+30=")</f>
        <v>#VALUE!</v>
      </c>
      <c r="DW71" t="e">
        <f>AND('Planilla_General_03-12-2012_9_3'!N1128,"AAAAAH29+34=")</f>
        <v>#VALUE!</v>
      </c>
      <c r="DX71" t="e">
        <f>AND('Planilla_General_03-12-2012_9_3'!O1128,"AAAAAH29+38=")</f>
        <v>#VALUE!</v>
      </c>
      <c r="DY71">
        <f>IF('Planilla_General_03-12-2012_9_3'!1129:1129,"AAAAAH29+4A=",0)</f>
        <v>0</v>
      </c>
      <c r="DZ71" t="e">
        <f>AND('Planilla_General_03-12-2012_9_3'!A1129,"AAAAAH29+4E=")</f>
        <v>#VALUE!</v>
      </c>
      <c r="EA71" t="e">
        <f>AND('Planilla_General_03-12-2012_9_3'!B1129,"AAAAAH29+4I=")</f>
        <v>#VALUE!</v>
      </c>
      <c r="EB71" t="e">
        <f>AND('Planilla_General_03-12-2012_9_3'!C1129,"AAAAAH29+4M=")</f>
        <v>#VALUE!</v>
      </c>
      <c r="EC71" t="e">
        <f>AND('Planilla_General_03-12-2012_9_3'!D1129,"AAAAAH29+4Q=")</f>
        <v>#VALUE!</v>
      </c>
      <c r="ED71" t="e">
        <f>AND('Planilla_General_03-12-2012_9_3'!E1129,"AAAAAH29+4U=")</f>
        <v>#VALUE!</v>
      </c>
      <c r="EE71" t="e">
        <f>AND('Planilla_General_03-12-2012_9_3'!F1129,"AAAAAH29+4Y=")</f>
        <v>#VALUE!</v>
      </c>
      <c r="EF71" t="e">
        <f>AND('Planilla_General_03-12-2012_9_3'!G1129,"AAAAAH29+4c=")</f>
        <v>#VALUE!</v>
      </c>
      <c r="EG71" t="e">
        <f>AND('Planilla_General_03-12-2012_9_3'!H1129,"AAAAAH29+4g=")</f>
        <v>#VALUE!</v>
      </c>
      <c r="EH71" t="e">
        <f>AND('Planilla_General_03-12-2012_9_3'!I1129,"AAAAAH29+4k=")</f>
        <v>#VALUE!</v>
      </c>
      <c r="EI71" t="e">
        <f>AND('Planilla_General_03-12-2012_9_3'!J1129,"AAAAAH29+4o=")</f>
        <v>#VALUE!</v>
      </c>
      <c r="EJ71" t="e">
        <f>AND('Planilla_General_03-12-2012_9_3'!K1129,"AAAAAH29+4s=")</f>
        <v>#VALUE!</v>
      </c>
      <c r="EK71" t="e">
        <f>AND('Planilla_General_03-12-2012_9_3'!L1129,"AAAAAH29+4w=")</f>
        <v>#VALUE!</v>
      </c>
      <c r="EL71" t="e">
        <f>AND('Planilla_General_03-12-2012_9_3'!M1129,"AAAAAH29+40=")</f>
        <v>#VALUE!</v>
      </c>
      <c r="EM71" t="e">
        <f>AND('Planilla_General_03-12-2012_9_3'!N1129,"AAAAAH29+44=")</f>
        <v>#VALUE!</v>
      </c>
      <c r="EN71" t="e">
        <f>AND('Planilla_General_03-12-2012_9_3'!O1129,"AAAAAH29+48=")</f>
        <v>#VALUE!</v>
      </c>
      <c r="EO71">
        <f>IF('Planilla_General_03-12-2012_9_3'!1130:1130,"AAAAAH29+5A=",0)</f>
        <v>0</v>
      </c>
      <c r="EP71" t="e">
        <f>AND('Planilla_General_03-12-2012_9_3'!A1130,"AAAAAH29+5E=")</f>
        <v>#VALUE!</v>
      </c>
      <c r="EQ71" t="e">
        <f>AND('Planilla_General_03-12-2012_9_3'!B1130,"AAAAAH29+5I=")</f>
        <v>#VALUE!</v>
      </c>
      <c r="ER71" t="e">
        <f>AND('Planilla_General_03-12-2012_9_3'!C1130,"AAAAAH29+5M=")</f>
        <v>#VALUE!</v>
      </c>
      <c r="ES71" t="e">
        <f>AND('Planilla_General_03-12-2012_9_3'!D1130,"AAAAAH29+5Q=")</f>
        <v>#VALUE!</v>
      </c>
      <c r="ET71" t="e">
        <f>AND('Planilla_General_03-12-2012_9_3'!E1130,"AAAAAH29+5U=")</f>
        <v>#VALUE!</v>
      </c>
      <c r="EU71" t="e">
        <f>AND('Planilla_General_03-12-2012_9_3'!F1130,"AAAAAH29+5Y=")</f>
        <v>#VALUE!</v>
      </c>
      <c r="EV71" t="e">
        <f>AND('Planilla_General_03-12-2012_9_3'!G1130,"AAAAAH29+5c=")</f>
        <v>#VALUE!</v>
      </c>
      <c r="EW71" t="e">
        <f>AND('Planilla_General_03-12-2012_9_3'!H1130,"AAAAAH29+5g=")</f>
        <v>#VALUE!</v>
      </c>
      <c r="EX71" t="e">
        <f>AND('Planilla_General_03-12-2012_9_3'!I1130,"AAAAAH29+5k=")</f>
        <v>#VALUE!</v>
      </c>
      <c r="EY71" t="e">
        <f>AND('Planilla_General_03-12-2012_9_3'!J1130,"AAAAAH29+5o=")</f>
        <v>#VALUE!</v>
      </c>
      <c r="EZ71" t="e">
        <f>AND('Planilla_General_03-12-2012_9_3'!K1130,"AAAAAH29+5s=")</f>
        <v>#VALUE!</v>
      </c>
      <c r="FA71" t="e">
        <f>AND('Planilla_General_03-12-2012_9_3'!L1130,"AAAAAH29+5w=")</f>
        <v>#VALUE!</v>
      </c>
      <c r="FB71" t="e">
        <f>AND('Planilla_General_03-12-2012_9_3'!M1130,"AAAAAH29+50=")</f>
        <v>#VALUE!</v>
      </c>
      <c r="FC71" t="e">
        <f>AND('Planilla_General_03-12-2012_9_3'!N1130,"AAAAAH29+54=")</f>
        <v>#VALUE!</v>
      </c>
      <c r="FD71" t="e">
        <f>AND('Planilla_General_03-12-2012_9_3'!O1130,"AAAAAH29+58=")</f>
        <v>#VALUE!</v>
      </c>
      <c r="FE71">
        <f>IF('Planilla_General_03-12-2012_9_3'!1131:1131,"AAAAAH29+6A=",0)</f>
        <v>0</v>
      </c>
      <c r="FF71" t="e">
        <f>AND('Planilla_General_03-12-2012_9_3'!A1131,"AAAAAH29+6E=")</f>
        <v>#VALUE!</v>
      </c>
      <c r="FG71" t="e">
        <f>AND('Planilla_General_03-12-2012_9_3'!B1131,"AAAAAH29+6I=")</f>
        <v>#VALUE!</v>
      </c>
      <c r="FH71" t="e">
        <f>AND('Planilla_General_03-12-2012_9_3'!C1131,"AAAAAH29+6M=")</f>
        <v>#VALUE!</v>
      </c>
      <c r="FI71" t="e">
        <f>AND('Planilla_General_03-12-2012_9_3'!D1131,"AAAAAH29+6Q=")</f>
        <v>#VALUE!</v>
      </c>
      <c r="FJ71" t="e">
        <f>AND('Planilla_General_03-12-2012_9_3'!E1131,"AAAAAH29+6U=")</f>
        <v>#VALUE!</v>
      </c>
      <c r="FK71" t="e">
        <f>AND('Planilla_General_03-12-2012_9_3'!F1131,"AAAAAH29+6Y=")</f>
        <v>#VALUE!</v>
      </c>
      <c r="FL71" t="e">
        <f>AND('Planilla_General_03-12-2012_9_3'!G1131,"AAAAAH29+6c=")</f>
        <v>#VALUE!</v>
      </c>
      <c r="FM71" t="e">
        <f>AND('Planilla_General_03-12-2012_9_3'!H1131,"AAAAAH29+6g=")</f>
        <v>#VALUE!</v>
      </c>
      <c r="FN71" t="e">
        <f>AND('Planilla_General_03-12-2012_9_3'!I1131,"AAAAAH29+6k=")</f>
        <v>#VALUE!</v>
      </c>
      <c r="FO71" t="e">
        <f>AND('Planilla_General_03-12-2012_9_3'!J1131,"AAAAAH29+6o=")</f>
        <v>#VALUE!</v>
      </c>
      <c r="FP71" t="e">
        <f>AND('Planilla_General_03-12-2012_9_3'!K1131,"AAAAAH29+6s=")</f>
        <v>#VALUE!</v>
      </c>
      <c r="FQ71" t="e">
        <f>AND('Planilla_General_03-12-2012_9_3'!L1131,"AAAAAH29+6w=")</f>
        <v>#VALUE!</v>
      </c>
      <c r="FR71" t="e">
        <f>AND('Planilla_General_03-12-2012_9_3'!M1131,"AAAAAH29+60=")</f>
        <v>#VALUE!</v>
      </c>
      <c r="FS71" t="e">
        <f>AND('Planilla_General_03-12-2012_9_3'!N1131,"AAAAAH29+64=")</f>
        <v>#VALUE!</v>
      </c>
      <c r="FT71" t="e">
        <f>AND('Planilla_General_03-12-2012_9_3'!O1131,"AAAAAH29+68=")</f>
        <v>#VALUE!</v>
      </c>
      <c r="FU71">
        <f>IF('Planilla_General_03-12-2012_9_3'!1132:1132,"AAAAAH29+7A=",0)</f>
        <v>0</v>
      </c>
      <c r="FV71" t="e">
        <f>AND('Planilla_General_03-12-2012_9_3'!A1132,"AAAAAH29+7E=")</f>
        <v>#VALUE!</v>
      </c>
      <c r="FW71" t="e">
        <f>AND('Planilla_General_03-12-2012_9_3'!B1132,"AAAAAH29+7I=")</f>
        <v>#VALUE!</v>
      </c>
      <c r="FX71" t="e">
        <f>AND('Planilla_General_03-12-2012_9_3'!C1132,"AAAAAH29+7M=")</f>
        <v>#VALUE!</v>
      </c>
      <c r="FY71" t="e">
        <f>AND('Planilla_General_03-12-2012_9_3'!D1132,"AAAAAH29+7Q=")</f>
        <v>#VALUE!</v>
      </c>
      <c r="FZ71" t="e">
        <f>AND('Planilla_General_03-12-2012_9_3'!E1132,"AAAAAH29+7U=")</f>
        <v>#VALUE!</v>
      </c>
      <c r="GA71" t="e">
        <f>AND('Planilla_General_03-12-2012_9_3'!F1132,"AAAAAH29+7Y=")</f>
        <v>#VALUE!</v>
      </c>
      <c r="GB71" t="e">
        <f>AND('Planilla_General_03-12-2012_9_3'!G1132,"AAAAAH29+7c=")</f>
        <v>#VALUE!</v>
      </c>
      <c r="GC71" t="e">
        <f>AND('Planilla_General_03-12-2012_9_3'!H1132,"AAAAAH29+7g=")</f>
        <v>#VALUE!</v>
      </c>
      <c r="GD71" t="e">
        <f>AND('Planilla_General_03-12-2012_9_3'!I1132,"AAAAAH29+7k=")</f>
        <v>#VALUE!</v>
      </c>
      <c r="GE71" t="e">
        <f>AND('Planilla_General_03-12-2012_9_3'!J1132,"AAAAAH29+7o=")</f>
        <v>#VALUE!</v>
      </c>
      <c r="GF71" t="e">
        <f>AND('Planilla_General_03-12-2012_9_3'!K1132,"AAAAAH29+7s=")</f>
        <v>#VALUE!</v>
      </c>
      <c r="GG71" t="e">
        <f>AND('Planilla_General_03-12-2012_9_3'!L1132,"AAAAAH29+7w=")</f>
        <v>#VALUE!</v>
      </c>
      <c r="GH71" t="e">
        <f>AND('Planilla_General_03-12-2012_9_3'!M1132,"AAAAAH29+70=")</f>
        <v>#VALUE!</v>
      </c>
      <c r="GI71" t="e">
        <f>AND('Planilla_General_03-12-2012_9_3'!N1132,"AAAAAH29+74=")</f>
        <v>#VALUE!</v>
      </c>
      <c r="GJ71" t="e">
        <f>AND('Planilla_General_03-12-2012_9_3'!O1132,"AAAAAH29+78=")</f>
        <v>#VALUE!</v>
      </c>
      <c r="GK71">
        <f>IF('Planilla_General_03-12-2012_9_3'!1133:1133,"AAAAAH29+8A=",0)</f>
        <v>0</v>
      </c>
      <c r="GL71" t="e">
        <f>AND('Planilla_General_03-12-2012_9_3'!A1133,"AAAAAH29+8E=")</f>
        <v>#VALUE!</v>
      </c>
      <c r="GM71" t="e">
        <f>AND('Planilla_General_03-12-2012_9_3'!B1133,"AAAAAH29+8I=")</f>
        <v>#VALUE!</v>
      </c>
      <c r="GN71" t="e">
        <f>AND('Planilla_General_03-12-2012_9_3'!C1133,"AAAAAH29+8M=")</f>
        <v>#VALUE!</v>
      </c>
      <c r="GO71" t="e">
        <f>AND('Planilla_General_03-12-2012_9_3'!D1133,"AAAAAH29+8Q=")</f>
        <v>#VALUE!</v>
      </c>
      <c r="GP71" t="e">
        <f>AND('Planilla_General_03-12-2012_9_3'!E1133,"AAAAAH29+8U=")</f>
        <v>#VALUE!</v>
      </c>
      <c r="GQ71" t="e">
        <f>AND('Planilla_General_03-12-2012_9_3'!F1133,"AAAAAH29+8Y=")</f>
        <v>#VALUE!</v>
      </c>
      <c r="GR71" t="e">
        <f>AND('Planilla_General_03-12-2012_9_3'!G1133,"AAAAAH29+8c=")</f>
        <v>#VALUE!</v>
      </c>
      <c r="GS71" t="e">
        <f>AND('Planilla_General_03-12-2012_9_3'!H1133,"AAAAAH29+8g=")</f>
        <v>#VALUE!</v>
      </c>
      <c r="GT71" t="e">
        <f>AND('Planilla_General_03-12-2012_9_3'!I1133,"AAAAAH29+8k=")</f>
        <v>#VALUE!</v>
      </c>
      <c r="GU71" t="e">
        <f>AND('Planilla_General_03-12-2012_9_3'!J1133,"AAAAAH29+8o=")</f>
        <v>#VALUE!</v>
      </c>
      <c r="GV71" t="e">
        <f>AND('Planilla_General_03-12-2012_9_3'!K1133,"AAAAAH29+8s=")</f>
        <v>#VALUE!</v>
      </c>
      <c r="GW71" t="e">
        <f>AND('Planilla_General_03-12-2012_9_3'!L1133,"AAAAAH29+8w=")</f>
        <v>#VALUE!</v>
      </c>
      <c r="GX71" t="e">
        <f>AND('Planilla_General_03-12-2012_9_3'!M1133,"AAAAAH29+80=")</f>
        <v>#VALUE!</v>
      </c>
      <c r="GY71" t="e">
        <f>AND('Planilla_General_03-12-2012_9_3'!N1133,"AAAAAH29+84=")</f>
        <v>#VALUE!</v>
      </c>
      <c r="GZ71" t="e">
        <f>AND('Planilla_General_03-12-2012_9_3'!O1133,"AAAAAH29+88=")</f>
        <v>#VALUE!</v>
      </c>
      <c r="HA71">
        <f>IF('Planilla_General_03-12-2012_9_3'!1134:1134,"AAAAAH29+9A=",0)</f>
        <v>0</v>
      </c>
      <c r="HB71" t="e">
        <f>AND('Planilla_General_03-12-2012_9_3'!A1134,"AAAAAH29+9E=")</f>
        <v>#VALUE!</v>
      </c>
      <c r="HC71" t="e">
        <f>AND('Planilla_General_03-12-2012_9_3'!B1134,"AAAAAH29+9I=")</f>
        <v>#VALUE!</v>
      </c>
      <c r="HD71" t="e">
        <f>AND('Planilla_General_03-12-2012_9_3'!C1134,"AAAAAH29+9M=")</f>
        <v>#VALUE!</v>
      </c>
      <c r="HE71" t="e">
        <f>AND('Planilla_General_03-12-2012_9_3'!D1134,"AAAAAH29+9Q=")</f>
        <v>#VALUE!</v>
      </c>
      <c r="HF71" t="e">
        <f>AND('Planilla_General_03-12-2012_9_3'!E1134,"AAAAAH29+9U=")</f>
        <v>#VALUE!</v>
      </c>
      <c r="HG71" t="e">
        <f>AND('Planilla_General_03-12-2012_9_3'!F1134,"AAAAAH29+9Y=")</f>
        <v>#VALUE!</v>
      </c>
      <c r="HH71" t="e">
        <f>AND('Planilla_General_03-12-2012_9_3'!G1134,"AAAAAH29+9c=")</f>
        <v>#VALUE!</v>
      </c>
      <c r="HI71" t="e">
        <f>AND('Planilla_General_03-12-2012_9_3'!H1134,"AAAAAH29+9g=")</f>
        <v>#VALUE!</v>
      </c>
      <c r="HJ71" t="e">
        <f>AND('Planilla_General_03-12-2012_9_3'!I1134,"AAAAAH29+9k=")</f>
        <v>#VALUE!</v>
      </c>
      <c r="HK71" t="e">
        <f>AND('Planilla_General_03-12-2012_9_3'!J1134,"AAAAAH29+9o=")</f>
        <v>#VALUE!</v>
      </c>
      <c r="HL71" t="e">
        <f>AND('Planilla_General_03-12-2012_9_3'!K1134,"AAAAAH29+9s=")</f>
        <v>#VALUE!</v>
      </c>
      <c r="HM71" t="e">
        <f>AND('Planilla_General_03-12-2012_9_3'!L1134,"AAAAAH29+9w=")</f>
        <v>#VALUE!</v>
      </c>
      <c r="HN71" t="e">
        <f>AND('Planilla_General_03-12-2012_9_3'!M1134,"AAAAAH29+90=")</f>
        <v>#VALUE!</v>
      </c>
      <c r="HO71" t="e">
        <f>AND('Planilla_General_03-12-2012_9_3'!N1134,"AAAAAH29+94=")</f>
        <v>#VALUE!</v>
      </c>
      <c r="HP71" t="e">
        <f>AND('Planilla_General_03-12-2012_9_3'!O1134,"AAAAAH29+98=")</f>
        <v>#VALUE!</v>
      </c>
      <c r="HQ71">
        <f>IF('Planilla_General_03-12-2012_9_3'!1135:1135,"AAAAAH29++A=",0)</f>
        <v>0</v>
      </c>
      <c r="HR71" t="e">
        <f>AND('Planilla_General_03-12-2012_9_3'!A1135,"AAAAAH29++E=")</f>
        <v>#VALUE!</v>
      </c>
      <c r="HS71" t="e">
        <f>AND('Planilla_General_03-12-2012_9_3'!B1135,"AAAAAH29++I=")</f>
        <v>#VALUE!</v>
      </c>
      <c r="HT71" t="e">
        <f>AND('Planilla_General_03-12-2012_9_3'!C1135,"AAAAAH29++M=")</f>
        <v>#VALUE!</v>
      </c>
      <c r="HU71" t="e">
        <f>AND('Planilla_General_03-12-2012_9_3'!D1135,"AAAAAH29++Q=")</f>
        <v>#VALUE!</v>
      </c>
      <c r="HV71" t="e">
        <f>AND('Planilla_General_03-12-2012_9_3'!E1135,"AAAAAH29++U=")</f>
        <v>#VALUE!</v>
      </c>
      <c r="HW71" t="e">
        <f>AND('Planilla_General_03-12-2012_9_3'!F1135,"AAAAAH29++Y=")</f>
        <v>#VALUE!</v>
      </c>
      <c r="HX71" t="e">
        <f>AND('Planilla_General_03-12-2012_9_3'!G1135,"AAAAAH29++c=")</f>
        <v>#VALUE!</v>
      </c>
      <c r="HY71" t="e">
        <f>AND('Planilla_General_03-12-2012_9_3'!H1135,"AAAAAH29++g=")</f>
        <v>#VALUE!</v>
      </c>
      <c r="HZ71" t="e">
        <f>AND('Planilla_General_03-12-2012_9_3'!I1135,"AAAAAH29++k=")</f>
        <v>#VALUE!</v>
      </c>
      <c r="IA71" t="e">
        <f>AND('Planilla_General_03-12-2012_9_3'!J1135,"AAAAAH29++o=")</f>
        <v>#VALUE!</v>
      </c>
      <c r="IB71" t="e">
        <f>AND('Planilla_General_03-12-2012_9_3'!K1135,"AAAAAH29++s=")</f>
        <v>#VALUE!</v>
      </c>
      <c r="IC71" t="e">
        <f>AND('Planilla_General_03-12-2012_9_3'!L1135,"AAAAAH29++w=")</f>
        <v>#VALUE!</v>
      </c>
      <c r="ID71" t="e">
        <f>AND('Planilla_General_03-12-2012_9_3'!M1135,"AAAAAH29++0=")</f>
        <v>#VALUE!</v>
      </c>
      <c r="IE71" t="e">
        <f>AND('Planilla_General_03-12-2012_9_3'!N1135,"AAAAAH29++4=")</f>
        <v>#VALUE!</v>
      </c>
      <c r="IF71" t="e">
        <f>AND('Planilla_General_03-12-2012_9_3'!O1135,"AAAAAH29++8=")</f>
        <v>#VALUE!</v>
      </c>
      <c r="IG71">
        <f>IF('Planilla_General_03-12-2012_9_3'!1136:1136,"AAAAAH29+/A=",0)</f>
        <v>0</v>
      </c>
      <c r="IH71" t="e">
        <f>AND('Planilla_General_03-12-2012_9_3'!A1136,"AAAAAH29+/E=")</f>
        <v>#VALUE!</v>
      </c>
      <c r="II71" t="e">
        <f>AND('Planilla_General_03-12-2012_9_3'!B1136,"AAAAAH29+/I=")</f>
        <v>#VALUE!</v>
      </c>
      <c r="IJ71" t="e">
        <f>AND('Planilla_General_03-12-2012_9_3'!C1136,"AAAAAH29+/M=")</f>
        <v>#VALUE!</v>
      </c>
      <c r="IK71" t="e">
        <f>AND('Planilla_General_03-12-2012_9_3'!D1136,"AAAAAH29+/Q=")</f>
        <v>#VALUE!</v>
      </c>
      <c r="IL71" t="e">
        <f>AND('Planilla_General_03-12-2012_9_3'!E1136,"AAAAAH29+/U=")</f>
        <v>#VALUE!</v>
      </c>
      <c r="IM71" t="e">
        <f>AND('Planilla_General_03-12-2012_9_3'!F1136,"AAAAAH29+/Y=")</f>
        <v>#VALUE!</v>
      </c>
      <c r="IN71" t="e">
        <f>AND('Planilla_General_03-12-2012_9_3'!G1136,"AAAAAH29+/c=")</f>
        <v>#VALUE!</v>
      </c>
      <c r="IO71" t="e">
        <f>AND('Planilla_General_03-12-2012_9_3'!H1136,"AAAAAH29+/g=")</f>
        <v>#VALUE!</v>
      </c>
      <c r="IP71" t="e">
        <f>AND('Planilla_General_03-12-2012_9_3'!I1136,"AAAAAH29+/k=")</f>
        <v>#VALUE!</v>
      </c>
      <c r="IQ71" t="e">
        <f>AND('Planilla_General_03-12-2012_9_3'!J1136,"AAAAAH29+/o=")</f>
        <v>#VALUE!</v>
      </c>
      <c r="IR71" t="e">
        <f>AND('Planilla_General_03-12-2012_9_3'!K1136,"AAAAAH29+/s=")</f>
        <v>#VALUE!</v>
      </c>
      <c r="IS71" t="e">
        <f>AND('Planilla_General_03-12-2012_9_3'!L1136,"AAAAAH29+/w=")</f>
        <v>#VALUE!</v>
      </c>
      <c r="IT71" t="e">
        <f>AND('Planilla_General_03-12-2012_9_3'!M1136,"AAAAAH29+/0=")</f>
        <v>#VALUE!</v>
      </c>
      <c r="IU71" t="e">
        <f>AND('Planilla_General_03-12-2012_9_3'!N1136,"AAAAAH29+/4=")</f>
        <v>#VALUE!</v>
      </c>
      <c r="IV71" t="e">
        <f>AND('Planilla_General_03-12-2012_9_3'!O1136,"AAAAAH29+/8=")</f>
        <v>#VALUE!</v>
      </c>
    </row>
    <row r="72" spans="1:256" x14ac:dyDescent="0.25">
      <c r="A72" t="e">
        <f>IF('Planilla_General_03-12-2012_9_3'!1137:1137,"AAAAAG/r/QA=",0)</f>
        <v>#VALUE!</v>
      </c>
      <c r="B72" t="e">
        <f>AND('Planilla_General_03-12-2012_9_3'!A1137,"AAAAAG/r/QE=")</f>
        <v>#VALUE!</v>
      </c>
      <c r="C72" t="e">
        <f>AND('Planilla_General_03-12-2012_9_3'!B1137,"AAAAAG/r/QI=")</f>
        <v>#VALUE!</v>
      </c>
      <c r="D72" t="e">
        <f>AND('Planilla_General_03-12-2012_9_3'!C1137,"AAAAAG/r/QM=")</f>
        <v>#VALUE!</v>
      </c>
      <c r="E72" t="e">
        <f>AND('Planilla_General_03-12-2012_9_3'!D1137,"AAAAAG/r/QQ=")</f>
        <v>#VALUE!</v>
      </c>
      <c r="F72" t="e">
        <f>AND('Planilla_General_03-12-2012_9_3'!E1137,"AAAAAG/r/QU=")</f>
        <v>#VALUE!</v>
      </c>
      <c r="G72" t="e">
        <f>AND('Planilla_General_03-12-2012_9_3'!F1137,"AAAAAG/r/QY=")</f>
        <v>#VALUE!</v>
      </c>
      <c r="H72" t="e">
        <f>AND('Planilla_General_03-12-2012_9_3'!G1137,"AAAAAG/r/Qc=")</f>
        <v>#VALUE!</v>
      </c>
      <c r="I72" t="e">
        <f>AND('Planilla_General_03-12-2012_9_3'!H1137,"AAAAAG/r/Qg=")</f>
        <v>#VALUE!</v>
      </c>
      <c r="J72" t="e">
        <f>AND('Planilla_General_03-12-2012_9_3'!I1137,"AAAAAG/r/Qk=")</f>
        <v>#VALUE!</v>
      </c>
      <c r="K72" t="e">
        <f>AND('Planilla_General_03-12-2012_9_3'!J1137,"AAAAAG/r/Qo=")</f>
        <v>#VALUE!</v>
      </c>
      <c r="L72" t="e">
        <f>AND('Planilla_General_03-12-2012_9_3'!K1137,"AAAAAG/r/Qs=")</f>
        <v>#VALUE!</v>
      </c>
      <c r="M72" t="e">
        <f>AND('Planilla_General_03-12-2012_9_3'!L1137,"AAAAAG/r/Qw=")</f>
        <v>#VALUE!</v>
      </c>
      <c r="N72" t="e">
        <f>AND('Planilla_General_03-12-2012_9_3'!M1137,"AAAAAG/r/Q0=")</f>
        <v>#VALUE!</v>
      </c>
      <c r="O72" t="e">
        <f>AND('Planilla_General_03-12-2012_9_3'!N1137,"AAAAAG/r/Q4=")</f>
        <v>#VALUE!</v>
      </c>
      <c r="P72" t="e">
        <f>AND('Planilla_General_03-12-2012_9_3'!O1137,"AAAAAG/r/Q8=")</f>
        <v>#VALUE!</v>
      </c>
      <c r="Q72">
        <f>IF('Planilla_General_03-12-2012_9_3'!1138:1138,"AAAAAG/r/RA=",0)</f>
        <v>0</v>
      </c>
      <c r="R72" t="e">
        <f>AND('Planilla_General_03-12-2012_9_3'!A1138,"AAAAAG/r/RE=")</f>
        <v>#VALUE!</v>
      </c>
      <c r="S72" t="e">
        <f>AND('Planilla_General_03-12-2012_9_3'!B1138,"AAAAAG/r/RI=")</f>
        <v>#VALUE!</v>
      </c>
      <c r="T72" t="e">
        <f>AND('Planilla_General_03-12-2012_9_3'!C1138,"AAAAAG/r/RM=")</f>
        <v>#VALUE!</v>
      </c>
      <c r="U72" t="e">
        <f>AND('Planilla_General_03-12-2012_9_3'!D1138,"AAAAAG/r/RQ=")</f>
        <v>#VALUE!</v>
      </c>
      <c r="V72" t="e">
        <f>AND('Planilla_General_03-12-2012_9_3'!E1138,"AAAAAG/r/RU=")</f>
        <v>#VALUE!</v>
      </c>
      <c r="W72" t="e">
        <f>AND('Planilla_General_03-12-2012_9_3'!F1138,"AAAAAG/r/RY=")</f>
        <v>#VALUE!</v>
      </c>
      <c r="X72" t="e">
        <f>AND('Planilla_General_03-12-2012_9_3'!G1138,"AAAAAG/r/Rc=")</f>
        <v>#VALUE!</v>
      </c>
      <c r="Y72" t="e">
        <f>AND('Planilla_General_03-12-2012_9_3'!H1138,"AAAAAG/r/Rg=")</f>
        <v>#VALUE!</v>
      </c>
      <c r="Z72" t="e">
        <f>AND('Planilla_General_03-12-2012_9_3'!I1138,"AAAAAG/r/Rk=")</f>
        <v>#VALUE!</v>
      </c>
      <c r="AA72" t="e">
        <f>AND('Planilla_General_03-12-2012_9_3'!J1138,"AAAAAG/r/Ro=")</f>
        <v>#VALUE!</v>
      </c>
      <c r="AB72" t="e">
        <f>AND('Planilla_General_03-12-2012_9_3'!K1138,"AAAAAG/r/Rs=")</f>
        <v>#VALUE!</v>
      </c>
      <c r="AC72" t="e">
        <f>AND('Planilla_General_03-12-2012_9_3'!L1138,"AAAAAG/r/Rw=")</f>
        <v>#VALUE!</v>
      </c>
      <c r="AD72" t="e">
        <f>AND('Planilla_General_03-12-2012_9_3'!M1138,"AAAAAG/r/R0=")</f>
        <v>#VALUE!</v>
      </c>
      <c r="AE72" t="e">
        <f>AND('Planilla_General_03-12-2012_9_3'!N1138,"AAAAAG/r/R4=")</f>
        <v>#VALUE!</v>
      </c>
      <c r="AF72" t="e">
        <f>AND('Planilla_General_03-12-2012_9_3'!O1138,"AAAAAG/r/R8=")</f>
        <v>#VALUE!</v>
      </c>
      <c r="AG72">
        <f>IF('Planilla_General_03-12-2012_9_3'!1139:1139,"AAAAAG/r/SA=",0)</f>
        <v>0</v>
      </c>
      <c r="AH72" t="e">
        <f>AND('Planilla_General_03-12-2012_9_3'!A1139,"AAAAAG/r/SE=")</f>
        <v>#VALUE!</v>
      </c>
      <c r="AI72" t="e">
        <f>AND('Planilla_General_03-12-2012_9_3'!B1139,"AAAAAG/r/SI=")</f>
        <v>#VALUE!</v>
      </c>
      <c r="AJ72" t="e">
        <f>AND('Planilla_General_03-12-2012_9_3'!C1139,"AAAAAG/r/SM=")</f>
        <v>#VALUE!</v>
      </c>
      <c r="AK72" t="e">
        <f>AND('Planilla_General_03-12-2012_9_3'!D1139,"AAAAAG/r/SQ=")</f>
        <v>#VALUE!</v>
      </c>
      <c r="AL72" t="e">
        <f>AND('Planilla_General_03-12-2012_9_3'!E1139,"AAAAAG/r/SU=")</f>
        <v>#VALUE!</v>
      </c>
      <c r="AM72" t="e">
        <f>AND('Planilla_General_03-12-2012_9_3'!F1139,"AAAAAG/r/SY=")</f>
        <v>#VALUE!</v>
      </c>
      <c r="AN72" t="e">
        <f>AND('Planilla_General_03-12-2012_9_3'!G1139,"AAAAAG/r/Sc=")</f>
        <v>#VALUE!</v>
      </c>
      <c r="AO72" t="e">
        <f>AND('Planilla_General_03-12-2012_9_3'!H1139,"AAAAAG/r/Sg=")</f>
        <v>#VALUE!</v>
      </c>
      <c r="AP72" t="e">
        <f>AND('Planilla_General_03-12-2012_9_3'!I1139,"AAAAAG/r/Sk=")</f>
        <v>#VALUE!</v>
      </c>
      <c r="AQ72" t="e">
        <f>AND('Planilla_General_03-12-2012_9_3'!J1139,"AAAAAG/r/So=")</f>
        <v>#VALUE!</v>
      </c>
      <c r="AR72" t="e">
        <f>AND('Planilla_General_03-12-2012_9_3'!K1139,"AAAAAG/r/Ss=")</f>
        <v>#VALUE!</v>
      </c>
      <c r="AS72" t="e">
        <f>AND('Planilla_General_03-12-2012_9_3'!L1139,"AAAAAG/r/Sw=")</f>
        <v>#VALUE!</v>
      </c>
      <c r="AT72" t="e">
        <f>AND('Planilla_General_03-12-2012_9_3'!M1139,"AAAAAG/r/S0=")</f>
        <v>#VALUE!</v>
      </c>
      <c r="AU72" t="e">
        <f>AND('Planilla_General_03-12-2012_9_3'!N1139,"AAAAAG/r/S4=")</f>
        <v>#VALUE!</v>
      </c>
      <c r="AV72" t="e">
        <f>AND('Planilla_General_03-12-2012_9_3'!O1139,"AAAAAG/r/S8=")</f>
        <v>#VALUE!</v>
      </c>
      <c r="AW72">
        <f>IF('Planilla_General_03-12-2012_9_3'!1140:1140,"AAAAAG/r/TA=",0)</f>
        <v>0</v>
      </c>
      <c r="AX72" t="e">
        <f>AND('Planilla_General_03-12-2012_9_3'!A1140,"AAAAAG/r/TE=")</f>
        <v>#VALUE!</v>
      </c>
      <c r="AY72" t="e">
        <f>AND('Planilla_General_03-12-2012_9_3'!B1140,"AAAAAG/r/TI=")</f>
        <v>#VALUE!</v>
      </c>
      <c r="AZ72" t="e">
        <f>AND('Planilla_General_03-12-2012_9_3'!C1140,"AAAAAG/r/TM=")</f>
        <v>#VALUE!</v>
      </c>
      <c r="BA72" t="e">
        <f>AND('Planilla_General_03-12-2012_9_3'!D1140,"AAAAAG/r/TQ=")</f>
        <v>#VALUE!</v>
      </c>
      <c r="BB72" t="e">
        <f>AND('Planilla_General_03-12-2012_9_3'!E1140,"AAAAAG/r/TU=")</f>
        <v>#VALUE!</v>
      </c>
      <c r="BC72" t="e">
        <f>AND('Planilla_General_03-12-2012_9_3'!F1140,"AAAAAG/r/TY=")</f>
        <v>#VALUE!</v>
      </c>
      <c r="BD72" t="e">
        <f>AND('Planilla_General_03-12-2012_9_3'!G1140,"AAAAAG/r/Tc=")</f>
        <v>#VALUE!</v>
      </c>
      <c r="BE72" t="e">
        <f>AND('Planilla_General_03-12-2012_9_3'!H1140,"AAAAAG/r/Tg=")</f>
        <v>#VALUE!</v>
      </c>
      <c r="BF72" t="e">
        <f>AND('Planilla_General_03-12-2012_9_3'!I1140,"AAAAAG/r/Tk=")</f>
        <v>#VALUE!</v>
      </c>
      <c r="BG72" t="e">
        <f>AND('Planilla_General_03-12-2012_9_3'!J1140,"AAAAAG/r/To=")</f>
        <v>#VALUE!</v>
      </c>
      <c r="BH72" t="e">
        <f>AND('Planilla_General_03-12-2012_9_3'!K1140,"AAAAAG/r/Ts=")</f>
        <v>#VALUE!</v>
      </c>
      <c r="BI72" t="e">
        <f>AND('Planilla_General_03-12-2012_9_3'!L1140,"AAAAAG/r/Tw=")</f>
        <v>#VALUE!</v>
      </c>
      <c r="BJ72" t="e">
        <f>AND('Planilla_General_03-12-2012_9_3'!M1140,"AAAAAG/r/T0=")</f>
        <v>#VALUE!</v>
      </c>
      <c r="BK72" t="e">
        <f>AND('Planilla_General_03-12-2012_9_3'!N1140,"AAAAAG/r/T4=")</f>
        <v>#VALUE!</v>
      </c>
      <c r="BL72" t="e">
        <f>AND('Planilla_General_03-12-2012_9_3'!O1140,"AAAAAG/r/T8=")</f>
        <v>#VALUE!</v>
      </c>
      <c r="BM72">
        <f>IF('Planilla_General_03-12-2012_9_3'!1141:1141,"AAAAAG/r/UA=",0)</f>
        <v>0</v>
      </c>
      <c r="BN72" t="e">
        <f>AND('Planilla_General_03-12-2012_9_3'!A1141,"AAAAAG/r/UE=")</f>
        <v>#VALUE!</v>
      </c>
      <c r="BO72" t="e">
        <f>AND('Planilla_General_03-12-2012_9_3'!B1141,"AAAAAG/r/UI=")</f>
        <v>#VALUE!</v>
      </c>
      <c r="BP72" t="e">
        <f>AND('Planilla_General_03-12-2012_9_3'!C1141,"AAAAAG/r/UM=")</f>
        <v>#VALUE!</v>
      </c>
      <c r="BQ72" t="e">
        <f>AND('Planilla_General_03-12-2012_9_3'!D1141,"AAAAAG/r/UQ=")</f>
        <v>#VALUE!</v>
      </c>
      <c r="BR72" t="e">
        <f>AND('Planilla_General_03-12-2012_9_3'!E1141,"AAAAAG/r/UU=")</f>
        <v>#VALUE!</v>
      </c>
      <c r="BS72" t="e">
        <f>AND('Planilla_General_03-12-2012_9_3'!F1141,"AAAAAG/r/UY=")</f>
        <v>#VALUE!</v>
      </c>
      <c r="BT72" t="e">
        <f>AND('Planilla_General_03-12-2012_9_3'!G1141,"AAAAAG/r/Uc=")</f>
        <v>#VALUE!</v>
      </c>
      <c r="BU72" t="e">
        <f>AND('Planilla_General_03-12-2012_9_3'!H1141,"AAAAAG/r/Ug=")</f>
        <v>#VALUE!</v>
      </c>
      <c r="BV72" t="e">
        <f>AND('Planilla_General_03-12-2012_9_3'!I1141,"AAAAAG/r/Uk=")</f>
        <v>#VALUE!</v>
      </c>
      <c r="BW72" t="e">
        <f>AND('Planilla_General_03-12-2012_9_3'!J1141,"AAAAAG/r/Uo=")</f>
        <v>#VALUE!</v>
      </c>
      <c r="BX72" t="e">
        <f>AND('Planilla_General_03-12-2012_9_3'!K1141,"AAAAAG/r/Us=")</f>
        <v>#VALUE!</v>
      </c>
      <c r="BY72" t="e">
        <f>AND('Planilla_General_03-12-2012_9_3'!L1141,"AAAAAG/r/Uw=")</f>
        <v>#VALUE!</v>
      </c>
      <c r="BZ72" t="e">
        <f>AND('Planilla_General_03-12-2012_9_3'!M1141,"AAAAAG/r/U0=")</f>
        <v>#VALUE!</v>
      </c>
      <c r="CA72" t="e">
        <f>AND('Planilla_General_03-12-2012_9_3'!N1141,"AAAAAG/r/U4=")</f>
        <v>#VALUE!</v>
      </c>
      <c r="CB72" t="e">
        <f>AND('Planilla_General_03-12-2012_9_3'!O1141,"AAAAAG/r/U8=")</f>
        <v>#VALUE!</v>
      </c>
      <c r="CC72">
        <f>IF('Planilla_General_03-12-2012_9_3'!1142:1142,"AAAAAG/r/VA=",0)</f>
        <v>0</v>
      </c>
      <c r="CD72" t="e">
        <f>AND('Planilla_General_03-12-2012_9_3'!A1142,"AAAAAG/r/VE=")</f>
        <v>#VALUE!</v>
      </c>
      <c r="CE72" t="e">
        <f>AND('Planilla_General_03-12-2012_9_3'!B1142,"AAAAAG/r/VI=")</f>
        <v>#VALUE!</v>
      </c>
      <c r="CF72" t="e">
        <f>AND('Planilla_General_03-12-2012_9_3'!C1142,"AAAAAG/r/VM=")</f>
        <v>#VALUE!</v>
      </c>
      <c r="CG72" t="e">
        <f>AND('Planilla_General_03-12-2012_9_3'!D1142,"AAAAAG/r/VQ=")</f>
        <v>#VALUE!</v>
      </c>
      <c r="CH72" t="e">
        <f>AND('Planilla_General_03-12-2012_9_3'!E1142,"AAAAAG/r/VU=")</f>
        <v>#VALUE!</v>
      </c>
      <c r="CI72" t="e">
        <f>AND('Planilla_General_03-12-2012_9_3'!F1142,"AAAAAG/r/VY=")</f>
        <v>#VALUE!</v>
      </c>
      <c r="CJ72" t="e">
        <f>AND('Planilla_General_03-12-2012_9_3'!G1142,"AAAAAG/r/Vc=")</f>
        <v>#VALUE!</v>
      </c>
      <c r="CK72" t="e">
        <f>AND('Planilla_General_03-12-2012_9_3'!H1142,"AAAAAG/r/Vg=")</f>
        <v>#VALUE!</v>
      </c>
      <c r="CL72" t="e">
        <f>AND('Planilla_General_03-12-2012_9_3'!I1142,"AAAAAG/r/Vk=")</f>
        <v>#VALUE!</v>
      </c>
      <c r="CM72" t="e">
        <f>AND('Planilla_General_03-12-2012_9_3'!J1142,"AAAAAG/r/Vo=")</f>
        <v>#VALUE!</v>
      </c>
      <c r="CN72" t="e">
        <f>AND('Planilla_General_03-12-2012_9_3'!K1142,"AAAAAG/r/Vs=")</f>
        <v>#VALUE!</v>
      </c>
      <c r="CO72" t="e">
        <f>AND('Planilla_General_03-12-2012_9_3'!L1142,"AAAAAG/r/Vw=")</f>
        <v>#VALUE!</v>
      </c>
      <c r="CP72" t="e">
        <f>AND('Planilla_General_03-12-2012_9_3'!M1142,"AAAAAG/r/V0=")</f>
        <v>#VALUE!</v>
      </c>
      <c r="CQ72" t="e">
        <f>AND('Planilla_General_03-12-2012_9_3'!N1142,"AAAAAG/r/V4=")</f>
        <v>#VALUE!</v>
      </c>
      <c r="CR72" t="e">
        <f>AND('Planilla_General_03-12-2012_9_3'!O1142,"AAAAAG/r/V8=")</f>
        <v>#VALUE!</v>
      </c>
      <c r="CS72">
        <f>IF('Planilla_General_03-12-2012_9_3'!1143:1143,"AAAAAG/r/WA=",0)</f>
        <v>0</v>
      </c>
      <c r="CT72" t="e">
        <f>AND('Planilla_General_03-12-2012_9_3'!A1143,"AAAAAG/r/WE=")</f>
        <v>#VALUE!</v>
      </c>
      <c r="CU72" t="e">
        <f>AND('Planilla_General_03-12-2012_9_3'!B1143,"AAAAAG/r/WI=")</f>
        <v>#VALUE!</v>
      </c>
      <c r="CV72" t="e">
        <f>AND('Planilla_General_03-12-2012_9_3'!C1143,"AAAAAG/r/WM=")</f>
        <v>#VALUE!</v>
      </c>
      <c r="CW72" t="e">
        <f>AND('Planilla_General_03-12-2012_9_3'!D1143,"AAAAAG/r/WQ=")</f>
        <v>#VALUE!</v>
      </c>
      <c r="CX72" t="e">
        <f>AND('Planilla_General_03-12-2012_9_3'!E1143,"AAAAAG/r/WU=")</f>
        <v>#VALUE!</v>
      </c>
      <c r="CY72" t="e">
        <f>AND('Planilla_General_03-12-2012_9_3'!F1143,"AAAAAG/r/WY=")</f>
        <v>#VALUE!</v>
      </c>
      <c r="CZ72" t="e">
        <f>AND('Planilla_General_03-12-2012_9_3'!G1143,"AAAAAG/r/Wc=")</f>
        <v>#VALUE!</v>
      </c>
      <c r="DA72" t="e">
        <f>AND('Planilla_General_03-12-2012_9_3'!H1143,"AAAAAG/r/Wg=")</f>
        <v>#VALUE!</v>
      </c>
      <c r="DB72" t="e">
        <f>AND('Planilla_General_03-12-2012_9_3'!I1143,"AAAAAG/r/Wk=")</f>
        <v>#VALUE!</v>
      </c>
      <c r="DC72" t="e">
        <f>AND('Planilla_General_03-12-2012_9_3'!J1143,"AAAAAG/r/Wo=")</f>
        <v>#VALUE!</v>
      </c>
      <c r="DD72" t="e">
        <f>AND('Planilla_General_03-12-2012_9_3'!K1143,"AAAAAG/r/Ws=")</f>
        <v>#VALUE!</v>
      </c>
      <c r="DE72" t="e">
        <f>AND('Planilla_General_03-12-2012_9_3'!L1143,"AAAAAG/r/Ww=")</f>
        <v>#VALUE!</v>
      </c>
      <c r="DF72" t="e">
        <f>AND('Planilla_General_03-12-2012_9_3'!M1143,"AAAAAG/r/W0=")</f>
        <v>#VALUE!</v>
      </c>
      <c r="DG72" t="e">
        <f>AND('Planilla_General_03-12-2012_9_3'!N1143,"AAAAAG/r/W4=")</f>
        <v>#VALUE!</v>
      </c>
      <c r="DH72" t="e">
        <f>AND('Planilla_General_03-12-2012_9_3'!O1143,"AAAAAG/r/W8=")</f>
        <v>#VALUE!</v>
      </c>
      <c r="DI72">
        <f>IF('Planilla_General_03-12-2012_9_3'!1144:1144,"AAAAAG/r/XA=",0)</f>
        <v>0</v>
      </c>
      <c r="DJ72" t="e">
        <f>AND('Planilla_General_03-12-2012_9_3'!A1144,"AAAAAG/r/XE=")</f>
        <v>#VALUE!</v>
      </c>
      <c r="DK72" t="e">
        <f>AND('Planilla_General_03-12-2012_9_3'!B1144,"AAAAAG/r/XI=")</f>
        <v>#VALUE!</v>
      </c>
      <c r="DL72" t="e">
        <f>AND('Planilla_General_03-12-2012_9_3'!C1144,"AAAAAG/r/XM=")</f>
        <v>#VALUE!</v>
      </c>
      <c r="DM72" t="e">
        <f>AND('Planilla_General_03-12-2012_9_3'!D1144,"AAAAAG/r/XQ=")</f>
        <v>#VALUE!</v>
      </c>
      <c r="DN72" t="e">
        <f>AND('Planilla_General_03-12-2012_9_3'!E1144,"AAAAAG/r/XU=")</f>
        <v>#VALUE!</v>
      </c>
      <c r="DO72" t="e">
        <f>AND('Planilla_General_03-12-2012_9_3'!F1144,"AAAAAG/r/XY=")</f>
        <v>#VALUE!</v>
      </c>
      <c r="DP72" t="e">
        <f>AND('Planilla_General_03-12-2012_9_3'!G1144,"AAAAAG/r/Xc=")</f>
        <v>#VALUE!</v>
      </c>
      <c r="DQ72" t="e">
        <f>AND('Planilla_General_03-12-2012_9_3'!H1144,"AAAAAG/r/Xg=")</f>
        <v>#VALUE!</v>
      </c>
      <c r="DR72" t="e">
        <f>AND('Planilla_General_03-12-2012_9_3'!I1144,"AAAAAG/r/Xk=")</f>
        <v>#VALUE!</v>
      </c>
      <c r="DS72" t="e">
        <f>AND('Planilla_General_03-12-2012_9_3'!J1144,"AAAAAG/r/Xo=")</f>
        <v>#VALUE!</v>
      </c>
      <c r="DT72" t="e">
        <f>AND('Planilla_General_03-12-2012_9_3'!K1144,"AAAAAG/r/Xs=")</f>
        <v>#VALUE!</v>
      </c>
      <c r="DU72" t="e">
        <f>AND('Planilla_General_03-12-2012_9_3'!L1144,"AAAAAG/r/Xw=")</f>
        <v>#VALUE!</v>
      </c>
      <c r="DV72" t="e">
        <f>AND('Planilla_General_03-12-2012_9_3'!M1144,"AAAAAG/r/X0=")</f>
        <v>#VALUE!</v>
      </c>
      <c r="DW72" t="e">
        <f>AND('Planilla_General_03-12-2012_9_3'!N1144,"AAAAAG/r/X4=")</f>
        <v>#VALUE!</v>
      </c>
      <c r="DX72" t="e">
        <f>AND('Planilla_General_03-12-2012_9_3'!O1144,"AAAAAG/r/X8=")</f>
        <v>#VALUE!</v>
      </c>
      <c r="DY72">
        <f>IF('Planilla_General_03-12-2012_9_3'!1145:1145,"AAAAAG/r/YA=",0)</f>
        <v>0</v>
      </c>
      <c r="DZ72" t="e">
        <f>AND('Planilla_General_03-12-2012_9_3'!A1145,"AAAAAG/r/YE=")</f>
        <v>#VALUE!</v>
      </c>
      <c r="EA72" t="e">
        <f>AND('Planilla_General_03-12-2012_9_3'!B1145,"AAAAAG/r/YI=")</f>
        <v>#VALUE!</v>
      </c>
      <c r="EB72" t="e">
        <f>AND('Planilla_General_03-12-2012_9_3'!C1145,"AAAAAG/r/YM=")</f>
        <v>#VALUE!</v>
      </c>
      <c r="EC72" t="e">
        <f>AND('Planilla_General_03-12-2012_9_3'!D1145,"AAAAAG/r/YQ=")</f>
        <v>#VALUE!</v>
      </c>
      <c r="ED72" t="e">
        <f>AND('Planilla_General_03-12-2012_9_3'!E1145,"AAAAAG/r/YU=")</f>
        <v>#VALUE!</v>
      </c>
      <c r="EE72" t="e">
        <f>AND('Planilla_General_03-12-2012_9_3'!F1145,"AAAAAG/r/YY=")</f>
        <v>#VALUE!</v>
      </c>
      <c r="EF72" t="e">
        <f>AND('Planilla_General_03-12-2012_9_3'!G1145,"AAAAAG/r/Yc=")</f>
        <v>#VALUE!</v>
      </c>
      <c r="EG72" t="e">
        <f>AND('Planilla_General_03-12-2012_9_3'!H1145,"AAAAAG/r/Yg=")</f>
        <v>#VALUE!</v>
      </c>
      <c r="EH72" t="e">
        <f>AND('Planilla_General_03-12-2012_9_3'!I1145,"AAAAAG/r/Yk=")</f>
        <v>#VALUE!</v>
      </c>
      <c r="EI72" t="e">
        <f>AND('Planilla_General_03-12-2012_9_3'!J1145,"AAAAAG/r/Yo=")</f>
        <v>#VALUE!</v>
      </c>
      <c r="EJ72" t="e">
        <f>AND('Planilla_General_03-12-2012_9_3'!K1145,"AAAAAG/r/Ys=")</f>
        <v>#VALUE!</v>
      </c>
      <c r="EK72" t="e">
        <f>AND('Planilla_General_03-12-2012_9_3'!L1145,"AAAAAG/r/Yw=")</f>
        <v>#VALUE!</v>
      </c>
      <c r="EL72" t="e">
        <f>AND('Planilla_General_03-12-2012_9_3'!M1145,"AAAAAG/r/Y0=")</f>
        <v>#VALUE!</v>
      </c>
      <c r="EM72" t="e">
        <f>AND('Planilla_General_03-12-2012_9_3'!N1145,"AAAAAG/r/Y4=")</f>
        <v>#VALUE!</v>
      </c>
      <c r="EN72" t="e">
        <f>AND('Planilla_General_03-12-2012_9_3'!O1145,"AAAAAG/r/Y8=")</f>
        <v>#VALUE!</v>
      </c>
      <c r="EO72">
        <f>IF('Planilla_General_03-12-2012_9_3'!1146:1146,"AAAAAG/r/ZA=",0)</f>
        <v>0</v>
      </c>
      <c r="EP72" t="e">
        <f>AND('Planilla_General_03-12-2012_9_3'!A1146,"AAAAAG/r/ZE=")</f>
        <v>#VALUE!</v>
      </c>
      <c r="EQ72" t="e">
        <f>AND('Planilla_General_03-12-2012_9_3'!B1146,"AAAAAG/r/ZI=")</f>
        <v>#VALUE!</v>
      </c>
      <c r="ER72" t="e">
        <f>AND('Planilla_General_03-12-2012_9_3'!C1146,"AAAAAG/r/ZM=")</f>
        <v>#VALUE!</v>
      </c>
      <c r="ES72" t="e">
        <f>AND('Planilla_General_03-12-2012_9_3'!D1146,"AAAAAG/r/ZQ=")</f>
        <v>#VALUE!</v>
      </c>
      <c r="ET72" t="e">
        <f>AND('Planilla_General_03-12-2012_9_3'!E1146,"AAAAAG/r/ZU=")</f>
        <v>#VALUE!</v>
      </c>
      <c r="EU72" t="e">
        <f>AND('Planilla_General_03-12-2012_9_3'!F1146,"AAAAAG/r/ZY=")</f>
        <v>#VALUE!</v>
      </c>
      <c r="EV72" t="e">
        <f>AND('Planilla_General_03-12-2012_9_3'!G1146,"AAAAAG/r/Zc=")</f>
        <v>#VALUE!</v>
      </c>
      <c r="EW72" t="e">
        <f>AND('Planilla_General_03-12-2012_9_3'!H1146,"AAAAAG/r/Zg=")</f>
        <v>#VALUE!</v>
      </c>
      <c r="EX72" t="e">
        <f>AND('Planilla_General_03-12-2012_9_3'!I1146,"AAAAAG/r/Zk=")</f>
        <v>#VALUE!</v>
      </c>
      <c r="EY72" t="e">
        <f>AND('Planilla_General_03-12-2012_9_3'!J1146,"AAAAAG/r/Zo=")</f>
        <v>#VALUE!</v>
      </c>
      <c r="EZ72" t="e">
        <f>AND('Planilla_General_03-12-2012_9_3'!K1146,"AAAAAG/r/Zs=")</f>
        <v>#VALUE!</v>
      </c>
      <c r="FA72" t="e">
        <f>AND('Planilla_General_03-12-2012_9_3'!L1146,"AAAAAG/r/Zw=")</f>
        <v>#VALUE!</v>
      </c>
      <c r="FB72" t="e">
        <f>AND('Planilla_General_03-12-2012_9_3'!M1146,"AAAAAG/r/Z0=")</f>
        <v>#VALUE!</v>
      </c>
      <c r="FC72" t="e">
        <f>AND('Planilla_General_03-12-2012_9_3'!N1146,"AAAAAG/r/Z4=")</f>
        <v>#VALUE!</v>
      </c>
      <c r="FD72" t="e">
        <f>AND('Planilla_General_03-12-2012_9_3'!O1146,"AAAAAG/r/Z8=")</f>
        <v>#VALUE!</v>
      </c>
      <c r="FE72">
        <f>IF('Planilla_General_03-12-2012_9_3'!1147:1147,"AAAAAG/r/aA=",0)</f>
        <v>0</v>
      </c>
      <c r="FF72" t="e">
        <f>AND('Planilla_General_03-12-2012_9_3'!A1147,"AAAAAG/r/aE=")</f>
        <v>#VALUE!</v>
      </c>
      <c r="FG72" t="e">
        <f>AND('Planilla_General_03-12-2012_9_3'!B1147,"AAAAAG/r/aI=")</f>
        <v>#VALUE!</v>
      </c>
      <c r="FH72" t="e">
        <f>AND('Planilla_General_03-12-2012_9_3'!C1147,"AAAAAG/r/aM=")</f>
        <v>#VALUE!</v>
      </c>
      <c r="FI72" t="e">
        <f>AND('Planilla_General_03-12-2012_9_3'!D1147,"AAAAAG/r/aQ=")</f>
        <v>#VALUE!</v>
      </c>
      <c r="FJ72" t="e">
        <f>AND('Planilla_General_03-12-2012_9_3'!E1147,"AAAAAG/r/aU=")</f>
        <v>#VALUE!</v>
      </c>
      <c r="FK72" t="e">
        <f>AND('Planilla_General_03-12-2012_9_3'!F1147,"AAAAAG/r/aY=")</f>
        <v>#VALUE!</v>
      </c>
      <c r="FL72" t="e">
        <f>AND('Planilla_General_03-12-2012_9_3'!G1147,"AAAAAG/r/ac=")</f>
        <v>#VALUE!</v>
      </c>
      <c r="FM72" t="e">
        <f>AND('Planilla_General_03-12-2012_9_3'!H1147,"AAAAAG/r/ag=")</f>
        <v>#VALUE!</v>
      </c>
      <c r="FN72" t="e">
        <f>AND('Planilla_General_03-12-2012_9_3'!I1147,"AAAAAG/r/ak=")</f>
        <v>#VALUE!</v>
      </c>
      <c r="FO72" t="e">
        <f>AND('Planilla_General_03-12-2012_9_3'!J1147,"AAAAAG/r/ao=")</f>
        <v>#VALUE!</v>
      </c>
      <c r="FP72" t="e">
        <f>AND('Planilla_General_03-12-2012_9_3'!K1147,"AAAAAG/r/as=")</f>
        <v>#VALUE!</v>
      </c>
      <c r="FQ72" t="e">
        <f>AND('Planilla_General_03-12-2012_9_3'!L1147,"AAAAAG/r/aw=")</f>
        <v>#VALUE!</v>
      </c>
      <c r="FR72" t="e">
        <f>AND('Planilla_General_03-12-2012_9_3'!M1147,"AAAAAG/r/a0=")</f>
        <v>#VALUE!</v>
      </c>
      <c r="FS72" t="e">
        <f>AND('Planilla_General_03-12-2012_9_3'!N1147,"AAAAAG/r/a4=")</f>
        <v>#VALUE!</v>
      </c>
      <c r="FT72" t="e">
        <f>AND('Planilla_General_03-12-2012_9_3'!O1147,"AAAAAG/r/a8=")</f>
        <v>#VALUE!</v>
      </c>
      <c r="FU72">
        <f>IF('Planilla_General_03-12-2012_9_3'!1148:1148,"AAAAAG/r/bA=",0)</f>
        <v>0</v>
      </c>
      <c r="FV72" t="e">
        <f>AND('Planilla_General_03-12-2012_9_3'!A1148,"AAAAAG/r/bE=")</f>
        <v>#VALUE!</v>
      </c>
      <c r="FW72" t="e">
        <f>AND('Planilla_General_03-12-2012_9_3'!B1148,"AAAAAG/r/bI=")</f>
        <v>#VALUE!</v>
      </c>
      <c r="FX72" t="e">
        <f>AND('Planilla_General_03-12-2012_9_3'!C1148,"AAAAAG/r/bM=")</f>
        <v>#VALUE!</v>
      </c>
      <c r="FY72" t="e">
        <f>AND('Planilla_General_03-12-2012_9_3'!D1148,"AAAAAG/r/bQ=")</f>
        <v>#VALUE!</v>
      </c>
      <c r="FZ72" t="e">
        <f>AND('Planilla_General_03-12-2012_9_3'!E1148,"AAAAAG/r/bU=")</f>
        <v>#VALUE!</v>
      </c>
      <c r="GA72" t="e">
        <f>AND('Planilla_General_03-12-2012_9_3'!F1148,"AAAAAG/r/bY=")</f>
        <v>#VALUE!</v>
      </c>
      <c r="GB72" t="e">
        <f>AND('Planilla_General_03-12-2012_9_3'!G1148,"AAAAAG/r/bc=")</f>
        <v>#VALUE!</v>
      </c>
      <c r="GC72" t="e">
        <f>AND('Planilla_General_03-12-2012_9_3'!H1148,"AAAAAG/r/bg=")</f>
        <v>#VALUE!</v>
      </c>
      <c r="GD72" t="e">
        <f>AND('Planilla_General_03-12-2012_9_3'!I1148,"AAAAAG/r/bk=")</f>
        <v>#VALUE!</v>
      </c>
      <c r="GE72" t="e">
        <f>AND('Planilla_General_03-12-2012_9_3'!J1148,"AAAAAG/r/bo=")</f>
        <v>#VALUE!</v>
      </c>
      <c r="GF72" t="e">
        <f>AND('Planilla_General_03-12-2012_9_3'!K1148,"AAAAAG/r/bs=")</f>
        <v>#VALUE!</v>
      </c>
      <c r="GG72" t="e">
        <f>AND('Planilla_General_03-12-2012_9_3'!L1148,"AAAAAG/r/bw=")</f>
        <v>#VALUE!</v>
      </c>
      <c r="GH72" t="e">
        <f>AND('Planilla_General_03-12-2012_9_3'!M1148,"AAAAAG/r/b0=")</f>
        <v>#VALUE!</v>
      </c>
      <c r="GI72" t="e">
        <f>AND('Planilla_General_03-12-2012_9_3'!N1148,"AAAAAG/r/b4=")</f>
        <v>#VALUE!</v>
      </c>
      <c r="GJ72" t="e">
        <f>AND('Planilla_General_03-12-2012_9_3'!O1148,"AAAAAG/r/b8=")</f>
        <v>#VALUE!</v>
      </c>
      <c r="GK72">
        <f>IF('Planilla_General_03-12-2012_9_3'!1149:1149,"AAAAAG/r/cA=",0)</f>
        <v>0</v>
      </c>
      <c r="GL72" t="e">
        <f>AND('Planilla_General_03-12-2012_9_3'!A1149,"AAAAAG/r/cE=")</f>
        <v>#VALUE!</v>
      </c>
      <c r="GM72" t="e">
        <f>AND('Planilla_General_03-12-2012_9_3'!B1149,"AAAAAG/r/cI=")</f>
        <v>#VALUE!</v>
      </c>
      <c r="GN72" t="e">
        <f>AND('Planilla_General_03-12-2012_9_3'!C1149,"AAAAAG/r/cM=")</f>
        <v>#VALUE!</v>
      </c>
      <c r="GO72" t="e">
        <f>AND('Planilla_General_03-12-2012_9_3'!D1149,"AAAAAG/r/cQ=")</f>
        <v>#VALUE!</v>
      </c>
      <c r="GP72" t="e">
        <f>AND('Planilla_General_03-12-2012_9_3'!E1149,"AAAAAG/r/cU=")</f>
        <v>#VALUE!</v>
      </c>
      <c r="GQ72" t="e">
        <f>AND('Planilla_General_03-12-2012_9_3'!F1149,"AAAAAG/r/cY=")</f>
        <v>#VALUE!</v>
      </c>
      <c r="GR72" t="e">
        <f>AND('Planilla_General_03-12-2012_9_3'!G1149,"AAAAAG/r/cc=")</f>
        <v>#VALUE!</v>
      </c>
      <c r="GS72" t="e">
        <f>AND('Planilla_General_03-12-2012_9_3'!H1149,"AAAAAG/r/cg=")</f>
        <v>#VALUE!</v>
      </c>
      <c r="GT72" t="e">
        <f>AND('Planilla_General_03-12-2012_9_3'!I1149,"AAAAAG/r/ck=")</f>
        <v>#VALUE!</v>
      </c>
      <c r="GU72" t="e">
        <f>AND('Planilla_General_03-12-2012_9_3'!J1149,"AAAAAG/r/co=")</f>
        <v>#VALUE!</v>
      </c>
      <c r="GV72" t="e">
        <f>AND('Planilla_General_03-12-2012_9_3'!K1149,"AAAAAG/r/cs=")</f>
        <v>#VALUE!</v>
      </c>
      <c r="GW72" t="e">
        <f>AND('Planilla_General_03-12-2012_9_3'!L1149,"AAAAAG/r/cw=")</f>
        <v>#VALUE!</v>
      </c>
      <c r="GX72" t="e">
        <f>AND('Planilla_General_03-12-2012_9_3'!M1149,"AAAAAG/r/c0=")</f>
        <v>#VALUE!</v>
      </c>
      <c r="GY72" t="e">
        <f>AND('Planilla_General_03-12-2012_9_3'!N1149,"AAAAAG/r/c4=")</f>
        <v>#VALUE!</v>
      </c>
      <c r="GZ72" t="e">
        <f>AND('Planilla_General_03-12-2012_9_3'!O1149,"AAAAAG/r/c8=")</f>
        <v>#VALUE!</v>
      </c>
      <c r="HA72">
        <f>IF('Planilla_General_03-12-2012_9_3'!1150:1150,"AAAAAG/r/dA=",0)</f>
        <v>0</v>
      </c>
      <c r="HB72" t="e">
        <f>AND('Planilla_General_03-12-2012_9_3'!A1150,"AAAAAG/r/dE=")</f>
        <v>#VALUE!</v>
      </c>
      <c r="HC72" t="e">
        <f>AND('Planilla_General_03-12-2012_9_3'!B1150,"AAAAAG/r/dI=")</f>
        <v>#VALUE!</v>
      </c>
      <c r="HD72" t="e">
        <f>AND('Planilla_General_03-12-2012_9_3'!C1150,"AAAAAG/r/dM=")</f>
        <v>#VALUE!</v>
      </c>
      <c r="HE72" t="e">
        <f>AND('Planilla_General_03-12-2012_9_3'!D1150,"AAAAAG/r/dQ=")</f>
        <v>#VALUE!</v>
      </c>
      <c r="HF72" t="e">
        <f>AND('Planilla_General_03-12-2012_9_3'!E1150,"AAAAAG/r/dU=")</f>
        <v>#VALUE!</v>
      </c>
      <c r="HG72" t="e">
        <f>AND('Planilla_General_03-12-2012_9_3'!F1150,"AAAAAG/r/dY=")</f>
        <v>#VALUE!</v>
      </c>
      <c r="HH72" t="e">
        <f>AND('Planilla_General_03-12-2012_9_3'!G1150,"AAAAAG/r/dc=")</f>
        <v>#VALUE!</v>
      </c>
      <c r="HI72" t="e">
        <f>AND('Planilla_General_03-12-2012_9_3'!H1150,"AAAAAG/r/dg=")</f>
        <v>#VALUE!</v>
      </c>
      <c r="HJ72" t="e">
        <f>AND('Planilla_General_03-12-2012_9_3'!I1150,"AAAAAG/r/dk=")</f>
        <v>#VALUE!</v>
      </c>
      <c r="HK72" t="e">
        <f>AND('Planilla_General_03-12-2012_9_3'!J1150,"AAAAAG/r/do=")</f>
        <v>#VALUE!</v>
      </c>
      <c r="HL72" t="e">
        <f>AND('Planilla_General_03-12-2012_9_3'!K1150,"AAAAAG/r/ds=")</f>
        <v>#VALUE!</v>
      </c>
      <c r="HM72" t="e">
        <f>AND('Planilla_General_03-12-2012_9_3'!L1150,"AAAAAG/r/dw=")</f>
        <v>#VALUE!</v>
      </c>
      <c r="HN72" t="e">
        <f>AND('Planilla_General_03-12-2012_9_3'!M1150,"AAAAAG/r/d0=")</f>
        <v>#VALUE!</v>
      </c>
      <c r="HO72" t="e">
        <f>AND('Planilla_General_03-12-2012_9_3'!N1150,"AAAAAG/r/d4=")</f>
        <v>#VALUE!</v>
      </c>
      <c r="HP72" t="e">
        <f>AND('Planilla_General_03-12-2012_9_3'!O1150,"AAAAAG/r/d8=")</f>
        <v>#VALUE!</v>
      </c>
      <c r="HQ72">
        <f>IF('Planilla_General_03-12-2012_9_3'!1151:1151,"AAAAAG/r/eA=",0)</f>
        <v>0</v>
      </c>
      <c r="HR72" t="e">
        <f>AND('Planilla_General_03-12-2012_9_3'!A1151,"AAAAAG/r/eE=")</f>
        <v>#VALUE!</v>
      </c>
      <c r="HS72" t="e">
        <f>AND('Planilla_General_03-12-2012_9_3'!B1151,"AAAAAG/r/eI=")</f>
        <v>#VALUE!</v>
      </c>
      <c r="HT72" t="e">
        <f>AND('Planilla_General_03-12-2012_9_3'!C1151,"AAAAAG/r/eM=")</f>
        <v>#VALUE!</v>
      </c>
      <c r="HU72" t="e">
        <f>AND('Planilla_General_03-12-2012_9_3'!D1151,"AAAAAG/r/eQ=")</f>
        <v>#VALUE!</v>
      </c>
      <c r="HV72" t="e">
        <f>AND('Planilla_General_03-12-2012_9_3'!E1151,"AAAAAG/r/eU=")</f>
        <v>#VALUE!</v>
      </c>
      <c r="HW72" t="e">
        <f>AND('Planilla_General_03-12-2012_9_3'!F1151,"AAAAAG/r/eY=")</f>
        <v>#VALUE!</v>
      </c>
      <c r="HX72" t="e">
        <f>AND('Planilla_General_03-12-2012_9_3'!G1151,"AAAAAG/r/ec=")</f>
        <v>#VALUE!</v>
      </c>
      <c r="HY72" t="e">
        <f>AND('Planilla_General_03-12-2012_9_3'!H1151,"AAAAAG/r/eg=")</f>
        <v>#VALUE!</v>
      </c>
      <c r="HZ72" t="e">
        <f>AND('Planilla_General_03-12-2012_9_3'!I1151,"AAAAAG/r/ek=")</f>
        <v>#VALUE!</v>
      </c>
      <c r="IA72" t="e">
        <f>AND('Planilla_General_03-12-2012_9_3'!J1151,"AAAAAG/r/eo=")</f>
        <v>#VALUE!</v>
      </c>
      <c r="IB72" t="e">
        <f>AND('Planilla_General_03-12-2012_9_3'!K1151,"AAAAAG/r/es=")</f>
        <v>#VALUE!</v>
      </c>
      <c r="IC72" t="e">
        <f>AND('Planilla_General_03-12-2012_9_3'!L1151,"AAAAAG/r/ew=")</f>
        <v>#VALUE!</v>
      </c>
      <c r="ID72" t="e">
        <f>AND('Planilla_General_03-12-2012_9_3'!M1151,"AAAAAG/r/e0=")</f>
        <v>#VALUE!</v>
      </c>
      <c r="IE72" t="e">
        <f>AND('Planilla_General_03-12-2012_9_3'!N1151,"AAAAAG/r/e4=")</f>
        <v>#VALUE!</v>
      </c>
      <c r="IF72" t="e">
        <f>AND('Planilla_General_03-12-2012_9_3'!O1151,"AAAAAG/r/e8=")</f>
        <v>#VALUE!</v>
      </c>
      <c r="IG72">
        <f>IF('Planilla_General_03-12-2012_9_3'!1152:1152,"AAAAAG/r/fA=",0)</f>
        <v>0</v>
      </c>
      <c r="IH72" t="e">
        <f>AND('Planilla_General_03-12-2012_9_3'!A1152,"AAAAAG/r/fE=")</f>
        <v>#VALUE!</v>
      </c>
      <c r="II72" t="e">
        <f>AND('Planilla_General_03-12-2012_9_3'!B1152,"AAAAAG/r/fI=")</f>
        <v>#VALUE!</v>
      </c>
      <c r="IJ72" t="e">
        <f>AND('Planilla_General_03-12-2012_9_3'!C1152,"AAAAAG/r/fM=")</f>
        <v>#VALUE!</v>
      </c>
      <c r="IK72" t="e">
        <f>AND('Planilla_General_03-12-2012_9_3'!D1152,"AAAAAG/r/fQ=")</f>
        <v>#VALUE!</v>
      </c>
      <c r="IL72" t="e">
        <f>AND('Planilla_General_03-12-2012_9_3'!E1152,"AAAAAG/r/fU=")</f>
        <v>#VALUE!</v>
      </c>
      <c r="IM72" t="e">
        <f>AND('Planilla_General_03-12-2012_9_3'!F1152,"AAAAAG/r/fY=")</f>
        <v>#VALUE!</v>
      </c>
      <c r="IN72" t="e">
        <f>AND('Planilla_General_03-12-2012_9_3'!G1152,"AAAAAG/r/fc=")</f>
        <v>#VALUE!</v>
      </c>
      <c r="IO72" t="e">
        <f>AND('Planilla_General_03-12-2012_9_3'!H1152,"AAAAAG/r/fg=")</f>
        <v>#VALUE!</v>
      </c>
      <c r="IP72" t="e">
        <f>AND('Planilla_General_03-12-2012_9_3'!I1152,"AAAAAG/r/fk=")</f>
        <v>#VALUE!</v>
      </c>
      <c r="IQ72" t="e">
        <f>AND('Planilla_General_03-12-2012_9_3'!J1152,"AAAAAG/r/fo=")</f>
        <v>#VALUE!</v>
      </c>
      <c r="IR72" t="e">
        <f>AND('Planilla_General_03-12-2012_9_3'!K1152,"AAAAAG/r/fs=")</f>
        <v>#VALUE!</v>
      </c>
      <c r="IS72" t="e">
        <f>AND('Planilla_General_03-12-2012_9_3'!L1152,"AAAAAG/r/fw=")</f>
        <v>#VALUE!</v>
      </c>
      <c r="IT72" t="e">
        <f>AND('Planilla_General_03-12-2012_9_3'!M1152,"AAAAAG/r/f0=")</f>
        <v>#VALUE!</v>
      </c>
      <c r="IU72" t="e">
        <f>AND('Planilla_General_03-12-2012_9_3'!N1152,"AAAAAG/r/f4=")</f>
        <v>#VALUE!</v>
      </c>
      <c r="IV72" t="e">
        <f>AND('Planilla_General_03-12-2012_9_3'!O1152,"AAAAAG/r/f8=")</f>
        <v>#VALUE!</v>
      </c>
    </row>
    <row r="73" spans="1:256" x14ac:dyDescent="0.25">
      <c r="A73" t="e">
        <f>IF('Planilla_General_03-12-2012_9_3'!1153:1153,"AAAAAH23+wA=",0)</f>
        <v>#VALUE!</v>
      </c>
      <c r="B73" t="e">
        <f>AND('Planilla_General_03-12-2012_9_3'!A1153,"AAAAAH23+wE=")</f>
        <v>#VALUE!</v>
      </c>
      <c r="C73" t="e">
        <f>AND('Planilla_General_03-12-2012_9_3'!B1153,"AAAAAH23+wI=")</f>
        <v>#VALUE!</v>
      </c>
      <c r="D73" t="e">
        <f>AND('Planilla_General_03-12-2012_9_3'!C1153,"AAAAAH23+wM=")</f>
        <v>#VALUE!</v>
      </c>
      <c r="E73" t="e">
        <f>AND('Planilla_General_03-12-2012_9_3'!D1153,"AAAAAH23+wQ=")</f>
        <v>#VALUE!</v>
      </c>
      <c r="F73" t="e">
        <f>AND('Planilla_General_03-12-2012_9_3'!E1153,"AAAAAH23+wU=")</f>
        <v>#VALUE!</v>
      </c>
      <c r="G73" t="e">
        <f>AND('Planilla_General_03-12-2012_9_3'!F1153,"AAAAAH23+wY=")</f>
        <v>#VALUE!</v>
      </c>
      <c r="H73" t="e">
        <f>AND('Planilla_General_03-12-2012_9_3'!G1153,"AAAAAH23+wc=")</f>
        <v>#VALUE!</v>
      </c>
      <c r="I73" t="e">
        <f>AND('Planilla_General_03-12-2012_9_3'!H1153,"AAAAAH23+wg=")</f>
        <v>#VALUE!</v>
      </c>
      <c r="J73" t="e">
        <f>AND('Planilla_General_03-12-2012_9_3'!I1153,"AAAAAH23+wk=")</f>
        <v>#VALUE!</v>
      </c>
      <c r="K73" t="e">
        <f>AND('Planilla_General_03-12-2012_9_3'!J1153,"AAAAAH23+wo=")</f>
        <v>#VALUE!</v>
      </c>
      <c r="L73" t="e">
        <f>AND('Planilla_General_03-12-2012_9_3'!K1153,"AAAAAH23+ws=")</f>
        <v>#VALUE!</v>
      </c>
      <c r="M73" t="e">
        <f>AND('Planilla_General_03-12-2012_9_3'!L1153,"AAAAAH23+ww=")</f>
        <v>#VALUE!</v>
      </c>
      <c r="N73" t="e">
        <f>AND('Planilla_General_03-12-2012_9_3'!M1153,"AAAAAH23+w0=")</f>
        <v>#VALUE!</v>
      </c>
      <c r="O73" t="e">
        <f>AND('Planilla_General_03-12-2012_9_3'!N1153,"AAAAAH23+w4=")</f>
        <v>#VALUE!</v>
      </c>
      <c r="P73" t="e">
        <f>AND('Planilla_General_03-12-2012_9_3'!O1153,"AAAAAH23+w8=")</f>
        <v>#VALUE!</v>
      </c>
      <c r="Q73">
        <f>IF('Planilla_General_03-12-2012_9_3'!1154:1154,"AAAAAH23+xA=",0)</f>
        <v>0</v>
      </c>
      <c r="R73" t="e">
        <f>AND('Planilla_General_03-12-2012_9_3'!A1154,"AAAAAH23+xE=")</f>
        <v>#VALUE!</v>
      </c>
      <c r="S73" t="e">
        <f>AND('Planilla_General_03-12-2012_9_3'!B1154,"AAAAAH23+xI=")</f>
        <v>#VALUE!</v>
      </c>
      <c r="T73" t="e">
        <f>AND('Planilla_General_03-12-2012_9_3'!C1154,"AAAAAH23+xM=")</f>
        <v>#VALUE!</v>
      </c>
      <c r="U73" t="e">
        <f>AND('Planilla_General_03-12-2012_9_3'!D1154,"AAAAAH23+xQ=")</f>
        <v>#VALUE!</v>
      </c>
      <c r="V73" t="e">
        <f>AND('Planilla_General_03-12-2012_9_3'!E1154,"AAAAAH23+xU=")</f>
        <v>#VALUE!</v>
      </c>
      <c r="W73" t="e">
        <f>AND('Planilla_General_03-12-2012_9_3'!F1154,"AAAAAH23+xY=")</f>
        <v>#VALUE!</v>
      </c>
      <c r="X73" t="e">
        <f>AND('Planilla_General_03-12-2012_9_3'!G1154,"AAAAAH23+xc=")</f>
        <v>#VALUE!</v>
      </c>
      <c r="Y73" t="e">
        <f>AND('Planilla_General_03-12-2012_9_3'!H1154,"AAAAAH23+xg=")</f>
        <v>#VALUE!</v>
      </c>
      <c r="Z73" t="e">
        <f>AND('Planilla_General_03-12-2012_9_3'!I1154,"AAAAAH23+xk=")</f>
        <v>#VALUE!</v>
      </c>
      <c r="AA73" t="e">
        <f>AND('Planilla_General_03-12-2012_9_3'!J1154,"AAAAAH23+xo=")</f>
        <v>#VALUE!</v>
      </c>
      <c r="AB73" t="e">
        <f>AND('Planilla_General_03-12-2012_9_3'!K1154,"AAAAAH23+xs=")</f>
        <v>#VALUE!</v>
      </c>
      <c r="AC73" t="e">
        <f>AND('Planilla_General_03-12-2012_9_3'!L1154,"AAAAAH23+xw=")</f>
        <v>#VALUE!</v>
      </c>
      <c r="AD73" t="e">
        <f>AND('Planilla_General_03-12-2012_9_3'!M1154,"AAAAAH23+x0=")</f>
        <v>#VALUE!</v>
      </c>
      <c r="AE73" t="e">
        <f>AND('Planilla_General_03-12-2012_9_3'!N1154,"AAAAAH23+x4=")</f>
        <v>#VALUE!</v>
      </c>
      <c r="AF73" t="e">
        <f>AND('Planilla_General_03-12-2012_9_3'!O1154,"AAAAAH23+x8=")</f>
        <v>#VALUE!</v>
      </c>
      <c r="AG73">
        <f>IF('Planilla_General_03-12-2012_9_3'!1155:1155,"AAAAAH23+yA=",0)</f>
        <v>0</v>
      </c>
      <c r="AH73" t="e">
        <f>AND('Planilla_General_03-12-2012_9_3'!A1155,"AAAAAH23+yE=")</f>
        <v>#VALUE!</v>
      </c>
      <c r="AI73" t="e">
        <f>AND('Planilla_General_03-12-2012_9_3'!B1155,"AAAAAH23+yI=")</f>
        <v>#VALUE!</v>
      </c>
      <c r="AJ73" t="e">
        <f>AND('Planilla_General_03-12-2012_9_3'!C1155,"AAAAAH23+yM=")</f>
        <v>#VALUE!</v>
      </c>
      <c r="AK73" t="e">
        <f>AND('Planilla_General_03-12-2012_9_3'!D1155,"AAAAAH23+yQ=")</f>
        <v>#VALUE!</v>
      </c>
      <c r="AL73" t="e">
        <f>AND('Planilla_General_03-12-2012_9_3'!E1155,"AAAAAH23+yU=")</f>
        <v>#VALUE!</v>
      </c>
      <c r="AM73" t="e">
        <f>AND('Planilla_General_03-12-2012_9_3'!F1155,"AAAAAH23+yY=")</f>
        <v>#VALUE!</v>
      </c>
      <c r="AN73" t="e">
        <f>AND('Planilla_General_03-12-2012_9_3'!G1155,"AAAAAH23+yc=")</f>
        <v>#VALUE!</v>
      </c>
      <c r="AO73" t="e">
        <f>AND('Planilla_General_03-12-2012_9_3'!H1155,"AAAAAH23+yg=")</f>
        <v>#VALUE!</v>
      </c>
      <c r="AP73" t="e">
        <f>AND('Planilla_General_03-12-2012_9_3'!I1155,"AAAAAH23+yk=")</f>
        <v>#VALUE!</v>
      </c>
      <c r="AQ73" t="e">
        <f>AND('Planilla_General_03-12-2012_9_3'!J1155,"AAAAAH23+yo=")</f>
        <v>#VALUE!</v>
      </c>
      <c r="AR73" t="e">
        <f>AND('Planilla_General_03-12-2012_9_3'!K1155,"AAAAAH23+ys=")</f>
        <v>#VALUE!</v>
      </c>
      <c r="AS73" t="e">
        <f>AND('Planilla_General_03-12-2012_9_3'!L1155,"AAAAAH23+yw=")</f>
        <v>#VALUE!</v>
      </c>
      <c r="AT73" t="e">
        <f>AND('Planilla_General_03-12-2012_9_3'!M1155,"AAAAAH23+y0=")</f>
        <v>#VALUE!</v>
      </c>
      <c r="AU73" t="e">
        <f>AND('Planilla_General_03-12-2012_9_3'!N1155,"AAAAAH23+y4=")</f>
        <v>#VALUE!</v>
      </c>
      <c r="AV73" t="e">
        <f>AND('Planilla_General_03-12-2012_9_3'!O1155,"AAAAAH23+y8=")</f>
        <v>#VALUE!</v>
      </c>
      <c r="AW73">
        <f>IF('Planilla_General_03-12-2012_9_3'!1156:1156,"AAAAAH23+zA=",0)</f>
        <v>0</v>
      </c>
      <c r="AX73" t="e">
        <f>AND('Planilla_General_03-12-2012_9_3'!A1156,"AAAAAH23+zE=")</f>
        <v>#VALUE!</v>
      </c>
      <c r="AY73" t="e">
        <f>AND('Planilla_General_03-12-2012_9_3'!B1156,"AAAAAH23+zI=")</f>
        <v>#VALUE!</v>
      </c>
      <c r="AZ73" t="e">
        <f>AND('Planilla_General_03-12-2012_9_3'!C1156,"AAAAAH23+zM=")</f>
        <v>#VALUE!</v>
      </c>
      <c r="BA73" t="e">
        <f>AND('Planilla_General_03-12-2012_9_3'!D1156,"AAAAAH23+zQ=")</f>
        <v>#VALUE!</v>
      </c>
      <c r="BB73" t="e">
        <f>AND('Planilla_General_03-12-2012_9_3'!E1156,"AAAAAH23+zU=")</f>
        <v>#VALUE!</v>
      </c>
      <c r="BC73" t="e">
        <f>AND('Planilla_General_03-12-2012_9_3'!F1156,"AAAAAH23+zY=")</f>
        <v>#VALUE!</v>
      </c>
      <c r="BD73" t="e">
        <f>AND('Planilla_General_03-12-2012_9_3'!G1156,"AAAAAH23+zc=")</f>
        <v>#VALUE!</v>
      </c>
      <c r="BE73" t="e">
        <f>AND('Planilla_General_03-12-2012_9_3'!H1156,"AAAAAH23+zg=")</f>
        <v>#VALUE!</v>
      </c>
      <c r="BF73" t="e">
        <f>AND('Planilla_General_03-12-2012_9_3'!I1156,"AAAAAH23+zk=")</f>
        <v>#VALUE!</v>
      </c>
      <c r="BG73" t="e">
        <f>AND('Planilla_General_03-12-2012_9_3'!J1156,"AAAAAH23+zo=")</f>
        <v>#VALUE!</v>
      </c>
      <c r="BH73" t="e">
        <f>AND('Planilla_General_03-12-2012_9_3'!K1156,"AAAAAH23+zs=")</f>
        <v>#VALUE!</v>
      </c>
      <c r="BI73" t="e">
        <f>AND('Planilla_General_03-12-2012_9_3'!L1156,"AAAAAH23+zw=")</f>
        <v>#VALUE!</v>
      </c>
      <c r="BJ73" t="e">
        <f>AND('Planilla_General_03-12-2012_9_3'!M1156,"AAAAAH23+z0=")</f>
        <v>#VALUE!</v>
      </c>
      <c r="BK73" t="e">
        <f>AND('Planilla_General_03-12-2012_9_3'!N1156,"AAAAAH23+z4=")</f>
        <v>#VALUE!</v>
      </c>
      <c r="BL73" t="e">
        <f>AND('Planilla_General_03-12-2012_9_3'!O1156,"AAAAAH23+z8=")</f>
        <v>#VALUE!</v>
      </c>
      <c r="BM73">
        <f>IF('Planilla_General_03-12-2012_9_3'!1157:1157,"AAAAAH23+0A=",0)</f>
        <v>0</v>
      </c>
      <c r="BN73" t="e">
        <f>AND('Planilla_General_03-12-2012_9_3'!A1157,"AAAAAH23+0E=")</f>
        <v>#VALUE!</v>
      </c>
      <c r="BO73" t="e">
        <f>AND('Planilla_General_03-12-2012_9_3'!B1157,"AAAAAH23+0I=")</f>
        <v>#VALUE!</v>
      </c>
      <c r="BP73" t="e">
        <f>AND('Planilla_General_03-12-2012_9_3'!C1157,"AAAAAH23+0M=")</f>
        <v>#VALUE!</v>
      </c>
      <c r="BQ73" t="e">
        <f>AND('Planilla_General_03-12-2012_9_3'!D1157,"AAAAAH23+0Q=")</f>
        <v>#VALUE!</v>
      </c>
      <c r="BR73" t="e">
        <f>AND('Planilla_General_03-12-2012_9_3'!E1157,"AAAAAH23+0U=")</f>
        <v>#VALUE!</v>
      </c>
      <c r="BS73" t="e">
        <f>AND('Planilla_General_03-12-2012_9_3'!F1157,"AAAAAH23+0Y=")</f>
        <v>#VALUE!</v>
      </c>
      <c r="BT73" t="e">
        <f>AND('Planilla_General_03-12-2012_9_3'!G1157,"AAAAAH23+0c=")</f>
        <v>#VALUE!</v>
      </c>
      <c r="BU73" t="e">
        <f>AND('Planilla_General_03-12-2012_9_3'!H1157,"AAAAAH23+0g=")</f>
        <v>#VALUE!</v>
      </c>
      <c r="BV73" t="e">
        <f>AND('Planilla_General_03-12-2012_9_3'!I1157,"AAAAAH23+0k=")</f>
        <v>#VALUE!</v>
      </c>
      <c r="BW73" t="e">
        <f>AND('Planilla_General_03-12-2012_9_3'!J1157,"AAAAAH23+0o=")</f>
        <v>#VALUE!</v>
      </c>
      <c r="BX73" t="e">
        <f>AND('Planilla_General_03-12-2012_9_3'!K1157,"AAAAAH23+0s=")</f>
        <v>#VALUE!</v>
      </c>
      <c r="BY73" t="e">
        <f>AND('Planilla_General_03-12-2012_9_3'!L1157,"AAAAAH23+0w=")</f>
        <v>#VALUE!</v>
      </c>
      <c r="BZ73" t="e">
        <f>AND('Planilla_General_03-12-2012_9_3'!M1157,"AAAAAH23+00=")</f>
        <v>#VALUE!</v>
      </c>
      <c r="CA73" t="e">
        <f>AND('Planilla_General_03-12-2012_9_3'!N1157,"AAAAAH23+04=")</f>
        <v>#VALUE!</v>
      </c>
      <c r="CB73" t="e">
        <f>AND('Planilla_General_03-12-2012_9_3'!O1157,"AAAAAH23+08=")</f>
        <v>#VALUE!</v>
      </c>
      <c r="CC73">
        <f>IF('Planilla_General_03-12-2012_9_3'!1158:1158,"AAAAAH23+1A=",0)</f>
        <v>0</v>
      </c>
      <c r="CD73" t="e">
        <f>AND('Planilla_General_03-12-2012_9_3'!A1158,"AAAAAH23+1E=")</f>
        <v>#VALUE!</v>
      </c>
      <c r="CE73" t="e">
        <f>AND('Planilla_General_03-12-2012_9_3'!B1158,"AAAAAH23+1I=")</f>
        <v>#VALUE!</v>
      </c>
      <c r="CF73" t="e">
        <f>AND('Planilla_General_03-12-2012_9_3'!C1158,"AAAAAH23+1M=")</f>
        <v>#VALUE!</v>
      </c>
      <c r="CG73" t="e">
        <f>AND('Planilla_General_03-12-2012_9_3'!D1158,"AAAAAH23+1Q=")</f>
        <v>#VALUE!</v>
      </c>
      <c r="CH73" t="e">
        <f>AND('Planilla_General_03-12-2012_9_3'!E1158,"AAAAAH23+1U=")</f>
        <v>#VALUE!</v>
      </c>
      <c r="CI73" t="e">
        <f>AND('Planilla_General_03-12-2012_9_3'!F1158,"AAAAAH23+1Y=")</f>
        <v>#VALUE!</v>
      </c>
      <c r="CJ73" t="e">
        <f>AND('Planilla_General_03-12-2012_9_3'!G1158,"AAAAAH23+1c=")</f>
        <v>#VALUE!</v>
      </c>
      <c r="CK73" t="e">
        <f>AND('Planilla_General_03-12-2012_9_3'!H1158,"AAAAAH23+1g=")</f>
        <v>#VALUE!</v>
      </c>
      <c r="CL73" t="e">
        <f>AND('Planilla_General_03-12-2012_9_3'!I1158,"AAAAAH23+1k=")</f>
        <v>#VALUE!</v>
      </c>
      <c r="CM73" t="e">
        <f>AND('Planilla_General_03-12-2012_9_3'!J1158,"AAAAAH23+1o=")</f>
        <v>#VALUE!</v>
      </c>
      <c r="CN73" t="e">
        <f>AND('Planilla_General_03-12-2012_9_3'!K1158,"AAAAAH23+1s=")</f>
        <v>#VALUE!</v>
      </c>
      <c r="CO73" t="e">
        <f>AND('Planilla_General_03-12-2012_9_3'!L1158,"AAAAAH23+1w=")</f>
        <v>#VALUE!</v>
      </c>
      <c r="CP73" t="e">
        <f>AND('Planilla_General_03-12-2012_9_3'!M1158,"AAAAAH23+10=")</f>
        <v>#VALUE!</v>
      </c>
      <c r="CQ73" t="e">
        <f>AND('Planilla_General_03-12-2012_9_3'!N1158,"AAAAAH23+14=")</f>
        <v>#VALUE!</v>
      </c>
      <c r="CR73" t="e">
        <f>AND('Planilla_General_03-12-2012_9_3'!O1158,"AAAAAH23+18=")</f>
        <v>#VALUE!</v>
      </c>
      <c r="CS73">
        <f>IF('Planilla_General_03-12-2012_9_3'!1159:1159,"AAAAAH23+2A=",0)</f>
        <v>0</v>
      </c>
      <c r="CT73" t="e">
        <f>AND('Planilla_General_03-12-2012_9_3'!A1159,"AAAAAH23+2E=")</f>
        <v>#VALUE!</v>
      </c>
      <c r="CU73" t="e">
        <f>AND('Planilla_General_03-12-2012_9_3'!B1159,"AAAAAH23+2I=")</f>
        <v>#VALUE!</v>
      </c>
      <c r="CV73" t="e">
        <f>AND('Planilla_General_03-12-2012_9_3'!C1159,"AAAAAH23+2M=")</f>
        <v>#VALUE!</v>
      </c>
      <c r="CW73" t="e">
        <f>AND('Planilla_General_03-12-2012_9_3'!D1159,"AAAAAH23+2Q=")</f>
        <v>#VALUE!</v>
      </c>
      <c r="CX73" t="e">
        <f>AND('Planilla_General_03-12-2012_9_3'!E1159,"AAAAAH23+2U=")</f>
        <v>#VALUE!</v>
      </c>
      <c r="CY73" t="e">
        <f>AND('Planilla_General_03-12-2012_9_3'!F1159,"AAAAAH23+2Y=")</f>
        <v>#VALUE!</v>
      </c>
      <c r="CZ73" t="e">
        <f>AND('Planilla_General_03-12-2012_9_3'!G1159,"AAAAAH23+2c=")</f>
        <v>#VALUE!</v>
      </c>
      <c r="DA73" t="e">
        <f>AND('Planilla_General_03-12-2012_9_3'!H1159,"AAAAAH23+2g=")</f>
        <v>#VALUE!</v>
      </c>
      <c r="DB73" t="e">
        <f>AND('Planilla_General_03-12-2012_9_3'!I1159,"AAAAAH23+2k=")</f>
        <v>#VALUE!</v>
      </c>
      <c r="DC73" t="e">
        <f>AND('Planilla_General_03-12-2012_9_3'!J1159,"AAAAAH23+2o=")</f>
        <v>#VALUE!</v>
      </c>
      <c r="DD73" t="e">
        <f>AND('Planilla_General_03-12-2012_9_3'!K1159,"AAAAAH23+2s=")</f>
        <v>#VALUE!</v>
      </c>
      <c r="DE73" t="e">
        <f>AND('Planilla_General_03-12-2012_9_3'!L1159,"AAAAAH23+2w=")</f>
        <v>#VALUE!</v>
      </c>
      <c r="DF73" t="e">
        <f>AND('Planilla_General_03-12-2012_9_3'!M1159,"AAAAAH23+20=")</f>
        <v>#VALUE!</v>
      </c>
      <c r="DG73" t="e">
        <f>AND('Planilla_General_03-12-2012_9_3'!N1159,"AAAAAH23+24=")</f>
        <v>#VALUE!</v>
      </c>
      <c r="DH73" t="e">
        <f>AND('Planilla_General_03-12-2012_9_3'!O1159,"AAAAAH23+28=")</f>
        <v>#VALUE!</v>
      </c>
      <c r="DI73">
        <f>IF('Planilla_General_03-12-2012_9_3'!1160:1160,"AAAAAH23+3A=",0)</f>
        <v>0</v>
      </c>
      <c r="DJ73" t="e">
        <f>AND('Planilla_General_03-12-2012_9_3'!A1160,"AAAAAH23+3E=")</f>
        <v>#VALUE!</v>
      </c>
      <c r="DK73" t="e">
        <f>AND('Planilla_General_03-12-2012_9_3'!B1160,"AAAAAH23+3I=")</f>
        <v>#VALUE!</v>
      </c>
      <c r="DL73" t="e">
        <f>AND('Planilla_General_03-12-2012_9_3'!C1160,"AAAAAH23+3M=")</f>
        <v>#VALUE!</v>
      </c>
      <c r="DM73" t="e">
        <f>AND('Planilla_General_03-12-2012_9_3'!D1160,"AAAAAH23+3Q=")</f>
        <v>#VALUE!</v>
      </c>
      <c r="DN73" t="e">
        <f>AND('Planilla_General_03-12-2012_9_3'!E1160,"AAAAAH23+3U=")</f>
        <v>#VALUE!</v>
      </c>
      <c r="DO73" t="e">
        <f>AND('Planilla_General_03-12-2012_9_3'!F1160,"AAAAAH23+3Y=")</f>
        <v>#VALUE!</v>
      </c>
      <c r="DP73" t="e">
        <f>AND('Planilla_General_03-12-2012_9_3'!G1160,"AAAAAH23+3c=")</f>
        <v>#VALUE!</v>
      </c>
      <c r="DQ73" t="e">
        <f>AND('Planilla_General_03-12-2012_9_3'!H1160,"AAAAAH23+3g=")</f>
        <v>#VALUE!</v>
      </c>
      <c r="DR73" t="e">
        <f>AND('Planilla_General_03-12-2012_9_3'!I1160,"AAAAAH23+3k=")</f>
        <v>#VALUE!</v>
      </c>
      <c r="DS73" t="e">
        <f>AND('Planilla_General_03-12-2012_9_3'!J1160,"AAAAAH23+3o=")</f>
        <v>#VALUE!</v>
      </c>
      <c r="DT73" t="e">
        <f>AND('Planilla_General_03-12-2012_9_3'!K1160,"AAAAAH23+3s=")</f>
        <v>#VALUE!</v>
      </c>
      <c r="DU73" t="e">
        <f>AND('Planilla_General_03-12-2012_9_3'!L1160,"AAAAAH23+3w=")</f>
        <v>#VALUE!</v>
      </c>
      <c r="DV73" t="e">
        <f>AND('Planilla_General_03-12-2012_9_3'!M1160,"AAAAAH23+30=")</f>
        <v>#VALUE!</v>
      </c>
      <c r="DW73" t="e">
        <f>AND('Planilla_General_03-12-2012_9_3'!N1160,"AAAAAH23+34=")</f>
        <v>#VALUE!</v>
      </c>
      <c r="DX73" t="e">
        <f>AND('Planilla_General_03-12-2012_9_3'!O1160,"AAAAAH23+38=")</f>
        <v>#VALUE!</v>
      </c>
      <c r="DY73">
        <f>IF('Planilla_General_03-12-2012_9_3'!1161:1161,"AAAAAH23+4A=",0)</f>
        <v>0</v>
      </c>
      <c r="DZ73" t="e">
        <f>AND('Planilla_General_03-12-2012_9_3'!A1161,"AAAAAH23+4E=")</f>
        <v>#VALUE!</v>
      </c>
      <c r="EA73" t="e">
        <f>AND('Planilla_General_03-12-2012_9_3'!B1161,"AAAAAH23+4I=")</f>
        <v>#VALUE!</v>
      </c>
      <c r="EB73" t="e">
        <f>AND('Planilla_General_03-12-2012_9_3'!C1161,"AAAAAH23+4M=")</f>
        <v>#VALUE!</v>
      </c>
      <c r="EC73" t="e">
        <f>AND('Planilla_General_03-12-2012_9_3'!D1161,"AAAAAH23+4Q=")</f>
        <v>#VALUE!</v>
      </c>
      <c r="ED73" t="e">
        <f>AND('Planilla_General_03-12-2012_9_3'!E1161,"AAAAAH23+4U=")</f>
        <v>#VALUE!</v>
      </c>
      <c r="EE73" t="e">
        <f>AND('Planilla_General_03-12-2012_9_3'!F1161,"AAAAAH23+4Y=")</f>
        <v>#VALUE!</v>
      </c>
      <c r="EF73" t="e">
        <f>AND('Planilla_General_03-12-2012_9_3'!G1161,"AAAAAH23+4c=")</f>
        <v>#VALUE!</v>
      </c>
      <c r="EG73" t="e">
        <f>AND('Planilla_General_03-12-2012_9_3'!H1161,"AAAAAH23+4g=")</f>
        <v>#VALUE!</v>
      </c>
      <c r="EH73" t="e">
        <f>AND('Planilla_General_03-12-2012_9_3'!I1161,"AAAAAH23+4k=")</f>
        <v>#VALUE!</v>
      </c>
      <c r="EI73" t="e">
        <f>AND('Planilla_General_03-12-2012_9_3'!J1161,"AAAAAH23+4o=")</f>
        <v>#VALUE!</v>
      </c>
      <c r="EJ73" t="e">
        <f>AND('Planilla_General_03-12-2012_9_3'!K1161,"AAAAAH23+4s=")</f>
        <v>#VALUE!</v>
      </c>
      <c r="EK73" t="e">
        <f>AND('Planilla_General_03-12-2012_9_3'!L1161,"AAAAAH23+4w=")</f>
        <v>#VALUE!</v>
      </c>
      <c r="EL73" t="e">
        <f>AND('Planilla_General_03-12-2012_9_3'!M1161,"AAAAAH23+40=")</f>
        <v>#VALUE!</v>
      </c>
      <c r="EM73" t="e">
        <f>AND('Planilla_General_03-12-2012_9_3'!N1161,"AAAAAH23+44=")</f>
        <v>#VALUE!</v>
      </c>
      <c r="EN73" t="e">
        <f>AND('Planilla_General_03-12-2012_9_3'!O1161,"AAAAAH23+48=")</f>
        <v>#VALUE!</v>
      </c>
      <c r="EO73">
        <f>IF('Planilla_General_03-12-2012_9_3'!1162:1162,"AAAAAH23+5A=",0)</f>
        <v>0</v>
      </c>
      <c r="EP73" t="e">
        <f>AND('Planilla_General_03-12-2012_9_3'!A1162,"AAAAAH23+5E=")</f>
        <v>#VALUE!</v>
      </c>
      <c r="EQ73" t="e">
        <f>AND('Planilla_General_03-12-2012_9_3'!B1162,"AAAAAH23+5I=")</f>
        <v>#VALUE!</v>
      </c>
      <c r="ER73" t="e">
        <f>AND('Planilla_General_03-12-2012_9_3'!C1162,"AAAAAH23+5M=")</f>
        <v>#VALUE!</v>
      </c>
      <c r="ES73" t="e">
        <f>AND('Planilla_General_03-12-2012_9_3'!D1162,"AAAAAH23+5Q=")</f>
        <v>#VALUE!</v>
      </c>
      <c r="ET73" t="e">
        <f>AND('Planilla_General_03-12-2012_9_3'!E1162,"AAAAAH23+5U=")</f>
        <v>#VALUE!</v>
      </c>
      <c r="EU73" t="e">
        <f>AND('Planilla_General_03-12-2012_9_3'!F1162,"AAAAAH23+5Y=")</f>
        <v>#VALUE!</v>
      </c>
      <c r="EV73" t="e">
        <f>AND('Planilla_General_03-12-2012_9_3'!G1162,"AAAAAH23+5c=")</f>
        <v>#VALUE!</v>
      </c>
      <c r="EW73" t="e">
        <f>AND('Planilla_General_03-12-2012_9_3'!H1162,"AAAAAH23+5g=")</f>
        <v>#VALUE!</v>
      </c>
      <c r="EX73" t="e">
        <f>AND('Planilla_General_03-12-2012_9_3'!I1162,"AAAAAH23+5k=")</f>
        <v>#VALUE!</v>
      </c>
      <c r="EY73" t="e">
        <f>AND('Planilla_General_03-12-2012_9_3'!J1162,"AAAAAH23+5o=")</f>
        <v>#VALUE!</v>
      </c>
      <c r="EZ73" t="e">
        <f>AND('Planilla_General_03-12-2012_9_3'!K1162,"AAAAAH23+5s=")</f>
        <v>#VALUE!</v>
      </c>
      <c r="FA73" t="e">
        <f>AND('Planilla_General_03-12-2012_9_3'!L1162,"AAAAAH23+5w=")</f>
        <v>#VALUE!</v>
      </c>
      <c r="FB73" t="e">
        <f>AND('Planilla_General_03-12-2012_9_3'!M1162,"AAAAAH23+50=")</f>
        <v>#VALUE!</v>
      </c>
      <c r="FC73" t="e">
        <f>AND('Planilla_General_03-12-2012_9_3'!N1162,"AAAAAH23+54=")</f>
        <v>#VALUE!</v>
      </c>
      <c r="FD73" t="e">
        <f>AND('Planilla_General_03-12-2012_9_3'!O1162,"AAAAAH23+58=")</f>
        <v>#VALUE!</v>
      </c>
      <c r="FE73">
        <f>IF('Planilla_General_03-12-2012_9_3'!1163:1163,"AAAAAH23+6A=",0)</f>
        <v>0</v>
      </c>
      <c r="FF73" t="e">
        <f>AND('Planilla_General_03-12-2012_9_3'!A1163,"AAAAAH23+6E=")</f>
        <v>#VALUE!</v>
      </c>
      <c r="FG73" t="e">
        <f>AND('Planilla_General_03-12-2012_9_3'!B1163,"AAAAAH23+6I=")</f>
        <v>#VALUE!</v>
      </c>
      <c r="FH73" t="e">
        <f>AND('Planilla_General_03-12-2012_9_3'!C1163,"AAAAAH23+6M=")</f>
        <v>#VALUE!</v>
      </c>
      <c r="FI73" t="e">
        <f>AND('Planilla_General_03-12-2012_9_3'!D1163,"AAAAAH23+6Q=")</f>
        <v>#VALUE!</v>
      </c>
      <c r="FJ73" t="e">
        <f>AND('Planilla_General_03-12-2012_9_3'!E1163,"AAAAAH23+6U=")</f>
        <v>#VALUE!</v>
      </c>
      <c r="FK73" t="e">
        <f>AND('Planilla_General_03-12-2012_9_3'!F1163,"AAAAAH23+6Y=")</f>
        <v>#VALUE!</v>
      </c>
      <c r="FL73" t="e">
        <f>AND('Planilla_General_03-12-2012_9_3'!G1163,"AAAAAH23+6c=")</f>
        <v>#VALUE!</v>
      </c>
      <c r="FM73" t="e">
        <f>AND('Planilla_General_03-12-2012_9_3'!H1163,"AAAAAH23+6g=")</f>
        <v>#VALUE!</v>
      </c>
      <c r="FN73" t="e">
        <f>AND('Planilla_General_03-12-2012_9_3'!I1163,"AAAAAH23+6k=")</f>
        <v>#VALUE!</v>
      </c>
      <c r="FO73" t="e">
        <f>AND('Planilla_General_03-12-2012_9_3'!J1163,"AAAAAH23+6o=")</f>
        <v>#VALUE!</v>
      </c>
      <c r="FP73" t="e">
        <f>AND('Planilla_General_03-12-2012_9_3'!K1163,"AAAAAH23+6s=")</f>
        <v>#VALUE!</v>
      </c>
      <c r="FQ73" t="e">
        <f>AND('Planilla_General_03-12-2012_9_3'!L1163,"AAAAAH23+6w=")</f>
        <v>#VALUE!</v>
      </c>
      <c r="FR73" t="e">
        <f>AND('Planilla_General_03-12-2012_9_3'!M1163,"AAAAAH23+60=")</f>
        <v>#VALUE!</v>
      </c>
      <c r="FS73" t="e">
        <f>AND('Planilla_General_03-12-2012_9_3'!N1163,"AAAAAH23+64=")</f>
        <v>#VALUE!</v>
      </c>
      <c r="FT73" t="e">
        <f>AND('Planilla_General_03-12-2012_9_3'!O1163,"AAAAAH23+68=")</f>
        <v>#VALUE!</v>
      </c>
      <c r="FU73">
        <f>IF('Planilla_General_03-12-2012_9_3'!1164:1164,"AAAAAH23+7A=",0)</f>
        <v>0</v>
      </c>
      <c r="FV73" t="e">
        <f>AND('Planilla_General_03-12-2012_9_3'!A1164,"AAAAAH23+7E=")</f>
        <v>#VALUE!</v>
      </c>
      <c r="FW73" t="e">
        <f>AND('Planilla_General_03-12-2012_9_3'!B1164,"AAAAAH23+7I=")</f>
        <v>#VALUE!</v>
      </c>
      <c r="FX73" t="e">
        <f>AND('Planilla_General_03-12-2012_9_3'!C1164,"AAAAAH23+7M=")</f>
        <v>#VALUE!</v>
      </c>
      <c r="FY73" t="e">
        <f>AND('Planilla_General_03-12-2012_9_3'!D1164,"AAAAAH23+7Q=")</f>
        <v>#VALUE!</v>
      </c>
      <c r="FZ73" t="e">
        <f>AND('Planilla_General_03-12-2012_9_3'!E1164,"AAAAAH23+7U=")</f>
        <v>#VALUE!</v>
      </c>
      <c r="GA73" t="e">
        <f>AND('Planilla_General_03-12-2012_9_3'!F1164,"AAAAAH23+7Y=")</f>
        <v>#VALUE!</v>
      </c>
      <c r="GB73" t="e">
        <f>AND('Planilla_General_03-12-2012_9_3'!G1164,"AAAAAH23+7c=")</f>
        <v>#VALUE!</v>
      </c>
      <c r="GC73" t="e">
        <f>AND('Planilla_General_03-12-2012_9_3'!H1164,"AAAAAH23+7g=")</f>
        <v>#VALUE!</v>
      </c>
      <c r="GD73" t="e">
        <f>AND('Planilla_General_03-12-2012_9_3'!I1164,"AAAAAH23+7k=")</f>
        <v>#VALUE!</v>
      </c>
      <c r="GE73" t="e">
        <f>AND('Planilla_General_03-12-2012_9_3'!J1164,"AAAAAH23+7o=")</f>
        <v>#VALUE!</v>
      </c>
      <c r="GF73" t="e">
        <f>AND('Planilla_General_03-12-2012_9_3'!K1164,"AAAAAH23+7s=")</f>
        <v>#VALUE!</v>
      </c>
      <c r="GG73" t="e">
        <f>AND('Planilla_General_03-12-2012_9_3'!L1164,"AAAAAH23+7w=")</f>
        <v>#VALUE!</v>
      </c>
      <c r="GH73" t="e">
        <f>AND('Planilla_General_03-12-2012_9_3'!M1164,"AAAAAH23+70=")</f>
        <v>#VALUE!</v>
      </c>
      <c r="GI73" t="e">
        <f>AND('Planilla_General_03-12-2012_9_3'!N1164,"AAAAAH23+74=")</f>
        <v>#VALUE!</v>
      </c>
      <c r="GJ73" t="e">
        <f>AND('Planilla_General_03-12-2012_9_3'!O1164,"AAAAAH23+78=")</f>
        <v>#VALUE!</v>
      </c>
      <c r="GK73">
        <f>IF('Planilla_General_03-12-2012_9_3'!1165:1165,"AAAAAH23+8A=",0)</f>
        <v>0</v>
      </c>
      <c r="GL73" t="e">
        <f>AND('Planilla_General_03-12-2012_9_3'!A1165,"AAAAAH23+8E=")</f>
        <v>#VALUE!</v>
      </c>
      <c r="GM73" t="e">
        <f>AND('Planilla_General_03-12-2012_9_3'!B1165,"AAAAAH23+8I=")</f>
        <v>#VALUE!</v>
      </c>
      <c r="GN73" t="e">
        <f>AND('Planilla_General_03-12-2012_9_3'!C1165,"AAAAAH23+8M=")</f>
        <v>#VALUE!</v>
      </c>
      <c r="GO73" t="e">
        <f>AND('Planilla_General_03-12-2012_9_3'!D1165,"AAAAAH23+8Q=")</f>
        <v>#VALUE!</v>
      </c>
      <c r="GP73" t="e">
        <f>AND('Planilla_General_03-12-2012_9_3'!E1165,"AAAAAH23+8U=")</f>
        <v>#VALUE!</v>
      </c>
      <c r="GQ73" t="e">
        <f>AND('Planilla_General_03-12-2012_9_3'!F1165,"AAAAAH23+8Y=")</f>
        <v>#VALUE!</v>
      </c>
      <c r="GR73" t="e">
        <f>AND('Planilla_General_03-12-2012_9_3'!G1165,"AAAAAH23+8c=")</f>
        <v>#VALUE!</v>
      </c>
      <c r="GS73" t="e">
        <f>AND('Planilla_General_03-12-2012_9_3'!H1165,"AAAAAH23+8g=")</f>
        <v>#VALUE!</v>
      </c>
      <c r="GT73" t="e">
        <f>AND('Planilla_General_03-12-2012_9_3'!I1165,"AAAAAH23+8k=")</f>
        <v>#VALUE!</v>
      </c>
      <c r="GU73" t="e">
        <f>AND('Planilla_General_03-12-2012_9_3'!J1165,"AAAAAH23+8o=")</f>
        <v>#VALUE!</v>
      </c>
      <c r="GV73" t="e">
        <f>AND('Planilla_General_03-12-2012_9_3'!K1165,"AAAAAH23+8s=")</f>
        <v>#VALUE!</v>
      </c>
      <c r="GW73" t="e">
        <f>AND('Planilla_General_03-12-2012_9_3'!L1165,"AAAAAH23+8w=")</f>
        <v>#VALUE!</v>
      </c>
      <c r="GX73" t="e">
        <f>AND('Planilla_General_03-12-2012_9_3'!M1165,"AAAAAH23+80=")</f>
        <v>#VALUE!</v>
      </c>
      <c r="GY73" t="e">
        <f>AND('Planilla_General_03-12-2012_9_3'!N1165,"AAAAAH23+84=")</f>
        <v>#VALUE!</v>
      </c>
      <c r="GZ73" t="e">
        <f>AND('Planilla_General_03-12-2012_9_3'!O1165,"AAAAAH23+88=")</f>
        <v>#VALUE!</v>
      </c>
      <c r="HA73">
        <f>IF('Planilla_General_03-12-2012_9_3'!1166:1166,"AAAAAH23+9A=",0)</f>
        <v>0</v>
      </c>
      <c r="HB73" t="e">
        <f>AND('Planilla_General_03-12-2012_9_3'!A1166,"AAAAAH23+9E=")</f>
        <v>#VALUE!</v>
      </c>
      <c r="HC73" t="e">
        <f>AND('Planilla_General_03-12-2012_9_3'!B1166,"AAAAAH23+9I=")</f>
        <v>#VALUE!</v>
      </c>
      <c r="HD73" t="e">
        <f>AND('Planilla_General_03-12-2012_9_3'!C1166,"AAAAAH23+9M=")</f>
        <v>#VALUE!</v>
      </c>
      <c r="HE73" t="e">
        <f>AND('Planilla_General_03-12-2012_9_3'!D1166,"AAAAAH23+9Q=")</f>
        <v>#VALUE!</v>
      </c>
      <c r="HF73" t="e">
        <f>AND('Planilla_General_03-12-2012_9_3'!E1166,"AAAAAH23+9U=")</f>
        <v>#VALUE!</v>
      </c>
      <c r="HG73" t="e">
        <f>AND('Planilla_General_03-12-2012_9_3'!F1166,"AAAAAH23+9Y=")</f>
        <v>#VALUE!</v>
      </c>
      <c r="HH73" t="e">
        <f>AND('Planilla_General_03-12-2012_9_3'!G1166,"AAAAAH23+9c=")</f>
        <v>#VALUE!</v>
      </c>
      <c r="HI73" t="e">
        <f>AND('Planilla_General_03-12-2012_9_3'!H1166,"AAAAAH23+9g=")</f>
        <v>#VALUE!</v>
      </c>
      <c r="HJ73" t="e">
        <f>AND('Planilla_General_03-12-2012_9_3'!I1166,"AAAAAH23+9k=")</f>
        <v>#VALUE!</v>
      </c>
      <c r="HK73" t="e">
        <f>AND('Planilla_General_03-12-2012_9_3'!J1166,"AAAAAH23+9o=")</f>
        <v>#VALUE!</v>
      </c>
      <c r="HL73" t="e">
        <f>AND('Planilla_General_03-12-2012_9_3'!K1166,"AAAAAH23+9s=")</f>
        <v>#VALUE!</v>
      </c>
      <c r="HM73" t="e">
        <f>AND('Planilla_General_03-12-2012_9_3'!L1166,"AAAAAH23+9w=")</f>
        <v>#VALUE!</v>
      </c>
      <c r="HN73" t="e">
        <f>AND('Planilla_General_03-12-2012_9_3'!M1166,"AAAAAH23+90=")</f>
        <v>#VALUE!</v>
      </c>
      <c r="HO73" t="e">
        <f>AND('Planilla_General_03-12-2012_9_3'!N1166,"AAAAAH23+94=")</f>
        <v>#VALUE!</v>
      </c>
      <c r="HP73" t="e">
        <f>AND('Planilla_General_03-12-2012_9_3'!O1166,"AAAAAH23+98=")</f>
        <v>#VALUE!</v>
      </c>
      <c r="HQ73">
        <f>IF('Planilla_General_03-12-2012_9_3'!1167:1167,"AAAAAH23++A=",0)</f>
        <v>0</v>
      </c>
      <c r="HR73" t="e">
        <f>AND('Planilla_General_03-12-2012_9_3'!A1167,"AAAAAH23++E=")</f>
        <v>#VALUE!</v>
      </c>
      <c r="HS73" t="e">
        <f>AND('Planilla_General_03-12-2012_9_3'!B1167,"AAAAAH23++I=")</f>
        <v>#VALUE!</v>
      </c>
      <c r="HT73" t="e">
        <f>AND('Planilla_General_03-12-2012_9_3'!C1167,"AAAAAH23++M=")</f>
        <v>#VALUE!</v>
      </c>
      <c r="HU73" t="e">
        <f>AND('Planilla_General_03-12-2012_9_3'!D1167,"AAAAAH23++Q=")</f>
        <v>#VALUE!</v>
      </c>
      <c r="HV73" t="e">
        <f>AND('Planilla_General_03-12-2012_9_3'!E1167,"AAAAAH23++U=")</f>
        <v>#VALUE!</v>
      </c>
      <c r="HW73" t="e">
        <f>AND('Planilla_General_03-12-2012_9_3'!F1167,"AAAAAH23++Y=")</f>
        <v>#VALUE!</v>
      </c>
      <c r="HX73" t="e">
        <f>AND('Planilla_General_03-12-2012_9_3'!G1167,"AAAAAH23++c=")</f>
        <v>#VALUE!</v>
      </c>
      <c r="HY73" t="e">
        <f>AND('Planilla_General_03-12-2012_9_3'!H1167,"AAAAAH23++g=")</f>
        <v>#VALUE!</v>
      </c>
      <c r="HZ73" t="e">
        <f>AND('Planilla_General_03-12-2012_9_3'!I1167,"AAAAAH23++k=")</f>
        <v>#VALUE!</v>
      </c>
      <c r="IA73" t="e">
        <f>AND('Planilla_General_03-12-2012_9_3'!J1167,"AAAAAH23++o=")</f>
        <v>#VALUE!</v>
      </c>
      <c r="IB73" t="e">
        <f>AND('Planilla_General_03-12-2012_9_3'!K1167,"AAAAAH23++s=")</f>
        <v>#VALUE!</v>
      </c>
      <c r="IC73" t="e">
        <f>AND('Planilla_General_03-12-2012_9_3'!L1167,"AAAAAH23++w=")</f>
        <v>#VALUE!</v>
      </c>
      <c r="ID73" t="e">
        <f>AND('Planilla_General_03-12-2012_9_3'!M1167,"AAAAAH23++0=")</f>
        <v>#VALUE!</v>
      </c>
      <c r="IE73" t="e">
        <f>AND('Planilla_General_03-12-2012_9_3'!N1167,"AAAAAH23++4=")</f>
        <v>#VALUE!</v>
      </c>
      <c r="IF73" t="e">
        <f>AND('Planilla_General_03-12-2012_9_3'!O1167,"AAAAAH23++8=")</f>
        <v>#VALUE!</v>
      </c>
      <c r="IG73">
        <f>IF('Planilla_General_03-12-2012_9_3'!1168:1168,"AAAAAH23+/A=",0)</f>
        <v>0</v>
      </c>
      <c r="IH73" t="e">
        <f>AND('Planilla_General_03-12-2012_9_3'!A1168,"AAAAAH23+/E=")</f>
        <v>#VALUE!</v>
      </c>
      <c r="II73" t="e">
        <f>AND('Planilla_General_03-12-2012_9_3'!B1168,"AAAAAH23+/I=")</f>
        <v>#VALUE!</v>
      </c>
      <c r="IJ73" t="e">
        <f>AND('Planilla_General_03-12-2012_9_3'!C1168,"AAAAAH23+/M=")</f>
        <v>#VALUE!</v>
      </c>
      <c r="IK73" t="e">
        <f>AND('Planilla_General_03-12-2012_9_3'!D1168,"AAAAAH23+/Q=")</f>
        <v>#VALUE!</v>
      </c>
      <c r="IL73" t="e">
        <f>AND('Planilla_General_03-12-2012_9_3'!E1168,"AAAAAH23+/U=")</f>
        <v>#VALUE!</v>
      </c>
      <c r="IM73" t="e">
        <f>AND('Planilla_General_03-12-2012_9_3'!F1168,"AAAAAH23+/Y=")</f>
        <v>#VALUE!</v>
      </c>
      <c r="IN73" t="e">
        <f>AND('Planilla_General_03-12-2012_9_3'!G1168,"AAAAAH23+/c=")</f>
        <v>#VALUE!</v>
      </c>
      <c r="IO73" t="e">
        <f>AND('Planilla_General_03-12-2012_9_3'!H1168,"AAAAAH23+/g=")</f>
        <v>#VALUE!</v>
      </c>
      <c r="IP73" t="e">
        <f>AND('Planilla_General_03-12-2012_9_3'!I1168,"AAAAAH23+/k=")</f>
        <v>#VALUE!</v>
      </c>
      <c r="IQ73" t="e">
        <f>AND('Planilla_General_03-12-2012_9_3'!J1168,"AAAAAH23+/o=")</f>
        <v>#VALUE!</v>
      </c>
      <c r="IR73" t="e">
        <f>AND('Planilla_General_03-12-2012_9_3'!K1168,"AAAAAH23+/s=")</f>
        <v>#VALUE!</v>
      </c>
      <c r="IS73" t="e">
        <f>AND('Planilla_General_03-12-2012_9_3'!L1168,"AAAAAH23+/w=")</f>
        <v>#VALUE!</v>
      </c>
      <c r="IT73" t="e">
        <f>AND('Planilla_General_03-12-2012_9_3'!M1168,"AAAAAH23+/0=")</f>
        <v>#VALUE!</v>
      </c>
      <c r="IU73" t="e">
        <f>AND('Planilla_General_03-12-2012_9_3'!N1168,"AAAAAH23+/4=")</f>
        <v>#VALUE!</v>
      </c>
      <c r="IV73" t="e">
        <f>AND('Planilla_General_03-12-2012_9_3'!O1168,"AAAAAH23+/8=")</f>
        <v>#VALUE!</v>
      </c>
    </row>
    <row r="74" spans="1:256" x14ac:dyDescent="0.25">
      <c r="A74" t="e">
        <f>IF('Planilla_General_03-12-2012_9_3'!1169:1169,"AAAAAH/P7wA=",0)</f>
        <v>#VALUE!</v>
      </c>
      <c r="B74" t="e">
        <f>AND('Planilla_General_03-12-2012_9_3'!A1169,"AAAAAH/P7wE=")</f>
        <v>#VALUE!</v>
      </c>
      <c r="C74" t="e">
        <f>AND('Planilla_General_03-12-2012_9_3'!B1169,"AAAAAH/P7wI=")</f>
        <v>#VALUE!</v>
      </c>
      <c r="D74" t="e">
        <f>AND('Planilla_General_03-12-2012_9_3'!C1169,"AAAAAH/P7wM=")</f>
        <v>#VALUE!</v>
      </c>
      <c r="E74" t="e">
        <f>AND('Planilla_General_03-12-2012_9_3'!D1169,"AAAAAH/P7wQ=")</f>
        <v>#VALUE!</v>
      </c>
      <c r="F74" t="e">
        <f>AND('Planilla_General_03-12-2012_9_3'!E1169,"AAAAAH/P7wU=")</f>
        <v>#VALUE!</v>
      </c>
      <c r="G74" t="e">
        <f>AND('Planilla_General_03-12-2012_9_3'!F1169,"AAAAAH/P7wY=")</f>
        <v>#VALUE!</v>
      </c>
      <c r="H74" t="e">
        <f>AND('Planilla_General_03-12-2012_9_3'!G1169,"AAAAAH/P7wc=")</f>
        <v>#VALUE!</v>
      </c>
      <c r="I74" t="e">
        <f>AND('Planilla_General_03-12-2012_9_3'!H1169,"AAAAAH/P7wg=")</f>
        <v>#VALUE!</v>
      </c>
      <c r="J74" t="e">
        <f>AND('Planilla_General_03-12-2012_9_3'!I1169,"AAAAAH/P7wk=")</f>
        <v>#VALUE!</v>
      </c>
      <c r="K74" t="e">
        <f>AND('Planilla_General_03-12-2012_9_3'!J1169,"AAAAAH/P7wo=")</f>
        <v>#VALUE!</v>
      </c>
      <c r="L74" t="e">
        <f>AND('Planilla_General_03-12-2012_9_3'!K1169,"AAAAAH/P7ws=")</f>
        <v>#VALUE!</v>
      </c>
      <c r="M74" t="e">
        <f>AND('Planilla_General_03-12-2012_9_3'!L1169,"AAAAAH/P7ww=")</f>
        <v>#VALUE!</v>
      </c>
      <c r="N74" t="e">
        <f>AND('Planilla_General_03-12-2012_9_3'!M1169,"AAAAAH/P7w0=")</f>
        <v>#VALUE!</v>
      </c>
      <c r="O74" t="e">
        <f>AND('Planilla_General_03-12-2012_9_3'!N1169,"AAAAAH/P7w4=")</f>
        <v>#VALUE!</v>
      </c>
      <c r="P74" t="e">
        <f>AND('Planilla_General_03-12-2012_9_3'!O1169,"AAAAAH/P7w8=")</f>
        <v>#VALUE!</v>
      </c>
      <c r="Q74">
        <f>IF('Planilla_General_03-12-2012_9_3'!1170:1170,"AAAAAH/P7xA=",0)</f>
        <v>0</v>
      </c>
      <c r="R74" t="e">
        <f>AND('Planilla_General_03-12-2012_9_3'!A1170,"AAAAAH/P7xE=")</f>
        <v>#VALUE!</v>
      </c>
      <c r="S74" t="e">
        <f>AND('Planilla_General_03-12-2012_9_3'!B1170,"AAAAAH/P7xI=")</f>
        <v>#VALUE!</v>
      </c>
      <c r="T74" t="e">
        <f>AND('Planilla_General_03-12-2012_9_3'!C1170,"AAAAAH/P7xM=")</f>
        <v>#VALUE!</v>
      </c>
      <c r="U74" t="e">
        <f>AND('Planilla_General_03-12-2012_9_3'!D1170,"AAAAAH/P7xQ=")</f>
        <v>#VALUE!</v>
      </c>
      <c r="V74" t="e">
        <f>AND('Planilla_General_03-12-2012_9_3'!E1170,"AAAAAH/P7xU=")</f>
        <v>#VALUE!</v>
      </c>
      <c r="W74" t="e">
        <f>AND('Planilla_General_03-12-2012_9_3'!F1170,"AAAAAH/P7xY=")</f>
        <v>#VALUE!</v>
      </c>
      <c r="X74" t="e">
        <f>AND('Planilla_General_03-12-2012_9_3'!G1170,"AAAAAH/P7xc=")</f>
        <v>#VALUE!</v>
      </c>
      <c r="Y74" t="e">
        <f>AND('Planilla_General_03-12-2012_9_3'!H1170,"AAAAAH/P7xg=")</f>
        <v>#VALUE!</v>
      </c>
      <c r="Z74" t="e">
        <f>AND('Planilla_General_03-12-2012_9_3'!I1170,"AAAAAH/P7xk=")</f>
        <v>#VALUE!</v>
      </c>
      <c r="AA74" t="e">
        <f>AND('Planilla_General_03-12-2012_9_3'!J1170,"AAAAAH/P7xo=")</f>
        <v>#VALUE!</v>
      </c>
      <c r="AB74" t="e">
        <f>AND('Planilla_General_03-12-2012_9_3'!K1170,"AAAAAH/P7xs=")</f>
        <v>#VALUE!</v>
      </c>
      <c r="AC74" t="e">
        <f>AND('Planilla_General_03-12-2012_9_3'!L1170,"AAAAAH/P7xw=")</f>
        <v>#VALUE!</v>
      </c>
      <c r="AD74" t="e">
        <f>AND('Planilla_General_03-12-2012_9_3'!M1170,"AAAAAH/P7x0=")</f>
        <v>#VALUE!</v>
      </c>
      <c r="AE74" t="e">
        <f>AND('Planilla_General_03-12-2012_9_3'!N1170,"AAAAAH/P7x4=")</f>
        <v>#VALUE!</v>
      </c>
      <c r="AF74" t="e">
        <f>AND('Planilla_General_03-12-2012_9_3'!O1170,"AAAAAH/P7x8=")</f>
        <v>#VALUE!</v>
      </c>
      <c r="AG74">
        <f>IF('Planilla_General_03-12-2012_9_3'!1171:1171,"AAAAAH/P7yA=",0)</f>
        <v>0</v>
      </c>
      <c r="AH74" t="e">
        <f>AND('Planilla_General_03-12-2012_9_3'!A1171,"AAAAAH/P7yE=")</f>
        <v>#VALUE!</v>
      </c>
      <c r="AI74" t="e">
        <f>AND('Planilla_General_03-12-2012_9_3'!B1171,"AAAAAH/P7yI=")</f>
        <v>#VALUE!</v>
      </c>
      <c r="AJ74" t="e">
        <f>AND('Planilla_General_03-12-2012_9_3'!C1171,"AAAAAH/P7yM=")</f>
        <v>#VALUE!</v>
      </c>
      <c r="AK74" t="e">
        <f>AND('Planilla_General_03-12-2012_9_3'!D1171,"AAAAAH/P7yQ=")</f>
        <v>#VALUE!</v>
      </c>
      <c r="AL74" t="e">
        <f>AND('Planilla_General_03-12-2012_9_3'!E1171,"AAAAAH/P7yU=")</f>
        <v>#VALUE!</v>
      </c>
      <c r="AM74" t="e">
        <f>AND('Planilla_General_03-12-2012_9_3'!F1171,"AAAAAH/P7yY=")</f>
        <v>#VALUE!</v>
      </c>
      <c r="AN74" t="e">
        <f>AND('Planilla_General_03-12-2012_9_3'!G1171,"AAAAAH/P7yc=")</f>
        <v>#VALUE!</v>
      </c>
      <c r="AO74" t="e">
        <f>AND('Planilla_General_03-12-2012_9_3'!H1171,"AAAAAH/P7yg=")</f>
        <v>#VALUE!</v>
      </c>
      <c r="AP74" t="e">
        <f>AND('Planilla_General_03-12-2012_9_3'!I1171,"AAAAAH/P7yk=")</f>
        <v>#VALUE!</v>
      </c>
      <c r="AQ74" t="e">
        <f>AND('Planilla_General_03-12-2012_9_3'!J1171,"AAAAAH/P7yo=")</f>
        <v>#VALUE!</v>
      </c>
      <c r="AR74" t="e">
        <f>AND('Planilla_General_03-12-2012_9_3'!K1171,"AAAAAH/P7ys=")</f>
        <v>#VALUE!</v>
      </c>
      <c r="AS74" t="e">
        <f>AND('Planilla_General_03-12-2012_9_3'!L1171,"AAAAAH/P7yw=")</f>
        <v>#VALUE!</v>
      </c>
      <c r="AT74" t="e">
        <f>AND('Planilla_General_03-12-2012_9_3'!M1171,"AAAAAH/P7y0=")</f>
        <v>#VALUE!</v>
      </c>
      <c r="AU74" t="e">
        <f>AND('Planilla_General_03-12-2012_9_3'!N1171,"AAAAAH/P7y4=")</f>
        <v>#VALUE!</v>
      </c>
      <c r="AV74" t="e">
        <f>AND('Planilla_General_03-12-2012_9_3'!O1171,"AAAAAH/P7y8=")</f>
        <v>#VALUE!</v>
      </c>
      <c r="AW74">
        <f>IF('Planilla_General_03-12-2012_9_3'!1172:1172,"AAAAAH/P7zA=",0)</f>
        <v>0</v>
      </c>
      <c r="AX74" t="e">
        <f>AND('Planilla_General_03-12-2012_9_3'!A1172,"AAAAAH/P7zE=")</f>
        <v>#VALUE!</v>
      </c>
      <c r="AY74" t="e">
        <f>AND('Planilla_General_03-12-2012_9_3'!B1172,"AAAAAH/P7zI=")</f>
        <v>#VALUE!</v>
      </c>
      <c r="AZ74" t="e">
        <f>AND('Planilla_General_03-12-2012_9_3'!C1172,"AAAAAH/P7zM=")</f>
        <v>#VALUE!</v>
      </c>
      <c r="BA74" t="e">
        <f>AND('Planilla_General_03-12-2012_9_3'!D1172,"AAAAAH/P7zQ=")</f>
        <v>#VALUE!</v>
      </c>
      <c r="BB74" t="e">
        <f>AND('Planilla_General_03-12-2012_9_3'!E1172,"AAAAAH/P7zU=")</f>
        <v>#VALUE!</v>
      </c>
      <c r="BC74" t="e">
        <f>AND('Planilla_General_03-12-2012_9_3'!F1172,"AAAAAH/P7zY=")</f>
        <v>#VALUE!</v>
      </c>
      <c r="BD74" t="e">
        <f>AND('Planilla_General_03-12-2012_9_3'!G1172,"AAAAAH/P7zc=")</f>
        <v>#VALUE!</v>
      </c>
      <c r="BE74" t="e">
        <f>AND('Planilla_General_03-12-2012_9_3'!H1172,"AAAAAH/P7zg=")</f>
        <v>#VALUE!</v>
      </c>
      <c r="BF74" t="e">
        <f>AND('Planilla_General_03-12-2012_9_3'!I1172,"AAAAAH/P7zk=")</f>
        <v>#VALUE!</v>
      </c>
      <c r="BG74" t="e">
        <f>AND('Planilla_General_03-12-2012_9_3'!J1172,"AAAAAH/P7zo=")</f>
        <v>#VALUE!</v>
      </c>
      <c r="BH74" t="e">
        <f>AND('Planilla_General_03-12-2012_9_3'!K1172,"AAAAAH/P7zs=")</f>
        <v>#VALUE!</v>
      </c>
      <c r="BI74" t="e">
        <f>AND('Planilla_General_03-12-2012_9_3'!L1172,"AAAAAH/P7zw=")</f>
        <v>#VALUE!</v>
      </c>
      <c r="BJ74" t="e">
        <f>AND('Planilla_General_03-12-2012_9_3'!M1172,"AAAAAH/P7z0=")</f>
        <v>#VALUE!</v>
      </c>
      <c r="BK74" t="e">
        <f>AND('Planilla_General_03-12-2012_9_3'!N1172,"AAAAAH/P7z4=")</f>
        <v>#VALUE!</v>
      </c>
      <c r="BL74" t="e">
        <f>AND('Planilla_General_03-12-2012_9_3'!O1172,"AAAAAH/P7z8=")</f>
        <v>#VALUE!</v>
      </c>
      <c r="BM74">
        <f>IF('Planilla_General_03-12-2012_9_3'!1173:1173,"AAAAAH/P70A=",0)</f>
        <v>0</v>
      </c>
      <c r="BN74" t="e">
        <f>AND('Planilla_General_03-12-2012_9_3'!A1173,"AAAAAH/P70E=")</f>
        <v>#VALUE!</v>
      </c>
      <c r="BO74" t="e">
        <f>AND('Planilla_General_03-12-2012_9_3'!B1173,"AAAAAH/P70I=")</f>
        <v>#VALUE!</v>
      </c>
      <c r="BP74" t="e">
        <f>AND('Planilla_General_03-12-2012_9_3'!C1173,"AAAAAH/P70M=")</f>
        <v>#VALUE!</v>
      </c>
      <c r="BQ74" t="e">
        <f>AND('Planilla_General_03-12-2012_9_3'!D1173,"AAAAAH/P70Q=")</f>
        <v>#VALUE!</v>
      </c>
      <c r="BR74" t="e">
        <f>AND('Planilla_General_03-12-2012_9_3'!E1173,"AAAAAH/P70U=")</f>
        <v>#VALUE!</v>
      </c>
      <c r="BS74" t="e">
        <f>AND('Planilla_General_03-12-2012_9_3'!F1173,"AAAAAH/P70Y=")</f>
        <v>#VALUE!</v>
      </c>
      <c r="BT74" t="e">
        <f>AND('Planilla_General_03-12-2012_9_3'!G1173,"AAAAAH/P70c=")</f>
        <v>#VALUE!</v>
      </c>
      <c r="BU74" t="e">
        <f>AND('Planilla_General_03-12-2012_9_3'!H1173,"AAAAAH/P70g=")</f>
        <v>#VALUE!</v>
      </c>
      <c r="BV74" t="e">
        <f>AND('Planilla_General_03-12-2012_9_3'!I1173,"AAAAAH/P70k=")</f>
        <v>#VALUE!</v>
      </c>
      <c r="BW74" t="e">
        <f>AND('Planilla_General_03-12-2012_9_3'!J1173,"AAAAAH/P70o=")</f>
        <v>#VALUE!</v>
      </c>
      <c r="BX74" t="e">
        <f>AND('Planilla_General_03-12-2012_9_3'!K1173,"AAAAAH/P70s=")</f>
        <v>#VALUE!</v>
      </c>
      <c r="BY74" t="e">
        <f>AND('Planilla_General_03-12-2012_9_3'!L1173,"AAAAAH/P70w=")</f>
        <v>#VALUE!</v>
      </c>
      <c r="BZ74" t="e">
        <f>AND('Planilla_General_03-12-2012_9_3'!M1173,"AAAAAH/P700=")</f>
        <v>#VALUE!</v>
      </c>
      <c r="CA74" t="e">
        <f>AND('Planilla_General_03-12-2012_9_3'!N1173,"AAAAAH/P704=")</f>
        <v>#VALUE!</v>
      </c>
      <c r="CB74" t="e">
        <f>AND('Planilla_General_03-12-2012_9_3'!O1173,"AAAAAH/P708=")</f>
        <v>#VALUE!</v>
      </c>
      <c r="CC74">
        <f>IF('Planilla_General_03-12-2012_9_3'!1174:1174,"AAAAAH/P71A=",0)</f>
        <v>0</v>
      </c>
      <c r="CD74" t="e">
        <f>AND('Planilla_General_03-12-2012_9_3'!A1174,"AAAAAH/P71E=")</f>
        <v>#VALUE!</v>
      </c>
      <c r="CE74" t="e">
        <f>AND('Planilla_General_03-12-2012_9_3'!B1174,"AAAAAH/P71I=")</f>
        <v>#VALUE!</v>
      </c>
      <c r="CF74" t="e">
        <f>AND('Planilla_General_03-12-2012_9_3'!C1174,"AAAAAH/P71M=")</f>
        <v>#VALUE!</v>
      </c>
      <c r="CG74" t="e">
        <f>AND('Planilla_General_03-12-2012_9_3'!D1174,"AAAAAH/P71Q=")</f>
        <v>#VALUE!</v>
      </c>
      <c r="CH74" t="e">
        <f>AND('Planilla_General_03-12-2012_9_3'!E1174,"AAAAAH/P71U=")</f>
        <v>#VALUE!</v>
      </c>
      <c r="CI74" t="e">
        <f>AND('Planilla_General_03-12-2012_9_3'!F1174,"AAAAAH/P71Y=")</f>
        <v>#VALUE!</v>
      </c>
      <c r="CJ74" t="e">
        <f>AND('Planilla_General_03-12-2012_9_3'!G1174,"AAAAAH/P71c=")</f>
        <v>#VALUE!</v>
      </c>
      <c r="CK74" t="e">
        <f>AND('Planilla_General_03-12-2012_9_3'!H1174,"AAAAAH/P71g=")</f>
        <v>#VALUE!</v>
      </c>
      <c r="CL74" t="e">
        <f>AND('Planilla_General_03-12-2012_9_3'!I1174,"AAAAAH/P71k=")</f>
        <v>#VALUE!</v>
      </c>
      <c r="CM74" t="e">
        <f>AND('Planilla_General_03-12-2012_9_3'!J1174,"AAAAAH/P71o=")</f>
        <v>#VALUE!</v>
      </c>
      <c r="CN74" t="e">
        <f>AND('Planilla_General_03-12-2012_9_3'!K1174,"AAAAAH/P71s=")</f>
        <v>#VALUE!</v>
      </c>
      <c r="CO74" t="e">
        <f>AND('Planilla_General_03-12-2012_9_3'!L1174,"AAAAAH/P71w=")</f>
        <v>#VALUE!</v>
      </c>
      <c r="CP74" t="e">
        <f>AND('Planilla_General_03-12-2012_9_3'!M1174,"AAAAAH/P710=")</f>
        <v>#VALUE!</v>
      </c>
      <c r="CQ74" t="e">
        <f>AND('Planilla_General_03-12-2012_9_3'!N1174,"AAAAAH/P714=")</f>
        <v>#VALUE!</v>
      </c>
      <c r="CR74" t="e">
        <f>AND('Planilla_General_03-12-2012_9_3'!O1174,"AAAAAH/P718=")</f>
        <v>#VALUE!</v>
      </c>
      <c r="CS74">
        <f>IF('Planilla_General_03-12-2012_9_3'!1175:1175,"AAAAAH/P72A=",0)</f>
        <v>0</v>
      </c>
      <c r="CT74" t="e">
        <f>AND('Planilla_General_03-12-2012_9_3'!A1175,"AAAAAH/P72E=")</f>
        <v>#VALUE!</v>
      </c>
      <c r="CU74" t="e">
        <f>AND('Planilla_General_03-12-2012_9_3'!B1175,"AAAAAH/P72I=")</f>
        <v>#VALUE!</v>
      </c>
      <c r="CV74" t="e">
        <f>AND('Planilla_General_03-12-2012_9_3'!C1175,"AAAAAH/P72M=")</f>
        <v>#VALUE!</v>
      </c>
      <c r="CW74" t="e">
        <f>AND('Planilla_General_03-12-2012_9_3'!D1175,"AAAAAH/P72Q=")</f>
        <v>#VALUE!</v>
      </c>
      <c r="CX74" t="e">
        <f>AND('Planilla_General_03-12-2012_9_3'!E1175,"AAAAAH/P72U=")</f>
        <v>#VALUE!</v>
      </c>
      <c r="CY74" t="e">
        <f>AND('Planilla_General_03-12-2012_9_3'!F1175,"AAAAAH/P72Y=")</f>
        <v>#VALUE!</v>
      </c>
      <c r="CZ74" t="e">
        <f>AND('Planilla_General_03-12-2012_9_3'!G1175,"AAAAAH/P72c=")</f>
        <v>#VALUE!</v>
      </c>
      <c r="DA74" t="e">
        <f>AND('Planilla_General_03-12-2012_9_3'!H1175,"AAAAAH/P72g=")</f>
        <v>#VALUE!</v>
      </c>
      <c r="DB74" t="e">
        <f>AND('Planilla_General_03-12-2012_9_3'!I1175,"AAAAAH/P72k=")</f>
        <v>#VALUE!</v>
      </c>
      <c r="DC74" t="e">
        <f>AND('Planilla_General_03-12-2012_9_3'!J1175,"AAAAAH/P72o=")</f>
        <v>#VALUE!</v>
      </c>
      <c r="DD74" t="e">
        <f>AND('Planilla_General_03-12-2012_9_3'!K1175,"AAAAAH/P72s=")</f>
        <v>#VALUE!</v>
      </c>
      <c r="DE74" t="e">
        <f>AND('Planilla_General_03-12-2012_9_3'!L1175,"AAAAAH/P72w=")</f>
        <v>#VALUE!</v>
      </c>
      <c r="DF74" t="e">
        <f>AND('Planilla_General_03-12-2012_9_3'!M1175,"AAAAAH/P720=")</f>
        <v>#VALUE!</v>
      </c>
      <c r="DG74" t="e">
        <f>AND('Planilla_General_03-12-2012_9_3'!N1175,"AAAAAH/P724=")</f>
        <v>#VALUE!</v>
      </c>
      <c r="DH74" t="e">
        <f>AND('Planilla_General_03-12-2012_9_3'!O1175,"AAAAAH/P728=")</f>
        <v>#VALUE!</v>
      </c>
      <c r="DI74">
        <f>IF('Planilla_General_03-12-2012_9_3'!1176:1176,"AAAAAH/P73A=",0)</f>
        <v>0</v>
      </c>
      <c r="DJ74" t="e">
        <f>AND('Planilla_General_03-12-2012_9_3'!A1176,"AAAAAH/P73E=")</f>
        <v>#VALUE!</v>
      </c>
      <c r="DK74" t="e">
        <f>AND('Planilla_General_03-12-2012_9_3'!B1176,"AAAAAH/P73I=")</f>
        <v>#VALUE!</v>
      </c>
      <c r="DL74" t="e">
        <f>AND('Planilla_General_03-12-2012_9_3'!C1176,"AAAAAH/P73M=")</f>
        <v>#VALUE!</v>
      </c>
      <c r="DM74" t="e">
        <f>AND('Planilla_General_03-12-2012_9_3'!D1176,"AAAAAH/P73Q=")</f>
        <v>#VALUE!</v>
      </c>
      <c r="DN74" t="e">
        <f>AND('Planilla_General_03-12-2012_9_3'!E1176,"AAAAAH/P73U=")</f>
        <v>#VALUE!</v>
      </c>
      <c r="DO74" t="e">
        <f>AND('Planilla_General_03-12-2012_9_3'!F1176,"AAAAAH/P73Y=")</f>
        <v>#VALUE!</v>
      </c>
      <c r="DP74" t="e">
        <f>AND('Planilla_General_03-12-2012_9_3'!G1176,"AAAAAH/P73c=")</f>
        <v>#VALUE!</v>
      </c>
      <c r="DQ74" t="e">
        <f>AND('Planilla_General_03-12-2012_9_3'!H1176,"AAAAAH/P73g=")</f>
        <v>#VALUE!</v>
      </c>
      <c r="DR74" t="e">
        <f>AND('Planilla_General_03-12-2012_9_3'!I1176,"AAAAAH/P73k=")</f>
        <v>#VALUE!</v>
      </c>
      <c r="DS74" t="e">
        <f>AND('Planilla_General_03-12-2012_9_3'!J1176,"AAAAAH/P73o=")</f>
        <v>#VALUE!</v>
      </c>
      <c r="DT74" t="e">
        <f>AND('Planilla_General_03-12-2012_9_3'!K1176,"AAAAAH/P73s=")</f>
        <v>#VALUE!</v>
      </c>
      <c r="DU74" t="e">
        <f>AND('Planilla_General_03-12-2012_9_3'!L1176,"AAAAAH/P73w=")</f>
        <v>#VALUE!</v>
      </c>
      <c r="DV74" t="e">
        <f>AND('Planilla_General_03-12-2012_9_3'!M1176,"AAAAAH/P730=")</f>
        <v>#VALUE!</v>
      </c>
      <c r="DW74" t="e">
        <f>AND('Planilla_General_03-12-2012_9_3'!N1176,"AAAAAH/P734=")</f>
        <v>#VALUE!</v>
      </c>
      <c r="DX74" t="e">
        <f>AND('Planilla_General_03-12-2012_9_3'!O1176,"AAAAAH/P738=")</f>
        <v>#VALUE!</v>
      </c>
      <c r="DY74">
        <f>IF('Planilla_General_03-12-2012_9_3'!1177:1177,"AAAAAH/P74A=",0)</f>
        <v>0</v>
      </c>
      <c r="DZ74" t="e">
        <f>AND('Planilla_General_03-12-2012_9_3'!A1177,"AAAAAH/P74E=")</f>
        <v>#VALUE!</v>
      </c>
      <c r="EA74" t="e">
        <f>AND('Planilla_General_03-12-2012_9_3'!B1177,"AAAAAH/P74I=")</f>
        <v>#VALUE!</v>
      </c>
      <c r="EB74" t="e">
        <f>AND('Planilla_General_03-12-2012_9_3'!C1177,"AAAAAH/P74M=")</f>
        <v>#VALUE!</v>
      </c>
      <c r="EC74" t="e">
        <f>AND('Planilla_General_03-12-2012_9_3'!D1177,"AAAAAH/P74Q=")</f>
        <v>#VALUE!</v>
      </c>
      <c r="ED74" t="e">
        <f>AND('Planilla_General_03-12-2012_9_3'!E1177,"AAAAAH/P74U=")</f>
        <v>#VALUE!</v>
      </c>
      <c r="EE74" t="e">
        <f>AND('Planilla_General_03-12-2012_9_3'!F1177,"AAAAAH/P74Y=")</f>
        <v>#VALUE!</v>
      </c>
      <c r="EF74" t="e">
        <f>AND('Planilla_General_03-12-2012_9_3'!G1177,"AAAAAH/P74c=")</f>
        <v>#VALUE!</v>
      </c>
      <c r="EG74" t="e">
        <f>AND('Planilla_General_03-12-2012_9_3'!H1177,"AAAAAH/P74g=")</f>
        <v>#VALUE!</v>
      </c>
      <c r="EH74" t="e">
        <f>AND('Planilla_General_03-12-2012_9_3'!I1177,"AAAAAH/P74k=")</f>
        <v>#VALUE!</v>
      </c>
      <c r="EI74" t="e">
        <f>AND('Planilla_General_03-12-2012_9_3'!J1177,"AAAAAH/P74o=")</f>
        <v>#VALUE!</v>
      </c>
      <c r="EJ74" t="e">
        <f>AND('Planilla_General_03-12-2012_9_3'!K1177,"AAAAAH/P74s=")</f>
        <v>#VALUE!</v>
      </c>
      <c r="EK74" t="e">
        <f>AND('Planilla_General_03-12-2012_9_3'!L1177,"AAAAAH/P74w=")</f>
        <v>#VALUE!</v>
      </c>
      <c r="EL74" t="e">
        <f>AND('Planilla_General_03-12-2012_9_3'!M1177,"AAAAAH/P740=")</f>
        <v>#VALUE!</v>
      </c>
      <c r="EM74" t="e">
        <f>AND('Planilla_General_03-12-2012_9_3'!N1177,"AAAAAH/P744=")</f>
        <v>#VALUE!</v>
      </c>
      <c r="EN74" t="e">
        <f>AND('Planilla_General_03-12-2012_9_3'!O1177,"AAAAAH/P748=")</f>
        <v>#VALUE!</v>
      </c>
      <c r="EO74">
        <f>IF('Planilla_General_03-12-2012_9_3'!1178:1178,"AAAAAH/P75A=",0)</f>
        <v>0</v>
      </c>
      <c r="EP74" t="e">
        <f>AND('Planilla_General_03-12-2012_9_3'!A1178,"AAAAAH/P75E=")</f>
        <v>#VALUE!</v>
      </c>
      <c r="EQ74" t="e">
        <f>AND('Planilla_General_03-12-2012_9_3'!B1178,"AAAAAH/P75I=")</f>
        <v>#VALUE!</v>
      </c>
      <c r="ER74" t="e">
        <f>AND('Planilla_General_03-12-2012_9_3'!C1178,"AAAAAH/P75M=")</f>
        <v>#VALUE!</v>
      </c>
      <c r="ES74" t="e">
        <f>AND('Planilla_General_03-12-2012_9_3'!D1178,"AAAAAH/P75Q=")</f>
        <v>#VALUE!</v>
      </c>
      <c r="ET74" t="e">
        <f>AND('Planilla_General_03-12-2012_9_3'!E1178,"AAAAAH/P75U=")</f>
        <v>#VALUE!</v>
      </c>
      <c r="EU74" t="e">
        <f>AND('Planilla_General_03-12-2012_9_3'!F1178,"AAAAAH/P75Y=")</f>
        <v>#VALUE!</v>
      </c>
      <c r="EV74" t="e">
        <f>AND('Planilla_General_03-12-2012_9_3'!G1178,"AAAAAH/P75c=")</f>
        <v>#VALUE!</v>
      </c>
      <c r="EW74" t="e">
        <f>AND('Planilla_General_03-12-2012_9_3'!H1178,"AAAAAH/P75g=")</f>
        <v>#VALUE!</v>
      </c>
      <c r="EX74" t="e">
        <f>AND('Planilla_General_03-12-2012_9_3'!I1178,"AAAAAH/P75k=")</f>
        <v>#VALUE!</v>
      </c>
      <c r="EY74" t="e">
        <f>AND('Planilla_General_03-12-2012_9_3'!J1178,"AAAAAH/P75o=")</f>
        <v>#VALUE!</v>
      </c>
      <c r="EZ74" t="e">
        <f>AND('Planilla_General_03-12-2012_9_3'!K1178,"AAAAAH/P75s=")</f>
        <v>#VALUE!</v>
      </c>
      <c r="FA74" t="e">
        <f>AND('Planilla_General_03-12-2012_9_3'!L1178,"AAAAAH/P75w=")</f>
        <v>#VALUE!</v>
      </c>
      <c r="FB74" t="e">
        <f>AND('Planilla_General_03-12-2012_9_3'!M1178,"AAAAAH/P750=")</f>
        <v>#VALUE!</v>
      </c>
      <c r="FC74" t="e">
        <f>AND('Planilla_General_03-12-2012_9_3'!N1178,"AAAAAH/P754=")</f>
        <v>#VALUE!</v>
      </c>
      <c r="FD74" t="e">
        <f>AND('Planilla_General_03-12-2012_9_3'!O1178,"AAAAAH/P758=")</f>
        <v>#VALUE!</v>
      </c>
      <c r="FE74">
        <f>IF('Planilla_General_03-12-2012_9_3'!1179:1179,"AAAAAH/P76A=",0)</f>
        <v>0</v>
      </c>
      <c r="FF74" t="e">
        <f>AND('Planilla_General_03-12-2012_9_3'!A1179,"AAAAAH/P76E=")</f>
        <v>#VALUE!</v>
      </c>
      <c r="FG74" t="e">
        <f>AND('Planilla_General_03-12-2012_9_3'!B1179,"AAAAAH/P76I=")</f>
        <v>#VALUE!</v>
      </c>
      <c r="FH74" t="e">
        <f>AND('Planilla_General_03-12-2012_9_3'!C1179,"AAAAAH/P76M=")</f>
        <v>#VALUE!</v>
      </c>
      <c r="FI74" t="e">
        <f>AND('Planilla_General_03-12-2012_9_3'!D1179,"AAAAAH/P76Q=")</f>
        <v>#VALUE!</v>
      </c>
      <c r="FJ74" t="e">
        <f>AND('Planilla_General_03-12-2012_9_3'!E1179,"AAAAAH/P76U=")</f>
        <v>#VALUE!</v>
      </c>
      <c r="FK74" t="e">
        <f>AND('Planilla_General_03-12-2012_9_3'!F1179,"AAAAAH/P76Y=")</f>
        <v>#VALUE!</v>
      </c>
      <c r="FL74" t="e">
        <f>AND('Planilla_General_03-12-2012_9_3'!G1179,"AAAAAH/P76c=")</f>
        <v>#VALUE!</v>
      </c>
      <c r="FM74" t="e">
        <f>AND('Planilla_General_03-12-2012_9_3'!H1179,"AAAAAH/P76g=")</f>
        <v>#VALUE!</v>
      </c>
      <c r="FN74" t="e">
        <f>AND('Planilla_General_03-12-2012_9_3'!I1179,"AAAAAH/P76k=")</f>
        <v>#VALUE!</v>
      </c>
      <c r="FO74" t="e">
        <f>AND('Planilla_General_03-12-2012_9_3'!J1179,"AAAAAH/P76o=")</f>
        <v>#VALUE!</v>
      </c>
      <c r="FP74" t="e">
        <f>AND('Planilla_General_03-12-2012_9_3'!K1179,"AAAAAH/P76s=")</f>
        <v>#VALUE!</v>
      </c>
      <c r="FQ74" t="e">
        <f>AND('Planilla_General_03-12-2012_9_3'!L1179,"AAAAAH/P76w=")</f>
        <v>#VALUE!</v>
      </c>
      <c r="FR74" t="e">
        <f>AND('Planilla_General_03-12-2012_9_3'!M1179,"AAAAAH/P760=")</f>
        <v>#VALUE!</v>
      </c>
      <c r="FS74" t="e">
        <f>AND('Planilla_General_03-12-2012_9_3'!N1179,"AAAAAH/P764=")</f>
        <v>#VALUE!</v>
      </c>
      <c r="FT74" t="e">
        <f>AND('Planilla_General_03-12-2012_9_3'!O1179,"AAAAAH/P768=")</f>
        <v>#VALUE!</v>
      </c>
      <c r="FU74">
        <f>IF('Planilla_General_03-12-2012_9_3'!1180:1180,"AAAAAH/P77A=",0)</f>
        <v>0</v>
      </c>
      <c r="FV74" t="e">
        <f>AND('Planilla_General_03-12-2012_9_3'!A1180,"AAAAAH/P77E=")</f>
        <v>#VALUE!</v>
      </c>
      <c r="FW74" t="e">
        <f>AND('Planilla_General_03-12-2012_9_3'!B1180,"AAAAAH/P77I=")</f>
        <v>#VALUE!</v>
      </c>
      <c r="FX74" t="e">
        <f>AND('Planilla_General_03-12-2012_9_3'!C1180,"AAAAAH/P77M=")</f>
        <v>#VALUE!</v>
      </c>
      <c r="FY74" t="e">
        <f>AND('Planilla_General_03-12-2012_9_3'!D1180,"AAAAAH/P77Q=")</f>
        <v>#VALUE!</v>
      </c>
      <c r="FZ74" t="e">
        <f>AND('Planilla_General_03-12-2012_9_3'!E1180,"AAAAAH/P77U=")</f>
        <v>#VALUE!</v>
      </c>
      <c r="GA74" t="e">
        <f>AND('Planilla_General_03-12-2012_9_3'!F1180,"AAAAAH/P77Y=")</f>
        <v>#VALUE!</v>
      </c>
      <c r="GB74" t="e">
        <f>AND('Planilla_General_03-12-2012_9_3'!G1180,"AAAAAH/P77c=")</f>
        <v>#VALUE!</v>
      </c>
      <c r="GC74" t="e">
        <f>AND('Planilla_General_03-12-2012_9_3'!H1180,"AAAAAH/P77g=")</f>
        <v>#VALUE!</v>
      </c>
      <c r="GD74" t="e">
        <f>AND('Planilla_General_03-12-2012_9_3'!I1180,"AAAAAH/P77k=")</f>
        <v>#VALUE!</v>
      </c>
      <c r="GE74" t="e">
        <f>AND('Planilla_General_03-12-2012_9_3'!J1180,"AAAAAH/P77o=")</f>
        <v>#VALUE!</v>
      </c>
      <c r="GF74" t="e">
        <f>AND('Planilla_General_03-12-2012_9_3'!K1180,"AAAAAH/P77s=")</f>
        <v>#VALUE!</v>
      </c>
      <c r="GG74" t="e">
        <f>AND('Planilla_General_03-12-2012_9_3'!L1180,"AAAAAH/P77w=")</f>
        <v>#VALUE!</v>
      </c>
      <c r="GH74" t="e">
        <f>AND('Planilla_General_03-12-2012_9_3'!M1180,"AAAAAH/P770=")</f>
        <v>#VALUE!</v>
      </c>
      <c r="GI74" t="e">
        <f>AND('Planilla_General_03-12-2012_9_3'!N1180,"AAAAAH/P774=")</f>
        <v>#VALUE!</v>
      </c>
      <c r="GJ74" t="e">
        <f>AND('Planilla_General_03-12-2012_9_3'!O1180,"AAAAAH/P778=")</f>
        <v>#VALUE!</v>
      </c>
      <c r="GK74">
        <f>IF('Planilla_General_03-12-2012_9_3'!1181:1181,"AAAAAH/P78A=",0)</f>
        <v>0</v>
      </c>
      <c r="GL74" t="e">
        <f>AND('Planilla_General_03-12-2012_9_3'!A1181,"AAAAAH/P78E=")</f>
        <v>#VALUE!</v>
      </c>
      <c r="GM74" t="e">
        <f>AND('Planilla_General_03-12-2012_9_3'!B1181,"AAAAAH/P78I=")</f>
        <v>#VALUE!</v>
      </c>
      <c r="GN74" t="e">
        <f>AND('Planilla_General_03-12-2012_9_3'!C1181,"AAAAAH/P78M=")</f>
        <v>#VALUE!</v>
      </c>
      <c r="GO74" t="e">
        <f>AND('Planilla_General_03-12-2012_9_3'!D1181,"AAAAAH/P78Q=")</f>
        <v>#VALUE!</v>
      </c>
      <c r="GP74" t="e">
        <f>AND('Planilla_General_03-12-2012_9_3'!E1181,"AAAAAH/P78U=")</f>
        <v>#VALUE!</v>
      </c>
      <c r="GQ74" t="e">
        <f>AND('Planilla_General_03-12-2012_9_3'!F1181,"AAAAAH/P78Y=")</f>
        <v>#VALUE!</v>
      </c>
      <c r="GR74" t="e">
        <f>AND('Planilla_General_03-12-2012_9_3'!G1181,"AAAAAH/P78c=")</f>
        <v>#VALUE!</v>
      </c>
      <c r="GS74" t="e">
        <f>AND('Planilla_General_03-12-2012_9_3'!H1181,"AAAAAH/P78g=")</f>
        <v>#VALUE!</v>
      </c>
      <c r="GT74" t="e">
        <f>AND('Planilla_General_03-12-2012_9_3'!I1181,"AAAAAH/P78k=")</f>
        <v>#VALUE!</v>
      </c>
      <c r="GU74" t="e">
        <f>AND('Planilla_General_03-12-2012_9_3'!J1181,"AAAAAH/P78o=")</f>
        <v>#VALUE!</v>
      </c>
      <c r="GV74" t="e">
        <f>AND('Planilla_General_03-12-2012_9_3'!K1181,"AAAAAH/P78s=")</f>
        <v>#VALUE!</v>
      </c>
      <c r="GW74" t="e">
        <f>AND('Planilla_General_03-12-2012_9_3'!L1181,"AAAAAH/P78w=")</f>
        <v>#VALUE!</v>
      </c>
      <c r="GX74" t="e">
        <f>AND('Planilla_General_03-12-2012_9_3'!M1181,"AAAAAH/P780=")</f>
        <v>#VALUE!</v>
      </c>
      <c r="GY74" t="e">
        <f>AND('Planilla_General_03-12-2012_9_3'!N1181,"AAAAAH/P784=")</f>
        <v>#VALUE!</v>
      </c>
      <c r="GZ74" t="e">
        <f>AND('Planilla_General_03-12-2012_9_3'!O1181,"AAAAAH/P788=")</f>
        <v>#VALUE!</v>
      </c>
      <c r="HA74">
        <f>IF('Planilla_General_03-12-2012_9_3'!1182:1182,"AAAAAH/P79A=",0)</f>
        <v>0</v>
      </c>
      <c r="HB74" t="e">
        <f>AND('Planilla_General_03-12-2012_9_3'!A1182,"AAAAAH/P79E=")</f>
        <v>#VALUE!</v>
      </c>
      <c r="HC74" t="e">
        <f>AND('Planilla_General_03-12-2012_9_3'!B1182,"AAAAAH/P79I=")</f>
        <v>#VALUE!</v>
      </c>
      <c r="HD74" t="e">
        <f>AND('Planilla_General_03-12-2012_9_3'!C1182,"AAAAAH/P79M=")</f>
        <v>#VALUE!</v>
      </c>
      <c r="HE74" t="e">
        <f>AND('Planilla_General_03-12-2012_9_3'!D1182,"AAAAAH/P79Q=")</f>
        <v>#VALUE!</v>
      </c>
      <c r="HF74" t="e">
        <f>AND('Planilla_General_03-12-2012_9_3'!E1182,"AAAAAH/P79U=")</f>
        <v>#VALUE!</v>
      </c>
      <c r="HG74" t="e">
        <f>AND('Planilla_General_03-12-2012_9_3'!F1182,"AAAAAH/P79Y=")</f>
        <v>#VALUE!</v>
      </c>
      <c r="HH74" t="e">
        <f>AND('Planilla_General_03-12-2012_9_3'!G1182,"AAAAAH/P79c=")</f>
        <v>#VALUE!</v>
      </c>
      <c r="HI74" t="e">
        <f>AND('Planilla_General_03-12-2012_9_3'!H1182,"AAAAAH/P79g=")</f>
        <v>#VALUE!</v>
      </c>
      <c r="HJ74" t="e">
        <f>AND('Planilla_General_03-12-2012_9_3'!I1182,"AAAAAH/P79k=")</f>
        <v>#VALUE!</v>
      </c>
      <c r="HK74" t="e">
        <f>AND('Planilla_General_03-12-2012_9_3'!J1182,"AAAAAH/P79o=")</f>
        <v>#VALUE!</v>
      </c>
      <c r="HL74" t="e">
        <f>AND('Planilla_General_03-12-2012_9_3'!K1182,"AAAAAH/P79s=")</f>
        <v>#VALUE!</v>
      </c>
      <c r="HM74" t="e">
        <f>AND('Planilla_General_03-12-2012_9_3'!L1182,"AAAAAH/P79w=")</f>
        <v>#VALUE!</v>
      </c>
      <c r="HN74" t="e">
        <f>AND('Planilla_General_03-12-2012_9_3'!M1182,"AAAAAH/P790=")</f>
        <v>#VALUE!</v>
      </c>
      <c r="HO74" t="e">
        <f>AND('Planilla_General_03-12-2012_9_3'!N1182,"AAAAAH/P794=")</f>
        <v>#VALUE!</v>
      </c>
      <c r="HP74" t="e">
        <f>AND('Planilla_General_03-12-2012_9_3'!O1182,"AAAAAH/P798=")</f>
        <v>#VALUE!</v>
      </c>
      <c r="HQ74">
        <f>IF('Planilla_General_03-12-2012_9_3'!1183:1183,"AAAAAH/P7+A=",0)</f>
        <v>0</v>
      </c>
      <c r="HR74" t="e">
        <f>AND('Planilla_General_03-12-2012_9_3'!A1183,"AAAAAH/P7+E=")</f>
        <v>#VALUE!</v>
      </c>
      <c r="HS74" t="e">
        <f>AND('Planilla_General_03-12-2012_9_3'!B1183,"AAAAAH/P7+I=")</f>
        <v>#VALUE!</v>
      </c>
      <c r="HT74" t="e">
        <f>AND('Planilla_General_03-12-2012_9_3'!C1183,"AAAAAH/P7+M=")</f>
        <v>#VALUE!</v>
      </c>
      <c r="HU74" t="e">
        <f>AND('Planilla_General_03-12-2012_9_3'!D1183,"AAAAAH/P7+Q=")</f>
        <v>#VALUE!</v>
      </c>
      <c r="HV74" t="e">
        <f>AND('Planilla_General_03-12-2012_9_3'!E1183,"AAAAAH/P7+U=")</f>
        <v>#VALUE!</v>
      </c>
      <c r="HW74" t="e">
        <f>AND('Planilla_General_03-12-2012_9_3'!F1183,"AAAAAH/P7+Y=")</f>
        <v>#VALUE!</v>
      </c>
      <c r="HX74" t="e">
        <f>AND('Planilla_General_03-12-2012_9_3'!G1183,"AAAAAH/P7+c=")</f>
        <v>#VALUE!</v>
      </c>
      <c r="HY74" t="e">
        <f>AND('Planilla_General_03-12-2012_9_3'!H1183,"AAAAAH/P7+g=")</f>
        <v>#VALUE!</v>
      </c>
      <c r="HZ74" t="e">
        <f>AND('Planilla_General_03-12-2012_9_3'!I1183,"AAAAAH/P7+k=")</f>
        <v>#VALUE!</v>
      </c>
      <c r="IA74" t="e">
        <f>AND('Planilla_General_03-12-2012_9_3'!J1183,"AAAAAH/P7+o=")</f>
        <v>#VALUE!</v>
      </c>
      <c r="IB74" t="e">
        <f>AND('Planilla_General_03-12-2012_9_3'!K1183,"AAAAAH/P7+s=")</f>
        <v>#VALUE!</v>
      </c>
      <c r="IC74" t="e">
        <f>AND('Planilla_General_03-12-2012_9_3'!L1183,"AAAAAH/P7+w=")</f>
        <v>#VALUE!</v>
      </c>
      <c r="ID74" t="e">
        <f>AND('Planilla_General_03-12-2012_9_3'!M1183,"AAAAAH/P7+0=")</f>
        <v>#VALUE!</v>
      </c>
      <c r="IE74" t="e">
        <f>AND('Planilla_General_03-12-2012_9_3'!N1183,"AAAAAH/P7+4=")</f>
        <v>#VALUE!</v>
      </c>
      <c r="IF74" t="e">
        <f>AND('Planilla_General_03-12-2012_9_3'!O1183,"AAAAAH/P7+8=")</f>
        <v>#VALUE!</v>
      </c>
      <c r="IG74">
        <f>IF('Planilla_General_03-12-2012_9_3'!1184:1184,"AAAAAH/P7/A=",0)</f>
        <v>0</v>
      </c>
      <c r="IH74" t="e">
        <f>AND('Planilla_General_03-12-2012_9_3'!A1184,"AAAAAH/P7/E=")</f>
        <v>#VALUE!</v>
      </c>
      <c r="II74" t="e">
        <f>AND('Planilla_General_03-12-2012_9_3'!B1184,"AAAAAH/P7/I=")</f>
        <v>#VALUE!</v>
      </c>
      <c r="IJ74" t="e">
        <f>AND('Planilla_General_03-12-2012_9_3'!C1184,"AAAAAH/P7/M=")</f>
        <v>#VALUE!</v>
      </c>
      <c r="IK74" t="e">
        <f>AND('Planilla_General_03-12-2012_9_3'!D1184,"AAAAAH/P7/Q=")</f>
        <v>#VALUE!</v>
      </c>
      <c r="IL74" t="e">
        <f>AND('Planilla_General_03-12-2012_9_3'!E1184,"AAAAAH/P7/U=")</f>
        <v>#VALUE!</v>
      </c>
      <c r="IM74" t="e">
        <f>AND('Planilla_General_03-12-2012_9_3'!F1184,"AAAAAH/P7/Y=")</f>
        <v>#VALUE!</v>
      </c>
      <c r="IN74" t="e">
        <f>AND('Planilla_General_03-12-2012_9_3'!G1184,"AAAAAH/P7/c=")</f>
        <v>#VALUE!</v>
      </c>
      <c r="IO74" t="e">
        <f>AND('Planilla_General_03-12-2012_9_3'!H1184,"AAAAAH/P7/g=")</f>
        <v>#VALUE!</v>
      </c>
      <c r="IP74" t="e">
        <f>AND('Planilla_General_03-12-2012_9_3'!I1184,"AAAAAH/P7/k=")</f>
        <v>#VALUE!</v>
      </c>
      <c r="IQ74" t="e">
        <f>AND('Planilla_General_03-12-2012_9_3'!J1184,"AAAAAH/P7/o=")</f>
        <v>#VALUE!</v>
      </c>
      <c r="IR74" t="e">
        <f>AND('Planilla_General_03-12-2012_9_3'!K1184,"AAAAAH/P7/s=")</f>
        <v>#VALUE!</v>
      </c>
      <c r="IS74" t="e">
        <f>AND('Planilla_General_03-12-2012_9_3'!L1184,"AAAAAH/P7/w=")</f>
        <v>#VALUE!</v>
      </c>
      <c r="IT74" t="e">
        <f>AND('Planilla_General_03-12-2012_9_3'!M1184,"AAAAAH/P7/0=")</f>
        <v>#VALUE!</v>
      </c>
      <c r="IU74" t="e">
        <f>AND('Planilla_General_03-12-2012_9_3'!N1184,"AAAAAH/P7/4=")</f>
        <v>#VALUE!</v>
      </c>
      <c r="IV74" t="e">
        <f>AND('Planilla_General_03-12-2012_9_3'!O1184,"AAAAAH/P7/8=")</f>
        <v>#VALUE!</v>
      </c>
    </row>
    <row r="75" spans="1:256" x14ac:dyDescent="0.25">
      <c r="A75" t="e">
        <f>IF('Planilla_General_03-12-2012_9_3'!1185:1185,"AAAAAG//vQA=",0)</f>
        <v>#VALUE!</v>
      </c>
      <c r="B75" t="e">
        <f>AND('Planilla_General_03-12-2012_9_3'!A1185,"AAAAAG//vQE=")</f>
        <v>#VALUE!</v>
      </c>
      <c r="C75" t="e">
        <f>AND('Planilla_General_03-12-2012_9_3'!B1185,"AAAAAG//vQI=")</f>
        <v>#VALUE!</v>
      </c>
      <c r="D75" t="e">
        <f>AND('Planilla_General_03-12-2012_9_3'!C1185,"AAAAAG//vQM=")</f>
        <v>#VALUE!</v>
      </c>
      <c r="E75" t="e">
        <f>AND('Planilla_General_03-12-2012_9_3'!D1185,"AAAAAG//vQQ=")</f>
        <v>#VALUE!</v>
      </c>
      <c r="F75" t="e">
        <f>AND('Planilla_General_03-12-2012_9_3'!E1185,"AAAAAG//vQU=")</f>
        <v>#VALUE!</v>
      </c>
      <c r="G75" t="e">
        <f>AND('Planilla_General_03-12-2012_9_3'!F1185,"AAAAAG//vQY=")</f>
        <v>#VALUE!</v>
      </c>
      <c r="H75" t="e">
        <f>AND('Planilla_General_03-12-2012_9_3'!G1185,"AAAAAG//vQc=")</f>
        <v>#VALUE!</v>
      </c>
      <c r="I75" t="e">
        <f>AND('Planilla_General_03-12-2012_9_3'!H1185,"AAAAAG//vQg=")</f>
        <v>#VALUE!</v>
      </c>
      <c r="J75" t="e">
        <f>AND('Planilla_General_03-12-2012_9_3'!I1185,"AAAAAG//vQk=")</f>
        <v>#VALUE!</v>
      </c>
      <c r="K75" t="e">
        <f>AND('Planilla_General_03-12-2012_9_3'!J1185,"AAAAAG//vQo=")</f>
        <v>#VALUE!</v>
      </c>
      <c r="L75" t="e">
        <f>AND('Planilla_General_03-12-2012_9_3'!K1185,"AAAAAG//vQs=")</f>
        <v>#VALUE!</v>
      </c>
      <c r="M75" t="e">
        <f>AND('Planilla_General_03-12-2012_9_3'!L1185,"AAAAAG//vQw=")</f>
        <v>#VALUE!</v>
      </c>
      <c r="N75" t="e">
        <f>AND('Planilla_General_03-12-2012_9_3'!M1185,"AAAAAG//vQ0=")</f>
        <v>#VALUE!</v>
      </c>
      <c r="O75" t="e">
        <f>AND('Planilla_General_03-12-2012_9_3'!N1185,"AAAAAG//vQ4=")</f>
        <v>#VALUE!</v>
      </c>
      <c r="P75" t="e">
        <f>AND('Planilla_General_03-12-2012_9_3'!O1185,"AAAAAG//vQ8=")</f>
        <v>#VALUE!</v>
      </c>
      <c r="Q75">
        <f>IF('Planilla_General_03-12-2012_9_3'!1186:1186,"AAAAAG//vRA=",0)</f>
        <v>0</v>
      </c>
      <c r="R75" t="e">
        <f>AND('Planilla_General_03-12-2012_9_3'!A1186,"AAAAAG//vRE=")</f>
        <v>#VALUE!</v>
      </c>
      <c r="S75" t="e">
        <f>AND('Planilla_General_03-12-2012_9_3'!B1186,"AAAAAG//vRI=")</f>
        <v>#VALUE!</v>
      </c>
      <c r="T75" t="e">
        <f>AND('Planilla_General_03-12-2012_9_3'!C1186,"AAAAAG//vRM=")</f>
        <v>#VALUE!</v>
      </c>
      <c r="U75" t="e">
        <f>AND('Planilla_General_03-12-2012_9_3'!D1186,"AAAAAG//vRQ=")</f>
        <v>#VALUE!</v>
      </c>
      <c r="V75" t="e">
        <f>AND('Planilla_General_03-12-2012_9_3'!E1186,"AAAAAG//vRU=")</f>
        <v>#VALUE!</v>
      </c>
      <c r="W75" t="e">
        <f>AND('Planilla_General_03-12-2012_9_3'!F1186,"AAAAAG//vRY=")</f>
        <v>#VALUE!</v>
      </c>
      <c r="X75" t="e">
        <f>AND('Planilla_General_03-12-2012_9_3'!G1186,"AAAAAG//vRc=")</f>
        <v>#VALUE!</v>
      </c>
      <c r="Y75" t="e">
        <f>AND('Planilla_General_03-12-2012_9_3'!H1186,"AAAAAG//vRg=")</f>
        <v>#VALUE!</v>
      </c>
      <c r="Z75" t="e">
        <f>AND('Planilla_General_03-12-2012_9_3'!I1186,"AAAAAG//vRk=")</f>
        <v>#VALUE!</v>
      </c>
      <c r="AA75" t="e">
        <f>AND('Planilla_General_03-12-2012_9_3'!J1186,"AAAAAG//vRo=")</f>
        <v>#VALUE!</v>
      </c>
      <c r="AB75" t="e">
        <f>AND('Planilla_General_03-12-2012_9_3'!K1186,"AAAAAG//vRs=")</f>
        <v>#VALUE!</v>
      </c>
      <c r="AC75" t="e">
        <f>AND('Planilla_General_03-12-2012_9_3'!L1186,"AAAAAG//vRw=")</f>
        <v>#VALUE!</v>
      </c>
      <c r="AD75" t="e">
        <f>AND('Planilla_General_03-12-2012_9_3'!M1186,"AAAAAG//vR0=")</f>
        <v>#VALUE!</v>
      </c>
      <c r="AE75" t="e">
        <f>AND('Planilla_General_03-12-2012_9_3'!N1186,"AAAAAG//vR4=")</f>
        <v>#VALUE!</v>
      </c>
      <c r="AF75" t="e">
        <f>AND('Planilla_General_03-12-2012_9_3'!O1186,"AAAAAG//vR8=")</f>
        <v>#VALUE!</v>
      </c>
      <c r="AG75">
        <f>IF('Planilla_General_03-12-2012_9_3'!1187:1187,"AAAAAG//vSA=",0)</f>
        <v>0</v>
      </c>
      <c r="AH75" t="e">
        <f>AND('Planilla_General_03-12-2012_9_3'!A1187,"AAAAAG//vSE=")</f>
        <v>#VALUE!</v>
      </c>
      <c r="AI75" t="e">
        <f>AND('Planilla_General_03-12-2012_9_3'!B1187,"AAAAAG//vSI=")</f>
        <v>#VALUE!</v>
      </c>
      <c r="AJ75" t="e">
        <f>AND('Planilla_General_03-12-2012_9_3'!C1187,"AAAAAG//vSM=")</f>
        <v>#VALUE!</v>
      </c>
      <c r="AK75" t="e">
        <f>AND('Planilla_General_03-12-2012_9_3'!D1187,"AAAAAG//vSQ=")</f>
        <v>#VALUE!</v>
      </c>
      <c r="AL75" t="e">
        <f>AND('Planilla_General_03-12-2012_9_3'!E1187,"AAAAAG//vSU=")</f>
        <v>#VALUE!</v>
      </c>
      <c r="AM75" t="e">
        <f>AND('Planilla_General_03-12-2012_9_3'!F1187,"AAAAAG//vSY=")</f>
        <v>#VALUE!</v>
      </c>
      <c r="AN75" t="e">
        <f>AND('Planilla_General_03-12-2012_9_3'!G1187,"AAAAAG//vSc=")</f>
        <v>#VALUE!</v>
      </c>
      <c r="AO75" t="e">
        <f>AND('Planilla_General_03-12-2012_9_3'!H1187,"AAAAAG//vSg=")</f>
        <v>#VALUE!</v>
      </c>
      <c r="AP75" t="e">
        <f>AND('Planilla_General_03-12-2012_9_3'!I1187,"AAAAAG//vSk=")</f>
        <v>#VALUE!</v>
      </c>
      <c r="AQ75" t="e">
        <f>AND('Planilla_General_03-12-2012_9_3'!J1187,"AAAAAG//vSo=")</f>
        <v>#VALUE!</v>
      </c>
      <c r="AR75" t="e">
        <f>AND('Planilla_General_03-12-2012_9_3'!K1187,"AAAAAG//vSs=")</f>
        <v>#VALUE!</v>
      </c>
      <c r="AS75" t="e">
        <f>AND('Planilla_General_03-12-2012_9_3'!L1187,"AAAAAG//vSw=")</f>
        <v>#VALUE!</v>
      </c>
      <c r="AT75" t="e">
        <f>AND('Planilla_General_03-12-2012_9_3'!M1187,"AAAAAG//vS0=")</f>
        <v>#VALUE!</v>
      </c>
      <c r="AU75" t="e">
        <f>AND('Planilla_General_03-12-2012_9_3'!N1187,"AAAAAG//vS4=")</f>
        <v>#VALUE!</v>
      </c>
      <c r="AV75" t="e">
        <f>AND('Planilla_General_03-12-2012_9_3'!O1187,"AAAAAG//vS8=")</f>
        <v>#VALUE!</v>
      </c>
      <c r="AW75">
        <f>IF('Planilla_General_03-12-2012_9_3'!1188:1188,"AAAAAG//vTA=",0)</f>
        <v>0</v>
      </c>
      <c r="AX75" t="e">
        <f>AND('Planilla_General_03-12-2012_9_3'!A1188,"AAAAAG//vTE=")</f>
        <v>#VALUE!</v>
      </c>
      <c r="AY75" t="e">
        <f>AND('Planilla_General_03-12-2012_9_3'!B1188,"AAAAAG//vTI=")</f>
        <v>#VALUE!</v>
      </c>
      <c r="AZ75" t="e">
        <f>AND('Planilla_General_03-12-2012_9_3'!C1188,"AAAAAG//vTM=")</f>
        <v>#VALUE!</v>
      </c>
      <c r="BA75" t="e">
        <f>AND('Planilla_General_03-12-2012_9_3'!D1188,"AAAAAG//vTQ=")</f>
        <v>#VALUE!</v>
      </c>
      <c r="BB75" t="e">
        <f>AND('Planilla_General_03-12-2012_9_3'!E1188,"AAAAAG//vTU=")</f>
        <v>#VALUE!</v>
      </c>
      <c r="BC75" t="e">
        <f>AND('Planilla_General_03-12-2012_9_3'!F1188,"AAAAAG//vTY=")</f>
        <v>#VALUE!</v>
      </c>
      <c r="BD75" t="e">
        <f>AND('Planilla_General_03-12-2012_9_3'!G1188,"AAAAAG//vTc=")</f>
        <v>#VALUE!</v>
      </c>
      <c r="BE75" t="e">
        <f>AND('Planilla_General_03-12-2012_9_3'!H1188,"AAAAAG//vTg=")</f>
        <v>#VALUE!</v>
      </c>
      <c r="BF75" t="e">
        <f>AND('Planilla_General_03-12-2012_9_3'!I1188,"AAAAAG//vTk=")</f>
        <v>#VALUE!</v>
      </c>
      <c r="BG75" t="e">
        <f>AND('Planilla_General_03-12-2012_9_3'!J1188,"AAAAAG//vTo=")</f>
        <v>#VALUE!</v>
      </c>
      <c r="BH75" t="e">
        <f>AND('Planilla_General_03-12-2012_9_3'!K1188,"AAAAAG//vTs=")</f>
        <v>#VALUE!</v>
      </c>
      <c r="BI75" t="e">
        <f>AND('Planilla_General_03-12-2012_9_3'!L1188,"AAAAAG//vTw=")</f>
        <v>#VALUE!</v>
      </c>
      <c r="BJ75" t="e">
        <f>AND('Planilla_General_03-12-2012_9_3'!M1188,"AAAAAG//vT0=")</f>
        <v>#VALUE!</v>
      </c>
      <c r="BK75" t="e">
        <f>AND('Planilla_General_03-12-2012_9_3'!N1188,"AAAAAG//vT4=")</f>
        <v>#VALUE!</v>
      </c>
      <c r="BL75" t="e">
        <f>AND('Planilla_General_03-12-2012_9_3'!O1188,"AAAAAG//vT8=")</f>
        <v>#VALUE!</v>
      </c>
      <c r="BM75">
        <f>IF('Planilla_General_03-12-2012_9_3'!1189:1189,"AAAAAG//vUA=",0)</f>
        <v>0</v>
      </c>
      <c r="BN75" t="e">
        <f>AND('Planilla_General_03-12-2012_9_3'!A1189,"AAAAAG//vUE=")</f>
        <v>#VALUE!</v>
      </c>
      <c r="BO75" t="e">
        <f>AND('Planilla_General_03-12-2012_9_3'!B1189,"AAAAAG//vUI=")</f>
        <v>#VALUE!</v>
      </c>
      <c r="BP75" t="e">
        <f>AND('Planilla_General_03-12-2012_9_3'!C1189,"AAAAAG//vUM=")</f>
        <v>#VALUE!</v>
      </c>
      <c r="BQ75" t="e">
        <f>AND('Planilla_General_03-12-2012_9_3'!D1189,"AAAAAG//vUQ=")</f>
        <v>#VALUE!</v>
      </c>
      <c r="BR75" t="e">
        <f>AND('Planilla_General_03-12-2012_9_3'!E1189,"AAAAAG//vUU=")</f>
        <v>#VALUE!</v>
      </c>
      <c r="BS75" t="e">
        <f>AND('Planilla_General_03-12-2012_9_3'!F1189,"AAAAAG//vUY=")</f>
        <v>#VALUE!</v>
      </c>
      <c r="BT75" t="e">
        <f>AND('Planilla_General_03-12-2012_9_3'!G1189,"AAAAAG//vUc=")</f>
        <v>#VALUE!</v>
      </c>
      <c r="BU75" t="e">
        <f>AND('Planilla_General_03-12-2012_9_3'!H1189,"AAAAAG//vUg=")</f>
        <v>#VALUE!</v>
      </c>
      <c r="BV75" t="e">
        <f>AND('Planilla_General_03-12-2012_9_3'!I1189,"AAAAAG//vUk=")</f>
        <v>#VALUE!</v>
      </c>
      <c r="BW75" t="e">
        <f>AND('Planilla_General_03-12-2012_9_3'!J1189,"AAAAAG//vUo=")</f>
        <v>#VALUE!</v>
      </c>
      <c r="BX75" t="e">
        <f>AND('Planilla_General_03-12-2012_9_3'!K1189,"AAAAAG//vUs=")</f>
        <v>#VALUE!</v>
      </c>
      <c r="BY75" t="e">
        <f>AND('Planilla_General_03-12-2012_9_3'!L1189,"AAAAAG//vUw=")</f>
        <v>#VALUE!</v>
      </c>
      <c r="BZ75" t="e">
        <f>AND('Planilla_General_03-12-2012_9_3'!M1189,"AAAAAG//vU0=")</f>
        <v>#VALUE!</v>
      </c>
      <c r="CA75" t="e">
        <f>AND('Planilla_General_03-12-2012_9_3'!N1189,"AAAAAG//vU4=")</f>
        <v>#VALUE!</v>
      </c>
      <c r="CB75" t="e">
        <f>AND('Planilla_General_03-12-2012_9_3'!O1189,"AAAAAG//vU8=")</f>
        <v>#VALUE!</v>
      </c>
      <c r="CC75">
        <f>IF('Planilla_General_03-12-2012_9_3'!1190:1190,"AAAAAG//vVA=",0)</f>
        <v>0</v>
      </c>
      <c r="CD75" t="e">
        <f>AND('Planilla_General_03-12-2012_9_3'!A1190,"AAAAAG//vVE=")</f>
        <v>#VALUE!</v>
      </c>
      <c r="CE75" t="e">
        <f>AND('Planilla_General_03-12-2012_9_3'!B1190,"AAAAAG//vVI=")</f>
        <v>#VALUE!</v>
      </c>
      <c r="CF75" t="e">
        <f>AND('Planilla_General_03-12-2012_9_3'!C1190,"AAAAAG//vVM=")</f>
        <v>#VALUE!</v>
      </c>
      <c r="CG75" t="e">
        <f>AND('Planilla_General_03-12-2012_9_3'!D1190,"AAAAAG//vVQ=")</f>
        <v>#VALUE!</v>
      </c>
      <c r="CH75" t="e">
        <f>AND('Planilla_General_03-12-2012_9_3'!E1190,"AAAAAG//vVU=")</f>
        <v>#VALUE!</v>
      </c>
      <c r="CI75" t="e">
        <f>AND('Planilla_General_03-12-2012_9_3'!F1190,"AAAAAG//vVY=")</f>
        <v>#VALUE!</v>
      </c>
      <c r="CJ75" t="e">
        <f>AND('Planilla_General_03-12-2012_9_3'!G1190,"AAAAAG//vVc=")</f>
        <v>#VALUE!</v>
      </c>
      <c r="CK75" t="e">
        <f>AND('Planilla_General_03-12-2012_9_3'!H1190,"AAAAAG//vVg=")</f>
        <v>#VALUE!</v>
      </c>
      <c r="CL75" t="e">
        <f>AND('Planilla_General_03-12-2012_9_3'!I1190,"AAAAAG//vVk=")</f>
        <v>#VALUE!</v>
      </c>
      <c r="CM75" t="e">
        <f>AND('Planilla_General_03-12-2012_9_3'!J1190,"AAAAAG//vVo=")</f>
        <v>#VALUE!</v>
      </c>
      <c r="CN75" t="e">
        <f>AND('Planilla_General_03-12-2012_9_3'!K1190,"AAAAAG//vVs=")</f>
        <v>#VALUE!</v>
      </c>
      <c r="CO75" t="e">
        <f>AND('Planilla_General_03-12-2012_9_3'!L1190,"AAAAAG//vVw=")</f>
        <v>#VALUE!</v>
      </c>
      <c r="CP75" t="e">
        <f>AND('Planilla_General_03-12-2012_9_3'!M1190,"AAAAAG//vV0=")</f>
        <v>#VALUE!</v>
      </c>
      <c r="CQ75" t="e">
        <f>AND('Planilla_General_03-12-2012_9_3'!N1190,"AAAAAG//vV4=")</f>
        <v>#VALUE!</v>
      </c>
      <c r="CR75" t="e">
        <f>AND('Planilla_General_03-12-2012_9_3'!O1190,"AAAAAG//vV8=")</f>
        <v>#VALUE!</v>
      </c>
      <c r="CS75">
        <f>IF('Planilla_General_03-12-2012_9_3'!1191:1191,"AAAAAG//vWA=",0)</f>
        <v>0</v>
      </c>
      <c r="CT75" t="e">
        <f>AND('Planilla_General_03-12-2012_9_3'!A1191,"AAAAAG//vWE=")</f>
        <v>#VALUE!</v>
      </c>
      <c r="CU75" t="e">
        <f>AND('Planilla_General_03-12-2012_9_3'!B1191,"AAAAAG//vWI=")</f>
        <v>#VALUE!</v>
      </c>
      <c r="CV75" t="e">
        <f>AND('Planilla_General_03-12-2012_9_3'!C1191,"AAAAAG//vWM=")</f>
        <v>#VALUE!</v>
      </c>
      <c r="CW75" t="e">
        <f>AND('Planilla_General_03-12-2012_9_3'!D1191,"AAAAAG//vWQ=")</f>
        <v>#VALUE!</v>
      </c>
      <c r="CX75" t="e">
        <f>AND('Planilla_General_03-12-2012_9_3'!E1191,"AAAAAG//vWU=")</f>
        <v>#VALUE!</v>
      </c>
      <c r="CY75" t="e">
        <f>AND('Planilla_General_03-12-2012_9_3'!F1191,"AAAAAG//vWY=")</f>
        <v>#VALUE!</v>
      </c>
      <c r="CZ75" t="e">
        <f>AND('Planilla_General_03-12-2012_9_3'!G1191,"AAAAAG//vWc=")</f>
        <v>#VALUE!</v>
      </c>
      <c r="DA75" t="e">
        <f>AND('Planilla_General_03-12-2012_9_3'!H1191,"AAAAAG//vWg=")</f>
        <v>#VALUE!</v>
      </c>
      <c r="DB75" t="e">
        <f>AND('Planilla_General_03-12-2012_9_3'!I1191,"AAAAAG//vWk=")</f>
        <v>#VALUE!</v>
      </c>
      <c r="DC75" t="e">
        <f>AND('Planilla_General_03-12-2012_9_3'!J1191,"AAAAAG//vWo=")</f>
        <v>#VALUE!</v>
      </c>
      <c r="DD75" t="e">
        <f>AND('Planilla_General_03-12-2012_9_3'!K1191,"AAAAAG//vWs=")</f>
        <v>#VALUE!</v>
      </c>
      <c r="DE75" t="e">
        <f>AND('Planilla_General_03-12-2012_9_3'!L1191,"AAAAAG//vWw=")</f>
        <v>#VALUE!</v>
      </c>
      <c r="DF75" t="e">
        <f>AND('Planilla_General_03-12-2012_9_3'!M1191,"AAAAAG//vW0=")</f>
        <v>#VALUE!</v>
      </c>
      <c r="DG75" t="e">
        <f>AND('Planilla_General_03-12-2012_9_3'!N1191,"AAAAAG//vW4=")</f>
        <v>#VALUE!</v>
      </c>
      <c r="DH75" t="e">
        <f>AND('Planilla_General_03-12-2012_9_3'!O1191,"AAAAAG//vW8=")</f>
        <v>#VALUE!</v>
      </c>
      <c r="DI75">
        <f>IF('Planilla_General_03-12-2012_9_3'!1192:1192,"AAAAAG//vXA=",0)</f>
        <v>0</v>
      </c>
      <c r="DJ75" t="e">
        <f>AND('Planilla_General_03-12-2012_9_3'!A1192,"AAAAAG//vXE=")</f>
        <v>#VALUE!</v>
      </c>
      <c r="DK75" t="e">
        <f>AND('Planilla_General_03-12-2012_9_3'!B1192,"AAAAAG//vXI=")</f>
        <v>#VALUE!</v>
      </c>
      <c r="DL75" t="e">
        <f>AND('Planilla_General_03-12-2012_9_3'!C1192,"AAAAAG//vXM=")</f>
        <v>#VALUE!</v>
      </c>
      <c r="DM75" t="e">
        <f>AND('Planilla_General_03-12-2012_9_3'!D1192,"AAAAAG//vXQ=")</f>
        <v>#VALUE!</v>
      </c>
      <c r="DN75" t="e">
        <f>AND('Planilla_General_03-12-2012_9_3'!E1192,"AAAAAG//vXU=")</f>
        <v>#VALUE!</v>
      </c>
      <c r="DO75" t="e">
        <f>AND('Planilla_General_03-12-2012_9_3'!F1192,"AAAAAG//vXY=")</f>
        <v>#VALUE!</v>
      </c>
      <c r="DP75" t="e">
        <f>AND('Planilla_General_03-12-2012_9_3'!G1192,"AAAAAG//vXc=")</f>
        <v>#VALUE!</v>
      </c>
      <c r="DQ75" t="e">
        <f>AND('Planilla_General_03-12-2012_9_3'!H1192,"AAAAAG//vXg=")</f>
        <v>#VALUE!</v>
      </c>
      <c r="DR75" t="e">
        <f>AND('Planilla_General_03-12-2012_9_3'!I1192,"AAAAAG//vXk=")</f>
        <v>#VALUE!</v>
      </c>
      <c r="DS75" t="e">
        <f>AND('Planilla_General_03-12-2012_9_3'!J1192,"AAAAAG//vXo=")</f>
        <v>#VALUE!</v>
      </c>
      <c r="DT75" t="e">
        <f>AND('Planilla_General_03-12-2012_9_3'!K1192,"AAAAAG//vXs=")</f>
        <v>#VALUE!</v>
      </c>
      <c r="DU75" t="e">
        <f>AND('Planilla_General_03-12-2012_9_3'!L1192,"AAAAAG//vXw=")</f>
        <v>#VALUE!</v>
      </c>
      <c r="DV75" t="e">
        <f>AND('Planilla_General_03-12-2012_9_3'!M1192,"AAAAAG//vX0=")</f>
        <v>#VALUE!</v>
      </c>
      <c r="DW75" t="e">
        <f>AND('Planilla_General_03-12-2012_9_3'!N1192,"AAAAAG//vX4=")</f>
        <v>#VALUE!</v>
      </c>
      <c r="DX75" t="e">
        <f>AND('Planilla_General_03-12-2012_9_3'!O1192,"AAAAAG//vX8=")</f>
        <v>#VALUE!</v>
      </c>
      <c r="DY75">
        <f>IF('Planilla_General_03-12-2012_9_3'!1193:1193,"AAAAAG//vYA=",0)</f>
        <v>0</v>
      </c>
      <c r="DZ75" t="e">
        <f>AND('Planilla_General_03-12-2012_9_3'!A1193,"AAAAAG//vYE=")</f>
        <v>#VALUE!</v>
      </c>
      <c r="EA75" t="e">
        <f>AND('Planilla_General_03-12-2012_9_3'!B1193,"AAAAAG//vYI=")</f>
        <v>#VALUE!</v>
      </c>
      <c r="EB75" t="e">
        <f>AND('Planilla_General_03-12-2012_9_3'!C1193,"AAAAAG//vYM=")</f>
        <v>#VALUE!</v>
      </c>
      <c r="EC75" t="e">
        <f>AND('Planilla_General_03-12-2012_9_3'!D1193,"AAAAAG//vYQ=")</f>
        <v>#VALUE!</v>
      </c>
      <c r="ED75" t="e">
        <f>AND('Planilla_General_03-12-2012_9_3'!E1193,"AAAAAG//vYU=")</f>
        <v>#VALUE!</v>
      </c>
      <c r="EE75" t="e">
        <f>AND('Planilla_General_03-12-2012_9_3'!F1193,"AAAAAG//vYY=")</f>
        <v>#VALUE!</v>
      </c>
      <c r="EF75" t="e">
        <f>AND('Planilla_General_03-12-2012_9_3'!G1193,"AAAAAG//vYc=")</f>
        <v>#VALUE!</v>
      </c>
      <c r="EG75" t="e">
        <f>AND('Planilla_General_03-12-2012_9_3'!H1193,"AAAAAG//vYg=")</f>
        <v>#VALUE!</v>
      </c>
      <c r="EH75" t="e">
        <f>AND('Planilla_General_03-12-2012_9_3'!I1193,"AAAAAG//vYk=")</f>
        <v>#VALUE!</v>
      </c>
      <c r="EI75" t="e">
        <f>AND('Planilla_General_03-12-2012_9_3'!J1193,"AAAAAG//vYo=")</f>
        <v>#VALUE!</v>
      </c>
      <c r="EJ75" t="e">
        <f>AND('Planilla_General_03-12-2012_9_3'!K1193,"AAAAAG//vYs=")</f>
        <v>#VALUE!</v>
      </c>
      <c r="EK75" t="e">
        <f>AND('Planilla_General_03-12-2012_9_3'!L1193,"AAAAAG//vYw=")</f>
        <v>#VALUE!</v>
      </c>
      <c r="EL75" t="e">
        <f>AND('Planilla_General_03-12-2012_9_3'!M1193,"AAAAAG//vY0=")</f>
        <v>#VALUE!</v>
      </c>
      <c r="EM75" t="e">
        <f>AND('Planilla_General_03-12-2012_9_3'!N1193,"AAAAAG//vY4=")</f>
        <v>#VALUE!</v>
      </c>
      <c r="EN75" t="e">
        <f>AND('Planilla_General_03-12-2012_9_3'!O1193,"AAAAAG//vY8=")</f>
        <v>#VALUE!</v>
      </c>
      <c r="EO75">
        <f>IF('Planilla_General_03-12-2012_9_3'!1194:1194,"AAAAAG//vZA=",0)</f>
        <v>0</v>
      </c>
      <c r="EP75" t="e">
        <f>AND('Planilla_General_03-12-2012_9_3'!A1194,"AAAAAG//vZE=")</f>
        <v>#VALUE!</v>
      </c>
      <c r="EQ75" t="e">
        <f>AND('Planilla_General_03-12-2012_9_3'!B1194,"AAAAAG//vZI=")</f>
        <v>#VALUE!</v>
      </c>
      <c r="ER75" t="e">
        <f>AND('Planilla_General_03-12-2012_9_3'!C1194,"AAAAAG//vZM=")</f>
        <v>#VALUE!</v>
      </c>
      <c r="ES75" t="e">
        <f>AND('Planilla_General_03-12-2012_9_3'!D1194,"AAAAAG//vZQ=")</f>
        <v>#VALUE!</v>
      </c>
      <c r="ET75" t="e">
        <f>AND('Planilla_General_03-12-2012_9_3'!E1194,"AAAAAG//vZU=")</f>
        <v>#VALUE!</v>
      </c>
      <c r="EU75" t="e">
        <f>AND('Planilla_General_03-12-2012_9_3'!F1194,"AAAAAG//vZY=")</f>
        <v>#VALUE!</v>
      </c>
      <c r="EV75" t="e">
        <f>AND('Planilla_General_03-12-2012_9_3'!G1194,"AAAAAG//vZc=")</f>
        <v>#VALUE!</v>
      </c>
      <c r="EW75" t="e">
        <f>AND('Planilla_General_03-12-2012_9_3'!H1194,"AAAAAG//vZg=")</f>
        <v>#VALUE!</v>
      </c>
      <c r="EX75" t="e">
        <f>AND('Planilla_General_03-12-2012_9_3'!I1194,"AAAAAG//vZk=")</f>
        <v>#VALUE!</v>
      </c>
      <c r="EY75" t="e">
        <f>AND('Planilla_General_03-12-2012_9_3'!J1194,"AAAAAG//vZo=")</f>
        <v>#VALUE!</v>
      </c>
      <c r="EZ75" t="e">
        <f>AND('Planilla_General_03-12-2012_9_3'!K1194,"AAAAAG//vZs=")</f>
        <v>#VALUE!</v>
      </c>
      <c r="FA75" t="e">
        <f>AND('Planilla_General_03-12-2012_9_3'!L1194,"AAAAAG//vZw=")</f>
        <v>#VALUE!</v>
      </c>
      <c r="FB75" t="e">
        <f>AND('Planilla_General_03-12-2012_9_3'!M1194,"AAAAAG//vZ0=")</f>
        <v>#VALUE!</v>
      </c>
      <c r="FC75" t="e">
        <f>AND('Planilla_General_03-12-2012_9_3'!N1194,"AAAAAG//vZ4=")</f>
        <v>#VALUE!</v>
      </c>
      <c r="FD75" t="e">
        <f>AND('Planilla_General_03-12-2012_9_3'!O1194,"AAAAAG//vZ8=")</f>
        <v>#VALUE!</v>
      </c>
      <c r="FE75">
        <f>IF('Planilla_General_03-12-2012_9_3'!1195:1195,"AAAAAG//vaA=",0)</f>
        <v>0</v>
      </c>
      <c r="FF75" t="e">
        <f>AND('Planilla_General_03-12-2012_9_3'!A1195,"AAAAAG//vaE=")</f>
        <v>#VALUE!</v>
      </c>
      <c r="FG75" t="e">
        <f>AND('Planilla_General_03-12-2012_9_3'!B1195,"AAAAAG//vaI=")</f>
        <v>#VALUE!</v>
      </c>
      <c r="FH75" t="e">
        <f>AND('Planilla_General_03-12-2012_9_3'!C1195,"AAAAAG//vaM=")</f>
        <v>#VALUE!</v>
      </c>
      <c r="FI75" t="e">
        <f>AND('Planilla_General_03-12-2012_9_3'!D1195,"AAAAAG//vaQ=")</f>
        <v>#VALUE!</v>
      </c>
      <c r="FJ75" t="e">
        <f>AND('Planilla_General_03-12-2012_9_3'!E1195,"AAAAAG//vaU=")</f>
        <v>#VALUE!</v>
      </c>
      <c r="FK75" t="e">
        <f>AND('Planilla_General_03-12-2012_9_3'!F1195,"AAAAAG//vaY=")</f>
        <v>#VALUE!</v>
      </c>
      <c r="FL75" t="e">
        <f>AND('Planilla_General_03-12-2012_9_3'!G1195,"AAAAAG//vac=")</f>
        <v>#VALUE!</v>
      </c>
      <c r="FM75" t="e">
        <f>AND('Planilla_General_03-12-2012_9_3'!H1195,"AAAAAG//vag=")</f>
        <v>#VALUE!</v>
      </c>
      <c r="FN75" t="e">
        <f>AND('Planilla_General_03-12-2012_9_3'!I1195,"AAAAAG//vak=")</f>
        <v>#VALUE!</v>
      </c>
      <c r="FO75" t="e">
        <f>AND('Planilla_General_03-12-2012_9_3'!J1195,"AAAAAG//vao=")</f>
        <v>#VALUE!</v>
      </c>
      <c r="FP75" t="e">
        <f>AND('Planilla_General_03-12-2012_9_3'!K1195,"AAAAAG//vas=")</f>
        <v>#VALUE!</v>
      </c>
      <c r="FQ75" t="e">
        <f>AND('Planilla_General_03-12-2012_9_3'!L1195,"AAAAAG//vaw=")</f>
        <v>#VALUE!</v>
      </c>
      <c r="FR75" t="e">
        <f>AND('Planilla_General_03-12-2012_9_3'!M1195,"AAAAAG//va0=")</f>
        <v>#VALUE!</v>
      </c>
      <c r="FS75" t="e">
        <f>AND('Planilla_General_03-12-2012_9_3'!N1195,"AAAAAG//va4=")</f>
        <v>#VALUE!</v>
      </c>
      <c r="FT75" t="e">
        <f>AND('Planilla_General_03-12-2012_9_3'!O1195,"AAAAAG//va8=")</f>
        <v>#VALUE!</v>
      </c>
      <c r="FU75">
        <f>IF('Planilla_General_03-12-2012_9_3'!1196:1196,"AAAAAG//vbA=",0)</f>
        <v>0</v>
      </c>
      <c r="FV75" t="e">
        <f>AND('Planilla_General_03-12-2012_9_3'!A1196,"AAAAAG//vbE=")</f>
        <v>#VALUE!</v>
      </c>
      <c r="FW75" t="e">
        <f>AND('Planilla_General_03-12-2012_9_3'!B1196,"AAAAAG//vbI=")</f>
        <v>#VALUE!</v>
      </c>
      <c r="FX75" t="e">
        <f>AND('Planilla_General_03-12-2012_9_3'!C1196,"AAAAAG//vbM=")</f>
        <v>#VALUE!</v>
      </c>
      <c r="FY75" t="e">
        <f>AND('Planilla_General_03-12-2012_9_3'!D1196,"AAAAAG//vbQ=")</f>
        <v>#VALUE!</v>
      </c>
      <c r="FZ75" t="e">
        <f>AND('Planilla_General_03-12-2012_9_3'!E1196,"AAAAAG//vbU=")</f>
        <v>#VALUE!</v>
      </c>
      <c r="GA75" t="e">
        <f>AND('Planilla_General_03-12-2012_9_3'!F1196,"AAAAAG//vbY=")</f>
        <v>#VALUE!</v>
      </c>
      <c r="GB75" t="e">
        <f>AND('Planilla_General_03-12-2012_9_3'!G1196,"AAAAAG//vbc=")</f>
        <v>#VALUE!</v>
      </c>
      <c r="GC75" t="e">
        <f>AND('Planilla_General_03-12-2012_9_3'!H1196,"AAAAAG//vbg=")</f>
        <v>#VALUE!</v>
      </c>
      <c r="GD75" t="e">
        <f>AND('Planilla_General_03-12-2012_9_3'!I1196,"AAAAAG//vbk=")</f>
        <v>#VALUE!</v>
      </c>
      <c r="GE75" t="e">
        <f>AND('Planilla_General_03-12-2012_9_3'!J1196,"AAAAAG//vbo=")</f>
        <v>#VALUE!</v>
      </c>
      <c r="GF75" t="e">
        <f>AND('Planilla_General_03-12-2012_9_3'!K1196,"AAAAAG//vbs=")</f>
        <v>#VALUE!</v>
      </c>
      <c r="GG75" t="e">
        <f>AND('Planilla_General_03-12-2012_9_3'!L1196,"AAAAAG//vbw=")</f>
        <v>#VALUE!</v>
      </c>
      <c r="GH75" t="e">
        <f>AND('Planilla_General_03-12-2012_9_3'!M1196,"AAAAAG//vb0=")</f>
        <v>#VALUE!</v>
      </c>
      <c r="GI75" t="e">
        <f>AND('Planilla_General_03-12-2012_9_3'!N1196,"AAAAAG//vb4=")</f>
        <v>#VALUE!</v>
      </c>
      <c r="GJ75" t="e">
        <f>AND('Planilla_General_03-12-2012_9_3'!O1196,"AAAAAG//vb8=")</f>
        <v>#VALUE!</v>
      </c>
      <c r="GK75">
        <f>IF('Planilla_General_03-12-2012_9_3'!1197:1197,"AAAAAG//vcA=",0)</f>
        <v>0</v>
      </c>
      <c r="GL75" t="e">
        <f>AND('Planilla_General_03-12-2012_9_3'!A1197,"AAAAAG//vcE=")</f>
        <v>#VALUE!</v>
      </c>
      <c r="GM75" t="e">
        <f>AND('Planilla_General_03-12-2012_9_3'!B1197,"AAAAAG//vcI=")</f>
        <v>#VALUE!</v>
      </c>
      <c r="GN75" t="e">
        <f>AND('Planilla_General_03-12-2012_9_3'!C1197,"AAAAAG//vcM=")</f>
        <v>#VALUE!</v>
      </c>
      <c r="GO75" t="e">
        <f>AND('Planilla_General_03-12-2012_9_3'!D1197,"AAAAAG//vcQ=")</f>
        <v>#VALUE!</v>
      </c>
      <c r="GP75" t="e">
        <f>AND('Planilla_General_03-12-2012_9_3'!E1197,"AAAAAG//vcU=")</f>
        <v>#VALUE!</v>
      </c>
      <c r="GQ75" t="e">
        <f>AND('Planilla_General_03-12-2012_9_3'!F1197,"AAAAAG//vcY=")</f>
        <v>#VALUE!</v>
      </c>
      <c r="GR75" t="e">
        <f>AND('Planilla_General_03-12-2012_9_3'!G1197,"AAAAAG//vcc=")</f>
        <v>#VALUE!</v>
      </c>
      <c r="GS75" t="e">
        <f>AND('Planilla_General_03-12-2012_9_3'!H1197,"AAAAAG//vcg=")</f>
        <v>#VALUE!</v>
      </c>
      <c r="GT75" t="e">
        <f>AND('Planilla_General_03-12-2012_9_3'!I1197,"AAAAAG//vck=")</f>
        <v>#VALUE!</v>
      </c>
      <c r="GU75" t="e">
        <f>AND('Planilla_General_03-12-2012_9_3'!J1197,"AAAAAG//vco=")</f>
        <v>#VALUE!</v>
      </c>
      <c r="GV75" t="e">
        <f>AND('Planilla_General_03-12-2012_9_3'!K1197,"AAAAAG//vcs=")</f>
        <v>#VALUE!</v>
      </c>
      <c r="GW75" t="e">
        <f>AND('Planilla_General_03-12-2012_9_3'!L1197,"AAAAAG//vcw=")</f>
        <v>#VALUE!</v>
      </c>
      <c r="GX75" t="e">
        <f>AND('Planilla_General_03-12-2012_9_3'!M1197,"AAAAAG//vc0=")</f>
        <v>#VALUE!</v>
      </c>
      <c r="GY75" t="e">
        <f>AND('Planilla_General_03-12-2012_9_3'!N1197,"AAAAAG//vc4=")</f>
        <v>#VALUE!</v>
      </c>
      <c r="GZ75" t="e">
        <f>AND('Planilla_General_03-12-2012_9_3'!O1197,"AAAAAG//vc8=")</f>
        <v>#VALUE!</v>
      </c>
      <c r="HA75">
        <f>IF('Planilla_General_03-12-2012_9_3'!1198:1198,"AAAAAG//vdA=",0)</f>
        <v>0</v>
      </c>
      <c r="HB75" t="e">
        <f>AND('Planilla_General_03-12-2012_9_3'!A1198,"AAAAAG//vdE=")</f>
        <v>#VALUE!</v>
      </c>
      <c r="HC75" t="e">
        <f>AND('Planilla_General_03-12-2012_9_3'!B1198,"AAAAAG//vdI=")</f>
        <v>#VALUE!</v>
      </c>
      <c r="HD75" t="e">
        <f>AND('Planilla_General_03-12-2012_9_3'!C1198,"AAAAAG//vdM=")</f>
        <v>#VALUE!</v>
      </c>
      <c r="HE75" t="e">
        <f>AND('Planilla_General_03-12-2012_9_3'!D1198,"AAAAAG//vdQ=")</f>
        <v>#VALUE!</v>
      </c>
      <c r="HF75" t="e">
        <f>AND('Planilla_General_03-12-2012_9_3'!E1198,"AAAAAG//vdU=")</f>
        <v>#VALUE!</v>
      </c>
      <c r="HG75" t="e">
        <f>AND('Planilla_General_03-12-2012_9_3'!F1198,"AAAAAG//vdY=")</f>
        <v>#VALUE!</v>
      </c>
      <c r="HH75" t="e">
        <f>AND('Planilla_General_03-12-2012_9_3'!G1198,"AAAAAG//vdc=")</f>
        <v>#VALUE!</v>
      </c>
      <c r="HI75" t="e">
        <f>AND('Planilla_General_03-12-2012_9_3'!H1198,"AAAAAG//vdg=")</f>
        <v>#VALUE!</v>
      </c>
      <c r="HJ75" t="e">
        <f>AND('Planilla_General_03-12-2012_9_3'!I1198,"AAAAAG//vdk=")</f>
        <v>#VALUE!</v>
      </c>
      <c r="HK75" t="e">
        <f>AND('Planilla_General_03-12-2012_9_3'!J1198,"AAAAAG//vdo=")</f>
        <v>#VALUE!</v>
      </c>
      <c r="HL75" t="e">
        <f>AND('Planilla_General_03-12-2012_9_3'!K1198,"AAAAAG//vds=")</f>
        <v>#VALUE!</v>
      </c>
      <c r="HM75" t="e">
        <f>AND('Planilla_General_03-12-2012_9_3'!L1198,"AAAAAG//vdw=")</f>
        <v>#VALUE!</v>
      </c>
      <c r="HN75" t="e">
        <f>AND('Planilla_General_03-12-2012_9_3'!M1198,"AAAAAG//vd0=")</f>
        <v>#VALUE!</v>
      </c>
      <c r="HO75" t="e">
        <f>AND('Planilla_General_03-12-2012_9_3'!N1198,"AAAAAG//vd4=")</f>
        <v>#VALUE!</v>
      </c>
      <c r="HP75" t="e">
        <f>AND('Planilla_General_03-12-2012_9_3'!O1198,"AAAAAG//vd8=")</f>
        <v>#VALUE!</v>
      </c>
      <c r="HQ75">
        <f>IF('Planilla_General_03-12-2012_9_3'!1199:1199,"AAAAAG//veA=",0)</f>
        <v>0</v>
      </c>
      <c r="HR75" t="e">
        <f>AND('Planilla_General_03-12-2012_9_3'!A1199,"AAAAAG//veE=")</f>
        <v>#VALUE!</v>
      </c>
      <c r="HS75" t="e">
        <f>AND('Planilla_General_03-12-2012_9_3'!B1199,"AAAAAG//veI=")</f>
        <v>#VALUE!</v>
      </c>
      <c r="HT75" t="e">
        <f>AND('Planilla_General_03-12-2012_9_3'!C1199,"AAAAAG//veM=")</f>
        <v>#VALUE!</v>
      </c>
      <c r="HU75" t="e">
        <f>AND('Planilla_General_03-12-2012_9_3'!D1199,"AAAAAG//veQ=")</f>
        <v>#VALUE!</v>
      </c>
      <c r="HV75" t="e">
        <f>AND('Planilla_General_03-12-2012_9_3'!E1199,"AAAAAG//veU=")</f>
        <v>#VALUE!</v>
      </c>
      <c r="HW75" t="e">
        <f>AND('Planilla_General_03-12-2012_9_3'!F1199,"AAAAAG//veY=")</f>
        <v>#VALUE!</v>
      </c>
      <c r="HX75" t="e">
        <f>AND('Planilla_General_03-12-2012_9_3'!G1199,"AAAAAG//vec=")</f>
        <v>#VALUE!</v>
      </c>
      <c r="HY75" t="e">
        <f>AND('Planilla_General_03-12-2012_9_3'!H1199,"AAAAAG//veg=")</f>
        <v>#VALUE!</v>
      </c>
      <c r="HZ75" t="e">
        <f>AND('Planilla_General_03-12-2012_9_3'!I1199,"AAAAAG//vek=")</f>
        <v>#VALUE!</v>
      </c>
      <c r="IA75" t="e">
        <f>AND('Planilla_General_03-12-2012_9_3'!J1199,"AAAAAG//veo=")</f>
        <v>#VALUE!</v>
      </c>
      <c r="IB75" t="e">
        <f>AND('Planilla_General_03-12-2012_9_3'!K1199,"AAAAAG//ves=")</f>
        <v>#VALUE!</v>
      </c>
      <c r="IC75" t="e">
        <f>AND('Planilla_General_03-12-2012_9_3'!L1199,"AAAAAG//vew=")</f>
        <v>#VALUE!</v>
      </c>
      <c r="ID75" t="e">
        <f>AND('Planilla_General_03-12-2012_9_3'!M1199,"AAAAAG//ve0=")</f>
        <v>#VALUE!</v>
      </c>
      <c r="IE75" t="e">
        <f>AND('Planilla_General_03-12-2012_9_3'!N1199,"AAAAAG//ve4=")</f>
        <v>#VALUE!</v>
      </c>
      <c r="IF75" t="e">
        <f>AND('Planilla_General_03-12-2012_9_3'!O1199,"AAAAAG//ve8=")</f>
        <v>#VALUE!</v>
      </c>
      <c r="IG75">
        <f>IF('Planilla_General_03-12-2012_9_3'!1200:1200,"AAAAAG//vfA=",0)</f>
        <v>0</v>
      </c>
      <c r="IH75" t="e">
        <f>AND('Planilla_General_03-12-2012_9_3'!A1200,"AAAAAG//vfE=")</f>
        <v>#VALUE!</v>
      </c>
      <c r="II75" t="e">
        <f>AND('Planilla_General_03-12-2012_9_3'!B1200,"AAAAAG//vfI=")</f>
        <v>#VALUE!</v>
      </c>
      <c r="IJ75" t="e">
        <f>AND('Planilla_General_03-12-2012_9_3'!C1200,"AAAAAG//vfM=")</f>
        <v>#VALUE!</v>
      </c>
      <c r="IK75" t="e">
        <f>AND('Planilla_General_03-12-2012_9_3'!D1200,"AAAAAG//vfQ=")</f>
        <v>#VALUE!</v>
      </c>
      <c r="IL75" t="e">
        <f>AND('Planilla_General_03-12-2012_9_3'!E1200,"AAAAAG//vfU=")</f>
        <v>#VALUE!</v>
      </c>
      <c r="IM75" t="e">
        <f>AND('Planilla_General_03-12-2012_9_3'!F1200,"AAAAAG//vfY=")</f>
        <v>#VALUE!</v>
      </c>
      <c r="IN75" t="e">
        <f>AND('Planilla_General_03-12-2012_9_3'!G1200,"AAAAAG//vfc=")</f>
        <v>#VALUE!</v>
      </c>
      <c r="IO75" t="e">
        <f>AND('Planilla_General_03-12-2012_9_3'!H1200,"AAAAAG//vfg=")</f>
        <v>#VALUE!</v>
      </c>
      <c r="IP75" t="e">
        <f>AND('Planilla_General_03-12-2012_9_3'!I1200,"AAAAAG//vfk=")</f>
        <v>#VALUE!</v>
      </c>
      <c r="IQ75" t="e">
        <f>AND('Planilla_General_03-12-2012_9_3'!J1200,"AAAAAG//vfo=")</f>
        <v>#VALUE!</v>
      </c>
      <c r="IR75" t="e">
        <f>AND('Planilla_General_03-12-2012_9_3'!K1200,"AAAAAG//vfs=")</f>
        <v>#VALUE!</v>
      </c>
      <c r="IS75" t="e">
        <f>AND('Planilla_General_03-12-2012_9_3'!L1200,"AAAAAG//vfw=")</f>
        <v>#VALUE!</v>
      </c>
      <c r="IT75" t="e">
        <f>AND('Planilla_General_03-12-2012_9_3'!M1200,"AAAAAG//vf0=")</f>
        <v>#VALUE!</v>
      </c>
      <c r="IU75" t="e">
        <f>AND('Planilla_General_03-12-2012_9_3'!N1200,"AAAAAG//vf4=")</f>
        <v>#VALUE!</v>
      </c>
      <c r="IV75" t="e">
        <f>AND('Planilla_General_03-12-2012_9_3'!O1200,"AAAAAG//vf8=")</f>
        <v>#VALUE!</v>
      </c>
    </row>
    <row r="76" spans="1:256" x14ac:dyDescent="0.25">
      <c r="A76" t="e">
        <f>IF('Planilla_General_03-12-2012_9_3'!1201:1201,"AAAAAG9O+wA=",0)</f>
        <v>#VALUE!</v>
      </c>
      <c r="B76" t="e">
        <f>AND('Planilla_General_03-12-2012_9_3'!A1201,"AAAAAG9O+wE=")</f>
        <v>#VALUE!</v>
      </c>
      <c r="C76" t="e">
        <f>AND('Planilla_General_03-12-2012_9_3'!B1201,"AAAAAG9O+wI=")</f>
        <v>#VALUE!</v>
      </c>
      <c r="D76" t="e">
        <f>AND('Planilla_General_03-12-2012_9_3'!C1201,"AAAAAG9O+wM=")</f>
        <v>#VALUE!</v>
      </c>
      <c r="E76" t="e">
        <f>AND('Planilla_General_03-12-2012_9_3'!D1201,"AAAAAG9O+wQ=")</f>
        <v>#VALUE!</v>
      </c>
      <c r="F76" t="e">
        <f>AND('Planilla_General_03-12-2012_9_3'!E1201,"AAAAAG9O+wU=")</f>
        <v>#VALUE!</v>
      </c>
      <c r="G76" t="e">
        <f>AND('Planilla_General_03-12-2012_9_3'!F1201,"AAAAAG9O+wY=")</f>
        <v>#VALUE!</v>
      </c>
      <c r="H76" t="e">
        <f>AND('Planilla_General_03-12-2012_9_3'!G1201,"AAAAAG9O+wc=")</f>
        <v>#VALUE!</v>
      </c>
      <c r="I76" t="e">
        <f>AND('Planilla_General_03-12-2012_9_3'!H1201,"AAAAAG9O+wg=")</f>
        <v>#VALUE!</v>
      </c>
      <c r="J76" t="e">
        <f>AND('Planilla_General_03-12-2012_9_3'!I1201,"AAAAAG9O+wk=")</f>
        <v>#VALUE!</v>
      </c>
      <c r="K76" t="e">
        <f>AND('Planilla_General_03-12-2012_9_3'!J1201,"AAAAAG9O+wo=")</f>
        <v>#VALUE!</v>
      </c>
      <c r="L76" t="e">
        <f>AND('Planilla_General_03-12-2012_9_3'!K1201,"AAAAAG9O+ws=")</f>
        <v>#VALUE!</v>
      </c>
      <c r="M76" t="e">
        <f>AND('Planilla_General_03-12-2012_9_3'!L1201,"AAAAAG9O+ww=")</f>
        <v>#VALUE!</v>
      </c>
      <c r="N76" t="e">
        <f>AND('Planilla_General_03-12-2012_9_3'!M1201,"AAAAAG9O+w0=")</f>
        <v>#VALUE!</v>
      </c>
      <c r="O76" t="e">
        <f>AND('Planilla_General_03-12-2012_9_3'!N1201,"AAAAAG9O+w4=")</f>
        <v>#VALUE!</v>
      </c>
      <c r="P76" t="e">
        <f>AND('Planilla_General_03-12-2012_9_3'!O1201,"AAAAAG9O+w8=")</f>
        <v>#VALUE!</v>
      </c>
      <c r="Q76">
        <f>IF('Planilla_General_03-12-2012_9_3'!1202:1202,"AAAAAG9O+xA=",0)</f>
        <v>0</v>
      </c>
      <c r="R76" t="e">
        <f>AND('Planilla_General_03-12-2012_9_3'!A1202,"AAAAAG9O+xE=")</f>
        <v>#VALUE!</v>
      </c>
      <c r="S76" t="e">
        <f>AND('Planilla_General_03-12-2012_9_3'!B1202,"AAAAAG9O+xI=")</f>
        <v>#VALUE!</v>
      </c>
      <c r="T76" t="e">
        <f>AND('Planilla_General_03-12-2012_9_3'!C1202,"AAAAAG9O+xM=")</f>
        <v>#VALUE!</v>
      </c>
      <c r="U76" t="e">
        <f>AND('Planilla_General_03-12-2012_9_3'!D1202,"AAAAAG9O+xQ=")</f>
        <v>#VALUE!</v>
      </c>
      <c r="V76" t="e">
        <f>AND('Planilla_General_03-12-2012_9_3'!E1202,"AAAAAG9O+xU=")</f>
        <v>#VALUE!</v>
      </c>
      <c r="W76" t="e">
        <f>AND('Planilla_General_03-12-2012_9_3'!F1202,"AAAAAG9O+xY=")</f>
        <v>#VALUE!</v>
      </c>
      <c r="X76" t="e">
        <f>AND('Planilla_General_03-12-2012_9_3'!G1202,"AAAAAG9O+xc=")</f>
        <v>#VALUE!</v>
      </c>
      <c r="Y76" t="e">
        <f>AND('Planilla_General_03-12-2012_9_3'!H1202,"AAAAAG9O+xg=")</f>
        <v>#VALUE!</v>
      </c>
      <c r="Z76" t="e">
        <f>AND('Planilla_General_03-12-2012_9_3'!I1202,"AAAAAG9O+xk=")</f>
        <v>#VALUE!</v>
      </c>
      <c r="AA76" t="e">
        <f>AND('Planilla_General_03-12-2012_9_3'!J1202,"AAAAAG9O+xo=")</f>
        <v>#VALUE!</v>
      </c>
      <c r="AB76" t="e">
        <f>AND('Planilla_General_03-12-2012_9_3'!K1202,"AAAAAG9O+xs=")</f>
        <v>#VALUE!</v>
      </c>
      <c r="AC76" t="e">
        <f>AND('Planilla_General_03-12-2012_9_3'!L1202,"AAAAAG9O+xw=")</f>
        <v>#VALUE!</v>
      </c>
      <c r="AD76" t="e">
        <f>AND('Planilla_General_03-12-2012_9_3'!M1202,"AAAAAG9O+x0=")</f>
        <v>#VALUE!</v>
      </c>
      <c r="AE76" t="e">
        <f>AND('Planilla_General_03-12-2012_9_3'!N1202,"AAAAAG9O+x4=")</f>
        <v>#VALUE!</v>
      </c>
      <c r="AF76" t="e">
        <f>AND('Planilla_General_03-12-2012_9_3'!O1202,"AAAAAG9O+x8=")</f>
        <v>#VALUE!</v>
      </c>
      <c r="AG76">
        <f>IF('Planilla_General_03-12-2012_9_3'!1203:1203,"AAAAAG9O+yA=",0)</f>
        <v>0</v>
      </c>
      <c r="AH76" t="e">
        <f>AND('Planilla_General_03-12-2012_9_3'!A1203,"AAAAAG9O+yE=")</f>
        <v>#VALUE!</v>
      </c>
      <c r="AI76" t="e">
        <f>AND('Planilla_General_03-12-2012_9_3'!B1203,"AAAAAG9O+yI=")</f>
        <v>#VALUE!</v>
      </c>
      <c r="AJ76" t="e">
        <f>AND('Planilla_General_03-12-2012_9_3'!C1203,"AAAAAG9O+yM=")</f>
        <v>#VALUE!</v>
      </c>
      <c r="AK76" t="e">
        <f>AND('Planilla_General_03-12-2012_9_3'!D1203,"AAAAAG9O+yQ=")</f>
        <v>#VALUE!</v>
      </c>
      <c r="AL76" t="e">
        <f>AND('Planilla_General_03-12-2012_9_3'!E1203,"AAAAAG9O+yU=")</f>
        <v>#VALUE!</v>
      </c>
      <c r="AM76" t="e">
        <f>AND('Planilla_General_03-12-2012_9_3'!F1203,"AAAAAG9O+yY=")</f>
        <v>#VALUE!</v>
      </c>
      <c r="AN76" t="e">
        <f>AND('Planilla_General_03-12-2012_9_3'!G1203,"AAAAAG9O+yc=")</f>
        <v>#VALUE!</v>
      </c>
      <c r="AO76" t="e">
        <f>AND('Planilla_General_03-12-2012_9_3'!H1203,"AAAAAG9O+yg=")</f>
        <v>#VALUE!</v>
      </c>
      <c r="AP76" t="e">
        <f>AND('Planilla_General_03-12-2012_9_3'!I1203,"AAAAAG9O+yk=")</f>
        <v>#VALUE!</v>
      </c>
      <c r="AQ76" t="e">
        <f>AND('Planilla_General_03-12-2012_9_3'!J1203,"AAAAAG9O+yo=")</f>
        <v>#VALUE!</v>
      </c>
      <c r="AR76" t="e">
        <f>AND('Planilla_General_03-12-2012_9_3'!K1203,"AAAAAG9O+ys=")</f>
        <v>#VALUE!</v>
      </c>
      <c r="AS76" t="e">
        <f>AND('Planilla_General_03-12-2012_9_3'!L1203,"AAAAAG9O+yw=")</f>
        <v>#VALUE!</v>
      </c>
      <c r="AT76" t="e">
        <f>AND('Planilla_General_03-12-2012_9_3'!M1203,"AAAAAG9O+y0=")</f>
        <v>#VALUE!</v>
      </c>
      <c r="AU76" t="e">
        <f>AND('Planilla_General_03-12-2012_9_3'!N1203,"AAAAAG9O+y4=")</f>
        <v>#VALUE!</v>
      </c>
      <c r="AV76" t="e">
        <f>AND('Planilla_General_03-12-2012_9_3'!O1203,"AAAAAG9O+y8=")</f>
        <v>#VALUE!</v>
      </c>
      <c r="AW76">
        <f>IF('Planilla_General_03-12-2012_9_3'!1204:1204,"AAAAAG9O+zA=",0)</f>
        <v>0</v>
      </c>
      <c r="AX76" t="e">
        <f>AND('Planilla_General_03-12-2012_9_3'!A1204,"AAAAAG9O+zE=")</f>
        <v>#VALUE!</v>
      </c>
      <c r="AY76" t="e">
        <f>AND('Planilla_General_03-12-2012_9_3'!B1204,"AAAAAG9O+zI=")</f>
        <v>#VALUE!</v>
      </c>
      <c r="AZ76" t="e">
        <f>AND('Planilla_General_03-12-2012_9_3'!C1204,"AAAAAG9O+zM=")</f>
        <v>#VALUE!</v>
      </c>
      <c r="BA76" t="e">
        <f>AND('Planilla_General_03-12-2012_9_3'!D1204,"AAAAAG9O+zQ=")</f>
        <v>#VALUE!</v>
      </c>
      <c r="BB76" t="e">
        <f>AND('Planilla_General_03-12-2012_9_3'!E1204,"AAAAAG9O+zU=")</f>
        <v>#VALUE!</v>
      </c>
      <c r="BC76" t="e">
        <f>AND('Planilla_General_03-12-2012_9_3'!F1204,"AAAAAG9O+zY=")</f>
        <v>#VALUE!</v>
      </c>
      <c r="BD76" t="e">
        <f>AND('Planilla_General_03-12-2012_9_3'!G1204,"AAAAAG9O+zc=")</f>
        <v>#VALUE!</v>
      </c>
      <c r="BE76" t="e">
        <f>AND('Planilla_General_03-12-2012_9_3'!H1204,"AAAAAG9O+zg=")</f>
        <v>#VALUE!</v>
      </c>
      <c r="BF76" t="e">
        <f>AND('Planilla_General_03-12-2012_9_3'!I1204,"AAAAAG9O+zk=")</f>
        <v>#VALUE!</v>
      </c>
      <c r="BG76" t="e">
        <f>AND('Planilla_General_03-12-2012_9_3'!J1204,"AAAAAG9O+zo=")</f>
        <v>#VALUE!</v>
      </c>
      <c r="BH76" t="e">
        <f>AND('Planilla_General_03-12-2012_9_3'!K1204,"AAAAAG9O+zs=")</f>
        <v>#VALUE!</v>
      </c>
      <c r="BI76" t="e">
        <f>AND('Planilla_General_03-12-2012_9_3'!L1204,"AAAAAG9O+zw=")</f>
        <v>#VALUE!</v>
      </c>
      <c r="BJ76" t="e">
        <f>AND('Planilla_General_03-12-2012_9_3'!M1204,"AAAAAG9O+z0=")</f>
        <v>#VALUE!</v>
      </c>
      <c r="BK76" t="e">
        <f>AND('Planilla_General_03-12-2012_9_3'!N1204,"AAAAAG9O+z4=")</f>
        <v>#VALUE!</v>
      </c>
      <c r="BL76" t="e">
        <f>AND('Planilla_General_03-12-2012_9_3'!O1204,"AAAAAG9O+z8=")</f>
        <v>#VALUE!</v>
      </c>
      <c r="BM76">
        <f>IF('Planilla_General_03-12-2012_9_3'!1205:1205,"AAAAAG9O+0A=",0)</f>
        <v>0</v>
      </c>
      <c r="BN76" t="e">
        <f>AND('Planilla_General_03-12-2012_9_3'!A1205,"AAAAAG9O+0E=")</f>
        <v>#VALUE!</v>
      </c>
      <c r="BO76" t="e">
        <f>AND('Planilla_General_03-12-2012_9_3'!B1205,"AAAAAG9O+0I=")</f>
        <v>#VALUE!</v>
      </c>
      <c r="BP76" t="e">
        <f>AND('Planilla_General_03-12-2012_9_3'!C1205,"AAAAAG9O+0M=")</f>
        <v>#VALUE!</v>
      </c>
      <c r="BQ76" t="e">
        <f>AND('Planilla_General_03-12-2012_9_3'!D1205,"AAAAAG9O+0Q=")</f>
        <v>#VALUE!</v>
      </c>
      <c r="BR76" t="e">
        <f>AND('Planilla_General_03-12-2012_9_3'!E1205,"AAAAAG9O+0U=")</f>
        <v>#VALUE!</v>
      </c>
      <c r="BS76" t="e">
        <f>AND('Planilla_General_03-12-2012_9_3'!F1205,"AAAAAG9O+0Y=")</f>
        <v>#VALUE!</v>
      </c>
      <c r="BT76" t="e">
        <f>AND('Planilla_General_03-12-2012_9_3'!G1205,"AAAAAG9O+0c=")</f>
        <v>#VALUE!</v>
      </c>
      <c r="BU76" t="e">
        <f>AND('Planilla_General_03-12-2012_9_3'!H1205,"AAAAAG9O+0g=")</f>
        <v>#VALUE!</v>
      </c>
      <c r="BV76" t="e">
        <f>AND('Planilla_General_03-12-2012_9_3'!I1205,"AAAAAG9O+0k=")</f>
        <v>#VALUE!</v>
      </c>
      <c r="BW76" t="e">
        <f>AND('Planilla_General_03-12-2012_9_3'!J1205,"AAAAAG9O+0o=")</f>
        <v>#VALUE!</v>
      </c>
      <c r="BX76" t="e">
        <f>AND('Planilla_General_03-12-2012_9_3'!K1205,"AAAAAG9O+0s=")</f>
        <v>#VALUE!</v>
      </c>
      <c r="BY76" t="e">
        <f>AND('Planilla_General_03-12-2012_9_3'!L1205,"AAAAAG9O+0w=")</f>
        <v>#VALUE!</v>
      </c>
      <c r="BZ76" t="e">
        <f>AND('Planilla_General_03-12-2012_9_3'!M1205,"AAAAAG9O+00=")</f>
        <v>#VALUE!</v>
      </c>
      <c r="CA76" t="e">
        <f>AND('Planilla_General_03-12-2012_9_3'!N1205,"AAAAAG9O+04=")</f>
        <v>#VALUE!</v>
      </c>
      <c r="CB76" t="e">
        <f>AND('Planilla_General_03-12-2012_9_3'!O1205,"AAAAAG9O+08=")</f>
        <v>#VALUE!</v>
      </c>
      <c r="CC76">
        <f>IF('Planilla_General_03-12-2012_9_3'!1206:1206,"AAAAAG9O+1A=",0)</f>
        <v>0</v>
      </c>
      <c r="CD76" t="e">
        <f>AND('Planilla_General_03-12-2012_9_3'!A1206,"AAAAAG9O+1E=")</f>
        <v>#VALUE!</v>
      </c>
      <c r="CE76" t="e">
        <f>AND('Planilla_General_03-12-2012_9_3'!B1206,"AAAAAG9O+1I=")</f>
        <v>#VALUE!</v>
      </c>
      <c r="CF76" t="e">
        <f>AND('Planilla_General_03-12-2012_9_3'!C1206,"AAAAAG9O+1M=")</f>
        <v>#VALUE!</v>
      </c>
      <c r="CG76" t="e">
        <f>AND('Planilla_General_03-12-2012_9_3'!D1206,"AAAAAG9O+1Q=")</f>
        <v>#VALUE!</v>
      </c>
      <c r="CH76" t="e">
        <f>AND('Planilla_General_03-12-2012_9_3'!E1206,"AAAAAG9O+1U=")</f>
        <v>#VALUE!</v>
      </c>
      <c r="CI76" t="e">
        <f>AND('Planilla_General_03-12-2012_9_3'!F1206,"AAAAAG9O+1Y=")</f>
        <v>#VALUE!</v>
      </c>
      <c r="CJ76" t="e">
        <f>AND('Planilla_General_03-12-2012_9_3'!G1206,"AAAAAG9O+1c=")</f>
        <v>#VALUE!</v>
      </c>
      <c r="CK76" t="e">
        <f>AND('Planilla_General_03-12-2012_9_3'!H1206,"AAAAAG9O+1g=")</f>
        <v>#VALUE!</v>
      </c>
      <c r="CL76" t="e">
        <f>AND('Planilla_General_03-12-2012_9_3'!I1206,"AAAAAG9O+1k=")</f>
        <v>#VALUE!</v>
      </c>
      <c r="CM76" t="e">
        <f>AND('Planilla_General_03-12-2012_9_3'!J1206,"AAAAAG9O+1o=")</f>
        <v>#VALUE!</v>
      </c>
      <c r="CN76" t="e">
        <f>AND('Planilla_General_03-12-2012_9_3'!K1206,"AAAAAG9O+1s=")</f>
        <v>#VALUE!</v>
      </c>
      <c r="CO76" t="e">
        <f>AND('Planilla_General_03-12-2012_9_3'!L1206,"AAAAAG9O+1w=")</f>
        <v>#VALUE!</v>
      </c>
      <c r="CP76" t="e">
        <f>AND('Planilla_General_03-12-2012_9_3'!M1206,"AAAAAG9O+10=")</f>
        <v>#VALUE!</v>
      </c>
      <c r="CQ76" t="e">
        <f>AND('Planilla_General_03-12-2012_9_3'!N1206,"AAAAAG9O+14=")</f>
        <v>#VALUE!</v>
      </c>
      <c r="CR76" t="e">
        <f>AND('Planilla_General_03-12-2012_9_3'!O1206,"AAAAAG9O+18=")</f>
        <v>#VALUE!</v>
      </c>
      <c r="CS76">
        <f>IF('Planilla_General_03-12-2012_9_3'!1207:1207,"AAAAAG9O+2A=",0)</f>
        <v>0</v>
      </c>
      <c r="CT76" t="e">
        <f>AND('Planilla_General_03-12-2012_9_3'!A1207,"AAAAAG9O+2E=")</f>
        <v>#VALUE!</v>
      </c>
      <c r="CU76" t="e">
        <f>AND('Planilla_General_03-12-2012_9_3'!B1207,"AAAAAG9O+2I=")</f>
        <v>#VALUE!</v>
      </c>
      <c r="CV76" t="e">
        <f>AND('Planilla_General_03-12-2012_9_3'!C1207,"AAAAAG9O+2M=")</f>
        <v>#VALUE!</v>
      </c>
      <c r="CW76" t="e">
        <f>AND('Planilla_General_03-12-2012_9_3'!D1207,"AAAAAG9O+2Q=")</f>
        <v>#VALUE!</v>
      </c>
      <c r="CX76" t="e">
        <f>AND('Planilla_General_03-12-2012_9_3'!E1207,"AAAAAG9O+2U=")</f>
        <v>#VALUE!</v>
      </c>
      <c r="CY76" t="e">
        <f>AND('Planilla_General_03-12-2012_9_3'!F1207,"AAAAAG9O+2Y=")</f>
        <v>#VALUE!</v>
      </c>
      <c r="CZ76" t="e">
        <f>AND('Planilla_General_03-12-2012_9_3'!G1207,"AAAAAG9O+2c=")</f>
        <v>#VALUE!</v>
      </c>
      <c r="DA76" t="e">
        <f>AND('Planilla_General_03-12-2012_9_3'!H1207,"AAAAAG9O+2g=")</f>
        <v>#VALUE!</v>
      </c>
      <c r="DB76" t="e">
        <f>AND('Planilla_General_03-12-2012_9_3'!I1207,"AAAAAG9O+2k=")</f>
        <v>#VALUE!</v>
      </c>
      <c r="DC76" t="e">
        <f>AND('Planilla_General_03-12-2012_9_3'!J1207,"AAAAAG9O+2o=")</f>
        <v>#VALUE!</v>
      </c>
      <c r="DD76" t="e">
        <f>AND('Planilla_General_03-12-2012_9_3'!K1207,"AAAAAG9O+2s=")</f>
        <v>#VALUE!</v>
      </c>
      <c r="DE76" t="e">
        <f>AND('Planilla_General_03-12-2012_9_3'!L1207,"AAAAAG9O+2w=")</f>
        <v>#VALUE!</v>
      </c>
      <c r="DF76" t="e">
        <f>AND('Planilla_General_03-12-2012_9_3'!M1207,"AAAAAG9O+20=")</f>
        <v>#VALUE!</v>
      </c>
      <c r="DG76" t="e">
        <f>AND('Planilla_General_03-12-2012_9_3'!N1207,"AAAAAG9O+24=")</f>
        <v>#VALUE!</v>
      </c>
      <c r="DH76" t="e">
        <f>AND('Planilla_General_03-12-2012_9_3'!O1207,"AAAAAG9O+28=")</f>
        <v>#VALUE!</v>
      </c>
      <c r="DI76">
        <f>IF('Planilla_General_03-12-2012_9_3'!1208:1208,"AAAAAG9O+3A=",0)</f>
        <v>0</v>
      </c>
      <c r="DJ76" t="e">
        <f>AND('Planilla_General_03-12-2012_9_3'!A1208,"AAAAAG9O+3E=")</f>
        <v>#VALUE!</v>
      </c>
      <c r="DK76" t="e">
        <f>AND('Planilla_General_03-12-2012_9_3'!B1208,"AAAAAG9O+3I=")</f>
        <v>#VALUE!</v>
      </c>
      <c r="DL76" t="e">
        <f>AND('Planilla_General_03-12-2012_9_3'!C1208,"AAAAAG9O+3M=")</f>
        <v>#VALUE!</v>
      </c>
      <c r="DM76" t="e">
        <f>AND('Planilla_General_03-12-2012_9_3'!D1208,"AAAAAG9O+3Q=")</f>
        <v>#VALUE!</v>
      </c>
      <c r="DN76" t="e">
        <f>AND('Planilla_General_03-12-2012_9_3'!E1208,"AAAAAG9O+3U=")</f>
        <v>#VALUE!</v>
      </c>
      <c r="DO76" t="e">
        <f>AND('Planilla_General_03-12-2012_9_3'!F1208,"AAAAAG9O+3Y=")</f>
        <v>#VALUE!</v>
      </c>
      <c r="DP76" t="e">
        <f>AND('Planilla_General_03-12-2012_9_3'!G1208,"AAAAAG9O+3c=")</f>
        <v>#VALUE!</v>
      </c>
      <c r="DQ76" t="e">
        <f>AND('Planilla_General_03-12-2012_9_3'!H1208,"AAAAAG9O+3g=")</f>
        <v>#VALUE!</v>
      </c>
      <c r="DR76" t="e">
        <f>AND('Planilla_General_03-12-2012_9_3'!I1208,"AAAAAG9O+3k=")</f>
        <v>#VALUE!</v>
      </c>
      <c r="DS76" t="e">
        <f>AND('Planilla_General_03-12-2012_9_3'!J1208,"AAAAAG9O+3o=")</f>
        <v>#VALUE!</v>
      </c>
      <c r="DT76" t="e">
        <f>AND('Planilla_General_03-12-2012_9_3'!K1208,"AAAAAG9O+3s=")</f>
        <v>#VALUE!</v>
      </c>
      <c r="DU76" t="e">
        <f>AND('Planilla_General_03-12-2012_9_3'!L1208,"AAAAAG9O+3w=")</f>
        <v>#VALUE!</v>
      </c>
      <c r="DV76" t="e">
        <f>AND('Planilla_General_03-12-2012_9_3'!M1208,"AAAAAG9O+30=")</f>
        <v>#VALUE!</v>
      </c>
      <c r="DW76" t="e">
        <f>AND('Planilla_General_03-12-2012_9_3'!N1208,"AAAAAG9O+34=")</f>
        <v>#VALUE!</v>
      </c>
      <c r="DX76" t="e">
        <f>AND('Planilla_General_03-12-2012_9_3'!O1208,"AAAAAG9O+38=")</f>
        <v>#VALUE!</v>
      </c>
      <c r="DY76">
        <f>IF('Planilla_General_03-12-2012_9_3'!1209:1209,"AAAAAG9O+4A=",0)</f>
        <v>0</v>
      </c>
      <c r="DZ76" t="e">
        <f>AND('Planilla_General_03-12-2012_9_3'!A1209,"AAAAAG9O+4E=")</f>
        <v>#VALUE!</v>
      </c>
      <c r="EA76" t="e">
        <f>AND('Planilla_General_03-12-2012_9_3'!B1209,"AAAAAG9O+4I=")</f>
        <v>#VALUE!</v>
      </c>
      <c r="EB76" t="e">
        <f>AND('Planilla_General_03-12-2012_9_3'!C1209,"AAAAAG9O+4M=")</f>
        <v>#VALUE!</v>
      </c>
      <c r="EC76" t="e">
        <f>AND('Planilla_General_03-12-2012_9_3'!D1209,"AAAAAG9O+4Q=")</f>
        <v>#VALUE!</v>
      </c>
      <c r="ED76" t="e">
        <f>AND('Planilla_General_03-12-2012_9_3'!E1209,"AAAAAG9O+4U=")</f>
        <v>#VALUE!</v>
      </c>
      <c r="EE76" t="e">
        <f>AND('Planilla_General_03-12-2012_9_3'!F1209,"AAAAAG9O+4Y=")</f>
        <v>#VALUE!</v>
      </c>
      <c r="EF76" t="e">
        <f>AND('Planilla_General_03-12-2012_9_3'!G1209,"AAAAAG9O+4c=")</f>
        <v>#VALUE!</v>
      </c>
      <c r="EG76" t="e">
        <f>AND('Planilla_General_03-12-2012_9_3'!H1209,"AAAAAG9O+4g=")</f>
        <v>#VALUE!</v>
      </c>
      <c r="EH76" t="e">
        <f>AND('Planilla_General_03-12-2012_9_3'!I1209,"AAAAAG9O+4k=")</f>
        <v>#VALUE!</v>
      </c>
      <c r="EI76" t="e">
        <f>AND('Planilla_General_03-12-2012_9_3'!J1209,"AAAAAG9O+4o=")</f>
        <v>#VALUE!</v>
      </c>
      <c r="EJ76" t="e">
        <f>AND('Planilla_General_03-12-2012_9_3'!K1209,"AAAAAG9O+4s=")</f>
        <v>#VALUE!</v>
      </c>
      <c r="EK76" t="e">
        <f>AND('Planilla_General_03-12-2012_9_3'!L1209,"AAAAAG9O+4w=")</f>
        <v>#VALUE!</v>
      </c>
      <c r="EL76" t="e">
        <f>AND('Planilla_General_03-12-2012_9_3'!M1209,"AAAAAG9O+40=")</f>
        <v>#VALUE!</v>
      </c>
      <c r="EM76" t="e">
        <f>AND('Planilla_General_03-12-2012_9_3'!N1209,"AAAAAG9O+44=")</f>
        <v>#VALUE!</v>
      </c>
      <c r="EN76" t="e">
        <f>AND('Planilla_General_03-12-2012_9_3'!O1209,"AAAAAG9O+48=")</f>
        <v>#VALUE!</v>
      </c>
      <c r="EO76">
        <f>IF('Planilla_General_03-12-2012_9_3'!1210:1210,"AAAAAG9O+5A=",0)</f>
        <v>0</v>
      </c>
      <c r="EP76" t="e">
        <f>AND('Planilla_General_03-12-2012_9_3'!A1210,"AAAAAG9O+5E=")</f>
        <v>#VALUE!</v>
      </c>
      <c r="EQ76" t="e">
        <f>AND('Planilla_General_03-12-2012_9_3'!B1210,"AAAAAG9O+5I=")</f>
        <v>#VALUE!</v>
      </c>
      <c r="ER76" t="e">
        <f>AND('Planilla_General_03-12-2012_9_3'!C1210,"AAAAAG9O+5M=")</f>
        <v>#VALUE!</v>
      </c>
      <c r="ES76" t="e">
        <f>AND('Planilla_General_03-12-2012_9_3'!D1210,"AAAAAG9O+5Q=")</f>
        <v>#VALUE!</v>
      </c>
      <c r="ET76" t="e">
        <f>AND('Planilla_General_03-12-2012_9_3'!E1210,"AAAAAG9O+5U=")</f>
        <v>#VALUE!</v>
      </c>
      <c r="EU76" t="e">
        <f>AND('Planilla_General_03-12-2012_9_3'!F1210,"AAAAAG9O+5Y=")</f>
        <v>#VALUE!</v>
      </c>
      <c r="EV76" t="e">
        <f>AND('Planilla_General_03-12-2012_9_3'!G1210,"AAAAAG9O+5c=")</f>
        <v>#VALUE!</v>
      </c>
      <c r="EW76" t="e">
        <f>AND('Planilla_General_03-12-2012_9_3'!H1210,"AAAAAG9O+5g=")</f>
        <v>#VALUE!</v>
      </c>
      <c r="EX76" t="e">
        <f>AND('Planilla_General_03-12-2012_9_3'!I1210,"AAAAAG9O+5k=")</f>
        <v>#VALUE!</v>
      </c>
      <c r="EY76" t="e">
        <f>AND('Planilla_General_03-12-2012_9_3'!J1210,"AAAAAG9O+5o=")</f>
        <v>#VALUE!</v>
      </c>
      <c r="EZ76" t="e">
        <f>AND('Planilla_General_03-12-2012_9_3'!K1210,"AAAAAG9O+5s=")</f>
        <v>#VALUE!</v>
      </c>
      <c r="FA76" t="e">
        <f>AND('Planilla_General_03-12-2012_9_3'!L1210,"AAAAAG9O+5w=")</f>
        <v>#VALUE!</v>
      </c>
      <c r="FB76" t="e">
        <f>AND('Planilla_General_03-12-2012_9_3'!M1210,"AAAAAG9O+50=")</f>
        <v>#VALUE!</v>
      </c>
      <c r="FC76" t="e">
        <f>AND('Planilla_General_03-12-2012_9_3'!N1210,"AAAAAG9O+54=")</f>
        <v>#VALUE!</v>
      </c>
      <c r="FD76" t="e">
        <f>AND('Planilla_General_03-12-2012_9_3'!O1210,"AAAAAG9O+58=")</f>
        <v>#VALUE!</v>
      </c>
      <c r="FE76">
        <f>IF('Planilla_General_03-12-2012_9_3'!1211:1211,"AAAAAG9O+6A=",0)</f>
        <v>0</v>
      </c>
      <c r="FF76" t="e">
        <f>AND('Planilla_General_03-12-2012_9_3'!A1211,"AAAAAG9O+6E=")</f>
        <v>#VALUE!</v>
      </c>
      <c r="FG76" t="e">
        <f>AND('Planilla_General_03-12-2012_9_3'!B1211,"AAAAAG9O+6I=")</f>
        <v>#VALUE!</v>
      </c>
      <c r="FH76" t="e">
        <f>AND('Planilla_General_03-12-2012_9_3'!C1211,"AAAAAG9O+6M=")</f>
        <v>#VALUE!</v>
      </c>
      <c r="FI76" t="e">
        <f>AND('Planilla_General_03-12-2012_9_3'!D1211,"AAAAAG9O+6Q=")</f>
        <v>#VALUE!</v>
      </c>
      <c r="FJ76" t="e">
        <f>AND('Planilla_General_03-12-2012_9_3'!E1211,"AAAAAG9O+6U=")</f>
        <v>#VALUE!</v>
      </c>
      <c r="FK76" t="e">
        <f>AND('Planilla_General_03-12-2012_9_3'!F1211,"AAAAAG9O+6Y=")</f>
        <v>#VALUE!</v>
      </c>
      <c r="FL76" t="e">
        <f>AND('Planilla_General_03-12-2012_9_3'!G1211,"AAAAAG9O+6c=")</f>
        <v>#VALUE!</v>
      </c>
      <c r="FM76" t="e">
        <f>AND('Planilla_General_03-12-2012_9_3'!H1211,"AAAAAG9O+6g=")</f>
        <v>#VALUE!</v>
      </c>
      <c r="FN76" t="e">
        <f>AND('Planilla_General_03-12-2012_9_3'!I1211,"AAAAAG9O+6k=")</f>
        <v>#VALUE!</v>
      </c>
      <c r="FO76" t="e">
        <f>AND('Planilla_General_03-12-2012_9_3'!J1211,"AAAAAG9O+6o=")</f>
        <v>#VALUE!</v>
      </c>
      <c r="FP76" t="e">
        <f>AND('Planilla_General_03-12-2012_9_3'!K1211,"AAAAAG9O+6s=")</f>
        <v>#VALUE!</v>
      </c>
      <c r="FQ76" t="e">
        <f>AND('Planilla_General_03-12-2012_9_3'!L1211,"AAAAAG9O+6w=")</f>
        <v>#VALUE!</v>
      </c>
      <c r="FR76" t="e">
        <f>AND('Planilla_General_03-12-2012_9_3'!M1211,"AAAAAG9O+60=")</f>
        <v>#VALUE!</v>
      </c>
      <c r="FS76" t="e">
        <f>AND('Planilla_General_03-12-2012_9_3'!N1211,"AAAAAG9O+64=")</f>
        <v>#VALUE!</v>
      </c>
      <c r="FT76" t="e">
        <f>AND('Planilla_General_03-12-2012_9_3'!O1211,"AAAAAG9O+68=")</f>
        <v>#VALUE!</v>
      </c>
      <c r="FU76">
        <f>IF('Planilla_General_03-12-2012_9_3'!1212:1212,"AAAAAG9O+7A=",0)</f>
        <v>0</v>
      </c>
      <c r="FV76" t="e">
        <f>AND('Planilla_General_03-12-2012_9_3'!A1212,"AAAAAG9O+7E=")</f>
        <v>#VALUE!</v>
      </c>
      <c r="FW76" t="e">
        <f>AND('Planilla_General_03-12-2012_9_3'!B1212,"AAAAAG9O+7I=")</f>
        <v>#VALUE!</v>
      </c>
      <c r="FX76" t="e">
        <f>AND('Planilla_General_03-12-2012_9_3'!C1212,"AAAAAG9O+7M=")</f>
        <v>#VALUE!</v>
      </c>
      <c r="FY76" t="e">
        <f>AND('Planilla_General_03-12-2012_9_3'!D1212,"AAAAAG9O+7Q=")</f>
        <v>#VALUE!</v>
      </c>
      <c r="FZ76" t="e">
        <f>AND('Planilla_General_03-12-2012_9_3'!E1212,"AAAAAG9O+7U=")</f>
        <v>#VALUE!</v>
      </c>
      <c r="GA76" t="e">
        <f>AND('Planilla_General_03-12-2012_9_3'!F1212,"AAAAAG9O+7Y=")</f>
        <v>#VALUE!</v>
      </c>
      <c r="GB76" t="e">
        <f>AND('Planilla_General_03-12-2012_9_3'!G1212,"AAAAAG9O+7c=")</f>
        <v>#VALUE!</v>
      </c>
      <c r="GC76" t="e">
        <f>AND('Planilla_General_03-12-2012_9_3'!H1212,"AAAAAG9O+7g=")</f>
        <v>#VALUE!</v>
      </c>
      <c r="GD76" t="e">
        <f>AND('Planilla_General_03-12-2012_9_3'!I1212,"AAAAAG9O+7k=")</f>
        <v>#VALUE!</v>
      </c>
      <c r="GE76" t="e">
        <f>AND('Planilla_General_03-12-2012_9_3'!J1212,"AAAAAG9O+7o=")</f>
        <v>#VALUE!</v>
      </c>
      <c r="GF76" t="e">
        <f>AND('Planilla_General_03-12-2012_9_3'!K1212,"AAAAAG9O+7s=")</f>
        <v>#VALUE!</v>
      </c>
      <c r="GG76" t="e">
        <f>AND('Planilla_General_03-12-2012_9_3'!L1212,"AAAAAG9O+7w=")</f>
        <v>#VALUE!</v>
      </c>
      <c r="GH76" t="e">
        <f>AND('Planilla_General_03-12-2012_9_3'!M1212,"AAAAAG9O+70=")</f>
        <v>#VALUE!</v>
      </c>
      <c r="GI76" t="e">
        <f>AND('Planilla_General_03-12-2012_9_3'!N1212,"AAAAAG9O+74=")</f>
        <v>#VALUE!</v>
      </c>
      <c r="GJ76" t="e">
        <f>AND('Planilla_General_03-12-2012_9_3'!O1212,"AAAAAG9O+78=")</f>
        <v>#VALUE!</v>
      </c>
      <c r="GK76">
        <f>IF('Planilla_General_03-12-2012_9_3'!1213:1213,"AAAAAG9O+8A=",0)</f>
        <v>0</v>
      </c>
      <c r="GL76" t="e">
        <f>AND('Planilla_General_03-12-2012_9_3'!A1213,"AAAAAG9O+8E=")</f>
        <v>#VALUE!</v>
      </c>
      <c r="GM76" t="e">
        <f>AND('Planilla_General_03-12-2012_9_3'!B1213,"AAAAAG9O+8I=")</f>
        <v>#VALUE!</v>
      </c>
      <c r="GN76" t="e">
        <f>AND('Planilla_General_03-12-2012_9_3'!C1213,"AAAAAG9O+8M=")</f>
        <v>#VALUE!</v>
      </c>
      <c r="GO76" t="e">
        <f>AND('Planilla_General_03-12-2012_9_3'!D1213,"AAAAAG9O+8Q=")</f>
        <v>#VALUE!</v>
      </c>
      <c r="GP76" t="e">
        <f>AND('Planilla_General_03-12-2012_9_3'!E1213,"AAAAAG9O+8U=")</f>
        <v>#VALUE!</v>
      </c>
      <c r="GQ76" t="e">
        <f>AND('Planilla_General_03-12-2012_9_3'!F1213,"AAAAAG9O+8Y=")</f>
        <v>#VALUE!</v>
      </c>
      <c r="GR76" t="e">
        <f>AND('Planilla_General_03-12-2012_9_3'!G1213,"AAAAAG9O+8c=")</f>
        <v>#VALUE!</v>
      </c>
      <c r="GS76" t="e">
        <f>AND('Planilla_General_03-12-2012_9_3'!H1213,"AAAAAG9O+8g=")</f>
        <v>#VALUE!</v>
      </c>
      <c r="GT76" t="e">
        <f>AND('Planilla_General_03-12-2012_9_3'!I1213,"AAAAAG9O+8k=")</f>
        <v>#VALUE!</v>
      </c>
      <c r="GU76" t="e">
        <f>AND('Planilla_General_03-12-2012_9_3'!J1213,"AAAAAG9O+8o=")</f>
        <v>#VALUE!</v>
      </c>
      <c r="GV76" t="e">
        <f>AND('Planilla_General_03-12-2012_9_3'!K1213,"AAAAAG9O+8s=")</f>
        <v>#VALUE!</v>
      </c>
      <c r="GW76" t="e">
        <f>AND('Planilla_General_03-12-2012_9_3'!L1213,"AAAAAG9O+8w=")</f>
        <v>#VALUE!</v>
      </c>
      <c r="GX76" t="e">
        <f>AND('Planilla_General_03-12-2012_9_3'!M1213,"AAAAAG9O+80=")</f>
        <v>#VALUE!</v>
      </c>
      <c r="GY76" t="e">
        <f>AND('Planilla_General_03-12-2012_9_3'!N1213,"AAAAAG9O+84=")</f>
        <v>#VALUE!</v>
      </c>
      <c r="GZ76" t="e">
        <f>AND('Planilla_General_03-12-2012_9_3'!O1213,"AAAAAG9O+88=")</f>
        <v>#VALUE!</v>
      </c>
      <c r="HA76">
        <f>IF('Planilla_General_03-12-2012_9_3'!1214:1214,"AAAAAG9O+9A=",0)</f>
        <v>0</v>
      </c>
      <c r="HB76" t="e">
        <f>AND('Planilla_General_03-12-2012_9_3'!A1214,"AAAAAG9O+9E=")</f>
        <v>#VALUE!</v>
      </c>
      <c r="HC76" t="e">
        <f>AND('Planilla_General_03-12-2012_9_3'!B1214,"AAAAAG9O+9I=")</f>
        <v>#VALUE!</v>
      </c>
      <c r="HD76" t="e">
        <f>AND('Planilla_General_03-12-2012_9_3'!C1214,"AAAAAG9O+9M=")</f>
        <v>#VALUE!</v>
      </c>
      <c r="HE76" t="e">
        <f>AND('Planilla_General_03-12-2012_9_3'!D1214,"AAAAAG9O+9Q=")</f>
        <v>#VALUE!</v>
      </c>
      <c r="HF76" t="e">
        <f>AND('Planilla_General_03-12-2012_9_3'!E1214,"AAAAAG9O+9U=")</f>
        <v>#VALUE!</v>
      </c>
      <c r="HG76" t="e">
        <f>AND('Planilla_General_03-12-2012_9_3'!F1214,"AAAAAG9O+9Y=")</f>
        <v>#VALUE!</v>
      </c>
      <c r="HH76" t="e">
        <f>AND('Planilla_General_03-12-2012_9_3'!G1214,"AAAAAG9O+9c=")</f>
        <v>#VALUE!</v>
      </c>
      <c r="HI76" t="e">
        <f>AND('Planilla_General_03-12-2012_9_3'!H1214,"AAAAAG9O+9g=")</f>
        <v>#VALUE!</v>
      </c>
      <c r="HJ76" t="e">
        <f>AND('Planilla_General_03-12-2012_9_3'!I1214,"AAAAAG9O+9k=")</f>
        <v>#VALUE!</v>
      </c>
      <c r="HK76" t="e">
        <f>AND('Planilla_General_03-12-2012_9_3'!J1214,"AAAAAG9O+9o=")</f>
        <v>#VALUE!</v>
      </c>
      <c r="HL76" t="e">
        <f>AND('Planilla_General_03-12-2012_9_3'!K1214,"AAAAAG9O+9s=")</f>
        <v>#VALUE!</v>
      </c>
      <c r="HM76" t="e">
        <f>AND('Planilla_General_03-12-2012_9_3'!L1214,"AAAAAG9O+9w=")</f>
        <v>#VALUE!</v>
      </c>
      <c r="HN76" t="e">
        <f>AND('Planilla_General_03-12-2012_9_3'!M1214,"AAAAAG9O+90=")</f>
        <v>#VALUE!</v>
      </c>
      <c r="HO76" t="e">
        <f>AND('Planilla_General_03-12-2012_9_3'!N1214,"AAAAAG9O+94=")</f>
        <v>#VALUE!</v>
      </c>
      <c r="HP76" t="e">
        <f>AND('Planilla_General_03-12-2012_9_3'!O1214,"AAAAAG9O+98=")</f>
        <v>#VALUE!</v>
      </c>
      <c r="HQ76">
        <f>IF('Planilla_General_03-12-2012_9_3'!1215:1215,"AAAAAG9O++A=",0)</f>
        <v>0</v>
      </c>
      <c r="HR76" t="e">
        <f>AND('Planilla_General_03-12-2012_9_3'!A1215,"AAAAAG9O++E=")</f>
        <v>#VALUE!</v>
      </c>
      <c r="HS76" t="e">
        <f>AND('Planilla_General_03-12-2012_9_3'!B1215,"AAAAAG9O++I=")</f>
        <v>#VALUE!</v>
      </c>
      <c r="HT76" t="e">
        <f>AND('Planilla_General_03-12-2012_9_3'!C1215,"AAAAAG9O++M=")</f>
        <v>#VALUE!</v>
      </c>
      <c r="HU76" t="e">
        <f>AND('Planilla_General_03-12-2012_9_3'!D1215,"AAAAAG9O++Q=")</f>
        <v>#VALUE!</v>
      </c>
      <c r="HV76" t="e">
        <f>AND('Planilla_General_03-12-2012_9_3'!E1215,"AAAAAG9O++U=")</f>
        <v>#VALUE!</v>
      </c>
      <c r="HW76" t="e">
        <f>AND('Planilla_General_03-12-2012_9_3'!F1215,"AAAAAG9O++Y=")</f>
        <v>#VALUE!</v>
      </c>
      <c r="HX76" t="e">
        <f>AND('Planilla_General_03-12-2012_9_3'!G1215,"AAAAAG9O++c=")</f>
        <v>#VALUE!</v>
      </c>
      <c r="HY76" t="e">
        <f>AND('Planilla_General_03-12-2012_9_3'!H1215,"AAAAAG9O++g=")</f>
        <v>#VALUE!</v>
      </c>
      <c r="HZ76" t="e">
        <f>AND('Planilla_General_03-12-2012_9_3'!I1215,"AAAAAG9O++k=")</f>
        <v>#VALUE!</v>
      </c>
      <c r="IA76" t="e">
        <f>AND('Planilla_General_03-12-2012_9_3'!J1215,"AAAAAG9O++o=")</f>
        <v>#VALUE!</v>
      </c>
      <c r="IB76" t="e">
        <f>AND('Planilla_General_03-12-2012_9_3'!K1215,"AAAAAG9O++s=")</f>
        <v>#VALUE!</v>
      </c>
      <c r="IC76" t="e">
        <f>AND('Planilla_General_03-12-2012_9_3'!L1215,"AAAAAG9O++w=")</f>
        <v>#VALUE!</v>
      </c>
      <c r="ID76" t="e">
        <f>AND('Planilla_General_03-12-2012_9_3'!M1215,"AAAAAG9O++0=")</f>
        <v>#VALUE!</v>
      </c>
      <c r="IE76" t="e">
        <f>AND('Planilla_General_03-12-2012_9_3'!N1215,"AAAAAG9O++4=")</f>
        <v>#VALUE!</v>
      </c>
      <c r="IF76" t="e">
        <f>AND('Planilla_General_03-12-2012_9_3'!O1215,"AAAAAG9O++8=")</f>
        <v>#VALUE!</v>
      </c>
      <c r="IG76">
        <f>IF('Planilla_General_03-12-2012_9_3'!1216:1216,"AAAAAG9O+/A=",0)</f>
        <v>0</v>
      </c>
      <c r="IH76" t="e">
        <f>AND('Planilla_General_03-12-2012_9_3'!A1216,"AAAAAG9O+/E=")</f>
        <v>#VALUE!</v>
      </c>
      <c r="II76" t="e">
        <f>AND('Planilla_General_03-12-2012_9_3'!B1216,"AAAAAG9O+/I=")</f>
        <v>#VALUE!</v>
      </c>
      <c r="IJ76" t="e">
        <f>AND('Planilla_General_03-12-2012_9_3'!C1216,"AAAAAG9O+/M=")</f>
        <v>#VALUE!</v>
      </c>
      <c r="IK76" t="e">
        <f>AND('Planilla_General_03-12-2012_9_3'!D1216,"AAAAAG9O+/Q=")</f>
        <v>#VALUE!</v>
      </c>
      <c r="IL76" t="e">
        <f>AND('Planilla_General_03-12-2012_9_3'!E1216,"AAAAAG9O+/U=")</f>
        <v>#VALUE!</v>
      </c>
      <c r="IM76" t="e">
        <f>AND('Planilla_General_03-12-2012_9_3'!F1216,"AAAAAG9O+/Y=")</f>
        <v>#VALUE!</v>
      </c>
      <c r="IN76" t="e">
        <f>AND('Planilla_General_03-12-2012_9_3'!G1216,"AAAAAG9O+/c=")</f>
        <v>#VALUE!</v>
      </c>
      <c r="IO76" t="e">
        <f>AND('Planilla_General_03-12-2012_9_3'!H1216,"AAAAAG9O+/g=")</f>
        <v>#VALUE!</v>
      </c>
      <c r="IP76" t="e">
        <f>AND('Planilla_General_03-12-2012_9_3'!I1216,"AAAAAG9O+/k=")</f>
        <v>#VALUE!</v>
      </c>
      <c r="IQ76" t="e">
        <f>AND('Planilla_General_03-12-2012_9_3'!J1216,"AAAAAG9O+/o=")</f>
        <v>#VALUE!</v>
      </c>
      <c r="IR76" t="e">
        <f>AND('Planilla_General_03-12-2012_9_3'!K1216,"AAAAAG9O+/s=")</f>
        <v>#VALUE!</v>
      </c>
      <c r="IS76" t="e">
        <f>AND('Planilla_General_03-12-2012_9_3'!L1216,"AAAAAG9O+/w=")</f>
        <v>#VALUE!</v>
      </c>
      <c r="IT76" t="e">
        <f>AND('Planilla_General_03-12-2012_9_3'!M1216,"AAAAAG9O+/0=")</f>
        <v>#VALUE!</v>
      </c>
      <c r="IU76" t="e">
        <f>AND('Planilla_General_03-12-2012_9_3'!N1216,"AAAAAG9O+/4=")</f>
        <v>#VALUE!</v>
      </c>
      <c r="IV76" t="e">
        <f>AND('Planilla_General_03-12-2012_9_3'!O1216,"AAAAAG9O+/8=")</f>
        <v>#VALUE!</v>
      </c>
    </row>
    <row r="77" spans="1:256" x14ac:dyDescent="0.25">
      <c r="A77" t="e">
        <f>IF('Planilla_General_03-12-2012_9_3'!1217:1217,"AAAAAH7/1gA=",0)</f>
        <v>#VALUE!</v>
      </c>
      <c r="B77" t="e">
        <f>AND('Planilla_General_03-12-2012_9_3'!A1217,"AAAAAH7/1gE=")</f>
        <v>#VALUE!</v>
      </c>
      <c r="C77" t="e">
        <f>AND('Planilla_General_03-12-2012_9_3'!B1217,"AAAAAH7/1gI=")</f>
        <v>#VALUE!</v>
      </c>
      <c r="D77" t="e">
        <f>AND('Planilla_General_03-12-2012_9_3'!C1217,"AAAAAH7/1gM=")</f>
        <v>#VALUE!</v>
      </c>
      <c r="E77" t="e">
        <f>AND('Planilla_General_03-12-2012_9_3'!D1217,"AAAAAH7/1gQ=")</f>
        <v>#VALUE!</v>
      </c>
      <c r="F77" t="e">
        <f>AND('Planilla_General_03-12-2012_9_3'!E1217,"AAAAAH7/1gU=")</f>
        <v>#VALUE!</v>
      </c>
      <c r="G77" t="e">
        <f>AND('Planilla_General_03-12-2012_9_3'!F1217,"AAAAAH7/1gY=")</f>
        <v>#VALUE!</v>
      </c>
      <c r="H77" t="e">
        <f>AND('Planilla_General_03-12-2012_9_3'!G1217,"AAAAAH7/1gc=")</f>
        <v>#VALUE!</v>
      </c>
      <c r="I77" t="e">
        <f>AND('Planilla_General_03-12-2012_9_3'!H1217,"AAAAAH7/1gg=")</f>
        <v>#VALUE!</v>
      </c>
      <c r="J77" t="e">
        <f>AND('Planilla_General_03-12-2012_9_3'!I1217,"AAAAAH7/1gk=")</f>
        <v>#VALUE!</v>
      </c>
      <c r="K77" t="e">
        <f>AND('Planilla_General_03-12-2012_9_3'!J1217,"AAAAAH7/1go=")</f>
        <v>#VALUE!</v>
      </c>
      <c r="L77" t="e">
        <f>AND('Planilla_General_03-12-2012_9_3'!K1217,"AAAAAH7/1gs=")</f>
        <v>#VALUE!</v>
      </c>
      <c r="M77" t="e">
        <f>AND('Planilla_General_03-12-2012_9_3'!L1217,"AAAAAH7/1gw=")</f>
        <v>#VALUE!</v>
      </c>
      <c r="N77" t="e">
        <f>AND('Planilla_General_03-12-2012_9_3'!M1217,"AAAAAH7/1g0=")</f>
        <v>#VALUE!</v>
      </c>
      <c r="O77" t="e">
        <f>AND('Planilla_General_03-12-2012_9_3'!N1217,"AAAAAH7/1g4=")</f>
        <v>#VALUE!</v>
      </c>
      <c r="P77" t="e">
        <f>AND('Planilla_General_03-12-2012_9_3'!O1217,"AAAAAH7/1g8=")</f>
        <v>#VALUE!</v>
      </c>
      <c r="Q77">
        <f>IF('Planilla_General_03-12-2012_9_3'!1218:1218,"AAAAAH7/1hA=",0)</f>
        <v>0</v>
      </c>
      <c r="R77" t="e">
        <f>AND('Planilla_General_03-12-2012_9_3'!A1218,"AAAAAH7/1hE=")</f>
        <v>#VALUE!</v>
      </c>
      <c r="S77" t="e">
        <f>AND('Planilla_General_03-12-2012_9_3'!B1218,"AAAAAH7/1hI=")</f>
        <v>#VALUE!</v>
      </c>
      <c r="T77" t="e">
        <f>AND('Planilla_General_03-12-2012_9_3'!C1218,"AAAAAH7/1hM=")</f>
        <v>#VALUE!</v>
      </c>
      <c r="U77" t="e">
        <f>AND('Planilla_General_03-12-2012_9_3'!D1218,"AAAAAH7/1hQ=")</f>
        <v>#VALUE!</v>
      </c>
      <c r="V77" t="e">
        <f>AND('Planilla_General_03-12-2012_9_3'!E1218,"AAAAAH7/1hU=")</f>
        <v>#VALUE!</v>
      </c>
      <c r="W77" t="e">
        <f>AND('Planilla_General_03-12-2012_9_3'!F1218,"AAAAAH7/1hY=")</f>
        <v>#VALUE!</v>
      </c>
      <c r="X77" t="e">
        <f>AND('Planilla_General_03-12-2012_9_3'!G1218,"AAAAAH7/1hc=")</f>
        <v>#VALUE!</v>
      </c>
      <c r="Y77" t="e">
        <f>AND('Planilla_General_03-12-2012_9_3'!H1218,"AAAAAH7/1hg=")</f>
        <v>#VALUE!</v>
      </c>
      <c r="Z77" t="e">
        <f>AND('Planilla_General_03-12-2012_9_3'!I1218,"AAAAAH7/1hk=")</f>
        <v>#VALUE!</v>
      </c>
      <c r="AA77" t="e">
        <f>AND('Planilla_General_03-12-2012_9_3'!J1218,"AAAAAH7/1ho=")</f>
        <v>#VALUE!</v>
      </c>
      <c r="AB77" t="e">
        <f>AND('Planilla_General_03-12-2012_9_3'!K1218,"AAAAAH7/1hs=")</f>
        <v>#VALUE!</v>
      </c>
      <c r="AC77" t="e">
        <f>AND('Planilla_General_03-12-2012_9_3'!L1218,"AAAAAH7/1hw=")</f>
        <v>#VALUE!</v>
      </c>
      <c r="AD77" t="e">
        <f>AND('Planilla_General_03-12-2012_9_3'!M1218,"AAAAAH7/1h0=")</f>
        <v>#VALUE!</v>
      </c>
      <c r="AE77" t="e">
        <f>AND('Planilla_General_03-12-2012_9_3'!N1218,"AAAAAH7/1h4=")</f>
        <v>#VALUE!</v>
      </c>
      <c r="AF77" t="e">
        <f>AND('Planilla_General_03-12-2012_9_3'!O1218,"AAAAAH7/1h8=")</f>
        <v>#VALUE!</v>
      </c>
      <c r="AG77">
        <f>IF('Planilla_General_03-12-2012_9_3'!1219:1219,"AAAAAH7/1iA=",0)</f>
        <v>0</v>
      </c>
      <c r="AH77" t="e">
        <f>AND('Planilla_General_03-12-2012_9_3'!A1219,"AAAAAH7/1iE=")</f>
        <v>#VALUE!</v>
      </c>
      <c r="AI77" t="e">
        <f>AND('Planilla_General_03-12-2012_9_3'!B1219,"AAAAAH7/1iI=")</f>
        <v>#VALUE!</v>
      </c>
      <c r="AJ77" t="e">
        <f>AND('Planilla_General_03-12-2012_9_3'!C1219,"AAAAAH7/1iM=")</f>
        <v>#VALUE!</v>
      </c>
      <c r="AK77" t="e">
        <f>AND('Planilla_General_03-12-2012_9_3'!D1219,"AAAAAH7/1iQ=")</f>
        <v>#VALUE!</v>
      </c>
      <c r="AL77" t="e">
        <f>AND('Planilla_General_03-12-2012_9_3'!E1219,"AAAAAH7/1iU=")</f>
        <v>#VALUE!</v>
      </c>
      <c r="AM77" t="e">
        <f>AND('Planilla_General_03-12-2012_9_3'!F1219,"AAAAAH7/1iY=")</f>
        <v>#VALUE!</v>
      </c>
      <c r="AN77" t="e">
        <f>AND('Planilla_General_03-12-2012_9_3'!G1219,"AAAAAH7/1ic=")</f>
        <v>#VALUE!</v>
      </c>
      <c r="AO77" t="e">
        <f>AND('Planilla_General_03-12-2012_9_3'!H1219,"AAAAAH7/1ig=")</f>
        <v>#VALUE!</v>
      </c>
      <c r="AP77" t="e">
        <f>AND('Planilla_General_03-12-2012_9_3'!I1219,"AAAAAH7/1ik=")</f>
        <v>#VALUE!</v>
      </c>
      <c r="AQ77" t="e">
        <f>AND('Planilla_General_03-12-2012_9_3'!J1219,"AAAAAH7/1io=")</f>
        <v>#VALUE!</v>
      </c>
      <c r="AR77" t="e">
        <f>AND('Planilla_General_03-12-2012_9_3'!K1219,"AAAAAH7/1is=")</f>
        <v>#VALUE!</v>
      </c>
      <c r="AS77" t="e">
        <f>AND('Planilla_General_03-12-2012_9_3'!L1219,"AAAAAH7/1iw=")</f>
        <v>#VALUE!</v>
      </c>
      <c r="AT77" t="e">
        <f>AND('Planilla_General_03-12-2012_9_3'!M1219,"AAAAAH7/1i0=")</f>
        <v>#VALUE!</v>
      </c>
      <c r="AU77" t="e">
        <f>AND('Planilla_General_03-12-2012_9_3'!N1219,"AAAAAH7/1i4=")</f>
        <v>#VALUE!</v>
      </c>
      <c r="AV77" t="e">
        <f>AND('Planilla_General_03-12-2012_9_3'!O1219,"AAAAAH7/1i8=")</f>
        <v>#VALUE!</v>
      </c>
      <c r="AW77">
        <f>IF('Planilla_General_03-12-2012_9_3'!1220:1220,"AAAAAH7/1jA=",0)</f>
        <v>0</v>
      </c>
      <c r="AX77" t="e">
        <f>AND('Planilla_General_03-12-2012_9_3'!A1220,"AAAAAH7/1jE=")</f>
        <v>#VALUE!</v>
      </c>
      <c r="AY77" t="e">
        <f>AND('Planilla_General_03-12-2012_9_3'!B1220,"AAAAAH7/1jI=")</f>
        <v>#VALUE!</v>
      </c>
      <c r="AZ77" t="e">
        <f>AND('Planilla_General_03-12-2012_9_3'!C1220,"AAAAAH7/1jM=")</f>
        <v>#VALUE!</v>
      </c>
      <c r="BA77" t="e">
        <f>AND('Planilla_General_03-12-2012_9_3'!D1220,"AAAAAH7/1jQ=")</f>
        <v>#VALUE!</v>
      </c>
      <c r="BB77" t="e">
        <f>AND('Planilla_General_03-12-2012_9_3'!E1220,"AAAAAH7/1jU=")</f>
        <v>#VALUE!</v>
      </c>
      <c r="BC77" t="e">
        <f>AND('Planilla_General_03-12-2012_9_3'!F1220,"AAAAAH7/1jY=")</f>
        <v>#VALUE!</v>
      </c>
      <c r="BD77" t="e">
        <f>AND('Planilla_General_03-12-2012_9_3'!G1220,"AAAAAH7/1jc=")</f>
        <v>#VALUE!</v>
      </c>
      <c r="BE77" t="e">
        <f>AND('Planilla_General_03-12-2012_9_3'!H1220,"AAAAAH7/1jg=")</f>
        <v>#VALUE!</v>
      </c>
      <c r="BF77" t="e">
        <f>AND('Planilla_General_03-12-2012_9_3'!I1220,"AAAAAH7/1jk=")</f>
        <v>#VALUE!</v>
      </c>
      <c r="BG77" t="e">
        <f>AND('Planilla_General_03-12-2012_9_3'!J1220,"AAAAAH7/1jo=")</f>
        <v>#VALUE!</v>
      </c>
      <c r="BH77" t="e">
        <f>AND('Planilla_General_03-12-2012_9_3'!K1220,"AAAAAH7/1js=")</f>
        <v>#VALUE!</v>
      </c>
      <c r="BI77" t="e">
        <f>AND('Planilla_General_03-12-2012_9_3'!L1220,"AAAAAH7/1jw=")</f>
        <v>#VALUE!</v>
      </c>
      <c r="BJ77" t="e">
        <f>AND('Planilla_General_03-12-2012_9_3'!M1220,"AAAAAH7/1j0=")</f>
        <v>#VALUE!</v>
      </c>
      <c r="BK77" t="e">
        <f>AND('Planilla_General_03-12-2012_9_3'!N1220,"AAAAAH7/1j4=")</f>
        <v>#VALUE!</v>
      </c>
      <c r="BL77" t="e">
        <f>AND('Planilla_General_03-12-2012_9_3'!O1220,"AAAAAH7/1j8=")</f>
        <v>#VALUE!</v>
      </c>
      <c r="BM77">
        <f>IF('Planilla_General_03-12-2012_9_3'!1221:1221,"AAAAAH7/1kA=",0)</f>
        <v>0</v>
      </c>
      <c r="BN77" t="e">
        <f>AND('Planilla_General_03-12-2012_9_3'!A1221,"AAAAAH7/1kE=")</f>
        <v>#VALUE!</v>
      </c>
      <c r="BO77" t="e">
        <f>AND('Planilla_General_03-12-2012_9_3'!B1221,"AAAAAH7/1kI=")</f>
        <v>#VALUE!</v>
      </c>
      <c r="BP77" t="e">
        <f>AND('Planilla_General_03-12-2012_9_3'!C1221,"AAAAAH7/1kM=")</f>
        <v>#VALUE!</v>
      </c>
      <c r="BQ77" t="e">
        <f>AND('Planilla_General_03-12-2012_9_3'!D1221,"AAAAAH7/1kQ=")</f>
        <v>#VALUE!</v>
      </c>
      <c r="BR77" t="e">
        <f>AND('Planilla_General_03-12-2012_9_3'!E1221,"AAAAAH7/1kU=")</f>
        <v>#VALUE!</v>
      </c>
      <c r="BS77" t="e">
        <f>AND('Planilla_General_03-12-2012_9_3'!F1221,"AAAAAH7/1kY=")</f>
        <v>#VALUE!</v>
      </c>
      <c r="BT77" t="e">
        <f>AND('Planilla_General_03-12-2012_9_3'!G1221,"AAAAAH7/1kc=")</f>
        <v>#VALUE!</v>
      </c>
      <c r="BU77" t="e">
        <f>AND('Planilla_General_03-12-2012_9_3'!H1221,"AAAAAH7/1kg=")</f>
        <v>#VALUE!</v>
      </c>
      <c r="BV77" t="e">
        <f>AND('Planilla_General_03-12-2012_9_3'!I1221,"AAAAAH7/1kk=")</f>
        <v>#VALUE!</v>
      </c>
      <c r="BW77" t="e">
        <f>AND('Planilla_General_03-12-2012_9_3'!J1221,"AAAAAH7/1ko=")</f>
        <v>#VALUE!</v>
      </c>
      <c r="BX77" t="e">
        <f>AND('Planilla_General_03-12-2012_9_3'!K1221,"AAAAAH7/1ks=")</f>
        <v>#VALUE!</v>
      </c>
      <c r="BY77" t="e">
        <f>AND('Planilla_General_03-12-2012_9_3'!L1221,"AAAAAH7/1kw=")</f>
        <v>#VALUE!</v>
      </c>
      <c r="BZ77" t="e">
        <f>AND('Planilla_General_03-12-2012_9_3'!M1221,"AAAAAH7/1k0=")</f>
        <v>#VALUE!</v>
      </c>
      <c r="CA77" t="e">
        <f>AND('Planilla_General_03-12-2012_9_3'!N1221,"AAAAAH7/1k4=")</f>
        <v>#VALUE!</v>
      </c>
      <c r="CB77" t="e">
        <f>AND('Planilla_General_03-12-2012_9_3'!O1221,"AAAAAH7/1k8=")</f>
        <v>#VALUE!</v>
      </c>
      <c r="CC77">
        <f>IF('Planilla_General_03-12-2012_9_3'!1222:1222,"AAAAAH7/1lA=",0)</f>
        <v>0</v>
      </c>
      <c r="CD77" t="e">
        <f>AND('Planilla_General_03-12-2012_9_3'!A1222,"AAAAAH7/1lE=")</f>
        <v>#VALUE!</v>
      </c>
      <c r="CE77" t="e">
        <f>AND('Planilla_General_03-12-2012_9_3'!B1222,"AAAAAH7/1lI=")</f>
        <v>#VALUE!</v>
      </c>
      <c r="CF77" t="e">
        <f>AND('Planilla_General_03-12-2012_9_3'!C1222,"AAAAAH7/1lM=")</f>
        <v>#VALUE!</v>
      </c>
      <c r="CG77" t="e">
        <f>AND('Planilla_General_03-12-2012_9_3'!D1222,"AAAAAH7/1lQ=")</f>
        <v>#VALUE!</v>
      </c>
      <c r="CH77" t="e">
        <f>AND('Planilla_General_03-12-2012_9_3'!E1222,"AAAAAH7/1lU=")</f>
        <v>#VALUE!</v>
      </c>
      <c r="CI77" t="e">
        <f>AND('Planilla_General_03-12-2012_9_3'!F1222,"AAAAAH7/1lY=")</f>
        <v>#VALUE!</v>
      </c>
      <c r="CJ77" t="e">
        <f>AND('Planilla_General_03-12-2012_9_3'!G1222,"AAAAAH7/1lc=")</f>
        <v>#VALUE!</v>
      </c>
      <c r="CK77" t="e">
        <f>AND('Planilla_General_03-12-2012_9_3'!H1222,"AAAAAH7/1lg=")</f>
        <v>#VALUE!</v>
      </c>
      <c r="CL77" t="e">
        <f>AND('Planilla_General_03-12-2012_9_3'!I1222,"AAAAAH7/1lk=")</f>
        <v>#VALUE!</v>
      </c>
      <c r="CM77" t="e">
        <f>AND('Planilla_General_03-12-2012_9_3'!J1222,"AAAAAH7/1lo=")</f>
        <v>#VALUE!</v>
      </c>
      <c r="CN77" t="e">
        <f>AND('Planilla_General_03-12-2012_9_3'!K1222,"AAAAAH7/1ls=")</f>
        <v>#VALUE!</v>
      </c>
      <c r="CO77" t="e">
        <f>AND('Planilla_General_03-12-2012_9_3'!L1222,"AAAAAH7/1lw=")</f>
        <v>#VALUE!</v>
      </c>
      <c r="CP77" t="e">
        <f>AND('Planilla_General_03-12-2012_9_3'!M1222,"AAAAAH7/1l0=")</f>
        <v>#VALUE!</v>
      </c>
      <c r="CQ77" t="e">
        <f>AND('Planilla_General_03-12-2012_9_3'!N1222,"AAAAAH7/1l4=")</f>
        <v>#VALUE!</v>
      </c>
      <c r="CR77" t="e">
        <f>AND('Planilla_General_03-12-2012_9_3'!O1222,"AAAAAH7/1l8=")</f>
        <v>#VALUE!</v>
      </c>
      <c r="CS77">
        <f>IF('Planilla_General_03-12-2012_9_3'!1223:1223,"AAAAAH7/1mA=",0)</f>
        <v>0</v>
      </c>
      <c r="CT77" t="e">
        <f>AND('Planilla_General_03-12-2012_9_3'!A1223,"AAAAAH7/1mE=")</f>
        <v>#VALUE!</v>
      </c>
      <c r="CU77" t="e">
        <f>AND('Planilla_General_03-12-2012_9_3'!B1223,"AAAAAH7/1mI=")</f>
        <v>#VALUE!</v>
      </c>
      <c r="CV77" t="e">
        <f>AND('Planilla_General_03-12-2012_9_3'!C1223,"AAAAAH7/1mM=")</f>
        <v>#VALUE!</v>
      </c>
      <c r="CW77" t="e">
        <f>AND('Planilla_General_03-12-2012_9_3'!D1223,"AAAAAH7/1mQ=")</f>
        <v>#VALUE!</v>
      </c>
      <c r="CX77" t="e">
        <f>AND('Planilla_General_03-12-2012_9_3'!E1223,"AAAAAH7/1mU=")</f>
        <v>#VALUE!</v>
      </c>
      <c r="CY77" t="e">
        <f>AND('Planilla_General_03-12-2012_9_3'!F1223,"AAAAAH7/1mY=")</f>
        <v>#VALUE!</v>
      </c>
      <c r="CZ77" t="e">
        <f>AND('Planilla_General_03-12-2012_9_3'!G1223,"AAAAAH7/1mc=")</f>
        <v>#VALUE!</v>
      </c>
      <c r="DA77" t="e">
        <f>AND('Planilla_General_03-12-2012_9_3'!H1223,"AAAAAH7/1mg=")</f>
        <v>#VALUE!</v>
      </c>
      <c r="DB77" t="e">
        <f>AND('Planilla_General_03-12-2012_9_3'!I1223,"AAAAAH7/1mk=")</f>
        <v>#VALUE!</v>
      </c>
      <c r="DC77" t="e">
        <f>AND('Planilla_General_03-12-2012_9_3'!J1223,"AAAAAH7/1mo=")</f>
        <v>#VALUE!</v>
      </c>
      <c r="DD77" t="e">
        <f>AND('Planilla_General_03-12-2012_9_3'!K1223,"AAAAAH7/1ms=")</f>
        <v>#VALUE!</v>
      </c>
      <c r="DE77" t="e">
        <f>AND('Planilla_General_03-12-2012_9_3'!L1223,"AAAAAH7/1mw=")</f>
        <v>#VALUE!</v>
      </c>
      <c r="DF77" t="e">
        <f>AND('Planilla_General_03-12-2012_9_3'!M1223,"AAAAAH7/1m0=")</f>
        <v>#VALUE!</v>
      </c>
      <c r="DG77" t="e">
        <f>AND('Planilla_General_03-12-2012_9_3'!N1223,"AAAAAH7/1m4=")</f>
        <v>#VALUE!</v>
      </c>
      <c r="DH77" t="e">
        <f>AND('Planilla_General_03-12-2012_9_3'!O1223,"AAAAAH7/1m8=")</f>
        <v>#VALUE!</v>
      </c>
      <c r="DI77">
        <f>IF('Planilla_General_03-12-2012_9_3'!1224:1224,"AAAAAH7/1nA=",0)</f>
        <v>0</v>
      </c>
      <c r="DJ77" t="e">
        <f>AND('Planilla_General_03-12-2012_9_3'!A1224,"AAAAAH7/1nE=")</f>
        <v>#VALUE!</v>
      </c>
      <c r="DK77" t="e">
        <f>AND('Planilla_General_03-12-2012_9_3'!B1224,"AAAAAH7/1nI=")</f>
        <v>#VALUE!</v>
      </c>
      <c r="DL77" t="e">
        <f>AND('Planilla_General_03-12-2012_9_3'!C1224,"AAAAAH7/1nM=")</f>
        <v>#VALUE!</v>
      </c>
      <c r="DM77" t="e">
        <f>AND('Planilla_General_03-12-2012_9_3'!D1224,"AAAAAH7/1nQ=")</f>
        <v>#VALUE!</v>
      </c>
      <c r="DN77" t="e">
        <f>AND('Planilla_General_03-12-2012_9_3'!E1224,"AAAAAH7/1nU=")</f>
        <v>#VALUE!</v>
      </c>
      <c r="DO77" t="e">
        <f>AND('Planilla_General_03-12-2012_9_3'!F1224,"AAAAAH7/1nY=")</f>
        <v>#VALUE!</v>
      </c>
      <c r="DP77" t="e">
        <f>AND('Planilla_General_03-12-2012_9_3'!G1224,"AAAAAH7/1nc=")</f>
        <v>#VALUE!</v>
      </c>
      <c r="DQ77" t="e">
        <f>AND('Planilla_General_03-12-2012_9_3'!H1224,"AAAAAH7/1ng=")</f>
        <v>#VALUE!</v>
      </c>
      <c r="DR77" t="e">
        <f>AND('Planilla_General_03-12-2012_9_3'!I1224,"AAAAAH7/1nk=")</f>
        <v>#VALUE!</v>
      </c>
      <c r="DS77" t="e">
        <f>AND('Planilla_General_03-12-2012_9_3'!J1224,"AAAAAH7/1no=")</f>
        <v>#VALUE!</v>
      </c>
      <c r="DT77" t="e">
        <f>AND('Planilla_General_03-12-2012_9_3'!K1224,"AAAAAH7/1ns=")</f>
        <v>#VALUE!</v>
      </c>
      <c r="DU77" t="e">
        <f>AND('Planilla_General_03-12-2012_9_3'!L1224,"AAAAAH7/1nw=")</f>
        <v>#VALUE!</v>
      </c>
      <c r="DV77" t="e">
        <f>AND('Planilla_General_03-12-2012_9_3'!M1224,"AAAAAH7/1n0=")</f>
        <v>#VALUE!</v>
      </c>
      <c r="DW77" t="e">
        <f>AND('Planilla_General_03-12-2012_9_3'!N1224,"AAAAAH7/1n4=")</f>
        <v>#VALUE!</v>
      </c>
      <c r="DX77" t="e">
        <f>AND('Planilla_General_03-12-2012_9_3'!O1224,"AAAAAH7/1n8=")</f>
        <v>#VALUE!</v>
      </c>
      <c r="DY77">
        <f>IF('Planilla_General_03-12-2012_9_3'!1225:1225,"AAAAAH7/1oA=",0)</f>
        <v>0</v>
      </c>
      <c r="DZ77" t="e">
        <f>AND('Planilla_General_03-12-2012_9_3'!A1225,"AAAAAH7/1oE=")</f>
        <v>#VALUE!</v>
      </c>
      <c r="EA77" t="e">
        <f>AND('Planilla_General_03-12-2012_9_3'!B1225,"AAAAAH7/1oI=")</f>
        <v>#VALUE!</v>
      </c>
      <c r="EB77" t="e">
        <f>AND('Planilla_General_03-12-2012_9_3'!C1225,"AAAAAH7/1oM=")</f>
        <v>#VALUE!</v>
      </c>
      <c r="EC77" t="e">
        <f>AND('Planilla_General_03-12-2012_9_3'!D1225,"AAAAAH7/1oQ=")</f>
        <v>#VALUE!</v>
      </c>
      <c r="ED77" t="e">
        <f>AND('Planilla_General_03-12-2012_9_3'!E1225,"AAAAAH7/1oU=")</f>
        <v>#VALUE!</v>
      </c>
      <c r="EE77" t="e">
        <f>AND('Planilla_General_03-12-2012_9_3'!F1225,"AAAAAH7/1oY=")</f>
        <v>#VALUE!</v>
      </c>
      <c r="EF77" t="e">
        <f>AND('Planilla_General_03-12-2012_9_3'!G1225,"AAAAAH7/1oc=")</f>
        <v>#VALUE!</v>
      </c>
      <c r="EG77" t="e">
        <f>AND('Planilla_General_03-12-2012_9_3'!H1225,"AAAAAH7/1og=")</f>
        <v>#VALUE!</v>
      </c>
      <c r="EH77" t="e">
        <f>AND('Planilla_General_03-12-2012_9_3'!I1225,"AAAAAH7/1ok=")</f>
        <v>#VALUE!</v>
      </c>
      <c r="EI77" t="e">
        <f>AND('Planilla_General_03-12-2012_9_3'!J1225,"AAAAAH7/1oo=")</f>
        <v>#VALUE!</v>
      </c>
      <c r="EJ77" t="e">
        <f>AND('Planilla_General_03-12-2012_9_3'!K1225,"AAAAAH7/1os=")</f>
        <v>#VALUE!</v>
      </c>
      <c r="EK77" t="e">
        <f>AND('Planilla_General_03-12-2012_9_3'!L1225,"AAAAAH7/1ow=")</f>
        <v>#VALUE!</v>
      </c>
      <c r="EL77" t="e">
        <f>AND('Planilla_General_03-12-2012_9_3'!M1225,"AAAAAH7/1o0=")</f>
        <v>#VALUE!</v>
      </c>
      <c r="EM77" t="e">
        <f>AND('Planilla_General_03-12-2012_9_3'!N1225,"AAAAAH7/1o4=")</f>
        <v>#VALUE!</v>
      </c>
      <c r="EN77" t="e">
        <f>AND('Planilla_General_03-12-2012_9_3'!O1225,"AAAAAH7/1o8=")</f>
        <v>#VALUE!</v>
      </c>
      <c r="EO77">
        <f>IF('Planilla_General_03-12-2012_9_3'!1226:1226,"AAAAAH7/1pA=",0)</f>
        <v>0</v>
      </c>
      <c r="EP77" t="e">
        <f>AND('Planilla_General_03-12-2012_9_3'!A1226,"AAAAAH7/1pE=")</f>
        <v>#VALUE!</v>
      </c>
      <c r="EQ77" t="e">
        <f>AND('Planilla_General_03-12-2012_9_3'!B1226,"AAAAAH7/1pI=")</f>
        <v>#VALUE!</v>
      </c>
      <c r="ER77" t="e">
        <f>AND('Planilla_General_03-12-2012_9_3'!C1226,"AAAAAH7/1pM=")</f>
        <v>#VALUE!</v>
      </c>
      <c r="ES77" t="e">
        <f>AND('Planilla_General_03-12-2012_9_3'!D1226,"AAAAAH7/1pQ=")</f>
        <v>#VALUE!</v>
      </c>
      <c r="ET77" t="e">
        <f>AND('Planilla_General_03-12-2012_9_3'!E1226,"AAAAAH7/1pU=")</f>
        <v>#VALUE!</v>
      </c>
      <c r="EU77" t="e">
        <f>AND('Planilla_General_03-12-2012_9_3'!F1226,"AAAAAH7/1pY=")</f>
        <v>#VALUE!</v>
      </c>
      <c r="EV77" t="e">
        <f>AND('Planilla_General_03-12-2012_9_3'!G1226,"AAAAAH7/1pc=")</f>
        <v>#VALUE!</v>
      </c>
      <c r="EW77" t="e">
        <f>AND('Planilla_General_03-12-2012_9_3'!H1226,"AAAAAH7/1pg=")</f>
        <v>#VALUE!</v>
      </c>
      <c r="EX77" t="e">
        <f>AND('Planilla_General_03-12-2012_9_3'!I1226,"AAAAAH7/1pk=")</f>
        <v>#VALUE!</v>
      </c>
      <c r="EY77" t="e">
        <f>AND('Planilla_General_03-12-2012_9_3'!J1226,"AAAAAH7/1po=")</f>
        <v>#VALUE!</v>
      </c>
      <c r="EZ77" t="e">
        <f>AND('Planilla_General_03-12-2012_9_3'!K1226,"AAAAAH7/1ps=")</f>
        <v>#VALUE!</v>
      </c>
      <c r="FA77" t="e">
        <f>AND('Planilla_General_03-12-2012_9_3'!L1226,"AAAAAH7/1pw=")</f>
        <v>#VALUE!</v>
      </c>
      <c r="FB77" t="e">
        <f>AND('Planilla_General_03-12-2012_9_3'!M1226,"AAAAAH7/1p0=")</f>
        <v>#VALUE!</v>
      </c>
      <c r="FC77" t="e">
        <f>AND('Planilla_General_03-12-2012_9_3'!N1226,"AAAAAH7/1p4=")</f>
        <v>#VALUE!</v>
      </c>
      <c r="FD77" t="e">
        <f>AND('Planilla_General_03-12-2012_9_3'!O1226,"AAAAAH7/1p8=")</f>
        <v>#VALUE!</v>
      </c>
      <c r="FE77">
        <f>IF('Planilla_General_03-12-2012_9_3'!1227:1227,"AAAAAH7/1qA=",0)</f>
        <v>0</v>
      </c>
      <c r="FF77" t="e">
        <f>AND('Planilla_General_03-12-2012_9_3'!A1227,"AAAAAH7/1qE=")</f>
        <v>#VALUE!</v>
      </c>
      <c r="FG77" t="e">
        <f>AND('Planilla_General_03-12-2012_9_3'!B1227,"AAAAAH7/1qI=")</f>
        <v>#VALUE!</v>
      </c>
      <c r="FH77" t="e">
        <f>AND('Planilla_General_03-12-2012_9_3'!C1227,"AAAAAH7/1qM=")</f>
        <v>#VALUE!</v>
      </c>
      <c r="FI77" t="e">
        <f>AND('Planilla_General_03-12-2012_9_3'!D1227,"AAAAAH7/1qQ=")</f>
        <v>#VALUE!</v>
      </c>
      <c r="FJ77" t="e">
        <f>AND('Planilla_General_03-12-2012_9_3'!E1227,"AAAAAH7/1qU=")</f>
        <v>#VALUE!</v>
      </c>
      <c r="FK77" t="e">
        <f>AND('Planilla_General_03-12-2012_9_3'!F1227,"AAAAAH7/1qY=")</f>
        <v>#VALUE!</v>
      </c>
      <c r="FL77" t="e">
        <f>AND('Planilla_General_03-12-2012_9_3'!G1227,"AAAAAH7/1qc=")</f>
        <v>#VALUE!</v>
      </c>
      <c r="FM77" t="e">
        <f>AND('Planilla_General_03-12-2012_9_3'!H1227,"AAAAAH7/1qg=")</f>
        <v>#VALUE!</v>
      </c>
      <c r="FN77" t="e">
        <f>AND('Planilla_General_03-12-2012_9_3'!I1227,"AAAAAH7/1qk=")</f>
        <v>#VALUE!</v>
      </c>
      <c r="FO77" t="e">
        <f>AND('Planilla_General_03-12-2012_9_3'!J1227,"AAAAAH7/1qo=")</f>
        <v>#VALUE!</v>
      </c>
      <c r="FP77" t="e">
        <f>AND('Planilla_General_03-12-2012_9_3'!K1227,"AAAAAH7/1qs=")</f>
        <v>#VALUE!</v>
      </c>
      <c r="FQ77" t="e">
        <f>AND('Planilla_General_03-12-2012_9_3'!L1227,"AAAAAH7/1qw=")</f>
        <v>#VALUE!</v>
      </c>
      <c r="FR77" t="e">
        <f>AND('Planilla_General_03-12-2012_9_3'!M1227,"AAAAAH7/1q0=")</f>
        <v>#VALUE!</v>
      </c>
      <c r="FS77" t="e">
        <f>AND('Planilla_General_03-12-2012_9_3'!N1227,"AAAAAH7/1q4=")</f>
        <v>#VALUE!</v>
      </c>
      <c r="FT77" t="e">
        <f>AND('Planilla_General_03-12-2012_9_3'!O1227,"AAAAAH7/1q8=")</f>
        <v>#VALUE!</v>
      </c>
      <c r="FU77">
        <f>IF('Planilla_General_03-12-2012_9_3'!1228:1228,"AAAAAH7/1rA=",0)</f>
        <v>0</v>
      </c>
      <c r="FV77" t="e">
        <f>AND('Planilla_General_03-12-2012_9_3'!A1228,"AAAAAH7/1rE=")</f>
        <v>#VALUE!</v>
      </c>
      <c r="FW77" t="e">
        <f>AND('Planilla_General_03-12-2012_9_3'!B1228,"AAAAAH7/1rI=")</f>
        <v>#VALUE!</v>
      </c>
      <c r="FX77" t="e">
        <f>AND('Planilla_General_03-12-2012_9_3'!C1228,"AAAAAH7/1rM=")</f>
        <v>#VALUE!</v>
      </c>
      <c r="FY77" t="e">
        <f>AND('Planilla_General_03-12-2012_9_3'!D1228,"AAAAAH7/1rQ=")</f>
        <v>#VALUE!</v>
      </c>
      <c r="FZ77" t="e">
        <f>AND('Planilla_General_03-12-2012_9_3'!E1228,"AAAAAH7/1rU=")</f>
        <v>#VALUE!</v>
      </c>
      <c r="GA77" t="e">
        <f>AND('Planilla_General_03-12-2012_9_3'!F1228,"AAAAAH7/1rY=")</f>
        <v>#VALUE!</v>
      </c>
      <c r="GB77" t="e">
        <f>AND('Planilla_General_03-12-2012_9_3'!G1228,"AAAAAH7/1rc=")</f>
        <v>#VALUE!</v>
      </c>
      <c r="GC77" t="e">
        <f>AND('Planilla_General_03-12-2012_9_3'!H1228,"AAAAAH7/1rg=")</f>
        <v>#VALUE!</v>
      </c>
      <c r="GD77" t="e">
        <f>AND('Planilla_General_03-12-2012_9_3'!I1228,"AAAAAH7/1rk=")</f>
        <v>#VALUE!</v>
      </c>
      <c r="GE77" t="e">
        <f>AND('Planilla_General_03-12-2012_9_3'!J1228,"AAAAAH7/1ro=")</f>
        <v>#VALUE!</v>
      </c>
      <c r="GF77" t="e">
        <f>AND('Planilla_General_03-12-2012_9_3'!K1228,"AAAAAH7/1rs=")</f>
        <v>#VALUE!</v>
      </c>
      <c r="GG77" t="e">
        <f>AND('Planilla_General_03-12-2012_9_3'!L1228,"AAAAAH7/1rw=")</f>
        <v>#VALUE!</v>
      </c>
      <c r="GH77" t="e">
        <f>AND('Planilla_General_03-12-2012_9_3'!M1228,"AAAAAH7/1r0=")</f>
        <v>#VALUE!</v>
      </c>
      <c r="GI77" t="e">
        <f>AND('Planilla_General_03-12-2012_9_3'!N1228,"AAAAAH7/1r4=")</f>
        <v>#VALUE!</v>
      </c>
      <c r="GJ77" t="e">
        <f>AND('Planilla_General_03-12-2012_9_3'!O1228,"AAAAAH7/1r8=")</f>
        <v>#VALUE!</v>
      </c>
      <c r="GK77">
        <f>IF('Planilla_General_03-12-2012_9_3'!1229:1229,"AAAAAH7/1sA=",0)</f>
        <v>0</v>
      </c>
      <c r="GL77" t="e">
        <f>AND('Planilla_General_03-12-2012_9_3'!A1229,"AAAAAH7/1sE=")</f>
        <v>#VALUE!</v>
      </c>
      <c r="GM77" t="e">
        <f>AND('Planilla_General_03-12-2012_9_3'!B1229,"AAAAAH7/1sI=")</f>
        <v>#VALUE!</v>
      </c>
      <c r="GN77" t="e">
        <f>AND('Planilla_General_03-12-2012_9_3'!C1229,"AAAAAH7/1sM=")</f>
        <v>#VALUE!</v>
      </c>
      <c r="GO77" t="e">
        <f>AND('Planilla_General_03-12-2012_9_3'!D1229,"AAAAAH7/1sQ=")</f>
        <v>#VALUE!</v>
      </c>
      <c r="GP77" t="e">
        <f>AND('Planilla_General_03-12-2012_9_3'!E1229,"AAAAAH7/1sU=")</f>
        <v>#VALUE!</v>
      </c>
      <c r="GQ77" t="e">
        <f>AND('Planilla_General_03-12-2012_9_3'!F1229,"AAAAAH7/1sY=")</f>
        <v>#VALUE!</v>
      </c>
      <c r="GR77" t="e">
        <f>AND('Planilla_General_03-12-2012_9_3'!G1229,"AAAAAH7/1sc=")</f>
        <v>#VALUE!</v>
      </c>
      <c r="GS77" t="e">
        <f>AND('Planilla_General_03-12-2012_9_3'!H1229,"AAAAAH7/1sg=")</f>
        <v>#VALUE!</v>
      </c>
      <c r="GT77" t="e">
        <f>AND('Planilla_General_03-12-2012_9_3'!I1229,"AAAAAH7/1sk=")</f>
        <v>#VALUE!</v>
      </c>
      <c r="GU77" t="e">
        <f>AND('Planilla_General_03-12-2012_9_3'!J1229,"AAAAAH7/1so=")</f>
        <v>#VALUE!</v>
      </c>
      <c r="GV77" t="e">
        <f>AND('Planilla_General_03-12-2012_9_3'!K1229,"AAAAAH7/1ss=")</f>
        <v>#VALUE!</v>
      </c>
      <c r="GW77" t="e">
        <f>AND('Planilla_General_03-12-2012_9_3'!L1229,"AAAAAH7/1sw=")</f>
        <v>#VALUE!</v>
      </c>
      <c r="GX77" t="e">
        <f>AND('Planilla_General_03-12-2012_9_3'!M1229,"AAAAAH7/1s0=")</f>
        <v>#VALUE!</v>
      </c>
      <c r="GY77" t="e">
        <f>AND('Planilla_General_03-12-2012_9_3'!N1229,"AAAAAH7/1s4=")</f>
        <v>#VALUE!</v>
      </c>
      <c r="GZ77" t="e">
        <f>AND('Planilla_General_03-12-2012_9_3'!O1229,"AAAAAH7/1s8=")</f>
        <v>#VALUE!</v>
      </c>
      <c r="HA77">
        <f>IF('Planilla_General_03-12-2012_9_3'!1230:1230,"AAAAAH7/1tA=",0)</f>
        <v>0</v>
      </c>
      <c r="HB77" t="e">
        <f>AND('Planilla_General_03-12-2012_9_3'!A1230,"AAAAAH7/1tE=")</f>
        <v>#VALUE!</v>
      </c>
      <c r="HC77" t="e">
        <f>AND('Planilla_General_03-12-2012_9_3'!B1230,"AAAAAH7/1tI=")</f>
        <v>#VALUE!</v>
      </c>
      <c r="HD77" t="e">
        <f>AND('Planilla_General_03-12-2012_9_3'!C1230,"AAAAAH7/1tM=")</f>
        <v>#VALUE!</v>
      </c>
      <c r="HE77" t="e">
        <f>AND('Planilla_General_03-12-2012_9_3'!D1230,"AAAAAH7/1tQ=")</f>
        <v>#VALUE!</v>
      </c>
      <c r="HF77" t="e">
        <f>AND('Planilla_General_03-12-2012_9_3'!E1230,"AAAAAH7/1tU=")</f>
        <v>#VALUE!</v>
      </c>
      <c r="HG77" t="e">
        <f>AND('Planilla_General_03-12-2012_9_3'!F1230,"AAAAAH7/1tY=")</f>
        <v>#VALUE!</v>
      </c>
      <c r="HH77" t="e">
        <f>AND('Planilla_General_03-12-2012_9_3'!G1230,"AAAAAH7/1tc=")</f>
        <v>#VALUE!</v>
      </c>
      <c r="HI77" t="e">
        <f>AND('Planilla_General_03-12-2012_9_3'!H1230,"AAAAAH7/1tg=")</f>
        <v>#VALUE!</v>
      </c>
      <c r="HJ77" t="e">
        <f>AND('Planilla_General_03-12-2012_9_3'!I1230,"AAAAAH7/1tk=")</f>
        <v>#VALUE!</v>
      </c>
      <c r="HK77" t="e">
        <f>AND('Planilla_General_03-12-2012_9_3'!J1230,"AAAAAH7/1to=")</f>
        <v>#VALUE!</v>
      </c>
      <c r="HL77" t="e">
        <f>AND('Planilla_General_03-12-2012_9_3'!K1230,"AAAAAH7/1ts=")</f>
        <v>#VALUE!</v>
      </c>
      <c r="HM77" t="e">
        <f>AND('Planilla_General_03-12-2012_9_3'!L1230,"AAAAAH7/1tw=")</f>
        <v>#VALUE!</v>
      </c>
      <c r="HN77" t="e">
        <f>AND('Planilla_General_03-12-2012_9_3'!M1230,"AAAAAH7/1t0=")</f>
        <v>#VALUE!</v>
      </c>
      <c r="HO77" t="e">
        <f>AND('Planilla_General_03-12-2012_9_3'!N1230,"AAAAAH7/1t4=")</f>
        <v>#VALUE!</v>
      </c>
      <c r="HP77" t="e">
        <f>AND('Planilla_General_03-12-2012_9_3'!O1230,"AAAAAH7/1t8=")</f>
        <v>#VALUE!</v>
      </c>
      <c r="HQ77">
        <f>IF('Planilla_General_03-12-2012_9_3'!1231:1231,"AAAAAH7/1uA=",0)</f>
        <v>0</v>
      </c>
      <c r="HR77" t="e">
        <f>AND('Planilla_General_03-12-2012_9_3'!A1231,"AAAAAH7/1uE=")</f>
        <v>#VALUE!</v>
      </c>
      <c r="HS77" t="e">
        <f>AND('Planilla_General_03-12-2012_9_3'!B1231,"AAAAAH7/1uI=")</f>
        <v>#VALUE!</v>
      </c>
      <c r="HT77" t="e">
        <f>AND('Planilla_General_03-12-2012_9_3'!C1231,"AAAAAH7/1uM=")</f>
        <v>#VALUE!</v>
      </c>
      <c r="HU77" t="e">
        <f>AND('Planilla_General_03-12-2012_9_3'!D1231,"AAAAAH7/1uQ=")</f>
        <v>#VALUE!</v>
      </c>
      <c r="HV77" t="e">
        <f>AND('Planilla_General_03-12-2012_9_3'!E1231,"AAAAAH7/1uU=")</f>
        <v>#VALUE!</v>
      </c>
      <c r="HW77" t="e">
        <f>AND('Planilla_General_03-12-2012_9_3'!F1231,"AAAAAH7/1uY=")</f>
        <v>#VALUE!</v>
      </c>
      <c r="HX77" t="e">
        <f>AND('Planilla_General_03-12-2012_9_3'!G1231,"AAAAAH7/1uc=")</f>
        <v>#VALUE!</v>
      </c>
      <c r="HY77" t="e">
        <f>AND('Planilla_General_03-12-2012_9_3'!H1231,"AAAAAH7/1ug=")</f>
        <v>#VALUE!</v>
      </c>
      <c r="HZ77" t="e">
        <f>AND('Planilla_General_03-12-2012_9_3'!I1231,"AAAAAH7/1uk=")</f>
        <v>#VALUE!</v>
      </c>
      <c r="IA77" t="e">
        <f>AND('Planilla_General_03-12-2012_9_3'!J1231,"AAAAAH7/1uo=")</f>
        <v>#VALUE!</v>
      </c>
      <c r="IB77" t="e">
        <f>AND('Planilla_General_03-12-2012_9_3'!K1231,"AAAAAH7/1us=")</f>
        <v>#VALUE!</v>
      </c>
      <c r="IC77" t="e">
        <f>AND('Planilla_General_03-12-2012_9_3'!L1231,"AAAAAH7/1uw=")</f>
        <v>#VALUE!</v>
      </c>
      <c r="ID77" t="e">
        <f>AND('Planilla_General_03-12-2012_9_3'!M1231,"AAAAAH7/1u0=")</f>
        <v>#VALUE!</v>
      </c>
      <c r="IE77" t="e">
        <f>AND('Planilla_General_03-12-2012_9_3'!N1231,"AAAAAH7/1u4=")</f>
        <v>#VALUE!</v>
      </c>
      <c r="IF77" t="e">
        <f>AND('Planilla_General_03-12-2012_9_3'!O1231,"AAAAAH7/1u8=")</f>
        <v>#VALUE!</v>
      </c>
      <c r="IG77">
        <f>IF('Planilla_General_03-12-2012_9_3'!1232:1232,"AAAAAH7/1vA=",0)</f>
        <v>0</v>
      </c>
      <c r="IH77" t="e">
        <f>AND('Planilla_General_03-12-2012_9_3'!A1232,"AAAAAH7/1vE=")</f>
        <v>#VALUE!</v>
      </c>
      <c r="II77" t="e">
        <f>AND('Planilla_General_03-12-2012_9_3'!B1232,"AAAAAH7/1vI=")</f>
        <v>#VALUE!</v>
      </c>
      <c r="IJ77" t="e">
        <f>AND('Planilla_General_03-12-2012_9_3'!C1232,"AAAAAH7/1vM=")</f>
        <v>#VALUE!</v>
      </c>
      <c r="IK77" t="e">
        <f>AND('Planilla_General_03-12-2012_9_3'!D1232,"AAAAAH7/1vQ=")</f>
        <v>#VALUE!</v>
      </c>
      <c r="IL77" t="e">
        <f>AND('Planilla_General_03-12-2012_9_3'!E1232,"AAAAAH7/1vU=")</f>
        <v>#VALUE!</v>
      </c>
      <c r="IM77" t="e">
        <f>AND('Planilla_General_03-12-2012_9_3'!F1232,"AAAAAH7/1vY=")</f>
        <v>#VALUE!</v>
      </c>
      <c r="IN77" t="e">
        <f>AND('Planilla_General_03-12-2012_9_3'!G1232,"AAAAAH7/1vc=")</f>
        <v>#VALUE!</v>
      </c>
      <c r="IO77" t="e">
        <f>AND('Planilla_General_03-12-2012_9_3'!H1232,"AAAAAH7/1vg=")</f>
        <v>#VALUE!</v>
      </c>
      <c r="IP77" t="e">
        <f>AND('Planilla_General_03-12-2012_9_3'!I1232,"AAAAAH7/1vk=")</f>
        <v>#VALUE!</v>
      </c>
      <c r="IQ77" t="e">
        <f>AND('Planilla_General_03-12-2012_9_3'!J1232,"AAAAAH7/1vo=")</f>
        <v>#VALUE!</v>
      </c>
      <c r="IR77" t="e">
        <f>AND('Planilla_General_03-12-2012_9_3'!K1232,"AAAAAH7/1vs=")</f>
        <v>#VALUE!</v>
      </c>
      <c r="IS77" t="e">
        <f>AND('Planilla_General_03-12-2012_9_3'!L1232,"AAAAAH7/1vw=")</f>
        <v>#VALUE!</v>
      </c>
      <c r="IT77" t="e">
        <f>AND('Planilla_General_03-12-2012_9_3'!M1232,"AAAAAH7/1v0=")</f>
        <v>#VALUE!</v>
      </c>
      <c r="IU77" t="e">
        <f>AND('Planilla_General_03-12-2012_9_3'!N1232,"AAAAAH7/1v4=")</f>
        <v>#VALUE!</v>
      </c>
      <c r="IV77" t="e">
        <f>AND('Planilla_General_03-12-2012_9_3'!O1232,"AAAAAH7/1v8=")</f>
        <v>#VALUE!</v>
      </c>
    </row>
    <row r="78" spans="1:256" x14ac:dyDescent="0.25">
      <c r="A78" t="e">
        <f>IF('Planilla_General_03-12-2012_9_3'!1233:1233,"AAAAAHNe+wA=",0)</f>
        <v>#VALUE!</v>
      </c>
      <c r="B78" t="e">
        <f>AND('Planilla_General_03-12-2012_9_3'!A1233,"AAAAAHNe+wE=")</f>
        <v>#VALUE!</v>
      </c>
      <c r="C78" t="e">
        <f>AND('Planilla_General_03-12-2012_9_3'!B1233,"AAAAAHNe+wI=")</f>
        <v>#VALUE!</v>
      </c>
      <c r="D78" t="e">
        <f>AND('Planilla_General_03-12-2012_9_3'!C1233,"AAAAAHNe+wM=")</f>
        <v>#VALUE!</v>
      </c>
      <c r="E78" t="e">
        <f>AND('Planilla_General_03-12-2012_9_3'!D1233,"AAAAAHNe+wQ=")</f>
        <v>#VALUE!</v>
      </c>
      <c r="F78" t="e">
        <f>AND('Planilla_General_03-12-2012_9_3'!E1233,"AAAAAHNe+wU=")</f>
        <v>#VALUE!</v>
      </c>
      <c r="G78" t="e">
        <f>AND('Planilla_General_03-12-2012_9_3'!F1233,"AAAAAHNe+wY=")</f>
        <v>#VALUE!</v>
      </c>
      <c r="H78" t="e">
        <f>AND('Planilla_General_03-12-2012_9_3'!G1233,"AAAAAHNe+wc=")</f>
        <v>#VALUE!</v>
      </c>
      <c r="I78" t="e">
        <f>AND('Planilla_General_03-12-2012_9_3'!H1233,"AAAAAHNe+wg=")</f>
        <v>#VALUE!</v>
      </c>
      <c r="J78" t="e">
        <f>AND('Planilla_General_03-12-2012_9_3'!I1233,"AAAAAHNe+wk=")</f>
        <v>#VALUE!</v>
      </c>
      <c r="K78" t="e">
        <f>AND('Planilla_General_03-12-2012_9_3'!J1233,"AAAAAHNe+wo=")</f>
        <v>#VALUE!</v>
      </c>
      <c r="L78" t="e">
        <f>AND('Planilla_General_03-12-2012_9_3'!K1233,"AAAAAHNe+ws=")</f>
        <v>#VALUE!</v>
      </c>
      <c r="M78" t="e">
        <f>AND('Planilla_General_03-12-2012_9_3'!L1233,"AAAAAHNe+ww=")</f>
        <v>#VALUE!</v>
      </c>
      <c r="N78" t="e">
        <f>AND('Planilla_General_03-12-2012_9_3'!M1233,"AAAAAHNe+w0=")</f>
        <v>#VALUE!</v>
      </c>
      <c r="O78" t="e">
        <f>AND('Planilla_General_03-12-2012_9_3'!N1233,"AAAAAHNe+w4=")</f>
        <v>#VALUE!</v>
      </c>
      <c r="P78" t="e">
        <f>AND('Planilla_General_03-12-2012_9_3'!O1233,"AAAAAHNe+w8=")</f>
        <v>#VALUE!</v>
      </c>
      <c r="Q78">
        <f>IF('Planilla_General_03-12-2012_9_3'!1234:1234,"AAAAAHNe+xA=",0)</f>
        <v>0</v>
      </c>
      <c r="R78" t="e">
        <f>AND('Planilla_General_03-12-2012_9_3'!A1234,"AAAAAHNe+xE=")</f>
        <v>#VALUE!</v>
      </c>
      <c r="S78" t="e">
        <f>AND('Planilla_General_03-12-2012_9_3'!B1234,"AAAAAHNe+xI=")</f>
        <v>#VALUE!</v>
      </c>
      <c r="T78" t="e">
        <f>AND('Planilla_General_03-12-2012_9_3'!C1234,"AAAAAHNe+xM=")</f>
        <v>#VALUE!</v>
      </c>
      <c r="U78" t="e">
        <f>AND('Planilla_General_03-12-2012_9_3'!D1234,"AAAAAHNe+xQ=")</f>
        <v>#VALUE!</v>
      </c>
      <c r="V78" t="e">
        <f>AND('Planilla_General_03-12-2012_9_3'!E1234,"AAAAAHNe+xU=")</f>
        <v>#VALUE!</v>
      </c>
      <c r="W78" t="e">
        <f>AND('Planilla_General_03-12-2012_9_3'!F1234,"AAAAAHNe+xY=")</f>
        <v>#VALUE!</v>
      </c>
      <c r="X78" t="e">
        <f>AND('Planilla_General_03-12-2012_9_3'!G1234,"AAAAAHNe+xc=")</f>
        <v>#VALUE!</v>
      </c>
      <c r="Y78" t="e">
        <f>AND('Planilla_General_03-12-2012_9_3'!H1234,"AAAAAHNe+xg=")</f>
        <v>#VALUE!</v>
      </c>
      <c r="Z78" t="e">
        <f>AND('Planilla_General_03-12-2012_9_3'!I1234,"AAAAAHNe+xk=")</f>
        <v>#VALUE!</v>
      </c>
      <c r="AA78" t="e">
        <f>AND('Planilla_General_03-12-2012_9_3'!J1234,"AAAAAHNe+xo=")</f>
        <v>#VALUE!</v>
      </c>
      <c r="AB78" t="e">
        <f>AND('Planilla_General_03-12-2012_9_3'!K1234,"AAAAAHNe+xs=")</f>
        <v>#VALUE!</v>
      </c>
      <c r="AC78" t="e">
        <f>AND('Planilla_General_03-12-2012_9_3'!L1234,"AAAAAHNe+xw=")</f>
        <v>#VALUE!</v>
      </c>
      <c r="AD78" t="e">
        <f>AND('Planilla_General_03-12-2012_9_3'!M1234,"AAAAAHNe+x0=")</f>
        <v>#VALUE!</v>
      </c>
      <c r="AE78" t="e">
        <f>AND('Planilla_General_03-12-2012_9_3'!N1234,"AAAAAHNe+x4=")</f>
        <v>#VALUE!</v>
      </c>
      <c r="AF78" t="e">
        <f>AND('Planilla_General_03-12-2012_9_3'!O1234,"AAAAAHNe+x8=")</f>
        <v>#VALUE!</v>
      </c>
      <c r="AG78">
        <f>IF('Planilla_General_03-12-2012_9_3'!1235:1235,"AAAAAHNe+yA=",0)</f>
        <v>0</v>
      </c>
      <c r="AH78" t="e">
        <f>AND('Planilla_General_03-12-2012_9_3'!A1235,"AAAAAHNe+yE=")</f>
        <v>#VALUE!</v>
      </c>
      <c r="AI78" t="e">
        <f>AND('Planilla_General_03-12-2012_9_3'!B1235,"AAAAAHNe+yI=")</f>
        <v>#VALUE!</v>
      </c>
      <c r="AJ78" t="e">
        <f>AND('Planilla_General_03-12-2012_9_3'!C1235,"AAAAAHNe+yM=")</f>
        <v>#VALUE!</v>
      </c>
      <c r="AK78" t="e">
        <f>AND('Planilla_General_03-12-2012_9_3'!D1235,"AAAAAHNe+yQ=")</f>
        <v>#VALUE!</v>
      </c>
      <c r="AL78" t="e">
        <f>AND('Planilla_General_03-12-2012_9_3'!E1235,"AAAAAHNe+yU=")</f>
        <v>#VALUE!</v>
      </c>
      <c r="AM78" t="e">
        <f>AND('Planilla_General_03-12-2012_9_3'!F1235,"AAAAAHNe+yY=")</f>
        <v>#VALUE!</v>
      </c>
      <c r="AN78" t="e">
        <f>AND('Planilla_General_03-12-2012_9_3'!G1235,"AAAAAHNe+yc=")</f>
        <v>#VALUE!</v>
      </c>
      <c r="AO78" t="e">
        <f>AND('Planilla_General_03-12-2012_9_3'!H1235,"AAAAAHNe+yg=")</f>
        <v>#VALUE!</v>
      </c>
      <c r="AP78" t="e">
        <f>AND('Planilla_General_03-12-2012_9_3'!I1235,"AAAAAHNe+yk=")</f>
        <v>#VALUE!</v>
      </c>
      <c r="AQ78" t="e">
        <f>AND('Planilla_General_03-12-2012_9_3'!J1235,"AAAAAHNe+yo=")</f>
        <v>#VALUE!</v>
      </c>
      <c r="AR78" t="e">
        <f>AND('Planilla_General_03-12-2012_9_3'!K1235,"AAAAAHNe+ys=")</f>
        <v>#VALUE!</v>
      </c>
      <c r="AS78" t="e">
        <f>AND('Planilla_General_03-12-2012_9_3'!L1235,"AAAAAHNe+yw=")</f>
        <v>#VALUE!</v>
      </c>
      <c r="AT78" t="e">
        <f>AND('Planilla_General_03-12-2012_9_3'!M1235,"AAAAAHNe+y0=")</f>
        <v>#VALUE!</v>
      </c>
      <c r="AU78" t="e">
        <f>AND('Planilla_General_03-12-2012_9_3'!N1235,"AAAAAHNe+y4=")</f>
        <v>#VALUE!</v>
      </c>
      <c r="AV78" t="e">
        <f>AND('Planilla_General_03-12-2012_9_3'!O1235,"AAAAAHNe+y8=")</f>
        <v>#VALUE!</v>
      </c>
      <c r="AW78">
        <f>IF('Planilla_General_03-12-2012_9_3'!1236:1236,"AAAAAHNe+zA=",0)</f>
        <v>0</v>
      </c>
      <c r="AX78" t="e">
        <f>AND('Planilla_General_03-12-2012_9_3'!A1236,"AAAAAHNe+zE=")</f>
        <v>#VALUE!</v>
      </c>
      <c r="AY78" t="e">
        <f>AND('Planilla_General_03-12-2012_9_3'!B1236,"AAAAAHNe+zI=")</f>
        <v>#VALUE!</v>
      </c>
      <c r="AZ78" t="e">
        <f>AND('Planilla_General_03-12-2012_9_3'!C1236,"AAAAAHNe+zM=")</f>
        <v>#VALUE!</v>
      </c>
      <c r="BA78" t="e">
        <f>AND('Planilla_General_03-12-2012_9_3'!D1236,"AAAAAHNe+zQ=")</f>
        <v>#VALUE!</v>
      </c>
      <c r="BB78" t="e">
        <f>AND('Planilla_General_03-12-2012_9_3'!E1236,"AAAAAHNe+zU=")</f>
        <v>#VALUE!</v>
      </c>
      <c r="BC78" t="e">
        <f>AND('Planilla_General_03-12-2012_9_3'!F1236,"AAAAAHNe+zY=")</f>
        <v>#VALUE!</v>
      </c>
      <c r="BD78" t="e">
        <f>AND('Planilla_General_03-12-2012_9_3'!G1236,"AAAAAHNe+zc=")</f>
        <v>#VALUE!</v>
      </c>
      <c r="BE78" t="e">
        <f>AND('Planilla_General_03-12-2012_9_3'!H1236,"AAAAAHNe+zg=")</f>
        <v>#VALUE!</v>
      </c>
      <c r="BF78" t="e">
        <f>AND('Planilla_General_03-12-2012_9_3'!I1236,"AAAAAHNe+zk=")</f>
        <v>#VALUE!</v>
      </c>
      <c r="BG78" t="e">
        <f>AND('Planilla_General_03-12-2012_9_3'!J1236,"AAAAAHNe+zo=")</f>
        <v>#VALUE!</v>
      </c>
      <c r="BH78" t="e">
        <f>AND('Planilla_General_03-12-2012_9_3'!K1236,"AAAAAHNe+zs=")</f>
        <v>#VALUE!</v>
      </c>
      <c r="BI78" t="e">
        <f>AND('Planilla_General_03-12-2012_9_3'!L1236,"AAAAAHNe+zw=")</f>
        <v>#VALUE!</v>
      </c>
      <c r="BJ78" t="e">
        <f>AND('Planilla_General_03-12-2012_9_3'!M1236,"AAAAAHNe+z0=")</f>
        <v>#VALUE!</v>
      </c>
      <c r="BK78" t="e">
        <f>AND('Planilla_General_03-12-2012_9_3'!N1236,"AAAAAHNe+z4=")</f>
        <v>#VALUE!</v>
      </c>
      <c r="BL78" t="e">
        <f>AND('Planilla_General_03-12-2012_9_3'!O1236,"AAAAAHNe+z8=")</f>
        <v>#VALUE!</v>
      </c>
      <c r="BM78">
        <f>IF('Planilla_General_03-12-2012_9_3'!1237:1237,"AAAAAHNe+0A=",0)</f>
        <v>0</v>
      </c>
      <c r="BN78" t="e">
        <f>AND('Planilla_General_03-12-2012_9_3'!A1237,"AAAAAHNe+0E=")</f>
        <v>#VALUE!</v>
      </c>
      <c r="BO78" t="e">
        <f>AND('Planilla_General_03-12-2012_9_3'!B1237,"AAAAAHNe+0I=")</f>
        <v>#VALUE!</v>
      </c>
      <c r="BP78" t="e">
        <f>AND('Planilla_General_03-12-2012_9_3'!C1237,"AAAAAHNe+0M=")</f>
        <v>#VALUE!</v>
      </c>
      <c r="BQ78" t="e">
        <f>AND('Planilla_General_03-12-2012_9_3'!D1237,"AAAAAHNe+0Q=")</f>
        <v>#VALUE!</v>
      </c>
      <c r="BR78" t="e">
        <f>AND('Planilla_General_03-12-2012_9_3'!E1237,"AAAAAHNe+0U=")</f>
        <v>#VALUE!</v>
      </c>
      <c r="BS78" t="e">
        <f>AND('Planilla_General_03-12-2012_9_3'!F1237,"AAAAAHNe+0Y=")</f>
        <v>#VALUE!</v>
      </c>
      <c r="BT78" t="e">
        <f>AND('Planilla_General_03-12-2012_9_3'!G1237,"AAAAAHNe+0c=")</f>
        <v>#VALUE!</v>
      </c>
      <c r="BU78" t="e">
        <f>AND('Planilla_General_03-12-2012_9_3'!H1237,"AAAAAHNe+0g=")</f>
        <v>#VALUE!</v>
      </c>
      <c r="BV78" t="e">
        <f>AND('Planilla_General_03-12-2012_9_3'!I1237,"AAAAAHNe+0k=")</f>
        <v>#VALUE!</v>
      </c>
      <c r="BW78" t="e">
        <f>AND('Planilla_General_03-12-2012_9_3'!J1237,"AAAAAHNe+0o=")</f>
        <v>#VALUE!</v>
      </c>
      <c r="BX78" t="e">
        <f>AND('Planilla_General_03-12-2012_9_3'!K1237,"AAAAAHNe+0s=")</f>
        <v>#VALUE!</v>
      </c>
      <c r="BY78" t="e">
        <f>AND('Planilla_General_03-12-2012_9_3'!L1237,"AAAAAHNe+0w=")</f>
        <v>#VALUE!</v>
      </c>
      <c r="BZ78" t="e">
        <f>AND('Planilla_General_03-12-2012_9_3'!M1237,"AAAAAHNe+00=")</f>
        <v>#VALUE!</v>
      </c>
      <c r="CA78" t="e">
        <f>AND('Planilla_General_03-12-2012_9_3'!N1237,"AAAAAHNe+04=")</f>
        <v>#VALUE!</v>
      </c>
      <c r="CB78" t="e">
        <f>AND('Planilla_General_03-12-2012_9_3'!O1237,"AAAAAHNe+08=")</f>
        <v>#VALUE!</v>
      </c>
      <c r="CC78">
        <f>IF('Planilla_General_03-12-2012_9_3'!1238:1238,"AAAAAHNe+1A=",0)</f>
        <v>0</v>
      </c>
      <c r="CD78" t="e">
        <f>AND('Planilla_General_03-12-2012_9_3'!A1238,"AAAAAHNe+1E=")</f>
        <v>#VALUE!</v>
      </c>
      <c r="CE78" t="e">
        <f>AND('Planilla_General_03-12-2012_9_3'!B1238,"AAAAAHNe+1I=")</f>
        <v>#VALUE!</v>
      </c>
      <c r="CF78" t="e">
        <f>AND('Planilla_General_03-12-2012_9_3'!C1238,"AAAAAHNe+1M=")</f>
        <v>#VALUE!</v>
      </c>
      <c r="CG78" t="e">
        <f>AND('Planilla_General_03-12-2012_9_3'!D1238,"AAAAAHNe+1Q=")</f>
        <v>#VALUE!</v>
      </c>
      <c r="CH78" t="e">
        <f>AND('Planilla_General_03-12-2012_9_3'!E1238,"AAAAAHNe+1U=")</f>
        <v>#VALUE!</v>
      </c>
      <c r="CI78" t="e">
        <f>AND('Planilla_General_03-12-2012_9_3'!F1238,"AAAAAHNe+1Y=")</f>
        <v>#VALUE!</v>
      </c>
      <c r="CJ78" t="e">
        <f>AND('Planilla_General_03-12-2012_9_3'!G1238,"AAAAAHNe+1c=")</f>
        <v>#VALUE!</v>
      </c>
      <c r="CK78" t="e">
        <f>AND('Planilla_General_03-12-2012_9_3'!H1238,"AAAAAHNe+1g=")</f>
        <v>#VALUE!</v>
      </c>
      <c r="CL78" t="e">
        <f>AND('Planilla_General_03-12-2012_9_3'!I1238,"AAAAAHNe+1k=")</f>
        <v>#VALUE!</v>
      </c>
      <c r="CM78" t="e">
        <f>AND('Planilla_General_03-12-2012_9_3'!J1238,"AAAAAHNe+1o=")</f>
        <v>#VALUE!</v>
      </c>
      <c r="CN78" t="e">
        <f>AND('Planilla_General_03-12-2012_9_3'!K1238,"AAAAAHNe+1s=")</f>
        <v>#VALUE!</v>
      </c>
      <c r="CO78" t="e">
        <f>AND('Planilla_General_03-12-2012_9_3'!L1238,"AAAAAHNe+1w=")</f>
        <v>#VALUE!</v>
      </c>
      <c r="CP78" t="e">
        <f>AND('Planilla_General_03-12-2012_9_3'!M1238,"AAAAAHNe+10=")</f>
        <v>#VALUE!</v>
      </c>
      <c r="CQ78" t="e">
        <f>AND('Planilla_General_03-12-2012_9_3'!N1238,"AAAAAHNe+14=")</f>
        <v>#VALUE!</v>
      </c>
      <c r="CR78" t="e">
        <f>AND('Planilla_General_03-12-2012_9_3'!O1238,"AAAAAHNe+18=")</f>
        <v>#VALUE!</v>
      </c>
      <c r="CS78">
        <f>IF('Planilla_General_03-12-2012_9_3'!1239:1239,"AAAAAHNe+2A=",0)</f>
        <v>0</v>
      </c>
      <c r="CT78" t="e">
        <f>AND('Planilla_General_03-12-2012_9_3'!A1239,"AAAAAHNe+2E=")</f>
        <v>#VALUE!</v>
      </c>
      <c r="CU78" t="e">
        <f>AND('Planilla_General_03-12-2012_9_3'!B1239,"AAAAAHNe+2I=")</f>
        <v>#VALUE!</v>
      </c>
      <c r="CV78" t="e">
        <f>AND('Planilla_General_03-12-2012_9_3'!C1239,"AAAAAHNe+2M=")</f>
        <v>#VALUE!</v>
      </c>
      <c r="CW78" t="e">
        <f>AND('Planilla_General_03-12-2012_9_3'!D1239,"AAAAAHNe+2Q=")</f>
        <v>#VALUE!</v>
      </c>
      <c r="CX78" t="e">
        <f>AND('Planilla_General_03-12-2012_9_3'!E1239,"AAAAAHNe+2U=")</f>
        <v>#VALUE!</v>
      </c>
      <c r="CY78" t="e">
        <f>AND('Planilla_General_03-12-2012_9_3'!F1239,"AAAAAHNe+2Y=")</f>
        <v>#VALUE!</v>
      </c>
      <c r="CZ78" t="e">
        <f>AND('Planilla_General_03-12-2012_9_3'!G1239,"AAAAAHNe+2c=")</f>
        <v>#VALUE!</v>
      </c>
      <c r="DA78" t="e">
        <f>AND('Planilla_General_03-12-2012_9_3'!H1239,"AAAAAHNe+2g=")</f>
        <v>#VALUE!</v>
      </c>
      <c r="DB78" t="e">
        <f>AND('Planilla_General_03-12-2012_9_3'!I1239,"AAAAAHNe+2k=")</f>
        <v>#VALUE!</v>
      </c>
      <c r="DC78" t="e">
        <f>AND('Planilla_General_03-12-2012_9_3'!J1239,"AAAAAHNe+2o=")</f>
        <v>#VALUE!</v>
      </c>
      <c r="DD78" t="e">
        <f>AND('Planilla_General_03-12-2012_9_3'!K1239,"AAAAAHNe+2s=")</f>
        <v>#VALUE!</v>
      </c>
      <c r="DE78" t="e">
        <f>AND('Planilla_General_03-12-2012_9_3'!L1239,"AAAAAHNe+2w=")</f>
        <v>#VALUE!</v>
      </c>
      <c r="DF78" t="e">
        <f>AND('Planilla_General_03-12-2012_9_3'!M1239,"AAAAAHNe+20=")</f>
        <v>#VALUE!</v>
      </c>
      <c r="DG78" t="e">
        <f>AND('Planilla_General_03-12-2012_9_3'!N1239,"AAAAAHNe+24=")</f>
        <v>#VALUE!</v>
      </c>
      <c r="DH78" t="e">
        <f>AND('Planilla_General_03-12-2012_9_3'!O1239,"AAAAAHNe+28=")</f>
        <v>#VALUE!</v>
      </c>
      <c r="DI78">
        <f>IF('Planilla_General_03-12-2012_9_3'!1240:1240,"AAAAAHNe+3A=",0)</f>
        <v>0</v>
      </c>
      <c r="DJ78" t="e">
        <f>AND('Planilla_General_03-12-2012_9_3'!A1240,"AAAAAHNe+3E=")</f>
        <v>#VALUE!</v>
      </c>
      <c r="DK78" t="e">
        <f>AND('Planilla_General_03-12-2012_9_3'!B1240,"AAAAAHNe+3I=")</f>
        <v>#VALUE!</v>
      </c>
      <c r="DL78" t="e">
        <f>AND('Planilla_General_03-12-2012_9_3'!C1240,"AAAAAHNe+3M=")</f>
        <v>#VALUE!</v>
      </c>
      <c r="DM78" t="e">
        <f>AND('Planilla_General_03-12-2012_9_3'!D1240,"AAAAAHNe+3Q=")</f>
        <v>#VALUE!</v>
      </c>
      <c r="DN78" t="e">
        <f>AND('Planilla_General_03-12-2012_9_3'!E1240,"AAAAAHNe+3U=")</f>
        <v>#VALUE!</v>
      </c>
      <c r="DO78" t="e">
        <f>AND('Planilla_General_03-12-2012_9_3'!F1240,"AAAAAHNe+3Y=")</f>
        <v>#VALUE!</v>
      </c>
      <c r="DP78" t="e">
        <f>AND('Planilla_General_03-12-2012_9_3'!G1240,"AAAAAHNe+3c=")</f>
        <v>#VALUE!</v>
      </c>
      <c r="DQ78" t="e">
        <f>AND('Planilla_General_03-12-2012_9_3'!H1240,"AAAAAHNe+3g=")</f>
        <v>#VALUE!</v>
      </c>
      <c r="DR78" t="e">
        <f>AND('Planilla_General_03-12-2012_9_3'!I1240,"AAAAAHNe+3k=")</f>
        <v>#VALUE!</v>
      </c>
      <c r="DS78" t="e">
        <f>AND('Planilla_General_03-12-2012_9_3'!J1240,"AAAAAHNe+3o=")</f>
        <v>#VALUE!</v>
      </c>
      <c r="DT78" t="e">
        <f>AND('Planilla_General_03-12-2012_9_3'!K1240,"AAAAAHNe+3s=")</f>
        <v>#VALUE!</v>
      </c>
      <c r="DU78" t="e">
        <f>AND('Planilla_General_03-12-2012_9_3'!L1240,"AAAAAHNe+3w=")</f>
        <v>#VALUE!</v>
      </c>
      <c r="DV78" t="e">
        <f>AND('Planilla_General_03-12-2012_9_3'!M1240,"AAAAAHNe+30=")</f>
        <v>#VALUE!</v>
      </c>
      <c r="DW78" t="e">
        <f>AND('Planilla_General_03-12-2012_9_3'!N1240,"AAAAAHNe+34=")</f>
        <v>#VALUE!</v>
      </c>
      <c r="DX78" t="e">
        <f>AND('Planilla_General_03-12-2012_9_3'!O1240,"AAAAAHNe+38=")</f>
        <v>#VALUE!</v>
      </c>
      <c r="DY78">
        <f>IF('Planilla_General_03-12-2012_9_3'!1241:1241,"AAAAAHNe+4A=",0)</f>
        <v>0</v>
      </c>
      <c r="DZ78" t="e">
        <f>AND('Planilla_General_03-12-2012_9_3'!A1241,"AAAAAHNe+4E=")</f>
        <v>#VALUE!</v>
      </c>
      <c r="EA78" t="e">
        <f>AND('Planilla_General_03-12-2012_9_3'!B1241,"AAAAAHNe+4I=")</f>
        <v>#VALUE!</v>
      </c>
      <c r="EB78" t="e">
        <f>AND('Planilla_General_03-12-2012_9_3'!C1241,"AAAAAHNe+4M=")</f>
        <v>#VALUE!</v>
      </c>
      <c r="EC78" t="e">
        <f>AND('Planilla_General_03-12-2012_9_3'!D1241,"AAAAAHNe+4Q=")</f>
        <v>#VALUE!</v>
      </c>
      <c r="ED78" t="e">
        <f>AND('Planilla_General_03-12-2012_9_3'!E1241,"AAAAAHNe+4U=")</f>
        <v>#VALUE!</v>
      </c>
      <c r="EE78" t="e">
        <f>AND('Planilla_General_03-12-2012_9_3'!F1241,"AAAAAHNe+4Y=")</f>
        <v>#VALUE!</v>
      </c>
      <c r="EF78" t="e">
        <f>AND('Planilla_General_03-12-2012_9_3'!G1241,"AAAAAHNe+4c=")</f>
        <v>#VALUE!</v>
      </c>
      <c r="EG78" t="e">
        <f>AND('Planilla_General_03-12-2012_9_3'!H1241,"AAAAAHNe+4g=")</f>
        <v>#VALUE!</v>
      </c>
      <c r="EH78" t="e">
        <f>AND('Planilla_General_03-12-2012_9_3'!I1241,"AAAAAHNe+4k=")</f>
        <v>#VALUE!</v>
      </c>
      <c r="EI78" t="e">
        <f>AND('Planilla_General_03-12-2012_9_3'!J1241,"AAAAAHNe+4o=")</f>
        <v>#VALUE!</v>
      </c>
      <c r="EJ78" t="e">
        <f>AND('Planilla_General_03-12-2012_9_3'!K1241,"AAAAAHNe+4s=")</f>
        <v>#VALUE!</v>
      </c>
      <c r="EK78" t="e">
        <f>AND('Planilla_General_03-12-2012_9_3'!L1241,"AAAAAHNe+4w=")</f>
        <v>#VALUE!</v>
      </c>
      <c r="EL78" t="e">
        <f>AND('Planilla_General_03-12-2012_9_3'!M1241,"AAAAAHNe+40=")</f>
        <v>#VALUE!</v>
      </c>
      <c r="EM78" t="e">
        <f>AND('Planilla_General_03-12-2012_9_3'!N1241,"AAAAAHNe+44=")</f>
        <v>#VALUE!</v>
      </c>
      <c r="EN78" t="e">
        <f>AND('Planilla_General_03-12-2012_9_3'!O1241,"AAAAAHNe+48=")</f>
        <v>#VALUE!</v>
      </c>
      <c r="EO78">
        <f>IF('Planilla_General_03-12-2012_9_3'!1242:1242,"AAAAAHNe+5A=",0)</f>
        <v>0</v>
      </c>
      <c r="EP78" t="e">
        <f>AND('Planilla_General_03-12-2012_9_3'!A1242,"AAAAAHNe+5E=")</f>
        <v>#VALUE!</v>
      </c>
      <c r="EQ78" t="e">
        <f>AND('Planilla_General_03-12-2012_9_3'!B1242,"AAAAAHNe+5I=")</f>
        <v>#VALUE!</v>
      </c>
      <c r="ER78" t="e">
        <f>AND('Planilla_General_03-12-2012_9_3'!C1242,"AAAAAHNe+5M=")</f>
        <v>#VALUE!</v>
      </c>
      <c r="ES78" t="e">
        <f>AND('Planilla_General_03-12-2012_9_3'!D1242,"AAAAAHNe+5Q=")</f>
        <v>#VALUE!</v>
      </c>
      <c r="ET78" t="e">
        <f>AND('Planilla_General_03-12-2012_9_3'!E1242,"AAAAAHNe+5U=")</f>
        <v>#VALUE!</v>
      </c>
      <c r="EU78" t="e">
        <f>AND('Planilla_General_03-12-2012_9_3'!F1242,"AAAAAHNe+5Y=")</f>
        <v>#VALUE!</v>
      </c>
      <c r="EV78" t="e">
        <f>AND('Planilla_General_03-12-2012_9_3'!G1242,"AAAAAHNe+5c=")</f>
        <v>#VALUE!</v>
      </c>
      <c r="EW78" t="e">
        <f>AND('Planilla_General_03-12-2012_9_3'!H1242,"AAAAAHNe+5g=")</f>
        <v>#VALUE!</v>
      </c>
      <c r="EX78" t="e">
        <f>AND('Planilla_General_03-12-2012_9_3'!I1242,"AAAAAHNe+5k=")</f>
        <v>#VALUE!</v>
      </c>
      <c r="EY78" t="e">
        <f>AND('Planilla_General_03-12-2012_9_3'!J1242,"AAAAAHNe+5o=")</f>
        <v>#VALUE!</v>
      </c>
      <c r="EZ78" t="e">
        <f>AND('Planilla_General_03-12-2012_9_3'!K1242,"AAAAAHNe+5s=")</f>
        <v>#VALUE!</v>
      </c>
      <c r="FA78" t="e">
        <f>AND('Planilla_General_03-12-2012_9_3'!L1242,"AAAAAHNe+5w=")</f>
        <v>#VALUE!</v>
      </c>
      <c r="FB78" t="e">
        <f>AND('Planilla_General_03-12-2012_9_3'!M1242,"AAAAAHNe+50=")</f>
        <v>#VALUE!</v>
      </c>
      <c r="FC78" t="e">
        <f>AND('Planilla_General_03-12-2012_9_3'!N1242,"AAAAAHNe+54=")</f>
        <v>#VALUE!</v>
      </c>
      <c r="FD78" t="e">
        <f>AND('Planilla_General_03-12-2012_9_3'!O1242,"AAAAAHNe+58=")</f>
        <v>#VALUE!</v>
      </c>
      <c r="FE78">
        <f>IF('Planilla_General_03-12-2012_9_3'!1243:1243,"AAAAAHNe+6A=",0)</f>
        <v>0</v>
      </c>
      <c r="FF78" t="e">
        <f>AND('Planilla_General_03-12-2012_9_3'!A1243,"AAAAAHNe+6E=")</f>
        <v>#VALUE!</v>
      </c>
      <c r="FG78" t="e">
        <f>AND('Planilla_General_03-12-2012_9_3'!B1243,"AAAAAHNe+6I=")</f>
        <v>#VALUE!</v>
      </c>
      <c r="FH78" t="e">
        <f>AND('Planilla_General_03-12-2012_9_3'!C1243,"AAAAAHNe+6M=")</f>
        <v>#VALUE!</v>
      </c>
      <c r="FI78" t="e">
        <f>AND('Planilla_General_03-12-2012_9_3'!D1243,"AAAAAHNe+6Q=")</f>
        <v>#VALUE!</v>
      </c>
      <c r="FJ78" t="e">
        <f>AND('Planilla_General_03-12-2012_9_3'!E1243,"AAAAAHNe+6U=")</f>
        <v>#VALUE!</v>
      </c>
      <c r="FK78" t="e">
        <f>AND('Planilla_General_03-12-2012_9_3'!F1243,"AAAAAHNe+6Y=")</f>
        <v>#VALUE!</v>
      </c>
      <c r="FL78" t="e">
        <f>AND('Planilla_General_03-12-2012_9_3'!G1243,"AAAAAHNe+6c=")</f>
        <v>#VALUE!</v>
      </c>
      <c r="FM78" t="e">
        <f>AND('Planilla_General_03-12-2012_9_3'!H1243,"AAAAAHNe+6g=")</f>
        <v>#VALUE!</v>
      </c>
      <c r="FN78" t="e">
        <f>AND('Planilla_General_03-12-2012_9_3'!I1243,"AAAAAHNe+6k=")</f>
        <v>#VALUE!</v>
      </c>
      <c r="FO78" t="e">
        <f>AND('Planilla_General_03-12-2012_9_3'!J1243,"AAAAAHNe+6o=")</f>
        <v>#VALUE!</v>
      </c>
      <c r="FP78" t="e">
        <f>AND('Planilla_General_03-12-2012_9_3'!K1243,"AAAAAHNe+6s=")</f>
        <v>#VALUE!</v>
      </c>
      <c r="FQ78" t="e">
        <f>AND('Planilla_General_03-12-2012_9_3'!L1243,"AAAAAHNe+6w=")</f>
        <v>#VALUE!</v>
      </c>
      <c r="FR78" t="e">
        <f>AND('Planilla_General_03-12-2012_9_3'!M1243,"AAAAAHNe+60=")</f>
        <v>#VALUE!</v>
      </c>
      <c r="FS78" t="e">
        <f>AND('Planilla_General_03-12-2012_9_3'!N1243,"AAAAAHNe+64=")</f>
        <v>#VALUE!</v>
      </c>
      <c r="FT78" t="e">
        <f>AND('Planilla_General_03-12-2012_9_3'!O1243,"AAAAAHNe+68=")</f>
        <v>#VALUE!</v>
      </c>
      <c r="FU78">
        <f>IF('Planilla_General_03-12-2012_9_3'!1244:1244,"AAAAAHNe+7A=",0)</f>
        <v>0</v>
      </c>
      <c r="FV78" t="e">
        <f>AND('Planilla_General_03-12-2012_9_3'!A1244,"AAAAAHNe+7E=")</f>
        <v>#VALUE!</v>
      </c>
      <c r="FW78" t="e">
        <f>AND('Planilla_General_03-12-2012_9_3'!B1244,"AAAAAHNe+7I=")</f>
        <v>#VALUE!</v>
      </c>
      <c r="FX78" t="e">
        <f>AND('Planilla_General_03-12-2012_9_3'!C1244,"AAAAAHNe+7M=")</f>
        <v>#VALUE!</v>
      </c>
      <c r="FY78" t="e">
        <f>AND('Planilla_General_03-12-2012_9_3'!D1244,"AAAAAHNe+7Q=")</f>
        <v>#VALUE!</v>
      </c>
      <c r="FZ78" t="e">
        <f>AND('Planilla_General_03-12-2012_9_3'!E1244,"AAAAAHNe+7U=")</f>
        <v>#VALUE!</v>
      </c>
      <c r="GA78" t="e">
        <f>AND('Planilla_General_03-12-2012_9_3'!F1244,"AAAAAHNe+7Y=")</f>
        <v>#VALUE!</v>
      </c>
      <c r="GB78" t="e">
        <f>AND('Planilla_General_03-12-2012_9_3'!G1244,"AAAAAHNe+7c=")</f>
        <v>#VALUE!</v>
      </c>
      <c r="GC78" t="e">
        <f>AND('Planilla_General_03-12-2012_9_3'!H1244,"AAAAAHNe+7g=")</f>
        <v>#VALUE!</v>
      </c>
      <c r="GD78" t="e">
        <f>AND('Planilla_General_03-12-2012_9_3'!I1244,"AAAAAHNe+7k=")</f>
        <v>#VALUE!</v>
      </c>
      <c r="GE78" t="e">
        <f>AND('Planilla_General_03-12-2012_9_3'!J1244,"AAAAAHNe+7o=")</f>
        <v>#VALUE!</v>
      </c>
      <c r="GF78" t="e">
        <f>AND('Planilla_General_03-12-2012_9_3'!K1244,"AAAAAHNe+7s=")</f>
        <v>#VALUE!</v>
      </c>
      <c r="GG78" t="e">
        <f>AND('Planilla_General_03-12-2012_9_3'!L1244,"AAAAAHNe+7w=")</f>
        <v>#VALUE!</v>
      </c>
      <c r="GH78" t="e">
        <f>AND('Planilla_General_03-12-2012_9_3'!M1244,"AAAAAHNe+70=")</f>
        <v>#VALUE!</v>
      </c>
      <c r="GI78" t="e">
        <f>AND('Planilla_General_03-12-2012_9_3'!N1244,"AAAAAHNe+74=")</f>
        <v>#VALUE!</v>
      </c>
      <c r="GJ78" t="e">
        <f>AND('Planilla_General_03-12-2012_9_3'!O1244,"AAAAAHNe+78=")</f>
        <v>#VALUE!</v>
      </c>
      <c r="GK78">
        <f>IF('Planilla_General_03-12-2012_9_3'!1245:1245,"AAAAAHNe+8A=",0)</f>
        <v>0</v>
      </c>
      <c r="GL78" t="e">
        <f>AND('Planilla_General_03-12-2012_9_3'!A1245,"AAAAAHNe+8E=")</f>
        <v>#VALUE!</v>
      </c>
      <c r="GM78" t="e">
        <f>AND('Planilla_General_03-12-2012_9_3'!B1245,"AAAAAHNe+8I=")</f>
        <v>#VALUE!</v>
      </c>
      <c r="GN78" t="e">
        <f>AND('Planilla_General_03-12-2012_9_3'!C1245,"AAAAAHNe+8M=")</f>
        <v>#VALUE!</v>
      </c>
      <c r="GO78" t="e">
        <f>AND('Planilla_General_03-12-2012_9_3'!D1245,"AAAAAHNe+8Q=")</f>
        <v>#VALUE!</v>
      </c>
      <c r="GP78" t="e">
        <f>AND('Planilla_General_03-12-2012_9_3'!E1245,"AAAAAHNe+8U=")</f>
        <v>#VALUE!</v>
      </c>
      <c r="GQ78" t="e">
        <f>AND('Planilla_General_03-12-2012_9_3'!F1245,"AAAAAHNe+8Y=")</f>
        <v>#VALUE!</v>
      </c>
      <c r="GR78" t="e">
        <f>AND('Planilla_General_03-12-2012_9_3'!G1245,"AAAAAHNe+8c=")</f>
        <v>#VALUE!</v>
      </c>
      <c r="GS78" t="e">
        <f>AND('Planilla_General_03-12-2012_9_3'!H1245,"AAAAAHNe+8g=")</f>
        <v>#VALUE!</v>
      </c>
      <c r="GT78" t="e">
        <f>AND('Planilla_General_03-12-2012_9_3'!I1245,"AAAAAHNe+8k=")</f>
        <v>#VALUE!</v>
      </c>
      <c r="GU78" t="e">
        <f>AND('Planilla_General_03-12-2012_9_3'!J1245,"AAAAAHNe+8o=")</f>
        <v>#VALUE!</v>
      </c>
      <c r="GV78" t="e">
        <f>AND('Planilla_General_03-12-2012_9_3'!K1245,"AAAAAHNe+8s=")</f>
        <v>#VALUE!</v>
      </c>
      <c r="GW78" t="e">
        <f>AND('Planilla_General_03-12-2012_9_3'!L1245,"AAAAAHNe+8w=")</f>
        <v>#VALUE!</v>
      </c>
      <c r="GX78" t="e">
        <f>AND('Planilla_General_03-12-2012_9_3'!M1245,"AAAAAHNe+80=")</f>
        <v>#VALUE!</v>
      </c>
      <c r="GY78" t="e">
        <f>AND('Planilla_General_03-12-2012_9_3'!N1245,"AAAAAHNe+84=")</f>
        <v>#VALUE!</v>
      </c>
      <c r="GZ78" t="e">
        <f>AND('Planilla_General_03-12-2012_9_3'!O1245,"AAAAAHNe+88=")</f>
        <v>#VALUE!</v>
      </c>
      <c r="HA78">
        <f>IF('Planilla_General_03-12-2012_9_3'!1246:1246,"AAAAAHNe+9A=",0)</f>
        <v>0</v>
      </c>
      <c r="HB78" t="e">
        <f>AND('Planilla_General_03-12-2012_9_3'!A1246,"AAAAAHNe+9E=")</f>
        <v>#VALUE!</v>
      </c>
      <c r="HC78" t="e">
        <f>AND('Planilla_General_03-12-2012_9_3'!B1246,"AAAAAHNe+9I=")</f>
        <v>#VALUE!</v>
      </c>
      <c r="HD78" t="e">
        <f>AND('Planilla_General_03-12-2012_9_3'!C1246,"AAAAAHNe+9M=")</f>
        <v>#VALUE!</v>
      </c>
      <c r="HE78" t="e">
        <f>AND('Planilla_General_03-12-2012_9_3'!D1246,"AAAAAHNe+9Q=")</f>
        <v>#VALUE!</v>
      </c>
      <c r="HF78" t="e">
        <f>AND('Planilla_General_03-12-2012_9_3'!E1246,"AAAAAHNe+9U=")</f>
        <v>#VALUE!</v>
      </c>
      <c r="HG78" t="e">
        <f>AND('Planilla_General_03-12-2012_9_3'!F1246,"AAAAAHNe+9Y=")</f>
        <v>#VALUE!</v>
      </c>
      <c r="HH78" t="e">
        <f>AND('Planilla_General_03-12-2012_9_3'!G1246,"AAAAAHNe+9c=")</f>
        <v>#VALUE!</v>
      </c>
      <c r="HI78" t="e">
        <f>AND('Planilla_General_03-12-2012_9_3'!H1246,"AAAAAHNe+9g=")</f>
        <v>#VALUE!</v>
      </c>
      <c r="HJ78" t="e">
        <f>AND('Planilla_General_03-12-2012_9_3'!I1246,"AAAAAHNe+9k=")</f>
        <v>#VALUE!</v>
      </c>
      <c r="HK78" t="e">
        <f>AND('Planilla_General_03-12-2012_9_3'!J1246,"AAAAAHNe+9o=")</f>
        <v>#VALUE!</v>
      </c>
      <c r="HL78" t="e">
        <f>AND('Planilla_General_03-12-2012_9_3'!K1246,"AAAAAHNe+9s=")</f>
        <v>#VALUE!</v>
      </c>
      <c r="HM78" t="e">
        <f>AND('Planilla_General_03-12-2012_9_3'!L1246,"AAAAAHNe+9w=")</f>
        <v>#VALUE!</v>
      </c>
      <c r="HN78" t="e">
        <f>AND('Planilla_General_03-12-2012_9_3'!M1246,"AAAAAHNe+90=")</f>
        <v>#VALUE!</v>
      </c>
      <c r="HO78" t="e">
        <f>AND('Planilla_General_03-12-2012_9_3'!N1246,"AAAAAHNe+94=")</f>
        <v>#VALUE!</v>
      </c>
      <c r="HP78" t="e">
        <f>AND('Planilla_General_03-12-2012_9_3'!O1246,"AAAAAHNe+98=")</f>
        <v>#VALUE!</v>
      </c>
      <c r="HQ78">
        <f>IF('Planilla_General_03-12-2012_9_3'!1247:1247,"AAAAAHNe++A=",0)</f>
        <v>0</v>
      </c>
      <c r="HR78" t="e">
        <f>AND('Planilla_General_03-12-2012_9_3'!A1247,"AAAAAHNe++E=")</f>
        <v>#VALUE!</v>
      </c>
      <c r="HS78" t="e">
        <f>AND('Planilla_General_03-12-2012_9_3'!B1247,"AAAAAHNe++I=")</f>
        <v>#VALUE!</v>
      </c>
      <c r="HT78" t="e">
        <f>AND('Planilla_General_03-12-2012_9_3'!C1247,"AAAAAHNe++M=")</f>
        <v>#VALUE!</v>
      </c>
      <c r="HU78" t="e">
        <f>AND('Planilla_General_03-12-2012_9_3'!D1247,"AAAAAHNe++Q=")</f>
        <v>#VALUE!</v>
      </c>
      <c r="HV78" t="e">
        <f>AND('Planilla_General_03-12-2012_9_3'!E1247,"AAAAAHNe++U=")</f>
        <v>#VALUE!</v>
      </c>
      <c r="HW78" t="e">
        <f>AND('Planilla_General_03-12-2012_9_3'!F1247,"AAAAAHNe++Y=")</f>
        <v>#VALUE!</v>
      </c>
      <c r="HX78" t="e">
        <f>AND('Planilla_General_03-12-2012_9_3'!G1247,"AAAAAHNe++c=")</f>
        <v>#VALUE!</v>
      </c>
      <c r="HY78" t="e">
        <f>AND('Planilla_General_03-12-2012_9_3'!H1247,"AAAAAHNe++g=")</f>
        <v>#VALUE!</v>
      </c>
      <c r="HZ78" t="e">
        <f>AND('Planilla_General_03-12-2012_9_3'!I1247,"AAAAAHNe++k=")</f>
        <v>#VALUE!</v>
      </c>
      <c r="IA78" t="e">
        <f>AND('Planilla_General_03-12-2012_9_3'!J1247,"AAAAAHNe++o=")</f>
        <v>#VALUE!</v>
      </c>
      <c r="IB78" t="e">
        <f>AND('Planilla_General_03-12-2012_9_3'!K1247,"AAAAAHNe++s=")</f>
        <v>#VALUE!</v>
      </c>
      <c r="IC78" t="e">
        <f>AND('Planilla_General_03-12-2012_9_3'!L1247,"AAAAAHNe++w=")</f>
        <v>#VALUE!</v>
      </c>
      <c r="ID78" t="e">
        <f>AND('Planilla_General_03-12-2012_9_3'!M1247,"AAAAAHNe++0=")</f>
        <v>#VALUE!</v>
      </c>
      <c r="IE78" t="e">
        <f>AND('Planilla_General_03-12-2012_9_3'!N1247,"AAAAAHNe++4=")</f>
        <v>#VALUE!</v>
      </c>
      <c r="IF78" t="e">
        <f>AND('Planilla_General_03-12-2012_9_3'!O1247,"AAAAAHNe++8=")</f>
        <v>#VALUE!</v>
      </c>
      <c r="IG78">
        <f>IF('Planilla_General_03-12-2012_9_3'!1248:1248,"AAAAAHNe+/A=",0)</f>
        <v>0</v>
      </c>
      <c r="IH78" t="e">
        <f>AND('Planilla_General_03-12-2012_9_3'!A1248,"AAAAAHNe+/E=")</f>
        <v>#VALUE!</v>
      </c>
      <c r="II78" t="e">
        <f>AND('Planilla_General_03-12-2012_9_3'!B1248,"AAAAAHNe+/I=")</f>
        <v>#VALUE!</v>
      </c>
      <c r="IJ78" t="e">
        <f>AND('Planilla_General_03-12-2012_9_3'!C1248,"AAAAAHNe+/M=")</f>
        <v>#VALUE!</v>
      </c>
      <c r="IK78" t="e">
        <f>AND('Planilla_General_03-12-2012_9_3'!D1248,"AAAAAHNe+/Q=")</f>
        <v>#VALUE!</v>
      </c>
      <c r="IL78" t="e">
        <f>AND('Planilla_General_03-12-2012_9_3'!E1248,"AAAAAHNe+/U=")</f>
        <v>#VALUE!</v>
      </c>
      <c r="IM78" t="e">
        <f>AND('Planilla_General_03-12-2012_9_3'!F1248,"AAAAAHNe+/Y=")</f>
        <v>#VALUE!</v>
      </c>
      <c r="IN78" t="e">
        <f>AND('Planilla_General_03-12-2012_9_3'!G1248,"AAAAAHNe+/c=")</f>
        <v>#VALUE!</v>
      </c>
      <c r="IO78" t="e">
        <f>AND('Planilla_General_03-12-2012_9_3'!H1248,"AAAAAHNe+/g=")</f>
        <v>#VALUE!</v>
      </c>
      <c r="IP78" t="e">
        <f>AND('Planilla_General_03-12-2012_9_3'!I1248,"AAAAAHNe+/k=")</f>
        <v>#VALUE!</v>
      </c>
      <c r="IQ78" t="e">
        <f>AND('Planilla_General_03-12-2012_9_3'!J1248,"AAAAAHNe+/o=")</f>
        <v>#VALUE!</v>
      </c>
      <c r="IR78" t="e">
        <f>AND('Planilla_General_03-12-2012_9_3'!K1248,"AAAAAHNe+/s=")</f>
        <v>#VALUE!</v>
      </c>
      <c r="IS78" t="e">
        <f>AND('Planilla_General_03-12-2012_9_3'!L1248,"AAAAAHNe+/w=")</f>
        <v>#VALUE!</v>
      </c>
      <c r="IT78" t="e">
        <f>AND('Planilla_General_03-12-2012_9_3'!M1248,"AAAAAHNe+/0=")</f>
        <v>#VALUE!</v>
      </c>
      <c r="IU78" t="e">
        <f>AND('Planilla_General_03-12-2012_9_3'!N1248,"AAAAAHNe+/4=")</f>
        <v>#VALUE!</v>
      </c>
      <c r="IV78" t="e">
        <f>AND('Planilla_General_03-12-2012_9_3'!O1248,"AAAAAHNe+/8=")</f>
        <v>#VALUE!</v>
      </c>
    </row>
    <row r="79" spans="1:256" x14ac:dyDescent="0.25">
      <c r="A79" t="e">
        <f>IF('Planilla_General_03-12-2012_9_3'!1249:1249,"AAAAACn/4QA=",0)</f>
        <v>#VALUE!</v>
      </c>
      <c r="B79" t="e">
        <f>AND('Planilla_General_03-12-2012_9_3'!A1249,"AAAAACn/4QE=")</f>
        <v>#VALUE!</v>
      </c>
      <c r="C79" t="e">
        <f>AND('Planilla_General_03-12-2012_9_3'!B1249,"AAAAACn/4QI=")</f>
        <v>#VALUE!</v>
      </c>
      <c r="D79" t="e">
        <f>AND('Planilla_General_03-12-2012_9_3'!C1249,"AAAAACn/4QM=")</f>
        <v>#VALUE!</v>
      </c>
      <c r="E79" t="e">
        <f>AND('Planilla_General_03-12-2012_9_3'!D1249,"AAAAACn/4QQ=")</f>
        <v>#VALUE!</v>
      </c>
      <c r="F79" t="e">
        <f>AND('Planilla_General_03-12-2012_9_3'!E1249,"AAAAACn/4QU=")</f>
        <v>#VALUE!</v>
      </c>
      <c r="G79" t="e">
        <f>AND('Planilla_General_03-12-2012_9_3'!F1249,"AAAAACn/4QY=")</f>
        <v>#VALUE!</v>
      </c>
      <c r="H79" t="e">
        <f>AND('Planilla_General_03-12-2012_9_3'!G1249,"AAAAACn/4Qc=")</f>
        <v>#VALUE!</v>
      </c>
      <c r="I79" t="e">
        <f>AND('Planilla_General_03-12-2012_9_3'!H1249,"AAAAACn/4Qg=")</f>
        <v>#VALUE!</v>
      </c>
      <c r="J79" t="e">
        <f>AND('Planilla_General_03-12-2012_9_3'!I1249,"AAAAACn/4Qk=")</f>
        <v>#VALUE!</v>
      </c>
      <c r="K79" t="e">
        <f>AND('Planilla_General_03-12-2012_9_3'!J1249,"AAAAACn/4Qo=")</f>
        <v>#VALUE!</v>
      </c>
      <c r="L79" t="e">
        <f>AND('Planilla_General_03-12-2012_9_3'!K1249,"AAAAACn/4Qs=")</f>
        <v>#VALUE!</v>
      </c>
      <c r="M79" t="e">
        <f>AND('Planilla_General_03-12-2012_9_3'!L1249,"AAAAACn/4Qw=")</f>
        <v>#VALUE!</v>
      </c>
      <c r="N79" t="e">
        <f>AND('Planilla_General_03-12-2012_9_3'!M1249,"AAAAACn/4Q0=")</f>
        <v>#VALUE!</v>
      </c>
      <c r="O79" t="e">
        <f>AND('Planilla_General_03-12-2012_9_3'!N1249,"AAAAACn/4Q4=")</f>
        <v>#VALUE!</v>
      </c>
      <c r="P79" t="e">
        <f>AND('Planilla_General_03-12-2012_9_3'!O1249,"AAAAACn/4Q8=")</f>
        <v>#VALUE!</v>
      </c>
      <c r="Q79">
        <f>IF('Planilla_General_03-12-2012_9_3'!1250:1250,"AAAAACn/4RA=",0)</f>
        <v>0</v>
      </c>
      <c r="R79" t="e">
        <f>AND('Planilla_General_03-12-2012_9_3'!A1250,"AAAAACn/4RE=")</f>
        <v>#VALUE!</v>
      </c>
      <c r="S79" t="e">
        <f>AND('Planilla_General_03-12-2012_9_3'!B1250,"AAAAACn/4RI=")</f>
        <v>#VALUE!</v>
      </c>
      <c r="T79" t="e">
        <f>AND('Planilla_General_03-12-2012_9_3'!C1250,"AAAAACn/4RM=")</f>
        <v>#VALUE!</v>
      </c>
      <c r="U79" t="e">
        <f>AND('Planilla_General_03-12-2012_9_3'!D1250,"AAAAACn/4RQ=")</f>
        <v>#VALUE!</v>
      </c>
      <c r="V79" t="e">
        <f>AND('Planilla_General_03-12-2012_9_3'!E1250,"AAAAACn/4RU=")</f>
        <v>#VALUE!</v>
      </c>
      <c r="W79" t="e">
        <f>AND('Planilla_General_03-12-2012_9_3'!F1250,"AAAAACn/4RY=")</f>
        <v>#VALUE!</v>
      </c>
      <c r="X79" t="e">
        <f>AND('Planilla_General_03-12-2012_9_3'!G1250,"AAAAACn/4Rc=")</f>
        <v>#VALUE!</v>
      </c>
      <c r="Y79" t="e">
        <f>AND('Planilla_General_03-12-2012_9_3'!H1250,"AAAAACn/4Rg=")</f>
        <v>#VALUE!</v>
      </c>
      <c r="Z79" t="e">
        <f>AND('Planilla_General_03-12-2012_9_3'!I1250,"AAAAACn/4Rk=")</f>
        <v>#VALUE!</v>
      </c>
      <c r="AA79" t="e">
        <f>AND('Planilla_General_03-12-2012_9_3'!J1250,"AAAAACn/4Ro=")</f>
        <v>#VALUE!</v>
      </c>
      <c r="AB79" t="e">
        <f>AND('Planilla_General_03-12-2012_9_3'!K1250,"AAAAACn/4Rs=")</f>
        <v>#VALUE!</v>
      </c>
      <c r="AC79" t="e">
        <f>AND('Planilla_General_03-12-2012_9_3'!L1250,"AAAAACn/4Rw=")</f>
        <v>#VALUE!</v>
      </c>
      <c r="AD79" t="e">
        <f>AND('Planilla_General_03-12-2012_9_3'!M1250,"AAAAACn/4R0=")</f>
        <v>#VALUE!</v>
      </c>
      <c r="AE79" t="e">
        <f>AND('Planilla_General_03-12-2012_9_3'!N1250,"AAAAACn/4R4=")</f>
        <v>#VALUE!</v>
      </c>
      <c r="AF79" t="e">
        <f>AND('Planilla_General_03-12-2012_9_3'!O1250,"AAAAACn/4R8=")</f>
        <v>#VALUE!</v>
      </c>
      <c r="AG79">
        <f>IF('Planilla_General_03-12-2012_9_3'!1251:1251,"AAAAACn/4SA=",0)</f>
        <v>0</v>
      </c>
      <c r="AH79" t="e">
        <f>AND('Planilla_General_03-12-2012_9_3'!A1251,"AAAAACn/4SE=")</f>
        <v>#VALUE!</v>
      </c>
      <c r="AI79" t="e">
        <f>AND('Planilla_General_03-12-2012_9_3'!B1251,"AAAAACn/4SI=")</f>
        <v>#VALUE!</v>
      </c>
      <c r="AJ79" t="e">
        <f>AND('Planilla_General_03-12-2012_9_3'!C1251,"AAAAACn/4SM=")</f>
        <v>#VALUE!</v>
      </c>
      <c r="AK79" t="e">
        <f>AND('Planilla_General_03-12-2012_9_3'!D1251,"AAAAACn/4SQ=")</f>
        <v>#VALUE!</v>
      </c>
      <c r="AL79" t="e">
        <f>AND('Planilla_General_03-12-2012_9_3'!E1251,"AAAAACn/4SU=")</f>
        <v>#VALUE!</v>
      </c>
      <c r="AM79" t="e">
        <f>AND('Planilla_General_03-12-2012_9_3'!F1251,"AAAAACn/4SY=")</f>
        <v>#VALUE!</v>
      </c>
      <c r="AN79" t="e">
        <f>AND('Planilla_General_03-12-2012_9_3'!G1251,"AAAAACn/4Sc=")</f>
        <v>#VALUE!</v>
      </c>
      <c r="AO79" t="e">
        <f>AND('Planilla_General_03-12-2012_9_3'!H1251,"AAAAACn/4Sg=")</f>
        <v>#VALUE!</v>
      </c>
      <c r="AP79" t="e">
        <f>AND('Planilla_General_03-12-2012_9_3'!I1251,"AAAAACn/4Sk=")</f>
        <v>#VALUE!</v>
      </c>
      <c r="AQ79" t="e">
        <f>AND('Planilla_General_03-12-2012_9_3'!J1251,"AAAAACn/4So=")</f>
        <v>#VALUE!</v>
      </c>
      <c r="AR79" t="e">
        <f>AND('Planilla_General_03-12-2012_9_3'!K1251,"AAAAACn/4Ss=")</f>
        <v>#VALUE!</v>
      </c>
      <c r="AS79" t="e">
        <f>AND('Planilla_General_03-12-2012_9_3'!L1251,"AAAAACn/4Sw=")</f>
        <v>#VALUE!</v>
      </c>
      <c r="AT79" t="e">
        <f>AND('Planilla_General_03-12-2012_9_3'!M1251,"AAAAACn/4S0=")</f>
        <v>#VALUE!</v>
      </c>
      <c r="AU79" t="e">
        <f>AND('Planilla_General_03-12-2012_9_3'!N1251,"AAAAACn/4S4=")</f>
        <v>#VALUE!</v>
      </c>
      <c r="AV79" t="e">
        <f>AND('Planilla_General_03-12-2012_9_3'!O1251,"AAAAACn/4S8=")</f>
        <v>#VALUE!</v>
      </c>
      <c r="AW79">
        <f>IF('Planilla_General_03-12-2012_9_3'!1252:1252,"AAAAACn/4TA=",0)</f>
        <v>0</v>
      </c>
      <c r="AX79" t="e">
        <f>AND('Planilla_General_03-12-2012_9_3'!A1252,"AAAAACn/4TE=")</f>
        <v>#VALUE!</v>
      </c>
      <c r="AY79" t="e">
        <f>AND('Planilla_General_03-12-2012_9_3'!B1252,"AAAAACn/4TI=")</f>
        <v>#VALUE!</v>
      </c>
      <c r="AZ79" t="e">
        <f>AND('Planilla_General_03-12-2012_9_3'!C1252,"AAAAACn/4TM=")</f>
        <v>#VALUE!</v>
      </c>
      <c r="BA79" t="e">
        <f>AND('Planilla_General_03-12-2012_9_3'!D1252,"AAAAACn/4TQ=")</f>
        <v>#VALUE!</v>
      </c>
      <c r="BB79" t="e">
        <f>AND('Planilla_General_03-12-2012_9_3'!E1252,"AAAAACn/4TU=")</f>
        <v>#VALUE!</v>
      </c>
      <c r="BC79" t="e">
        <f>AND('Planilla_General_03-12-2012_9_3'!F1252,"AAAAACn/4TY=")</f>
        <v>#VALUE!</v>
      </c>
      <c r="BD79" t="e">
        <f>AND('Planilla_General_03-12-2012_9_3'!G1252,"AAAAACn/4Tc=")</f>
        <v>#VALUE!</v>
      </c>
      <c r="BE79" t="e">
        <f>AND('Planilla_General_03-12-2012_9_3'!H1252,"AAAAACn/4Tg=")</f>
        <v>#VALUE!</v>
      </c>
      <c r="BF79" t="e">
        <f>AND('Planilla_General_03-12-2012_9_3'!I1252,"AAAAACn/4Tk=")</f>
        <v>#VALUE!</v>
      </c>
      <c r="BG79" t="e">
        <f>AND('Planilla_General_03-12-2012_9_3'!J1252,"AAAAACn/4To=")</f>
        <v>#VALUE!</v>
      </c>
      <c r="BH79" t="e">
        <f>AND('Planilla_General_03-12-2012_9_3'!K1252,"AAAAACn/4Ts=")</f>
        <v>#VALUE!</v>
      </c>
      <c r="BI79" t="e">
        <f>AND('Planilla_General_03-12-2012_9_3'!L1252,"AAAAACn/4Tw=")</f>
        <v>#VALUE!</v>
      </c>
      <c r="BJ79" t="e">
        <f>AND('Planilla_General_03-12-2012_9_3'!M1252,"AAAAACn/4T0=")</f>
        <v>#VALUE!</v>
      </c>
      <c r="BK79" t="e">
        <f>AND('Planilla_General_03-12-2012_9_3'!N1252,"AAAAACn/4T4=")</f>
        <v>#VALUE!</v>
      </c>
      <c r="BL79" t="e">
        <f>AND('Planilla_General_03-12-2012_9_3'!O1252,"AAAAACn/4T8=")</f>
        <v>#VALUE!</v>
      </c>
      <c r="BM79">
        <f>IF('Planilla_General_03-12-2012_9_3'!1253:1253,"AAAAACn/4UA=",0)</f>
        <v>0</v>
      </c>
      <c r="BN79" t="e">
        <f>AND('Planilla_General_03-12-2012_9_3'!A1253,"AAAAACn/4UE=")</f>
        <v>#VALUE!</v>
      </c>
      <c r="BO79" t="e">
        <f>AND('Planilla_General_03-12-2012_9_3'!B1253,"AAAAACn/4UI=")</f>
        <v>#VALUE!</v>
      </c>
      <c r="BP79" t="e">
        <f>AND('Planilla_General_03-12-2012_9_3'!C1253,"AAAAACn/4UM=")</f>
        <v>#VALUE!</v>
      </c>
      <c r="BQ79" t="e">
        <f>AND('Planilla_General_03-12-2012_9_3'!D1253,"AAAAACn/4UQ=")</f>
        <v>#VALUE!</v>
      </c>
      <c r="BR79" t="e">
        <f>AND('Planilla_General_03-12-2012_9_3'!E1253,"AAAAACn/4UU=")</f>
        <v>#VALUE!</v>
      </c>
      <c r="BS79" t="e">
        <f>AND('Planilla_General_03-12-2012_9_3'!F1253,"AAAAACn/4UY=")</f>
        <v>#VALUE!</v>
      </c>
      <c r="BT79" t="e">
        <f>AND('Planilla_General_03-12-2012_9_3'!G1253,"AAAAACn/4Uc=")</f>
        <v>#VALUE!</v>
      </c>
      <c r="BU79" t="e">
        <f>AND('Planilla_General_03-12-2012_9_3'!H1253,"AAAAACn/4Ug=")</f>
        <v>#VALUE!</v>
      </c>
      <c r="BV79" t="e">
        <f>AND('Planilla_General_03-12-2012_9_3'!I1253,"AAAAACn/4Uk=")</f>
        <v>#VALUE!</v>
      </c>
      <c r="BW79" t="e">
        <f>AND('Planilla_General_03-12-2012_9_3'!J1253,"AAAAACn/4Uo=")</f>
        <v>#VALUE!</v>
      </c>
      <c r="BX79" t="e">
        <f>AND('Planilla_General_03-12-2012_9_3'!K1253,"AAAAACn/4Us=")</f>
        <v>#VALUE!</v>
      </c>
      <c r="BY79" t="e">
        <f>AND('Planilla_General_03-12-2012_9_3'!L1253,"AAAAACn/4Uw=")</f>
        <v>#VALUE!</v>
      </c>
      <c r="BZ79" t="e">
        <f>AND('Planilla_General_03-12-2012_9_3'!M1253,"AAAAACn/4U0=")</f>
        <v>#VALUE!</v>
      </c>
      <c r="CA79" t="e">
        <f>AND('Planilla_General_03-12-2012_9_3'!N1253,"AAAAACn/4U4=")</f>
        <v>#VALUE!</v>
      </c>
      <c r="CB79" t="e">
        <f>AND('Planilla_General_03-12-2012_9_3'!O1253,"AAAAACn/4U8=")</f>
        <v>#VALUE!</v>
      </c>
      <c r="CC79">
        <f>IF('Planilla_General_03-12-2012_9_3'!1254:1254,"AAAAACn/4VA=",0)</f>
        <v>0</v>
      </c>
      <c r="CD79" t="e">
        <f>AND('Planilla_General_03-12-2012_9_3'!A1254,"AAAAACn/4VE=")</f>
        <v>#VALUE!</v>
      </c>
      <c r="CE79" t="e">
        <f>AND('Planilla_General_03-12-2012_9_3'!B1254,"AAAAACn/4VI=")</f>
        <v>#VALUE!</v>
      </c>
      <c r="CF79" t="e">
        <f>AND('Planilla_General_03-12-2012_9_3'!C1254,"AAAAACn/4VM=")</f>
        <v>#VALUE!</v>
      </c>
      <c r="CG79" t="e">
        <f>AND('Planilla_General_03-12-2012_9_3'!D1254,"AAAAACn/4VQ=")</f>
        <v>#VALUE!</v>
      </c>
      <c r="CH79" t="e">
        <f>AND('Planilla_General_03-12-2012_9_3'!E1254,"AAAAACn/4VU=")</f>
        <v>#VALUE!</v>
      </c>
      <c r="CI79" t="e">
        <f>AND('Planilla_General_03-12-2012_9_3'!F1254,"AAAAACn/4VY=")</f>
        <v>#VALUE!</v>
      </c>
      <c r="CJ79" t="e">
        <f>AND('Planilla_General_03-12-2012_9_3'!G1254,"AAAAACn/4Vc=")</f>
        <v>#VALUE!</v>
      </c>
      <c r="CK79" t="e">
        <f>AND('Planilla_General_03-12-2012_9_3'!H1254,"AAAAACn/4Vg=")</f>
        <v>#VALUE!</v>
      </c>
      <c r="CL79" t="e">
        <f>AND('Planilla_General_03-12-2012_9_3'!I1254,"AAAAACn/4Vk=")</f>
        <v>#VALUE!</v>
      </c>
      <c r="CM79" t="e">
        <f>AND('Planilla_General_03-12-2012_9_3'!J1254,"AAAAACn/4Vo=")</f>
        <v>#VALUE!</v>
      </c>
      <c r="CN79" t="e">
        <f>AND('Planilla_General_03-12-2012_9_3'!K1254,"AAAAACn/4Vs=")</f>
        <v>#VALUE!</v>
      </c>
      <c r="CO79" t="e">
        <f>AND('Planilla_General_03-12-2012_9_3'!L1254,"AAAAACn/4Vw=")</f>
        <v>#VALUE!</v>
      </c>
      <c r="CP79" t="e">
        <f>AND('Planilla_General_03-12-2012_9_3'!M1254,"AAAAACn/4V0=")</f>
        <v>#VALUE!</v>
      </c>
      <c r="CQ79" t="e">
        <f>AND('Planilla_General_03-12-2012_9_3'!N1254,"AAAAACn/4V4=")</f>
        <v>#VALUE!</v>
      </c>
      <c r="CR79" t="e">
        <f>AND('Planilla_General_03-12-2012_9_3'!O1254,"AAAAACn/4V8=")</f>
        <v>#VALUE!</v>
      </c>
      <c r="CS79">
        <f>IF('Planilla_General_03-12-2012_9_3'!1255:1255,"AAAAACn/4WA=",0)</f>
        <v>0</v>
      </c>
      <c r="CT79" t="e">
        <f>AND('Planilla_General_03-12-2012_9_3'!A1255,"AAAAACn/4WE=")</f>
        <v>#VALUE!</v>
      </c>
      <c r="CU79" t="e">
        <f>AND('Planilla_General_03-12-2012_9_3'!B1255,"AAAAACn/4WI=")</f>
        <v>#VALUE!</v>
      </c>
      <c r="CV79" t="e">
        <f>AND('Planilla_General_03-12-2012_9_3'!C1255,"AAAAACn/4WM=")</f>
        <v>#VALUE!</v>
      </c>
      <c r="CW79" t="e">
        <f>AND('Planilla_General_03-12-2012_9_3'!D1255,"AAAAACn/4WQ=")</f>
        <v>#VALUE!</v>
      </c>
      <c r="CX79" t="e">
        <f>AND('Planilla_General_03-12-2012_9_3'!E1255,"AAAAACn/4WU=")</f>
        <v>#VALUE!</v>
      </c>
      <c r="CY79" t="e">
        <f>AND('Planilla_General_03-12-2012_9_3'!F1255,"AAAAACn/4WY=")</f>
        <v>#VALUE!</v>
      </c>
      <c r="CZ79" t="e">
        <f>AND('Planilla_General_03-12-2012_9_3'!G1255,"AAAAACn/4Wc=")</f>
        <v>#VALUE!</v>
      </c>
      <c r="DA79" t="e">
        <f>AND('Planilla_General_03-12-2012_9_3'!H1255,"AAAAACn/4Wg=")</f>
        <v>#VALUE!</v>
      </c>
      <c r="DB79" t="e">
        <f>AND('Planilla_General_03-12-2012_9_3'!I1255,"AAAAACn/4Wk=")</f>
        <v>#VALUE!</v>
      </c>
      <c r="DC79" t="e">
        <f>AND('Planilla_General_03-12-2012_9_3'!J1255,"AAAAACn/4Wo=")</f>
        <v>#VALUE!</v>
      </c>
      <c r="DD79" t="e">
        <f>AND('Planilla_General_03-12-2012_9_3'!K1255,"AAAAACn/4Ws=")</f>
        <v>#VALUE!</v>
      </c>
      <c r="DE79" t="e">
        <f>AND('Planilla_General_03-12-2012_9_3'!L1255,"AAAAACn/4Ww=")</f>
        <v>#VALUE!</v>
      </c>
      <c r="DF79" t="e">
        <f>AND('Planilla_General_03-12-2012_9_3'!M1255,"AAAAACn/4W0=")</f>
        <v>#VALUE!</v>
      </c>
      <c r="DG79" t="e">
        <f>AND('Planilla_General_03-12-2012_9_3'!N1255,"AAAAACn/4W4=")</f>
        <v>#VALUE!</v>
      </c>
      <c r="DH79" t="e">
        <f>AND('Planilla_General_03-12-2012_9_3'!O1255,"AAAAACn/4W8=")</f>
        <v>#VALUE!</v>
      </c>
      <c r="DI79">
        <f>IF('Planilla_General_03-12-2012_9_3'!1256:1256,"AAAAACn/4XA=",0)</f>
        <v>0</v>
      </c>
      <c r="DJ79" t="e">
        <f>AND('Planilla_General_03-12-2012_9_3'!A1256,"AAAAACn/4XE=")</f>
        <v>#VALUE!</v>
      </c>
      <c r="DK79" t="e">
        <f>AND('Planilla_General_03-12-2012_9_3'!B1256,"AAAAACn/4XI=")</f>
        <v>#VALUE!</v>
      </c>
      <c r="DL79" t="e">
        <f>AND('Planilla_General_03-12-2012_9_3'!C1256,"AAAAACn/4XM=")</f>
        <v>#VALUE!</v>
      </c>
      <c r="DM79" t="e">
        <f>AND('Planilla_General_03-12-2012_9_3'!D1256,"AAAAACn/4XQ=")</f>
        <v>#VALUE!</v>
      </c>
      <c r="DN79" t="e">
        <f>AND('Planilla_General_03-12-2012_9_3'!E1256,"AAAAACn/4XU=")</f>
        <v>#VALUE!</v>
      </c>
      <c r="DO79" t="e">
        <f>AND('Planilla_General_03-12-2012_9_3'!F1256,"AAAAACn/4XY=")</f>
        <v>#VALUE!</v>
      </c>
      <c r="DP79" t="e">
        <f>AND('Planilla_General_03-12-2012_9_3'!G1256,"AAAAACn/4Xc=")</f>
        <v>#VALUE!</v>
      </c>
      <c r="DQ79" t="e">
        <f>AND('Planilla_General_03-12-2012_9_3'!H1256,"AAAAACn/4Xg=")</f>
        <v>#VALUE!</v>
      </c>
      <c r="DR79" t="e">
        <f>AND('Planilla_General_03-12-2012_9_3'!I1256,"AAAAACn/4Xk=")</f>
        <v>#VALUE!</v>
      </c>
      <c r="DS79" t="e">
        <f>AND('Planilla_General_03-12-2012_9_3'!J1256,"AAAAACn/4Xo=")</f>
        <v>#VALUE!</v>
      </c>
      <c r="DT79" t="e">
        <f>AND('Planilla_General_03-12-2012_9_3'!K1256,"AAAAACn/4Xs=")</f>
        <v>#VALUE!</v>
      </c>
      <c r="DU79" t="e">
        <f>AND('Planilla_General_03-12-2012_9_3'!L1256,"AAAAACn/4Xw=")</f>
        <v>#VALUE!</v>
      </c>
      <c r="DV79" t="e">
        <f>AND('Planilla_General_03-12-2012_9_3'!M1256,"AAAAACn/4X0=")</f>
        <v>#VALUE!</v>
      </c>
      <c r="DW79" t="e">
        <f>AND('Planilla_General_03-12-2012_9_3'!N1256,"AAAAACn/4X4=")</f>
        <v>#VALUE!</v>
      </c>
      <c r="DX79" t="e">
        <f>AND('Planilla_General_03-12-2012_9_3'!O1256,"AAAAACn/4X8=")</f>
        <v>#VALUE!</v>
      </c>
      <c r="DY79">
        <f>IF('Planilla_General_03-12-2012_9_3'!1257:1257,"AAAAACn/4YA=",0)</f>
        <v>0</v>
      </c>
      <c r="DZ79" t="e">
        <f>AND('Planilla_General_03-12-2012_9_3'!A1257,"AAAAACn/4YE=")</f>
        <v>#VALUE!</v>
      </c>
      <c r="EA79" t="e">
        <f>AND('Planilla_General_03-12-2012_9_3'!B1257,"AAAAACn/4YI=")</f>
        <v>#VALUE!</v>
      </c>
      <c r="EB79" t="e">
        <f>AND('Planilla_General_03-12-2012_9_3'!C1257,"AAAAACn/4YM=")</f>
        <v>#VALUE!</v>
      </c>
      <c r="EC79" t="e">
        <f>AND('Planilla_General_03-12-2012_9_3'!D1257,"AAAAACn/4YQ=")</f>
        <v>#VALUE!</v>
      </c>
      <c r="ED79" t="e">
        <f>AND('Planilla_General_03-12-2012_9_3'!E1257,"AAAAACn/4YU=")</f>
        <v>#VALUE!</v>
      </c>
      <c r="EE79" t="e">
        <f>AND('Planilla_General_03-12-2012_9_3'!F1257,"AAAAACn/4YY=")</f>
        <v>#VALUE!</v>
      </c>
      <c r="EF79" t="e">
        <f>AND('Planilla_General_03-12-2012_9_3'!G1257,"AAAAACn/4Yc=")</f>
        <v>#VALUE!</v>
      </c>
      <c r="EG79" t="e">
        <f>AND('Planilla_General_03-12-2012_9_3'!H1257,"AAAAACn/4Yg=")</f>
        <v>#VALUE!</v>
      </c>
      <c r="EH79" t="e">
        <f>AND('Planilla_General_03-12-2012_9_3'!I1257,"AAAAACn/4Yk=")</f>
        <v>#VALUE!</v>
      </c>
      <c r="EI79" t="e">
        <f>AND('Planilla_General_03-12-2012_9_3'!J1257,"AAAAACn/4Yo=")</f>
        <v>#VALUE!</v>
      </c>
      <c r="EJ79" t="e">
        <f>AND('Planilla_General_03-12-2012_9_3'!K1257,"AAAAACn/4Ys=")</f>
        <v>#VALUE!</v>
      </c>
      <c r="EK79" t="e">
        <f>AND('Planilla_General_03-12-2012_9_3'!L1257,"AAAAACn/4Yw=")</f>
        <v>#VALUE!</v>
      </c>
      <c r="EL79" t="e">
        <f>AND('Planilla_General_03-12-2012_9_3'!M1257,"AAAAACn/4Y0=")</f>
        <v>#VALUE!</v>
      </c>
      <c r="EM79" t="e">
        <f>AND('Planilla_General_03-12-2012_9_3'!N1257,"AAAAACn/4Y4=")</f>
        <v>#VALUE!</v>
      </c>
      <c r="EN79" t="e">
        <f>AND('Planilla_General_03-12-2012_9_3'!O1257,"AAAAACn/4Y8=")</f>
        <v>#VALUE!</v>
      </c>
      <c r="EO79">
        <f>IF('Planilla_General_03-12-2012_9_3'!1258:1258,"AAAAACn/4ZA=",0)</f>
        <v>0</v>
      </c>
      <c r="EP79" t="e">
        <f>AND('Planilla_General_03-12-2012_9_3'!A1258,"AAAAACn/4ZE=")</f>
        <v>#VALUE!</v>
      </c>
      <c r="EQ79" t="e">
        <f>AND('Planilla_General_03-12-2012_9_3'!B1258,"AAAAACn/4ZI=")</f>
        <v>#VALUE!</v>
      </c>
      <c r="ER79" t="e">
        <f>AND('Planilla_General_03-12-2012_9_3'!C1258,"AAAAACn/4ZM=")</f>
        <v>#VALUE!</v>
      </c>
      <c r="ES79" t="e">
        <f>AND('Planilla_General_03-12-2012_9_3'!D1258,"AAAAACn/4ZQ=")</f>
        <v>#VALUE!</v>
      </c>
      <c r="ET79" t="e">
        <f>AND('Planilla_General_03-12-2012_9_3'!E1258,"AAAAACn/4ZU=")</f>
        <v>#VALUE!</v>
      </c>
      <c r="EU79" t="e">
        <f>AND('Planilla_General_03-12-2012_9_3'!F1258,"AAAAACn/4ZY=")</f>
        <v>#VALUE!</v>
      </c>
      <c r="EV79" t="e">
        <f>AND('Planilla_General_03-12-2012_9_3'!G1258,"AAAAACn/4Zc=")</f>
        <v>#VALUE!</v>
      </c>
      <c r="EW79" t="e">
        <f>AND('Planilla_General_03-12-2012_9_3'!H1258,"AAAAACn/4Zg=")</f>
        <v>#VALUE!</v>
      </c>
      <c r="EX79" t="e">
        <f>AND('Planilla_General_03-12-2012_9_3'!I1258,"AAAAACn/4Zk=")</f>
        <v>#VALUE!</v>
      </c>
      <c r="EY79" t="e">
        <f>AND('Planilla_General_03-12-2012_9_3'!J1258,"AAAAACn/4Zo=")</f>
        <v>#VALUE!</v>
      </c>
      <c r="EZ79" t="e">
        <f>AND('Planilla_General_03-12-2012_9_3'!K1258,"AAAAACn/4Zs=")</f>
        <v>#VALUE!</v>
      </c>
      <c r="FA79" t="e">
        <f>AND('Planilla_General_03-12-2012_9_3'!L1258,"AAAAACn/4Zw=")</f>
        <v>#VALUE!</v>
      </c>
      <c r="FB79" t="e">
        <f>AND('Planilla_General_03-12-2012_9_3'!M1258,"AAAAACn/4Z0=")</f>
        <v>#VALUE!</v>
      </c>
      <c r="FC79" t="e">
        <f>AND('Planilla_General_03-12-2012_9_3'!N1258,"AAAAACn/4Z4=")</f>
        <v>#VALUE!</v>
      </c>
      <c r="FD79" t="e">
        <f>AND('Planilla_General_03-12-2012_9_3'!O1258,"AAAAACn/4Z8=")</f>
        <v>#VALUE!</v>
      </c>
      <c r="FE79">
        <f>IF('Planilla_General_03-12-2012_9_3'!1259:1259,"AAAAACn/4aA=",0)</f>
        <v>0</v>
      </c>
      <c r="FF79" t="e">
        <f>AND('Planilla_General_03-12-2012_9_3'!A1259,"AAAAACn/4aE=")</f>
        <v>#VALUE!</v>
      </c>
      <c r="FG79" t="e">
        <f>AND('Planilla_General_03-12-2012_9_3'!B1259,"AAAAACn/4aI=")</f>
        <v>#VALUE!</v>
      </c>
      <c r="FH79" t="e">
        <f>AND('Planilla_General_03-12-2012_9_3'!C1259,"AAAAACn/4aM=")</f>
        <v>#VALUE!</v>
      </c>
      <c r="FI79" t="e">
        <f>AND('Planilla_General_03-12-2012_9_3'!D1259,"AAAAACn/4aQ=")</f>
        <v>#VALUE!</v>
      </c>
      <c r="FJ79" t="e">
        <f>AND('Planilla_General_03-12-2012_9_3'!E1259,"AAAAACn/4aU=")</f>
        <v>#VALUE!</v>
      </c>
      <c r="FK79" t="e">
        <f>AND('Planilla_General_03-12-2012_9_3'!F1259,"AAAAACn/4aY=")</f>
        <v>#VALUE!</v>
      </c>
      <c r="FL79" t="e">
        <f>AND('Planilla_General_03-12-2012_9_3'!G1259,"AAAAACn/4ac=")</f>
        <v>#VALUE!</v>
      </c>
      <c r="FM79" t="e">
        <f>AND('Planilla_General_03-12-2012_9_3'!H1259,"AAAAACn/4ag=")</f>
        <v>#VALUE!</v>
      </c>
      <c r="FN79" t="e">
        <f>AND('Planilla_General_03-12-2012_9_3'!I1259,"AAAAACn/4ak=")</f>
        <v>#VALUE!</v>
      </c>
      <c r="FO79" t="e">
        <f>AND('Planilla_General_03-12-2012_9_3'!J1259,"AAAAACn/4ao=")</f>
        <v>#VALUE!</v>
      </c>
      <c r="FP79" t="e">
        <f>AND('Planilla_General_03-12-2012_9_3'!K1259,"AAAAACn/4as=")</f>
        <v>#VALUE!</v>
      </c>
      <c r="FQ79" t="e">
        <f>AND('Planilla_General_03-12-2012_9_3'!L1259,"AAAAACn/4aw=")</f>
        <v>#VALUE!</v>
      </c>
      <c r="FR79" t="e">
        <f>AND('Planilla_General_03-12-2012_9_3'!M1259,"AAAAACn/4a0=")</f>
        <v>#VALUE!</v>
      </c>
      <c r="FS79" t="e">
        <f>AND('Planilla_General_03-12-2012_9_3'!N1259,"AAAAACn/4a4=")</f>
        <v>#VALUE!</v>
      </c>
      <c r="FT79" t="e">
        <f>AND('Planilla_General_03-12-2012_9_3'!O1259,"AAAAACn/4a8=")</f>
        <v>#VALUE!</v>
      </c>
      <c r="FU79">
        <f>IF('Planilla_General_03-12-2012_9_3'!1260:1260,"AAAAACn/4bA=",0)</f>
        <v>0</v>
      </c>
      <c r="FV79" t="e">
        <f>AND('Planilla_General_03-12-2012_9_3'!A1260,"AAAAACn/4bE=")</f>
        <v>#VALUE!</v>
      </c>
      <c r="FW79" t="e">
        <f>AND('Planilla_General_03-12-2012_9_3'!B1260,"AAAAACn/4bI=")</f>
        <v>#VALUE!</v>
      </c>
      <c r="FX79" t="e">
        <f>AND('Planilla_General_03-12-2012_9_3'!C1260,"AAAAACn/4bM=")</f>
        <v>#VALUE!</v>
      </c>
      <c r="FY79" t="e">
        <f>AND('Planilla_General_03-12-2012_9_3'!D1260,"AAAAACn/4bQ=")</f>
        <v>#VALUE!</v>
      </c>
      <c r="FZ79" t="e">
        <f>AND('Planilla_General_03-12-2012_9_3'!E1260,"AAAAACn/4bU=")</f>
        <v>#VALUE!</v>
      </c>
      <c r="GA79" t="e">
        <f>AND('Planilla_General_03-12-2012_9_3'!F1260,"AAAAACn/4bY=")</f>
        <v>#VALUE!</v>
      </c>
      <c r="GB79" t="e">
        <f>AND('Planilla_General_03-12-2012_9_3'!G1260,"AAAAACn/4bc=")</f>
        <v>#VALUE!</v>
      </c>
      <c r="GC79" t="e">
        <f>AND('Planilla_General_03-12-2012_9_3'!H1260,"AAAAACn/4bg=")</f>
        <v>#VALUE!</v>
      </c>
      <c r="GD79" t="e">
        <f>AND('Planilla_General_03-12-2012_9_3'!I1260,"AAAAACn/4bk=")</f>
        <v>#VALUE!</v>
      </c>
      <c r="GE79" t="e">
        <f>AND('Planilla_General_03-12-2012_9_3'!J1260,"AAAAACn/4bo=")</f>
        <v>#VALUE!</v>
      </c>
      <c r="GF79" t="e">
        <f>AND('Planilla_General_03-12-2012_9_3'!K1260,"AAAAACn/4bs=")</f>
        <v>#VALUE!</v>
      </c>
      <c r="GG79" t="e">
        <f>AND('Planilla_General_03-12-2012_9_3'!L1260,"AAAAACn/4bw=")</f>
        <v>#VALUE!</v>
      </c>
      <c r="GH79" t="e">
        <f>AND('Planilla_General_03-12-2012_9_3'!M1260,"AAAAACn/4b0=")</f>
        <v>#VALUE!</v>
      </c>
      <c r="GI79" t="e">
        <f>AND('Planilla_General_03-12-2012_9_3'!N1260,"AAAAACn/4b4=")</f>
        <v>#VALUE!</v>
      </c>
      <c r="GJ79" t="e">
        <f>AND('Planilla_General_03-12-2012_9_3'!O1260,"AAAAACn/4b8=")</f>
        <v>#VALUE!</v>
      </c>
      <c r="GK79">
        <f>IF('Planilla_General_03-12-2012_9_3'!1261:1261,"AAAAACn/4cA=",0)</f>
        <v>0</v>
      </c>
      <c r="GL79" t="e">
        <f>AND('Planilla_General_03-12-2012_9_3'!A1261,"AAAAACn/4cE=")</f>
        <v>#VALUE!</v>
      </c>
      <c r="GM79" t="e">
        <f>AND('Planilla_General_03-12-2012_9_3'!B1261,"AAAAACn/4cI=")</f>
        <v>#VALUE!</v>
      </c>
      <c r="GN79" t="e">
        <f>AND('Planilla_General_03-12-2012_9_3'!C1261,"AAAAACn/4cM=")</f>
        <v>#VALUE!</v>
      </c>
      <c r="GO79" t="e">
        <f>AND('Planilla_General_03-12-2012_9_3'!D1261,"AAAAACn/4cQ=")</f>
        <v>#VALUE!</v>
      </c>
      <c r="GP79" t="e">
        <f>AND('Planilla_General_03-12-2012_9_3'!E1261,"AAAAACn/4cU=")</f>
        <v>#VALUE!</v>
      </c>
      <c r="GQ79" t="e">
        <f>AND('Planilla_General_03-12-2012_9_3'!F1261,"AAAAACn/4cY=")</f>
        <v>#VALUE!</v>
      </c>
      <c r="GR79" t="e">
        <f>AND('Planilla_General_03-12-2012_9_3'!G1261,"AAAAACn/4cc=")</f>
        <v>#VALUE!</v>
      </c>
      <c r="GS79" t="e">
        <f>AND('Planilla_General_03-12-2012_9_3'!H1261,"AAAAACn/4cg=")</f>
        <v>#VALUE!</v>
      </c>
      <c r="GT79" t="e">
        <f>AND('Planilla_General_03-12-2012_9_3'!I1261,"AAAAACn/4ck=")</f>
        <v>#VALUE!</v>
      </c>
      <c r="GU79" t="e">
        <f>AND('Planilla_General_03-12-2012_9_3'!J1261,"AAAAACn/4co=")</f>
        <v>#VALUE!</v>
      </c>
      <c r="GV79" t="e">
        <f>AND('Planilla_General_03-12-2012_9_3'!K1261,"AAAAACn/4cs=")</f>
        <v>#VALUE!</v>
      </c>
      <c r="GW79" t="e">
        <f>AND('Planilla_General_03-12-2012_9_3'!L1261,"AAAAACn/4cw=")</f>
        <v>#VALUE!</v>
      </c>
      <c r="GX79" t="e">
        <f>AND('Planilla_General_03-12-2012_9_3'!M1261,"AAAAACn/4c0=")</f>
        <v>#VALUE!</v>
      </c>
      <c r="GY79" t="e">
        <f>AND('Planilla_General_03-12-2012_9_3'!N1261,"AAAAACn/4c4=")</f>
        <v>#VALUE!</v>
      </c>
      <c r="GZ79" t="e">
        <f>AND('Planilla_General_03-12-2012_9_3'!O1261,"AAAAACn/4c8=")</f>
        <v>#VALUE!</v>
      </c>
      <c r="HA79">
        <f>IF('Planilla_General_03-12-2012_9_3'!1262:1262,"AAAAACn/4dA=",0)</f>
        <v>0</v>
      </c>
      <c r="HB79" t="e">
        <f>AND('Planilla_General_03-12-2012_9_3'!A1262,"AAAAACn/4dE=")</f>
        <v>#VALUE!</v>
      </c>
      <c r="HC79" t="e">
        <f>AND('Planilla_General_03-12-2012_9_3'!B1262,"AAAAACn/4dI=")</f>
        <v>#VALUE!</v>
      </c>
      <c r="HD79" t="e">
        <f>AND('Planilla_General_03-12-2012_9_3'!C1262,"AAAAACn/4dM=")</f>
        <v>#VALUE!</v>
      </c>
      <c r="HE79" t="e">
        <f>AND('Planilla_General_03-12-2012_9_3'!D1262,"AAAAACn/4dQ=")</f>
        <v>#VALUE!</v>
      </c>
      <c r="HF79" t="e">
        <f>AND('Planilla_General_03-12-2012_9_3'!E1262,"AAAAACn/4dU=")</f>
        <v>#VALUE!</v>
      </c>
      <c r="HG79" t="e">
        <f>AND('Planilla_General_03-12-2012_9_3'!F1262,"AAAAACn/4dY=")</f>
        <v>#VALUE!</v>
      </c>
      <c r="HH79" t="e">
        <f>AND('Planilla_General_03-12-2012_9_3'!G1262,"AAAAACn/4dc=")</f>
        <v>#VALUE!</v>
      </c>
      <c r="HI79" t="e">
        <f>AND('Planilla_General_03-12-2012_9_3'!H1262,"AAAAACn/4dg=")</f>
        <v>#VALUE!</v>
      </c>
      <c r="HJ79" t="e">
        <f>AND('Planilla_General_03-12-2012_9_3'!I1262,"AAAAACn/4dk=")</f>
        <v>#VALUE!</v>
      </c>
      <c r="HK79" t="e">
        <f>AND('Planilla_General_03-12-2012_9_3'!J1262,"AAAAACn/4do=")</f>
        <v>#VALUE!</v>
      </c>
      <c r="HL79" t="e">
        <f>AND('Planilla_General_03-12-2012_9_3'!K1262,"AAAAACn/4ds=")</f>
        <v>#VALUE!</v>
      </c>
      <c r="HM79" t="e">
        <f>AND('Planilla_General_03-12-2012_9_3'!L1262,"AAAAACn/4dw=")</f>
        <v>#VALUE!</v>
      </c>
      <c r="HN79" t="e">
        <f>AND('Planilla_General_03-12-2012_9_3'!M1262,"AAAAACn/4d0=")</f>
        <v>#VALUE!</v>
      </c>
      <c r="HO79" t="e">
        <f>AND('Planilla_General_03-12-2012_9_3'!N1262,"AAAAACn/4d4=")</f>
        <v>#VALUE!</v>
      </c>
      <c r="HP79" t="e">
        <f>AND('Planilla_General_03-12-2012_9_3'!O1262,"AAAAACn/4d8=")</f>
        <v>#VALUE!</v>
      </c>
      <c r="HQ79">
        <f>IF('Planilla_General_03-12-2012_9_3'!1263:1263,"AAAAACn/4eA=",0)</f>
        <v>0</v>
      </c>
      <c r="HR79" t="e">
        <f>AND('Planilla_General_03-12-2012_9_3'!A1263,"AAAAACn/4eE=")</f>
        <v>#VALUE!</v>
      </c>
      <c r="HS79" t="e">
        <f>AND('Planilla_General_03-12-2012_9_3'!B1263,"AAAAACn/4eI=")</f>
        <v>#VALUE!</v>
      </c>
      <c r="HT79" t="e">
        <f>AND('Planilla_General_03-12-2012_9_3'!C1263,"AAAAACn/4eM=")</f>
        <v>#VALUE!</v>
      </c>
      <c r="HU79" t="e">
        <f>AND('Planilla_General_03-12-2012_9_3'!D1263,"AAAAACn/4eQ=")</f>
        <v>#VALUE!</v>
      </c>
      <c r="HV79" t="e">
        <f>AND('Planilla_General_03-12-2012_9_3'!E1263,"AAAAACn/4eU=")</f>
        <v>#VALUE!</v>
      </c>
      <c r="HW79" t="e">
        <f>AND('Planilla_General_03-12-2012_9_3'!F1263,"AAAAACn/4eY=")</f>
        <v>#VALUE!</v>
      </c>
      <c r="HX79" t="e">
        <f>AND('Planilla_General_03-12-2012_9_3'!G1263,"AAAAACn/4ec=")</f>
        <v>#VALUE!</v>
      </c>
      <c r="HY79" t="e">
        <f>AND('Planilla_General_03-12-2012_9_3'!H1263,"AAAAACn/4eg=")</f>
        <v>#VALUE!</v>
      </c>
      <c r="HZ79" t="e">
        <f>AND('Planilla_General_03-12-2012_9_3'!I1263,"AAAAACn/4ek=")</f>
        <v>#VALUE!</v>
      </c>
      <c r="IA79" t="e">
        <f>AND('Planilla_General_03-12-2012_9_3'!J1263,"AAAAACn/4eo=")</f>
        <v>#VALUE!</v>
      </c>
      <c r="IB79" t="e">
        <f>AND('Planilla_General_03-12-2012_9_3'!K1263,"AAAAACn/4es=")</f>
        <v>#VALUE!</v>
      </c>
      <c r="IC79" t="e">
        <f>AND('Planilla_General_03-12-2012_9_3'!L1263,"AAAAACn/4ew=")</f>
        <v>#VALUE!</v>
      </c>
      <c r="ID79" t="e">
        <f>AND('Planilla_General_03-12-2012_9_3'!M1263,"AAAAACn/4e0=")</f>
        <v>#VALUE!</v>
      </c>
      <c r="IE79" t="e">
        <f>AND('Planilla_General_03-12-2012_9_3'!N1263,"AAAAACn/4e4=")</f>
        <v>#VALUE!</v>
      </c>
      <c r="IF79" t="e">
        <f>AND('Planilla_General_03-12-2012_9_3'!O1263,"AAAAACn/4e8=")</f>
        <v>#VALUE!</v>
      </c>
      <c r="IG79">
        <f>IF('Planilla_General_03-12-2012_9_3'!1264:1264,"AAAAACn/4fA=",0)</f>
        <v>0</v>
      </c>
      <c r="IH79" t="e">
        <f>AND('Planilla_General_03-12-2012_9_3'!A1264,"AAAAACn/4fE=")</f>
        <v>#VALUE!</v>
      </c>
      <c r="II79" t="e">
        <f>AND('Planilla_General_03-12-2012_9_3'!B1264,"AAAAACn/4fI=")</f>
        <v>#VALUE!</v>
      </c>
      <c r="IJ79" t="e">
        <f>AND('Planilla_General_03-12-2012_9_3'!C1264,"AAAAACn/4fM=")</f>
        <v>#VALUE!</v>
      </c>
      <c r="IK79" t="e">
        <f>AND('Planilla_General_03-12-2012_9_3'!D1264,"AAAAACn/4fQ=")</f>
        <v>#VALUE!</v>
      </c>
      <c r="IL79" t="e">
        <f>AND('Planilla_General_03-12-2012_9_3'!E1264,"AAAAACn/4fU=")</f>
        <v>#VALUE!</v>
      </c>
      <c r="IM79" t="e">
        <f>AND('Planilla_General_03-12-2012_9_3'!F1264,"AAAAACn/4fY=")</f>
        <v>#VALUE!</v>
      </c>
      <c r="IN79" t="e">
        <f>AND('Planilla_General_03-12-2012_9_3'!G1264,"AAAAACn/4fc=")</f>
        <v>#VALUE!</v>
      </c>
      <c r="IO79" t="e">
        <f>AND('Planilla_General_03-12-2012_9_3'!H1264,"AAAAACn/4fg=")</f>
        <v>#VALUE!</v>
      </c>
      <c r="IP79" t="e">
        <f>AND('Planilla_General_03-12-2012_9_3'!I1264,"AAAAACn/4fk=")</f>
        <v>#VALUE!</v>
      </c>
      <c r="IQ79" t="e">
        <f>AND('Planilla_General_03-12-2012_9_3'!J1264,"AAAAACn/4fo=")</f>
        <v>#VALUE!</v>
      </c>
      <c r="IR79" t="e">
        <f>AND('Planilla_General_03-12-2012_9_3'!K1264,"AAAAACn/4fs=")</f>
        <v>#VALUE!</v>
      </c>
      <c r="IS79" t="e">
        <f>AND('Planilla_General_03-12-2012_9_3'!L1264,"AAAAACn/4fw=")</f>
        <v>#VALUE!</v>
      </c>
      <c r="IT79" t="e">
        <f>AND('Planilla_General_03-12-2012_9_3'!M1264,"AAAAACn/4f0=")</f>
        <v>#VALUE!</v>
      </c>
      <c r="IU79" t="e">
        <f>AND('Planilla_General_03-12-2012_9_3'!N1264,"AAAAACn/4f4=")</f>
        <v>#VALUE!</v>
      </c>
      <c r="IV79" t="e">
        <f>AND('Planilla_General_03-12-2012_9_3'!O1264,"AAAAACn/4f8=")</f>
        <v>#VALUE!</v>
      </c>
    </row>
    <row r="80" spans="1:256" x14ac:dyDescent="0.25">
      <c r="A80" t="e">
        <f>IF('Planilla_General_03-12-2012_9_3'!1265:1265,"AAAAAH/r7gA=",0)</f>
        <v>#VALUE!</v>
      </c>
      <c r="B80" t="e">
        <f>AND('Planilla_General_03-12-2012_9_3'!A1265,"AAAAAH/r7gE=")</f>
        <v>#VALUE!</v>
      </c>
      <c r="C80" t="e">
        <f>AND('Planilla_General_03-12-2012_9_3'!B1265,"AAAAAH/r7gI=")</f>
        <v>#VALUE!</v>
      </c>
      <c r="D80" t="e">
        <f>AND('Planilla_General_03-12-2012_9_3'!C1265,"AAAAAH/r7gM=")</f>
        <v>#VALUE!</v>
      </c>
      <c r="E80" t="e">
        <f>AND('Planilla_General_03-12-2012_9_3'!D1265,"AAAAAH/r7gQ=")</f>
        <v>#VALUE!</v>
      </c>
      <c r="F80" t="e">
        <f>AND('Planilla_General_03-12-2012_9_3'!E1265,"AAAAAH/r7gU=")</f>
        <v>#VALUE!</v>
      </c>
      <c r="G80" t="e">
        <f>AND('Planilla_General_03-12-2012_9_3'!F1265,"AAAAAH/r7gY=")</f>
        <v>#VALUE!</v>
      </c>
      <c r="H80" t="e">
        <f>AND('Planilla_General_03-12-2012_9_3'!G1265,"AAAAAH/r7gc=")</f>
        <v>#VALUE!</v>
      </c>
      <c r="I80" t="e">
        <f>AND('Planilla_General_03-12-2012_9_3'!H1265,"AAAAAH/r7gg=")</f>
        <v>#VALUE!</v>
      </c>
      <c r="J80" t="e">
        <f>AND('Planilla_General_03-12-2012_9_3'!I1265,"AAAAAH/r7gk=")</f>
        <v>#VALUE!</v>
      </c>
      <c r="K80" t="e">
        <f>AND('Planilla_General_03-12-2012_9_3'!J1265,"AAAAAH/r7go=")</f>
        <v>#VALUE!</v>
      </c>
      <c r="L80" t="e">
        <f>AND('Planilla_General_03-12-2012_9_3'!K1265,"AAAAAH/r7gs=")</f>
        <v>#VALUE!</v>
      </c>
      <c r="M80" t="e">
        <f>AND('Planilla_General_03-12-2012_9_3'!L1265,"AAAAAH/r7gw=")</f>
        <v>#VALUE!</v>
      </c>
      <c r="N80" t="e">
        <f>AND('Planilla_General_03-12-2012_9_3'!M1265,"AAAAAH/r7g0=")</f>
        <v>#VALUE!</v>
      </c>
      <c r="O80" t="e">
        <f>AND('Planilla_General_03-12-2012_9_3'!N1265,"AAAAAH/r7g4=")</f>
        <v>#VALUE!</v>
      </c>
      <c r="P80" t="e">
        <f>AND('Planilla_General_03-12-2012_9_3'!O1265,"AAAAAH/r7g8=")</f>
        <v>#VALUE!</v>
      </c>
      <c r="Q80">
        <f>IF('Planilla_General_03-12-2012_9_3'!1266:1266,"AAAAAH/r7hA=",0)</f>
        <v>0</v>
      </c>
      <c r="R80" t="e">
        <f>AND('Planilla_General_03-12-2012_9_3'!A1266,"AAAAAH/r7hE=")</f>
        <v>#VALUE!</v>
      </c>
      <c r="S80" t="e">
        <f>AND('Planilla_General_03-12-2012_9_3'!B1266,"AAAAAH/r7hI=")</f>
        <v>#VALUE!</v>
      </c>
      <c r="T80" t="e">
        <f>AND('Planilla_General_03-12-2012_9_3'!C1266,"AAAAAH/r7hM=")</f>
        <v>#VALUE!</v>
      </c>
      <c r="U80" t="e">
        <f>AND('Planilla_General_03-12-2012_9_3'!D1266,"AAAAAH/r7hQ=")</f>
        <v>#VALUE!</v>
      </c>
      <c r="V80" t="e">
        <f>AND('Planilla_General_03-12-2012_9_3'!E1266,"AAAAAH/r7hU=")</f>
        <v>#VALUE!</v>
      </c>
      <c r="W80" t="e">
        <f>AND('Planilla_General_03-12-2012_9_3'!F1266,"AAAAAH/r7hY=")</f>
        <v>#VALUE!</v>
      </c>
      <c r="X80" t="e">
        <f>AND('Planilla_General_03-12-2012_9_3'!G1266,"AAAAAH/r7hc=")</f>
        <v>#VALUE!</v>
      </c>
      <c r="Y80" t="e">
        <f>AND('Planilla_General_03-12-2012_9_3'!H1266,"AAAAAH/r7hg=")</f>
        <v>#VALUE!</v>
      </c>
      <c r="Z80" t="e">
        <f>AND('Planilla_General_03-12-2012_9_3'!I1266,"AAAAAH/r7hk=")</f>
        <v>#VALUE!</v>
      </c>
      <c r="AA80" t="e">
        <f>AND('Planilla_General_03-12-2012_9_3'!J1266,"AAAAAH/r7ho=")</f>
        <v>#VALUE!</v>
      </c>
      <c r="AB80" t="e">
        <f>AND('Planilla_General_03-12-2012_9_3'!K1266,"AAAAAH/r7hs=")</f>
        <v>#VALUE!</v>
      </c>
      <c r="AC80" t="e">
        <f>AND('Planilla_General_03-12-2012_9_3'!L1266,"AAAAAH/r7hw=")</f>
        <v>#VALUE!</v>
      </c>
      <c r="AD80" t="e">
        <f>AND('Planilla_General_03-12-2012_9_3'!M1266,"AAAAAH/r7h0=")</f>
        <v>#VALUE!</v>
      </c>
      <c r="AE80" t="e">
        <f>AND('Planilla_General_03-12-2012_9_3'!N1266,"AAAAAH/r7h4=")</f>
        <v>#VALUE!</v>
      </c>
      <c r="AF80" t="e">
        <f>AND('Planilla_General_03-12-2012_9_3'!O1266,"AAAAAH/r7h8=")</f>
        <v>#VALUE!</v>
      </c>
      <c r="AG80">
        <f>IF('Planilla_General_03-12-2012_9_3'!1267:1267,"AAAAAH/r7iA=",0)</f>
        <v>0</v>
      </c>
      <c r="AH80" t="e">
        <f>AND('Planilla_General_03-12-2012_9_3'!A1267,"AAAAAH/r7iE=")</f>
        <v>#VALUE!</v>
      </c>
      <c r="AI80" t="e">
        <f>AND('Planilla_General_03-12-2012_9_3'!B1267,"AAAAAH/r7iI=")</f>
        <v>#VALUE!</v>
      </c>
      <c r="AJ80" t="e">
        <f>AND('Planilla_General_03-12-2012_9_3'!C1267,"AAAAAH/r7iM=")</f>
        <v>#VALUE!</v>
      </c>
      <c r="AK80" t="e">
        <f>AND('Planilla_General_03-12-2012_9_3'!D1267,"AAAAAH/r7iQ=")</f>
        <v>#VALUE!</v>
      </c>
      <c r="AL80" t="e">
        <f>AND('Planilla_General_03-12-2012_9_3'!E1267,"AAAAAH/r7iU=")</f>
        <v>#VALUE!</v>
      </c>
      <c r="AM80" t="e">
        <f>AND('Planilla_General_03-12-2012_9_3'!F1267,"AAAAAH/r7iY=")</f>
        <v>#VALUE!</v>
      </c>
      <c r="AN80" t="e">
        <f>AND('Planilla_General_03-12-2012_9_3'!G1267,"AAAAAH/r7ic=")</f>
        <v>#VALUE!</v>
      </c>
      <c r="AO80" t="e">
        <f>AND('Planilla_General_03-12-2012_9_3'!H1267,"AAAAAH/r7ig=")</f>
        <v>#VALUE!</v>
      </c>
      <c r="AP80" t="e">
        <f>AND('Planilla_General_03-12-2012_9_3'!I1267,"AAAAAH/r7ik=")</f>
        <v>#VALUE!</v>
      </c>
      <c r="AQ80" t="e">
        <f>AND('Planilla_General_03-12-2012_9_3'!J1267,"AAAAAH/r7io=")</f>
        <v>#VALUE!</v>
      </c>
      <c r="AR80" t="e">
        <f>AND('Planilla_General_03-12-2012_9_3'!K1267,"AAAAAH/r7is=")</f>
        <v>#VALUE!</v>
      </c>
      <c r="AS80" t="e">
        <f>AND('Planilla_General_03-12-2012_9_3'!L1267,"AAAAAH/r7iw=")</f>
        <v>#VALUE!</v>
      </c>
      <c r="AT80" t="e">
        <f>AND('Planilla_General_03-12-2012_9_3'!M1267,"AAAAAH/r7i0=")</f>
        <v>#VALUE!</v>
      </c>
      <c r="AU80" t="e">
        <f>AND('Planilla_General_03-12-2012_9_3'!N1267,"AAAAAH/r7i4=")</f>
        <v>#VALUE!</v>
      </c>
      <c r="AV80" t="e">
        <f>AND('Planilla_General_03-12-2012_9_3'!O1267,"AAAAAH/r7i8=")</f>
        <v>#VALUE!</v>
      </c>
      <c r="AW80">
        <f>IF('Planilla_General_03-12-2012_9_3'!1268:1268,"AAAAAH/r7jA=",0)</f>
        <v>0</v>
      </c>
      <c r="AX80" t="e">
        <f>AND('Planilla_General_03-12-2012_9_3'!A1268,"AAAAAH/r7jE=")</f>
        <v>#VALUE!</v>
      </c>
      <c r="AY80" t="e">
        <f>AND('Planilla_General_03-12-2012_9_3'!B1268,"AAAAAH/r7jI=")</f>
        <v>#VALUE!</v>
      </c>
      <c r="AZ80" t="e">
        <f>AND('Planilla_General_03-12-2012_9_3'!C1268,"AAAAAH/r7jM=")</f>
        <v>#VALUE!</v>
      </c>
      <c r="BA80" t="e">
        <f>AND('Planilla_General_03-12-2012_9_3'!D1268,"AAAAAH/r7jQ=")</f>
        <v>#VALUE!</v>
      </c>
      <c r="BB80" t="e">
        <f>AND('Planilla_General_03-12-2012_9_3'!E1268,"AAAAAH/r7jU=")</f>
        <v>#VALUE!</v>
      </c>
      <c r="BC80" t="e">
        <f>AND('Planilla_General_03-12-2012_9_3'!F1268,"AAAAAH/r7jY=")</f>
        <v>#VALUE!</v>
      </c>
      <c r="BD80" t="e">
        <f>AND('Planilla_General_03-12-2012_9_3'!G1268,"AAAAAH/r7jc=")</f>
        <v>#VALUE!</v>
      </c>
      <c r="BE80" t="e">
        <f>AND('Planilla_General_03-12-2012_9_3'!H1268,"AAAAAH/r7jg=")</f>
        <v>#VALUE!</v>
      </c>
      <c r="BF80" t="e">
        <f>AND('Planilla_General_03-12-2012_9_3'!I1268,"AAAAAH/r7jk=")</f>
        <v>#VALUE!</v>
      </c>
      <c r="BG80" t="e">
        <f>AND('Planilla_General_03-12-2012_9_3'!J1268,"AAAAAH/r7jo=")</f>
        <v>#VALUE!</v>
      </c>
      <c r="BH80" t="e">
        <f>AND('Planilla_General_03-12-2012_9_3'!K1268,"AAAAAH/r7js=")</f>
        <v>#VALUE!</v>
      </c>
      <c r="BI80" t="e">
        <f>AND('Planilla_General_03-12-2012_9_3'!L1268,"AAAAAH/r7jw=")</f>
        <v>#VALUE!</v>
      </c>
      <c r="BJ80" t="e">
        <f>AND('Planilla_General_03-12-2012_9_3'!M1268,"AAAAAH/r7j0=")</f>
        <v>#VALUE!</v>
      </c>
      <c r="BK80" t="e">
        <f>AND('Planilla_General_03-12-2012_9_3'!N1268,"AAAAAH/r7j4=")</f>
        <v>#VALUE!</v>
      </c>
      <c r="BL80" t="e">
        <f>AND('Planilla_General_03-12-2012_9_3'!O1268,"AAAAAH/r7j8=")</f>
        <v>#VALUE!</v>
      </c>
      <c r="BM80">
        <f>IF('Planilla_General_03-12-2012_9_3'!1269:1269,"AAAAAH/r7kA=",0)</f>
        <v>0</v>
      </c>
      <c r="BN80" t="e">
        <f>AND('Planilla_General_03-12-2012_9_3'!A1269,"AAAAAH/r7kE=")</f>
        <v>#VALUE!</v>
      </c>
      <c r="BO80" t="e">
        <f>AND('Planilla_General_03-12-2012_9_3'!B1269,"AAAAAH/r7kI=")</f>
        <v>#VALUE!</v>
      </c>
      <c r="BP80" t="e">
        <f>AND('Planilla_General_03-12-2012_9_3'!C1269,"AAAAAH/r7kM=")</f>
        <v>#VALUE!</v>
      </c>
      <c r="BQ80" t="e">
        <f>AND('Planilla_General_03-12-2012_9_3'!D1269,"AAAAAH/r7kQ=")</f>
        <v>#VALUE!</v>
      </c>
      <c r="BR80" t="e">
        <f>AND('Planilla_General_03-12-2012_9_3'!E1269,"AAAAAH/r7kU=")</f>
        <v>#VALUE!</v>
      </c>
      <c r="BS80" t="e">
        <f>AND('Planilla_General_03-12-2012_9_3'!F1269,"AAAAAH/r7kY=")</f>
        <v>#VALUE!</v>
      </c>
      <c r="BT80" t="e">
        <f>AND('Planilla_General_03-12-2012_9_3'!G1269,"AAAAAH/r7kc=")</f>
        <v>#VALUE!</v>
      </c>
      <c r="BU80" t="e">
        <f>AND('Planilla_General_03-12-2012_9_3'!H1269,"AAAAAH/r7kg=")</f>
        <v>#VALUE!</v>
      </c>
      <c r="BV80" t="e">
        <f>AND('Planilla_General_03-12-2012_9_3'!I1269,"AAAAAH/r7kk=")</f>
        <v>#VALUE!</v>
      </c>
      <c r="BW80" t="e">
        <f>AND('Planilla_General_03-12-2012_9_3'!J1269,"AAAAAH/r7ko=")</f>
        <v>#VALUE!</v>
      </c>
      <c r="BX80" t="e">
        <f>AND('Planilla_General_03-12-2012_9_3'!K1269,"AAAAAH/r7ks=")</f>
        <v>#VALUE!</v>
      </c>
      <c r="BY80" t="e">
        <f>AND('Planilla_General_03-12-2012_9_3'!L1269,"AAAAAH/r7kw=")</f>
        <v>#VALUE!</v>
      </c>
      <c r="BZ80" t="e">
        <f>AND('Planilla_General_03-12-2012_9_3'!M1269,"AAAAAH/r7k0=")</f>
        <v>#VALUE!</v>
      </c>
      <c r="CA80" t="e">
        <f>AND('Planilla_General_03-12-2012_9_3'!N1269,"AAAAAH/r7k4=")</f>
        <v>#VALUE!</v>
      </c>
      <c r="CB80" t="e">
        <f>AND('Planilla_General_03-12-2012_9_3'!O1269,"AAAAAH/r7k8=")</f>
        <v>#VALUE!</v>
      </c>
      <c r="CC80">
        <f>IF('Planilla_General_03-12-2012_9_3'!1270:1270,"AAAAAH/r7lA=",0)</f>
        <v>0</v>
      </c>
      <c r="CD80" t="e">
        <f>AND('Planilla_General_03-12-2012_9_3'!A1270,"AAAAAH/r7lE=")</f>
        <v>#VALUE!</v>
      </c>
      <c r="CE80" t="e">
        <f>AND('Planilla_General_03-12-2012_9_3'!B1270,"AAAAAH/r7lI=")</f>
        <v>#VALUE!</v>
      </c>
      <c r="CF80" t="e">
        <f>AND('Planilla_General_03-12-2012_9_3'!C1270,"AAAAAH/r7lM=")</f>
        <v>#VALUE!</v>
      </c>
      <c r="CG80" t="e">
        <f>AND('Planilla_General_03-12-2012_9_3'!D1270,"AAAAAH/r7lQ=")</f>
        <v>#VALUE!</v>
      </c>
      <c r="CH80" t="e">
        <f>AND('Planilla_General_03-12-2012_9_3'!E1270,"AAAAAH/r7lU=")</f>
        <v>#VALUE!</v>
      </c>
      <c r="CI80" t="e">
        <f>AND('Planilla_General_03-12-2012_9_3'!F1270,"AAAAAH/r7lY=")</f>
        <v>#VALUE!</v>
      </c>
      <c r="CJ80" t="e">
        <f>AND('Planilla_General_03-12-2012_9_3'!G1270,"AAAAAH/r7lc=")</f>
        <v>#VALUE!</v>
      </c>
      <c r="CK80" t="e">
        <f>AND('Planilla_General_03-12-2012_9_3'!H1270,"AAAAAH/r7lg=")</f>
        <v>#VALUE!</v>
      </c>
      <c r="CL80" t="e">
        <f>AND('Planilla_General_03-12-2012_9_3'!I1270,"AAAAAH/r7lk=")</f>
        <v>#VALUE!</v>
      </c>
      <c r="CM80" t="e">
        <f>AND('Planilla_General_03-12-2012_9_3'!J1270,"AAAAAH/r7lo=")</f>
        <v>#VALUE!</v>
      </c>
      <c r="CN80" t="e">
        <f>AND('Planilla_General_03-12-2012_9_3'!K1270,"AAAAAH/r7ls=")</f>
        <v>#VALUE!</v>
      </c>
      <c r="CO80" t="e">
        <f>AND('Planilla_General_03-12-2012_9_3'!L1270,"AAAAAH/r7lw=")</f>
        <v>#VALUE!</v>
      </c>
      <c r="CP80" t="e">
        <f>AND('Planilla_General_03-12-2012_9_3'!M1270,"AAAAAH/r7l0=")</f>
        <v>#VALUE!</v>
      </c>
      <c r="CQ80" t="e">
        <f>AND('Planilla_General_03-12-2012_9_3'!N1270,"AAAAAH/r7l4=")</f>
        <v>#VALUE!</v>
      </c>
      <c r="CR80" t="e">
        <f>AND('Planilla_General_03-12-2012_9_3'!O1270,"AAAAAH/r7l8=")</f>
        <v>#VALUE!</v>
      </c>
      <c r="CS80">
        <f>IF('Planilla_General_03-12-2012_9_3'!1271:1271,"AAAAAH/r7mA=",0)</f>
        <v>0</v>
      </c>
      <c r="CT80" t="e">
        <f>AND('Planilla_General_03-12-2012_9_3'!A1271,"AAAAAH/r7mE=")</f>
        <v>#VALUE!</v>
      </c>
      <c r="CU80" t="e">
        <f>AND('Planilla_General_03-12-2012_9_3'!B1271,"AAAAAH/r7mI=")</f>
        <v>#VALUE!</v>
      </c>
      <c r="CV80" t="e">
        <f>AND('Planilla_General_03-12-2012_9_3'!C1271,"AAAAAH/r7mM=")</f>
        <v>#VALUE!</v>
      </c>
      <c r="CW80" t="e">
        <f>AND('Planilla_General_03-12-2012_9_3'!D1271,"AAAAAH/r7mQ=")</f>
        <v>#VALUE!</v>
      </c>
      <c r="CX80" t="e">
        <f>AND('Planilla_General_03-12-2012_9_3'!E1271,"AAAAAH/r7mU=")</f>
        <v>#VALUE!</v>
      </c>
      <c r="CY80" t="e">
        <f>AND('Planilla_General_03-12-2012_9_3'!F1271,"AAAAAH/r7mY=")</f>
        <v>#VALUE!</v>
      </c>
      <c r="CZ80" t="e">
        <f>AND('Planilla_General_03-12-2012_9_3'!G1271,"AAAAAH/r7mc=")</f>
        <v>#VALUE!</v>
      </c>
      <c r="DA80" t="e">
        <f>AND('Planilla_General_03-12-2012_9_3'!H1271,"AAAAAH/r7mg=")</f>
        <v>#VALUE!</v>
      </c>
      <c r="DB80" t="e">
        <f>AND('Planilla_General_03-12-2012_9_3'!I1271,"AAAAAH/r7mk=")</f>
        <v>#VALUE!</v>
      </c>
      <c r="DC80" t="e">
        <f>AND('Planilla_General_03-12-2012_9_3'!J1271,"AAAAAH/r7mo=")</f>
        <v>#VALUE!</v>
      </c>
      <c r="DD80" t="e">
        <f>AND('Planilla_General_03-12-2012_9_3'!K1271,"AAAAAH/r7ms=")</f>
        <v>#VALUE!</v>
      </c>
      <c r="DE80" t="e">
        <f>AND('Planilla_General_03-12-2012_9_3'!L1271,"AAAAAH/r7mw=")</f>
        <v>#VALUE!</v>
      </c>
      <c r="DF80" t="e">
        <f>AND('Planilla_General_03-12-2012_9_3'!M1271,"AAAAAH/r7m0=")</f>
        <v>#VALUE!</v>
      </c>
      <c r="DG80" t="e">
        <f>AND('Planilla_General_03-12-2012_9_3'!N1271,"AAAAAH/r7m4=")</f>
        <v>#VALUE!</v>
      </c>
      <c r="DH80" t="e">
        <f>AND('Planilla_General_03-12-2012_9_3'!O1271,"AAAAAH/r7m8=")</f>
        <v>#VALUE!</v>
      </c>
      <c r="DI80">
        <f>IF('Planilla_General_03-12-2012_9_3'!1272:1272,"AAAAAH/r7nA=",0)</f>
        <v>0</v>
      </c>
      <c r="DJ80" t="e">
        <f>AND('Planilla_General_03-12-2012_9_3'!A1272,"AAAAAH/r7nE=")</f>
        <v>#VALUE!</v>
      </c>
      <c r="DK80" t="e">
        <f>AND('Planilla_General_03-12-2012_9_3'!B1272,"AAAAAH/r7nI=")</f>
        <v>#VALUE!</v>
      </c>
      <c r="DL80" t="e">
        <f>AND('Planilla_General_03-12-2012_9_3'!C1272,"AAAAAH/r7nM=")</f>
        <v>#VALUE!</v>
      </c>
      <c r="DM80" t="e">
        <f>AND('Planilla_General_03-12-2012_9_3'!D1272,"AAAAAH/r7nQ=")</f>
        <v>#VALUE!</v>
      </c>
      <c r="DN80" t="e">
        <f>AND('Planilla_General_03-12-2012_9_3'!E1272,"AAAAAH/r7nU=")</f>
        <v>#VALUE!</v>
      </c>
      <c r="DO80" t="e">
        <f>AND('Planilla_General_03-12-2012_9_3'!F1272,"AAAAAH/r7nY=")</f>
        <v>#VALUE!</v>
      </c>
      <c r="DP80" t="e">
        <f>AND('Planilla_General_03-12-2012_9_3'!G1272,"AAAAAH/r7nc=")</f>
        <v>#VALUE!</v>
      </c>
      <c r="DQ80" t="e">
        <f>AND('Planilla_General_03-12-2012_9_3'!H1272,"AAAAAH/r7ng=")</f>
        <v>#VALUE!</v>
      </c>
      <c r="DR80" t="e">
        <f>AND('Planilla_General_03-12-2012_9_3'!I1272,"AAAAAH/r7nk=")</f>
        <v>#VALUE!</v>
      </c>
      <c r="DS80" t="e">
        <f>AND('Planilla_General_03-12-2012_9_3'!J1272,"AAAAAH/r7no=")</f>
        <v>#VALUE!</v>
      </c>
      <c r="DT80" t="e">
        <f>AND('Planilla_General_03-12-2012_9_3'!K1272,"AAAAAH/r7ns=")</f>
        <v>#VALUE!</v>
      </c>
      <c r="DU80" t="e">
        <f>AND('Planilla_General_03-12-2012_9_3'!L1272,"AAAAAH/r7nw=")</f>
        <v>#VALUE!</v>
      </c>
      <c r="DV80" t="e">
        <f>AND('Planilla_General_03-12-2012_9_3'!M1272,"AAAAAH/r7n0=")</f>
        <v>#VALUE!</v>
      </c>
      <c r="DW80" t="e">
        <f>AND('Planilla_General_03-12-2012_9_3'!N1272,"AAAAAH/r7n4=")</f>
        <v>#VALUE!</v>
      </c>
      <c r="DX80" t="e">
        <f>AND('Planilla_General_03-12-2012_9_3'!O1272,"AAAAAH/r7n8=")</f>
        <v>#VALUE!</v>
      </c>
      <c r="DY80">
        <f>IF('Planilla_General_03-12-2012_9_3'!1273:1273,"AAAAAH/r7oA=",0)</f>
        <v>0</v>
      </c>
      <c r="DZ80" t="e">
        <f>AND('Planilla_General_03-12-2012_9_3'!A1273,"AAAAAH/r7oE=")</f>
        <v>#VALUE!</v>
      </c>
      <c r="EA80" t="e">
        <f>AND('Planilla_General_03-12-2012_9_3'!B1273,"AAAAAH/r7oI=")</f>
        <v>#VALUE!</v>
      </c>
      <c r="EB80" t="e">
        <f>AND('Planilla_General_03-12-2012_9_3'!C1273,"AAAAAH/r7oM=")</f>
        <v>#VALUE!</v>
      </c>
      <c r="EC80" t="e">
        <f>AND('Planilla_General_03-12-2012_9_3'!D1273,"AAAAAH/r7oQ=")</f>
        <v>#VALUE!</v>
      </c>
      <c r="ED80" t="e">
        <f>AND('Planilla_General_03-12-2012_9_3'!E1273,"AAAAAH/r7oU=")</f>
        <v>#VALUE!</v>
      </c>
      <c r="EE80" t="e">
        <f>AND('Planilla_General_03-12-2012_9_3'!F1273,"AAAAAH/r7oY=")</f>
        <v>#VALUE!</v>
      </c>
      <c r="EF80" t="e">
        <f>AND('Planilla_General_03-12-2012_9_3'!G1273,"AAAAAH/r7oc=")</f>
        <v>#VALUE!</v>
      </c>
      <c r="EG80" t="e">
        <f>AND('Planilla_General_03-12-2012_9_3'!H1273,"AAAAAH/r7og=")</f>
        <v>#VALUE!</v>
      </c>
      <c r="EH80" t="e">
        <f>AND('Planilla_General_03-12-2012_9_3'!I1273,"AAAAAH/r7ok=")</f>
        <v>#VALUE!</v>
      </c>
      <c r="EI80" t="e">
        <f>AND('Planilla_General_03-12-2012_9_3'!J1273,"AAAAAH/r7oo=")</f>
        <v>#VALUE!</v>
      </c>
      <c r="EJ80" t="e">
        <f>AND('Planilla_General_03-12-2012_9_3'!K1273,"AAAAAH/r7os=")</f>
        <v>#VALUE!</v>
      </c>
      <c r="EK80" t="e">
        <f>AND('Planilla_General_03-12-2012_9_3'!L1273,"AAAAAH/r7ow=")</f>
        <v>#VALUE!</v>
      </c>
      <c r="EL80" t="e">
        <f>AND('Planilla_General_03-12-2012_9_3'!M1273,"AAAAAH/r7o0=")</f>
        <v>#VALUE!</v>
      </c>
      <c r="EM80" t="e">
        <f>AND('Planilla_General_03-12-2012_9_3'!N1273,"AAAAAH/r7o4=")</f>
        <v>#VALUE!</v>
      </c>
      <c r="EN80" t="e">
        <f>AND('Planilla_General_03-12-2012_9_3'!O1273,"AAAAAH/r7o8=")</f>
        <v>#VALUE!</v>
      </c>
      <c r="EO80">
        <f>IF('Planilla_General_03-12-2012_9_3'!1274:1274,"AAAAAH/r7pA=",0)</f>
        <v>0</v>
      </c>
      <c r="EP80" t="e">
        <f>AND('Planilla_General_03-12-2012_9_3'!A1274,"AAAAAH/r7pE=")</f>
        <v>#VALUE!</v>
      </c>
      <c r="EQ80" t="e">
        <f>AND('Planilla_General_03-12-2012_9_3'!B1274,"AAAAAH/r7pI=")</f>
        <v>#VALUE!</v>
      </c>
      <c r="ER80" t="e">
        <f>AND('Planilla_General_03-12-2012_9_3'!C1274,"AAAAAH/r7pM=")</f>
        <v>#VALUE!</v>
      </c>
      <c r="ES80" t="e">
        <f>AND('Planilla_General_03-12-2012_9_3'!D1274,"AAAAAH/r7pQ=")</f>
        <v>#VALUE!</v>
      </c>
      <c r="ET80" t="e">
        <f>AND('Planilla_General_03-12-2012_9_3'!E1274,"AAAAAH/r7pU=")</f>
        <v>#VALUE!</v>
      </c>
      <c r="EU80" t="e">
        <f>AND('Planilla_General_03-12-2012_9_3'!F1274,"AAAAAH/r7pY=")</f>
        <v>#VALUE!</v>
      </c>
      <c r="EV80" t="e">
        <f>AND('Planilla_General_03-12-2012_9_3'!G1274,"AAAAAH/r7pc=")</f>
        <v>#VALUE!</v>
      </c>
      <c r="EW80" t="e">
        <f>AND('Planilla_General_03-12-2012_9_3'!H1274,"AAAAAH/r7pg=")</f>
        <v>#VALUE!</v>
      </c>
      <c r="EX80" t="e">
        <f>AND('Planilla_General_03-12-2012_9_3'!I1274,"AAAAAH/r7pk=")</f>
        <v>#VALUE!</v>
      </c>
      <c r="EY80" t="e">
        <f>AND('Planilla_General_03-12-2012_9_3'!J1274,"AAAAAH/r7po=")</f>
        <v>#VALUE!</v>
      </c>
      <c r="EZ80" t="e">
        <f>AND('Planilla_General_03-12-2012_9_3'!K1274,"AAAAAH/r7ps=")</f>
        <v>#VALUE!</v>
      </c>
      <c r="FA80" t="e">
        <f>AND('Planilla_General_03-12-2012_9_3'!L1274,"AAAAAH/r7pw=")</f>
        <v>#VALUE!</v>
      </c>
      <c r="FB80" t="e">
        <f>AND('Planilla_General_03-12-2012_9_3'!M1274,"AAAAAH/r7p0=")</f>
        <v>#VALUE!</v>
      </c>
      <c r="FC80" t="e">
        <f>AND('Planilla_General_03-12-2012_9_3'!N1274,"AAAAAH/r7p4=")</f>
        <v>#VALUE!</v>
      </c>
      <c r="FD80" t="e">
        <f>AND('Planilla_General_03-12-2012_9_3'!O1274,"AAAAAH/r7p8=")</f>
        <v>#VALUE!</v>
      </c>
      <c r="FE80">
        <f>IF('Planilla_General_03-12-2012_9_3'!1275:1275,"AAAAAH/r7qA=",0)</f>
        <v>0</v>
      </c>
      <c r="FF80" t="e">
        <f>AND('Planilla_General_03-12-2012_9_3'!A1275,"AAAAAH/r7qE=")</f>
        <v>#VALUE!</v>
      </c>
      <c r="FG80" t="e">
        <f>AND('Planilla_General_03-12-2012_9_3'!B1275,"AAAAAH/r7qI=")</f>
        <v>#VALUE!</v>
      </c>
      <c r="FH80" t="e">
        <f>AND('Planilla_General_03-12-2012_9_3'!C1275,"AAAAAH/r7qM=")</f>
        <v>#VALUE!</v>
      </c>
      <c r="FI80" t="e">
        <f>AND('Planilla_General_03-12-2012_9_3'!D1275,"AAAAAH/r7qQ=")</f>
        <v>#VALUE!</v>
      </c>
      <c r="FJ80" t="e">
        <f>AND('Planilla_General_03-12-2012_9_3'!E1275,"AAAAAH/r7qU=")</f>
        <v>#VALUE!</v>
      </c>
      <c r="FK80" t="e">
        <f>AND('Planilla_General_03-12-2012_9_3'!F1275,"AAAAAH/r7qY=")</f>
        <v>#VALUE!</v>
      </c>
      <c r="FL80" t="e">
        <f>AND('Planilla_General_03-12-2012_9_3'!G1275,"AAAAAH/r7qc=")</f>
        <v>#VALUE!</v>
      </c>
      <c r="FM80" t="e">
        <f>AND('Planilla_General_03-12-2012_9_3'!H1275,"AAAAAH/r7qg=")</f>
        <v>#VALUE!</v>
      </c>
      <c r="FN80" t="e">
        <f>AND('Planilla_General_03-12-2012_9_3'!I1275,"AAAAAH/r7qk=")</f>
        <v>#VALUE!</v>
      </c>
      <c r="FO80" t="e">
        <f>AND('Planilla_General_03-12-2012_9_3'!J1275,"AAAAAH/r7qo=")</f>
        <v>#VALUE!</v>
      </c>
      <c r="FP80" t="e">
        <f>AND('Planilla_General_03-12-2012_9_3'!K1275,"AAAAAH/r7qs=")</f>
        <v>#VALUE!</v>
      </c>
      <c r="FQ80" t="e">
        <f>AND('Planilla_General_03-12-2012_9_3'!L1275,"AAAAAH/r7qw=")</f>
        <v>#VALUE!</v>
      </c>
      <c r="FR80" t="e">
        <f>AND('Planilla_General_03-12-2012_9_3'!M1275,"AAAAAH/r7q0=")</f>
        <v>#VALUE!</v>
      </c>
      <c r="FS80" t="e">
        <f>AND('Planilla_General_03-12-2012_9_3'!N1275,"AAAAAH/r7q4=")</f>
        <v>#VALUE!</v>
      </c>
      <c r="FT80" t="e">
        <f>AND('Planilla_General_03-12-2012_9_3'!O1275,"AAAAAH/r7q8=")</f>
        <v>#VALUE!</v>
      </c>
      <c r="FU80">
        <f>IF('Planilla_General_03-12-2012_9_3'!1276:1276,"AAAAAH/r7rA=",0)</f>
        <v>0</v>
      </c>
      <c r="FV80" t="e">
        <f>AND('Planilla_General_03-12-2012_9_3'!A1276,"AAAAAH/r7rE=")</f>
        <v>#VALUE!</v>
      </c>
      <c r="FW80" t="e">
        <f>AND('Planilla_General_03-12-2012_9_3'!B1276,"AAAAAH/r7rI=")</f>
        <v>#VALUE!</v>
      </c>
      <c r="FX80" t="e">
        <f>AND('Planilla_General_03-12-2012_9_3'!C1276,"AAAAAH/r7rM=")</f>
        <v>#VALUE!</v>
      </c>
      <c r="FY80" t="e">
        <f>AND('Planilla_General_03-12-2012_9_3'!D1276,"AAAAAH/r7rQ=")</f>
        <v>#VALUE!</v>
      </c>
      <c r="FZ80" t="e">
        <f>AND('Planilla_General_03-12-2012_9_3'!E1276,"AAAAAH/r7rU=")</f>
        <v>#VALUE!</v>
      </c>
      <c r="GA80" t="e">
        <f>AND('Planilla_General_03-12-2012_9_3'!F1276,"AAAAAH/r7rY=")</f>
        <v>#VALUE!</v>
      </c>
      <c r="GB80" t="e">
        <f>AND('Planilla_General_03-12-2012_9_3'!G1276,"AAAAAH/r7rc=")</f>
        <v>#VALUE!</v>
      </c>
      <c r="GC80" t="e">
        <f>AND('Planilla_General_03-12-2012_9_3'!H1276,"AAAAAH/r7rg=")</f>
        <v>#VALUE!</v>
      </c>
      <c r="GD80" t="e">
        <f>AND('Planilla_General_03-12-2012_9_3'!I1276,"AAAAAH/r7rk=")</f>
        <v>#VALUE!</v>
      </c>
      <c r="GE80" t="e">
        <f>AND('Planilla_General_03-12-2012_9_3'!J1276,"AAAAAH/r7ro=")</f>
        <v>#VALUE!</v>
      </c>
      <c r="GF80" t="e">
        <f>AND('Planilla_General_03-12-2012_9_3'!K1276,"AAAAAH/r7rs=")</f>
        <v>#VALUE!</v>
      </c>
      <c r="GG80" t="e">
        <f>AND('Planilla_General_03-12-2012_9_3'!L1276,"AAAAAH/r7rw=")</f>
        <v>#VALUE!</v>
      </c>
      <c r="GH80" t="e">
        <f>AND('Planilla_General_03-12-2012_9_3'!M1276,"AAAAAH/r7r0=")</f>
        <v>#VALUE!</v>
      </c>
      <c r="GI80" t="e">
        <f>AND('Planilla_General_03-12-2012_9_3'!N1276,"AAAAAH/r7r4=")</f>
        <v>#VALUE!</v>
      </c>
      <c r="GJ80" t="e">
        <f>AND('Planilla_General_03-12-2012_9_3'!O1276,"AAAAAH/r7r8=")</f>
        <v>#VALUE!</v>
      </c>
      <c r="GK80">
        <f>IF('Planilla_General_03-12-2012_9_3'!1277:1277,"AAAAAH/r7sA=",0)</f>
        <v>0</v>
      </c>
      <c r="GL80" t="e">
        <f>AND('Planilla_General_03-12-2012_9_3'!A1277,"AAAAAH/r7sE=")</f>
        <v>#VALUE!</v>
      </c>
      <c r="GM80" t="e">
        <f>AND('Planilla_General_03-12-2012_9_3'!B1277,"AAAAAH/r7sI=")</f>
        <v>#VALUE!</v>
      </c>
      <c r="GN80" t="e">
        <f>AND('Planilla_General_03-12-2012_9_3'!C1277,"AAAAAH/r7sM=")</f>
        <v>#VALUE!</v>
      </c>
      <c r="GO80" t="e">
        <f>AND('Planilla_General_03-12-2012_9_3'!D1277,"AAAAAH/r7sQ=")</f>
        <v>#VALUE!</v>
      </c>
      <c r="GP80" t="e">
        <f>AND('Planilla_General_03-12-2012_9_3'!E1277,"AAAAAH/r7sU=")</f>
        <v>#VALUE!</v>
      </c>
      <c r="GQ80" t="e">
        <f>AND('Planilla_General_03-12-2012_9_3'!F1277,"AAAAAH/r7sY=")</f>
        <v>#VALUE!</v>
      </c>
      <c r="GR80" t="e">
        <f>AND('Planilla_General_03-12-2012_9_3'!G1277,"AAAAAH/r7sc=")</f>
        <v>#VALUE!</v>
      </c>
      <c r="GS80" t="e">
        <f>AND('Planilla_General_03-12-2012_9_3'!H1277,"AAAAAH/r7sg=")</f>
        <v>#VALUE!</v>
      </c>
      <c r="GT80" t="e">
        <f>AND('Planilla_General_03-12-2012_9_3'!I1277,"AAAAAH/r7sk=")</f>
        <v>#VALUE!</v>
      </c>
      <c r="GU80" t="e">
        <f>AND('Planilla_General_03-12-2012_9_3'!J1277,"AAAAAH/r7so=")</f>
        <v>#VALUE!</v>
      </c>
      <c r="GV80" t="e">
        <f>AND('Planilla_General_03-12-2012_9_3'!K1277,"AAAAAH/r7ss=")</f>
        <v>#VALUE!</v>
      </c>
      <c r="GW80" t="e">
        <f>AND('Planilla_General_03-12-2012_9_3'!L1277,"AAAAAH/r7sw=")</f>
        <v>#VALUE!</v>
      </c>
      <c r="GX80" t="e">
        <f>AND('Planilla_General_03-12-2012_9_3'!M1277,"AAAAAH/r7s0=")</f>
        <v>#VALUE!</v>
      </c>
      <c r="GY80" t="e">
        <f>AND('Planilla_General_03-12-2012_9_3'!N1277,"AAAAAH/r7s4=")</f>
        <v>#VALUE!</v>
      </c>
      <c r="GZ80" t="e">
        <f>AND('Planilla_General_03-12-2012_9_3'!O1277,"AAAAAH/r7s8=")</f>
        <v>#VALUE!</v>
      </c>
      <c r="HA80">
        <f>IF('Planilla_General_03-12-2012_9_3'!1278:1278,"AAAAAH/r7tA=",0)</f>
        <v>0</v>
      </c>
      <c r="HB80" t="e">
        <f>AND('Planilla_General_03-12-2012_9_3'!A1278,"AAAAAH/r7tE=")</f>
        <v>#VALUE!</v>
      </c>
      <c r="HC80" t="e">
        <f>AND('Planilla_General_03-12-2012_9_3'!B1278,"AAAAAH/r7tI=")</f>
        <v>#VALUE!</v>
      </c>
      <c r="HD80" t="e">
        <f>AND('Planilla_General_03-12-2012_9_3'!C1278,"AAAAAH/r7tM=")</f>
        <v>#VALUE!</v>
      </c>
      <c r="HE80" t="e">
        <f>AND('Planilla_General_03-12-2012_9_3'!D1278,"AAAAAH/r7tQ=")</f>
        <v>#VALUE!</v>
      </c>
      <c r="HF80" t="e">
        <f>AND('Planilla_General_03-12-2012_9_3'!E1278,"AAAAAH/r7tU=")</f>
        <v>#VALUE!</v>
      </c>
      <c r="HG80" t="e">
        <f>AND('Planilla_General_03-12-2012_9_3'!F1278,"AAAAAH/r7tY=")</f>
        <v>#VALUE!</v>
      </c>
      <c r="HH80" t="e">
        <f>AND('Planilla_General_03-12-2012_9_3'!G1278,"AAAAAH/r7tc=")</f>
        <v>#VALUE!</v>
      </c>
      <c r="HI80" t="e">
        <f>AND('Planilla_General_03-12-2012_9_3'!H1278,"AAAAAH/r7tg=")</f>
        <v>#VALUE!</v>
      </c>
      <c r="HJ80" t="e">
        <f>AND('Planilla_General_03-12-2012_9_3'!I1278,"AAAAAH/r7tk=")</f>
        <v>#VALUE!</v>
      </c>
      <c r="HK80" t="e">
        <f>AND('Planilla_General_03-12-2012_9_3'!J1278,"AAAAAH/r7to=")</f>
        <v>#VALUE!</v>
      </c>
      <c r="HL80" t="e">
        <f>AND('Planilla_General_03-12-2012_9_3'!K1278,"AAAAAH/r7ts=")</f>
        <v>#VALUE!</v>
      </c>
      <c r="HM80" t="e">
        <f>AND('Planilla_General_03-12-2012_9_3'!L1278,"AAAAAH/r7tw=")</f>
        <v>#VALUE!</v>
      </c>
      <c r="HN80" t="e">
        <f>AND('Planilla_General_03-12-2012_9_3'!M1278,"AAAAAH/r7t0=")</f>
        <v>#VALUE!</v>
      </c>
      <c r="HO80" t="e">
        <f>AND('Planilla_General_03-12-2012_9_3'!N1278,"AAAAAH/r7t4=")</f>
        <v>#VALUE!</v>
      </c>
      <c r="HP80" t="e">
        <f>AND('Planilla_General_03-12-2012_9_3'!O1278,"AAAAAH/r7t8=")</f>
        <v>#VALUE!</v>
      </c>
      <c r="HQ80">
        <f>IF('Planilla_General_03-12-2012_9_3'!1279:1279,"AAAAAH/r7uA=",0)</f>
        <v>0</v>
      </c>
      <c r="HR80" t="e">
        <f>AND('Planilla_General_03-12-2012_9_3'!A1279,"AAAAAH/r7uE=")</f>
        <v>#VALUE!</v>
      </c>
      <c r="HS80" t="e">
        <f>AND('Planilla_General_03-12-2012_9_3'!B1279,"AAAAAH/r7uI=")</f>
        <v>#VALUE!</v>
      </c>
      <c r="HT80" t="e">
        <f>AND('Planilla_General_03-12-2012_9_3'!C1279,"AAAAAH/r7uM=")</f>
        <v>#VALUE!</v>
      </c>
      <c r="HU80" t="e">
        <f>AND('Planilla_General_03-12-2012_9_3'!D1279,"AAAAAH/r7uQ=")</f>
        <v>#VALUE!</v>
      </c>
      <c r="HV80" t="e">
        <f>AND('Planilla_General_03-12-2012_9_3'!E1279,"AAAAAH/r7uU=")</f>
        <v>#VALUE!</v>
      </c>
      <c r="HW80" t="e">
        <f>AND('Planilla_General_03-12-2012_9_3'!F1279,"AAAAAH/r7uY=")</f>
        <v>#VALUE!</v>
      </c>
      <c r="HX80" t="e">
        <f>AND('Planilla_General_03-12-2012_9_3'!G1279,"AAAAAH/r7uc=")</f>
        <v>#VALUE!</v>
      </c>
      <c r="HY80" t="e">
        <f>AND('Planilla_General_03-12-2012_9_3'!H1279,"AAAAAH/r7ug=")</f>
        <v>#VALUE!</v>
      </c>
      <c r="HZ80" t="e">
        <f>AND('Planilla_General_03-12-2012_9_3'!I1279,"AAAAAH/r7uk=")</f>
        <v>#VALUE!</v>
      </c>
      <c r="IA80" t="e">
        <f>AND('Planilla_General_03-12-2012_9_3'!J1279,"AAAAAH/r7uo=")</f>
        <v>#VALUE!</v>
      </c>
      <c r="IB80" t="e">
        <f>AND('Planilla_General_03-12-2012_9_3'!K1279,"AAAAAH/r7us=")</f>
        <v>#VALUE!</v>
      </c>
      <c r="IC80" t="e">
        <f>AND('Planilla_General_03-12-2012_9_3'!L1279,"AAAAAH/r7uw=")</f>
        <v>#VALUE!</v>
      </c>
      <c r="ID80" t="e">
        <f>AND('Planilla_General_03-12-2012_9_3'!M1279,"AAAAAH/r7u0=")</f>
        <v>#VALUE!</v>
      </c>
      <c r="IE80" t="e">
        <f>AND('Planilla_General_03-12-2012_9_3'!N1279,"AAAAAH/r7u4=")</f>
        <v>#VALUE!</v>
      </c>
      <c r="IF80" t="e">
        <f>AND('Planilla_General_03-12-2012_9_3'!O1279,"AAAAAH/r7u8=")</f>
        <v>#VALUE!</v>
      </c>
      <c r="IG80">
        <f>IF('Planilla_General_03-12-2012_9_3'!1280:1280,"AAAAAH/r7vA=",0)</f>
        <v>0</v>
      </c>
      <c r="IH80" t="e">
        <f>AND('Planilla_General_03-12-2012_9_3'!A1280,"AAAAAH/r7vE=")</f>
        <v>#VALUE!</v>
      </c>
      <c r="II80" t="e">
        <f>AND('Planilla_General_03-12-2012_9_3'!B1280,"AAAAAH/r7vI=")</f>
        <v>#VALUE!</v>
      </c>
      <c r="IJ80" t="e">
        <f>AND('Planilla_General_03-12-2012_9_3'!C1280,"AAAAAH/r7vM=")</f>
        <v>#VALUE!</v>
      </c>
      <c r="IK80" t="e">
        <f>AND('Planilla_General_03-12-2012_9_3'!D1280,"AAAAAH/r7vQ=")</f>
        <v>#VALUE!</v>
      </c>
      <c r="IL80" t="e">
        <f>AND('Planilla_General_03-12-2012_9_3'!E1280,"AAAAAH/r7vU=")</f>
        <v>#VALUE!</v>
      </c>
      <c r="IM80" t="e">
        <f>AND('Planilla_General_03-12-2012_9_3'!F1280,"AAAAAH/r7vY=")</f>
        <v>#VALUE!</v>
      </c>
      <c r="IN80" t="e">
        <f>AND('Planilla_General_03-12-2012_9_3'!G1280,"AAAAAH/r7vc=")</f>
        <v>#VALUE!</v>
      </c>
      <c r="IO80" t="e">
        <f>AND('Planilla_General_03-12-2012_9_3'!H1280,"AAAAAH/r7vg=")</f>
        <v>#VALUE!</v>
      </c>
      <c r="IP80" t="e">
        <f>AND('Planilla_General_03-12-2012_9_3'!I1280,"AAAAAH/r7vk=")</f>
        <v>#VALUE!</v>
      </c>
      <c r="IQ80" t="e">
        <f>AND('Planilla_General_03-12-2012_9_3'!J1280,"AAAAAH/r7vo=")</f>
        <v>#VALUE!</v>
      </c>
      <c r="IR80" t="e">
        <f>AND('Planilla_General_03-12-2012_9_3'!K1280,"AAAAAH/r7vs=")</f>
        <v>#VALUE!</v>
      </c>
      <c r="IS80" t="e">
        <f>AND('Planilla_General_03-12-2012_9_3'!L1280,"AAAAAH/r7vw=")</f>
        <v>#VALUE!</v>
      </c>
      <c r="IT80" t="e">
        <f>AND('Planilla_General_03-12-2012_9_3'!M1280,"AAAAAH/r7v0=")</f>
        <v>#VALUE!</v>
      </c>
      <c r="IU80" t="e">
        <f>AND('Planilla_General_03-12-2012_9_3'!N1280,"AAAAAH/r7v4=")</f>
        <v>#VALUE!</v>
      </c>
      <c r="IV80" t="e">
        <f>AND('Planilla_General_03-12-2012_9_3'!O1280,"AAAAAH/r7v8=")</f>
        <v>#VALUE!</v>
      </c>
    </row>
    <row r="81" spans="1:256" x14ac:dyDescent="0.25">
      <c r="A81" t="e">
        <f>IF('Planilla_General_03-12-2012_9_3'!1281:1281,"AAAAAHab2gA=",0)</f>
        <v>#VALUE!</v>
      </c>
      <c r="B81" t="e">
        <f>AND('Planilla_General_03-12-2012_9_3'!A1281,"AAAAAHab2gE=")</f>
        <v>#VALUE!</v>
      </c>
      <c r="C81" t="e">
        <f>AND('Planilla_General_03-12-2012_9_3'!B1281,"AAAAAHab2gI=")</f>
        <v>#VALUE!</v>
      </c>
      <c r="D81" t="e">
        <f>AND('Planilla_General_03-12-2012_9_3'!C1281,"AAAAAHab2gM=")</f>
        <v>#VALUE!</v>
      </c>
      <c r="E81" t="e">
        <f>AND('Planilla_General_03-12-2012_9_3'!D1281,"AAAAAHab2gQ=")</f>
        <v>#VALUE!</v>
      </c>
      <c r="F81" t="e">
        <f>AND('Planilla_General_03-12-2012_9_3'!E1281,"AAAAAHab2gU=")</f>
        <v>#VALUE!</v>
      </c>
      <c r="G81" t="e">
        <f>AND('Planilla_General_03-12-2012_9_3'!F1281,"AAAAAHab2gY=")</f>
        <v>#VALUE!</v>
      </c>
      <c r="H81" t="e">
        <f>AND('Planilla_General_03-12-2012_9_3'!G1281,"AAAAAHab2gc=")</f>
        <v>#VALUE!</v>
      </c>
      <c r="I81" t="e">
        <f>AND('Planilla_General_03-12-2012_9_3'!H1281,"AAAAAHab2gg=")</f>
        <v>#VALUE!</v>
      </c>
      <c r="J81" t="e">
        <f>AND('Planilla_General_03-12-2012_9_3'!I1281,"AAAAAHab2gk=")</f>
        <v>#VALUE!</v>
      </c>
      <c r="K81" t="e">
        <f>AND('Planilla_General_03-12-2012_9_3'!J1281,"AAAAAHab2go=")</f>
        <v>#VALUE!</v>
      </c>
      <c r="L81" t="e">
        <f>AND('Planilla_General_03-12-2012_9_3'!K1281,"AAAAAHab2gs=")</f>
        <v>#VALUE!</v>
      </c>
      <c r="M81" t="e">
        <f>AND('Planilla_General_03-12-2012_9_3'!L1281,"AAAAAHab2gw=")</f>
        <v>#VALUE!</v>
      </c>
      <c r="N81" t="e">
        <f>AND('Planilla_General_03-12-2012_9_3'!M1281,"AAAAAHab2g0=")</f>
        <v>#VALUE!</v>
      </c>
      <c r="O81" t="e">
        <f>AND('Planilla_General_03-12-2012_9_3'!N1281,"AAAAAHab2g4=")</f>
        <v>#VALUE!</v>
      </c>
      <c r="P81" t="e">
        <f>AND('Planilla_General_03-12-2012_9_3'!O1281,"AAAAAHab2g8=")</f>
        <v>#VALUE!</v>
      </c>
      <c r="Q81">
        <f>IF('Planilla_General_03-12-2012_9_3'!1282:1282,"AAAAAHab2hA=",0)</f>
        <v>0</v>
      </c>
      <c r="R81" t="e">
        <f>AND('Planilla_General_03-12-2012_9_3'!A1282,"AAAAAHab2hE=")</f>
        <v>#VALUE!</v>
      </c>
      <c r="S81" t="e">
        <f>AND('Planilla_General_03-12-2012_9_3'!B1282,"AAAAAHab2hI=")</f>
        <v>#VALUE!</v>
      </c>
      <c r="T81" t="e">
        <f>AND('Planilla_General_03-12-2012_9_3'!C1282,"AAAAAHab2hM=")</f>
        <v>#VALUE!</v>
      </c>
      <c r="U81" t="e">
        <f>AND('Planilla_General_03-12-2012_9_3'!D1282,"AAAAAHab2hQ=")</f>
        <v>#VALUE!</v>
      </c>
      <c r="V81" t="e">
        <f>AND('Planilla_General_03-12-2012_9_3'!E1282,"AAAAAHab2hU=")</f>
        <v>#VALUE!</v>
      </c>
      <c r="W81" t="e">
        <f>AND('Planilla_General_03-12-2012_9_3'!F1282,"AAAAAHab2hY=")</f>
        <v>#VALUE!</v>
      </c>
      <c r="X81" t="e">
        <f>AND('Planilla_General_03-12-2012_9_3'!G1282,"AAAAAHab2hc=")</f>
        <v>#VALUE!</v>
      </c>
      <c r="Y81" t="e">
        <f>AND('Planilla_General_03-12-2012_9_3'!H1282,"AAAAAHab2hg=")</f>
        <v>#VALUE!</v>
      </c>
      <c r="Z81" t="e">
        <f>AND('Planilla_General_03-12-2012_9_3'!I1282,"AAAAAHab2hk=")</f>
        <v>#VALUE!</v>
      </c>
      <c r="AA81" t="e">
        <f>AND('Planilla_General_03-12-2012_9_3'!J1282,"AAAAAHab2ho=")</f>
        <v>#VALUE!</v>
      </c>
      <c r="AB81" t="e">
        <f>AND('Planilla_General_03-12-2012_9_3'!K1282,"AAAAAHab2hs=")</f>
        <v>#VALUE!</v>
      </c>
      <c r="AC81" t="e">
        <f>AND('Planilla_General_03-12-2012_9_3'!L1282,"AAAAAHab2hw=")</f>
        <v>#VALUE!</v>
      </c>
      <c r="AD81" t="e">
        <f>AND('Planilla_General_03-12-2012_9_3'!M1282,"AAAAAHab2h0=")</f>
        <v>#VALUE!</v>
      </c>
      <c r="AE81" t="e">
        <f>AND('Planilla_General_03-12-2012_9_3'!N1282,"AAAAAHab2h4=")</f>
        <v>#VALUE!</v>
      </c>
      <c r="AF81" t="e">
        <f>AND('Planilla_General_03-12-2012_9_3'!O1282,"AAAAAHab2h8=")</f>
        <v>#VALUE!</v>
      </c>
      <c r="AG81">
        <f>IF('Planilla_General_03-12-2012_9_3'!1283:1283,"AAAAAHab2iA=",0)</f>
        <v>0</v>
      </c>
      <c r="AH81" t="e">
        <f>AND('Planilla_General_03-12-2012_9_3'!A1283,"AAAAAHab2iE=")</f>
        <v>#VALUE!</v>
      </c>
      <c r="AI81" t="e">
        <f>AND('Planilla_General_03-12-2012_9_3'!B1283,"AAAAAHab2iI=")</f>
        <v>#VALUE!</v>
      </c>
      <c r="AJ81" t="e">
        <f>AND('Planilla_General_03-12-2012_9_3'!C1283,"AAAAAHab2iM=")</f>
        <v>#VALUE!</v>
      </c>
      <c r="AK81" t="e">
        <f>AND('Planilla_General_03-12-2012_9_3'!D1283,"AAAAAHab2iQ=")</f>
        <v>#VALUE!</v>
      </c>
      <c r="AL81" t="e">
        <f>AND('Planilla_General_03-12-2012_9_3'!E1283,"AAAAAHab2iU=")</f>
        <v>#VALUE!</v>
      </c>
      <c r="AM81" t="e">
        <f>AND('Planilla_General_03-12-2012_9_3'!F1283,"AAAAAHab2iY=")</f>
        <v>#VALUE!</v>
      </c>
      <c r="AN81" t="e">
        <f>AND('Planilla_General_03-12-2012_9_3'!G1283,"AAAAAHab2ic=")</f>
        <v>#VALUE!</v>
      </c>
      <c r="AO81" t="e">
        <f>AND('Planilla_General_03-12-2012_9_3'!H1283,"AAAAAHab2ig=")</f>
        <v>#VALUE!</v>
      </c>
      <c r="AP81" t="e">
        <f>AND('Planilla_General_03-12-2012_9_3'!I1283,"AAAAAHab2ik=")</f>
        <v>#VALUE!</v>
      </c>
      <c r="AQ81" t="e">
        <f>AND('Planilla_General_03-12-2012_9_3'!J1283,"AAAAAHab2io=")</f>
        <v>#VALUE!</v>
      </c>
      <c r="AR81" t="e">
        <f>AND('Planilla_General_03-12-2012_9_3'!K1283,"AAAAAHab2is=")</f>
        <v>#VALUE!</v>
      </c>
      <c r="AS81" t="e">
        <f>AND('Planilla_General_03-12-2012_9_3'!L1283,"AAAAAHab2iw=")</f>
        <v>#VALUE!</v>
      </c>
      <c r="AT81" t="e">
        <f>AND('Planilla_General_03-12-2012_9_3'!M1283,"AAAAAHab2i0=")</f>
        <v>#VALUE!</v>
      </c>
      <c r="AU81" t="e">
        <f>AND('Planilla_General_03-12-2012_9_3'!N1283,"AAAAAHab2i4=")</f>
        <v>#VALUE!</v>
      </c>
      <c r="AV81" t="e">
        <f>AND('Planilla_General_03-12-2012_9_3'!O1283,"AAAAAHab2i8=")</f>
        <v>#VALUE!</v>
      </c>
      <c r="AW81">
        <f>IF('Planilla_General_03-12-2012_9_3'!1284:1284,"AAAAAHab2jA=",0)</f>
        <v>0</v>
      </c>
      <c r="AX81" t="e">
        <f>AND('Planilla_General_03-12-2012_9_3'!A1284,"AAAAAHab2jE=")</f>
        <v>#VALUE!</v>
      </c>
      <c r="AY81" t="e">
        <f>AND('Planilla_General_03-12-2012_9_3'!B1284,"AAAAAHab2jI=")</f>
        <v>#VALUE!</v>
      </c>
      <c r="AZ81" t="e">
        <f>AND('Planilla_General_03-12-2012_9_3'!C1284,"AAAAAHab2jM=")</f>
        <v>#VALUE!</v>
      </c>
      <c r="BA81" t="e">
        <f>AND('Planilla_General_03-12-2012_9_3'!D1284,"AAAAAHab2jQ=")</f>
        <v>#VALUE!</v>
      </c>
      <c r="BB81" t="e">
        <f>AND('Planilla_General_03-12-2012_9_3'!E1284,"AAAAAHab2jU=")</f>
        <v>#VALUE!</v>
      </c>
      <c r="BC81" t="e">
        <f>AND('Planilla_General_03-12-2012_9_3'!F1284,"AAAAAHab2jY=")</f>
        <v>#VALUE!</v>
      </c>
      <c r="BD81" t="e">
        <f>AND('Planilla_General_03-12-2012_9_3'!G1284,"AAAAAHab2jc=")</f>
        <v>#VALUE!</v>
      </c>
      <c r="BE81" t="e">
        <f>AND('Planilla_General_03-12-2012_9_3'!H1284,"AAAAAHab2jg=")</f>
        <v>#VALUE!</v>
      </c>
      <c r="BF81" t="e">
        <f>AND('Planilla_General_03-12-2012_9_3'!I1284,"AAAAAHab2jk=")</f>
        <v>#VALUE!</v>
      </c>
      <c r="BG81" t="e">
        <f>AND('Planilla_General_03-12-2012_9_3'!J1284,"AAAAAHab2jo=")</f>
        <v>#VALUE!</v>
      </c>
      <c r="BH81" t="e">
        <f>AND('Planilla_General_03-12-2012_9_3'!K1284,"AAAAAHab2js=")</f>
        <v>#VALUE!</v>
      </c>
      <c r="BI81" t="e">
        <f>AND('Planilla_General_03-12-2012_9_3'!L1284,"AAAAAHab2jw=")</f>
        <v>#VALUE!</v>
      </c>
      <c r="BJ81" t="e">
        <f>AND('Planilla_General_03-12-2012_9_3'!M1284,"AAAAAHab2j0=")</f>
        <v>#VALUE!</v>
      </c>
      <c r="BK81" t="e">
        <f>AND('Planilla_General_03-12-2012_9_3'!N1284,"AAAAAHab2j4=")</f>
        <v>#VALUE!</v>
      </c>
      <c r="BL81" t="e">
        <f>AND('Planilla_General_03-12-2012_9_3'!O1284,"AAAAAHab2j8=")</f>
        <v>#VALUE!</v>
      </c>
      <c r="BM81">
        <f>IF('Planilla_General_03-12-2012_9_3'!1285:1285,"AAAAAHab2kA=",0)</f>
        <v>0</v>
      </c>
      <c r="BN81" t="e">
        <f>AND('Planilla_General_03-12-2012_9_3'!A1285,"AAAAAHab2kE=")</f>
        <v>#VALUE!</v>
      </c>
      <c r="BO81" t="e">
        <f>AND('Planilla_General_03-12-2012_9_3'!B1285,"AAAAAHab2kI=")</f>
        <v>#VALUE!</v>
      </c>
      <c r="BP81" t="e">
        <f>AND('Planilla_General_03-12-2012_9_3'!C1285,"AAAAAHab2kM=")</f>
        <v>#VALUE!</v>
      </c>
      <c r="BQ81" t="e">
        <f>AND('Planilla_General_03-12-2012_9_3'!D1285,"AAAAAHab2kQ=")</f>
        <v>#VALUE!</v>
      </c>
      <c r="BR81" t="e">
        <f>AND('Planilla_General_03-12-2012_9_3'!E1285,"AAAAAHab2kU=")</f>
        <v>#VALUE!</v>
      </c>
      <c r="BS81" t="e">
        <f>AND('Planilla_General_03-12-2012_9_3'!F1285,"AAAAAHab2kY=")</f>
        <v>#VALUE!</v>
      </c>
      <c r="BT81" t="e">
        <f>AND('Planilla_General_03-12-2012_9_3'!G1285,"AAAAAHab2kc=")</f>
        <v>#VALUE!</v>
      </c>
      <c r="BU81" t="e">
        <f>AND('Planilla_General_03-12-2012_9_3'!H1285,"AAAAAHab2kg=")</f>
        <v>#VALUE!</v>
      </c>
      <c r="BV81" t="e">
        <f>AND('Planilla_General_03-12-2012_9_3'!I1285,"AAAAAHab2kk=")</f>
        <v>#VALUE!</v>
      </c>
      <c r="BW81" t="e">
        <f>AND('Planilla_General_03-12-2012_9_3'!J1285,"AAAAAHab2ko=")</f>
        <v>#VALUE!</v>
      </c>
      <c r="BX81" t="e">
        <f>AND('Planilla_General_03-12-2012_9_3'!K1285,"AAAAAHab2ks=")</f>
        <v>#VALUE!</v>
      </c>
      <c r="BY81" t="e">
        <f>AND('Planilla_General_03-12-2012_9_3'!L1285,"AAAAAHab2kw=")</f>
        <v>#VALUE!</v>
      </c>
      <c r="BZ81" t="e">
        <f>AND('Planilla_General_03-12-2012_9_3'!M1285,"AAAAAHab2k0=")</f>
        <v>#VALUE!</v>
      </c>
      <c r="CA81" t="e">
        <f>AND('Planilla_General_03-12-2012_9_3'!N1285,"AAAAAHab2k4=")</f>
        <v>#VALUE!</v>
      </c>
      <c r="CB81" t="e">
        <f>AND('Planilla_General_03-12-2012_9_3'!O1285,"AAAAAHab2k8=")</f>
        <v>#VALUE!</v>
      </c>
      <c r="CC81">
        <f>IF('Planilla_General_03-12-2012_9_3'!1286:1286,"AAAAAHab2lA=",0)</f>
        <v>0</v>
      </c>
      <c r="CD81" t="e">
        <f>AND('Planilla_General_03-12-2012_9_3'!A1286,"AAAAAHab2lE=")</f>
        <v>#VALUE!</v>
      </c>
      <c r="CE81" t="e">
        <f>AND('Planilla_General_03-12-2012_9_3'!B1286,"AAAAAHab2lI=")</f>
        <v>#VALUE!</v>
      </c>
      <c r="CF81" t="e">
        <f>AND('Planilla_General_03-12-2012_9_3'!C1286,"AAAAAHab2lM=")</f>
        <v>#VALUE!</v>
      </c>
      <c r="CG81" t="e">
        <f>AND('Planilla_General_03-12-2012_9_3'!D1286,"AAAAAHab2lQ=")</f>
        <v>#VALUE!</v>
      </c>
      <c r="CH81" t="e">
        <f>AND('Planilla_General_03-12-2012_9_3'!E1286,"AAAAAHab2lU=")</f>
        <v>#VALUE!</v>
      </c>
      <c r="CI81" t="e">
        <f>AND('Planilla_General_03-12-2012_9_3'!F1286,"AAAAAHab2lY=")</f>
        <v>#VALUE!</v>
      </c>
      <c r="CJ81" t="e">
        <f>AND('Planilla_General_03-12-2012_9_3'!G1286,"AAAAAHab2lc=")</f>
        <v>#VALUE!</v>
      </c>
      <c r="CK81" t="e">
        <f>AND('Planilla_General_03-12-2012_9_3'!H1286,"AAAAAHab2lg=")</f>
        <v>#VALUE!</v>
      </c>
      <c r="CL81" t="e">
        <f>AND('Planilla_General_03-12-2012_9_3'!I1286,"AAAAAHab2lk=")</f>
        <v>#VALUE!</v>
      </c>
      <c r="CM81" t="e">
        <f>AND('Planilla_General_03-12-2012_9_3'!J1286,"AAAAAHab2lo=")</f>
        <v>#VALUE!</v>
      </c>
      <c r="CN81" t="e">
        <f>AND('Planilla_General_03-12-2012_9_3'!K1286,"AAAAAHab2ls=")</f>
        <v>#VALUE!</v>
      </c>
      <c r="CO81" t="e">
        <f>AND('Planilla_General_03-12-2012_9_3'!L1286,"AAAAAHab2lw=")</f>
        <v>#VALUE!</v>
      </c>
      <c r="CP81" t="e">
        <f>AND('Planilla_General_03-12-2012_9_3'!M1286,"AAAAAHab2l0=")</f>
        <v>#VALUE!</v>
      </c>
      <c r="CQ81" t="e">
        <f>AND('Planilla_General_03-12-2012_9_3'!N1286,"AAAAAHab2l4=")</f>
        <v>#VALUE!</v>
      </c>
      <c r="CR81" t="e">
        <f>AND('Planilla_General_03-12-2012_9_3'!O1286,"AAAAAHab2l8=")</f>
        <v>#VALUE!</v>
      </c>
      <c r="CS81">
        <f>IF('Planilla_General_03-12-2012_9_3'!1287:1287,"AAAAAHab2mA=",0)</f>
        <v>0</v>
      </c>
      <c r="CT81" t="e">
        <f>AND('Planilla_General_03-12-2012_9_3'!A1287,"AAAAAHab2mE=")</f>
        <v>#VALUE!</v>
      </c>
      <c r="CU81" t="e">
        <f>AND('Planilla_General_03-12-2012_9_3'!B1287,"AAAAAHab2mI=")</f>
        <v>#VALUE!</v>
      </c>
      <c r="CV81" t="e">
        <f>AND('Planilla_General_03-12-2012_9_3'!C1287,"AAAAAHab2mM=")</f>
        <v>#VALUE!</v>
      </c>
      <c r="CW81" t="e">
        <f>AND('Planilla_General_03-12-2012_9_3'!D1287,"AAAAAHab2mQ=")</f>
        <v>#VALUE!</v>
      </c>
      <c r="CX81" t="e">
        <f>AND('Planilla_General_03-12-2012_9_3'!E1287,"AAAAAHab2mU=")</f>
        <v>#VALUE!</v>
      </c>
      <c r="CY81" t="e">
        <f>AND('Planilla_General_03-12-2012_9_3'!F1287,"AAAAAHab2mY=")</f>
        <v>#VALUE!</v>
      </c>
      <c r="CZ81" t="e">
        <f>AND('Planilla_General_03-12-2012_9_3'!G1287,"AAAAAHab2mc=")</f>
        <v>#VALUE!</v>
      </c>
      <c r="DA81" t="e">
        <f>AND('Planilla_General_03-12-2012_9_3'!H1287,"AAAAAHab2mg=")</f>
        <v>#VALUE!</v>
      </c>
      <c r="DB81" t="e">
        <f>AND('Planilla_General_03-12-2012_9_3'!I1287,"AAAAAHab2mk=")</f>
        <v>#VALUE!</v>
      </c>
      <c r="DC81" t="e">
        <f>AND('Planilla_General_03-12-2012_9_3'!J1287,"AAAAAHab2mo=")</f>
        <v>#VALUE!</v>
      </c>
      <c r="DD81" t="e">
        <f>AND('Planilla_General_03-12-2012_9_3'!K1287,"AAAAAHab2ms=")</f>
        <v>#VALUE!</v>
      </c>
      <c r="DE81" t="e">
        <f>AND('Planilla_General_03-12-2012_9_3'!L1287,"AAAAAHab2mw=")</f>
        <v>#VALUE!</v>
      </c>
      <c r="DF81" t="e">
        <f>AND('Planilla_General_03-12-2012_9_3'!M1287,"AAAAAHab2m0=")</f>
        <v>#VALUE!</v>
      </c>
      <c r="DG81" t="e">
        <f>AND('Planilla_General_03-12-2012_9_3'!N1287,"AAAAAHab2m4=")</f>
        <v>#VALUE!</v>
      </c>
      <c r="DH81" t="e">
        <f>AND('Planilla_General_03-12-2012_9_3'!O1287,"AAAAAHab2m8=")</f>
        <v>#VALUE!</v>
      </c>
      <c r="DI81">
        <f>IF('Planilla_General_03-12-2012_9_3'!1288:1288,"AAAAAHab2nA=",0)</f>
        <v>0</v>
      </c>
      <c r="DJ81" t="e">
        <f>AND('Planilla_General_03-12-2012_9_3'!A1288,"AAAAAHab2nE=")</f>
        <v>#VALUE!</v>
      </c>
      <c r="DK81" t="e">
        <f>AND('Planilla_General_03-12-2012_9_3'!B1288,"AAAAAHab2nI=")</f>
        <v>#VALUE!</v>
      </c>
      <c r="DL81" t="e">
        <f>AND('Planilla_General_03-12-2012_9_3'!C1288,"AAAAAHab2nM=")</f>
        <v>#VALUE!</v>
      </c>
      <c r="DM81" t="e">
        <f>AND('Planilla_General_03-12-2012_9_3'!D1288,"AAAAAHab2nQ=")</f>
        <v>#VALUE!</v>
      </c>
      <c r="DN81" t="e">
        <f>AND('Planilla_General_03-12-2012_9_3'!E1288,"AAAAAHab2nU=")</f>
        <v>#VALUE!</v>
      </c>
      <c r="DO81" t="e">
        <f>AND('Planilla_General_03-12-2012_9_3'!F1288,"AAAAAHab2nY=")</f>
        <v>#VALUE!</v>
      </c>
      <c r="DP81" t="e">
        <f>AND('Planilla_General_03-12-2012_9_3'!G1288,"AAAAAHab2nc=")</f>
        <v>#VALUE!</v>
      </c>
      <c r="DQ81" t="e">
        <f>AND('Planilla_General_03-12-2012_9_3'!H1288,"AAAAAHab2ng=")</f>
        <v>#VALUE!</v>
      </c>
      <c r="DR81" t="e">
        <f>AND('Planilla_General_03-12-2012_9_3'!I1288,"AAAAAHab2nk=")</f>
        <v>#VALUE!</v>
      </c>
      <c r="DS81" t="e">
        <f>AND('Planilla_General_03-12-2012_9_3'!J1288,"AAAAAHab2no=")</f>
        <v>#VALUE!</v>
      </c>
      <c r="DT81" t="e">
        <f>AND('Planilla_General_03-12-2012_9_3'!K1288,"AAAAAHab2ns=")</f>
        <v>#VALUE!</v>
      </c>
      <c r="DU81" t="e">
        <f>AND('Planilla_General_03-12-2012_9_3'!L1288,"AAAAAHab2nw=")</f>
        <v>#VALUE!</v>
      </c>
      <c r="DV81" t="e">
        <f>AND('Planilla_General_03-12-2012_9_3'!M1288,"AAAAAHab2n0=")</f>
        <v>#VALUE!</v>
      </c>
      <c r="DW81" t="e">
        <f>AND('Planilla_General_03-12-2012_9_3'!N1288,"AAAAAHab2n4=")</f>
        <v>#VALUE!</v>
      </c>
      <c r="DX81" t="e">
        <f>AND('Planilla_General_03-12-2012_9_3'!O1288,"AAAAAHab2n8=")</f>
        <v>#VALUE!</v>
      </c>
      <c r="DY81">
        <f>IF('Planilla_General_03-12-2012_9_3'!1289:1289,"AAAAAHab2oA=",0)</f>
        <v>0</v>
      </c>
      <c r="DZ81" t="e">
        <f>AND('Planilla_General_03-12-2012_9_3'!A1289,"AAAAAHab2oE=")</f>
        <v>#VALUE!</v>
      </c>
      <c r="EA81" t="e">
        <f>AND('Planilla_General_03-12-2012_9_3'!B1289,"AAAAAHab2oI=")</f>
        <v>#VALUE!</v>
      </c>
      <c r="EB81" t="e">
        <f>AND('Planilla_General_03-12-2012_9_3'!C1289,"AAAAAHab2oM=")</f>
        <v>#VALUE!</v>
      </c>
      <c r="EC81" t="e">
        <f>AND('Planilla_General_03-12-2012_9_3'!D1289,"AAAAAHab2oQ=")</f>
        <v>#VALUE!</v>
      </c>
      <c r="ED81" t="e">
        <f>AND('Planilla_General_03-12-2012_9_3'!E1289,"AAAAAHab2oU=")</f>
        <v>#VALUE!</v>
      </c>
      <c r="EE81" t="e">
        <f>AND('Planilla_General_03-12-2012_9_3'!F1289,"AAAAAHab2oY=")</f>
        <v>#VALUE!</v>
      </c>
      <c r="EF81" t="e">
        <f>AND('Planilla_General_03-12-2012_9_3'!G1289,"AAAAAHab2oc=")</f>
        <v>#VALUE!</v>
      </c>
      <c r="EG81" t="e">
        <f>AND('Planilla_General_03-12-2012_9_3'!H1289,"AAAAAHab2og=")</f>
        <v>#VALUE!</v>
      </c>
      <c r="EH81" t="e">
        <f>AND('Planilla_General_03-12-2012_9_3'!I1289,"AAAAAHab2ok=")</f>
        <v>#VALUE!</v>
      </c>
      <c r="EI81" t="e">
        <f>AND('Planilla_General_03-12-2012_9_3'!J1289,"AAAAAHab2oo=")</f>
        <v>#VALUE!</v>
      </c>
      <c r="EJ81" t="e">
        <f>AND('Planilla_General_03-12-2012_9_3'!K1289,"AAAAAHab2os=")</f>
        <v>#VALUE!</v>
      </c>
      <c r="EK81" t="e">
        <f>AND('Planilla_General_03-12-2012_9_3'!L1289,"AAAAAHab2ow=")</f>
        <v>#VALUE!</v>
      </c>
      <c r="EL81" t="e">
        <f>AND('Planilla_General_03-12-2012_9_3'!M1289,"AAAAAHab2o0=")</f>
        <v>#VALUE!</v>
      </c>
      <c r="EM81" t="e">
        <f>AND('Planilla_General_03-12-2012_9_3'!N1289,"AAAAAHab2o4=")</f>
        <v>#VALUE!</v>
      </c>
      <c r="EN81" t="e">
        <f>AND('Planilla_General_03-12-2012_9_3'!O1289,"AAAAAHab2o8=")</f>
        <v>#VALUE!</v>
      </c>
      <c r="EO81">
        <f>IF('Planilla_General_03-12-2012_9_3'!1290:1290,"AAAAAHab2pA=",0)</f>
        <v>0</v>
      </c>
      <c r="EP81" t="e">
        <f>AND('Planilla_General_03-12-2012_9_3'!A1290,"AAAAAHab2pE=")</f>
        <v>#VALUE!</v>
      </c>
      <c r="EQ81" t="e">
        <f>AND('Planilla_General_03-12-2012_9_3'!B1290,"AAAAAHab2pI=")</f>
        <v>#VALUE!</v>
      </c>
      <c r="ER81" t="e">
        <f>AND('Planilla_General_03-12-2012_9_3'!C1290,"AAAAAHab2pM=")</f>
        <v>#VALUE!</v>
      </c>
      <c r="ES81" t="e">
        <f>AND('Planilla_General_03-12-2012_9_3'!D1290,"AAAAAHab2pQ=")</f>
        <v>#VALUE!</v>
      </c>
      <c r="ET81" t="e">
        <f>AND('Planilla_General_03-12-2012_9_3'!E1290,"AAAAAHab2pU=")</f>
        <v>#VALUE!</v>
      </c>
      <c r="EU81" t="e">
        <f>AND('Planilla_General_03-12-2012_9_3'!F1290,"AAAAAHab2pY=")</f>
        <v>#VALUE!</v>
      </c>
      <c r="EV81" t="e">
        <f>AND('Planilla_General_03-12-2012_9_3'!G1290,"AAAAAHab2pc=")</f>
        <v>#VALUE!</v>
      </c>
      <c r="EW81" t="e">
        <f>AND('Planilla_General_03-12-2012_9_3'!H1290,"AAAAAHab2pg=")</f>
        <v>#VALUE!</v>
      </c>
      <c r="EX81" t="e">
        <f>AND('Planilla_General_03-12-2012_9_3'!I1290,"AAAAAHab2pk=")</f>
        <v>#VALUE!</v>
      </c>
      <c r="EY81" t="e">
        <f>AND('Planilla_General_03-12-2012_9_3'!J1290,"AAAAAHab2po=")</f>
        <v>#VALUE!</v>
      </c>
      <c r="EZ81" t="e">
        <f>AND('Planilla_General_03-12-2012_9_3'!K1290,"AAAAAHab2ps=")</f>
        <v>#VALUE!</v>
      </c>
      <c r="FA81" t="e">
        <f>AND('Planilla_General_03-12-2012_9_3'!L1290,"AAAAAHab2pw=")</f>
        <v>#VALUE!</v>
      </c>
      <c r="FB81" t="e">
        <f>AND('Planilla_General_03-12-2012_9_3'!M1290,"AAAAAHab2p0=")</f>
        <v>#VALUE!</v>
      </c>
      <c r="FC81" t="e">
        <f>AND('Planilla_General_03-12-2012_9_3'!N1290,"AAAAAHab2p4=")</f>
        <v>#VALUE!</v>
      </c>
      <c r="FD81" t="e">
        <f>AND('Planilla_General_03-12-2012_9_3'!O1290,"AAAAAHab2p8=")</f>
        <v>#VALUE!</v>
      </c>
      <c r="FE81">
        <f>IF('Planilla_General_03-12-2012_9_3'!1291:1291,"AAAAAHab2qA=",0)</f>
        <v>0</v>
      </c>
      <c r="FF81" t="e">
        <f>AND('Planilla_General_03-12-2012_9_3'!A1291,"AAAAAHab2qE=")</f>
        <v>#VALUE!</v>
      </c>
      <c r="FG81" t="e">
        <f>AND('Planilla_General_03-12-2012_9_3'!B1291,"AAAAAHab2qI=")</f>
        <v>#VALUE!</v>
      </c>
      <c r="FH81" t="e">
        <f>AND('Planilla_General_03-12-2012_9_3'!C1291,"AAAAAHab2qM=")</f>
        <v>#VALUE!</v>
      </c>
      <c r="FI81" t="e">
        <f>AND('Planilla_General_03-12-2012_9_3'!D1291,"AAAAAHab2qQ=")</f>
        <v>#VALUE!</v>
      </c>
      <c r="FJ81" t="e">
        <f>AND('Planilla_General_03-12-2012_9_3'!E1291,"AAAAAHab2qU=")</f>
        <v>#VALUE!</v>
      </c>
      <c r="FK81" t="e">
        <f>AND('Planilla_General_03-12-2012_9_3'!F1291,"AAAAAHab2qY=")</f>
        <v>#VALUE!</v>
      </c>
      <c r="FL81" t="e">
        <f>AND('Planilla_General_03-12-2012_9_3'!G1291,"AAAAAHab2qc=")</f>
        <v>#VALUE!</v>
      </c>
      <c r="FM81" t="e">
        <f>AND('Planilla_General_03-12-2012_9_3'!H1291,"AAAAAHab2qg=")</f>
        <v>#VALUE!</v>
      </c>
      <c r="FN81" t="e">
        <f>AND('Planilla_General_03-12-2012_9_3'!I1291,"AAAAAHab2qk=")</f>
        <v>#VALUE!</v>
      </c>
      <c r="FO81" t="e">
        <f>AND('Planilla_General_03-12-2012_9_3'!J1291,"AAAAAHab2qo=")</f>
        <v>#VALUE!</v>
      </c>
      <c r="FP81" t="e">
        <f>AND('Planilla_General_03-12-2012_9_3'!K1291,"AAAAAHab2qs=")</f>
        <v>#VALUE!</v>
      </c>
      <c r="FQ81" t="e">
        <f>AND('Planilla_General_03-12-2012_9_3'!L1291,"AAAAAHab2qw=")</f>
        <v>#VALUE!</v>
      </c>
      <c r="FR81" t="e">
        <f>AND('Planilla_General_03-12-2012_9_3'!M1291,"AAAAAHab2q0=")</f>
        <v>#VALUE!</v>
      </c>
      <c r="FS81" t="e">
        <f>AND('Planilla_General_03-12-2012_9_3'!N1291,"AAAAAHab2q4=")</f>
        <v>#VALUE!</v>
      </c>
      <c r="FT81" t="e">
        <f>AND('Planilla_General_03-12-2012_9_3'!O1291,"AAAAAHab2q8=")</f>
        <v>#VALUE!</v>
      </c>
      <c r="FU81">
        <f>IF('Planilla_General_03-12-2012_9_3'!1292:1292,"AAAAAHab2rA=",0)</f>
        <v>0</v>
      </c>
      <c r="FV81" t="e">
        <f>AND('Planilla_General_03-12-2012_9_3'!A1292,"AAAAAHab2rE=")</f>
        <v>#VALUE!</v>
      </c>
      <c r="FW81" t="e">
        <f>AND('Planilla_General_03-12-2012_9_3'!B1292,"AAAAAHab2rI=")</f>
        <v>#VALUE!</v>
      </c>
      <c r="FX81" t="e">
        <f>AND('Planilla_General_03-12-2012_9_3'!C1292,"AAAAAHab2rM=")</f>
        <v>#VALUE!</v>
      </c>
      <c r="FY81" t="e">
        <f>AND('Planilla_General_03-12-2012_9_3'!D1292,"AAAAAHab2rQ=")</f>
        <v>#VALUE!</v>
      </c>
      <c r="FZ81" t="e">
        <f>AND('Planilla_General_03-12-2012_9_3'!E1292,"AAAAAHab2rU=")</f>
        <v>#VALUE!</v>
      </c>
      <c r="GA81" t="e">
        <f>AND('Planilla_General_03-12-2012_9_3'!F1292,"AAAAAHab2rY=")</f>
        <v>#VALUE!</v>
      </c>
      <c r="GB81" t="e">
        <f>AND('Planilla_General_03-12-2012_9_3'!G1292,"AAAAAHab2rc=")</f>
        <v>#VALUE!</v>
      </c>
      <c r="GC81" t="e">
        <f>AND('Planilla_General_03-12-2012_9_3'!H1292,"AAAAAHab2rg=")</f>
        <v>#VALUE!</v>
      </c>
      <c r="GD81" t="e">
        <f>AND('Planilla_General_03-12-2012_9_3'!I1292,"AAAAAHab2rk=")</f>
        <v>#VALUE!</v>
      </c>
      <c r="GE81" t="e">
        <f>AND('Planilla_General_03-12-2012_9_3'!J1292,"AAAAAHab2ro=")</f>
        <v>#VALUE!</v>
      </c>
      <c r="GF81" t="e">
        <f>AND('Planilla_General_03-12-2012_9_3'!K1292,"AAAAAHab2rs=")</f>
        <v>#VALUE!</v>
      </c>
      <c r="GG81" t="e">
        <f>AND('Planilla_General_03-12-2012_9_3'!L1292,"AAAAAHab2rw=")</f>
        <v>#VALUE!</v>
      </c>
      <c r="GH81" t="e">
        <f>AND('Planilla_General_03-12-2012_9_3'!M1292,"AAAAAHab2r0=")</f>
        <v>#VALUE!</v>
      </c>
      <c r="GI81" t="e">
        <f>AND('Planilla_General_03-12-2012_9_3'!N1292,"AAAAAHab2r4=")</f>
        <v>#VALUE!</v>
      </c>
      <c r="GJ81" t="e">
        <f>AND('Planilla_General_03-12-2012_9_3'!O1292,"AAAAAHab2r8=")</f>
        <v>#VALUE!</v>
      </c>
      <c r="GK81">
        <f>IF('Planilla_General_03-12-2012_9_3'!1293:1293,"AAAAAHab2sA=",0)</f>
        <v>0</v>
      </c>
      <c r="GL81" t="e">
        <f>AND('Planilla_General_03-12-2012_9_3'!A1293,"AAAAAHab2sE=")</f>
        <v>#VALUE!</v>
      </c>
      <c r="GM81" t="e">
        <f>AND('Planilla_General_03-12-2012_9_3'!B1293,"AAAAAHab2sI=")</f>
        <v>#VALUE!</v>
      </c>
      <c r="GN81" t="e">
        <f>AND('Planilla_General_03-12-2012_9_3'!C1293,"AAAAAHab2sM=")</f>
        <v>#VALUE!</v>
      </c>
      <c r="GO81" t="e">
        <f>AND('Planilla_General_03-12-2012_9_3'!D1293,"AAAAAHab2sQ=")</f>
        <v>#VALUE!</v>
      </c>
      <c r="GP81" t="e">
        <f>AND('Planilla_General_03-12-2012_9_3'!E1293,"AAAAAHab2sU=")</f>
        <v>#VALUE!</v>
      </c>
      <c r="GQ81" t="e">
        <f>AND('Planilla_General_03-12-2012_9_3'!F1293,"AAAAAHab2sY=")</f>
        <v>#VALUE!</v>
      </c>
      <c r="GR81" t="e">
        <f>AND('Planilla_General_03-12-2012_9_3'!G1293,"AAAAAHab2sc=")</f>
        <v>#VALUE!</v>
      </c>
      <c r="GS81" t="e">
        <f>AND('Planilla_General_03-12-2012_9_3'!H1293,"AAAAAHab2sg=")</f>
        <v>#VALUE!</v>
      </c>
      <c r="GT81" t="e">
        <f>AND('Planilla_General_03-12-2012_9_3'!I1293,"AAAAAHab2sk=")</f>
        <v>#VALUE!</v>
      </c>
      <c r="GU81" t="e">
        <f>AND('Planilla_General_03-12-2012_9_3'!J1293,"AAAAAHab2so=")</f>
        <v>#VALUE!</v>
      </c>
      <c r="GV81" t="e">
        <f>AND('Planilla_General_03-12-2012_9_3'!K1293,"AAAAAHab2ss=")</f>
        <v>#VALUE!</v>
      </c>
      <c r="GW81" t="e">
        <f>AND('Planilla_General_03-12-2012_9_3'!L1293,"AAAAAHab2sw=")</f>
        <v>#VALUE!</v>
      </c>
      <c r="GX81" t="e">
        <f>AND('Planilla_General_03-12-2012_9_3'!M1293,"AAAAAHab2s0=")</f>
        <v>#VALUE!</v>
      </c>
      <c r="GY81" t="e">
        <f>AND('Planilla_General_03-12-2012_9_3'!N1293,"AAAAAHab2s4=")</f>
        <v>#VALUE!</v>
      </c>
      <c r="GZ81" t="e">
        <f>AND('Planilla_General_03-12-2012_9_3'!O1293,"AAAAAHab2s8=")</f>
        <v>#VALUE!</v>
      </c>
      <c r="HA81">
        <f>IF('Planilla_General_03-12-2012_9_3'!1294:1294,"AAAAAHab2tA=",0)</f>
        <v>0</v>
      </c>
      <c r="HB81" t="e">
        <f>AND('Planilla_General_03-12-2012_9_3'!A1294,"AAAAAHab2tE=")</f>
        <v>#VALUE!</v>
      </c>
      <c r="HC81" t="e">
        <f>AND('Planilla_General_03-12-2012_9_3'!B1294,"AAAAAHab2tI=")</f>
        <v>#VALUE!</v>
      </c>
      <c r="HD81" t="e">
        <f>AND('Planilla_General_03-12-2012_9_3'!C1294,"AAAAAHab2tM=")</f>
        <v>#VALUE!</v>
      </c>
      <c r="HE81" t="e">
        <f>AND('Planilla_General_03-12-2012_9_3'!D1294,"AAAAAHab2tQ=")</f>
        <v>#VALUE!</v>
      </c>
      <c r="HF81" t="e">
        <f>AND('Planilla_General_03-12-2012_9_3'!E1294,"AAAAAHab2tU=")</f>
        <v>#VALUE!</v>
      </c>
      <c r="HG81" t="e">
        <f>AND('Planilla_General_03-12-2012_9_3'!F1294,"AAAAAHab2tY=")</f>
        <v>#VALUE!</v>
      </c>
      <c r="HH81" t="e">
        <f>AND('Planilla_General_03-12-2012_9_3'!G1294,"AAAAAHab2tc=")</f>
        <v>#VALUE!</v>
      </c>
      <c r="HI81" t="e">
        <f>AND('Planilla_General_03-12-2012_9_3'!H1294,"AAAAAHab2tg=")</f>
        <v>#VALUE!</v>
      </c>
      <c r="HJ81" t="e">
        <f>AND('Planilla_General_03-12-2012_9_3'!I1294,"AAAAAHab2tk=")</f>
        <v>#VALUE!</v>
      </c>
      <c r="HK81" t="e">
        <f>AND('Planilla_General_03-12-2012_9_3'!J1294,"AAAAAHab2to=")</f>
        <v>#VALUE!</v>
      </c>
      <c r="HL81" t="e">
        <f>AND('Planilla_General_03-12-2012_9_3'!K1294,"AAAAAHab2ts=")</f>
        <v>#VALUE!</v>
      </c>
      <c r="HM81" t="e">
        <f>AND('Planilla_General_03-12-2012_9_3'!L1294,"AAAAAHab2tw=")</f>
        <v>#VALUE!</v>
      </c>
      <c r="HN81" t="e">
        <f>AND('Planilla_General_03-12-2012_9_3'!M1294,"AAAAAHab2t0=")</f>
        <v>#VALUE!</v>
      </c>
      <c r="HO81" t="e">
        <f>AND('Planilla_General_03-12-2012_9_3'!N1294,"AAAAAHab2t4=")</f>
        <v>#VALUE!</v>
      </c>
      <c r="HP81" t="e">
        <f>AND('Planilla_General_03-12-2012_9_3'!O1294,"AAAAAHab2t8=")</f>
        <v>#VALUE!</v>
      </c>
      <c r="HQ81">
        <f>IF('Planilla_General_03-12-2012_9_3'!1295:1295,"AAAAAHab2uA=",0)</f>
        <v>0</v>
      </c>
      <c r="HR81" t="e">
        <f>AND('Planilla_General_03-12-2012_9_3'!A1295,"AAAAAHab2uE=")</f>
        <v>#VALUE!</v>
      </c>
      <c r="HS81" t="e">
        <f>AND('Planilla_General_03-12-2012_9_3'!B1295,"AAAAAHab2uI=")</f>
        <v>#VALUE!</v>
      </c>
      <c r="HT81" t="e">
        <f>AND('Planilla_General_03-12-2012_9_3'!C1295,"AAAAAHab2uM=")</f>
        <v>#VALUE!</v>
      </c>
      <c r="HU81" t="e">
        <f>AND('Planilla_General_03-12-2012_9_3'!D1295,"AAAAAHab2uQ=")</f>
        <v>#VALUE!</v>
      </c>
      <c r="HV81" t="e">
        <f>AND('Planilla_General_03-12-2012_9_3'!E1295,"AAAAAHab2uU=")</f>
        <v>#VALUE!</v>
      </c>
      <c r="HW81" t="e">
        <f>AND('Planilla_General_03-12-2012_9_3'!F1295,"AAAAAHab2uY=")</f>
        <v>#VALUE!</v>
      </c>
      <c r="HX81" t="e">
        <f>AND('Planilla_General_03-12-2012_9_3'!G1295,"AAAAAHab2uc=")</f>
        <v>#VALUE!</v>
      </c>
      <c r="HY81" t="e">
        <f>AND('Planilla_General_03-12-2012_9_3'!H1295,"AAAAAHab2ug=")</f>
        <v>#VALUE!</v>
      </c>
      <c r="HZ81" t="e">
        <f>AND('Planilla_General_03-12-2012_9_3'!I1295,"AAAAAHab2uk=")</f>
        <v>#VALUE!</v>
      </c>
      <c r="IA81" t="e">
        <f>AND('Planilla_General_03-12-2012_9_3'!J1295,"AAAAAHab2uo=")</f>
        <v>#VALUE!</v>
      </c>
      <c r="IB81" t="e">
        <f>AND('Planilla_General_03-12-2012_9_3'!K1295,"AAAAAHab2us=")</f>
        <v>#VALUE!</v>
      </c>
      <c r="IC81" t="e">
        <f>AND('Planilla_General_03-12-2012_9_3'!L1295,"AAAAAHab2uw=")</f>
        <v>#VALUE!</v>
      </c>
      <c r="ID81" t="e">
        <f>AND('Planilla_General_03-12-2012_9_3'!M1295,"AAAAAHab2u0=")</f>
        <v>#VALUE!</v>
      </c>
      <c r="IE81" t="e">
        <f>AND('Planilla_General_03-12-2012_9_3'!N1295,"AAAAAHab2u4=")</f>
        <v>#VALUE!</v>
      </c>
      <c r="IF81" t="e">
        <f>AND('Planilla_General_03-12-2012_9_3'!O1295,"AAAAAHab2u8=")</f>
        <v>#VALUE!</v>
      </c>
      <c r="IG81">
        <f>IF('Planilla_General_03-12-2012_9_3'!1296:1296,"AAAAAHab2vA=",0)</f>
        <v>0</v>
      </c>
      <c r="IH81" t="e">
        <f>AND('Planilla_General_03-12-2012_9_3'!A1296,"AAAAAHab2vE=")</f>
        <v>#VALUE!</v>
      </c>
      <c r="II81" t="e">
        <f>AND('Planilla_General_03-12-2012_9_3'!B1296,"AAAAAHab2vI=")</f>
        <v>#VALUE!</v>
      </c>
      <c r="IJ81" t="e">
        <f>AND('Planilla_General_03-12-2012_9_3'!C1296,"AAAAAHab2vM=")</f>
        <v>#VALUE!</v>
      </c>
      <c r="IK81" t="e">
        <f>AND('Planilla_General_03-12-2012_9_3'!D1296,"AAAAAHab2vQ=")</f>
        <v>#VALUE!</v>
      </c>
      <c r="IL81" t="e">
        <f>AND('Planilla_General_03-12-2012_9_3'!E1296,"AAAAAHab2vU=")</f>
        <v>#VALUE!</v>
      </c>
      <c r="IM81" t="e">
        <f>AND('Planilla_General_03-12-2012_9_3'!F1296,"AAAAAHab2vY=")</f>
        <v>#VALUE!</v>
      </c>
      <c r="IN81" t="e">
        <f>AND('Planilla_General_03-12-2012_9_3'!G1296,"AAAAAHab2vc=")</f>
        <v>#VALUE!</v>
      </c>
      <c r="IO81" t="e">
        <f>AND('Planilla_General_03-12-2012_9_3'!H1296,"AAAAAHab2vg=")</f>
        <v>#VALUE!</v>
      </c>
      <c r="IP81" t="e">
        <f>AND('Planilla_General_03-12-2012_9_3'!I1296,"AAAAAHab2vk=")</f>
        <v>#VALUE!</v>
      </c>
      <c r="IQ81" t="e">
        <f>AND('Planilla_General_03-12-2012_9_3'!J1296,"AAAAAHab2vo=")</f>
        <v>#VALUE!</v>
      </c>
      <c r="IR81" t="e">
        <f>AND('Planilla_General_03-12-2012_9_3'!K1296,"AAAAAHab2vs=")</f>
        <v>#VALUE!</v>
      </c>
      <c r="IS81" t="e">
        <f>AND('Planilla_General_03-12-2012_9_3'!L1296,"AAAAAHab2vw=")</f>
        <v>#VALUE!</v>
      </c>
      <c r="IT81" t="e">
        <f>AND('Planilla_General_03-12-2012_9_3'!M1296,"AAAAAHab2v0=")</f>
        <v>#VALUE!</v>
      </c>
      <c r="IU81" t="e">
        <f>AND('Planilla_General_03-12-2012_9_3'!N1296,"AAAAAHab2v4=")</f>
        <v>#VALUE!</v>
      </c>
      <c r="IV81" t="e">
        <f>AND('Planilla_General_03-12-2012_9_3'!O1296,"AAAAAHab2v8=")</f>
        <v>#VALUE!</v>
      </c>
    </row>
    <row r="82" spans="1:256" x14ac:dyDescent="0.25">
      <c r="A82" t="e">
        <f>IF('Planilla_General_03-12-2012_9_3'!1297:1297,"AAAAAGs7nwA=",0)</f>
        <v>#VALUE!</v>
      </c>
      <c r="B82" t="e">
        <f>AND('Planilla_General_03-12-2012_9_3'!A1297,"AAAAAGs7nwE=")</f>
        <v>#VALUE!</v>
      </c>
      <c r="C82" t="e">
        <f>AND('Planilla_General_03-12-2012_9_3'!B1297,"AAAAAGs7nwI=")</f>
        <v>#VALUE!</v>
      </c>
      <c r="D82" t="e">
        <f>AND('Planilla_General_03-12-2012_9_3'!C1297,"AAAAAGs7nwM=")</f>
        <v>#VALUE!</v>
      </c>
      <c r="E82" t="e">
        <f>AND('Planilla_General_03-12-2012_9_3'!D1297,"AAAAAGs7nwQ=")</f>
        <v>#VALUE!</v>
      </c>
      <c r="F82" t="e">
        <f>AND('Planilla_General_03-12-2012_9_3'!E1297,"AAAAAGs7nwU=")</f>
        <v>#VALUE!</v>
      </c>
      <c r="G82" t="e">
        <f>AND('Planilla_General_03-12-2012_9_3'!F1297,"AAAAAGs7nwY=")</f>
        <v>#VALUE!</v>
      </c>
      <c r="H82" t="e">
        <f>AND('Planilla_General_03-12-2012_9_3'!G1297,"AAAAAGs7nwc=")</f>
        <v>#VALUE!</v>
      </c>
      <c r="I82" t="e">
        <f>AND('Planilla_General_03-12-2012_9_3'!H1297,"AAAAAGs7nwg=")</f>
        <v>#VALUE!</v>
      </c>
      <c r="J82" t="e">
        <f>AND('Planilla_General_03-12-2012_9_3'!I1297,"AAAAAGs7nwk=")</f>
        <v>#VALUE!</v>
      </c>
      <c r="K82" t="e">
        <f>AND('Planilla_General_03-12-2012_9_3'!J1297,"AAAAAGs7nwo=")</f>
        <v>#VALUE!</v>
      </c>
      <c r="L82" t="e">
        <f>AND('Planilla_General_03-12-2012_9_3'!K1297,"AAAAAGs7nws=")</f>
        <v>#VALUE!</v>
      </c>
      <c r="M82" t="e">
        <f>AND('Planilla_General_03-12-2012_9_3'!L1297,"AAAAAGs7nww=")</f>
        <v>#VALUE!</v>
      </c>
      <c r="N82" t="e">
        <f>AND('Planilla_General_03-12-2012_9_3'!M1297,"AAAAAGs7nw0=")</f>
        <v>#VALUE!</v>
      </c>
      <c r="O82" t="e">
        <f>AND('Planilla_General_03-12-2012_9_3'!N1297,"AAAAAGs7nw4=")</f>
        <v>#VALUE!</v>
      </c>
      <c r="P82" t="e">
        <f>AND('Planilla_General_03-12-2012_9_3'!O1297,"AAAAAGs7nw8=")</f>
        <v>#VALUE!</v>
      </c>
      <c r="Q82">
        <f>IF('Planilla_General_03-12-2012_9_3'!1298:1298,"AAAAAGs7nxA=",0)</f>
        <v>0</v>
      </c>
      <c r="R82" t="e">
        <f>AND('Planilla_General_03-12-2012_9_3'!A1298,"AAAAAGs7nxE=")</f>
        <v>#VALUE!</v>
      </c>
      <c r="S82" t="e">
        <f>AND('Planilla_General_03-12-2012_9_3'!B1298,"AAAAAGs7nxI=")</f>
        <v>#VALUE!</v>
      </c>
      <c r="T82" t="e">
        <f>AND('Planilla_General_03-12-2012_9_3'!C1298,"AAAAAGs7nxM=")</f>
        <v>#VALUE!</v>
      </c>
      <c r="U82" t="e">
        <f>AND('Planilla_General_03-12-2012_9_3'!D1298,"AAAAAGs7nxQ=")</f>
        <v>#VALUE!</v>
      </c>
      <c r="V82" t="e">
        <f>AND('Planilla_General_03-12-2012_9_3'!E1298,"AAAAAGs7nxU=")</f>
        <v>#VALUE!</v>
      </c>
      <c r="W82" t="e">
        <f>AND('Planilla_General_03-12-2012_9_3'!F1298,"AAAAAGs7nxY=")</f>
        <v>#VALUE!</v>
      </c>
      <c r="X82" t="e">
        <f>AND('Planilla_General_03-12-2012_9_3'!G1298,"AAAAAGs7nxc=")</f>
        <v>#VALUE!</v>
      </c>
      <c r="Y82" t="e">
        <f>AND('Planilla_General_03-12-2012_9_3'!H1298,"AAAAAGs7nxg=")</f>
        <v>#VALUE!</v>
      </c>
      <c r="Z82" t="e">
        <f>AND('Planilla_General_03-12-2012_9_3'!I1298,"AAAAAGs7nxk=")</f>
        <v>#VALUE!</v>
      </c>
      <c r="AA82" t="e">
        <f>AND('Planilla_General_03-12-2012_9_3'!J1298,"AAAAAGs7nxo=")</f>
        <v>#VALUE!</v>
      </c>
      <c r="AB82" t="e">
        <f>AND('Planilla_General_03-12-2012_9_3'!K1298,"AAAAAGs7nxs=")</f>
        <v>#VALUE!</v>
      </c>
      <c r="AC82" t="e">
        <f>AND('Planilla_General_03-12-2012_9_3'!L1298,"AAAAAGs7nxw=")</f>
        <v>#VALUE!</v>
      </c>
      <c r="AD82" t="e">
        <f>AND('Planilla_General_03-12-2012_9_3'!M1298,"AAAAAGs7nx0=")</f>
        <v>#VALUE!</v>
      </c>
      <c r="AE82" t="e">
        <f>AND('Planilla_General_03-12-2012_9_3'!N1298,"AAAAAGs7nx4=")</f>
        <v>#VALUE!</v>
      </c>
      <c r="AF82" t="e">
        <f>AND('Planilla_General_03-12-2012_9_3'!O1298,"AAAAAGs7nx8=")</f>
        <v>#VALUE!</v>
      </c>
      <c r="AG82">
        <f>IF('Planilla_General_03-12-2012_9_3'!1299:1299,"AAAAAGs7nyA=",0)</f>
        <v>0</v>
      </c>
      <c r="AH82" t="e">
        <f>AND('Planilla_General_03-12-2012_9_3'!A1299,"AAAAAGs7nyE=")</f>
        <v>#VALUE!</v>
      </c>
      <c r="AI82" t="e">
        <f>AND('Planilla_General_03-12-2012_9_3'!B1299,"AAAAAGs7nyI=")</f>
        <v>#VALUE!</v>
      </c>
      <c r="AJ82" t="e">
        <f>AND('Planilla_General_03-12-2012_9_3'!C1299,"AAAAAGs7nyM=")</f>
        <v>#VALUE!</v>
      </c>
      <c r="AK82" t="e">
        <f>AND('Planilla_General_03-12-2012_9_3'!D1299,"AAAAAGs7nyQ=")</f>
        <v>#VALUE!</v>
      </c>
      <c r="AL82" t="e">
        <f>AND('Planilla_General_03-12-2012_9_3'!E1299,"AAAAAGs7nyU=")</f>
        <v>#VALUE!</v>
      </c>
      <c r="AM82" t="e">
        <f>AND('Planilla_General_03-12-2012_9_3'!F1299,"AAAAAGs7nyY=")</f>
        <v>#VALUE!</v>
      </c>
      <c r="AN82" t="e">
        <f>AND('Planilla_General_03-12-2012_9_3'!G1299,"AAAAAGs7nyc=")</f>
        <v>#VALUE!</v>
      </c>
      <c r="AO82" t="e">
        <f>AND('Planilla_General_03-12-2012_9_3'!H1299,"AAAAAGs7nyg=")</f>
        <v>#VALUE!</v>
      </c>
      <c r="AP82" t="e">
        <f>AND('Planilla_General_03-12-2012_9_3'!I1299,"AAAAAGs7nyk=")</f>
        <v>#VALUE!</v>
      </c>
      <c r="AQ82" t="e">
        <f>AND('Planilla_General_03-12-2012_9_3'!J1299,"AAAAAGs7nyo=")</f>
        <v>#VALUE!</v>
      </c>
      <c r="AR82" t="e">
        <f>AND('Planilla_General_03-12-2012_9_3'!K1299,"AAAAAGs7nys=")</f>
        <v>#VALUE!</v>
      </c>
      <c r="AS82" t="e">
        <f>AND('Planilla_General_03-12-2012_9_3'!L1299,"AAAAAGs7nyw=")</f>
        <v>#VALUE!</v>
      </c>
      <c r="AT82" t="e">
        <f>AND('Planilla_General_03-12-2012_9_3'!M1299,"AAAAAGs7ny0=")</f>
        <v>#VALUE!</v>
      </c>
      <c r="AU82" t="e">
        <f>AND('Planilla_General_03-12-2012_9_3'!N1299,"AAAAAGs7ny4=")</f>
        <v>#VALUE!</v>
      </c>
      <c r="AV82" t="e">
        <f>AND('Planilla_General_03-12-2012_9_3'!O1299,"AAAAAGs7ny8=")</f>
        <v>#VALUE!</v>
      </c>
      <c r="AW82">
        <f>IF('Planilla_General_03-12-2012_9_3'!1300:1300,"AAAAAGs7nzA=",0)</f>
        <v>0</v>
      </c>
      <c r="AX82" t="e">
        <f>AND('Planilla_General_03-12-2012_9_3'!A1300,"AAAAAGs7nzE=")</f>
        <v>#VALUE!</v>
      </c>
      <c r="AY82" t="e">
        <f>AND('Planilla_General_03-12-2012_9_3'!B1300,"AAAAAGs7nzI=")</f>
        <v>#VALUE!</v>
      </c>
      <c r="AZ82" t="e">
        <f>AND('Planilla_General_03-12-2012_9_3'!C1300,"AAAAAGs7nzM=")</f>
        <v>#VALUE!</v>
      </c>
      <c r="BA82" t="e">
        <f>AND('Planilla_General_03-12-2012_9_3'!D1300,"AAAAAGs7nzQ=")</f>
        <v>#VALUE!</v>
      </c>
      <c r="BB82" t="e">
        <f>AND('Planilla_General_03-12-2012_9_3'!E1300,"AAAAAGs7nzU=")</f>
        <v>#VALUE!</v>
      </c>
      <c r="BC82" t="e">
        <f>AND('Planilla_General_03-12-2012_9_3'!F1300,"AAAAAGs7nzY=")</f>
        <v>#VALUE!</v>
      </c>
      <c r="BD82" t="e">
        <f>AND('Planilla_General_03-12-2012_9_3'!G1300,"AAAAAGs7nzc=")</f>
        <v>#VALUE!</v>
      </c>
      <c r="BE82" t="e">
        <f>AND('Planilla_General_03-12-2012_9_3'!H1300,"AAAAAGs7nzg=")</f>
        <v>#VALUE!</v>
      </c>
      <c r="BF82" t="e">
        <f>AND('Planilla_General_03-12-2012_9_3'!I1300,"AAAAAGs7nzk=")</f>
        <v>#VALUE!</v>
      </c>
      <c r="BG82" t="e">
        <f>AND('Planilla_General_03-12-2012_9_3'!J1300,"AAAAAGs7nzo=")</f>
        <v>#VALUE!</v>
      </c>
      <c r="BH82" t="e">
        <f>AND('Planilla_General_03-12-2012_9_3'!K1300,"AAAAAGs7nzs=")</f>
        <v>#VALUE!</v>
      </c>
      <c r="BI82" t="e">
        <f>AND('Planilla_General_03-12-2012_9_3'!L1300,"AAAAAGs7nzw=")</f>
        <v>#VALUE!</v>
      </c>
      <c r="BJ82" t="e">
        <f>AND('Planilla_General_03-12-2012_9_3'!M1300,"AAAAAGs7nz0=")</f>
        <v>#VALUE!</v>
      </c>
      <c r="BK82" t="e">
        <f>AND('Planilla_General_03-12-2012_9_3'!N1300,"AAAAAGs7nz4=")</f>
        <v>#VALUE!</v>
      </c>
      <c r="BL82" t="e">
        <f>AND('Planilla_General_03-12-2012_9_3'!O1300,"AAAAAGs7nz8=")</f>
        <v>#VALUE!</v>
      </c>
      <c r="BM82">
        <f>IF('Planilla_General_03-12-2012_9_3'!1301:1301,"AAAAAGs7n0A=",0)</f>
        <v>0</v>
      </c>
      <c r="BN82" t="e">
        <f>AND('Planilla_General_03-12-2012_9_3'!A1301,"AAAAAGs7n0E=")</f>
        <v>#VALUE!</v>
      </c>
      <c r="BO82" t="e">
        <f>AND('Planilla_General_03-12-2012_9_3'!B1301,"AAAAAGs7n0I=")</f>
        <v>#VALUE!</v>
      </c>
      <c r="BP82" t="e">
        <f>AND('Planilla_General_03-12-2012_9_3'!C1301,"AAAAAGs7n0M=")</f>
        <v>#VALUE!</v>
      </c>
      <c r="BQ82" t="e">
        <f>AND('Planilla_General_03-12-2012_9_3'!D1301,"AAAAAGs7n0Q=")</f>
        <v>#VALUE!</v>
      </c>
      <c r="BR82" t="e">
        <f>AND('Planilla_General_03-12-2012_9_3'!E1301,"AAAAAGs7n0U=")</f>
        <v>#VALUE!</v>
      </c>
      <c r="BS82" t="e">
        <f>AND('Planilla_General_03-12-2012_9_3'!F1301,"AAAAAGs7n0Y=")</f>
        <v>#VALUE!</v>
      </c>
      <c r="BT82" t="e">
        <f>AND('Planilla_General_03-12-2012_9_3'!G1301,"AAAAAGs7n0c=")</f>
        <v>#VALUE!</v>
      </c>
      <c r="BU82" t="e">
        <f>AND('Planilla_General_03-12-2012_9_3'!H1301,"AAAAAGs7n0g=")</f>
        <v>#VALUE!</v>
      </c>
      <c r="BV82" t="e">
        <f>AND('Planilla_General_03-12-2012_9_3'!I1301,"AAAAAGs7n0k=")</f>
        <v>#VALUE!</v>
      </c>
      <c r="BW82" t="e">
        <f>AND('Planilla_General_03-12-2012_9_3'!J1301,"AAAAAGs7n0o=")</f>
        <v>#VALUE!</v>
      </c>
      <c r="BX82" t="e">
        <f>AND('Planilla_General_03-12-2012_9_3'!K1301,"AAAAAGs7n0s=")</f>
        <v>#VALUE!</v>
      </c>
      <c r="BY82" t="e">
        <f>AND('Planilla_General_03-12-2012_9_3'!L1301,"AAAAAGs7n0w=")</f>
        <v>#VALUE!</v>
      </c>
      <c r="BZ82" t="e">
        <f>AND('Planilla_General_03-12-2012_9_3'!M1301,"AAAAAGs7n00=")</f>
        <v>#VALUE!</v>
      </c>
      <c r="CA82" t="e">
        <f>AND('Planilla_General_03-12-2012_9_3'!N1301,"AAAAAGs7n04=")</f>
        <v>#VALUE!</v>
      </c>
      <c r="CB82" t="e">
        <f>AND('Planilla_General_03-12-2012_9_3'!O1301,"AAAAAGs7n08=")</f>
        <v>#VALUE!</v>
      </c>
      <c r="CC82">
        <f>IF('Planilla_General_03-12-2012_9_3'!1302:1302,"AAAAAGs7n1A=",0)</f>
        <v>0</v>
      </c>
      <c r="CD82" t="e">
        <f>AND('Planilla_General_03-12-2012_9_3'!A1302,"AAAAAGs7n1E=")</f>
        <v>#VALUE!</v>
      </c>
      <c r="CE82" t="e">
        <f>AND('Planilla_General_03-12-2012_9_3'!B1302,"AAAAAGs7n1I=")</f>
        <v>#VALUE!</v>
      </c>
      <c r="CF82" t="e">
        <f>AND('Planilla_General_03-12-2012_9_3'!C1302,"AAAAAGs7n1M=")</f>
        <v>#VALUE!</v>
      </c>
      <c r="CG82" t="e">
        <f>AND('Planilla_General_03-12-2012_9_3'!D1302,"AAAAAGs7n1Q=")</f>
        <v>#VALUE!</v>
      </c>
      <c r="CH82" t="e">
        <f>AND('Planilla_General_03-12-2012_9_3'!E1302,"AAAAAGs7n1U=")</f>
        <v>#VALUE!</v>
      </c>
      <c r="CI82" t="e">
        <f>AND('Planilla_General_03-12-2012_9_3'!F1302,"AAAAAGs7n1Y=")</f>
        <v>#VALUE!</v>
      </c>
      <c r="CJ82" t="e">
        <f>AND('Planilla_General_03-12-2012_9_3'!G1302,"AAAAAGs7n1c=")</f>
        <v>#VALUE!</v>
      </c>
      <c r="CK82" t="e">
        <f>AND('Planilla_General_03-12-2012_9_3'!H1302,"AAAAAGs7n1g=")</f>
        <v>#VALUE!</v>
      </c>
      <c r="CL82" t="e">
        <f>AND('Planilla_General_03-12-2012_9_3'!I1302,"AAAAAGs7n1k=")</f>
        <v>#VALUE!</v>
      </c>
      <c r="CM82" t="e">
        <f>AND('Planilla_General_03-12-2012_9_3'!J1302,"AAAAAGs7n1o=")</f>
        <v>#VALUE!</v>
      </c>
      <c r="CN82" t="e">
        <f>AND('Planilla_General_03-12-2012_9_3'!K1302,"AAAAAGs7n1s=")</f>
        <v>#VALUE!</v>
      </c>
      <c r="CO82" t="e">
        <f>AND('Planilla_General_03-12-2012_9_3'!L1302,"AAAAAGs7n1w=")</f>
        <v>#VALUE!</v>
      </c>
      <c r="CP82" t="e">
        <f>AND('Planilla_General_03-12-2012_9_3'!M1302,"AAAAAGs7n10=")</f>
        <v>#VALUE!</v>
      </c>
      <c r="CQ82" t="e">
        <f>AND('Planilla_General_03-12-2012_9_3'!N1302,"AAAAAGs7n14=")</f>
        <v>#VALUE!</v>
      </c>
      <c r="CR82" t="e">
        <f>AND('Planilla_General_03-12-2012_9_3'!O1302,"AAAAAGs7n18=")</f>
        <v>#VALUE!</v>
      </c>
      <c r="CS82">
        <f>IF('Planilla_General_03-12-2012_9_3'!1303:1303,"AAAAAGs7n2A=",0)</f>
        <v>0</v>
      </c>
      <c r="CT82" t="e">
        <f>AND('Planilla_General_03-12-2012_9_3'!A1303,"AAAAAGs7n2E=")</f>
        <v>#VALUE!</v>
      </c>
      <c r="CU82" t="e">
        <f>AND('Planilla_General_03-12-2012_9_3'!B1303,"AAAAAGs7n2I=")</f>
        <v>#VALUE!</v>
      </c>
      <c r="CV82" t="e">
        <f>AND('Planilla_General_03-12-2012_9_3'!C1303,"AAAAAGs7n2M=")</f>
        <v>#VALUE!</v>
      </c>
      <c r="CW82" t="e">
        <f>AND('Planilla_General_03-12-2012_9_3'!D1303,"AAAAAGs7n2Q=")</f>
        <v>#VALUE!</v>
      </c>
      <c r="CX82" t="e">
        <f>AND('Planilla_General_03-12-2012_9_3'!E1303,"AAAAAGs7n2U=")</f>
        <v>#VALUE!</v>
      </c>
      <c r="CY82" t="e">
        <f>AND('Planilla_General_03-12-2012_9_3'!F1303,"AAAAAGs7n2Y=")</f>
        <v>#VALUE!</v>
      </c>
      <c r="CZ82" t="e">
        <f>AND('Planilla_General_03-12-2012_9_3'!G1303,"AAAAAGs7n2c=")</f>
        <v>#VALUE!</v>
      </c>
      <c r="DA82" t="e">
        <f>AND('Planilla_General_03-12-2012_9_3'!H1303,"AAAAAGs7n2g=")</f>
        <v>#VALUE!</v>
      </c>
      <c r="DB82" t="e">
        <f>AND('Planilla_General_03-12-2012_9_3'!I1303,"AAAAAGs7n2k=")</f>
        <v>#VALUE!</v>
      </c>
      <c r="DC82" t="e">
        <f>AND('Planilla_General_03-12-2012_9_3'!J1303,"AAAAAGs7n2o=")</f>
        <v>#VALUE!</v>
      </c>
      <c r="DD82" t="e">
        <f>AND('Planilla_General_03-12-2012_9_3'!K1303,"AAAAAGs7n2s=")</f>
        <v>#VALUE!</v>
      </c>
      <c r="DE82" t="e">
        <f>AND('Planilla_General_03-12-2012_9_3'!L1303,"AAAAAGs7n2w=")</f>
        <v>#VALUE!</v>
      </c>
      <c r="DF82" t="e">
        <f>AND('Planilla_General_03-12-2012_9_3'!M1303,"AAAAAGs7n20=")</f>
        <v>#VALUE!</v>
      </c>
      <c r="DG82" t="e">
        <f>AND('Planilla_General_03-12-2012_9_3'!N1303,"AAAAAGs7n24=")</f>
        <v>#VALUE!</v>
      </c>
      <c r="DH82" t="e">
        <f>AND('Planilla_General_03-12-2012_9_3'!O1303,"AAAAAGs7n28=")</f>
        <v>#VALUE!</v>
      </c>
      <c r="DI82">
        <f>IF('Planilla_General_03-12-2012_9_3'!1304:1304,"AAAAAGs7n3A=",0)</f>
        <v>0</v>
      </c>
      <c r="DJ82" t="e">
        <f>AND('Planilla_General_03-12-2012_9_3'!A1304,"AAAAAGs7n3E=")</f>
        <v>#VALUE!</v>
      </c>
      <c r="DK82" t="e">
        <f>AND('Planilla_General_03-12-2012_9_3'!B1304,"AAAAAGs7n3I=")</f>
        <v>#VALUE!</v>
      </c>
      <c r="DL82" t="e">
        <f>AND('Planilla_General_03-12-2012_9_3'!C1304,"AAAAAGs7n3M=")</f>
        <v>#VALUE!</v>
      </c>
      <c r="DM82" t="e">
        <f>AND('Planilla_General_03-12-2012_9_3'!D1304,"AAAAAGs7n3Q=")</f>
        <v>#VALUE!</v>
      </c>
      <c r="DN82" t="e">
        <f>AND('Planilla_General_03-12-2012_9_3'!E1304,"AAAAAGs7n3U=")</f>
        <v>#VALUE!</v>
      </c>
      <c r="DO82" t="e">
        <f>AND('Planilla_General_03-12-2012_9_3'!F1304,"AAAAAGs7n3Y=")</f>
        <v>#VALUE!</v>
      </c>
      <c r="DP82" t="e">
        <f>AND('Planilla_General_03-12-2012_9_3'!G1304,"AAAAAGs7n3c=")</f>
        <v>#VALUE!</v>
      </c>
      <c r="DQ82" t="e">
        <f>AND('Planilla_General_03-12-2012_9_3'!H1304,"AAAAAGs7n3g=")</f>
        <v>#VALUE!</v>
      </c>
      <c r="DR82" t="e">
        <f>AND('Planilla_General_03-12-2012_9_3'!I1304,"AAAAAGs7n3k=")</f>
        <v>#VALUE!</v>
      </c>
      <c r="DS82" t="e">
        <f>AND('Planilla_General_03-12-2012_9_3'!J1304,"AAAAAGs7n3o=")</f>
        <v>#VALUE!</v>
      </c>
      <c r="DT82" t="e">
        <f>AND('Planilla_General_03-12-2012_9_3'!K1304,"AAAAAGs7n3s=")</f>
        <v>#VALUE!</v>
      </c>
      <c r="DU82" t="e">
        <f>AND('Planilla_General_03-12-2012_9_3'!L1304,"AAAAAGs7n3w=")</f>
        <v>#VALUE!</v>
      </c>
      <c r="DV82" t="e">
        <f>AND('Planilla_General_03-12-2012_9_3'!M1304,"AAAAAGs7n30=")</f>
        <v>#VALUE!</v>
      </c>
      <c r="DW82" t="e">
        <f>AND('Planilla_General_03-12-2012_9_3'!N1304,"AAAAAGs7n34=")</f>
        <v>#VALUE!</v>
      </c>
      <c r="DX82" t="e">
        <f>AND('Planilla_General_03-12-2012_9_3'!O1304,"AAAAAGs7n38=")</f>
        <v>#VALUE!</v>
      </c>
      <c r="DY82">
        <f>IF('Planilla_General_03-12-2012_9_3'!1305:1305,"AAAAAGs7n4A=",0)</f>
        <v>0</v>
      </c>
      <c r="DZ82" t="e">
        <f>AND('Planilla_General_03-12-2012_9_3'!A1305,"AAAAAGs7n4E=")</f>
        <v>#VALUE!</v>
      </c>
      <c r="EA82" t="e">
        <f>AND('Planilla_General_03-12-2012_9_3'!B1305,"AAAAAGs7n4I=")</f>
        <v>#VALUE!</v>
      </c>
      <c r="EB82" t="e">
        <f>AND('Planilla_General_03-12-2012_9_3'!C1305,"AAAAAGs7n4M=")</f>
        <v>#VALUE!</v>
      </c>
      <c r="EC82" t="e">
        <f>AND('Planilla_General_03-12-2012_9_3'!D1305,"AAAAAGs7n4Q=")</f>
        <v>#VALUE!</v>
      </c>
      <c r="ED82" t="e">
        <f>AND('Planilla_General_03-12-2012_9_3'!E1305,"AAAAAGs7n4U=")</f>
        <v>#VALUE!</v>
      </c>
      <c r="EE82" t="e">
        <f>AND('Planilla_General_03-12-2012_9_3'!F1305,"AAAAAGs7n4Y=")</f>
        <v>#VALUE!</v>
      </c>
      <c r="EF82" t="e">
        <f>AND('Planilla_General_03-12-2012_9_3'!G1305,"AAAAAGs7n4c=")</f>
        <v>#VALUE!</v>
      </c>
      <c r="EG82" t="e">
        <f>AND('Planilla_General_03-12-2012_9_3'!H1305,"AAAAAGs7n4g=")</f>
        <v>#VALUE!</v>
      </c>
      <c r="EH82" t="e">
        <f>AND('Planilla_General_03-12-2012_9_3'!I1305,"AAAAAGs7n4k=")</f>
        <v>#VALUE!</v>
      </c>
      <c r="EI82" t="e">
        <f>AND('Planilla_General_03-12-2012_9_3'!J1305,"AAAAAGs7n4o=")</f>
        <v>#VALUE!</v>
      </c>
      <c r="EJ82" t="e">
        <f>AND('Planilla_General_03-12-2012_9_3'!K1305,"AAAAAGs7n4s=")</f>
        <v>#VALUE!</v>
      </c>
      <c r="EK82" t="e">
        <f>AND('Planilla_General_03-12-2012_9_3'!L1305,"AAAAAGs7n4w=")</f>
        <v>#VALUE!</v>
      </c>
      <c r="EL82" t="e">
        <f>AND('Planilla_General_03-12-2012_9_3'!M1305,"AAAAAGs7n40=")</f>
        <v>#VALUE!</v>
      </c>
      <c r="EM82" t="e">
        <f>AND('Planilla_General_03-12-2012_9_3'!N1305,"AAAAAGs7n44=")</f>
        <v>#VALUE!</v>
      </c>
      <c r="EN82" t="e">
        <f>AND('Planilla_General_03-12-2012_9_3'!O1305,"AAAAAGs7n48=")</f>
        <v>#VALUE!</v>
      </c>
      <c r="EO82">
        <f>IF('Planilla_General_03-12-2012_9_3'!1306:1306,"AAAAAGs7n5A=",0)</f>
        <v>0</v>
      </c>
      <c r="EP82" t="e">
        <f>AND('Planilla_General_03-12-2012_9_3'!A1306,"AAAAAGs7n5E=")</f>
        <v>#VALUE!</v>
      </c>
      <c r="EQ82" t="e">
        <f>AND('Planilla_General_03-12-2012_9_3'!B1306,"AAAAAGs7n5I=")</f>
        <v>#VALUE!</v>
      </c>
      <c r="ER82" t="e">
        <f>AND('Planilla_General_03-12-2012_9_3'!C1306,"AAAAAGs7n5M=")</f>
        <v>#VALUE!</v>
      </c>
      <c r="ES82" t="e">
        <f>AND('Planilla_General_03-12-2012_9_3'!D1306,"AAAAAGs7n5Q=")</f>
        <v>#VALUE!</v>
      </c>
      <c r="ET82" t="e">
        <f>AND('Planilla_General_03-12-2012_9_3'!E1306,"AAAAAGs7n5U=")</f>
        <v>#VALUE!</v>
      </c>
      <c r="EU82" t="e">
        <f>AND('Planilla_General_03-12-2012_9_3'!F1306,"AAAAAGs7n5Y=")</f>
        <v>#VALUE!</v>
      </c>
      <c r="EV82" t="e">
        <f>AND('Planilla_General_03-12-2012_9_3'!G1306,"AAAAAGs7n5c=")</f>
        <v>#VALUE!</v>
      </c>
      <c r="EW82" t="e">
        <f>AND('Planilla_General_03-12-2012_9_3'!H1306,"AAAAAGs7n5g=")</f>
        <v>#VALUE!</v>
      </c>
      <c r="EX82" t="e">
        <f>AND('Planilla_General_03-12-2012_9_3'!I1306,"AAAAAGs7n5k=")</f>
        <v>#VALUE!</v>
      </c>
      <c r="EY82" t="e">
        <f>AND('Planilla_General_03-12-2012_9_3'!J1306,"AAAAAGs7n5o=")</f>
        <v>#VALUE!</v>
      </c>
      <c r="EZ82" t="e">
        <f>AND('Planilla_General_03-12-2012_9_3'!K1306,"AAAAAGs7n5s=")</f>
        <v>#VALUE!</v>
      </c>
      <c r="FA82" t="e">
        <f>AND('Planilla_General_03-12-2012_9_3'!L1306,"AAAAAGs7n5w=")</f>
        <v>#VALUE!</v>
      </c>
      <c r="FB82" t="e">
        <f>AND('Planilla_General_03-12-2012_9_3'!M1306,"AAAAAGs7n50=")</f>
        <v>#VALUE!</v>
      </c>
      <c r="FC82" t="e">
        <f>AND('Planilla_General_03-12-2012_9_3'!N1306,"AAAAAGs7n54=")</f>
        <v>#VALUE!</v>
      </c>
      <c r="FD82" t="e">
        <f>AND('Planilla_General_03-12-2012_9_3'!O1306,"AAAAAGs7n58=")</f>
        <v>#VALUE!</v>
      </c>
      <c r="FE82">
        <f>IF('Planilla_General_03-12-2012_9_3'!1307:1307,"AAAAAGs7n6A=",0)</f>
        <v>0</v>
      </c>
      <c r="FF82" t="e">
        <f>AND('Planilla_General_03-12-2012_9_3'!A1307,"AAAAAGs7n6E=")</f>
        <v>#VALUE!</v>
      </c>
      <c r="FG82" t="e">
        <f>AND('Planilla_General_03-12-2012_9_3'!B1307,"AAAAAGs7n6I=")</f>
        <v>#VALUE!</v>
      </c>
      <c r="FH82" t="e">
        <f>AND('Planilla_General_03-12-2012_9_3'!C1307,"AAAAAGs7n6M=")</f>
        <v>#VALUE!</v>
      </c>
      <c r="FI82" t="e">
        <f>AND('Planilla_General_03-12-2012_9_3'!D1307,"AAAAAGs7n6Q=")</f>
        <v>#VALUE!</v>
      </c>
      <c r="FJ82" t="e">
        <f>AND('Planilla_General_03-12-2012_9_3'!E1307,"AAAAAGs7n6U=")</f>
        <v>#VALUE!</v>
      </c>
      <c r="FK82" t="e">
        <f>AND('Planilla_General_03-12-2012_9_3'!F1307,"AAAAAGs7n6Y=")</f>
        <v>#VALUE!</v>
      </c>
      <c r="FL82" t="e">
        <f>AND('Planilla_General_03-12-2012_9_3'!G1307,"AAAAAGs7n6c=")</f>
        <v>#VALUE!</v>
      </c>
      <c r="FM82" t="e">
        <f>AND('Planilla_General_03-12-2012_9_3'!H1307,"AAAAAGs7n6g=")</f>
        <v>#VALUE!</v>
      </c>
      <c r="FN82" t="e">
        <f>AND('Planilla_General_03-12-2012_9_3'!I1307,"AAAAAGs7n6k=")</f>
        <v>#VALUE!</v>
      </c>
      <c r="FO82" t="e">
        <f>AND('Planilla_General_03-12-2012_9_3'!J1307,"AAAAAGs7n6o=")</f>
        <v>#VALUE!</v>
      </c>
      <c r="FP82" t="e">
        <f>AND('Planilla_General_03-12-2012_9_3'!K1307,"AAAAAGs7n6s=")</f>
        <v>#VALUE!</v>
      </c>
      <c r="FQ82" t="e">
        <f>AND('Planilla_General_03-12-2012_9_3'!L1307,"AAAAAGs7n6w=")</f>
        <v>#VALUE!</v>
      </c>
      <c r="FR82" t="e">
        <f>AND('Planilla_General_03-12-2012_9_3'!M1307,"AAAAAGs7n60=")</f>
        <v>#VALUE!</v>
      </c>
      <c r="FS82" t="e">
        <f>AND('Planilla_General_03-12-2012_9_3'!N1307,"AAAAAGs7n64=")</f>
        <v>#VALUE!</v>
      </c>
      <c r="FT82" t="e">
        <f>AND('Planilla_General_03-12-2012_9_3'!O1307,"AAAAAGs7n68=")</f>
        <v>#VALUE!</v>
      </c>
      <c r="FU82">
        <f>IF('Planilla_General_03-12-2012_9_3'!1308:1308,"AAAAAGs7n7A=",0)</f>
        <v>0</v>
      </c>
      <c r="FV82" t="e">
        <f>AND('Planilla_General_03-12-2012_9_3'!A1308,"AAAAAGs7n7E=")</f>
        <v>#VALUE!</v>
      </c>
      <c r="FW82" t="e">
        <f>AND('Planilla_General_03-12-2012_9_3'!B1308,"AAAAAGs7n7I=")</f>
        <v>#VALUE!</v>
      </c>
      <c r="FX82" t="e">
        <f>AND('Planilla_General_03-12-2012_9_3'!C1308,"AAAAAGs7n7M=")</f>
        <v>#VALUE!</v>
      </c>
      <c r="FY82" t="e">
        <f>AND('Planilla_General_03-12-2012_9_3'!D1308,"AAAAAGs7n7Q=")</f>
        <v>#VALUE!</v>
      </c>
      <c r="FZ82" t="e">
        <f>AND('Planilla_General_03-12-2012_9_3'!E1308,"AAAAAGs7n7U=")</f>
        <v>#VALUE!</v>
      </c>
      <c r="GA82" t="e">
        <f>AND('Planilla_General_03-12-2012_9_3'!F1308,"AAAAAGs7n7Y=")</f>
        <v>#VALUE!</v>
      </c>
      <c r="GB82" t="e">
        <f>AND('Planilla_General_03-12-2012_9_3'!G1308,"AAAAAGs7n7c=")</f>
        <v>#VALUE!</v>
      </c>
      <c r="GC82" t="e">
        <f>AND('Planilla_General_03-12-2012_9_3'!H1308,"AAAAAGs7n7g=")</f>
        <v>#VALUE!</v>
      </c>
      <c r="GD82" t="e">
        <f>AND('Planilla_General_03-12-2012_9_3'!I1308,"AAAAAGs7n7k=")</f>
        <v>#VALUE!</v>
      </c>
      <c r="GE82" t="e">
        <f>AND('Planilla_General_03-12-2012_9_3'!J1308,"AAAAAGs7n7o=")</f>
        <v>#VALUE!</v>
      </c>
      <c r="GF82" t="e">
        <f>AND('Planilla_General_03-12-2012_9_3'!K1308,"AAAAAGs7n7s=")</f>
        <v>#VALUE!</v>
      </c>
      <c r="GG82" t="e">
        <f>AND('Planilla_General_03-12-2012_9_3'!L1308,"AAAAAGs7n7w=")</f>
        <v>#VALUE!</v>
      </c>
      <c r="GH82" t="e">
        <f>AND('Planilla_General_03-12-2012_9_3'!M1308,"AAAAAGs7n70=")</f>
        <v>#VALUE!</v>
      </c>
      <c r="GI82" t="e">
        <f>AND('Planilla_General_03-12-2012_9_3'!N1308,"AAAAAGs7n74=")</f>
        <v>#VALUE!</v>
      </c>
      <c r="GJ82" t="e">
        <f>AND('Planilla_General_03-12-2012_9_3'!O1308,"AAAAAGs7n78=")</f>
        <v>#VALUE!</v>
      </c>
      <c r="GK82">
        <f>IF('Planilla_General_03-12-2012_9_3'!1309:1309,"AAAAAGs7n8A=",0)</f>
        <v>0</v>
      </c>
      <c r="GL82" t="e">
        <f>AND('Planilla_General_03-12-2012_9_3'!A1309,"AAAAAGs7n8E=")</f>
        <v>#VALUE!</v>
      </c>
      <c r="GM82" t="e">
        <f>AND('Planilla_General_03-12-2012_9_3'!B1309,"AAAAAGs7n8I=")</f>
        <v>#VALUE!</v>
      </c>
      <c r="GN82" t="e">
        <f>AND('Planilla_General_03-12-2012_9_3'!C1309,"AAAAAGs7n8M=")</f>
        <v>#VALUE!</v>
      </c>
      <c r="GO82" t="e">
        <f>AND('Planilla_General_03-12-2012_9_3'!D1309,"AAAAAGs7n8Q=")</f>
        <v>#VALUE!</v>
      </c>
      <c r="GP82" t="e">
        <f>AND('Planilla_General_03-12-2012_9_3'!E1309,"AAAAAGs7n8U=")</f>
        <v>#VALUE!</v>
      </c>
      <c r="GQ82" t="e">
        <f>AND('Planilla_General_03-12-2012_9_3'!F1309,"AAAAAGs7n8Y=")</f>
        <v>#VALUE!</v>
      </c>
      <c r="GR82" t="e">
        <f>AND('Planilla_General_03-12-2012_9_3'!G1309,"AAAAAGs7n8c=")</f>
        <v>#VALUE!</v>
      </c>
      <c r="GS82" t="e">
        <f>AND('Planilla_General_03-12-2012_9_3'!H1309,"AAAAAGs7n8g=")</f>
        <v>#VALUE!</v>
      </c>
      <c r="GT82" t="e">
        <f>AND('Planilla_General_03-12-2012_9_3'!I1309,"AAAAAGs7n8k=")</f>
        <v>#VALUE!</v>
      </c>
      <c r="GU82" t="e">
        <f>AND('Planilla_General_03-12-2012_9_3'!J1309,"AAAAAGs7n8o=")</f>
        <v>#VALUE!</v>
      </c>
      <c r="GV82" t="e">
        <f>AND('Planilla_General_03-12-2012_9_3'!K1309,"AAAAAGs7n8s=")</f>
        <v>#VALUE!</v>
      </c>
      <c r="GW82" t="e">
        <f>AND('Planilla_General_03-12-2012_9_3'!L1309,"AAAAAGs7n8w=")</f>
        <v>#VALUE!</v>
      </c>
      <c r="GX82" t="e">
        <f>AND('Planilla_General_03-12-2012_9_3'!M1309,"AAAAAGs7n80=")</f>
        <v>#VALUE!</v>
      </c>
      <c r="GY82" t="e">
        <f>AND('Planilla_General_03-12-2012_9_3'!N1309,"AAAAAGs7n84=")</f>
        <v>#VALUE!</v>
      </c>
      <c r="GZ82" t="e">
        <f>AND('Planilla_General_03-12-2012_9_3'!O1309,"AAAAAGs7n88=")</f>
        <v>#VALUE!</v>
      </c>
      <c r="HA82">
        <f>IF('Planilla_General_03-12-2012_9_3'!1310:1310,"AAAAAGs7n9A=",0)</f>
        <v>0</v>
      </c>
      <c r="HB82" t="e">
        <f>AND('Planilla_General_03-12-2012_9_3'!A1310,"AAAAAGs7n9E=")</f>
        <v>#VALUE!</v>
      </c>
      <c r="HC82" t="e">
        <f>AND('Planilla_General_03-12-2012_9_3'!B1310,"AAAAAGs7n9I=")</f>
        <v>#VALUE!</v>
      </c>
      <c r="HD82" t="e">
        <f>AND('Planilla_General_03-12-2012_9_3'!C1310,"AAAAAGs7n9M=")</f>
        <v>#VALUE!</v>
      </c>
      <c r="HE82" t="e">
        <f>AND('Planilla_General_03-12-2012_9_3'!D1310,"AAAAAGs7n9Q=")</f>
        <v>#VALUE!</v>
      </c>
      <c r="HF82" t="e">
        <f>AND('Planilla_General_03-12-2012_9_3'!E1310,"AAAAAGs7n9U=")</f>
        <v>#VALUE!</v>
      </c>
      <c r="HG82" t="e">
        <f>AND('Planilla_General_03-12-2012_9_3'!F1310,"AAAAAGs7n9Y=")</f>
        <v>#VALUE!</v>
      </c>
      <c r="HH82" t="e">
        <f>AND('Planilla_General_03-12-2012_9_3'!G1310,"AAAAAGs7n9c=")</f>
        <v>#VALUE!</v>
      </c>
      <c r="HI82" t="e">
        <f>AND('Planilla_General_03-12-2012_9_3'!H1310,"AAAAAGs7n9g=")</f>
        <v>#VALUE!</v>
      </c>
      <c r="HJ82" t="e">
        <f>AND('Planilla_General_03-12-2012_9_3'!I1310,"AAAAAGs7n9k=")</f>
        <v>#VALUE!</v>
      </c>
      <c r="HK82" t="e">
        <f>AND('Planilla_General_03-12-2012_9_3'!J1310,"AAAAAGs7n9o=")</f>
        <v>#VALUE!</v>
      </c>
      <c r="HL82" t="e">
        <f>AND('Planilla_General_03-12-2012_9_3'!K1310,"AAAAAGs7n9s=")</f>
        <v>#VALUE!</v>
      </c>
      <c r="HM82" t="e">
        <f>AND('Planilla_General_03-12-2012_9_3'!L1310,"AAAAAGs7n9w=")</f>
        <v>#VALUE!</v>
      </c>
      <c r="HN82" t="e">
        <f>AND('Planilla_General_03-12-2012_9_3'!M1310,"AAAAAGs7n90=")</f>
        <v>#VALUE!</v>
      </c>
      <c r="HO82" t="e">
        <f>AND('Planilla_General_03-12-2012_9_3'!N1310,"AAAAAGs7n94=")</f>
        <v>#VALUE!</v>
      </c>
      <c r="HP82" t="e">
        <f>AND('Planilla_General_03-12-2012_9_3'!O1310,"AAAAAGs7n98=")</f>
        <v>#VALUE!</v>
      </c>
      <c r="HQ82">
        <f>IF('Planilla_General_03-12-2012_9_3'!1311:1311,"AAAAAGs7n+A=",0)</f>
        <v>0</v>
      </c>
      <c r="HR82" t="e">
        <f>AND('Planilla_General_03-12-2012_9_3'!A1311,"AAAAAGs7n+E=")</f>
        <v>#VALUE!</v>
      </c>
      <c r="HS82" t="e">
        <f>AND('Planilla_General_03-12-2012_9_3'!B1311,"AAAAAGs7n+I=")</f>
        <v>#VALUE!</v>
      </c>
      <c r="HT82" t="e">
        <f>AND('Planilla_General_03-12-2012_9_3'!C1311,"AAAAAGs7n+M=")</f>
        <v>#VALUE!</v>
      </c>
      <c r="HU82" t="e">
        <f>AND('Planilla_General_03-12-2012_9_3'!D1311,"AAAAAGs7n+Q=")</f>
        <v>#VALUE!</v>
      </c>
      <c r="HV82" t="e">
        <f>AND('Planilla_General_03-12-2012_9_3'!E1311,"AAAAAGs7n+U=")</f>
        <v>#VALUE!</v>
      </c>
      <c r="HW82" t="e">
        <f>AND('Planilla_General_03-12-2012_9_3'!F1311,"AAAAAGs7n+Y=")</f>
        <v>#VALUE!</v>
      </c>
      <c r="HX82" t="e">
        <f>AND('Planilla_General_03-12-2012_9_3'!G1311,"AAAAAGs7n+c=")</f>
        <v>#VALUE!</v>
      </c>
      <c r="HY82" t="e">
        <f>AND('Planilla_General_03-12-2012_9_3'!H1311,"AAAAAGs7n+g=")</f>
        <v>#VALUE!</v>
      </c>
      <c r="HZ82" t="e">
        <f>AND('Planilla_General_03-12-2012_9_3'!I1311,"AAAAAGs7n+k=")</f>
        <v>#VALUE!</v>
      </c>
      <c r="IA82" t="e">
        <f>AND('Planilla_General_03-12-2012_9_3'!J1311,"AAAAAGs7n+o=")</f>
        <v>#VALUE!</v>
      </c>
      <c r="IB82" t="e">
        <f>AND('Planilla_General_03-12-2012_9_3'!K1311,"AAAAAGs7n+s=")</f>
        <v>#VALUE!</v>
      </c>
      <c r="IC82" t="e">
        <f>AND('Planilla_General_03-12-2012_9_3'!L1311,"AAAAAGs7n+w=")</f>
        <v>#VALUE!</v>
      </c>
      <c r="ID82" t="e">
        <f>AND('Planilla_General_03-12-2012_9_3'!M1311,"AAAAAGs7n+0=")</f>
        <v>#VALUE!</v>
      </c>
      <c r="IE82" t="e">
        <f>AND('Planilla_General_03-12-2012_9_3'!N1311,"AAAAAGs7n+4=")</f>
        <v>#VALUE!</v>
      </c>
      <c r="IF82" t="e">
        <f>AND('Planilla_General_03-12-2012_9_3'!O1311,"AAAAAGs7n+8=")</f>
        <v>#VALUE!</v>
      </c>
      <c r="IG82">
        <f>IF('Planilla_General_03-12-2012_9_3'!1312:1312,"AAAAAGs7n/A=",0)</f>
        <v>0</v>
      </c>
      <c r="IH82" t="e">
        <f>AND('Planilla_General_03-12-2012_9_3'!A1312,"AAAAAGs7n/E=")</f>
        <v>#VALUE!</v>
      </c>
      <c r="II82" t="e">
        <f>AND('Planilla_General_03-12-2012_9_3'!B1312,"AAAAAGs7n/I=")</f>
        <v>#VALUE!</v>
      </c>
      <c r="IJ82" t="e">
        <f>AND('Planilla_General_03-12-2012_9_3'!C1312,"AAAAAGs7n/M=")</f>
        <v>#VALUE!</v>
      </c>
      <c r="IK82" t="e">
        <f>AND('Planilla_General_03-12-2012_9_3'!D1312,"AAAAAGs7n/Q=")</f>
        <v>#VALUE!</v>
      </c>
      <c r="IL82" t="e">
        <f>AND('Planilla_General_03-12-2012_9_3'!E1312,"AAAAAGs7n/U=")</f>
        <v>#VALUE!</v>
      </c>
      <c r="IM82" t="e">
        <f>AND('Planilla_General_03-12-2012_9_3'!F1312,"AAAAAGs7n/Y=")</f>
        <v>#VALUE!</v>
      </c>
      <c r="IN82" t="e">
        <f>AND('Planilla_General_03-12-2012_9_3'!G1312,"AAAAAGs7n/c=")</f>
        <v>#VALUE!</v>
      </c>
      <c r="IO82" t="e">
        <f>AND('Planilla_General_03-12-2012_9_3'!H1312,"AAAAAGs7n/g=")</f>
        <v>#VALUE!</v>
      </c>
      <c r="IP82" t="e">
        <f>AND('Planilla_General_03-12-2012_9_3'!I1312,"AAAAAGs7n/k=")</f>
        <v>#VALUE!</v>
      </c>
      <c r="IQ82" t="e">
        <f>AND('Planilla_General_03-12-2012_9_3'!J1312,"AAAAAGs7n/o=")</f>
        <v>#VALUE!</v>
      </c>
      <c r="IR82" t="e">
        <f>AND('Planilla_General_03-12-2012_9_3'!K1312,"AAAAAGs7n/s=")</f>
        <v>#VALUE!</v>
      </c>
      <c r="IS82" t="e">
        <f>AND('Planilla_General_03-12-2012_9_3'!L1312,"AAAAAGs7n/w=")</f>
        <v>#VALUE!</v>
      </c>
      <c r="IT82" t="e">
        <f>AND('Planilla_General_03-12-2012_9_3'!M1312,"AAAAAGs7n/0=")</f>
        <v>#VALUE!</v>
      </c>
      <c r="IU82" t="e">
        <f>AND('Planilla_General_03-12-2012_9_3'!N1312,"AAAAAGs7n/4=")</f>
        <v>#VALUE!</v>
      </c>
      <c r="IV82" t="e">
        <f>AND('Planilla_General_03-12-2012_9_3'!O1312,"AAAAAGs7n/8=")</f>
        <v>#VALUE!</v>
      </c>
    </row>
    <row r="83" spans="1:256" x14ac:dyDescent="0.25">
      <c r="A83" t="e">
        <f>IF('Planilla_General_03-12-2012_9_3'!1313:1313,"AAAAAG3/9wA=",0)</f>
        <v>#VALUE!</v>
      </c>
      <c r="B83" t="e">
        <f>AND('Planilla_General_03-12-2012_9_3'!A1313,"AAAAAG3/9wE=")</f>
        <v>#VALUE!</v>
      </c>
      <c r="C83" t="e">
        <f>AND('Planilla_General_03-12-2012_9_3'!B1313,"AAAAAG3/9wI=")</f>
        <v>#VALUE!</v>
      </c>
      <c r="D83" t="e">
        <f>AND('Planilla_General_03-12-2012_9_3'!C1313,"AAAAAG3/9wM=")</f>
        <v>#VALUE!</v>
      </c>
      <c r="E83" t="e">
        <f>AND('Planilla_General_03-12-2012_9_3'!D1313,"AAAAAG3/9wQ=")</f>
        <v>#VALUE!</v>
      </c>
      <c r="F83" t="e">
        <f>AND('Planilla_General_03-12-2012_9_3'!E1313,"AAAAAG3/9wU=")</f>
        <v>#VALUE!</v>
      </c>
      <c r="G83" t="e">
        <f>AND('Planilla_General_03-12-2012_9_3'!F1313,"AAAAAG3/9wY=")</f>
        <v>#VALUE!</v>
      </c>
      <c r="H83" t="e">
        <f>AND('Planilla_General_03-12-2012_9_3'!G1313,"AAAAAG3/9wc=")</f>
        <v>#VALUE!</v>
      </c>
      <c r="I83" t="e">
        <f>AND('Planilla_General_03-12-2012_9_3'!H1313,"AAAAAG3/9wg=")</f>
        <v>#VALUE!</v>
      </c>
      <c r="J83" t="e">
        <f>AND('Planilla_General_03-12-2012_9_3'!I1313,"AAAAAG3/9wk=")</f>
        <v>#VALUE!</v>
      </c>
      <c r="K83" t="e">
        <f>AND('Planilla_General_03-12-2012_9_3'!J1313,"AAAAAG3/9wo=")</f>
        <v>#VALUE!</v>
      </c>
      <c r="L83" t="e">
        <f>AND('Planilla_General_03-12-2012_9_3'!K1313,"AAAAAG3/9ws=")</f>
        <v>#VALUE!</v>
      </c>
      <c r="M83" t="e">
        <f>AND('Planilla_General_03-12-2012_9_3'!L1313,"AAAAAG3/9ww=")</f>
        <v>#VALUE!</v>
      </c>
      <c r="N83" t="e">
        <f>AND('Planilla_General_03-12-2012_9_3'!M1313,"AAAAAG3/9w0=")</f>
        <v>#VALUE!</v>
      </c>
      <c r="O83" t="e">
        <f>AND('Planilla_General_03-12-2012_9_3'!N1313,"AAAAAG3/9w4=")</f>
        <v>#VALUE!</v>
      </c>
      <c r="P83" t="e">
        <f>AND('Planilla_General_03-12-2012_9_3'!O1313,"AAAAAG3/9w8=")</f>
        <v>#VALUE!</v>
      </c>
      <c r="Q83">
        <f>IF('Planilla_General_03-12-2012_9_3'!1314:1314,"AAAAAG3/9xA=",0)</f>
        <v>0</v>
      </c>
      <c r="R83" t="e">
        <f>AND('Planilla_General_03-12-2012_9_3'!A1314,"AAAAAG3/9xE=")</f>
        <v>#VALUE!</v>
      </c>
      <c r="S83" t="e">
        <f>AND('Planilla_General_03-12-2012_9_3'!B1314,"AAAAAG3/9xI=")</f>
        <v>#VALUE!</v>
      </c>
      <c r="T83" t="e">
        <f>AND('Planilla_General_03-12-2012_9_3'!C1314,"AAAAAG3/9xM=")</f>
        <v>#VALUE!</v>
      </c>
      <c r="U83" t="e">
        <f>AND('Planilla_General_03-12-2012_9_3'!D1314,"AAAAAG3/9xQ=")</f>
        <v>#VALUE!</v>
      </c>
      <c r="V83" t="e">
        <f>AND('Planilla_General_03-12-2012_9_3'!E1314,"AAAAAG3/9xU=")</f>
        <v>#VALUE!</v>
      </c>
      <c r="W83" t="e">
        <f>AND('Planilla_General_03-12-2012_9_3'!F1314,"AAAAAG3/9xY=")</f>
        <v>#VALUE!</v>
      </c>
      <c r="X83" t="e">
        <f>AND('Planilla_General_03-12-2012_9_3'!G1314,"AAAAAG3/9xc=")</f>
        <v>#VALUE!</v>
      </c>
      <c r="Y83" t="e">
        <f>AND('Planilla_General_03-12-2012_9_3'!H1314,"AAAAAG3/9xg=")</f>
        <v>#VALUE!</v>
      </c>
      <c r="Z83" t="e">
        <f>AND('Planilla_General_03-12-2012_9_3'!I1314,"AAAAAG3/9xk=")</f>
        <v>#VALUE!</v>
      </c>
      <c r="AA83" t="e">
        <f>AND('Planilla_General_03-12-2012_9_3'!J1314,"AAAAAG3/9xo=")</f>
        <v>#VALUE!</v>
      </c>
      <c r="AB83" t="e">
        <f>AND('Planilla_General_03-12-2012_9_3'!K1314,"AAAAAG3/9xs=")</f>
        <v>#VALUE!</v>
      </c>
      <c r="AC83" t="e">
        <f>AND('Planilla_General_03-12-2012_9_3'!L1314,"AAAAAG3/9xw=")</f>
        <v>#VALUE!</v>
      </c>
      <c r="AD83" t="e">
        <f>AND('Planilla_General_03-12-2012_9_3'!M1314,"AAAAAG3/9x0=")</f>
        <v>#VALUE!</v>
      </c>
      <c r="AE83" t="e">
        <f>AND('Planilla_General_03-12-2012_9_3'!N1314,"AAAAAG3/9x4=")</f>
        <v>#VALUE!</v>
      </c>
      <c r="AF83" t="e">
        <f>AND('Planilla_General_03-12-2012_9_3'!O1314,"AAAAAG3/9x8=")</f>
        <v>#VALUE!</v>
      </c>
      <c r="AG83">
        <f>IF('Planilla_General_03-12-2012_9_3'!1315:1315,"AAAAAG3/9yA=",0)</f>
        <v>0</v>
      </c>
      <c r="AH83" t="e">
        <f>AND('Planilla_General_03-12-2012_9_3'!A1315,"AAAAAG3/9yE=")</f>
        <v>#VALUE!</v>
      </c>
      <c r="AI83" t="e">
        <f>AND('Planilla_General_03-12-2012_9_3'!B1315,"AAAAAG3/9yI=")</f>
        <v>#VALUE!</v>
      </c>
      <c r="AJ83" t="e">
        <f>AND('Planilla_General_03-12-2012_9_3'!C1315,"AAAAAG3/9yM=")</f>
        <v>#VALUE!</v>
      </c>
      <c r="AK83" t="e">
        <f>AND('Planilla_General_03-12-2012_9_3'!D1315,"AAAAAG3/9yQ=")</f>
        <v>#VALUE!</v>
      </c>
      <c r="AL83" t="e">
        <f>AND('Planilla_General_03-12-2012_9_3'!E1315,"AAAAAG3/9yU=")</f>
        <v>#VALUE!</v>
      </c>
      <c r="AM83" t="e">
        <f>AND('Planilla_General_03-12-2012_9_3'!F1315,"AAAAAG3/9yY=")</f>
        <v>#VALUE!</v>
      </c>
      <c r="AN83" t="e">
        <f>AND('Planilla_General_03-12-2012_9_3'!G1315,"AAAAAG3/9yc=")</f>
        <v>#VALUE!</v>
      </c>
      <c r="AO83" t="e">
        <f>AND('Planilla_General_03-12-2012_9_3'!H1315,"AAAAAG3/9yg=")</f>
        <v>#VALUE!</v>
      </c>
      <c r="AP83" t="e">
        <f>AND('Planilla_General_03-12-2012_9_3'!I1315,"AAAAAG3/9yk=")</f>
        <v>#VALUE!</v>
      </c>
      <c r="AQ83" t="e">
        <f>AND('Planilla_General_03-12-2012_9_3'!J1315,"AAAAAG3/9yo=")</f>
        <v>#VALUE!</v>
      </c>
      <c r="AR83" t="e">
        <f>AND('Planilla_General_03-12-2012_9_3'!K1315,"AAAAAG3/9ys=")</f>
        <v>#VALUE!</v>
      </c>
      <c r="AS83" t="e">
        <f>AND('Planilla_General_03-12-2012_9_3'!L1315,"AAAAAG3/9yw=")</f>
        <v>#VALUE!</v>
      </c>
      <c r="AT83" t="e">
        <f>AND('Planilla_General_03-12-2012_9_3'!M1315,"AAAAAG3/9y0=")</f>
        <v>#VALUE!</v>
      </c>
      <c r="AU83" t="e">
        <f>AND('Planilla_General_03-12-2012_9_3'!N1315,"AAAAAG3/9y4=")</f>
        <v>#VALUE!</v>
      </c>
      <c r="AV83" t="e">
        <f>AND('Planilla_General_03-12-2012_9_3'!O1315,"AAAAAG3/9y8=")</f>
        <v>#VALUE!</v>
      </c>
      <c r="AW83">
        <f>IF('Planilla_General_03-12-2012_9_3'!1316:1316,"AAAAAG3/9zA=",0)</f>
        <v>0</v>
      </c>
      <c r="AX83" t="e">
        <f>AND('Planilla_General_03-12-2012_9_3'!A1316,"AAAAAG3/9zE=")</f>
        <v>#VALUE!</v>
      </c>
      <c r="AY83" t="e">
        <f>AND('Planilla_General_03-12-2012_9_3'!B1316,"AAAAAG3/9zI=")</f>
        <v>#VALUE!</v>
      </c>
      <c r="AZ83" t="e">
        <f>AND('Planilla_General_03-12-2012_9_3'!C1316,"AAAAAG3/9zM=")</f>
        <v>#VALUE!</v>
      </c>
      <c r="BA83" t="e">
        <f>AND('Planilla_General_03-12-2012_9_3'!D1316,"AAAAAG3/9zQ=")</f>
        <v>#VALUE!</v>
      </c>
      <c r="BB83" t="e">
        <f>AND('Planilla_General_03-12-2012_9_3'!E1316,"AAAAAG3/9zU=")</f>
        <v>#VALUE!</v>
      </c>
      <c r="BC83" t="e">
        <f>AND('Planilla_General_03-12-2012_9_3'!F1316,"AAAAAG3/9zY=")</f>
        <v>#VALUE!</v>
      </c>
      <c r="BD83" t="e">
        <f>AND('Planilla_General_03-12-2012_9_3'!G1316,"AAAAAG3/9zc=")</f>
        <v>#VALUE!</v>
      </c>
      <c r="BE83" t="e">
        <f>AND('Planilla_General_03-12-2012_9_3'!H1316,"AAAAAG3/9zg=")</f>
        <v>#VALUE!</v>
      </c>
      <c r="BF83" t="e">
        <f>AND('Planilla_General_03-12-2012_9_3'!I1316,"AAAAAG3/9zk=")</f>
        <v>#VALUE!</v>
      </c>
      <c r="BG83" t="e">
        <f>AND('Planilla_General_03-12-2012_9_3'!J1316,"AAAAAG3/9zo=")</f>
        <v>#VALUE!</v>
      </c>
      <c r="BH83" t="e">
        <f>AND('Planilla_General_03-12-2012_9_3'!K1316,"AAAAAG3/9zs=")</f>
        <v>#VALUE!</v>
      </c>
      <c r="BI83" t="e">
        <f>AND('Planilla_General_03-12-2012_9_3'!L1316,"AAAAAG3/9zw=")</f>
        <v>#VALUE!</v>
      </c>
      <c r="BJ83" t="e">
        <f>AND('Planilla_General_03-12-2012_9_3'!M1316,"AAAAAG3/9z0=")</f>
        <v>#VALUE!</v>
      </c>
      <c r="BK83" t="e">
        <f>AND('Planilla_General_03-12-2012_9_3'!N1316,"AAAAAG3/9z4=")</f>
        <v>#VALUE!</v>
      </c>
      <c r="BL83" t="e">
        <f>AND('Planilla_General_03-12-2012_9_3'!O1316,"AAAAAG3/9z8=")</f>
        <v>#VALUE!</v>
      </c>
      <c r="BM83">
        <f>IF('Planilla_General_03-12-2012_9_3'!1317:1317,"AAAAAG3/90A=",0)</f>
        <v>0</v>
      </c>
      <c r="BN83" t="e">
        <f>AND('Planilla_General_03-12-2012_9_3'!A1317,"AAAAAG3/90E=")</f>
        <v>#VALUE!</v>
      </c>
      <c r="BO83" t="e">
        <f>AND('Planilla_General_03-12-2012_9_3'!B1317,"AAAAAG3/90I=")</f>
        <v>#VALUE!</v>
      </c>
      <c r="BP83" t="e">
        <f>AND('Planilla_General_03-12-2012_9_3'!C1317,"AAAAAG3/90M=")</f>
        <v>#VALUE!</v>
      </c>
      <c r="BQ83" t="e">
        <f>AND('Planilla_General_03-12-2012_9_3'!D1317,"AAAAAG3/90Q=")</f>
        <v>#VALUE!</v>
      </c>
      <c r="BR83" t="e">
        <f>AND('Planilla_General_03-12-2012_9_3'!E1317,"AAAAAG3/90U=")</f>
        <v>#VALUE!</v>
      </c>
      <c r="BS83" t="e">
        <f>AND('Planilla_General_03-12-2012_9_3'!F1317,"AAAAAG3/90Y=")</f>
        <v>#VALUE!</v>
      </c>
      <c r="BT83" t="e">
        <f>AND('Planilla_General_03-12-2012_9_3'!G1317,"AAAAAG3/90c=")</f>
        <v>#VALUE!</v>
      </c>
      <c r="BU83" t="e">
        <f>AND('Planilla_General_03-12-2012_9_3'!H1317,"AAAAAG3/90g=")</f>
        <v>#VALUE!</v>
      </c>
      <c r="BV83" t="e">
        <f>AND('Planilla_General_03-12-2012_9_3'!I1317,"AAAAAG3/90k=")</f>
        <v>#VALUE!</v>
      </c>
      <c r="BW83" t="e">
        <f>AND('Planilla_General_03-12-2012_9_3'!J1317,"AAAAAG3/90o=")</f>
        <v>#VALUE!</v>
      </c>
      <c r="BX83" t="e">
        <f>AND('Planilla_General_03-12-2012_9_3'!K1317,"AAAAAG3/90s=")</f>
        <v>#VALUE!</v>
      </c>
      <c r="BY83" t="e">
        <f>AND('Planilla_General_03-12-2012_9_3'!L1317,"AAAAAG3/90w=")</f>
        <v>#VALUE!</v>
      </c>
      <c r="BZ83" t="e">
        <f>AND('Planilla_General_03-12-2012_9_3'!M1317,"AAAAAG3/900=")</f>
        <v>#VALUE!</v>
      </c>
      <c r="CA83" t="e">
        <f>AND('Planilla_General_03-12-2012_9_3'!N1317,"AAAAAG3/904=")</f>
        <v>#VALUE!</v>
      </c>
      <c r="CB83" t="e">
        <f>AND('Planilla_General_03-12-2012_9_3'!O1317,"AAAAAG3/908=")</f>
        <v>#VALUE!</v>
      </c>
      <c r="CC83">
        <f>IF('Planilla_General_03-12-2012_9_3'!1318:1318,"AAAAAG3/91A=",0)</f>
        <v>0</v>
      </c>
      <c r="CD83" t="e">
        <f>AND('Planilla_General_03-12-2012_9_3'!A1318,"AAAAAG3/91E=")</f>
        <v>#VALUE!</v>
      </c>
      <c r="CE83" t="e">
        <f>AND('Planilla_General_03-12-2012_9_3'!B1318,"AAAAAG3/91I=")</f>
        <v>#VALUE!</v>
      </c>
      <c r="CF83" t="e">
        <f>AND('Planilla_General_03-12-2012_9_3'!C1318,"AAAAAG3/91M=")</f>
        <v>#VALUE!</v>
      </c>
      <c r="CG83" t="e">
        <f>AND('Planilla_General_03-12-2012_9_3'!D1318,"AAAAAG3/91Q=")</f>
        <v>#VALUE!</v>
      </c>
      <c r="CH83" t="e">
        <f>AND('Planilla_General_03-12-2012_9_3'!E1318,"AAAAAG3/91U=")</f>
        <v>#VALUE!</v>
      </c>
      <c r="CI83" t="e">
        <f>AND('Planilla_General_03-12-2012_9_3'!F1318,"AAAAAG3/91Y=")</f>
        <v>#VALUE!</v>
      </c>
      <c r="CJ83" t="e">
        <f>AND('Planilla_General_03-12-2012_9_3'!G1318,"AAAAAG3/91c=")</f>
        <v>#VALUE!</v>
      </c>
      <c r="CK83" t="e">
        <f>AND('Planilla_General_03-12-2012_9_3'!H1318,"AAAAAG3/91g=")</f>
        <v>#VALUE!</v>
      </c>
      <c r="CL83" t="e">
        <f>AND('Planilla_General_03-12-2012_9_3'!I1318,"AAAAAG3/91k=")</f>
        <v>#VALUE!</v>
      </c>
      <c r="CM83" t="e">
        <f>AND('Planilla_General_03-12-2012_9_3'!J1318,"AAAAAG3/91o=")</f>
        <v>#VALUE!</v>
      </c>
      <c r="CN83" t="e">
        <f>AND('Planilla_General_03-12-2012_9_3'!K1318,"AAAAAG3/91s=")</f>
        <v>#VALUE!</v>
      </c>
      <c r="CO83" t="e">
        <f>AND('Planilla_General_03-12-2012_9_3'!L1318,"AAAAAG3/91w=")</f>
        <v>#VALUE!</v>
      </c>
      <c r="CP83" t="e">
        <f>AND('Planilla_General_03-12-2012_9_3'!M1318,"AAAAAG3/910=")</f>
        <v>#VALUE!</v>
      </c>
      <c r="CQ83" t="e">
        <f>AND('Planilla_General_03-12-2012_9_3'!N1318,"AAAAAG3/914=")</f>
        <v>#VALUE!</v>
      </c>
      <c r="CR83" t="e">
        <f>AND('Planilla_General_03-12-2012_9_3'!O1318,"AAAAAG3/918=")</f>
        <v>#VALUE!</v>
      </c>
      <c r="CS83">
        <f>IF('Planilla_General_03-12-2012_9_3'!1319:1319,"AAAAAG3/92A=",0)</f>
        <v>0</v>
      </c>
      <c r="CT83" t="e">
        <f>AND('Planilla_General_03-12-2012_9_3'!A1319,"AAAAAG3/92E=")</f>
        <v>#VALUE!</v>
      </c>
      <c r="CU83" t="e">
        <f>AND('Planilla_General_03-12-2012_9_3'!B1319,"AAAAAG3/92I=")</f>
        <v>#VALUE!</v>
      </c>
      <c r="CV83" t="e">
        <f>AND('Planilla_General_03-12-2012_9_3'!C1319,"AAAAAG3/92M=")</f>
        <v>#VALUE!</v>
      </c>
      <c r="CW83" t="e">
        <f>AND('Planilla_General_03-12-2012_9_3'!D1319,"AAAAAG3/92Q=")</f>
        <v>#VALUE!</v>
      </c>
      <c r="CX83" t="e">
        <f>AND('Planilla_General_03-12-2012_9_3'!E1319,"AAAAAG3/92U=")</f>
        <v>#VALUE!</v>
      </c>
      <c r="CY83" t="e">
        <f>AND('Planilla_General_03-12-2012_9_3'!F1319,"AAAAAG3/92Y=")</f>
        <v>#VALUE!</v>
      </c>
      <c r="CZ83" t="e">
        <f>AND('Planilla_General_03-12-2012_9_3'!G1319,"AAAAAG3/92c=")</f>
        <v>#VALUE!</v>
      </c>
      <c r="DA83" t="e">
        <f>AND('Planilla_General_03-12-2012_9_3'!H1319,"AAAAAG3/92g=")</f>
        <v>#VALUE!</v>
      </c>
      <c r="DB83" t="e">
        <f>AND('Planilla_General_03-12-2012_9_3'!I1319,"AAAAAG3/92k=")</f>
        <v>#VALUE!</v>
      </c>
      <c r="DC83" t="e">
        <f>AND('Planilla_General_03-12-2012_9_3'!J1319,"AAAAAG3/92o=")</f>
        <v>#VALUE!</v>
      </c>
      <c r="DD83" t="e">
        <f>AND('Planilla_General_03-12-2012_9_3'!K1319,"AAAAAG3/92s=")</f>
        <v>#VALUE!</v>
      </c>
      <c r="DE83" t="e">
        <f>AND('Planilla_General_03-12-2012_9_3'!L1319,"AAAAAG3/92w=")</f>
        <v>#VALUE!</v>
      </c>
      <c r="DF83" t="e">
        <f>AND('Planilla_General_03-12-2012_9_3'!M1319,"AAAAAG3/920=")</f>
        <v>#VALUE!</v>
      </c>
      <c r="DG83" t="e">
        <f>AND('Planilla_General_03-12-2012_9_3'!N1319,"AAAAAG3/924=")</f>
        <v>#VALUE!</v>
      </c>
      <c r="DH83" t="e">
        <f>AND('Planilla_General_03-12-2012_9_3'!O1319,"AAAAAG3/928=")</f>
        <v>#VALUE!</v>
      </c>
      <c r="DI83">
        <f>IF('Planilla_General_03-12-2012_9_3'!1320:1320,"AAAAAG3/93A=",0)</f>
        <v>0</v>
      </c>
      <c r="DJ83" t="e">
        <f>AND('Planilla_General_03-12-2012_9_3'!A1320,"AAAAAG3/93E=")</f>
        <v>#VALUE!</v>
      </c>
      <c r="DK83" t="e">
        <f>AND('Planilla_General_03-12-2012_9_3'!B1320,"AAAAAG3/93I=")</f>
        <v>#VALUE!</v>
      </c>
      <c r="DL83" t="e">
        <f>AND('Planilla_General_03-12-2012_9_3'!C1320,"AAAAAG3/93M=")</f>
        <v>#VALUE!</v>
      </c>
      <c r="DM83" t="e">
        <f>AND('Planilla_General_03-12-2012_9_3'!D1320,"AAAAAG3/93Q=")</f>
        <v>#VALUE!</v>
      </c>
      <c r="DN83" t="e">
        <f>AND('Planilla_General_03-12-2012_9_3'!E1320,"AAAAAG3/93U=")</f>
        <v>#VALUE!</v>
      </c>
      <c r="DO83" t="e">
        <f>AND('Planilla_General_03-12-2012_9_3'!F1320,"AAAAAG3/93Y=")</f>
        <v>#VALUE!</v>
      </c>
      <c r="DP83" t="e">
        <f>AND('Planilla_General_03-12-2012_9_3'!G1320,"AAAAAG3/93c=")</f>
        <v>#VALUE!</v>
      </c>
      <c r="DQ83" t="e">
        <f>AND('Planilla_General_03-12-2012_9_3'!H1320,"AAAAAG3/93g=")</f>
        <v>#VALUE!</v>
      </c>
      <c r="DR83" t="e">
        <f>AND('Planilla_General_03-12-2012_9_3'!I1320,"AAAAAG3/93k=")</f>
        <v>#VALUE!</v>
      </c>
      <c r="DS83" t="e">
        <f>AND('Planilla_General_03-12-2012_9_3'!J1320,"AAAAAG3/93o=")</f>
        <v>#VALUE!</v>
      </c>
      <c r="DT83" t="e">
        <f>AND('Planilla_General_03-12-2012_9_3'!K1320,"AAAAAG3/93s=")</f>
        <v>#VALUE!</v>
      </c>
      <c r="DU83" t="e">
        <f>AND('Planilla_General_03-12-2012_9_3'!L1320,"AAAAAG3/93w=")</f>
        <v>#VALUE!</v>
      </c>
      <c r="DV83" t="e">
        <f>AND('Planilla_General_03-12-2012_9_3'!M1320,"AAAAAG3/930=")</f>
        <v>#VALUE!</v>
      </c>
      <c r="DW83" t="e">
        <f>AND('Planilla_General_03-12-2012_9_3'!N1320,"AAAAAG3/934=")</f>
        <v>#VALUE!</v>
      </c>
      <c r="DX83" t="e">
        <f>AND('Planilla_General_03-12-2012_9_3'!O1320,"AAAAAG3/938=")</f>
        <v>#VALUE!</v>
      </c>
      <c r="DY83">
        <f>IF('Planilla_General_03-12-2012_9_3'!1321:1321,"AAAAAG3/94A=",0)</f>
        <v>0</v>
      </c>
      <c r="DZ83" t="e">
        <f>AND('Planilla_General_03-12-2012_9_3'!A1321,"AAAAAG3/94E=")</f>
        <v>#VALUE!</v>
      </c>
      <c r="EA83" t="e">
        <f>AND('Planilla_General_03-12-2012_9_3'!B1321,"AAAAAG3/94I=")</f>
        <v>#VALUE!</v>
      </c>
      <c r="EB83" t="e">
        <f>AND('Planilla_General_03-12-2012_9_3'!C1321,"AAAAAG3/94M=")</f>
        <v>#VALUE!</v>
      </c>
      <c r="EC83" t="e">
        <f>AND('Planilla_General_03-12-2012_9_3'!D1321,"AAAAAG3/94Q=")</f>
        <v>#VALUE!</v>
      </c>
      <c r="ED83" t="e">
        <f>AND('Planilla_General_03-12-2012_9_3'!E1321,"AAAAAG3/94U=")</f>
        <v>#VALUE!</v>
      </c>
      <c r="EE83" t="e">
        <f>AND('Planilla_General_03-12-2012_9_3'!F1321,"AAAAAG3/94Y=")</f>
        <v>#VALUE!</v>
      </c>
      <c r="EF83" t="e">
        <f>AND('Planilla_General_03-12-2012_9_3'!G1321,"AAAAAG3/94c=")</f>
        <v>#VALUE!</v>
      </c>
      <c r="EG83" t="e">
        <f>AND('Planilla_General_03-12-2012_9_3'!H1321,"AAAAAG3/94g=")</f>
        <v>#VALUE!</v>
      </c>
      <c r="EH83" t="e">
        <f>AND('Planilla_General_03-12-2012_9_3'!I1321,"AAAAAG3/94k=")</f>
        <v>#VALUE!</v>
      </c>
      <c r="EI83" t="e">
        <f>AND('Planilla_General_03-12-2012_9_3'!J1321,"AAAAAG3/94o=")</f>
        <v>#VALUE!</v>
      </c>
      <c r="EJ83" t="e">
        <f>AND('Planilla_General_03-12-2012_9_3'!K1321,"AAAAAG3/94s=")</f>
        <v>#VALUE!</v>
      </c>
      <c r="EK83" t="e">
        <f>AND('Planilla_General_03-12-2012_9_3'!L1321,"AAAAAG3/94w=")</f>
        <v>#VALUE!</v>
      </c>
      <c r="EL83" t="e">
        <f>AND('Planilla_General_03-12-2012_9_3'!M1321,"AAAAAG3/940=")</f>
        <v>#VALUE!</v>
      </c>
      <c r="EM83" t="e">
        <f>AND('Planilla_General_03-12-2012_9_3'!N1321,"AAAAAG3/944=")</f>
        <v>#VALUE!</v>
      </c>
      <c r="EN83" t="e">
        <f>AND('Planilla_General_03-12-2012_9_3'!O1321,"AAAAAG3/948=")</f>
        <v>#VALUE!</v>
      </c>
      <c r="EO83">
        <f>IF('Planilla_General_03-12-2012_9_3'!1322:1322,"AAAAAG3/95A=",0)</f>
        <v>0</v>
      </c>
      <c r="EP83" t="e">
        <f>AND('Planilla_General_03-12-2012_9_3'!A1322,"AAAAAG3/95E=")</f>
        <v>#VALUE!</v>
      </c>
      <c r="EQ83" t="e">
        <f>AND('Planilla_General_03-12-2012_9_3'!B1322,"AAAAAG3/95I=")</f>
        <v>#VALUE!</v>
      </c>
      <c r="ER83" t="e">
        <f>AND('Planilla_General_03-12-2012_9_3'!C1322,"AAAAAG3/95M=")</f>
        <v>#VALUE!</v>
      </c>
      <c r="ES83" t="e">
        <f>AND('Planilla_General_03-12-2012_9_3'!D1322,"AAAAAG3/95Q=")</f>
        <v>#VALUE!</v>
      </c>
      <c r="ET83" t="e">
        <f>AND('Planilla_General_03-12-2012_9_3'!E1322,"AAAAAG3/95U=")</f>
        <v>#VALUE!</v>
      </c>
      <c r="EU83" t="e">
        <f>AND('Planilla_General_03-12-2012_9_3'!F1322,"AAAAAG3/95Y=")</f>
        <v>#VALUE!</v>
      </c>
      <c r="EV83" t="e">
        <f>AND('Planilla_General_03-12-2012_9_3'!G1322,"AAAAAG3/95c=")</f>
        <v>#VALUE!</v>
      </c>
      <c r="EW83" t="e">
        <f>AND('Planilla_General_03-12-2012_9_3'!H1322,"AAAAAG3/95g=")</f>
        <v>#VALUE!</v>
      </c>
      <c r="EX83" t="e">
        <f>AND('Planilla_General_03-12-2012_9_3'!I1322,"AAAAAG3/95k=")</f>
        <v>#VALUE!</v>
      </c>
      <c r="EY83" t="e">
        <f>AND('Planilla_General_03-12-2012_9_3'!J1322,"AAAAAG3/95o=")</f>
        <v>#VALUE!</v>
      </c>
      <c r="EZ83" t="e">
        <f>AND('Planilla_General_03-12-2012_9_3'!K1322,"AAAAAG3/95s=")</f>
        <v>#VALUE!</v>
      </c>
      <c r="FA83" t="e">
        <f>AND('Planilla_General_03-12-2012_9_3'!L1322,"AAAAAG3/95w=")</f>
        <v>#VALUE!</v>
      </c>
      <c r="FB83" t="e">
        <f>AND('Planilla_General_03-12-2012_9_3'!M1322,"AAAAAG3/950=")</f>
        <v>#VALUE!</v>
      </c>
      <c r="FC83" t="e">
        <f>AND('Planilla_General_03-12-2012_9_3'!N1322,"AAAAAG3/954=")</f>
        <v>#VALUE!</v>
      </c>
      <c r="FD83" t="e">
        <f>AND('Planilla_General_03-12-2012_9_3'!O1322,"AAAAAG3/958=")</f>
        <v>#VALUE!</v>
      </c>
      <c r="FE83">
        <f>IF('Planilla_General_03-12-2012_9_3'!1323:1323,"AAAAAG3/96A=",0)</f>
        <v>0</v>
      </c>
      <c r="FF83" t="e">
        <f>AND('Planilla_General_03-12-2012_9_3'!A1323,"AAAAAG3/96E=")</f>
        <v>#VALUE!</v>
      </c>
      <c r="FG83" t="e">
        <f>AND('Planilla_General_03-12-2012_9_3'!B1323,"AAAAAG3/96I=")</f>
        <v>#VALUE!</v>
      </c>
      <c r="FH83" t="e">
        <f>AND('Planilla_General_03-12-2012_9_3'!C1323,"AAAAAG3/96M=")</f>
        <v>#VALUE!</v>
      </c>
      <c r="FI83" t="e">
        <f>AND('Planilla_General_03-12-2012_9_3'!D1323,"AAAAAG3/96Q=")</f>
        <v>#VALUE!</v>
      </c>
      <c r="FJ83" t="e">
        <f>AND('Planilla_General_03-12-2012_9_3'!E1323,"AAAAAG3/96U=")</f>
        <v>#VALUE!</v>
      </c>
      <c r="FK83" t="e">
        <f>AND('Planilla_General_03-12-2012_9_3'!F1323,"AAAAAG3/96Y=")</f>
        <v>#VALUE!</v>
      </c>
      <c r="FL83" t="e">
        <f>AND('Planilla_General_03-12-2012_9_3'!G1323,"AAAAAG3/96c=")</f>
        <v>#VALUE!</v>
      </c>
      <c r="FM83" t="e">
        <f>AND('Planilla_General_03-12-2012_9_3'!H1323,"AAAAAG3/96g=")</f>
        <v>#VALUE!</v>
      </c>
      <c r="FN83" t="e">
        <f>AND('Planilla_General_03-12-2012_9_3'!I1323,"AAAAAG3/96k=")</f>
        <v>#VALUE!</v>
      </c>
      <c r="FO83" t="e">
        <f>AND('Planilla_General_03-12-2012_9_3'!J1323,"AAAAAG3/96o=")</f>
        <v>#VALUE!</v>
      </c>
      <c r="FP83" t="e">
        <f>AND('Planilla_General_03-12-2012_9_3'!K1323,"AAAAAG3/96s=")</f>
        <v>#VALUE!</v>
      </c>
      <c r="FQ83" t="e">
        <f>AND('Planilla_General_03-12-2012_9_3'!L1323,"AAAAAG3/96w=")</f>
        <v>#VALUE!</v>
      </c>
      <c r="FR83" t="e">
        <f>AND('Planilla_General_03-12-2012_9_3'!M1323,"AAAAAG3/960=")</f>
        <v>#VALUE!</v>
      </c>
      <c r="FS83" t="e">
        <f>AND('Planilla_General_03-12-2012_9_3'!N1323,"AAAAAG3/964=")</f>
        <v>#VALUE!</v>
      </c>
      <c r="FT83" t="e">
        <f>AND('Planilla_General_03-12-2012_9_3'!O1323,"AAAAAG3/968=")</f>
        <v>#VALUE!</v>
      </c>
      <c r="FU83">
        <f>IF('Planilla_General_03-12-2012_9_3'!1324:1324,"AAAAAG3/97A=",0)</f>
        <v>0</v>
      </c>
      <c r="FV83" t="e">
        <f>AND('Planilla_General_03-12-2012_9_3'!A1324,"AAAAAG3/97E=")</f>
        <v>#VALUE!</v>
      </c>
      <c r="FW83" t="e">
        <f>AND('Planilla_General_03-12-2012_9_3'!B1324,"AAAAAG3/97I=")</f>
        <v>#VALUE!</v>
      </c>
      <c r="FX83" t="e">
        <f>AND('Planilla_General_03-12-2012_9_3'!C1324,"AAAAAG3/97M=")</f>
        <v>#VALUE!</v>
      </c>
      <c r="FY83" t="e">
        <f>AND('Planilla_General_03-12-2012_9_3'!D1324,"AAAAAG3/97Q=")</f>
        <v>#VALUE!</v>
      </c>
      <c r="FZ83" t="e">
        <f>AND('Planilla_General_03-12-2012_9_3'!E1324,"AAAAAG3/97U=")</f>
        <v>#VALUE!</v>
      </c>
      <c r="GA83" t="e">
        <f>AND('Planilla_General_03-12-2012_9_3'!F1324,"AAAAAG3/97Y=")</f>
        <v>#VALUE!</v>
      </c>
      <c r="GB83" t="e">
        <f>AND('Planilla_General_03-12-2012_9_3'!G1324,"AAAAAG3/97c=")</f>
        <v>#VALUE!</v>
      </c>
      <c r="GC83" t="e">
        <f>AND('Planilla_General_03-12-2012_9_3'!H1324,"AAAAAG3/97g=")</f>
        <v>#VALUE!</v>
      </c>
      <c r="GD83" t="e">
        <f>AND('Planilla_General_03-12-2012_9_3'!I1324,"AAAAAG3/97k=")</f>
        <v>#VALUE!</v>
      </c>
      <c r="GE83" t="e">
        <f>AND('Planilla_General_03-12-2012_9_3'!J1324,"AAAAAG3/97o=")</f>
        <v>#VALUE!</v>
      </c>
      <c r="GF83" t="e">
        <f>AND('Planilla_General_03-12-2012_9_3'!K1324,"AAAAAG3/97s=")</f>
        <v>#VALUE!</v>
      </c>
      <c r="GG83" t="e">
        <f>AND('Planilla_General_03-12-2012_9_3'!L1324,"AAAAAG3/97w=")</f>
        <v>#VALUE!</v>
      </c>
      <c r="GH83" t="e">
        <f>AND('Planilla_General_03-12-2012_9_3'!M1324,"AAAAAG3/970=")</f>
        <v>#VALUE!</v>
      </c>
      <c r="GI83" t="e">
        <f>AND('Planilla_General_03-12-2012_9_3'!N1324,"AAAAAG3/974=")</f>
        <v>#VALUE!</v>
      </c>
      <c r="GJ83" t="e">
        <f>AND('Planilla_General_03-12-2012_9_3'!O1324,"AAAAAG3/978=")</f>
        <v>#VALUE!</v>
      </c>
      <c r="GK83">
        <f>IF('Planilla_General_03-12-2012_9_3'!1325:1325,"AAAAAG3/98A=",0)</f>
        <v>0</v>
      </c>
      <c r="GL83" t="e">
        <f>AND('Planilla_General_03-12-2012_9_3'!A1325,"AAAAAG3/98E=")</f>
        <v>#VALUE!</v>
      </c>
      <c r="GM83" t="e">
        <f>AND('Planilla_General_03-12-2012_9_3'!B1325,"AAAAAG3/98I=")</f>
        <v>#VALUE!</v>
      </c>
      <c r="GN83" t="e">
        <f>AND('Planilla_General_03-12-2012_9_3'!C1325,"AAAAAG3/98M=")</f>
        <v>#VALUE!</v>
      </c>
      <c r="GO83" t="e">
        <f>AND('Planilla_General_03-12-2012_9_3'!D1325,"AAAAAG3/98Q=")</f>
        <v>#VALUE!</v>
      </c>
      <c r="GP83" t="e">
        <f>AND('Planilla_General_03-12-2012_9_3'!E1325,"AAAAAG3/98U=")</f>
        <v>#VALUE!</v>
      </c>
      <c r="GQ83" t="e">
        <f>AND('Planilla_General_03-12-2012_9_3'!F1325,"AAAAAG3/98Y=")</f>
        <v>#VALUE!</v>
      </c>
      <c r="GR83" t="e">
        <f>AND('Planilla_General_03-12-2012_9_3'!G1325,"AAAAAG3/98c=")</f>
        <v>#VALUE!</v>
      </c>
      <c r="GS83" t="e">
        <f>AND('Planilla_General_03-12-2012_9_3'!H1325,"AAAAAG3/98g=")</f>
        <v>#VALUE!</v>
      </c>
      <c r="GT83" t="e">
        <f>AND('Planilla_General_03-12-2012_9_3'!I1325,"AAAAAG3/98k=")</f>
        <v>#VALUE!</v>
      </c>
      <c r="GU83" t="e">
        <f>AND('Planilla_General_03-12-2012_9_3'!J1325,"AAAAAG3/98o=")</f>
        <v>#VALUE!</v>
      </c>
      <c r="GV83" t="e">
        <f>AND('Planilla_General_03-12-2012_9_3'!K1325,"AAAAAG3/98s=")</f>
        <v>#VALUE!</v>
      </c>
      <c r="GW83" t="e">
        <f>AND('Planilla_General_03-12-2012_9_3'!L1325,"AAAAAG3/98w=")</f>
        <v>#VALUE!</v>
      </c>
      <c r="GX83" t="e">
        <f>AND('Planilla_General_03-12-2012_9_3'!M1325,"AAAAAG3/980=")</f>
        <v>#VALUE!</v>
      </c>
      <c r="GY83" t="e">
        <f>AND('Planilla_General_03-12-2012_9_3'!N1325,"AAAAAG3/984=")</f>
        <v>#VALUE!</v>
      </c>
      <c r="GZ83" t="e">
        <f>AND('Planilla_General_03-12-2012_9_3'!O1325,"AAAAAG3/988=")</f>
        <v>#VALUE!</v>
      </c>
      <c r="HA83">
        <f>IF('Planilla_General_03-12-2012_9_3'!1326:1326,"AAAAAG3/99A=",0)</f>
        <v>0</v>
      </c>
      <c r="HB83" t="e">
        <f>AND('Planilla_General_03-12-2012_9_3'!A1326,"AAAAAG3/99E=")</f>
        <v>#VALUE!</v>
      </c>
      <c r="HC83" t="e">
        <f>AND('Planilla_General_03-12-2012_9_3'!B1326,"AAAAAG3/99I=")</f>
        <v>#VALUE!</v>
      </c>
      <c r="HD83" t="e">
        <f>AND('Planilla_General_03-12-2012_9_3'!C1326,"AAAAAG3/99M=")</f>
        <v>#VALUE!</v>
      </c>
      <c r="HE83" t="e">
        <f>AND('Planilla_General_03-12-2012_9_3'!D1326,"AAAAAG3/99Q=")</f>
        <v>#VALUE!</v>
      </c>
      <c r="HF83" t="e">
        <f>AND('Planilla_General_03-12-2012_9_3'!E1326,"AAAAAG3/99U=")</f>
        <v>#VALUE!</v>
      </c>
      <c r="HG83" t="e">
        <f>AND('Planilla_General_03-12-2012_9_3'!F1326,"AAAAAG3/99Y=")</f>
        <v>#VALUE!</v>
      </c>
      <c r="HH83" t="e">
        <f>AND('Planilla_General_03-12-2012_9_3'!G1326,"AAAAAG3/99c=")</f>
        <v>#VALUE!</v>
      </c>
      <c r="HI83" t="e">
        <f>AND('Planilla_General_03-12-2012_9_3'!H1326,"AAAAAG3/99g=")</f>
        <v>#VALUE!</v>
      </c>
      <c r="HJ83" t="e">
        <f>AND('Planilla_General_03-12-2012_9_3'!I1326,"AAAAAG3/99k=")</f>
        <v>#VALUE!</v>
      </c>
      <c r="HK83" t="e">
        <f>AND('Planilla_General_03-12-2012_9_3'!J1326,"AAAAAG3/99o=")</f>
        <v>#VALUE!</v>
      </c>
      <c r="HL83" t="e">
        <f>AND('Planilla_General_03-12-2012_9_3'!K1326,"AAAAAG3/99s=")</f>
        <v>#VALUE!</v>
      </c>
      <c r="HM83" t="e">
        <f>AND('Planilla_General_03-12-2012_9_3'!L1326,"AAAAAG3/99w=")</f>
        <v>#VALUE!</v>
      </c>
      <c r="HN83" t="e">
        <f>AND('Planilla_General_03-12-2012_9_3'!M1326,"AAAAAG3/990=")</f>
        <v>#VALUE!</v>
      </c>
      <c r="HO83" t="e">
        <f>AND('Planilla_General_03-12-2012_9_3'!N1326,"AAAAAG3/994=")</f>
        <v>#VALUE!</v>
      </c>
      <c r="HP83" t="e">
        <f>AND('Planilla_General_03-12-2012_9_3'!O1326,"AAAAAG3/998=")</f>
        <v>#VALUE!</v>
      </c>
      <c r="HQ83">
        <f>IF('Planilla_General_03-12-2012_9_3'!1327:1327,"AAAAAG3/9+A=",0)</f>
        <v>0</v>
      </c>
      <c r="HR83" t="e">
        <f>AND('Planilla_General_03-12-2012_9_3'!A1327,"AAAAAG3/9+E=")</f>
        <v>#VALUE!</v>
      </c>
      <c r="HS83" t="e">
        <f>AND('Planilla_General_03-12-2012_9_3'!B1327,"AAAAAG3/9+I=")</f>
        <v>#VALUE!</v>
      </c>
      <c r="HT83" t="e">
        <f>AND('Planilla_General_03-12-2012_9_3'!C1327,"AAAAAG3/9+M=")</f>
        <v>#VALUE!</v>
      </c>
      <c r="HU83" t="e">
        <f>AND('Planilla_General_03-12-2012_9_3'!D1327,"AAAAAG3/9+Q=")</f>
        <v>#VALUE!</v>
      </c>
      <c r="HV83" t="e">
        <f>AND('Planilla_General_03-12-2012_9_3'!E1327,"AAAAAG3/9+U=")</f>
        <v>#VALUE!</v>
      </c>
      <c r="HW83" t="e">
        <f>AND('Planilla_General_03-12-2012_9_3'!F1327,"AAAAAG3/9+Y=")</f>
        <v>#VALUE!</v>
      </c>
      <c r="HX83" t="e">
        <f>AND('Planilla_General_03-12-2012_9_3'!G1327,"AAAAAG3/9+c=")</f>
        <v>#VALUE!</v>
      </c>
      <c r="HY83" t="e">
        <f>AND('Planilla_General_03-12-2012_9_3'!H1327,"AAAAAG3/9+g=")</f>
        <v>#VALUE!</v>
      </c>
      <c r="HZ83" t="e">
        <f>AND('Planilla_General_03-12-2012_9_3'!I1327,"AAAAAG3/9+k=")</f>
        <v>#VALUE!</v>
      </c>
      <c r="IA83" t="e">
        <f>AND('Planilla_General_03-12-2012_9_3'!J1327,"AAAAAG3/9+o=")</f>
        <v>#VALUE!</v>
      </c>
      <c r="IB83" t="e">
        <f>AND('Planilla_General_03-12-2012_9_3'!K1327,"AAAAAG3/9+s=")</f>
        <v>#VALUE!</v>
      </c>
      <c r="IC83" t="e">
        <f>AND('Planilla_General_03-12-2012_9_3'!L1327,"AAAAAG3/9+w=")</f>
        <v>#VALUE!</v>
      </c>
      <c r="ID83" t="e">
        <f>AND('Planilla_General_03-12-2012_9_3'!M1327,"AAAAAG3/9+0=")</f>
        <v>#VALUE!</v>
      </c>
      <c r="IE83" t="e">
        <f>AND('Planilla_General_03-12-2012_9_3'!N1327,"AAAAAG3/9+4=")</f>
        <v>#VALUE!</v>
      </c>
      <c r="IF83" t="e">
        <f>AND('Planilla_General_03-12-2012_9_3'!O1327,"AAAAAG3/9+8=")</f>
        <v>#VALUE!</v>
      </c>
      <c r="IG83">
        <f>IF('Planilla_General_03-12-2012_9_3'!1328:1328,"AAAAAG3/9/A=",0)</f>
        <v>0</v>
      </c>
      <c r="IH83" t="e">
        <f>AND('Planilla_General_03-12-2012_9_3'!A1328,"AAAAAG3/9/E=")</f>
        <v>#VALUE!</v>
      </c>
      <c r="II83" t="e">
        <f>AND('Planilla_General_03-12-2012_9_3'!B1328,"AAAAAG3/9/I=")</f>
        <v>#VALUE!</v>
      </c>
      <c r="IJ83" t="e">
        <f>AND('Planilla_General_03-12-2012_9_3'!C1328,"AAAAAG3/9/M=")</f>
        <v>#VALUE!</v>
      </c>
      <c r="IK83" t="e">
        <f>AND('Planilla_General_03-12-2012_9_3'!D1328,"AAAAAG3/9/Q=")</f>
        <v>#VALUE!</v>
      </c>
      <c r="IL83" t="e">
        <f>AND('Planilla_General_03-12-2012_9_3'!E1328,"AAAAAG3/9/U=")</f>
        <v>#VALUE!</v>
      </c>
      <c r="IM83" t="e">
        <f>AND('Planilla_General_03-12-2012_9_3'!F1328,"AAAAAG3/9/Y=")</f>
        <v>#VALUE!</v>
      </c>
      <c r="IN83" t="e">
        <f>AND('Planilla_General_03-12-2012_9_3'!G1328,"AAAAAG3/9/c=")</f>
        <v>#VALUE!</v>
      </c>
      <c r="IO83" t="e">
        <f>AND('Planilla_General_03-12-2012_9_3'!H1328,"AAAAAG3/9/g=")</f>
        <v>#VALUE!</v>
      </c>
      <c r="IP83" t="e">
        <f>AND('Planilla_General_03-12-2012_9_3'!I1328,"AAAAAG3/9/k=")</f>
        <v>#VALUE!</v>
      </c>
      <c r="IQ83" t="e">
        <f>AND('Planilla_General_03-12-2012_9_3'!J1328,"AAAAAG3/9/o=")</f>
        <v>#VALUE!</v>
      </c>
      <c r="IR83" t="e">
        <f>AND('Planilla_General_03-12-2012_9_3'!K1328,"AAAAAG3/9/s=")</f>
        <v>#VALUE!</v>
      </c>
      <c r="IS83" t="e">
        <f>AND('Planilla_General_03-12-2012_9_3'!L1328,"AAAAAG3/9/w=")</f>
        <v>#VALUE!</v>
      </c>
      <c r="IT83" t="e">
        <f>AND('Planilla_General_03-12-2012_9_3'!M1328,"AAAAAG3/9/0=")</f>
        <v>#VALUE!</v>
      </c>
      <c r="IU83" t="e">
        <f>AND('Planilla_General_03-12-2012_9_3'!N1328,"AAAAAG3/9/4=")</f>
        <v>#VALUE!</v>
      </c>
      <c r="IV83" t="e">
        <f>AND('Planilla_General_03-12-2012_9_3'!O1328,"AAAAAG3/9/8=")</f>
        <v>#VALUE!</v>
      </c>
    </row>
    <row r="84" spans="1:256" x14ac:dyDescent="0.25">
      <c r="A84" t="e">
        <f>IF('Planilla_General_03-12-2012_9_3'!1329:1329,"AAAAAH8n3QA=",0)</f>
        <v>#VALUE!</v>
      </c>
      <c r="B84" t="e">
        <f>AND('Planilla_General_03-12-2012_9_3'!A1329,"AAAAAH8n3QE=")</f>
        <v>#VALUE!</v>
      </c>
      <c r="C84" t="e">
        <f>AND('Planilla_General_03-12-2012_9_3'!B1329,"AAAAAH8n3QI=")</f>
        <v>#VALUE!</v>
      </c>
      <c r="D84" t="e">
        <f>AND('Planilla_General_03-12-2012_9_3'!C1329,"AAAAAH8n3QM=")</f>
        <v>#VALUE!</v>
      </c>
      <c r="E84" t="e">
        <f>AND('Planilla_General_03-12-2012_9_3'!D1329,"AAAAAH8n3QQ=")</f>
        <v>#VALUE!</v>
      </c>
      <c r="F84" t="e">
        <f>AND('Planilla_General_03-12-2012_9_3'!E1329,"AAAAAH8n3QU=")</f>
        <v>#VALUE!</v>
      </c>
      <c r="G84" t="e">
        <f>AND('Planilla_General_03-12-2012_9_3'!F1329,"AAAAAH8n3QY=")</f>
        <v>#VALUE!</v>
      </c>
      <c r="H84" t="e">
        <f>AND('Planilla_General_03-12-2012_9_3'!G1329,"AAAAAH8n3Qc=")</f>
        <v>#VALUE!</v>
      </c>
      <c r="I84" t="e">
        <f>AND('Planilla_General_03-12-2012_9_3'!H1329,"AAAAAH8n3Qg=")</f>
        <v>#VALUE!</v>
      </c>
      <c r="J84" t="e">
        <f>AND('Planilla_General_03-12-2012_9_3'!I1329,"AAAAAH8n3Qk=")</f>
        <v>#VALUE!</v>
      </c>
      <c r="K84" t="e">
        <f>AND('Planilla_General_03-12-2012_9_3'!J1329,"AAAAAH8n3Qo=")</f>
        <v>#VALUE!</v>
      </c>
      <c r="L84" t="e">
        <f>AND('Planilla_General_03-12-2012_9_3'!K1329,"AAAAAH8n3Qs=")</f>
        <v>#VALUE!</v>
      </c>
      <c r="M84" t="e">
        <f>AND('Planilla_General_03-12-2012_9_3'!L1329,"AAAAAH8n3Qw=")</f>
        <v>#VALUE!</v>
      </c>
      <c r="N84" t="e">
        <f>AND('Planilla_General_03-12-2012_9_3'!M1329,"AAAAAH8n3Q0=")</f>
        <v>#VALUE!</v>
      </c>
      <c r="O84" t="e">
        <f>AND('Planilla_General_03-12-2012_9_3'!N1329,"AAAAAH8n3Q4=")</f>
        <v>#VALUE!</v>
      </c>
      <c r="P84" t="e">
        <f>AND('Planilla_General_03-12-2012_9_3'!O1329,"AAAAAH8n3Q8=")</f>
        <v>#VALUE!</v>
      </c>
      <c r="Q84">
        <f>IF('Planilla_General_03-12-2012_9_3'!1330:1330,"AAAAAH8n3RA=",0)</f>
        <v>0</v>
      </c>
      <c r="R84" t="e">
        <f>AND('Planilla_General_03-12-2012_9_3'!A1330,"AAAAAH8n3RE=")</f>
        <v>#VALUE!</v>
      </c>
      <c r="S84" t="e">
        <f>AND('Planilla_General_03-12-2012_9_3'!B1330,"AAAAAH8n3RI=")</f>
        <v>#VALUE!</v>
      </c>
      <c r="T84" t="e">
        <f>AND('Planilla_General_03-12-2012_9_3'!C1330,"AAAAAH8n3RM=")</f>
        <v>#VALUE!</v>
      </c>
      <c r="U84" t="e">
        <f>AND('Planilla_General_03-12-2012_9_3'!D1330,"AAAAAH8n3RQ=")</f>
        <v>#VALUE!</v>
      </c>
      <c r="V84" t="e">
        <f>AND('Planilla_General_03-12-2012_9_3'!E1330,"AAAAAH8n3RU=")</f>
        <v>#VALUE!</v>
      </c>
      <c r="W84" t="e">
        <f>AND('Planilla_General_03-12-2012_9_3'!F1330,"AAAAAH8n3RY=")</f>
        <v>#VALUE!</v>
      </c>
      <c r="X84" t="e">
        <f>AND('Planilla_General_03-12-2012_9_3'!G1330,"AAAAAH8n3Rc=")</f>
        <v>#VALUE!</v>
      </c>
      <c r="Y84" t="e">
        <f>AND('Planilla_General_03-12-2012_9_3'!H1330,"AAAAAH8n3Rg=")</f>
        <v>#VALUE!</v>
      </c>
      <c r="Z84" t="e">
        <f>AND('Planilla_General_03-12-2012_9_3'!I1330,"AAAAAH8n3Rk=")</f>
        <v>#VALUE!</v>
      </c>
      <c r="AA84" t="e">
        <f>AND('Planilla_General_03-12-2012_9_3'!J1330,"AAAAAH8n3Ro=")</f>
        <v>#VALUE!</v>
      </c>
      <c r="AB84" t="e">
        <f>AND('Planilla_General_03-12-2012_9_3'!K1330,"AAAAAH8n3Rs=")</f>
        <v>#VALUE!</v>
      </c>
      <c r="AC84" t="e">
        <f>AND('Planilla_General_03-12-2012_9_3'!L1330,"AAAAAH8n3Rw=")</f>
        <v>#VALUE!</v>
      </c>
      <c r="AD84" t="e">
        <f>AND('Planilla_General_03-12-2012_9_3'!M1330,"AAAAAH8n3R0=")</f>
        <v>#VALUE!</v>
      </c>
      <c r="AE84" t="e">
        <f>AND('Planilla_General_03-12-2012_9_3'!N1330,"AAAAAH8n3R4=")</f>
        <v>#VALUE!</v>
      </c>
      <c r="AF84" t="e">
        <f>AND('Planilla_General_03-12-2012_9_3'!O1330,"AAAAAH8n3R8=")</f>
        <v>#VALUE!</v>
      </c>
      <c r="AG84">
        <f>IF('Planilla_General_03-12-2012_9_3'!1331:1331,"AAAAAH8n3SA=",0)</f>
        <v>0</v>
      </c>
      <c r="AH84" t="e">
        <f>AND('Planilla_General_03-12-2012_9_3'!A1331,"AAAAAH8n3SE=")</f>
        <v>#VALUE!</v>
      </c>
      <c r="AI84" t="e">
        <f>AND('Planilla_General_03-12-2012_9_3'!B1331,"AAAAAH8n3SI=")</f>
        <v>#VALUE!</v>
      </c>
      <c r="AJ84" t="e">
        <f>AND('Planilla_General_03-12-2012_9_3'!C1331,"AAAAAH8n3SM=")</f>
        <v>#VALUE!</v>
      </c>
      <c r="AK84" t="e">
        <f>AND('Planilla_General_03-12-2012_9_3'!D1331,"AAAAAH8n3SQ=")</f>
        <v>#VALUE!</v>
      </c>
      <c r="AL84" t="e">
        <f>AND('Planilla_General_03-12-2012_9_3'!E1331,"AAAAAH8n3SU=")</f>
        <v>#VALUE!</v>
      </c>
      <c r="AM84" t="e">
        <f>AND('Planilla_General_03-12-2012_9_3'!F1331,"AAAAAH8n3SY=")</f>
        <v>#VALUE!</v>
      </c>
      <c r="AN84" t="e">
        <f>AND('Planilla_General_03-12-2012_9_3'!G1331,"AAAAAH8n3Sc=")</f>
        <v>#VALUE!</v>
      </c>
      <c r="AO84" t="e">
        <f>AND('Planilla_General_03-12-2012_9_3'!H1331,"AAAAAH8n3Sg=")</f>
        <v>#VALUE!</v>
      </c>
      <c r="AP84" t="e">
        <f>AND('Planilla_General_03-12-2012_9_3'!I1331,"AAAAAH8n3Sk=")</f>
        <v>#VALUE!</v>
      </c>
      <c r="AQ84" t="e">
        <f>AND('Planilla_General_03-12-2012_9_3'!J1331,"AAAAAH8n3So=")</f>
        <v>#VALUE!</v>
      </c>
      <c r="AR84" t="e">
        <f>AND('Planilla_General_03-12-2012_9_3'!K1331,"AAAAAH8n3Ss=")</f>
        <v>#VALUE!</v>
      </c>
      <c r="AS84" t="e">
        <f>AND('Planilla_General_03-12-2012_9_3'!L1331,"AAAAAH8n3Sw=")</f>
        <v>#VALUE!</v>
      </c>
      <c r="AT84" t="e">
        <f>AND('Planilla_General_03-12-2012_9_3'!M1331,"AAAAAH8n3S0=")</f>
        <v>#VALUE!</v>
      </c>
      <c r="AU84" t="e">
        <f>AND('Planilla_General_03-12-2012_9_3'!N1331,"AAAAAH8n3S4=")</f>
        <v>#VALUE!</v>
      </c>
      <c r="AV84" t="e">
        <f>AND('Planilla_General_03-12-2012_9_3'!O1331,"AAAAAH8n3S8=")</f>
        <v>#VALUE!</v>
      </c>
      <c r="AW84">
        <f>IF('Planilla_General_03-12-2012_9_3'!1332:1332,"AAAAAH8n3TA=",0)</f>
        <v>0</v>
      </c>
      <c r="AX84" t="e">
        <f>AND('Planilla_General_03-12-2012_9_3'!A1332,"AAAAAH8n3TE=")</f>
        <v>#VALUE!</v>
      </c>
      <c r="AY84" t="e">
        <f>AND('Planilla_General_03-12-2012_9_3'!B1332,"AAAAAH8n3TI=")</f>
        <v>#VALUE!</v>
      </c>
      <c r="AZ84" t="e">
        <f>AND('Planilla_General_03-12-2012_9_3'!C1332,"AAAAAH8n3TM=")</f>
        <v>#VALUE!</v>
      </c>
      <c r="BA84" t="e">
        <f>AND('Planilla_General_03-12-2012_9_3'!D1332,"AAAAAH8n3TQ=")</f>
        <v>#VALUE!</v>
      </c>
      <c r="BB84" t="e">
        <f>AND('Planilla_General_03-12-2012_9_3'!E1332,"AAAAAH8n3TU=")</f>
        <v>#VALUE!</v>
      </c>
      <c r="BC84" t="e">
        <f>AND('Planilla_General_03-12-2012_9_3'!F1332,"AAAAAH8n3TY=")</f>
        <v>#VALUE!</v>
      </c>
      <c r="BD84" t="e">
        <f>AND('Planilla_General_03-12-2012_9_3'!G1332,"AAAAAH8n3Tc=")</f>
        <v>#VALUE!</v>
      </c>
      <c r="BE84" t="e">
        <f>AND('Planilla_General_03-12-2012_9_3'!H1332,"AAAAAH8n3Tg=")</f>
        <v>#VALUE!</v>
      </c>
      <c r="BF84" t="e">
        <f>AND('Planilla_General_03-12-2012_9_3'!I1332,"AAAAAH8n3Tk=")</f>
        <v>#VALUE!</v>
      </c>
      <c r="BG84" t="e">
        <f>AND('Planilla_General_03-12-2012_9_3'!J1332,"AAAAAH8n3To=")</f>
        <v>#VALUE!</v>
      </c>
      <c r="BH84" t="e">
        <f>AND('Planilla_General_03-12-2012_9_3'!K1332,"AAAAAH8n3Ts=")</f>
        <v>#VALUE!</v>
      </c>
      <c r="BI84" t="e">
        <f>AND('Planilla_General_03-12-2012_9_3'!L1332,"AAAAAH8n3Tw=")</f>
        <v>#VALUE!</v>
      </c>
      <c r="BJ84" t="e">
        <f>AND('Planilla_General_03-12-2012_9_3'!M1332,"AAAAAH8n3T0=")</f>
        <v>#VALUE!</v>
      </c>
      <c r="BK84" t="e">
        <f>AND('Planilla_General_03-12-2012_9_3'!N1332,"AAAAAH8n3T4=")</f>
        <v>#VALUE!</v>
      </c>
      <c r="BL84" t="e">
        <f>AND('Planilla_General_03-12-2012_9_3'!O1332,"AAAAAH8n3T8=")</f>
        <v>#VALUE!</v>
      </c>
      <c r="BM84">
        <f>IF('Planilla_General_03-12-2012_9_3'!1333:1333,"AAAAAH8n3UA=",0)</f>
        <v>0</v>
      </c>
      <c r="BN84" t="e">
        <f>AND('Planilla_General_03-12-2012_9_3'!A1333,"AAAAAH8n3UE=")</f>
        <v>#VALUE!</v>
      </c>
      <c r="BO84" t="e">
        <f>AND('Planilla_General_03-12-2012_9_3'!B1333,"AAAAAH8n3UI=")</f>
        <v>#VALUE!</v>
      </c>
      <c r="BP84" t="e">
        <f>AND('Planilla_General_03-12-2012_9_3'!C1333,"AAAAAH8n3UM=")</f>
        <v>#VALUE!</v>
      </c>
      <c r="BQ84" t="e">
        <f>AND('Planilla_General_03-12-2012_9_3'!D1333,"AAAAAH8n3UQ=")</f>
        <v>#VALUE!</v>
      </c>
      <c r="BR84" t="e">
        <f>AND('Planilla_General_03-12-2012_9_3'!E1333,"AAAAAH8n3UU=")</f>
        <v>#VALUE!</v>
      </c>
      <c r="BS84" t="e">
        <f>AND('Planilla_General_03-12-2012_9_3'!F1333,"AAAAAH8n3UY=")</f>
        <v>#VALUE!</v>
      </c>
      <c r="BT84" t="e">
        <f>AND('Planilla_General_03-12-2012_9_3'!G1333,"AAAAAH8n3Uc=")</f>
        <v>#VALUE!</v>
      </c>
      <c r="BU84" t="e">
        <f>AND('Planilla_General_03-12-2012_9_3'!H1333,"AAAAAH8n3Ug=")</f>
        <v>#VALUE!</v>
      </c>
      <c r="BV84" t="e">
        <f>AND('Planilla_General_03-12-2012_9_3'!I1333,"AAAAAH8n3Uk=")</f>
        <v>#VALUE!</v>
      </c>
      <c r="BW84" t="e">
        <f>AND('Planilla_General_03-12-2012_9_3'!J1333,"AAAAAH8n3Uo=")</f>
        <v>#VALUE!</v>
      </c>
      <c r="BX84" t="e">
        <f>AND('Planilla_General_03-12-2012_9_3'!K1333,"AAAAAH8n3Us=")</f>
        <v>#VALUE!</v>
      </c>
      <c r="BY84" t="e">
        <f>AND('Planilla_General_03-12-2012_9_3'!L1333,"AAAAAH8n3Uw=")</f>
        <v>#VALUE!</v>
      </c>
      <c r="BZ84" t="e">
        <f>AND('Planilla_General_03-12-2012_9_3'!M1333,"AAAAAH8n3U0=")</f>
        <v>#VALUE!</v>
      </c>
      <c r="CA84" t="e">
        <f>AND('Planilla_General_03-12-2012_9_3'!N1333,"AAAAAH8n3U4=")</f>
        <v>#VALUE!</v>
      </c>
      <c r="CB84" t="e">
        <f>AND('Planilla_General_03-12-2012_9_3'!O1333,"AAAAAH8n3U8=")</f>
        <v>#VALUE!</v>
      </c>
      <c r="CC84">
        <f>IF('Planilla_General_03-12-2012_9_3'!1334:1334,"AAAAAH8n3VA=",0)</f>
        <v>0</v>
      </c>
      <c r="CD84" t="e">
        <f>AND('Planilla_General_03-12-2012_9_3'!A1334,"AAAAAH8n3VE=")</f>
        <v>#VALUE!</v>
      </c>
      <c r="CE84" t="e">
        <f>AND('Planilla_General_03-12-2012_9_3'!B1334,"AAAAAH8n3VI=")</f>
        <v>#VALUE!</v>
      </c>
      <c r="CF84" t="e">
        <f>AND('Planilla_General_03-12-2012_9_3'!C1334,"AAAAAH8n3VM=")</f>
        <v>#VALUE!</v>
      </c>
      <c r="CG84" t="e">
        <f>AND('Planilla_General_03-12-2012_9_3'!D1334,"AAAAAH8n3VQ=")</f>
        <v>#VALUE!</v>
      </c>
      <c r="CH84" t="e">
        <f>AND('Planilla_General_03-12-2012_9_3'!E1334,"AAAAAH8n3VU=")</f>
        <v>#VALUE!</v>
      </c>
      <c r="CI84" t="e">
        <f>AND('Planilla_General_03-12-2012_9_3'!F1334,"AAAAAH8n3VY=")</f>
        <v>#VALUE!</v>
      </c>
      <c r="CJ84" t="e">
        <f>AND('Planilla_General_03-12-2012_9_3'!G1334,"AAAAAH8n3Vc=")</f>
        <v>#VALUE!</v>
      </c>
      <c r="CK84" t="e">
        <f>AND('Planilla_General_03-12-2012_9_3'!H1334,"AAAAAH8n3Vg=")</f>
        <v>#VALUE!</v>
      </c>
      <c r="CL84" t="e">
        <f>AND('Planilla_General_03-12-2012_9_3'!I1334,"AAAAAH8n3Vk=")</f>
        <v>#VALUE!</v>
      </c>
      <c r="CM84" t="e">
        <f>AND('Planilla_General_03-12-2012_9_3'!J1334,"AAAAAH8n3Vo=")</f>
        <v>#VALUE!</v>
      </c>
      <c r="CN84" t="e">
        <f>AND('Planilla_General_03-12-2012_9_3'!K1334,"AAAAAH8n3Vs=")</f>
        <v>#VALUE!</v>
      </c>
      <c r="CO84" t="e">
        <f>AND('Planilla_General_03-12-2012_9_3'!L1334,"AAAAAH8n3Vw=")</f>
        <v>#VALUE!</v>
      </c>
      <c r="CP84" t="e">
        <f>AND('Planilla_General_03-12-2012_9_3'!M1334,"AAAAAH8n3V0=")</f>
        <v>#VALUE!</v>
      </c>
      <c r="CQ84" t="e">
        <f>AND('Planilla_General_03-12-2012_9_3'!N1334,"AAAAAH8n3V4=")</f>
        <v>#VALUE!</v>
      </c>
      <c r="CR84" t="e">
        <f>AND('Planilla_General_03-12-2012_9_3'!O1334,"AAAAAH8n3V8=")</f>
        <v>#VALUE!</v>
      </c>
      <c r="CS84">
        <f>IF('Planilla_General_03-12-2012_9_3'!1335:1335,"AAAAAH8n3WA=",0)</f>
        <v>0</v>
      </c>
      <c r="CT84" t="e">
        <f>AND('Planilla_General_03-12-2012_9_3'!A1335,"AAAAAH8n3WE=")</f>
        <v>#VALUE!</v>
      </c>
      <c r="CU84" t="e">
        <f>AND('Planilla_General_03-12-2012_9_3'!B1335,"AAAAAH8n3WI=")</f>
        <v>#VALUE!</v>
      </c>
      <c r="CV84" t="e">
        <f>AND('Planilla_General_03-12-2012_9_3'!C1335,"AAAAAH8n3WM=")</f>
        <v>#VALUE!</v>
      </c>
      <c r="CW84" t="e">
        <f>AND('Planilla_General_03-12-2012_9_3'!D1335,"AAAAAH8n3WQ=")</f>
        <v>#VALUE!</v>
      </c>
      <c r="CX84" t="e">
        <f>AND('Planilla_General_03-12-2012_9_3'!E1335,"AAAAAH8n3WU=")</f>
        <v>#VALUE!</v>
      </c>
      <c r="CY84" t="e">
        <f>AND('Planilla_General_03-12-2012_9_3'!F1335,"AAAAAH8n3WY=")</f>
        <v>#VALUE!</v>
      </c>
      <c r="CZ84" t="e">
        <f>AND('Planilla_General_03-12-2012_9_3'!G1335,"AAAAAH8n3Wc=")</f>
        <v>#VALUE!</v>
      </c>
      <c r="DA84" t="e">
        <f>AND('Planilla_General_03-12-2012_9_3'!H1335,"AAAAAH8n3Wg=")</f>
        <v>#VALUE!</v>
      </c>
      <c r="DB84" t="e">
        <f>AND('Planilla_General_03-12-2012_9_3'!I1335,"AAAAAH8n3Wk=")</f>
        <v>#VALUE!</v>
      </c>
      <c r="DC84" t="e">
        <f>AND('Planilla_General_03-12-2012_9_3'!J1335,"AAAAAH8n3Wo=")</f>
        <v>#VALUE!</v>
      </c>
      <c r="DD84" t="e">
        <f>AND('Planilla_General_03-12-2012_9_3'!K1335,"AAAAAH8n3Ws=")</f>
        <v>#VALUE!</v>
      </c>
      <c r="DE84" t="e">
        <f>AND('Planilla_General_03-12-2012_9_3'!L1335,"AAAAAH8n3Ww=")</f>
        <v>#VALUE!</v>
      </c>
      <c r="DF84" t="e">
        <f>AND('Planilla_General_03-12-2012_9_3'!M1335,"AAAAAH8n3W0=")</f>
        <v>#VALUE!</v>
      </c>
      <c r="DG84" t="e">
        <f>AND('Planilla_General_03-12-2012_9_3'!N1335,"AAAAAH8n3W4=")</f>
        <v>#VALUE!</v>
      </c>
      <c r="DH84" t="e">
        <f>AND('Planilla_General_03-12-2012_9_3'!O1335,"AAAAAH8n3W8=")</f>
        <v>#VALUE!</v>
      </c>
      <c r="DI84">
        <f>IF('Planilla_General_03-12-2012_9_3'!1336:1336,"AAAAAH8n3XA=",0)</f>
        <v>0</v>
      </c>
      <c r="DJ84" t="e">
        <f>AND('Planilla_General_03-12-2012_9_3'!A1336,"AAAAAH8n3XE=")</f>
        <v>#VALUE!</v>
      </c>
      <c r="DK84" t="e">
        <f>AND('Planilla_General_03-12-2012_9_3'!B1336,"AAAAAH8n3XI=")</f>
        <v>#VALUE!</v>
      </c>
      <c r="DL84" t="e">
        <f>AND('Planilla_General_03-12-2012_9_3'!C1336,"AAAAAH8n3XM=")</f>
        <v>#VALUE!</v>
      </c>
      <c r="DM84" t="e">
        <f>AND('Planilla_General_03-12-2012_9_3'!D1336,"AAAAAH8n3XQ=")</f>
        <v>#VALUE!</v>
      </c>
      <c r="DN84" t="e">
        <f>AND('Planilla_General_03-12-2012_9_3'!E1336,"AAAAAH8n3XU=")</f>
        <v>#VALUE!</v>
      </c>
      <c r="DO84" t="e">
        <f>AND('Planilla_General_03-12-2012_9_3'!F1336,"AAAAAH8n3XY=")</f>
        <v>#VALUE!</v>
      </c>
      <c r="DP84" t="e">
        <f>AND('Planilla_General_03-12-2012_9_3'!G1336,"AAAAAH8n3Xc=")</f>
        <v>#VALUE!</v>
      </c>
      <c r="DQ84" t="e">
        <f>AND('Planilla_General_03-12-2012_9_3'!H1336,"AAAAAH8n3Xg=")</f>
        <v>#VALUE!</v>
      </c>
      <c r="DR84" t="e">
        <f>AND('Planilla_General_03-12-2012_9_3'!I1336,"AAAAAH8n3Xk=")</f>
        <v>#VALUE!</v>
      </c>
      <c r="DS84" t="e">
        <f>AND('Planilla_General_03-12-2012_9_3'!J1336,"AAAAAH8n3Xo=")</f>
        <v>#VALUE!</v>
      </c>
      <c r="DT84" t="e">
        <f>AND('Planilla_General_03-12-2012_9_3'!K1336,"AAAAAH8n3Xs=")</f>
        <v>#VALUE!</v>
      </c>
      <c r="DU84" t="e">
        <f>AND('Planilla_General_03-12-2012_9_3'!L1336,"AAAAAH8n3Xw=")</f>
        <v>#VALUE!</v>
      </c>
      <c r="DV84" t="e">
        <f>AND('Planilla_General_03-12-2012_9_3'!M1336,"AAAAAH8n3X0=")</f>
        <v>#VALUE!</v>
      </c>
      <c r="DW84" t="e">
        <f>AND('Planilla_General_03-12-2012_9_3'!N1336,"AAAAAH8n3X4=")</f>
        <v>#VALUE!</v>
      </c>
      <c r="DX84" t="e">
        <f>AND('Planilla_General_03-12-2012_9_3'!O1336,"AAAAAH8n3X8=")</f>
        <v>#VALUE!</v>
      </c>
      <c r="DY84">
        <f>IF('Planilla_General_03-12-2012_9_3'!1337:1337,"AAAAAH8n3YA=",0)</f>
        <v>0</v>
      </c>
      <c r="DZ84" t="e">
        <f>AND('Planilla_General_03-12-2012_9_3'!A1337,"AAAAAH8n3YE=")</f>
        <v>#VALUE!</v>
      </c>
      <c r="EA84" t="e">
        <f>AND('Planilla_General_03-12-2012_9_3'!B1337,"AAAAAH8n3YI=")</f>
        <v>#VALUE!</v>
      </c>
      <c r="EB84" t="e">
        <f>AND('Planilla_General_03-12-2012_9_3'!C1337,"AAAAAH8n3YM=")</f>
        <v>#VALUE!</v>
      </c>
      <c r="EC84" t="e">
        <f>AND('Planilla_General_03-12-2012_9_3'!D1337,"AAAAAH8n3YQ=")</f>
        <v>#VALUE!</v>
      </c>
      <c r="ED84" t="e">
        <f>AND('Planilla_General_03-12-2012_9_3'!E1337,"AAAAAH8n3YU=")</f>
        <v>#VALUE!</v>
      </c>
      <c r="EE84" t="e">
        <f>AND('Planilla_General_03-12-2012_9_3'!F1337,"AAAAAH8n3YY=")</f>
        <v>#VALUE!</v>
      </c>
      <c r="EF84" t="e">
        <f>AND('Planilla_General_03-12-2012_9_3'!G1337,"AAAAAH8n3Yc=")</f>
        <v>#VALUE!</v>
      </c>
      <c r="EG84" t="e">
        <f>AND('Planilla_General_03-12-2012_9_3'!H1337,"AAAAAH8n3Yg=")</f>
        <v>#VALUE!</v>
      </c>
      <c r="EH84" t="e">
        <f>AND('Planilla_General_03-12-2012_9_3'!I1337,"AAAAAH8n3Yk=")</f>
        <v>#VALUE!</v>
      </c>
      <c r="EI84" t="e">
        <f>AND('Planilla_General_03-12-2012_9_3'!J1337,"AAAAAH8n3Yo=")</f>
        <v>#VALUE!</v>
      </c>
      <c r="EJ84" t="e">
        <f>AND('Planilla_General_03-12-2012_9_3'!K1337,"AAAAAH8n3Ys=")</f>
        <v>#VALUE!</v>
      </c>
      <c r="EK84" t="e">
        <f>AND('Planilla_General_03-12-2012_9_3'!L1337,"AAAAAH8n3Yw=")</f>
        <v>#VALUE!</v>
      </c>
      <c r="EL84" t="e">
        <f>AND('Planilla_General_03-12-2012_9_3'!M1337,"AAAAAH8n3Y0=")</f>
        <v>#VALUE!</v>
      </c>
      <c r="EM84" t="e">
        <f>AND('Planilla_General_03-12-2012_9_3'!N1337,"AAAAAH8n3Y4=")</f>
        <v>#VALUE!</v>
      </c>
      <c r="EN84" t="e">
        <f>AND('Planilla_General_03-12-2012_9_3'!O1337,"AAAAAH8n3Y8=")</f>
        <v>#VALUE!</v>
      </c>
      <c r="EO84">
        <f>IF('Planilla_General_03-12-2012_9_3'!1338:1338,"AAAAAH8n3ZA=",0)</f>
        <v>0</v>
      </c>
      <c r="EP84" t="e">
        <f>AND('Planilla_General_03-12-2012_9_3'!A1338,"AAAAAH8n3ZE=")</f>
        <v>#VALUE!</v>
      </c>
      <c r="EQ84" t="e">
        <f>AND('Planilla_General_03-12-2012_9_3'!B1338,"AAAAAH8n3ZI=")</f>
        <v>#VALUE!</v>
      </c>
      <c r="ER84" t="e">
        <f>AND('Planilla_General_03-12-2012_9_3'!C1338,"AAAAAH8n3ZM=")</f>
        <v>#VALUE!</v>
      </c>
      <c r="ES84" t="e">
        <f>AND('Planilla_General_03-12-2012_9_3'!D1338,"AAAAAH8n3ZQ=")</f>
        <v>#VALUE!</v>
      </c>
      <c r="ET84" t="e">
        <f>AND('Planilla_General_03-12-2012_9_3'!E1338,"AAAAAH8n3ZU=")</f>
        <v>#VALUE!</v>
      </c>
      <c r="EU84" t="e">
        <f>AND('Planilla_General_03-12-2012_9_3'!F1338,"AAAAAH8n3ZY=")</f>
        <v>#VALUE!</v>
      </c>
      <c r="EV84" t="e">
        <f>AND('Planilla_General_03-12-2012_9_3'!G1338,"AAAAAH8n3Zc=")</f>
        <v>#VALUE!</v>
      </c>
      <c r="EW84" t="e">
        <f>AND('Planilla_General_03-12-2012_9_3'!H1338,"AAAAAH8n3Zg=")</f>
        <v>#VALUE!</v>
      </c>
      <c r="EX84" t="e">
        <f>AND('Planilla_General_03-12-2012_9_3'!I1338,"AAAAAH8n3Zk=")</f>
        <v>#VALUE!</v>
      </c>
      <c r="EY84" t="e">
        <f>AND('Planilla_General_03-12-2012_9_3'!J1338,"AAAAAH8n3Zo=")</f>
        <v>#VALUE!</v>
      </c>
      <c r="EZ84" t="e">
        <f>AND('Planilla_General_03-12-2012_9_3'!K1338,"AAAAAH8n3Zs=")</f>
        <v>#VALUE!</v>
      </c>
      <c r="FA84" t="e">
        <f>AND('Planilla_General_03-12-2012_9_3'!L1338,"AAAAAH8n3Zw=")</f>
        <v>#VALUE!</v>
      </c>
      <c r="FB84" t="e">
        <f>AND('Planilla_General_03-12-2012_9_3'!M1338,"AAAAAH8n3Z0=")</f>
        <v>#VALUE!</v>
      </c>
      <c r="FC84" t="e">
        <f>AND('Planilla_General_03-12-2012_9_3'!N1338,"AAAAAH8n3Z4=")</f>
        <v>#VALUE!</v>
      </c>
      <c r="FD84" t="e">
        <f>AND('Planilla_General_03-12-2012_9_3'!O1338,"AAAAAH8n3Z8=")</f>
        <v>#VALUE!</v>
      </c>
      <c r="FE84">
        <f>IF('Planilla_General_03-12-2012_9_3'!1339:1339,"AAAAAH8n3aA=",0)</f>
        <v>0</v>
      </c>
      <c r="FF84" t="e">
        <f>AND('Planilla_General_03-12-2012_9_3'!A1339,"AAAAAH8n3aE=")</f>
        <v>#VALUE!</v>
      </c>
      <c r="FG84" t="e">
        <f>AND('Planilla_General_03-12-2012_9_3'!B1339,"AAAAAH8n3aI=")</f>
        <v>#VALUE!</v>
      </c>
      <c r="FH84" t="e">
        <f>AND('Planilla_General_03-12-2012_9_3'!C1339,"AAAAAH8n3aM=")</f>
        <v>#VALUE!</v>
      </c>
      <c r="FI84" t="e">
        <f>AND('Planilla_General_03-12-2012_9_3'!D1339,"AAAAAH8n3aQ=")</f>
        <v>#VALUE!</v>
      </c>
      <c r="FJ84" t="e">
        <f>AND('Planilla_General_03-12-2012_9_3'!E1339,"AAAAAH8n3aU=")</f>
        <v>#VALUE!</v>
      </c>
      <c r="FK84" t="e">
        <f>AND('Planilla_General_03-12-2012_9_3'!F1339,"AAAAAH8n3aY=")</f>
        <v>#VALUE!</v>
      </c>
      <c r="FL84" t="e">
        <f>AND('Planilla_General_03-12-2012_9_3'!G1339,"AAAAAH8n3ac=")</f>
        <v>#VALUE!</v>
      </c>
      <c r="FM84" t="e">
        <f>AND('Planilla_General_03-12-2012_9_3'!H1339,"AAAAAH8n3ag=")</f>
        <v>#VALUE!</v>
      </c>
      <c r="FN84" t="e">
        <f>AND('Planilla_General_03-12-2012_9_3'!I1339,"AAAAAH8n3ak=")</f>
        <v>#VALUE!</v>
      </c>
      <c r="FO84" t="e">
        <f>AND('Planilla_General_03-12-2012_9_3'!J1339,"AAAAAH8n3ao=")</f>
        <v>#VALUE!</v>
      </c>
      <c r="FP84" t="e">
        <f>AND('Planilla_General_03-12-2012_9_3'!K1339,"AAAAAH8n3as=")</f>
        <v>#VALUE!</v>
      </c>
      <c r="FQ84" t="e">
        <f>AND('Planilla_General_03-12-2012_9_3'!L1339,"AAAAAH8n3aw=")</f>
        <v>#VALUE!</v>
      </c>
      <c r="FR84" t="e">
        <f>AND('Planilla_General_03-12-2012_9_3'!M1339,"AAAAAH8n3a0=")</f>
        <v>#VALUE!</v>
      </c>
      <c r="FS84" t="e">
        <f>AND('Planilla_General_03-12-2012_9_3'!N1339,"AAAAAH8n3a4=")</f>
        <v>#VALUE!</v>
      </c>
      <c r="FT84" t="e">
        <f>AND('Planilla_General_03-12-2012_9_3'!O1339,"AAAAAH8n3a8=")</f>
        <v>#VALUE!</v>
      </c>
      <c r="FU84">
        <f>IF('Planilla_General_03-12-2012_9_3'!1340:1340,"AAAAAH8n3bA=",0)</f>
        <v>0</v>
      </c>
      <c r="FV84" t="e">
        <f>AND('Planilla_General_03-12-2012_9_3'!A1340,"AAAAAH8n3bE=")</f>
        <v>#VALUE!</v>
      </c>
      <c r="FW84" t="e">
        <f>AND('Planilla_General_03-12-2012_9_3'!B1340,"AAAAAH8n3bI=")</f>
        <v>#VALUE!</v>
      </c>
      <c r="FX84" t="e">
        <f>AND('Planilla_General_03-12-2012_9_3'!C1340,"AAAAAH8n3bM=")</f>
        <v>#VALUE!</v>
      </c>
      <c r="FY84" t="e">
        <f>AND('Planilla_General_03-12-2012_9_3'!D1340,"AAAAAH8n3bQ=")</f>
        <v>#VALUE!</v>
      </c>
      <c r="FZ84" t="e">
        <f>AND('Planilla_General_03-12-2012_9_3'!E1340,"AAAAAH8n3bU=")</f>
        <v>#VALUE!</v>
      </c>
      <c r="GA84" t="e">
        <f>AND('Planilla_General_03-12-2012_9_3'!F1340,"AAAAAH8n3bY=")</f>
        <v>#VALUE!</v>
      </c>
      <c r="GB84" t="e">
        <f>AND('Planilla_General_03-12-2012_9_3'!G1340,"AAAAAH8n3bc=")</f>
        <v>#VALUE!</v>
      </c>
      <c r="GC84" t="e">
        <f>AND('Planilla_General_03-12-2012_9_3'!H1340,"AAAAAH8n3bg=")</f>
        <v>#VALUE!</v>
      </c>
      <c r="GD84" t="e">
        <f>AND('Planilla_General_03-12-2012_9_3'!I1340,"AAAAAH8n3bk=")</f>
        <v>#VALUE!</v>
      </c>
      <c r="GE84" t="e">
        <f>AND('Planilla_General_03-12-2012_9_3'!J1340,"AAAAAH8n3bo=")</f>
        <v>#VALUE!</v>
      </c>
      <c r="GF84" t="e">
        <f>AND('Planilla_General_03-12-2012_9_3'!K1340,"AAAAAH8n3bs=")</f>
        <v>#VALUE!</v>
      </c>
      <c r="GG84" t="e">
        <f>AND('Planilla_General_03-12-2012_9_3'!L1340,"AAAAAH8n3bw=")</f>
        <v>#VALUE!</v>
      </c>
      <c r="GH84" t="e">
        <f>AND('Planilla_General_03-12-2012_9_3'!M1340,"AAAAAH8n3b0=")</f>
        <v>#VALUE!</v>
      </c>
      <c r="GI84" t="e">
        <f>AND('Planilla_General_03-12-2012_9_3'!N1340,"AAAAAH8n3b4=")</f>
        <v>#VALUE!</v>
      </c>
      <c r="GJ84" t="e">
        <f>AND('Planilla_General_03-12-2012_9_3'!O1340,"AAAAAH8n3b8=")</f>
        <v>#VALUE!</v>
      </c>
      <c r="GK84">
        <f>IF('Planilla_General_03-12-2012_9_3'!1341:1341,"AAAAAH8n3cA=",0)</f>
        <v>0</v>
      </c>
      <c r="GL84" t="e">
        <f>AND('Planilla_General_03-12-2012_9_3'!A1341,"AAAAAH8n3cE=")</f>
        <v>#VALUE!</v>
      </c>
      <c r="GM84" t="e">
        <f>AND('Planilla_General_03-12-2012_9_3'!B1341,"AAAAAH8n3cI=")</f>
        <v>#VALUE!</v>
      </c>
      <c r="GN84" t="e">
        <f>AND('Planilla_General_03-12-2012_9_3'!C1341,"AAAAAH8n3cM=")</f>
        <v>#VALUE!</v>
      </c>
      <c r="GO84" t="e">
        <f>AND('Planilla_General_03-12-2012_9_3'!D1341,"AAAAAH8n3cQ=")</f>
        <v>#VALUE!</v>
      </c>
      <c r="GP84" t="e">
        <f>AND('Planilla_General_03-12-2012_9_3'!E1341,"AAAAAH8n3cU=")</f>
        <v>#VALUE!</v>
      </c>
      <c r="GQ84" t="e">
        <f>AND('Planilla_General_03-12-2012_9_3'!F1341,"AAAAAH8n3cY=")</f>
        <v>#VALUE!</v>
      </c>
      <c r="GR84" t="e">
        <f>AND('Planilla_General_03-12-2012_9_3'!G1341,"AAAAAH8n3cc=")</f>
        <v>#VALUE!</v>
      </c>
      <c r="GS84" t="e">
        <f>AND('Planilla_General_03-12-2012_9_3'!H1341,"AAAAAH8n3cg=")</f>
        <v>#VALUE!</v>
      </c>
      <c r="GT84" t="e">
        <f>AND('Planilla_General_03-12-2012_9_3'!I1341,"AAAAAH8n3ck=")</f>
        <v>#VALUE!</v>
      </c>
      <c r="GU84" t="e">
        <f>AND('Planilla_General_03-12-2012_9_3'!J1341,"AAAAAH8n3co=")</f>
        <v>#VALUE!</v>
      </c>
      <c r="GV84" t="e">
        <f>AND('Planilla_General_03-12-2012_9_3'!K1341,"AAAAAH8n3cs=")</f>
        <v>#VALUE!</v>
      </c>
      <c r="GW84" t="e">
        <f>AND('Planilla_General_03-12-2012_9_3'!L1341,"AAAAAH8n3cw=")</f>
        <v>#VALUE!</v>
      </c>
      <c r="GX84" t="e">
        <f>AND('Planilla_General_03-12-2012_9_3'!M1341,"AAAAAH8n3c0=")</f>
        <v>#VALUE!</v>
      </c>
      <c r="GY84" t="e">
        <f>AND('Planilla_General_03-12-2012_9_3'!N1341,"AAAAAH8n3c4=")</f>
        <v>#VALUE!</v>
      </c>
      <c r="GZ84" t="e">
        <f>AND('Planilla_General_03-12-2012_9_3'!O1341,"AAAAAH8n3c8=")</f>
        <v>#VALUE!</v>
      </c>
      <c r="HA84">
        <f>IF('Planilla_General_03-12-2012_9_3'!1342:1342,"AAAAAH8n3dA=",0)</f>
        <v>0</v>
      </c>
      <c r="HB84" t="e">
        <f>AND('Planilla_General_03-12-2012_9_3'!A1342,"AAAAAH8n3dE=")</f>
        <v>#VALUE!</v>
      </c>
      <c r="HC84" t="e">
        <f>AND('Planilla_General_03-12-2012_9_3'!B1342,"AAAAAH8n3dI=")</f>
        <v>#VALUE!</v>
      </c>
      <c r="HD84" t="e">
        <f>AND('Planilla_General_03-12-2012_9_3'!C1342,"AAAAAH8n3dM=")</f>
        <v>#VALUE!</v>
      </c>
      <c r="HE84" t="e">
        <f>AND('Planilla_General_03-12-2012_9_3'!D1342,"AAAAAH8n3dQ=")</f>
        <v>#VALUE!</v>
      </c>
      <c r="HF84" t="e">
        <f>AND('Planilla_General_03-12-2012_9_3'!E1342,"AAAAAH8n3dU=")</f>
        <v>#VALUE!</v>
      </c>
      <c r="HG84" t="e">
        <f>AND('Planilla_General_03-12-2012_9_3'!F1342,"AAAAAH8n3dY=")</f>
        <v>#VALUE!</v>
      </c>
      <c r="HH84" t="e">
        <f>AND('Planilla_General_03-12-2012_9_3'!G1342,"AAAAAH8n3dc=")</f>
        <v>#VALUE!</v>
      </c>
      <c r="HI84" t="e">
        <f>AND('Planilla_General_03-12-2012_9_3'!H1342,"AAAAAH8n3dg=")</f>
        <v>#VALUE!</v>
      </c>
      <c r="HJ84" t="e">
        <f>AND('Planilla_General_03-12-2012_9_3'!I1342,"AAAAAH8n3dk=")</f>
        <v>#VALUE!</v>
      </c>
      <c r="HK84" t="e">
        <f>AND('Planilla_General_03-12-2012_9_3'!J1342,"AAAAAH8n3do=")</f>
        <v>#VALUE!</v>
      </c>
      <c r="HL84" t="e">
        <f>AND('Planilla_General_03-12-2012_9_3'!K1342,"AAAAAH8n3ds=")</f>
        <v>#VALUE!</v>
      </c>
      <c r="HM84" t="e">
        <f>AND('Planilla_General_03-12-2012_9_3'!L1342,"AAAAAH8n3dw=")</f>
        <v>#VALUE!</v>
      </c>
      <c r="HN84" t="e">
        <f>AND('Planilla_General_03-12-2012_9_3'!M1342,"AAAAAH8n3d0=")</f>
        <v>#VALUE!</v>
      </c>
      <c r="HO84" t="e">
        <f>AND('Planilla_General_03-12-2012_9_3'!N1342,"AAAAAH8n3d4=")</f>
        <v>#VALUE!</v>
      </c>
      <c r="HP84" t="e">
        <f>AND('Planilla_General_03-12-2012_9_3'!O1342,"AAAAAH8n3d8=")</f>
        <v>#VALUE!</v>
      </c>
      <c r="HQ84">
        <f>IF('Planilla_General_03-12-2012_9_3'!1343:1343,"AAAAAH8n3eA=",0)</f>
        <v>0</v>
      </c>
      <c r="HR84" t="e">
        <f>AND('Planilla_General_03-12-2012_9_3'!A1343,"AAAAAH8n3eE=")</f>
        <v>#VALUE!</v>
      </c>
      <c r="HS84" t="e">
        <f>AND('Planilla_General_03-12-2012_9_3'!B1343,"AAAAAH8n3eI=")</f>
        <v>#VALUE!</v>
      </c>
      <c r="HT84" t="e">
        <f>AND('Planilla_General_03-12-2012_9_3'!C1343,"AAAAAH8n3eM=")</f>
        <v>#VALUE!</v>
      </c>
      <c r="HU84" t="e">
        <f>AND('Planilla_General_03-12-2012_9_3'!D1343,"AAAAAH8n3eQ=")</f>
        <v>#VALUE!</v>
      </c>
      <c r="HV84" t="e">
        <f>AND('Planilla_General_03-12-2012_9_3'!E1343,"AAAAAH8n3eU=")</f>
        <v>#VALUE!</v>
      </c>
      <c r="HW84" t="e">
        <f>AND('Planilla_General_03-12-2012_9_3'!F1343,"AAAAAH8n3eY=")</f>
        <v>#VALUE!</v>
      </c>
      <c r="HX84" t="e">
        <f>AND('Planilla_General_03-12-2012_9_3'!G1343,"AAAAAH8n3ec=")</f>
        <v>#VALUE!</v>
      </c>
      <c r="HY84" t="e">
        <f>AND('Planilla_General_03-12-2012_9_3'!H1343,"AAAAAH8n3eg=")</f>
        <v>#VALUE!</v>
      </c>
      <c r="HZ84" t="e">
        <f>AND('Planilla_General_03-12-2012_9_3'!I1343,"AAAAAH8n3ek=")</f>
        <v>#VALUE!</v>
      </c>
      <c r="IA84" t="e">
        <f>AND('Planilla_General_03-12-2012_9_3'!J1343,"AAAAAH8n3eo=")</f>
        <v>#VALUE!</v>
      </c>
      <c r="IB84" t="e">
        <f>AND('Planilla_General_03-12-2012_9_3'!K1343,"AAAAAH8n3es=")</f>
        <v>#VALUE!</v>
      </c>
      <c r="IC84" t="e">
        <f>AND('Planilla_General_03-12-2012_9_3'!L1343,"AAAAAH8n3ew=")</f>
        <v>#VALUE!</v>
      </c>
      <c r="ID84" t="e">
        <f>AND('Planilla_General_03-12-2012_9_3'!M1343,"AAAAAH8n3e0=")</f>
        <v>#VALUE!</v>
      </c>
      <c r="IE84" t="e">
        <f>AND('Planilla_General_03-12-2012_9_3'!N1343,"AAAAAH8n3e4=")</f>
        <v>#VALUE!</v>
      </c>
      <c r="IF84" t="e">
        <f>AND('Planilla_General_03-12-2012_9_3'!O1343,"AAAAAH8n3e8=")</f>
        <v>#VALUE!</v>
      </c>
      <c r="IG84">
        <f>IF('Planilla_General_03-12-2012_9_3'!1344:1344,"AAAAAH8n3fA=",0)</f>
        <v>0</v>
      </c>
      <c r="IH84" t="e">
        <f>AND('Planilla_General_03-12-2012_9_3'!A1344,"AAAAAH8n3fE=")</f>
        <v>#VALUE!</v>
      </c>
      <c r="II84" t="e">
        <f>AND('Planilla_General_03-12-2012_9_3'!B1344,"AAAAAH8n3fI=")</f>
        <v>#VALUE!</v>
      </c>
      <c r="IJ84" t="e">
        <f>AND('Planilla_General_03-12-2012_9_3'!C1344,"AAAAAH8n3fM=")</f>
        <v>#VALUE!</v>
      </c>
      <c r="IK84" t="e">
        <f>AND('Planilla_General_03-12-2012_9_3'!D1344,"AAAAAH8n3fQ=")</f>
        <v>#VALUE!</v>
      </c>
      <c r="IL84" t="e">
        <f>AND('Planilla_General_03-12-2012_9_3'!E1344,"AAAAAH8n3fU=")</f>
        <v>#VALUE!</v>
      </c>
      <c r="IM84" t="e">
        <f>AND('Planilla_General_03-12-2012_9_3'!F1344,"AAAAAH8n3fY=")</f>
        <v>#VALUE!</v>
      </c>
      <c r="IN84" t="e">
        <f>AND('Planilla_General_03-12-2012_9_3'!G1344,"AAAAAH8n3fc=")</f>
        <v>#VALUE!</v>
      </c>
      <c r="IO84" t="e">
        <f>AND('Planilla_General_03-12-2012_9_3'!H1344,"AAAAAH8n3fg=")</f>
        <v>#VALUE!</v>
      </c>
      <c r="IP84" t="e">
        <f>AND('Planilla_General_03-12-2012_9_3'!I1344,"AAAAAH8n3fk=")</f>
        <v>#VALUE!</v>
      </c>
      <c r="IQ84" t="e">
        <f>AND('Planilla_General_03-12-2012_9_3'!J1344,"AAAAAH8n3fo=")</f>
        <v>#VALUE!</v>
      </c>
      <c r="IR84" t="e">
        <f>AND('Planilla_General_03-12-2012_9_3'!K1344,"AAAAAH8n3fs=")</f>
        <v>#VALUE!</v>
      </c>
      <c r="IS84" t="e">
        <f>AND('Planilla_General_03-12-2012_9_3'!L1344,"AAAAAH8n3fw=")</f>
        <v>#VALUE!</v>
      </c>
      <c r="IT84" t="e">
        <f>AND('Planilla_General_03-12-2012_9_3'!M1344,"AAAAAH8n3f0=")</f>
        <v>#VALUE!</v>
      </c>
      <c r="IU84" t="e">
        <f>AND('Planilla_General_03-12-2012_9_3'!N1344,"AAAAAH8n3f4=")</f>
        <v>#VALUE!</v>
      </c>
      <c r="IV84" t="e">
        <f>AND('Planilla_General_03-12-2012_9_3'!O1344,"AAAAAH8n3f8=")</f>
        <v>#VALUE!</v>
      </c>
    </row>
    <row r="85" spans="1:256" x14ac:dyDescent="0.25">
      <c r="A85" t="e">
        <f>IF('Planilla_General_03-12-2012_9_3'!1345:1345,"AAAAAAR6vwA=",0)</f>
        <v>#VALUE!</v>
      </c>
      <c r="B85" t="e">
        <f>AND('Planilla_General_03-12-2012_9_3'!A1345,"AAAAAAR6vwE=")</f>
        <v>#VALUE!</v>
      </c>
      <c r="C85" t="e">
        <f>AND('Planilla_General_03-12-2012_9_3'!B1345,"AAAAAAR6vwI=")</f>
        <v>#VALUE!</v>
      </c>
      <c r="D85" t="e">
        <f>AND('Planilla_General_03-12-2012_9_3'!C1345,"AAAAAAR6vwM=")</f>
        <v>#VALUE!</v>
      </c>
      <c r="E85" t="e">
        <f>AND('Planilla_General_03-12-2012_9_3'!D1345,"AAAAAAR6vwQ=")</f>
        <v>#VALUE!</v>
      </c>
      <c r="F85" t="e">
        <f>AND('Planilla_General_03-12-2012_9_3'!E1345,"AAAAAAR6vwU=")</f>
        <v>#VALUE!</v>
      </c>
      <c r="G85" t="e">
        <f>AND('Planilla_General_03-12-2012_9_3'!F1345,"AAAAAAR6vwY=")</f>
        <v>#VALUE!</v>
      </c>
      <c r="H85" t="e">
        <f>AND('Planilla_General_03-12-2012_9_3'!G1345,"AAAAAAR6vwc=")</f>
        <v>#VALUE!</v>
      </c>
      <c r="I85" t="e">
        <f>AND('Planilla_General_03-12-2012_9_3'!H1345,"AAAAAAR6vwg=")</f>
        <v>#VALUE!</v>
      </c>
      <c r="J85" t="e">
        <f>AND('Planilla_General_03-12-2012_9_3'!I1345,"AAAAAAR6vwk=")</f>
        <v>#VALUE!</v>
      </c>
      <c r="K85" t="e">
        <f>AND('Planilla_General_03-12-2012_9_3'!J1345,"AAAAAAR6vwo=")</f>
        <v>#VALUE!</v>
      </c>
      <c r="L85" t="e">
        <f>AND('Planilla_General_03-12-2012_9_3'!K1345,"AAAAAAR6vws=")</f>
        <v>#VALUE!</v>
      </c>
      <c r="M85" t="e">
        <f>AND('Planilla_General_03-12-2012_9_3'!L1345,"AAAAAAR6vww=")</f>
        <v>#VALUE!</v>
      </c>
      <c r="N85" t="e">
        <f>AND('Planilla_General_03-12-2012_9_3'!M1345,"AAAAAAR6vw0=")</f>
        <v>#VALUE!</v>
      </c>
      <c r="O85" t="e">
        <f>AND('Planilla_General_03-12-2012_9_3'!N1345,"AAAAAAR6vw4=")</f>
        <v>#VALUE!</v>
      </c>
      <c r="P85" t="e">
        <f>AND('Planilla_General_03-12-2012_9_3'!O1345,"AAAAAAR6vw8=")</f>
        <v>#VALUE!</v>
      </c>
      <c r="Q85">
        <f>IF('Planilla_General_03-12-2012_9_3'!1346:1346,"AAAAAAR6vxA=",0)</f>
        <v>0</v>
      </c>
      <c r="R85" t="e">
        <f>AND('Planilla_General_03-12-2012_9_3'!A1346,"AAAAAAR6vxE=")</f>
        <v>#VALUE!</v>
      </c>
      <c r="S85" t="e">
        <f>AND('Planilla_General_03-12-2012_9_3'!B1346,"AAAAAAR6vxI=")</f>
        <v>#VALUE!</v>
      </c>
      <c r="T85" t="e">
        <f>AND('Planilla_General_03-12-2012_9_3'!C1346,"AAAAAAR6vxM=")</f>
        <v>#VALUE!</v>
      </c>
      <c r="U85" t="e">
        <f>AND('Planilla_General_03-12-2012_9_3'!D1346,"AAAAAAR6vxQ=")</f>
        <v>#VALUE!</v>
      </c>
      <c r="V85" t="e">
        <f>AND('Planilla_General_03-12-2012_9_3'!E1346,"AAAAAAR6vxU=")</f>
        <v>#VALUE!</v>
      </c>
      <c r="W85" t="e">
        <f>AND('Planilla_General_03-12-2012_9_3'!F1346,"AAAAAAR6vxY=")</f>
        <v>#VALUE!</v>
      </c>
      <c r="X85" t="e">
        <f>AND('Planilla_General_03-12-2012_9_3'!G1346,"AAAAAAR6vxc=")</f>
        <v>#VALUE!</v>
      </c>
      <c r="Y85" t="e">
        <f>AND('Planilla_General_03-12-2012_9_3'!H1346,"AAAAAAR6vxg=")</f>
        <v>#VALUE!</v>
      </c>
      <c r="Z85" t="e">
        <f>AND('Planilla_General_03-12-2012_9_3'!I1346,"AAAAAAR6vxk=")</f>
        <v>#VALUE!</v>
      </c>
      <c r="AA85" t="e">
        <f>AND('Planilla_General_03-12-2012_9_3'!J1346,"AAAAAAR6vxo=")</f>
        <v>#VALUE!</v>
      </c>
      <c r="AB85" t="e">
        <f>AND('Planilla_General_03-12-2012_9_3'!K1346,"AAAAAAR6vxs=")</f>
        <v>#VALUE!</v>
      </c>
      <c r="AC85" t="e">
        <f>AND('Planilla_General_03-12-2012_9_3'!L1346,"AAAAAAR6vxw=")</f>
        <v>#VALUE!</v>
      </c>
      <c r="AD85" t="e">
        <f>AND('Planilla_General_03-12-2012_9_3'!M1346,"AAAAAAR6vx0=")</f>
        <v>#VALUE!</v>
      </c>
      <c r="AE85" t="e">
        <f>AND('Planilla_General_03-12-2012_9_3'!N1346,"AAAAAAR6vx4=")</f>
        <v>#VALUE!</v>
      </c>
      <c r="AF85" t="e">
        <f>AND('Planilla_General_03-12-2012_9_3'!O1346,"AAAAAAR6vx8=")</f>
        <v>#VALUE!</v>
      </c>
      <c r="AG85">
        <f>IF('Planilla_General_03-12-2012_9_3'!1347:1347,"AAAAAAR6vyA=",0)</f>
        <v>0</v>
      </c>
      <c r="AH85" t="e">
        <f>AND('Planilla_General_03-12-2012_9_3'!A1347,"AAAAAAR6vyE=")</f>
        <v>#VALUE!</v>
      </c>
      <c r="AI85" t="e">
        <f>AND('Planilla_General_03-12-2012_9_3'!B1347,"AAAAAAR6vyI=")</f>
        <v>#VALUE!</v>
      </c>
      <c r="AJ85" t="e">
        <f>AND('Planilla_General_03-12-2012_9_3'!C1347,"AAAAAAR6vyM=")</f>
        <v>#VALUE!</v>
      </c>
      <c r="AK85" t="e">
        <f>AND('Planilla_General_03-12-2012_9_3'!D1347,"AAAAAAR6vyQ=")</f>
        <v>#VALUE!</v>
      </c>
      <c r="AL85" t="e">
        <f>AND('Planilla_General_03-12-2012_9_3'!E1347,"AAAAAAR6vyU=")</f>
        <v>#VALUE!</v>
      </c>
      <c r="AM85" t="e">
        <f>AND('Planilla_General_03-12-2012_9_3'!F1347,"AAAAAAR6vyY=")</f>
        <v>#VALUE!</v>
      </c>
      <c r="AN85" t="e">
        <f>AND('Planilla_General_03-12-2012_9_3'!G1347,"AAAAAAR6vyc=")</f>
        <v>#VALUE!</v>
      </c>
      <c r="AO85" t="e">
        <f>AND('Planilla_General_03-12-2012_9_3'!H1347,"AAAAAAR6vyg=")</f>
        <v>#VALUE!</v>
      </c>
      <c r="AP85" t="e">
        <f>AND('Planilla_General_03-12-2012_9_3'!I1347,"AAAAAAR6vyk=")</f>
        <v>#VALUE!</v>
      </c>
      <c r="AQ85" t="e">
        <f>AND('Planilla_General_03-12-2012_9_3'!J1347,"AAAAAAR6vyo=")</f>
        <v>#VALUE!</v>
      </c>
      <c r="AR85" t="e">
        <f>AND('Planilla_General_03-12-2012_9_3'!K1347,"AAAAAAR6vys=")</f>
        <v>#VALUE!</v>
      </c>
      <c r="AS85" t="e">
        <f>AND('Planilla_General_03-12-2012_9_3'!L1347,"AAAAAAR6vyw=")</f>
        <v>#VALUE!</v>
      </c>
      <c r="AT85" t="e">
        <f>AND('Planilla_General_03-12-2012_9_3'!M1347,"AAAAAAR6vy0=")</f>
        <v>#VALUE!</v>
      </c>
      <c r="AU85" t="e">
        <f>AND('Planilla_General_03-12-2012_9_3'!N1347,"AAAAAAR6vy4=")</f>
        <v>#VALUE!</v>
      </c>
      <c r="AV85" t="e">
        <f>AND('Planilla_General_03-12-2012_9_3'!O1347,"AAAAAAR6vy8=")</f>
        <v>#VALUE!</v>
      </c>
      <c r="AW85">
        <f>IF('Planilla_General_03-12-2012_9_3'!1348:1348,"AAAAAAR6vzA=",0)</f>
        <v>0</v>
      </c>
      <c r="AX85" t="e">
        <f>AND('Planilla_General_03-12-2012_9_3'!A1348,"AAAAAAR6vzE=")</f>
        <v>#VALUE!</v>
      </c>
      <c r="AY85" t="e">
        <f>AND('Planilla_General_03-12-2012_9_3'!B1348,"AAAAAAR6vzI=")</f>
        <v>#VALUE!</v>
      </c>
      <c r="AZ85" t="e">
        <f>AND('Planilla_General_03-12-2012_9_3'!C1348,"AAAAAAR6vzM=")</f>
        <v>#VALUE!</v>
      </c>
      <c r="BA85" t="e">
        <f>AND('Planilla_General_03-12-2012_9_3'!D1348,"AAAAAAR6vzQ=")</f>
        <v>#VALUE!</v>
      </c>
      <c r="BB85" t="e">
        <f>AND('Planilla_General_03-12-2012_9_3'!E1348,"AAAAAAR6vzU=")</f>
        <v>#VALUE!</v>
      </c>
      <c r="BC85" t="e">
        <f>AND('Planilla_General_03-12-2012_9_3'!F1348,"AAAAAAR6vzY=")</f>
        <v>#VALUE!</v>
      </c>
      <c r="BD85" t="e">
        <f>AND('Planilla_General_03-12-2012_9_3'!G1348,"AAAAAAR6vzc=")</f>
        <v>#VALUE!</v>
      </c>
      <c r="BE85" t="e">
        <f>AND('Planilla_General_03-12-2012_9_3'!H1348,"AAAAAAR6vzg=")</f>
        <v>#VALUE!</v>
      </c>
      <c r="BF85" t="e">
        <f>AND('Planilla_General_03-12-2012_9_3'!I1348,"AAAAAAR6vzk=")</f>
        <v>#VALUE!</v>
      </c>
      <c r="BG85" t="e">
        <f>AND('Planilla_General_03-12-2012_9_3'!J1348,"AAAAAAR6vzo=")</f>
        <v>#VALUE!</v>
      </c>
      <c r="BH85" t="e">
        <f>AND('Planilla_General_03-12-2012_9_3'!K1348,"AAAAAAR6vzs=")</f>
        <v>#VALUE!</v>
      </c>
      <c r="BI85" t="e">
        <f>AND('Planilla_General_03-12-2012_9_3'!L1348,"AAAAAAR6vzw=")</f>
        <v>#VALUE!</v>
      </c>
      <c r="BJ85" t="e">
        <f>AND('Planilla_General_03-12-2012_9_3'!M1348,"AAAAAAR6vz0=")</f>
        <v>#VALUE!</v>
      </c>
      <c r="BK85" t="e">
        <f>AND('Planilla_General_03-12-2012_9_3'!N1348,"AAAAAAR6vz4=")</f>
        <v>#VALUE!</v>
      </c>
      <c r="BL85" t="e">
        <f>AND('Planilla_General_03-12-2012_9_3'!O1348,"AAAAAAR6vz8=")</f>
        <v>#VALUE!</v>
      </c>
      <c r="BM85">
        <f>IF('Planilla_General_03-12-2012_9_3'!1349:1349,"AAAAAAR6v0A=",0)</f>
        <v>0</v>
      </c>
      <c r="BN85" t="e">
        <f>AND('Planilla_General_03-12-2012_9_3'!A1349,"AAAAAAR6v0E=")</f>
        <v>#VALUE!</v>
      </c>
      <c r="BO85" t="e">
        <f>AND('Planilla_General_03-12-2012_9_3'!B1349,"AAAAAAR6v0I=")</f>
        <v>#VALUE!</v>
      </c>
      <c r="BP85" t="e">
        <f>AND('Planilla_General_03-12-2012_9_3'!C1349,"AAAAAAR6v0M=")</f>
        <v>#VALUE!</v>
      </c>
      <c r="BQ85" t="e">
        <f>AND('Planilla_General_03-12-2012_9_3'!D1349,"AAAAAAR6v0Q=")</f>
        <v>#VALUE!</v>
      </c>
      <c r="BR85" t="e">
        <f>AND('Planilla_General_03-12-2012_9_3'!E1349,"AAAAAAR6v0U=")</f>
        <v>#VALUE!</v>
      </c>
      <c r="BS85" t="e">
        <f>AND('Planilla_General_03-12-2012_9_3'!F1349,"AAAAAAR6v0Y=")</f>
        <v>#VALUE!</v>
      </c>
      <c r="BT85" t="e">
        <f>AND('Planilla_General_03-12-2012_9_3'!G1349,"AAAAAAR6v0c=")</f>
        <v>#VALUE!</v>
      </c>
      <c r="BU85" t="e">
        <f>AND('Planilla_General_03-12-2012_9_3'!H1349,"AAAAAAR6v0g=")</f>
        <v>#VALUE!</v>
      </c>
      <c r="BV85" t="e">
        <f>AND('Planilla_General_03-12-2012_9_3'!I1349,"AAAAAAR6v0k=")</f>
        <v>#VALUE!</v>
      </c>
      <c r="BW85" t="e">
        <f>AND('Planilla_General_03-12-2012_9_3'!J1349,"AAAAAAR6v0o=")</f>
        <v>#VALUE!</v>
      </c>
      <c r="BX85" t="e">
        <f>AND('Planilla_General_03-12-2012_9_3'!K1349,"AAAAAAR6v0s=")</f>
        <v>#VALUE!</v>
      </c>
      <c r="BY85" t="e">
        <f>AND('Planilla_General_03-12-2012_9_3'!L1349,"AAAAAAR6v0w=")</f>
        <v>#VALUE!</v>
      </c>
      <c r="BZ85" t="e">
        <f>AND('Planilla_General_03-12-2012_9_3'!M1349,"AAAAAAR6v00=")</f>
        <v>#VALUE!</v>
      </c>
      <c r="CA85" t="e">
        <f>AND('Planilla_General_03-12-2012_9_3'!N1349,"AAAAAAR6v04=")</f>
        <v>#VALUE!</v>
      </c>
      <c r="CB85" t="e">
        <f>AND('Planilla_General_03-12-2012_9_3'!O1349,"AAAAAAR6v08=")</f>
        <v>#VALUE!</v>
      </c>
      <c r="CC85">
        <f>IF('Planilla_General_03-12-2012_9_3'!1350:1350,"AAAAAAR6v1A=",0)</f>
        <v>0</v>
      </c>
      <c r="CD85" t="e">
        <f>AND('Planilla_General_03-12-2012_9_3'!A1350,"AAAAAAR6v1E=")</f>
        <v>#VALUE!</v>
      </c>
      <c r="CE85" t="e">
        <f>AND('Planilla_General_03-12-2012_9_3'!B1350,"AAAAAAR6v1I=")</f>
        <v>#VALUE!</v>
      </c>
      <c r="CF85" t="e">
        <f>AND('Planilla_General_03-12-2012_9_3'!C1350,"AAAAAAR6v1M=")</f>
        <v>#VALUE!</v>
      </c>
      <c r="CG85" t="e">
        <f>AND('Planilla_General_03-12-2012_9_3'!D1350,"AAAAAAR6v1Q=")</f>
        <v>#VALUE!</v>
      </c>
      <c r="CH85" t="e">
        <f>AND('Planilla_General_03-12-2012_9_3'!E1350,"AAAAAAR6v1U=")</f>
        <v>#VALUE!</v>
      </c>
      <c r="CI85" t="e">
        <f>AND('Planilla_General_03-12-2012_9_3'!F1350,"AAAAAAR6v1Y=")</f>
        <v>#VALUE!</v>
      </c>
      <c r="CJ85" t="e">
        <f>AND('Planilla_General_03-12-2012_9_3'!G1350,"AAAAAAR6v1c=")</f>
        <v>#VALUE!</v>
      </c>
      <c r="CK85" t="e">
        <f>AND('Planilla_General_03-12-2012_9_3'!H1350,"AAAAAAR6v1g=")</f>
        <v>#VALUE!</v>
      </c>
      <c r="CL85" t="e">
        <f>AND('Planilla_General_03-12-2012_9_3'!I1350,"AAAAAAR6v1k=")</f>
        <v>#VALUE!</v>
      </c>
      <c r="CM85" t="e">
        <f>AND('Planilla_General_03-12-2012_9_3'!J1350,"AAAAAAR6v1o=")</f>
        <v>#VALUE!</v>
      </c>
      <c r="CN85" t="e">
        <f>AND('Planilla_General_03-12-2012_9_3'!K1350,"AAAAAAR6v1s=")</f>
        <v>#VALUE!</v>
      </c>
      <c r="CO85" t="e">
        <f>AND('Planilla_General_03-12-2012_9_3'!L1350,"AAAAAAR6v1w=")</f>
        <v>#VALUE!</v>
      </c>
      <c r="CP85" t="e">
        <f>AND('Planilla_General_03-12-2012_9_3'!M1350,"AAAAAAR6v10=")</f>
        <v>#VALUE!</v>
      </c>
      <c r="CQ85" t="e">
        <f>AND('Planilla_General_03-12-2012_9_3'!N1350,"AAAAAAR6v14=")</f>
        <v>#VALUE!</v>
      </c>
      <c r="CR85" t="e">
        <f>AND('Planilla_General_03-12-2012_9_3'!O1350,"AAAAAAR6v18=")</f>
        <v>#VALUE!</v>
      </c>
      <c r="CS85">
        <f>IF('Planilla_General_03-12-2012_9_3'!1351:1351,"AAAAAAR6v2A=",0)</f>
        <v>0</v>
      </c>
      <c r="CT85" t="e">
        <f>AND('Planilla_General_03-12-2012_9_3'!A1351,"AAAAAAR6v2E=")</f>
        <v>#VALUE!</v>
      </c>
      <c r="CU85" t="e">
        <f>AND('Planilla_General_03-12-2012_9_3'!B1351,"AAAAAAR6v2I=")</f>
        <v>#VALUE!</v>
      </c>
      <c r="CV85" t="e">
        <f>AND('Planilla_General_03-12-2012_9_3'!C1351,"AAAAAAR6v2M=")</f>
        <v>#VALUE!</v>
      </c>
      <c r="CW85" t="e">
        <f>AND('Planilla_General_03-12-2012_9_3'!D1351,"AAAAAAR6v2Q=")</f>
        <v>#VALUE!</v>
      </c>
      <c r="CX85" t="e">
        <f>AND('Planilla_General_03-12-2012_9_3'!E1351,"AAAAAAR6v2U=")</f>
        <v>#VALUE!</v>
      </c>
      <c r="CY85" t="e">
        <f>AND('Planilla_General_03-12-2012_9_3'!F1351,"AAAAAAR6v2Y=")</f>
        <v>#VALUE!</v>
      </c>
      <c r="CZ85" t="e">
        <f>AND('Planilla_General_03-12-2012_9_3'!G1351,"AAAAAAR6v2c=")</f>
        <v>#VALUE!</v>
      </c>
      <c r="DA85" t="e">
        <f>AND('Planilla_General_03-12-2012_9_3'!H1351,"AAAAAAR6v2g=")</f>
        <v>#VALUE!</v>
      </c>
      <c r="DB85" t="e">
        <f>AND('Planilla_General_03-12-2012_9_3'!I1351,"AAAAAAR6v2k=")</f>
        <v>#VALUE!</v>
      </c>
      <c r="DC85" t="e">
        <f>AND('Planilla_General_03-12-2012_9_3'!J1351,"AAAAAAR6v2o=")</f>
        <v>#VALUE!</v>
      </c>
      <c r="DD85" t="e">
        <f>AND('Planilla_General_03-12-2012_9_3'!K1351,"AAAAAAR6v2s=")</f>
        <v>#VALUE!</v>
      </c>
      <c r="DE85" t="e">
        <f>AND('Planilla_General_03-12-2012_9_3'!L1351,"AAAAAAR6v2w=")</f>
        <v>#VALUE!</v>
      </c>
      <c r="DF85" t="e">
        <f>AND('Planilla_General_03-12-2012_9_3'!M1351,"AAAAAAR6v20=")</f>
        <v>#VALUE!</v>
      </c>
      <c r="DG85" t="e">
        <f>AND('Planilla_General_03-12-2012_9_3'!N1351,"AAAAAAR6v24=")</f>
        <v>#VALUE!</v>
      </c>
      <c r="DH85" t="e">
        <f>AND('Planilla_General_03-12-2012_9_3'!O1351,"AAAAAAR6v28=")</f>
        <v>#VALUE!</v>
      </c>
      <c r="DI85">
        <f>IF('Planilla_General_03-12-2012_9_3'!1352:1352,"AAAAAAR6v3A=",0)</f>
        <v>0</v>
      </c>
      <c r="DJ85" t="e">
        <f>AND('Planilla_General_03-12-2012_9_3'!A1352,"AAAAAAR6v3E=")</f>
        <v>#VALUE!</v>
      </c>
      <c r="DK85" t="e">
        <f>AND('Planilla_General_03-12-2012_9_3'!B1352,"AAAAAAR6v3I=")</f>
        <v>#VALUE!</v>
      </c>
      <c r="DL85" t="e">
        <f>AND('Planilla_General_03-12-2012_9_3'!C1352,"AAAAAAR6v3M=")</f>
        <v>#VALUE!</v>
      </c>
      <c r="DM85" t="e">
        <f>AND('Planilla_General_03-12-2012_9_3'!D1352,"AAAAAAR6v3Q=")</f>
        <v>#VALUE!</v>
      </c>
      <c r="DN85" t="e">
        <f>AND('Planilla_General_03-12-2012_9_3'!E1352,"AAAAAAR6v3U=")</f>
        <v>#VALUE!</v>
      </c>
      <c r="DO85" t="e">
        <f>AND('Planilla_General_03-12-2012_9_3'!F1352,"AAAAAAR6v3Y=")</f>
        <v>#VALUE!</v>
      </c>
      <c r="DP85" t="e">
        <f>AND('Planilla_General_03-12-2012_9_3'!G1352,"AAAAAAR6v3c=")</f>
        <v>#VALUE!</v>
      </c>
      <c r="DQ85" t="e">
        <f>AND('Planilla_General_03-12-2012_9_3'!H1352,"AAAAAAR6v3g=")</f>
        <v>#VALUE!</v>
      </c>
      <c r="DR85" t="e">
        <f>AND('Planilla_General_03-12-2012_9_3'!I1352,"AAAAAAR6v3k=")</f>
        <v>#VALUE!</v>
      </c>
      <c r="DS85" t="e">
        <f>AND('Planilla_General_03-12-2012_9_3'!J1352,"AAAAAAR6v3o=")</f>
        <v>#VALUE!</v>
      </c>
      <c r="DT85" t="e">
        <f>AND('Planilla_General_03-12-2012_9_3'!K1352,"AAAAAAR6v3s=")</f>
        <v>#VALUE!</v>
      </c>
      <c r="DU85" t="e">
        <f>AND('Planilla_General_03-12-2012_9_3'!L1352,"AAAAAAR6v3w=")</f>
        <v>#VALUE!</v>
      </c>
      <c r="DV85" t="e">
        <f>AND('Planilla_General_03-12-2012_9_3'!M1352,"AAAAAAR6v30=")</f>
        <v>#VALUE!</v>
      </c>
      <c r="DW85" t="e">
        <f>AND('Planilla_General_03-12-2012_9_3'!N1352,"AAAAAAR6v34=")</f>
        <v>#VALUE!</v>
      </c>
      <c r="DX85" t="e">
        <f>AND('Planilla_General_03-12-2012_9_3'!O1352,"AAAAAAR6v38=")</f>
        <v>#VALUE!</v>
      </c>
      <c r="DY85">
        <f>IF('Planilla_General_03-12-2012_9_3'!1353:1353,"AAAAAAR6v4A=",0)</f>
        <v>0</v>
      </c>
      <c r="DZ85" t="e">
        <f>AND('Planilla_General_03-12-2012_9_3'!A1353,"AAAAAAR6v4E=")</f>
        <v>#VALUE!</v>
      </c>
      <c r="EA85" t="e">
        <f>AND('Planilla_General_03-12-2012_9_3'!B1353,"AAAAAAR6v4I=")</f>
        <v>#VALUE!</v>
      </c>
      <c r="EB85" t="e">
        <f>AND('Planilla_General_03-12-2012_9_3'!C1353,"AAAAAAR6v4M=")</f>
        <v>#VALUE!</v>
      </c>
      <c r="EC85" t="e">
        <f>AND('Planilla_General_03-12-2012_9_3'!D1353,"AAAAAAR6v4Q=")</f>
        <v>#VALUE!</v>
      </c>
      <c r="ED85" t="e">
        <f>AND('Planilla_General_03-12-2012_9_3'!E1353,"AAAAAAR6v4U=")</f>
        <v>#VALUE!</v>
      </c>
      <c r="EE85" t="e">
        <f>AND('Planilla_General_03-12-2012_9_3'!F1353,"AAAAAAR6v4Y=")</f>
        <v>#VALUE!</v>
      </c>
      <c r="EF85" t="e">
        <f>AND('Planilla_General_03-12-2012_9_3'!G1353,"AAAAAAR6v4c=")</f>
        <v>#VALUE!</v>
      </c>
      <c r="EG85" t="e">
        <f>AND('Planilla_General_03-12-2012_9_3'!H1353,"AAAAAAR6v4g=")</f>
        <v>#VALUE!</v>
      </c>
      <c r="EH85" t="e">
        <f>AND('Planilla_General_03-12-2012_9_3'!I1353,"AAAAAAR6v4k=")</f>
        <v>#VALUE!</v>
      </c>
      <c r="EI85" t="e">
        <f>AND('Planilla_General_03-12-2012_9_3'!J1353,"AAAAAAR6v4o=")</f>
        <v>#VALUE!</v>
      </c>
      <c r="EJ85" t="e">
        <f>AND('Planilla_General_03-12-2012_9_3'!K1353,"AAAAAAR6v4s=")</f>
        <v>#VALUE!</v>
      </c>
      <c r="EK85" t="e">
        <f>AND('Planilla_General_03-12-2012_9_3'!L1353,"AAAAAAR6v4w=")</f>
        <v>#VALUE!</v>
      </c>
      <c r="EL85" t="e">
        <f>AND('Planilla_General_03-12-2012_9_3'!M1353,"AAAAAAR6v40=")</f>
        <v>#VALUE!</v>
      </c>
      <c r="EM85" t="e">
        <f>AND('Planilla_General_03-12-2012_9_3'!N1353,"AAAAAAR6v44=")</f>
        <v>#VALUE!</v>
      </c>
      <c r="EN85" t="e">
        <f>AND('Planilla_General_03-12-2012_9_3'!O1353,"AAAAAAR6v48=")</f>
        <v>#VALUE!</v>
      </c>
      <c r="EO85">
        <f>IF('Planilla_General_03-12-2012_9_3'!1354:1354,"AAAAAAR6v5A=",0)</f>
        <v>0</v>
      </c>
      <c r="EP85" t="e">
        <f>AND('Planilla_General_03-12-2012_9_3'!A1354,"AAAAAAR6v5E=")</f>
        <v>#VALUE!</v>
      </c>
      <c r="EQ85" t="e">
        <f>AND('Planilla_General_03-12-2012_9_3'!B1354,"AAAAAAR6v5I=")</f>
        <v>#VALUE!</v>
      </c>
      <c r="ER85" t="e">
        <f>AND('Planilla_General_03-12-2012_9_3'!C1354,"AAAAAAR6v5M=")</f>
        <v>#VALUE!</v>
      </c>
      <c r="ES85" t="e">
        <f>AND('Planilla_General_03-12-2012_9_3'!D1354,"AAAAAAR6v5Q=")</f>
        <v>#VALUE!</v>
      </c>
      <c r="ET85" t="e">
        <f>AND('Planilla_General_03-12-2012_9_3'!E1354,"AAAAAAR6v5U=")</f>
        <v>#VALUE!</v>
      </c>
      <c r="EU85" t="e">
        <f>AND('Planilla_General_03-12-2012_9_3'!F1354,"AAAAAAR6v5Y=")</f>
        <v>#VALUE!</v>
      </c>
      <c r="EV85" t="e">
        <f>AND('Planilla_General_03-12-2012_9_3'!G1354,"AAAAAAR6v5c=")</f>
        <v>#VALUE!</v>
      </c>
      <c r="EW85" t="e">
        <f>AND('Planilla_General_03-12-2012_9_3'!H1354,"AAAAAAR6v5g=")</f>
        <v>#VALUE!</v>
      </c>
      <c r="EX85" t="e">
        <f>AND('Planilla_General_03-12-2012_9_3'!I1354,"AAAAAAR6v5k=")</f>
        <v>#VALUE!</v>
      </c>
      <c r="EY85" t="e">
        <f>AND('Planilla_General_03-12-2012_9_3'!J1354,"AAAAAAR6v5o=")</f>
        <v>#VALUE!</v>
      </c>
      <c r="EZ85" t="e">
        <f>AND('Planilla_General_03-12-2012_9_3'!K1354,"AAAAAAR6v5s=")</f>
        <v>#VALUE!</v>
      </c>
      <c r="FA85" t="e">
        <f>AND('Planilla_General_03-12-2012_9_3'!L1354,"AAAAAAR6v5w=")</f>
        <v>#VALUE!</v>
      </c>
      <c r="FB85" t="e">
        <f>AND('Planilla_General_03-12-2012_9_3'!M1354,"AAAAAAR6v50=")</f>
        <v>#VALUE!</v>
      </c>
      <c r="FC85" t="e">
        <f>AND('Planilla_General_03-12-2012_9_3'!N1354,"AAAAAAR6v54=")</f>
        <v>#VALUE!</v>
      </c>
      <c r="FD85" t="e">
        <f>AND('Planilla_General_03-12-2012_9_3'!O1354,"AAAAAAR6v58=")</f>
        <v>#VALUE!</v>
      </c>
      <c r="FE85">
        <f>IF('Planilla_General_03-12-2012_9_3'!1355:1355,"AAAAAAR6v6A=",0)</f>
        <v>0</v>
      </c>
      <c r="FF85" t="e">
        <f>AND('Planilla_General_03-12-2012_9_3'!A1355,"AAAAAAR6v6E=")</f>
        <v>#VALUE!</v>
      </c>
      <c r="FG85" t="e">
        <f>AND('Planilla_General_03-12-2012_9_3'!B1355,"AAAAAAR6v6I=")</f>
        <v>#VALUE!</v>
      </c>
      <c r="FH85" t="e">
        <f>AND('Planilla_General_03-12-2012_9_3'!C1355,"AAAAAAR6v6M=")</f>
        <v>#VALUE!</v>
      </c>
      <c r="FI85" t="e">
        <f>AND('Planilla_General_03-12-2012_9_3'!D1355,"AAAAAAR6v6Q=")</f>
        <v>#VALUE!</v>
      </c>
      <c r="FJ85" t="e">
        <f>AND('Planilla_General_03-12-2012_9_3'!E1355,"AAAAAAR6v6U=")</f>
        <v>#VALUE!</v>
      </c>
      <c r="FK85" t="e">
        <f>AND('Planilla_General_03-12-2012_9_3'!F1355,"AAAAAAR6v6Y=")</f>
        <v>#VALUE!</v>
      </c>
      <c r="FL85" t="e">
        <f>AND('Planilla_General_03-12-2012_9_3'!G1355,"AAAAAAR6v6c=")</f>
        <v>#VALUE!</v>
      </c>
      <c r="FM85" t="e">
        <f>AND('Planilla_General_03-12-2012_9_3'!H1355,"AAAAAAR6v6g=")</f>
        <v>#VALUE!</v>
      </c>
      <c r="FN85" t="e">
        <f>AND('Planilla_General_03-12-2012_9_3'!I1355,"AAAAAAR6v6k=")</f>
        <v>#VALUE!</v>
      </c>
      <c r="FO85" t="e">
        <f>AND('Planilla_General_03-12-2012_9_3'!J1355,"AAAAAAR6v6o=")</f>
        <v>#VALUE!</v>
      </c>
      <c r="FP85" t="e">
        <f>AND('Planilla_General_03-12-2012_9_3'!K1355,"AAAAAAR6v6s=")</f>
        <v>#VALUE!</v>
      </c>
      <c r="FQ85" t="e">
        <f>AND('Planilla_General_03-12-2012_9_3'!L1355,"AAAAAAR6v6w=")</f>
        <v>#VALUE!</v>
      </c>
      <c r="FR85" t="e">
        <f>AND('Planilla_General_03-12-2012_9_3'!M1355,"AAAAAAR6v60=")</f>
        <v>#VALUE!</v>
      </c>
      <c r="FS85" t="e">
        <f>AND('Planilla_General_03-12-2012_9_3'!N1355,"AAAAAAR6v64=")</f>
        <v>#VALUE!</v>
      </c>
      <c r="FT85" t="e">
        <f>AND('Planilla_General_03-12-2012_9_3'!O1355,"AAAAAAR6v68=")</f>
        <v>#VALUE!</v>
      </c>
      <c r="FU85">
        <f>IF('Planilla_General_03-12-2012_9_3'!1356:1356,"AAAAAAR6v7A=",0)</f>
        <v>0</v>
      </c>
      <c r="FV85" t="e">
        <f>AND('Planilla_General_03-12-2012_9_3'!A1356,"AAAAAAR6v7E=")</f>
        <v>#VALUE!</v>
      </c>
      <c r="FW85" t="e">
        <f>AND('Planilla_General_03-12-2012_9_3'!B1356,"AAAAAAR6v7I=")</f>
        <v>#VALUE!</v>
      </c>
      <c r="FX85" t="e">
        <f>AND('Planilla_General_03-12-2012_9_3'!C1356,"AAAAAAR6v7M=")</f>
        <v>#VALUE!</v>
      </c>
      <c r="FY85" t="e">
        <f>AND('Planilla_General_03-12-2012_9_3'!D1356,"AAAAAAR6v7Q=")</f>
        <v>#VALUE!</v>
      </c>
      <c r="FZ85" t="e">
        <f>AND('Planilla_General_03-12-2012_9_3'!E1356,"AAAAAAR6v7U=")</f>
        <v>#VALUE!</v>
      </c>
      <c r="GA85" t="e">
        <f>AND('Planilla_General_03-12-2012_9_3'!F1356,"AAAAAAR6v7Y=")</f>
        <v>#VALUE!</v>
      </c>
      <c r="GB85" t="e">
        <f>AND('Planilla_General_03-12-2012_9_3'!G1356,"AAAAAAR6v7c=")</f>
        <v>#VALUE!</v>
      </c>
      <c r="GC85" t="e">
        <f>AND('Planilla_General_03-12-2012_9_3'!H1356,"AAAAAAR6v7g=")</f>
        <v>#VALUE!</v>
      </c>
      <c r="GD85" t="e">
        <f>AND('Planilla_General_03-12-2012_9_3'!I1356,"AAAAAAR6v7k=")</f>
        <v>#VALUE!</v>
      </c>
      <c r="GE85" t="e">
        <f>AND('Planilla_General_03-12-2012_9_3'!J1356,"AAAAAAR6v7o=")</f>
        <v>#VALUE!</v>
      </c>
      <c r="GF85" t="e">
        <f>AND('Planilla_General_03-12-2012_9_3'!K1356,"AAAAAAR6v7s=")</f>
        <v>#VALUE!</v>
      </c>
      <c r="GG85" t="e">
        <f>AND('Planilla_General_03-12-2012_9_3'!L1356,"AAAAAAR6v7w=")</f>
        <v>#VALUE!</v>
      </c>
      <c r="GH85" t="e">
        <f>AND('Planilla_General_03-12-2012_9_3'!M1356,"AAAAAAR6v70=")</f>
        <v>#VALUE!</v>
      </c>
      <c r="GI85" t="e">
        <f>AND('Planilla_General_03-12-2012_9_3'!N1356,"AAAAAAR6v74=")</f>
        <v>#VALUE!</v>
      </c>
      <c r="GJ85" t="e">
        <f>AND('Planilla_General_03-12-2012_9_3'!O1356,"AAAAAAR6v78=")</f>
        <v>#VALUE!</v>
      </c>
      <c r="GK85">
        <f>IF('Planilla_General_03-12-2012_9_3'!1357:1357,"AAAAAAR6v8A=",0)</f>
        <v>0</v>
      </c>
      <c r="GL85" t="e">
        <f>AND('Planilla_General_03-12-2012_9_3'!A1357,"AAAAAAR6v8E=")</f>
        <v>#VALUE!</v>
      </c>
      <c r="GM85" t="e">
        <f>AND('Planilla_General_03-12-2012_9_3'!B1357,"AAAAAAR6v8I=")</f>
        <v>#VALUE!</v>
      </c>
      <c r="GN85" t="e">
        <f>AND('Planilla_General_03-12-2012_9_3'!C1357,"AAAAAAR6v8M=")</f>
        <v>#VALUE!</v>
      </c>
      <c r="GO85" t="e">
        <f>AND('Planilla_General_03-12-2012_9_3'!D1357,"AAAAAAR6v8Q=")</f>
        <v>#VALUE!</v>
      </c>
      <c r="GP85" t="e">
        <f>AND('Planilla_General_03-12-2012_9_3'!E1357,"AAAAAAR6v8U=")</f>
        <v>#VALUE!</v>
      </c>
      <c r="GQ85" t="e">
        <f>AND('Planilla_General_03-12-2012_9_3'!F1357,"AAAAAAR6v8Y=")</f>
        <v>#VALUE!</v>
      </c>
      <c r="GR85" t="e">
        <f>AND('Planilla_General_03-12-2012_9_3'!G1357,"AAAAAAR6v8c=")</f>
        <v>#VALUE!</v>
      </c>
      <c r="GS85" t="e">
        <f>AND('Planilla_General_03-12-2012_9_3'!H1357,"AAAAAAR6v8g=")</f>
        <v>#VALUE!</v>
      </c>
      <c r="GT85" t="e">
        <f>AND('Planilla_General_03-12-2012_9_3'!I1357,"AAAAAAR6v8k=")</f>
        <v>#VALUE!</v>
      </c>
      <c r="GU85" t="e">
        <f>AND('Planilla_General_03-12-2012_9_3'!J1357,"AAAAAAR6v8o=")</f>
        <v>#VALUE!</v>
      </c>
      <c r="GV85" t="e">
        <f>AND('Planilla_General_03-12-2012_9_3'!K1357,"AAAAAAR6v8s=")</f>
        <v>#VALUE!</v>
      </c>
      <c r="GW85" t="e">
        <f>AND('Planilla_General_03-12-2012_9_3'!L1357,"AAAAAAR6v8w=")</f>
        <v>#VALUE!</v>
      </c>
      <c r="GX85" t="e">
        <f>AND('Planilla_General_03-12-2012_9_3'!M1357,"AAAAAAR6v80=")</f>
        <v>#VALUE!</v>
      </c>
      <c r="GY85" t="e">
        <f>AND('Planilla_General_03-12-2012_9_3'!N1357,"AAAAAAR6v84=")</f>
        <v>#VALUE!</v>
      </c>
      <c r="GZ85" t="e">
        <f>AND('Planilla_General_03-12-2012_9_3'!O1357,"AAAAAAR6v88=")</f>
        <v>#VALUE!</v>
      </c>
      <c r="HA85">
        <f>IF('Planilla_General_03-12-2012_9_3'!1358:1358,"AAAAAAR6v9A=",0)</f>
        <v>0</v>
      </c>
      <c r="HB85" t="e">
        <f>AND('Planilla_General_03-12-2012_9_3'!A1358,"AAAAAAR6v9E=")</f>
        <v>#VALUE!</v>
      </c>
      <c r="HC85" t="e">
        <f>AND('Planilla_General_03-12-2012_9_3'!B1358,"AAAAAAR6v9I=")</f>
        <v>#VALUE!</v>
      </c>
      <c r="HD85" t="e">
        <f>AND('Planilla_General_03-12-2012_9_3'!C1358,"AAAAAAR6v9M=")</f>
        <v>#VALUE!</v>
      </c>
      <c r="HE85" t="e">
        <f>AND('Planilla_General_03-12-2012_9_3'!D1358,"AAAAAAR6v9Q=")</f>
        <v>#VALUE!</v>
      </c>
      <c r="HF85" t="e">
        <f>AND('Planilla_General_03-12-2012_9_3'!E1358,"AAAAAAR6v9U=")</f>
        <v>#VALUE!</v>
      </c>
      <c r="HG85" t="e">
        <f>AND('Planilla_General_03-12-2012_9_3'!F1358,"AAAAAAR6v9Y=")</f>
        <v>#VALUE!</v>
      </c>
      <c r="HH85" t="e">
        <f>AND('Planilla_General_03-12-2012_9_3'!G1358,"AAAAAAR6v9c=")</f>
        <v>#VALUE!</v>
      </c>
      <c r="HI85" t="e">
        <f>AND('Planilla_General_03-12-2012_9_3'!H1358,"AAAAAAR6v9g=")</f>
        <v>#VALUE!</v>
      </c>
      <c r="HJ85" t="e">
        <f>AND('Planilla_General_03-12-2012_9_3'!I1358,"AAAAAAR6v9k=")</f>
        <v>#VALUE!</v>
      </c>
      <c r="HK85" t="e">
        <f>AND('Planilla_General_03-12-2012_9_3'!J1358,"AAAAAAR6v9o=")</f>
        <v>#VALUE!</v>
      </c>
      <c r="HL85" t="e">
        <f>AND('Planilla_General_03-12-2012_9_3'!K1358,"AAAAAAR6v9s=")</f>
        <v>#VALUE!</v>
      </c>
      <c r="HM85" t="e">
        <f>AND('Planilla_General_03-12-2012_9_3'!L1358,"AAAAAAR6v9w=")</f>
        <v>#VALUE!</v>
      </c>
      <c r="HN85" t="e">
        <f>AND('Planilla_General_03-12-2012_9_3'!M1358,"AAAAAAR6v90=")</f>
        <v>#VALUE!</v>
      </c>
      <c r="HO85" t="e">
        <f>AND('Planilla_General_03-12-2012_9_3'!N1358,"AAAAAAR6v94=")</f>
        <v>#VALUE!</v>
      </c>
      <c r="HP85" t="e">
        <f>AND('Planilla_General_03-12-2012_9_3'!O1358,"AAAAAAR6v98=")</f>
        <v>#VALUE!</v>
      </c>
      <c r="HQ85">
        <f>IF('Planilla_General_03-12-2012_9_3'!1359:1359,"AAAAAAR6v+A=",0)</f>
        <v>0</v>
      </c>
      <c r="HR85" t="e">
        <f>AND('Planilla_General_03-12-2012_9_3'!A1359,"AAAAAAR6v+E=")</f>
        <v>#VALUE!</v>
      </c>
      <c r="HS85" t="e">
        <f>AND('Planilla_General_03-12-2012_9_3'!B1359,"AAAAAAR6v+I=")</f>
        <v>#VALUE!</v>
      </c>
      <c r="HT85" t="e">
        <f>AND('Planilla_General_03-12-2012_9_3'!C1359,"AAAAAAR6v+M=")</f>
        <v>#VALUE!</v>
      </c>
      <c r="HU85" t="e">
        <f>AND('Planilla_General_03-12-2012_9_3'!D1359,"AAAAAAR6v+Q=")</f>
        <v>#VALUE!</v>
      </c>
      <c r="HV85" t="e">
        <f>AND('Planilla_General_03-12-2012_9_3'!E1359,"AAAAAAR6v+U=")</f>
        <v>#VALUE!</v>
      </c>
      <c r="HW85" t="e">
        <f>AND('Planilla_General_03-12-2012_9_3'!F1359,"AAAAAAR6v+Y=")</f>
        <v>#VALUE!</v>
      </c>
      <c r="HX85" t="e">
        <f>AND('Planilla_General_03-12-2012_9_3'!G1359,"AAAAAAR6v+c=")</f>
        <v>#VALUE!</v>
      </c>
      <c r="HY85" t="e">
        <f>AND('Planilla_General_03-12-2012_9_3'!H1359,"AAAAAAR6v+g=")</f>
        <v>#VALUE!</v>
      </c>
      <c r="HZ85" t="e">
        <f>AND('Planilla_General_03-12-2012_9_3'!I1359,"AAAAAAR6v+k=")</f>
        <v>#VALUE!</v>
      </c>
      <c r="IA85" t="e">
        <f>AND('Planilla_General_03-12-2012_9_3'!J1359,"AAAAAAR6v+o=")</f>
        <v>#VALUE!</v>
      </c>
      <c r="IB85" t="e">
        <f>AND('Planilla_General_03-12-2012_9_3'!K1359,"AAAAAAR6v+s=")</f>
        <v>#VALUE!</v>
      </c>
      <c r="IC85" t="e">
        <f>AND('Planilla_General_03-12-2012_9_3'!L1359,"AAAAAAR6v+w=")</f>
        <v>#VALUE!</v>
      </c>
      <c r="ID85" t="e">
        <f>AND('Planilla_General_03-12-2012_9_3'!M1359,"AAAAAAR6v+0=")</f>
        <v>#VALUE!</v>
      </c>
      <c r="IE85" t="e">
        <f>AND('Planilla_General_03-12-2012_9_3'!N1359,"AAAAAAR6v+4=")</f>
        <v>#VALUE!</v>
      </c>
      <c r="IF85" t="e">
        <f>AND('Planilla_General_03-12-2012_9_3'!O1359,"AAAAAAR6v+8=")</f>
        <v>#VALUE!</v>
      </c>
      <c r="IG85">
        <f>IF('Planilla_General_03-12-2012_9_3'!1360:1360,"AAAAAAR6v/A=",0)</f>
        <v>0</v>
      </c>
      <c r="IH85" t="e">
        <f>AND('Planilla_General_03-12-2012_9_3'!A1360,"AAAAAAR6v/E=")</f>
        <v>#VALUE!</v>
      </c>
      <c r="II85" t="e">
        <f>AND('Planilla_General_03-12-2012_9_3'!B1360,"AAAAAAR6v/I=")</f>
        <v>#VALUE!</v>
      </c>
      <c r="IJ85" t="e">
        <f>AND('Planilla_General_03-12-2012_9_3'!C1360,"AAAAAAR6v/M=")</f>
        <v>#VALUE!</v>
      </c>
      <c r="IK85" t="e">
        <f>AND('Planilla_General_03-12-2012_9_3'!D1360,"AAAAAAR6v/Q=")</f>
        <v>#VALUE!</v>
      </c>
      <c r="IL85" t="e">
        <f>AND('Planilla_General_03-12-2012_9_3'!E1360,"AAAAAAR6v/U=")</f>
        <v>#VALUE!</v>
      </c>
      <c r="IM85" t="e">
        <f>AND('Planilla_General_03-12-2012_9_3'!F1360,"AAAAAAR6v/Y=")</f>
        <v>#VALUE!</v>
      </c>
      <c r="IN85" t="e">
        <f>AND('Planilla_General_03-12-2012_9_3'!G1360,"AAAAAAR6v/c=")</f>
        <v>#VALUE!</v>
      </c>
      <c r="IO85" t="e">
        <f>AND('Planilla_General_03-12-2012_9_3'!H1360,"AAAAAAR6v/g=")</f>
        <v>#VALUE!</v>
      </c>
      <c r="IP85" t="e">
        <f>AND('Planilla_General_03-12-2012_9_3'!I1360,"AAAAAAR6v/k=")</f>
        <v>#VALUE!</v>
      </c>
      <c r="IQ85" t="e">
        <f>AND('Planilla_General_03-12-2012_9_3'!J1360,"AAAAAAR6v/o=")</f>
        <v>#VALUE!</v>
      </c>
      <c r="IR85" t="e">
        <f>AND('Planilla_General_03-12-2012_9_3'!K1360,"AAAAAAR6v/s=")</f>
        <v>#VALUE!</v>
      </c>
      <c r="IS85" t="e">
        <f>AND('Planilla_General_03-12-2012_9_3'!L1360,"AAAAAAR6v/w=")</f>
        <v>#VALUE!</v>
      </c>
      <c r="IT85" t="e">
        <f>AND('Planilla_General_03-12-2012_9_3'!M1360,"AAAAAAR6v/0=")</f>
        <v>#VALUE!</v>
      </c>
      <c r="IU85" t="e">
        <f>AND('Planilla_General_03-12-2012_9_3'!N1360,"AAAAAAR6v/4=")</f>
        <v>#VALUE!</v>
      </c>
      <c r="IV85" t="e">
        <f>AND('Planilla_General_03-12-2012_9_3'!O1360,"AAAAAAR6v/8=")</f>
        <v>#VALUE!</v>
      </c>
    </row>
    <row r="86" spans="1:256" x14ac:dyDescent="0.25">
      <c r="A86" t="e">
        <f>IF('Planilla_General_03-12-2012_9_3'!1361:1361,"AAAAADqTTwA=",0)</f>
        <v>#VALUE!</v>
      </c>
      <c r="B86" t="e">
        <f>AND('Planilla_General_03-12-2012_9_3'!A1361,"AAAAADqTTwE=")</f>
        <v>#VALUE!</v>
      </c>
      <c r="C86" t="e">
        <f>AND('Planilla_General_03-12-2012_9_3'!B1361,"AAAAADqTTwI=")</f>
        <v>#VALUE!</v>
      </c>
      <c r="D86" t="e">
        <f>AND('Planilla_General_03-12-2012_9_3'!C1361,"AAAAADqTTwM=")</f>
        <v>#VALUE!</v>
      </c>
      <c r="E86" t="e">
        <f>AND('Planilla_General_03-12-2012_9_3'!D1361,"AAAAADqTTwQ=")</f>
        <v>#VALUE!</v>
      </c>
      <c r="F86" t="e">
        <f>AND('Planilla_General_03-12-2012_9_3'!E1361,"AAAAADqTTwU=")</f>
        <v>#VALUE!</v>
      </c>
      <c r="G86" t="e">
        <f>AND('Planilla_General_03-12-2012_9_3'!F1361,"AAAAADqTTwY=")</f>
        <v>#VALUE!</v>
      </c>
      <c r="H86" t="e">
        <f>AND('Planilla_General_03-12-2012_9_3'!G1361,"AAAAADqTTwc=")</f>
        <v>#VALUE!</v>
      </c>
      <c r="I86" t="e">
        <f>AND('Planilla_General_03-12-2012_9_3'!H1361,"AAAAADqTTwg=")</f>
        <v>#VALUE!</v>
      </c>
      <c r="J86" t="e">
        <f>AND('Planilla_General_03-12-2012_9_3'!I1361,"AAAAADqTTwk=")</f>
        <v>#VALUE!</v>
      </c>
      <c r="K86" t="e">
        <f>AND('Planilla_General_03-12-2012_9_3'!J1361,"AAAAADqTTwo=")</f>
        <v>#VALUE!</v>
      </c>
      <c r="L86" t="e">
        <f>AND('Planilla_General_03-12-2012_9_3'!K1361,"AAAAADqTTws=")</f>
        <v>#VALUE!</v>
      </c>
      <c r="M86" t="e">
        <f>AND('Planilla_General_03-12-2012_9_3'!L1361,"AAAAADqTTww=")</f>
        <v>#VALUE!</v>
      </c>
      <c r="N86" t="e">
        <f>AND('Planilla_General_03-12-2012_9_3'!M1361,"AAAAADqTTw0=")</f>
        <v>#VALUE!</v>
      </c>
      <c r="O86" t="e">
        <f>AND('Planilla_General_03-12-2012_9_3'!N1361,"AAAAADqTTw4=")</f>
        <v>#VALUE!</v>
      </c>
      <c r="P86" t="e">
        <f>AND('Planilla_General_03-12-2012_9_3'!O1361,"AAAAADqTTw8=")</f>
        <v>#VALUE!</v>
      </c>
      <c r="Q86">
        <f>IF('Planilla_General_03-12-2012_9_3'!1362:1362,"AAAAADqTTxA=",0)</f>
        <v>0</v>
      </c>
      <c r="R86" t="e">
        <f>AND('Planilla_General_03-12-2012_9_3'!A1362,"AAAAADqTTxE=")</f>
        <v>#VALUE!</v>
      </c>
      <c r="S86" t="e">
        <f>AND('Planilla_General_03-12-2012_9_3'!B1362,"AAAAADqTTxI=")</f>
        <v>#VALUE!</v>
      </c>
      <c r="T86" t="e">
        <f>AND('Planilla_General_03-12-2012_9_3'!C1362,"AAAAADqTTxM=")</f>
        <v>#VALUE!</v>
      </c>
      <c r="U86" t="e">
        <f>AND('Planilla_General_03-12-2012_9_3'!D1362,"AAAAADqTTxQ=")</f>
        <v>#VALUE!</v>
      </c>
      <c r="V86" t="e">
        <f>AND('Planilla_General_03-12-2012_9_3'!E1362,"AAAAADqTTxU=")</f>
        <v>#VALUE!</v>
      </c>
      <c r="W86" t="e">
        <f>AND('Planilla_General_03-12-2012_9_3'!F1362,"AAAAADqTTxY=")</f>
        <v>#VALUE!</v>
      </c>
      <c r="X86" t="e">
        <f>AND('Planilla_General_03-12-2012_9_3'!G1362,"AAAAADqTTxc=")</f>
        <v>#VALUE!</v>
      </c>
      <c r="Y86" t="e">
        <f>AND('Planilla_General_03-12-2012_9_3'!H1362,"AAAAADqTTxg=")</f>
        <v>#VALUE!</v>
      </c>
      <c r="Z86" t="e">
        <f>AND('Planilla_General_03-12-2012_9_3'!I1362,"AAAAADqTTxk=")</f>
        <v>#VALUE!</v>
      </c>
      <c r="AA86" t="e">
        <f>AND('Planilla_General_03-12-2012_9_3'!J1362,"AAAAADqTTxo=")</f>
        <v>#VALUE!</v>
      </c>
      <c r="AB86" t="e">
        <f>AND('Planilla_General_03-12-2012_9_3'!K1362,"AAAAADqTTxs=")</f>
        <v>#VALUE!</v>
      </c>
      <c r="AC86" t="e">
        <f>AND('Planilla_General_03-12-2012_9_3'!L1362,"AAAAADqTTxw=")</f>
        <v>#VALUE!</v>
      </c>
      <c r="AD86" t="e">
        <f>AND('Planilla_General_03-12-2012_9_3'!M1362,"AAAAADqTTx0=")</f>
        <v>#VALUE!</v>
      </c>
      <c r="AE86" t="e">
        <f>AND('Planilla_General_03-12-2012_9_3'!N1362,"AAAAADqTTx4=")</f>
        <v>#VALUE!</v>
      </c>
      <c r="AF86" t="e">
        <f>AND('Planilla_General_03-12-2012_9_3'!O1362,"AAAAADqTTx8=")</f>
        <v>#VALUE!</v>
      </c>
      <c r="AG86">
        <f>IF('Planilla_General_03-12-2012_9_3'!1363:1363,"AAAAADqTTyA=",0)</f>
        <v>0</v>
      </c>
      <c r="AH86" t="e">
        <f>AND('Planilla_General_03-12-2012_9_3'!A1363,"AAAAADqTTyE=")</f>
        <v>#VALUE!</v>
      </c>
      <c r="AI86" t="e">
        <f>AND('Planilla_General_03-12-2012_9_3'!B1363,"AAAAADqTTyI=")</f>
        <v>#VALUE!</v>
      </c>
      <c r="AJ86" t="e">
        <f>AND('Planilla_General_03-12-2012_9_3'!C1363,"AAAAADqTTyM=")</f>
        <v>#VALUE!</v>
      </c>
      <c r="AK86" t="e">
        <f>AND('Planilla_General_03-12-2012_9_3'!D1363,"AAAAADqTTyQ=")</f>
        <v>#VALUE!</v>
      </c>
      <c r="AL86" t="e">
        <f>AND('Planilla_General_03-12-2012_9_3'!E1363,"AAAAADqTTyU=")</f>
        <v>#VALUE!</v>
      </c>
      <c r="AM86" t="e">
        <f>AND('Planilla_General_03-12-2012_9_3'!F1363,"AAAAADqTTyY=")</f>
        <v>#VALUE!</v>
      </c>
      <c r="AN86" t="e">
        <f>AND('Planilla_General_03-12-2012_9_3'!G1363,"AAAAADqTTyc=")</f>
        <v>#VALUE!</v>
      </c>
      <c r="AO86" t="e">
        <f>AND('Planilla_General_03-12-2012_9_3'!H1363,"AAAAADqTTyg=")</f>
        <v>#VALUE!</v>
      </c>
      <c r="AP86" t="e">
        <f>AND('Planilla_General_03-12-2012_9_3'!I1363,"AAAAADqTTyk=")</f>
        <v>#VALUE!</v>
      </c>
      <c r="AQ86" t="e">
        <f>AND('Planilla_General_03-12-2012_9_3'!J1363,"AAAAADqTTyo=")</f>
        <v>#VALUE!</v>
      </c>
      <c r="AR86" t="e">
        <f>AND('Planilla_General_03-12-2012_9_3'!K1363,"AAAAADqTTys=")</f>
        <v>#VALUE!</v>
      </c>
      <c r="AS86" t="e">
        <f>AND('Planilla_General_03-12-2012_9_3'!L1363,"AAAAADqTTyw=")</f>
        <v>#VALUE!</v>
      </c>
      <c r="AT86" t="e">
        <f>AND('Planilla_General_03-12-2012_9_3'!M1363,"AAAAADqTTy0=")</f>
        <v>#VALUE!</v>
      </c>
      <c r="AU86" t="e">
        <f>AND('Planilla_General_03-12-2012_9_3'!N1363,"AAAAADqTTy4=")</f>
        <v>#VALUE!</v>
      </c>
      <c r="AV86" t="e">
        <f>AND('Planilla_General_03-12-2012_9_3'!O1363,"AAAAADqTTy8=")</f>
        <v>#VALUE!</v>
      </c>
      <c r="AW86">
        <f>IF('Planilla_General_03-12-2012_9_3'!1364:1364,"AAAAADqTTzA=",0)</f>
        <v>0</v>
      </c>
      <c r="AX86" t="e">
        <f>AND('Planilla_General_03-12-2012_9_3'!A1364,"AAAAADqTTzE=")</f>
        <v>#VALUE!</v>
      </c>
      <c r="AY86" t="e">
        <f>AND('Planilla_General_03-12-2012_9_3'!B1364,"AAAAADqTTzI=")</f>
        <v>#VALUE!</v>
      </c>
      <c r="AZ86" t="e">
        <f>AND('Planilla_General_03-12-2012_9_3'!C1364,"AAAAADqTTzM=")</f>
        <v>#VALUE!</v>
      </c>
      <c r="BA86" t="e">
        <f>AND('Planilla_General_03-12-2012_9_3'!D1364,"AAAAADqTTzQ=")</f>
        <v>#VALUE!</v>
      </c>
      <c r="BB86" t="e">
        <f>AND('Planilla_General_03-12-2012_9_3'!E1364,"AAAAADqTTzU=")</f>
        <v>#VALUE!</v>
      </c>
      <c r="BC86" t="e">
        <f>AND('Planilla_General_03-12-2012_9_3'!F1364,"AAAAADqTTzY=")</f>
        <v>#VALUE!</v>
      </c>
      <c r="BD86" t="e">
        <f>AND('Planilla_General_03-12-2012_9_3'!G1364,"AAAAADqTTzc=")</f>
        <v>#VALUE!</v>
      </c>
      <c r="BE86" t="e">
        <f>AND('Planilla_General_03-12-2012_9_3'!H1364,"AAAAADqTTzg=")</f>
        <v>#VALUE!</v>
      </c>
      <c r="BF86" t="e">
        <f>AND('Planilla_General_03-12-2012_9_3'!I1364,"AAAAADqTTzk=")</f>
        <v>#VALUE!</v>
      </c>
      <c r="BG86" t="e">
        <f>AND('Planilla_General_03-12-2012_9_3'!J1364,"AAAAADqTTzo=")</f>
        <v>#VALUE!</v>
      </c>
      <c r="BH86" t="e">
        <f>AND('Planilla_General_03-12-2012_9_3'!K1364,"AAAAADqTTzs=")</f>
        <v>#VALUE!</v>
      </c>
      <c r="BI86" t="e">
        <f>AND('Planilla_General_03-12-2012_9_3'!L1364,"AAAAADqTTzw=")</f>
        <v>#VALUE!</v>
      </c>
      <c r="BJ86" t="e">
        <f>AND('Planilla_General_03-12-2012_9_3'!M1364,"AAAAADqTTz0=")</f>
        <v>#VALUE!</v>
      </c>
      <c r="BK86" t="e">
        <f>AND('Planilla_General_03-12-2012_9_3'!N1364,"AAAAADqTTz4=")</f>
        <v>#VALUE!</v>
      </c>
      <c r="BL86" t="e">
        <f>AND('Planilla_General_03-12-2012_9_3'!O1364,"AAAAADqTTz8=")</f>
        <v>#VALUE!</v>
      </c>
      <c r="BM86">
        <f>IF('Planilla_General_03-12-2012_9_3'!1365:1365,"AAAAADqTT0A=",0)</f>
        <v>0</v>
      </c>
      <c r="BN86" t="e">
        <f>AND('Planilla_General_03-12-2012_9_3'!A1365,"AAAAADqTT0E=")</f>
        <v>#VALUE!</v>
      </c>
      <c r="BO86" t="e">
        <f>AND('Planilla_General_03-12-2012_9_3'!B1365,"AAAAADqTT0I=")</f>
        <v>#VALUE!</v>
      </c>
      <c r="BP86" t="e">
        <f>AND('Planilla_General_03-12-2012_9_3'!C1365,"AAAAADqTT0M=")</f>
        <v>#VALUE!</v>
      </c>
      <c r="BQ86" t="e">
        <f>AND('Planilla_General_03-12-2012_9_3'!D1365,"AAAAADqTT0Q=")</f>
        <v>#VALUE!</v>
      </c>
      <c r="BR86" t="e">
        <f>AND('Planilla_General_03-12-2012_9_3'!E1365,"AAAAADqTT0U=")</f>
        <v>#VALUE!</v>
      </c>
      <c r="BS86" t="e">
        <f>AND('Planilla_General_03-12-2012_9_3'!F1365,"AAAAADqTT0Y=")</f>
        <v>#VALUE!</v>
      </c>
      <c r="BT86" t="e">
        <f>AND('Planilla_General_03-12-2012_9_3'!G1365,"AAAAADqTT0c=")</f>
        <v>#VALUE!</v>
      </c>
      <c r="BU86" t="e">
        <f>AND('Planilla_General_03-12-2012_9_3'!H1365,"AAAAADqTT0g=")</f>
        <v>#VALUE!</v>
      </c>
      <c r="BV86" t="e">
        <f>AND('Planilla_General_03-12-2012_9_3'!I1365,"AAAAADqTT0k=")</f>
        <v>#VALUE!</v>
      </c>
      <c r="BW86" t="e">
        <f>AND('Planilla_General_03-12-2012_9_3'!J1365,"AAAAADqTT0o=")</f>
        <v>#VALUE!</v>
      </c>
      <c r="BX86" t="e">
        <f>AND('Planilla_General_03-12-2012_9_3'!K1365,"AAAAADqTT0s=")</f>
        <v>#VALUE!</v>
      </c>
      <c r="BY86" t="e">
        <f>AND('Planilla_General_03-12-2012_9_3'!L1365,"AAAAADqTT0w=")</f>
        <v>#VALUE!</v>
      </c>
      <c r="BZ86" t="e">
        <f>AND('Planilla_General_03-12-2012_9_3'!M1365,"AAAAADqTT00=")</f>
        <v>#VALUE!</v>
      </c>
      <c r="CA86" t="e">
        <f>AND('Planilla_General_03-12-2012_9_3'!N1365,"AAAAADqTT04=")</f>
        <v>#VALUE!</v>
      </c>
      <c r="CB86" t="e">
        <f>AND('Planilla_General_03-12-2012_9_3'!O1365,"AAAAADqTT08=")</f>
        <v>#VALUE!</v>
      </c>
      <c r="CC86">
        <f>IF('Planilla_General_03-12-2012_9_3'!1366:1366,"AAAAADqTT1A=",0)</f>
        <v>0</v>
      </c>
      <c r="CD86" t="e">
        <f>AND('Planilla_General_03-12-2012_9_3'!A1366,"AAAAADqTT1E=")</f>
        <v>#VALUE!</v>
      </c>
      <c r="CE86" t="e">
        <f>AND('Planilla_General_03-12-2012_9_3'!B1366,"AAAAADqTT1I=")</f>
        <v>#VALUE!</v>
      </c>
      <c r="CF86" t="e">
        <f>AND('Planilla_General_03-12-2012_9_3'!C1366,"AAAAADqTT1M=")</f>
        <v>#VALUE!</v>
      </c>
      <c r="CG86" t="e">
        <f>AND('Planilla_General_03-12-2012_9_3'!D1366,"AAAAADqTT1Q=")</f>
        <v>#VALUE!</v>
      </c>
      <c r="CH86" t="e">
        <f>AND('Planilla_General_03-12-2012_9_3'!E1366,"AAAAADqTT1U=")</f>
        <v>#VALUE!</v>
      </c>
      <c r="CI86" t="e">
        <f>AND('Planilla_General_03-12-2012_9_3'!F1366,"AAAAADqTT1Y=")</f>
        <v>#VALUE!</v>
      </c>
      <c r="CJ86" t="e">
        <f>AND('Planilla_General_03-12-2012_9_3'!G1366,"AAAAADqTT1c=")</f>
        <v>#VALUE!</v>
      </c>
      <c r="CK86" t="e">
        <f>AND('Planilla_General_03-12-2012_9_3'!H1366,"AAAAADqTT1g=")</f>
        <v>#VALUE!</v>
      </c>
      <c r="CL86" t="e">
        <f>AND('Planilla_General_03-12-2012_9_3'!I1366,"AAAAADqTT1k=")</f>
        <v>#VALUE!</v>
      </c>
      <c r="CM86" t="e">
        <f>AND('Planilla_General_03-12-2012_9_3'!J1366,"AAAAADqTT1o=")</f>
        <v>#VALUE!</v>
      </c>
      <c r="CN86" t="e">
        <f>AND('Planilla_General_03-12-2012_9_3'!K1366,"AAAAADqTT1s=")</f>
        <v>#VALUE!</v>
      </c>
      <c r="CO86" t="e">
        <f>AND('Planilla_General_03-12-2012_9_3'!L1366,"AAAAADqTT1w=")</f>
        <v>#VALUE!</v>
      </c>
      <c r="CP86" t="e">
        <f>AND('Planilla_General_03-12-2012_9_3'!M1366,"AAAAADqTT10=")</f>
        <v>#VALUE!</v>
      </c>
      <c r="CQ86" t="e">
        <f>AND('Planilla_General_03-12-2012_9_3'!N1366,"AAAAADqTT14=")</f>
        <v>#VALUE!</v>
      </c>
      <c r="CR86" t="e">
        <f>AND('Planilla_General_03-12-2012_9_3'!O1366,"AAAAADqTT18=")</f>
        <v>#VALUE!</v>
      </c>
      <c r="CS86">
        <f>IF('Planilla_General_03-12-2012_9_3'!1367:1367,"AAAAADqTT2A=",0)</f>
        <v>0</v>
      </c>
      <c r="CT86" t="e">
        <f>AND('Planilla_General_03-12-2012_9_3'!A1367,"AAAAADqTT2E=")</f>
        <v>#VALUE!</v>
      </c>
      <c r="CU86" t="e">
        <f>AND('Planilla_General_03-12-2012_9_3'!B1367,"AAAAADqTT2I=")</f>
        <v>#VALUE!</v>
      </c>
      <c r="CV86" t="e">
        <f>AND('Planilla_General_03-12-2012_9_3'!C1367,"AAAAADqTT2M=")</f>
        <v>#VALUE!</v>
      </c>
      <c r="CW86" t="e">
        <f>AND('Planilla_General_03-12-2012_9_3'!D1367,"AAAAADqTT2Q=")</f>
        <v>#VALUE!</v>
      </c>
      <c r="CX86" t="e">
        <f>AND('Planilla_General_03-12-2012_9_3'!E1367,"AAAAADqTT2U=")</f>
        <v>#VALUE!</v>
      </c>
      <c r="CY86" t="e">
        <f>AND('Planilla_General_03-12-2012_9_3'!F1367,"AAAAADqTT2Y=")</f>
        <v>#VALUE!</v>
      </c>
      <c r="CZ86" t="e">
        <f>AND('Planilla_General_03-12-2012_9_3'!G1367,"AAAAADqTT2c=")</f>
        <v>#VALUE!</v>
      </c>
      <c r="DA86" t="e">
        <f>AND('Planilla_General_03-12-2012_9_3'!H1367,"AAAAADqTT2g=")</f>
        <v>#VALUE!</v>
      </c>
      <c r="DB86" t="e">
        <f>AND('Planilla_General_03-12-2012_9_3'!I1367,"AAAAADqTT2k=")</f>
        <v>#VALUE!</v>
      </c>
      <c r="DC86" t="e">
        <f>AND('Planilla_General_03-12-2012_9_3'!J1367,"AAAAADqTT2o=")</f>
        <v>#VALUE!</v>
      </c>
      <c r="DD86" t="e">
        <f>AND('Planilla_General_03-12-2012_9_3'!K1367,"AAAAADqTT2s=")</f>
        <v>#VALUE!</v>
      </c>
      <c r="DE86" t="e">
        <f>AND('Planilla_General_03-12-2012_9_3'!L1367,"AAAAADqTT2w=")</f>
        <v>#VALUE!</v>
      </c>
      <c r="DF86" t="e">
        <f>AND('Planilla_General_03-12-2012_9_3'!M1367,"AAAAADqTT20=")</f>
        <v>#VALUE!</v>
      </c>
      <c r="DG86" t="e">
        <f>AND('Planilla_General_03-12-2012_9_3'!N1367,"AAAAADqTT24=")</f>
        <v>#VALUE!</v>
      </c>
      <c r="DH86" t="e">
        <f>AND('Planilla_General_03-12-2012_9_3'!O1367,"AAAAADqTT28=")</f>
        <v>#VALUE!</v>
      </c>
      <c r="DI86">
        <f>IF('Planilla_General_03-12-2012_9_3'!1368:1368,"AAAAADqTT3A=",0)</f>
        <v>0</v>
      </c>
      <c r="DJ86" t="e">
        <f>AND('Planilla_General_03-12-2012_9_3'!A1368,"AAAAADqTT3E=")</f>
        <v>#VALUE!</v>
      </c>
      <c r="DK86" t="e">
        <f>AND('Planilla_General_03-12-2012_9_3'!B1368,"AAAAADqTT3I=")</f>
        <v>#VALUE!</v>
      </c>
      <c r="DL86" t="e">
        <f>AND('Planilla_General_03-12-2012_9_3'!C1368,"AAAAADqTT3M=")</f>
        <v>#VALUE!</v>
      </c>
      <c r="DM86" t="e">
        <f>AND('Planilla_General_03-12-2012_9_3'!D1368,"AAAAADqTT3Q=")</f>
        <v>#VALUE!</v>
      </c>
      <c r="DN86" t="e">
        <f>AND('Planilla_General_03-12-2012_9_3'!E1368,"AAAAADqTT3U=")</f>
        <v>#VALUE!</v>
      </c>
      <c r="DO86" t="e">
        <f>AND('Planilla_General_03-12-2012_9_3'!F1368,"AAAAADqTT3Y=")</f>
        <v>#VALUE!</v>
      </c>
      <c r="DP86" t="e">
        <f>AND('Planilla_General_03-12-2012_9_3'!G1368,"AAAAADqTT3c=")</f>
        <v>#VALUE!</v>
      </c>
      <c r="DQ86" t="e">
        <f>AND('Planilla_General_03-12-2012_9_3'!H1368,"AAAAADqTT3g=")</f>
        <v>#VALUE!</v>
      </c>
      <c r="DR86" t="e">
        <f>AND('Planilla_General_03-12-2012_9_3'!I1368,"AAAAADqTT3k=")</f>
        <v>#VALUE!</v>
      </c>
      <c r="DS86" t="e">
        <f>AND('Planilla_General_03-12-2012_9_3'!J1368,"AAAAADqTT3o=")</f>
        <v>#VALUE!</v>
      </c>
      <c r="DT86" t="e">
        <f>AND('Planilla_General_03-12-2012_9_3'!K1368,"AAAAADqTT3s=")</f>
        <v>#VALUE!</v>
      </c>
      <c r="DU86" t="e">
        <f>AND('Planilla_General_03-12-2012_9_3'!L1368,"AAAAADqTT3w=")</f>
        <v>#VALUE!</v>
      </c>
      <c r="DV86" t="e">
        <f>AND('Planilla_General_03-12-2012_9_3'!M1368,"AAAAADqTT30=")</f>
        <v>#VALUE!</v>
      </c>
      <c r="DW86" t="e">
        <f>AND('Planilla_General_03-12-2012_9_3'!N1368,"AAAAADqTT34=")</f>
        <v>#VALUE!</v>
      </c>
      <c r="DX86" t="e">
        <f>AND('Planilla_General_03-12-2012_9_3'!O1368,"AAAAADqTT38=")</f>
        <v>#VALUE!</v>
      </c>
      <c r="DY86">
        <f>IF('Planilla_General_03-12-2012_9_3'!1369:1369,"AAAAADqTT4A=",0)</f>
        <v>0</v>
      </c>
      <c r="DZ86" t="e">
        <f>AND('Planilla_General_03-12-2012_9_3'!A1369,"AAAAADqTT4E=")</f>
        <v>#VALUE!</v>
      </c>
      <c r="EA86" t="e">
        <f>AND('Planilla_General_03-12-2012_9_3'!B1369,"AAAAADqTT4I=")</f>
        <v>#VALUE!</v>
      </c>
      <c r="EB86" t="e">
        <f>AND('Planilla_General_03-12-2012_9_3'!C1369,"AAAAADqTT4M=")</f>
        <v>#VALUE!</v>
      </c>
      <c r="EC86" t="e">
        <f>AND('Planilla_General_03-12-2012_9_3'!D1369,"AAAAADqTT4Q=")</f>
        <v>#VALUE!</v>
      </c>
      <c r="ED86" t="e">
        <f>AND('Planilla_General_03-12-2012_9_3'!E1369,"AAAAADqTT4U=")</f>
        <v>#VALUE!</v>
      </c>
      <c r="EE86" t="e">
        <f>AND('Planilla_General_03-12-2012_9_3'!F1369,"AAAAADqTT4Y=")</f>
        <v>#VALUE!</v>
      </c>
      <c r="EF86" t="e">
        <f>AND('Planilla_General_03-12-2012_9_3'!G1369,"AAAAADqTT4c=")</f>
        <v>#VALUE!</v>
      </c>
      <c r="EG86" t="e">
        <f>AND('Planilla_General_03-12-2012_9_3'!H1369,"AAAAADqTT4g=")</f>
        <v>#VALUE!</v>
      </c>
      <c r="EH86" t="e">
        <f>AND('Planilla_General_03-12-2012_9_3'!I1369,"AAAAADqTT4k=")</f>
        <v>#VALUE!</v>
      </c>
      <c r="EI86" t="e">
        <f>AND('Planilla_General_03-12-2012_9_3'!J1369,"AAAAADqTT4o=")</f>
        <v>#VALUE!</v>
      </c>
      <c r="EJ86" t="e">
        <f>AND('Planilla_General_03-12-2012_9_3'!K1369,"AAAAADqTT4s=")</f>
        <v>#VALUE!</v>
      </c>
      <c r="EK86" t="e">
        <f>AND('Planilla_General_03-12-2012_9_3'!L1369,"AAAAADqTT4w=")</f>
        <v>#VALUE!</v>
      </c>
      <c r="EL86" t="e">
        <f>AND('Planilla_General_03-12-2012_9_3'!M1369,"AAAAADqTT40=")</f>
        <v>#VALUE!</v>
      </c>
      <c r="EM86" t="e">
        <f>AND('Planilla_General_03-12-2012_9_3'!N1369,"AAAAADqTT44=")</f>
        <v>#VALUE!</v>
      </c>
      <c r="EN86" t="e">
        <f>AND('Planilla_General_03-12-2012_9_3'!O1369,"AAAAADqTT48=")</f>
        <v>#VALUE!</v>
      </c>
      <c r="EO86">
        <f>IF('Planilla_General_03-12-2012_9_3'!1370:1370,"AAAAADqTT5A=",0)</f>
        <v>0</v>
      </c>
      <c r="EP86" t="e">
        <f>AND('Planilla_General_03-12-2012_9_3'!A1370,"AAAAADqTT5E=")</f>
        <v>#VALUE!</v>
      </c>
      <c r="EQ86" t="e">
        <f>AND('Planilla_General_03-12-2012_9_3'!B1370,"AAAAADqTT5I=")</f>
        <v>#VALUE!</v>
      </c>
      <c r="ER86" t="e">
        <f>AND('Planilla_General_03-12-2012_9_3'!C1370,"AAAAADqTT5M=")</f>
        <v>#VALUE!</v>
      </c>
      <c r="ES86" t="e">
        <f>AND('Planilla_General_03-12-2012_9_3'!D1370,"AAAAADqTT5Q=")</f>
        <v>#VALUE!</v>
      </c>
      <c r="ET86" t="e">
        <f>AND('Planilla_General_03-12-2012_9_3'!E1370,"AAAAADqTT5U=")</f>
        <v>#VALUE!</v>
      </c>
      <c r="EU86" t="e">
        <f>AND('Planilla_General_03-12-2012_9_3'!F1370,"AAAAADqTT5Y=")</f>
        <v>#VALUE!</v>
      </c>
      <c r="EV86" t="e">
        <f>AND('Planilla_General_03-12-2012_9_3'!G1370,"AAAAADqTT5c=")</f>
        <v>#VALUE!</v>
      </c>
      <c r="EW86" t="e">
        <f>AND('Planilla_General_03-12-2012_9_3'!H1370,"AAAAADqTT5g=")</f>
        <v>#VALUE!</v>
      </c>
      <c r="EX86" t="e">
        <f>AND('Planilla_General_03-12-2012_9_3'!I1370,"AAAAADqTT5k=")</f>
        <v>#VALUE!</v>
      </c>
      <c r="EY86" t="e">
        <f>AND('Planilla_General_03-12-2012_9_3'!J1370,"AAAAADqTT5o=")</f>
        <v>#VALUE!</v>
      </c>
      <c r="EZ86" t="e">
        <f>AND('Planilla_General_03-12-2012_9_3'!K1370,"AAAAADqTT5s=")</f>
        <v>#VALUE!</v>
      </c>
      <c r="FA86" t="e">
        <f>AND('Planilla_General_03-12-2012_9_3'!L1370,"AAAAADqTT5w=")</f>
        <v>#VALUE!</v>
      </c>
      <c r="FB86" t="e">
        <f>AND('Planilla_General_03-12-2012_9_3'!M1370,"AAAAADqTT50=")</f>
        <v>#VALUE!</v>
      </c>
      <c r="FC86" t="e">
        <f>AND('Planilla_General_03-12-2012_9_3'!N1370,"AAAAADqTT54=")</f>
        <v>#VALUE!</v>
      </c>
      <c r="FD86" t="e">
        <f>AND('Planilla_General_03-12-2012_9_3'!O1370,"AAAAADqTT58=")</f>
        <v>#VALUE!</v>
      </c>
      <c r="FE86">
        <f>IF('Planilla_General_03-12-2012_9_3'!1371:1371,"AAAAADqTT6A=",0)</f>
        <v>0</v>
      </c>
      <c r="FF86" t="e">
        <f>AND('Planilla_General_03-12-2012_9_3'!A1371,"AAAAADqTT6E=")</f>
        <v>#VALUE!</v>
      </c>
      <c r="FG86" t="e">
        <f>AND('Planilla_General_03-12-2012_9_3'!B1371,"AAAAADqTT6I=")</f>
        <v>#VALUE!</v>
      </c>
      <c r="FH86" t="e">
        <f>AND('Planilla_General_03-12-2012_9_3'!C1371,"AAAAADqTT6M=")</f>
        <v>#VALUE!</v>
      </c>
      <c r="FI86" t="e">
        <f>AND('Planilla_General_03-12-2012_9_3'!D1371,"AAAAADqTT6Q=")</f>
        <v>#VALUE!</v>
      </c>
      <c r="FJ86" t="e">
        <f>AND('Planilla_General_03-12-2012_9_3'!E1371,"AAAAADqTT6U=")</f>
        <v>#VALUE!</v>
      </c>
      <c r="FK86" t="e">
        <f>AND('Planilla_General_03-12-2012_9_3'!F1371,"AAAAADqTT6Y=")</f>
        <v>#VALUE!</v>
      </c>
      <c r="FL86" t="e">
        <f>AND('Planilla_General_03-12-2012_9_3'!G1371,"AAAAADqTT6c=")</f>
        <v>#VALUE!</v>
      </c>
      <c r="FM86" t="e">
        <f>AND('Planilla_General_03-12-2012_9_3'!H1371,"AAAAADqTT6g=")</f>
        <v>#VALUE!</v>
      </c>
      <c r="FN86" t="e">
        <f>AND('Planilla_General_03-12-2012_9_3'!I1371,"AAAAADqTT6k=")</f>
        <v>#VALUE!</v>
      </c>
      <c r="FO86" t="e">
        <f>AND('Planilla_General_03-12-2012_9_3'!J1371,"AAAAADqTT6o=")</f>
        <v>#VALUE!</v>
      </c>
      <c r="FP86" t="e">
        <f>AND('Planilla_General_03-12-2012_9_3'!K1371,"AAAAADqTT6s=")</f>
        <v>#VALUE!</v>
      </c>
      <c r="FQ86" t="e">
        <f>AND('Planilla_General_03-12-2012_9_3'!L1371,"AAAAADqTT6w=")</f>
        <v>#VALUE!</v>
      </c>
      <c r="FR86" t="e">
        <f>AND('Planilla_General_03-12-2012_9_3'!M1371,"AAAAADqTT60=")</f>
        <v>#VALUE!</v>
      </c>
      <c r="FS86" t="e">
        <f>AND('Planilla_General_03-12-2012_9_3'!N1371,"AAAAADqTT64=")</f>
        <v>#VALUE!</v>
      </c>
      <c r="FT86" t="e">
        <f>AND('Planilla_General_03-12-2012_9_3'!O1371,"AAAAADqTT68=")</f>
        <v>#VALUE!</v>
      </c>
      <c r="FU86">
        <f>IF('Planilla_General_03-12-2012_9_3'!1372:1372,"AAAAADqTT7A=",0)</f>
        <v>0</v>
      </c>
      <c r="FV86" t="e">
        <f>AND('Planilla_General_03-12-2012_9_3'!A1372,"AAAAADqTT7E=")</f>
        <v>#VALUE!</v>
      </c>
      <c r="FW86" t="e">
        <f>AND('Planilla_General_03-12-2012_9_3'!B1372,"AAAAADqTT7I=")</f>
        <v>#VALUE!</v>
      </c>
      <c r="FX86" t="e">
        <f>AND('Planilla_General_03-12-2012_9_3'!C1372,"AAAAADqTT7M=")</f>
        <v>#VALUE!</v>
      </c>
      <c r="FY86" t="e">
        <f>AND('Planilla_General_03-12-2012_9_3'!D1372,"AAAAADqTT7Q=")</f>
        <v>#VALUE!</v>
      </c>
      <c r="FZ86" t="e">
        <f>AND('Planilla_General_03-12-2012_9_3'!E1372,"AAAAADqTT7U=")</f>
        <v>#VALUE!</v>
      </c>
      <c r="GA86" t="e">
        <f>AND('Planilla_General_03-12-2012_9_3'!F1372,"AAAAADqTT7Y=")</f>
        <v>#VALUE!</v>
      </c>
      <c r="GB86" t="e">
        <f>AND('Planilla_General_03-12-2012_9_3'!G1372,"AAAAADqTT7c=")</f>
        <v>#VALUE!</v>
      </c>
      <c r="GC86" t="e">
        <f>AND('Planilla_General_03-12-2012_9_3'!H1372,"AAAAADqTT7g=")</f>
        <v>#VALUE!</v>
      </c>
      <c r="GD86" t="e">
        <f>AND('Planilla_General_03-12-2012_9_3'!I1372,"AAAAADqTT7k=")</f>
        <v>#VALUE!</v>
      </c>
      <c r="GE86" t="e">
        <f>AND('Planilla_General_03-12-2012_9_3'!J1372,"AAAAADqTT7o=")</f>
        <v>#VALUE!</v>
      </c>
      <c r="GF86" t="e">
        <f>AND('Planilla_General_03-12-2012_9_3'!K1372,"AAAAADqTT7s=")</f>
        <v>#VALUE!</v>
      </c>
      <c r="GG86" t="e">
        <f>AND('Planilla_General_03-12-2012_9_3'!L1372,"AAAAADqTT7w=")</f>
        <v>#VALUE!</v>
      </c>
      <c r="GH86" t="e">
        <f>AND('Planilla_General_03-12-2012_9_3'!M1372,"AAAAADqTT70=")</f>
        <v>#VALUE!</v>
      </c>
      <c r="GI86" t="e">
        <f>AND('Planilla_General_03-12-2012_9_3'!N1372,"AAAAADqTT74=")</f>
        <v>#VALUE!</v>
      </c>
      <c r="GJ86" t="e">
        <f>AND('Planilla_General_03-12-2012_9_3'!O1372,"AAAAADqTT78=")</f>
        <v>#VALUE!</v>
      </c>
      <c r="GK86">
        <f>IF('Planilla_General_03-12-2012_9_3'!1373:1373,"AAAAADqTT8A=",0)</f>
        <v>0</v>
      </c>
      <c r="GL86" t="e">
        <f>AND('Planilla_General_03-12-2012_9_3'!A1373,"AAAAADqTT8E=")</f>
        <v>#VALUE!</v>
      </c>
      <c r="GM86" t="e">
        <f>AND('Planilla_General_03-12-2012_9_3'!B1373,"AAAAADqTT8I=")</f>
        <v>#VALUE!</v>
      </c>
      <c r="GN86" t="e">
        <f>AND('Planilla_General_03-12-2012_9_3'!C1373,"AAAAADqTT8M=")</f>
        <v>#VALUE!</v>
      </c>
      <c r="GO86" t="e">
        <f>AND('Planilla_General_03-12-2012_9_3'!D1373,"AAAAADqTT8Q=")</f>
        <v>#VALUE!</v>
      </c>
      <c r="GP86" t="e">
        <f>AND('Planilla_General_03-12-2012_9_3'!E1373,"AAAAADqTT8U=")</f>
        <v>#VALUE!</v>
      </c>
      <c r="GQ86" t="e">
        <f>AND('Planilla_General_03-12-2012_9_3'!F1373,"AAAAADqTT8Y=")</f>
        <v>#VALUE!</v>
      </c>
      <c r="GR86" t="e">
        <f>AND('Planilla_General_03-12-2012_9_3'!G1373,"AAAAADqTT8c=")</f>
        <v>#VALUE!</v>
      </c>
      <c r="GS86" t="e">
        <f>AND('Planilla_General_03-12-2012_9_3'!H1373,"AAAAADqTT8g=")</f>
        <v>#VALUE!</v>
      </c>
      <c r="GT86" t="e">
        <f>AND('Planilla_General_03-12-2012_9_3'!I1373,"AAAAADqTT8k=")</f>
        <v>#VALUE!</v>
      </c>
      <c r="GU86" t="e">
        <f>AND('Planilla_General_03-12-2012_9_3'!J1373,"AAAAADqTT8o=")</f>
        <v>#VALUE!</v>
      </c>
      <c r="GV86" t="e">
        <f>AND('Planilla_General_03-12-2012_9_3'!K1373,"AAAAADqTT8s=")</f>
        <v>#VALUE!</v>
      </c>
      <c r="GW86" t="e">
        <f>AND('Planilla_General_03-12-2012_9_3'!L1373,"AAAAADqTT8w=")</f>
        <v>#VALUE!</v>
      </c>
      <c r="GX86" t="e">
        <f>AND('Planilla_General_03-12-2012_9_3'!M1373,"AAAAADqTT80=")</f>
        <v>#VALUE!</v>
      </c>
      <c r="GY86" t="e">
        <f>AND('Planilla_General_03-12-2012_9_3'!N1373,"AAAAADqTT84=")</f>
        <v>#VALUE!</v>
      </c>
      <c r="GZ86" t="e">
        <f>AND('Planilla_General_03-12-2012_9_3'!O1373,"AAAAADqTT88=")</f>
        <v>#VALUE!</v>
      </c>
      <c r="HA86">
        <f>IF('Planilla_General_03-12-2012_9_3'!1374:1374,"AAAAADqTT9A=",0)</f>
        <v>0</v>
      </c>
      <c r="HB86" t="e">
        <f>AND('Planilla_General_03-12-2012_9_3'!A1374,"AAAAADqTT9E=")</f>
        <v>#VALUE!</v>
      </c>
      <c r="HC86" t="e">
        <f>AND('Planilla_General_03-12-2012_9_3'!B1374,"AAAAADqTT9I=")</f>
        <v>#VALUE!</v>
      </c>
      <c r="HD86" t="e">
        <f>AND('Planilla_General_03-12-2012_9_3'!C1374,"AAAAADqTT9M=")</f>
        <v>#VALUE!</v>
      </c>
      <c r="HE86" t="e">
        <f>AND('Planilla_General_03-12-2012_9_3'!D1374,"AAAAADqTT9Q=")</f>
        <v>#VALUE!</v>
      </c>
      <c r="HF86" t="e">
        <f>AND('Planilla_General_03-12-2012_9_3'!E1374,"AAAAADqTT9U=")</f>
        <v>#VALUE!</v>
      </c>
      <c r="HG86" t="e">
        <f>AND('Planilla_General_03-12-2012_9_3'!F1374,"AAAAADqTT9Y=")</f>
        <v>#VALUE!</v>
      </c>
      <c r="HH86" t="e">
        <f>AND('Planilla_General_03-12-2012_9_3'!G1374,"AAAAADqTT9c=")</f>
        <v>#VALUE!</v>
      </c>
      <c r="HI86" t="e">
        <f>AND('Planilla_General_03-12-2012_9_3'!H1374,"AAAAADqTT9g=")</f>
        <v>#VALUE!</v>
      </c>
      <c r="HJ86" t="e">
        <f>AND('Planilla_General_03-12-2012_9_3'!I1374,"AAAAADqTT9k=")</f>
        <v>#VALUE!</v>
      </c>
      <c r="HK86" t="e">
        <f>AND('Planilla_General_03-12-2012_9_3'!J1374,"AAAAADqTT9o=")</f>
        <v>#VALUE!</v>
      </c>
      <c r="HL86" t="e">
        <f>AND('Planilla_General_03-12-2012_9_3'!K1374,"AAAAADqTT9s=")</f>
        <v>#VALUE!</v>
      </c>
      <c r="HM86" t="e">
        <f>AND('Planilla_General_03-12-2012_9_3'!L1374,"AAAAADqTT9w=")</f>
        <v>#VALUE!</v>
      </c>
      <c r="HN86" t="e">
        <f>AND('Planilla_General_03-12-2012_9_3'!M1374,"AAAAADqTT90=")</f>
        <v>#VALUE!</v>
      </c>
      <c r="HO86" t="e">
        <f>AND('Planilla_General_03-12-2012_9_3'!N1374,"AAAAADqTT94=")</f>
        <v>#VALUE!</v>
      </c>
      <c r="HP86" t="e">
        <f>AND('Planilla_General_03-12-2012_9_3'!O1374,"AAAAADqTT98=")</f>
        <v>#VALUE!</v>
      </c>
      <c r="HQ86">
        <f>IF('Planilla_General_03-12-2012_9_3'!1375:1375,"AAAAADqTT+A=",0)</f>
        <v>0</v>
      </c>
      <c r="HR86" t="e">
        <f>AND('Planilla_General_03-12-2012_9_3'!A1375,"AAAAADqTT+E=")</f>
        <v>#VALUE!</v>
      </c>
      <c r="HS86" t="e">
        <f>AND('Planilla_General_03-12-2012_9_3'!B1375,"AAAAADqTT+I=")</f>
        <v>#VALUE!</v>
      </c>
      <c r="HT86" t="e">
        <f>AND('Planilla_General_03-12-2012_9_3'!C1375,"AAAAADqTT+M=")</f>
        <v>#VALUE!</v>
      </c>
      <c r="HU86" t="e">
        <f>AND('Planilla_General_03-12-2012_9_3'!D1375,"AAAAADqTT+Q=")</f>
        <v>#VALUE!</v>
      </c>
      <c r="HV86" t="e">
        <f>AND('Planilla_General_03-12-2012_9_3'!E1375,"AAAAADqTT+U=")</f>
        <v>#VALUE!</v>
      </c>
      <c r="HW86" t="e">
        <f>AND('Planilla_General_03-12-2012_9_3'!F1375,"AAAAADqTT+Y=")</f>
        <v>#VALUE!</v>
      </c>
      <c r="HX86" t="e">
        <f>AND('Planilla_General_03-12-2012_9_3'!G1375,"AAAAADqTT+c=")</f>
        <v>#VALUE!</v>
      </c>
      <c r="HY86" t="e">
        <f>AND('Planilla_General_03-12-2012_9_3'!H1375,"AAAAADqTT+g=")</f>
        <v>#VALUE!</v>
      </c>
      <c r="HZ86" t="e">
        <f>AND('Planilla_General_03-12-2012_9_3'!I1375,"AAAAADqTT+k=")</f>
        <v>#VALUE!</v>
      </c>
      <c r="IA86" t="e">
        <f>AND('Planilla_General_03-12-2012_9_3'!J1375,"AAAAADqTT+o=")</f>
        <v>#VALUE!</v>
      </c>
      <c r="IB86" t="e">
        <f>AND('Planilla_General_03-12-2012_9_3'!K1375,"AAAAADqTT+s=")</f>
        <v>#VALUE!</v>
      </c>
      <c r="IC86" t="e">
        <f>AND('Planilla_General_03-12-2012_9_3'!L1375,"AAAAADqTT+w=")</f>
        <v>#VALUE!</v>
      </c>
      <c r="ID86" t="e">
        <f>AND('Planilla_General_03-12-2012_9_3'!M1375,"AAAAADqTT+0=")</f>
        <v>#VALUE!</v>
      </c>
      <c r="IE86" t="e">
        <f>AND('Planilla_General_03-12-2012_9_3'!N1375,"AAAAADqTT+4=")</f>
        <v>#VALUE!</v>
      </c>
      <c r="IF86" t="e">
        <f>AND('Planilla_General_03-12-2012_9_3'!O1375,"AAAAADqTT+8=")</f>
        <v>#VALUE!</v>
      </c>
      <c r="IG86">
        <f>IF('Planilla_General_03-12-2012_9_3'!1376:1376,"AAAAADqTT/A=",0)</f>
        <v>0</v>
      </c>
      <c r="IH86" t="e">
        <f>AND('Planilla_General_03-12-2012_9_3'!A1376,"AAAAADqTT/E=")</f>
        <v>#VALUE!</v>
      </c>
      <c r="II86" t="e">
        <f>AND('Planilla_General_03-12-2012_9_3'!B1376,"AAAAADqTT/I=")</f>
        <v>#VALUE!</v>
      </c>
      <c r="IJ86" t="e">
        <f>AND('Planilla_General_03-12-2012_9_3'!C1376,"AAAAADqTT/M=")</f>
        <v>#VALUE!</v>
      </c>
      <c r="IK86" t="e">
        <f>AND('Planilla_General_03-12-2012_9_3'!D1376,"AAAAADqTT/Q=")</f>
        <v>#VALUE!</v>
      </c>
      <c r="IL86" t="e">
        <f>AND('Planilla_General_03-12-2012_9_3'!E1376,"AAAAADqTT/U=")</f>
        <v>#VALUE!</v>
      </c>
      <c r="IM86" t="e">
        <f>AND('Planilla_General_03-12-2012_9_3'!F1376,"AAAAADqTT/Y=")</f>
        <v>#VALUE!</v>
      </c>
      <c r="IN86" t="e">
        <f>AND('Planilla_General_03-12-2012_9_3'!G1376,"AAAAADqTT/c=")</f>
        <v>#VALUE!</v>
      </c>
      <c r="IO86" t="e">
        <f>AND('Planilla_General_03-12-2012_9_3'!H1376,"AAAAADqTT/g=")</f>
        <v>#VALUE!</v>
      </c>
      <c r="IP86" t="e">
        <f>AND('Planilla_General_03-12-2012_9_3'!I1376,"AAAAADqTT/k=")</f>
        <v>#VALUE!</v>
      </c>
      <c r="IQ86" t="e">
        <f>AND('Planilla_General_03-12-2012_9_3'!J1376,"AAAAADqTT/o=")</f>
        <v>#VALUE!</v>
      </c>
      <c r="IR86" t="e">
        <f>AND('Planilla_General_03-12-2012_9_3'!K1376,"AAAAADqTT/s=")</f>
        <v>#VALUE!</v>
      </c>
      <c r="IS86" t="e">
        <f>AND('Planilla_General_03-12-2012_9_3'!L1376,"AAAAADqTT/w=")</f>
        <v>#VALUE!</v>
      </c>
      <c r="IT86" t="e">
        <f>AND('Planilla_General_03-12-2012_9_3'!M1376,"AAAAADqTT/0=")</f>
        <v>#VALUE!</v>
      </c>
      <c r="IU86" t="e">
        <f>AND('Planilla_General_03-12-2012_9_3'!N1376,"AAAAADqTT/4=")</f>
        <v>#VALUE!</v>
      </c>
      <c r="IV86" t="e">
        <f>AND('Planilla_General_03-12-2012_9_3'!O1376,"AAAAADqTT/8=")</f>
        <v>#VALUE!</v>
      </c>
    </row>
    <row r="87" spans="1:256" x14ac:dyDescent="0.25">
      <c r="A87" t="e">
        <f>IF('Planilla_General_03-12-2012_9_3'!1377:1377,"AAAAAG+39wA=",0)</f>
        <v>#VALUE!</v>
      </c>
      <c r="B87" t="e">
        <f>AND('Planilla_General_03-12-2012_9_3'!A1377,"AAAAAG+39wE=")</f>
        <v>#VALUE!</v>
      </c>
      <c r="C87" t="e">
        <f>AND('Planilla_General_03-12-2012_9_3'!B1377,"AAAAAG+39wI=")</f>
        <v>#VALUE!</v>
      </c>
      <c r="D87" t="e">
        <f>AND('Planilla_General_03-12-2012_9_3'!C1377,"AAAAAG+39wM=")</f>
        <v>#VALUE!</v>
      </c>
      <c r="E87" t="e">
        <f>AND('Planilla_General_03-12-2012_9_3'!D1377,"AAAAAG+39wQ=")</f>
        <v>#VALUE!</v>
      </c>
      <c r="F87" t="e">
        <f>AND('Planilla_General_03-12-2012_9_3'!E1377,"AAAAAG+39wU=")</f>
        <v>#VALUE!</v>
      </c>
      <c r="G87" t="e">
        <f>AND('Planilla_General_03-12-2012_9_3'!F1377,"AAAAAG+39wY=")</f>
        <v>#VALUE!</v>
      </c>
      <c r="H87" t="e">
        <f>AND('Planilla_General_03-12-2012_9_3'!G1377,"AAAAAG+39wc=")</f>
        <v>#VALUE!</v>
      </c>
      <c r="I87" t="e">
        <f>AND('Planilla_General_03-12-2012_9_3'!H1377,"AAAAAG+39wg=")</f>
        <v>#VALUE!</v>
      </c>
      <c r="J87" t="e">
        <f>AND('Planilla_General_03-12-2012_9_3'!I1377,"AAAAAG+39wk=")</f>
        <v>#VALUE!</v>
      </c>
      <c r="K87" t="e">
        <f>AND('Planilla_General_03-12-2012_9_3'!J1377,"AAAAAG+39wo=")</f>
        <v>#VALUE!</v>
      </c>
      <c r="L87" t="e">
        <f>AND('Planilla_General_03-12-2012_9_3'!K1377,"AAAAAG+39ws=")</f>
        <v>#VALUE!</v>
      </c>
      <c r="M87" t="e">
        <f>AND('Planilla_General_03-12-2012_9_3'!L1377,"AAAAAG+39ww=")</f>
        <v>#VALUE!</v>
      </c>
      <c r="N87" t="e">
        <f>AND('Planilla_General_03-12-2012_9_3'!M1377,"AAAAAG+39w0=")</f>
        <v>#VALUE!</v>
      </c>
      <c r="O87" t="e">
        <f>AND('Planilla_General_03-12-2012_9_3'!N1377,"AAAAAG+39w4=")</f>
        <v>#VALUE!</v>
      </c>
      <c r="P87" t="e">
        <f>AND('Planilla_General_03-12-2012_9_3'!O1377,"AAAAAG+39w8=")</f>
        <v>#VALUE!</v>
      </c>
      <c r="Q87">
        <f>IF('Planilla_General_03-12-2012_9_3'!1378:1378,"AAAAAG+39xA=",0)</f>
        <v>0</v>
      </c>
      <c r="R87" t="e">
        <f>AND('Planilla_General_03-12-2012_9_3'!A1378,"AAAAAG+39xE=")</f>
        <v>#VALUE!</v>
      </c>
      <c r="S87" t="e">
        <f>AND('Planilla_General_03-12-2012_9_3'!B1378,"AAAAAG+39xI=")</f>
        <v>#VALUE!</v>
      </c>
      <c r="T87" t="e">
        <f>AND('Planilla_General_03-12-2012_9_3'!C1378,"AAAAAG+39xM=")</f>
        <v>#VALUE!</v>
      </c>
      <c r="U87" t="e">
        <f>AND('Planilla_General_03-12-2012_9_3'!D1378,"AAAAAG+39xQ=")</f>
        <v>#VALUE!</v>
      </c>
      <c r="V87" t="e">
        <f>AND('Planilla_General_03-12-2012_9_3'!E1378,"AAAAAG+39xU=")</f>
        <v>#VALUE!</v>
      </c>
      <c r="W87" t="e">
        <f>AND('Planilla_General_03-12-2012_9_3'!F1378,"AAAAAG+39xY=")</f>
        <v>#VALUE!</v>
      </c>
      <c r="X87" t="e">
        <f>AND('Planilla_General_03-12-2012_9_3'!G1378,"AAAAAG+39xc=")</f>
        <v>#VALUE!</v>
      </c>
      <c r="Y87" t="e">
        <f>AND('Planilla_General_03-12-2012_9_3'!H1378,"AAAAAG+39xg=")</f>
        <v>#VALUE!</v>
      </c>
      <c r="Z87" t="e">
        <f>AND('Planilla_General_03-12-2012_9_3'!I1378,"AAAAAG+39xk=")</f>
        <v>#VALUE!</v>
      </c>
      <c r="AA87" t="e">
        <f>AND('Planilla_General_03-12-2012_9_3'!J1378,"AAAAAG+39xo=")</f>
        <v>#VALUE!</v>
      </c>
      <c r="AB87" t="e">
        <f>AND('Planilla_General_03-12-2012_9_3'!K1378,"AAAAAG+39xs=")</f>
        <v>#VALUE!</v>
      </c>
      <c r="AC87" t="e">
        <f>AND('Planilla_General_03-12-2012_9_3'!L1378,"AAAAAG+39xw=")</f>
        <v>#VALUE!</v>
      </c>
      <c r="AD87" t="e">
        <f>AND('Planilla_General_03-12-2012_9_3'!M1378,"AAAAAG+39x0=")</f>
        <v>#VALUE!</v>
      </c>
      <c r="AE87" t="e">
        <f>AND('Planilla_General_03-12-2012_9_3'!N1378,"AAAAAG+39x4=")</f>
        <v>#VALUE!</v>
      </c>
      <c r="AF87" t="e">
        <f>AND('Planilla_General_03-12-2012_9_3'!O1378,"AAAAAG+39x8=")</f>
        <v>#VALUE!</v>
      </c>
      <c r="AG87">
        <f>IF('Planilla_General_03-12-2012_9_3'!1379:1379,"AAAAAG+39yA=",0)</f>
        <v>0</v>
      </c>
      <c r="AH87" t="e">
        <f>AND('Planilla_General_03-12-2012_9_3'!A1379,"AAAAAG+39yE=")</f>
        <v>#VALUE!</v>
      </c>
      <c r="AI87" t="e">
        <f>AND('Planilla_General_03-12-2012_9_3'!B1379,"AAAAAG+39yI=")</f>
        <v>#VALUE!</v>
      </c>
      <c r="AJ87" t="e">
        <f>AND('Planilla_General_03-12-2012_9_3'!C1379,"AAAAAG+39yM=")</f>
        <v>#VALUE!</v>
      </c>
      <c r="AK87" t="e">
        <f>AND('Planilla_General_03-12-2012_9_3'!D1379,"AAAAAG+39yQ=")</f>
        <v>#VALUE!</v>
      </c>
      <c r="AL87" t="e">
        <f>AND('Planilla_General_03-12-2012_9_3'!E1379,"AAAAAG+39yU=")</f>
        <v>#VALUE!</v>
      </c>
      <c r="AM87" t="e">
        <f>AND('Planilla_General_03-12-2012_9_3'!F1379,"AAAAAG+39yY=")</f>
        <v>#VALUE!</v>
      </c>
      <c r="AN87" t="e">
        <f>AND('Planilla_General_03-12-2012_9_3'!G1379,"AAAAAG+39yc=")</f>
        <v>#VALUE!</v>
      </c>
      <c r="AO87" t="e">
        <f>AND('Planilla_General_03-12-2012_9_3'!H1379,"AAAAAG+39yg=")</f>
        <v>#VALUE!</v>
      </c>
      <c r="AP87" t="e">
        <f>AND('Planilla_General_03-12-2012_9_3'!I1379,"AAAAAG+39yk=")</f>
        <v>#VALUE!</v>
      </c>
      <c r="AQ87" t="e">
        <f>AND('Planilla_General_03-12-2012_9_3'!J1379,"AAAAAG+39yo=")</f>
        <v>#VALUE!</v>
      </c>
      <c r="AR87" t="e">
        <f>AND('Planilla_General_03-12-2012_9_3'!K1379,"AAAAAG+39ys=")</f>
        <v>#VALUE!</v>
      </c>
      <c r="AS87" t="e">
        <f>AND('Planilla_General_03-12-2012_9_3'!L1379,"AAAAAG+39yw=")</f>
        <v>#VALUE!</v>
      </c>
      <c r="AT87" t="e">
        <f>AND('Planilla_General_03-12-2012_9_3'!M1379,"AAAAAG+39y0=")</f>
        <v>#VALUE!</v>
      </c>
      <c r="AU87" t="e">
        <f>AND('Planilla_General_03-12-2012_9_3'!N1379,"AAAAAG+39y4=")</f>
        <v>#VALUE!</v>
      </c>
      <c r="AV87" t="e">
        <f>AND('Planilla_General_03-12-2012_9_3'!O1379,"AAAAAG+39y8=")</f>
        <v>#VALUE!</v>
      </c>
      <c r="AW87">
        <f>IF('Planilla_General_03-12-2012_9_3'!1380:1380,"AAAAAG+39zA=",0)</f>
        <v>0</v>
      </c>
      <c r="AX87" t="e">
        <f>AND('Planilla_General_03-12-2012_9_3'!A1380,"AAAAAG+39zE=")</f>
        <v>#VALUE!</v>
      </c>
      <c r="AY87" t="e">
        <f>AND('Planilla_General_03-12-2012_9_3'!B1380,"AAAAAG+39zI=")</f>
        <v>#VALUE!</v>
      </c>
      <c r="AZ87" t="e">
        <f>AND('Planilla_General_03-12-2012_9_3'!C1380,"AAAAAG+39zM=")</f>
        <v>#VALUE!</v>
      </c>
      <c r="BA87" t="e">
        <f>AND('Planilla_General_03-12-2012_9_3'!D1380,"AAAAAG+39zQ=")</f>
        <v>#VALUE!</v>
      </c>
      <c r="BB87" t="e">
        <f>AND('Planilla_General_03-12-2012_9_3'!E1380,"AAAAAG+39zU=")</f>
        <v>#VALUE!</v>
      </c>
      <c r="BC87" t="e">
        <f>AND('Planilla_General_03-12-2012_9_3'!F1380,"AAAAAG+39zY=")</f>
        <v>#VALUE!</v>
      </c>
      <c r="BD87" t="e">
        <f>AND('Planilla_General_03-12-2012_9_3'!G1380,"AAAAAG+39zc=")</f>
        <v>#VALUE!</v>
      </c>
      <c r="BE87" t="e">
        <f>AND('Planilla_General_03-12-2012_9_3'!H1380,"AAAAAG+39zg=")</f>
        <v>#VALUE!</v>
      </c>
      <c r="BF87" t="e">
        <f>AND('Planilla_General_03-12-2012_9_3'!I1380,"AAAAAG+39zk=")</f>
        <v>#VALUE!</v>
      </c>
      <c r="BG87" t="e">
        <f>AND('Planilla_General_03-12-2012_9_3'!J1380,"AAAAAG+39zo=")</f>
        <v>#VALUE!</v>
      </c>
      <c r="BH87" t="e">
        <f>AND('Planilla_General_03-12-2012_9_3'!K1380,"AAAAAG+39zs=")</f>
        <v>#VALUE!</v>
      </c>
      <c r="BI87" t="e">
        <f>AND('Planilla_General_03-12-2012_9_3'!L1380,"AAAAAG+39zw=")</f>
        <v>#VALUE!</v>
      </c>
      <c r="BJ87" t="e">
        <f>AND('Planilla_General_03-12-2012_9_3'!M1380,"AAAAAG+39z0=")</f>
        <v>#VALUE!</v>
      </c>
      <c r="BK87" t="e">
        <f>AND('Planilla_General_03-12-2012_9_3'!N1380,"AAAAAG+39z4=")</f>
        <v>#VALUE!</v>
      </c>
      <c r="BL87" t="e">
        <f>AND('Planilla_General_03-12-2012_9_3'!O1380,"AAAAAG+39z8=")</f>
        <v>#VALUE!</v>
      </c>
      <c r="BM87">
        <f>IF('Planilla_General_03-12-2012_9_3'!1381:1381,"AAAAAG+390A=",0)</f>
        <v>0</v>
      </c>
      <c r="BN87" t="e">
        <f>AND('Planilla_General_03-12-2012_9_3'!A1381,"AAAAAG+390E=")</f>
        <v>#VALUE!</v>
      </c>
      <c r="BO87" t="e">
        <f>AND('Planilla_General_03-12-2012_9_3'!B1381,"AAAAAG+390I=")</f>
        <v>#VALUE!</v>
      </c>
      <c r="BP87" t="e">
        <f>AND('Planilla_General_03-12-2012_9_3'!C1381,"AAAAAG+390M=")</f>
        <v>#VALUE!</v>
      </c>
      <c r="BQ87" t="e">
        <f>AND('Planilla_General_03-12-2012_9_3'!D1381,"AAAAAG+390Q=")</f>
        <v>#VALUE!</v>
      </c>
      <c r="BR87" t="e">
        <f>AND('Planilla_General_03-12-2012_9_3'!E1381,"AAAAAG+390U=")</f>
        <v>#VALUE!</v>
      </c>
      <c r="BS87" t="e">
        <f>AND('Planilla_General_03-12-2012_9_3'!F1381,"AAAAAG+390Y=")</f>
        <v>#VALUE!</v>
      </c>
      <c r="BT87" t="e">
        <f>AND('Planilla_General_03-12-2012_9_3'!G1381,"AAAAAG+390c=")</f>
        <v>#VALUE!</v>
      </c>
      <c r="BU87" t="e">
        <f>AND('Planilla_General_03-12-2012_9_3'!H1381,"AAAAAG+390g=")</f>
        <v>#VALUE!</v>
      </c>
      <c r="BV87" t="e">
        <f>AND('Planilla_General_03-12-2012_9_3'!I1381,"AAAAAG+390k=")</f>
        <v>#VALUE!</v>
      </c>
      <c r="BW87" t="e">
        <f>AND('Planilla_General_03-12-2012_9_3'!J1381,"AAAAAG+390o=")</f>
        <v>#VALUE!</v>
      </c>
      <c r="BX87" t="e">
        <f>AND('Planilla_General_03-12-2012_9_3'!K1381,"AAAAAG+390s=")</f>
        <v>#VALUE!</v>
      </c>
      <c r="BY87" t="e">
        <f>AND('Planilla_General_03-12-2012_9_3'!L1381,"AAAAAG+390w=")</f>
        <v>#VALUE!</v>
      </c>
      <c r="BZ87" t="e">
        <f>AND('Planilla_General_03-12-2012_9_3'!M1381,"AAAAAG+3900=")</f>
        <v>#VALUE!</v>
      </c>
      <c r="CA87" t="e">
        <f>AND('Planilla_General_03-12-2012_9_3'!N1381,"AAAAAG+3904=")</f>
        <v>#VALUE!</v>
      </c>
      <c r="CB87" t="e">
        <f>AND('Planilla_General_03-12-2012_9_3'!O1381,"AAAAAG+3908=")</f>
        <v>#VALUE!</v>
      </c>
      <c r="CC87">
        <f>IF('Planilla_General_03-12-2012_9_3'!1382:1382,"AAAAAG+391A=",0)</f>
        <v>0</v>
      </c>
      <c r="CD87" t="e">
        <f>AND('Planilla_General_03-12-2012_9_3'!A1382,"AAAAAG+391E=")</f>
        <v>#VALUE!</v>
      </c>
      <c r="CE87" t="e">
        <f>AND('Planilla_General_03-12-2012_9_3'!B1382,"AAAAAG+391I=")</f>
        <v>#VALUE!</v>
      </c>
      <c r="CF87" t="e">
        <f>AND('Planilla_General_03-12-2012_9_3'!C1382,"AAAAAG+391M=")</f>
        <v>#VALUE!</v>
      </c>
      <c r="CG87" t="e">
        <f>AND('Planilla_General_03-12-2012_9_3'!D1382,"AAAAAG+391Q=")</f>
        <v>#VALUE!</v>
      </c>
      <c r="CH87" t="e">
        <f>AND('Planilla_General_03-12-2012_9_3'!E1382,"AAAAAG+391U=")</f>
        <v>#VALUE!</v>
      </c>
      <c r="CI87" t="e">
        <f>AND('Planilla_General_03-12-2012_9_3'!F1382,"AAAAAG+391Y=")</f>
        <v>#VALUE!</v>
      </c>
      <c r="CJ87" t="e">
        <f>AND('Planilla_General_03-12-2012_9_3'!G1382,"AAAAAG+391c=")</f>
        <v>#VALUE!</v>
      </c>
      <c r="CK87" t="e">
        <f>AND('Planilla_General_03-12-2012_9_3'!H1382,"AAAAAG+391g=")</f>
        <v>#VALUE!</v>
      </c>
      <c r="CL87" t="e">
        <f>AND('Planilla_General_03-12-2012_9_3'!I1382,"AAAAAG+391k=")</f>
        <v>#VALUE!</v>
      </c>
      <c r="CM87" t="e">
        <f>AND('Planilla_General_03-12-2012_9_3'!J1382,"AAAAAG+391o=")</f>
        <v>#VALUE!</v>
      </c>
      <c r="CN87" t="e">
        <f>AND('Planilla_General_03-12-2012_9_3'!K1382,"AAAAAG+391s=")</f>
        <v>#VALUE!</v>
      </c>
      <c r="CO87" t="e">
        <f>AND('Planilla_General_03-12-2012_9_3'!L1382,"AAAAAG+391w=")</f>
        <v>#VALUE!</v>
      </c>
      <c r="CP87" t="e">
        <f>AND('Planilla_General_03-12-2012_9_3'!M1382,"AAAAAG+3910=")</f>
        <v>#VALUE!</v>
      </c>
      <c r="CQ87" t="e">
        <f>AND('Planilla_General_03-12-2012_9_3'!N1382,"AAAAAG+3914=")</f>
        <v>#VALUE!</v>
      </c>
      <c r="CR87" t="e">
        <f>AND('Planilla_General_03-12-2012_9_3'!O1382,"AAAAAG+3918=")</f>
        <v>#VALUE!</v>
      </c>
      <c r="CS87">
        <f>IF('Planilla_General_03-12-2012_9_3'!1383:1383,"AAAAAG+392A=",0)</f>
        <v>0</v>
      </c>
      <c r="CT87" t="e">
        <f>AND('Planilla_General_03-12-2012_9_3'!A1383,"AAAAAG+392E=")</f>
        <v>#VALUE!</v>
      </c>
      <c r="CU87" t="e">
        <f>AND('Planilla_General_03-12-2012_9_3'!B1383,"AAAAAG+392I=")</f>
        <v>#VALUE!</v>
      </c>
      <c r="CV87" t="e">
        <f>AND('Planilla_General_03-12-2012_9_3'!C1383,"AAAAAG+392M=")</f>
        <v>#VALUE!</v>
      </c>
      <c r="CW87" t="e">
        <f>AND('Planilla_General_03-12-2012_9_3'!D1383,"AAAAAG+392Q=")</f>
        <v>#VALUE!</v>
      </c>
      <c r="CX87" t="e">
        <f>AND('Planilla_General_03-12-2012_9_3'!E1383,"AAAAAG+392U=")</f>
        <v>#VALUE!</v>
      </c>
      <c r="CY87" t="e">
        <f>AND('Planilla_General_03-12-2012_9_3'!F1383,"AAAAAG+392Y=")</f>
        <v>#VALUE!</v>
      </c>
      <c r="CZ87" t="e">
        <f>AND('Planilla_General_03-12-2012_9_3'!G1383,"AAAAAG+392c=")</f>
        <v>#VALUE!</v>
      </c>
      <c r="DA87" t="e">
        <f>AND('Planilla_General_03-12-2012_9_3'!H1383,"AAAAAG+392g=")</f>
        <v>#VALUE!</v>
      </c>
      <c r="DB87" t="e">
        <f>AND('Planilla_General_03-12-2012_9_3'!I1383,"AAAAAG+392k=")</f>
        <v>#VALUE!</v>
      </c>
      <c r="DC87" t="e">
        <f>AND('Planilla_General_03-12-2012_9_3'!J1383,"AAAAAG+392o=")</f>
        <v>#VALUE!</v>
      </c>
      <c r="DD87" t="e">
        <f>AND('Planilla_General_03-12-2012_9_3'!K1383,"AAAAAG+392s=")</f>
        <v>#VALUE!</v>
      </c>
      <c r="DE87" t="e">
        <f>AND('Planilla_General_03-12-2012_9_3'!L1383,"AAAAAG+392w=")</f>
        <v>#VALUE!</v>
      </c>
      <c r="DF87" t="e">
        <f>AND('Planilla_General_03-12-2012_9_3'!M1383,"AAAAAG+3920=")</f>
        <v>#VALUE!</v>
      </c>
      <c r="DG87" t="e">
        <f>AND('Planilla_General_03-12-2012_9_3'!N1383,"AAAAAG+3924=")</f>
        <v>#VALUE!</v>
      </c>
      <c r="DH87" t="e">
        <f>AND('Planilla_General_03-12-2012_9_3'!O1383,"AAAAAG+3928=")</f>
        <v>#VALUE!</v>
      </c>
      <c r="DI87">
        <f>IF('Planilla_General_03-12-2012_9_3'!1384:1384,"AAAAAG+393A=",0)</f>
        <v>0</v>
      </c>
      <c r="DJ87" t="e">
        <f>AND('Planilla_General_03-12-2012_9_3'!A1384,"AAAAAG+393E=")</f>
        <v>#VALUE!</v>
      </c>
      <c r="DK87" t="e">
        <f>AND('Planilla_General_03-12-2012_9_3'!B1384,"AAAAAG+393I=")</f>
        <v>#VALUE!</v>
      </c>
      <c r="DL87" t="e">
        <f>AND('Planilla_General_03-12-2012_9_3'!C1384,"AAAAAG+393M=")</f>
        <v>#VALUE!</v>
      </c>
      <c r="DM87" t="e">
        <f>AND('Planilla_General_03-12-2012_9_3'!D1384,"AAAAAG+393Q=")</f>
        <v>#VALUE!</v>
      </c>
      <c r="DN87" t="e">
        <f>AND('Planilla_General_03-12-2012_9_3'!E1384,"AAAAAG+393U=")</f>
        <v>#VALUE!</v>
      </c>
      <c r="DO87" t="e">
        <f>AND('Planilla_General_03-12-2012_9_3'!F1384,"AAAAAG+393Y=")</f>
        <v>#VALUE!</v>
      </c>
      <c r="DP87" t="e">
        <f>AND('Planilla_General_03-12-2012_9_3'!G1384,"AAAAAG+393c=")</f>
        <v>#VALUE!</v>
      </c>
      <c r="DQ87" t="e">
        <f>AND('Planilla_General_03-12-2012_9_3'!H1384,"AAAAAG+393g=")</f>
        <v>#VALUE!</v>
      </c>
      <c r="DR87" t="e">
        <f>AND('Planilla_General_03-12-2012_9_3'!I1384,"AAAAAG+393k=")</f>
        <v>#VALUE!</v>
      </c>
      <c r="DS87" t="e">
        <f>AND('Planilla_General_03-12-2012_9_3'!J1384,"AAAAAG+393o=")</f>
        <v>#VALUE!</v>
      </c>
      <c r="DT87" t="e">
        <f>AND('Planilla_General_03-12-2012_9_3'!K1384,"AAAAAG+393s=")</f>
        <v>#VALUE!</v>
      </c>
      <c r="DU87" t="e">
        <f>AND('Planilla_General_03-12-2012_9_3'!L1384,"AAAAAG+393w=")</f>
        <v>#VALUE!</v>
      </c>
      <c r="DV87" t="e">
        <f>AND('Planilla_General_03-12-2012_9_3'!M1384,"AAAAAG+3930=")</f>
        <v>#VALUE!</v>
      </c>
      <c r="DW87" t="e">
        <f>AND('Planilla_General_03-12-2012_9_3'!N1384,"AAAAAG+3934=")</f>
        <v>#VALUE!</v>
      </c>
      <c r="DX87" t="e">
        <f>AND('Planilla_General_03-12-2012_9_3'!O1384,"AAAAAG+3938=")</f>
        <v>#VALUE!</v>
      </c>
      <c r="DY87">
        <f>IF('Planilla_General_03-12-2012_9_3'!1385:1385,"AAAAAG+394A=",0)</f>
        <v>0</v>
      </c>
      <c r="DZ87" t="e">
        <f>AND('Planilla_General_03-12-2012_9_3'!A1385,"AAAAAG+394E=")</f>
        <v>#VALUE!</v>
      </c>
      <c r="EA87" t="e">
        <f>AND('Planilla_General_03-12-2012_9_3'!B1385,"AAAAAG+394I=")</f>
        <v>#VALUE!</v>
      </c>
      <c r="EB87" t="e">
        <f>AND('Planilla_General_03-12-2012_9_3'!C1385,"AAAAAG+394M=")</f>
        <v>#VALUE!</v>
      </c>
      <c r="EC87" t="e">
        <f>AND('Planilla_General_03-12-2012_9_3'!D1385,"AAAAAG+394Q=")</f>
        <v>#VALUE!</v>
      </c>
      <c r="ED87" t="e">
        <f>AND('Planilla_General_03-12-2012_9_3'!E1385,"AAAAAG+394U=")</f>
        <v>#VALUE!</v>
      </c>
      <c r="EE87" t="e">
        <f>AND('Planilla_General_03-12-2012_9_3'!F1385,"AAAAAG+394Y=")</f>
        <v>#VALUE!</v>
      </c>
      <c r="EF87" t="e">
        <f>AND('Planilla_General_03-12-2012_9_3'!G1385,"AAAAAG+394c=")</f>
        <v>#VALUE!</v>
      </c>
      <c r="EG87" t="e">
        <f>AND('Planilla_General_03-12-2012_9_3'!H1385,"AAAAAG+394g=")</f>
        <v>#VALUE!</v>
      </c>
      <c r="EH87" t="e">
        <f>AND('Planilla_General_03-12-2012_9_3'!I1385,"AAAAAG+394k=")</f>
        <v>#VALUE!</v>
      </c>
      <c r="EI87" t="e">
        <f>AND('Planilla_General_03-12-2012_9_3'!J1385,"AAAAAG+394o=")</f>
        <v>#VALUE!</v>
      </c>
      <c r="EJ87" t="e">
        <f>AND('Planilla_General_03-12-2012_9_3'!K1385,"AAAAAG+394s=")</f>
        <v>#VALUE!</v>
      </c>
      <c r="EK87" t="e">
        <f>AND('Planilla_General_03-12-2012_9_3'!L1385,"AAAAAG+394w=")</f>
        <v>#VALUE!</v>
      </c>
      <c r="EL87" t="e">
        <f>AND('Planilla_General_03-12-2012_9_3'!M1385,"AAAAAG+3940=")</f>
        <v>#VALUE!</v>
      </c>
      <c r="EM87" t="e">
        <f>AND('Planilla_General_03-12-2012_9_3'!N1385,"AAAAAG+3944=")</f>
        <v>#VALUE!</v>
      </c>
      <c r="EN87" t="e">
        <f>AND('Planilla_General_03-12-2012_9_3'!O1385,"AAAAAG+3948=")</f>
        <v>#VALUE!</v>
      </c>
      <c r="EO87">
        <f>IF('Planilla_General_03-12-2012_9_3'!1386:1386,"AAAAAG+395A=",0)</f>
        <v>0</v>
      </c>
      <c r="EP87" t="e">
        <f>AND('Planilla_General_03-12-2012_9_3'!A1386,"AAAAAG+395E=")</f>
        <v>#VALUE!</v>
      </c>
      <c r="EQ87" t="e">
        <f>AND('Planilla_General_03-12-2012_9_3'!B1386,"AAAAAG+395I=")</f>
        <v>#VALUE!</v>
      </c>
      <c r="ER87" t="e">
        <f>AND('Planilla_General_03-12-2012_9_3'!C1386,"AAAAAG+395M=")</f>
        <v>#VALUE!</v>
      </c>
      <c r="ES87" t="e">
        <f>AND('Planilla_General_03-12-2012_9_3'!D1386,"AAAAAG+395Q=")</f>
        <v>#VALUE!</v>
      </c>
      <c r="ET87" t="e">
        <f>AND('Planilla_General_03-12-2012_9_3'!E1386,"AAAAAG+395U=")</f>
        <v>#VALUE!</v>
      </c>
      <c r="EU87" t="e">
        <f>AND('Planilla_General_03-12-2012_9_3'!F1386,"AAAAAG+395Y=")</f>
        <v>#VALUE!</v>
      </c>
      <c r="EV87" t="e">
        <f>AND('Planilla_General_03-12-2012_9_3'!G1386,"AAAAAG+395c=")</f>
        <v>#VALUE!</v>
      </c>
      <c r="EW87" t="e">
        <f>AND('Planilla_General_03-12-2012_9_3'!H1386,"AAAAAG+395g=")</f>
        <v>#VALUE!</v>
      </c>
      <c r="EX87" t="e">
        <f>AND('Planilla_General_03-12-2012_9_3'!I1386,"AAAAAG+395k=")</f>
        <v>#VALUE!</v>
      </c>
      <c r="EY87" t="e">
        <f>AND('Planilla_General_03-12-2012_9_3'!J1386,"AAAAAG+395o=")</f>
        <v>#VALUE!</v>
      </c>
      <c r="EZ87" t="e">
        <f>AND('Planilla_General_03-12-2012_9_3'!K1386,"AAAAAG+395s=")</f>
        <v>#VALUE!</v>
      </c>
      <c r="FA87" t="e">
        <f>AND('Planilla_General_03-12-2012_9_3'!L1386,"AAAAAG+395w=")</f>
        <v>#VALUE!</v>
      </c>
      <c r="FB87" t="e">
        <f>AND('Planilla_General_03-12-2012_9_3'!M1386,"AAAAAG+3950=")</f>
        <v>#VALUE!</v>
      </c>
      <c r="FC87" t="e">
        <f>AND('Planilla_General_03-12-2012_9_3'!N1386,"AAAAAG+3954=")</f>
        <v>#VALUE!</v>
      </c>
      <c r="FD87" t="e">
        <f>AND('Planilla_General_03-12-2012_9_3'!O1386,"AAAAAG+3958=")</f>
        <v>#VALUE!</v>
      </c>
      <c r="FE87">
        <f>IF('Planilla_General_03-12-2012_9_3'!1387:1387,"AAAAAG+396A=",0)</f>
        <v>0</v>
      </c>
      <c r="FF87" t="e">
        <f>AND('Planilla_General_03-12-2012_9_3'!A1387,"AAAAAG+396E=")</f>
        <v>#VALUE!</v>
      </c>
      <c r="FG87" t="e">
        <f>AND('Planilla_General_03-12-2012_9_3'!B1387,"AAAAAG+396I=")</f>
        <v>#VALUE!</v>
      </c>
      <c r="FH87" t="e">
        <f>AND('Planilla_General_03-12-2012_9_3'!C1387,"AAAAAG+396M=")</f>
        <v>#VALUE!</v>
      </c>
      <c r="FI87" t="e">
        <f>AND('Planilla_General_03-12-2012_9_3'!D1387,"AAAAAG+396Q=")</f>
        <v>#VALUE!</v>
      </c>
      <c r="FJ87" t="e">
        <f>AND('Planilla_General_03-12-2012_9_3'!E1387,"AAAAAG+396U=")</f>
        <v>#VALUE!</v>
      </c>
      <c r="FK87" t="e">
        <f>AND('Planilla_General_03-12-2012_9_3'!F1387,"AAAAAG+396Y=")</f>
        <v>#VALUE!</v>
      </c>
      <c r="FL87" t="e">
        <f>AND('Planilla_General_03-12-2012_9_3'!G1387,"AAAAAG+396c=")</f>
        <v>#VALUE!</v>
      </c>
      <c r="FM87" t="e">
        <f>AND('Planilla_General_03-12-2012_9_3'!H1387,"AAAAAG+396g=")</f>
        <v>#VALUE!</v>
      </c>
      <c r="FN87" t="e">
        <f>AND('Planilla_General_03-12-2012_9_3'!I1387,"AAAAAG+396k=")</f>
        <v>#VALUE!</v>
      </c>
      <c r="FO87" t="e">
        <f>AND('Planilla_General_03-12-2012_9_3'!J1387,"AAAAAG+396o=")</f>
        <v>#VALUE!</v>
      </c>
      <c r="FP87" t="e">
        <f>AND('Planilla_General_03-12-2012_9_3'!K1387,"AAAAAG+396s=")</f>
        <v>#VALUE!</v>
      </c>
      <c r="FQ87" t="e">
        <f>AND('Planilla_General_03-12-2012_9_3'!L1387,"AAAAAG+396w=")</f>
        <v>#VALUE!</v>
      </c>
      <c r="FR87" t="e">
        <f>AND('Planilla_General_03-12-2012_9_3'!M1387,"AAAAAG+3960=")</f>
        <v>#VALUE!</v>
      </c>
      <c r="FS87" t="e">
        <f>AND('Planilla_General_03-12-2012_9_3'!N1387,"AAAAAG+3964=")</f>
        <v>#VALUE!</v>
      </c>
      <c r="FT87" t="e">
        <f>AND('Planilla_General_03-12-2012_9_3'!O1387,"AAAAAG+3968=")</f>
        <v>#VALUE!</v>
      </c>
      <c r="FU87">
        <f>IF('Planilla_General_03-12-2012_9_3'!1388:1388,"AAAAAG+397A=",0)</f>
        <v>0</v>
      </c>
      <c r="FV87" t="e">
        <f>AND('Planilla_General_03-12-2012_9_3'!A1388,"AAAAAG+397E=")</f>
        <v>#VALUE!</v>
      </c>
      <c r="FW87" t="e">
        <f>AND('Planilla_General_03-12-2012_9_3'!B1388,"AAAAAG+397I=")</f>
        <v>#VALUE!</v>
      </c>
      <c r="FX87" t="e">
        <f>AND('Planilla_General_03-12-2012_9_3'!C1388,"AAAAAG+397M=")</f>
        <v>#VALUE!</v>
      </c>
      <c r="FY87" t="e">
        <f>AND('Planilla_General_03-12-2012_9_3'!D1388,"AAAAAG+397Q=")</f>
        <v>#VALUE!</v>
      </c>
      <c r="FZ87" t="e">
        <f>AND('Planilla_General_03-12-2012_9_3'!E1388,"AAAAAG+397U=")</f>
        <v>#VALUE!</v>
      </c>
      <c r="GA87" t="e">
        <f>AND('Planilla_General_03-12-2012_9_3'!F1388,"AAAAAG+397Y=")</f>
        <v>#VALUE!</v>
      </c>
      <c r="GB87" t="e">
        <f>AND('Planilla_General_03-12-2012_9_3'!G1388,"AAAAAG+397c=")</f>
        <v>#VALUE!</v>
      </c>
      <c r="GC87" t="e">
        <f>AND('Planilla_General_03-12-2012_9_3'!H1388,"AAAAAG+397g=")</f>
        <v>#VALUE!</v>
      </c>
      <c r="GD87" t="e">
        <f>AND('Planilla_General_03-12-2012_9_3'!I1388,"AAAAAG+397k=")</f>
        <v>#VALUE!</v>
      </c>
      <c r="GE87" t="e">
        <f>AND('Planilla_General_03-12-2012_9_3'!J1388,"AAAAAG+397o=")</f>
        <v>#VALUE!</v>
      </c>
      <c r="GF87" t="e">
        <f>AND('Planilla_General_03-12-2012_9_3'!K1388,"AAAAAG+397s=")</f>
        <v>#VALUE!</v>
      </c>
      <c r="GG87" t="e">
        <f>AND('Planilla_General_03-12-2012_9_3'!L1388,"AAAAAG+397w=")</f>
        <v>#VALUE!</v>
      </c>
      <c r="GH87" t="e">
        <f>AND('Planilla_General_03-12-2012_9_3'!M1388,"AAAAAG+3970=")</f>
        <v>#VALUE!</v>
      </c>
      <c r="GI87" t="e">
        <f>AND('Planilla_General_03-12-2012_9_3'!N1388,"AAAAAG+3974=")</f>
        <v>#VALUE!</v>
      </c>
      <c r="GJ87" t="e">
        <f>AND('Planilla_General_03-12-2012_9_3'!O1388,"AAAAAG+3978=")</f>
        <v>#VALUE!</v>
      </c>
      <c r="GK87">
        <f>IF('Planilla_General_03-12-2012_9_3'!1389:1389,"AAAAAG+398A=",0)</f>
        <v>0</v>
      </c>
      <c r="GL87" t="e">
        <f>AND('Planilla_General_03-12-2012_9_3'!A1389,"AAAAAG+398E=")</f>
        <v>#VALUE!</v>
      </c>
      <c r="GM87" t="e">
        <f>AND('Planilla_General_03-12-2012_9_3'!B1389,"AAAAAG+398I=")</f>
        <v>#VALUE!</v>
      </c>
      <c r="GN87" t="e">
        <f>AND('Planilla_General_03-12-2012_9_3'!C1389,"AAAAAG+398M=")</f>
        <v>#VALUE!</v>
      </c>
      <c r="GO87" t="e">
        <f>AND('Planilla_General_03-12-2012_9_3'!D1389,"AAAAAG+398Q=")</f>
        <v>#VALUE!</v>
      </c>
      <c r="GP87" t="e">
        <f>AND('Planilla_General_03-12-2012_9_3'!E1389,"AAAAAG+398U=")</f>
        <v>#VALUE!</v>
      </c>
      <c r="GQ87" t="e">
        <f>AND('Planilla_General_03-12-2012_9_3'!F1389,"AAAAAG+398Y=")</f>
        <v>#VALUE!</v>
      </c>
      <c r="GR87" t="e">
        <f>AND('Planilla_General_03-12-2012_9_3'!G1389,"AAAAAG+398c=")</f>
        <v>#VALUE!</v>
      </c>
      <c r="GS87" t="e">
        <f>AND('Planilla_General_03-12-2012_9_3'!H1389,"AAAAAG+398g=")</f>
        <v>#VALUE!</v>
      </c>
      <c r="GT87" t="e">
        <f>AND('Planilla_General_03-12-2012_9_3'!I1389,"AAAAAG+398k=")</f>
        <v>#VALUE!</v>
      </c>
      <c r="GU87" t="e">
        <f>AND('Planilla_General_03-12-2012_9_3'!J1389,"AAAAAG+398o=")</f>
        <v>#VALUE!</v>
      </c>
      <c r="GV87" t="e">
        <f>AND('Planilla_General_03-12-2012_9_3'!K1389,"AAAAAG+398s=")</f>
        <v>#VALUE!</v>
      </c>
      <c r="GW87" t="e">
        <f>AND('Planilla_General_03-12-2012_9_3'!L1389,"AAAAAG+398w=")</f>
        <v>#VALUE!</v>
      </c>
      <c r="GX87" t="e">
        <f>AND('Planilla_General_03-12-2012_9_3'!M1389,"AAAAAG+3980=")</f>
        <v>#VALUE!</v>
      </c>
      <c r="GY87" t="e">
        <f>AND('Planilla_General_03-12-2012_9_3'!N1389,"AAAAAG+3984=")</f>
        <v>#VALUE!</v>
      </c>
      <c r="GZ87" t="e">
        <f>AND('Planilla_General_03-12-2012_9_3'!O1389,"AAAAAG+3988=")</f>
        <v>#VALUE!</v>
      </c>
      <c r="HA87">
        <f>IF('Planilla_General_03-12-2012_9_3'!1390:1390,"AAAAAG+399A=",0)</f>
        <v>0</v>
      </c>
      <c r="HB87" t="e">
        <f>AND('Planilla_General_03-12-2012_9_3'!A1390,"AAAAAG+399E=")</f>
        <v>#VALUE!</v>
      </c>
      <c r="HC87" t="e">
        <f>AND('Planilla_General_03-12-2012_9_3'!B1390,"AAAAAG+399I=")</f>
        <v>#VALUE!</v>
      </c>
      <c r="HD87" t="e">
        <f>AND('Planilla_General_03-12-2012_9_3'!C1390,"AAAAAG+399M=")</f>
        <v>#VALUE!</v>
      </c>
      <c r="HE87" t="e">
        <f>AND('Planilla_General_03-12-2012_9_3'!D1390,"AAAAAG+399Q=")</f>
        <v>#VALUE!</v>
      </c>
      <c r="HF87" t="e">
        <f>AND('Planilla_General_03-12-2012_9_3'!E1390,"AAAAAG+399U=")</f>
        <v>#VALUE!</v>
      </c>
      <c r="HG87" t="e">
        <f>AND('Planilla_General_03-12-2012_9_3'!F1390,"AAAAAG+399Y=")</f>
        <v>#VALUE!</v>
      </c>
      <c r="HH87" t="e">
        <f>AND('Planilla_General_03-12-2012_9_3'!G1390,"AAAAAG+399c=")</f>
        <v>#VALUE!</v>
      </c>
      <c r="HI87" t="e">
        <f>AND('Planilla_General_03-12-2012_9_3'!H1390,"AAAAAG+399g=")</f>
        <v>#VALUE!</v>
      </c>
      <c r="HJ87" t="e">
        <f>AND('Planilla_General_03-12-2012_9_3'!I1390,"AAAAAG+399k=")</f>
        <v>#VALUE!</v>
      </c>
      <c r="HK87" t="e">
        <f>AND('Planilla_General_03-12-2012_9_3'!J1390,"AAAAAG+399o=")</f>
        <v>#VALUE!</v>
      </c>
      <c r="HL87" t="e">
        <f>AND('Planilla_General_03-12-2012_9_3'!K1390,"AAAAAG+399s=")</f>
        <v>#VALUE!</v>
      </c>
      <c r="HM87" t="e">
        <f>AND('Planilla_General_03-12-2012_9_3'!L1390,"AAAAAG+399w=")</f>
        <v>#VALUE!</v>
      </c>
      <c r="HN87" t="e">
        <f>AND('Planilla_General_03-12-2012_9_3'!M1390,"AAAAAG+3990=")</f>
        <v>#VALUE!</v>
      </c>
      <c r="HO87" t="e">
        <f>AND('Planilla_General_03-12-2012_9_3'!N1390,"AAAAAG+3994=")</f>
        <v>#VALUE!</v>
      </c>
      <c r="HP87" t="e">
        <f>AND('Planilla_General_03-12-2012_9_3'!O1390,"AAAAAG+3998=")</f>
        <v>#VALUE!</v>
      </c>
      <c r="HQ87">
        <f>IF('Planilla_General_03-12-2012_9_3'!1391:1391,"AAAAAG+39+A=",0)</f>
        <v>0</v>
      </c>
      <c r="HR87" t="e">
        <f>AND('Planilla_General_03-12-2012_9_3'!A1391,"AAAAAG+39+E=")</f>
        <v>#VALUE!</v>
      </c>
      <c r="HS87" t="e">
        <f>AND('Planilla_General_03-12-2012_9_3'!B1391,"AAAAAG+39+I=")</f>
        <v>#VALUE!</v>
      </c>
      <c r="HT87" t="e">
        <f>AND('Planilla_General_03-12-2012_9_3'!C1391,"AAAAAG+39+M=")</f>
        <v>#VALUE!</v>
      </c>
      <c r="HU87" t="e">
        <f>AND('Planilla_General_03-12-2012_9_3'!D1391,"AAAAAG+39+Q=")</f>
        <v>#VALUE!</v>
      </c>
      <c r="HV87" t="e">
        <f>AND('Planilla_General_03-12-2012_9_3'!E1391,"AAAAAG+39+U=")</f>
        <v>#VALUE!</v>
      </c>
      <c r="HW87" t="e">
        <f>AND('Planilla_General_03-12-2012_9_3'!F1391,"AAAAAG+39+Y=")</f>
        <v>#VALUE!</v>
      </c>
      <c r="HX87" t="e">
        <f>AND('Planilla_General_03-12-2012_9_3'!G1391,"AAAAAG+39+c=")</f>
        <v>#VALUE!</v>
      </c>
      <c r="HY87" t="e">
        <f>AND('Planilla_General_03-12-2012_9_3'!H1391,"AAAAAG+39+g=")</f>
        <v>#VALUE!</v>
      </c>
      <c r="HZ87" t="e">
        <f>AND('Planilla_General_03-12-2012_9_3'!I1391,"AAAAAG+39+k=")</f>
        <v>#VALUE!</v>
      </c>
      <c r="IA87" t="e">
        <f>AND('Planilla_General_03-12-2012_9_3'!J1391,"AAAAAG+39+o=")</f>
        <v>#VALUE!</v>
      </c>
      <c r="IB87" t="e">
        <f>AND('Planilla_General_03-12-2012_9_3'!K1391,"AAAAAG+39+s=")</f>
        <v>#VALUE!</v>
      </c>
      <c r="IC87" t="e">
        <f>AND('Planilla_General_03-12-2012_9_3'!L1391,"AAAAAG+39+w=")</f>
        <v>#VALUE!</v>
      </c>
      <c r="ID87" t="e">
        <f>AND('Planilla_General_03-12-2012_9_3'!M1391,"AAAAAG+39+0=")</f>
        <v>#VALUE!</v>
      </c>
      <c r="IE87" t="e">
        <f>AND('Planilla_General_03-12-2012_9_3'!N1391,"AAAAAG+39+4=")</f>
        <v>#VALUE!</v>
      </c>
      <c r="IF87" t="e">
        <f>AND('Planilla_General_03-12-2012_9_3'!O1391,"AAAAAG+39+8=")</f>
        <v>#VALUE!</v>
      </c>
      <c r="IG87">
        <f>IF('Planilla_General_03-12-2012_9_3'!1392:1392,"AAAAAG+39/A=",0)</f>
        <v>0</v>
      </c>
      <c r="IH87" t="e">
        <f>AND('Planilla_General_03-12-2012_9_3'!A1392,"AAAAAG+39/E=")</f>
        <v>#VALUE!</v>
      </c>
      <c r="II87" t="e">
        <f>AND('Planilla_General_03-12-2012_9_3'!B1392,"AAAAAG+39/I=")</f>
        <v>#VALUE!</v>
      </c>
      <c r="IJ87" t="e">
        <f>AND('Planilla_General_03-12-2012_9_3'!C1392,"AAAAAG+39/M=")</f>
        <v>#VALUE!</v>
      </c>
      <c r="IK87" t="e">
        <f>AND('Planilla_General_03-12-2012_9_3'!D1392,"AAAAAG+39/Q=")</f>
        <v>#VALUE!</v>
      </c>
      <c r="IL87" t="e">
        <f>AND('Planilla_General_03-12-2012_9_3'!E1392,"AAAAAG+39/U=")</f>
        <v>#VALUE!</v>
      </c>
      <c r="IM87" t="e">
        <f>AND('Planilla_General_03-12-2012_9_3'!F1392,"AAAAAG+39/Y=")</f>
        <v>#VALUE!</v>
      </c>
      <c r="IN87" t="e">
        <f>AND('Planilla_General_03-12-2012_9_3'!G1392,"AAAAAG+39/c=")</f>
        <v>#VALUE!</v>
      </c>
      <c r="IO87" t="e">
        <f>AND('Planilla_General_03-12-2012_9_3'!H1392,"AAAAAG+39/g=")</f>
        <v>#VALUE!</v>
      </c>
      <c r="IP87" t="e">
        <f>AND('Planilla_General_03-12-2012_9_3'!I1392,"AAAAAG+39/k=")</f>
        <v>#VALUE!</v>
      </c>
      <c r="IQ87" t="e">
        <f>AND('Planilla_General_03-12-2012_9_3'!J1392,"AAAAAG+39/o=")</f>
        <v>#VALUE!</v>
      </c>
      <c r="IR87" t="e">
        <f>AND('Planilla_General_03-12-2012_9_3'!K1392,"AAAAAG+39/s=")</f>
        <v>#VALUE!</v>
      </c>
      <c r="IS87" t="e">
        <f>AND('Planilla_General_03-12-2012_9_3'!L1392,"AAAAAG+39/w=")</f>
        <v>#VALUE!</v>
      </c>
      <c r="IT87" t="e">
        <f>AND('Planilla_General_03-12-2012_9_3'!M1392,"AAAAAG+39/0=")</f>
        <v>#VALUE!</v>
      </c>
      <c r="IU87" t="e">
        <f>AND('Planilla_General_03-12-2012_9_3'!N1392,"AAAAAG+39/4=")</f>
        <v>#VALUE!</v>
      </c>
      <c r="IV87" t="e">
        <f>AND('Planilla_General_03-12-2012_9_3'!O1392,"AAAAAG+39/8=")</f>
        <v>#VALUE!</v>
      </c>
    </row>
    <row r="88" spans="1:256" x14ac:dyDescent="0.25">
      <c r="A88" t="e">
        <f>IF('Planilla_General_03-12-2012_9_3'!1393:1393,"AAAAAF7/uQA=",0)</f>
        <v>#VALUE!</v>
      </c>
      <c r="B88" t="e">
        <f>AND('Planilla_General_03-12-2012_9_3'!A1393,"AAAAAF7/uQE=")</f>
        <v>#VALUE!</v>
      </c>
      <c r="C88" t="e">
        <f>AND('Planilla_General_03-12-2012_9_3'!B1393,"AAAAAF7/uQI=")</f>
        <v>#VALUE!</v>
      </c>
      <c r="D88" t="e">
        <f>AND('Planilla_General_03-12-2012_9_3'!C1393,"AAAAAF7/uQM=")</f>
        <v>#VALUE!</v>
      </c>
      <c r="E88" t="e">
        <f>AND('Planilla_General_03-12-2012_9_3'!D1393,"AAAAAF7/uQQ=")</f>
        <v>#VALUE!</v>
      </c>
      <c r="F88" t="e">
        <f>AND('Planilla_General_03-12-2012_9_3'!E1393,"AAAAAF7/uQU=")</f>
        <v>#VALUE!</v>
      </c>
      <c r="G88" t="e">
        <f>AND('Planilla_General_03-12-2012_9_3'!F1393,"AAAAAF7/uQY=")</f>
        <v>#VALUE!</v>
      </c>
      <c r="H88" t="e">
        <f>AND('Planilla_General_03-12-2012_9_3'!G1393,"AAAAAF7/uQc=")</f>
        <v>#VALUE!</v>
      </c>
      <c r="I88" t="e">
        <f>AND('Planilla_General_03-12-2012_9_3'!H1393,"AAAAAF7/uQg=")</f>
        <v>#VALUE!</v>
      </c>
      <c r="J88" t="e">
        <f>AND('Planilla_General_03-12-2012_9_3'!I1393,"AAAAAF7/uQk=")</f>
        <v>#VALUE!</v>
      </c>
      <c r="K88" t="e">
        <f>AND('Planilla_General_03-12-2012_9_3'!J1393,"AAAAAF7/uQo=")</f>
        <v>#VALUE!</v>
      </c>
      <c r="L88" t="e">
        <f>AND('Planilla_General_03-12-2012_9_3'!K1393,"AAAAAF7/uQs=")</f>
        <v>#VALUE!</v>
      </c>
      <c r="M88" t="e">
        <f>AND('Planilla_General_03-12-2012_9_3'!L1393,"AAAAAF7/uQw=")</f>
        <v>#VALUE!</v>
      </c>
      <c r="N88" t="e">
        <f>AND('Planilla_General_03-12-2012_9_3'!M1393,"AAAAAF7/uQ0=")</f>
        <v>#VALUE!</v>
      </c>
      <c r="O88" t="e">
        <f>AND('Planilla_General_03-12-2012_9_3'!N1393,"AAAAAF7/uQ4=")</f>
        <v>#VALUE!</v>
      </c>
      <c r="P88" t="e">
        <f>AND('Planilla_General_03-12-2012_9_3'!O1393,"AAAAAF7/uQ8=")</f>
        <v>#VALUE!</v>
      </c>
      <c r="Q88">
        <f>IF('Planilla_General_03-12-2012_9_3'!1394:1394,"AAAAAF7/uRA=",0)</f>
        <v>0</v>
      </c>
      <c r="R88" t="e">
        <f>AND('Planilla_General_03-12-2012_9_3'!A1394,"AAAAAF7/uRE=")</f>
        <v>#VALUE!</v>
      </c>
      <c r="S88" t="e">
        <f>AND('Planilla_General_03-12-2012_9_3'!B1394,"AAAAAF7/uRI=")</f>
        <v>#VALUE!</v>
      </c>
      <c r="T88" t="e">
        <f>AND('Planilla_General_03-12-2012_9_3'!C1394,"AAAAAF7/uRM=")</f>
        <v>#VALUE!</v>
      </c>
      <c r="U88" t="e">
        <f>AND('Planilla_General_03-12-2012_9_3'!D1394,"AAAAAF7/uRQ=")</f>
        <v>#VALUE!</v>
      </c>
      <c r="V88" t="e">
        <f>AND('Planilla_General_03-12-2012_9_3'!E1394,"AAAAAF7/uRU=")</f>
        <v>#VALUE!</v>
      </c>
      <c r="W88" t="e">
        <f>AND('Planilla_General_03-12-2012_9_3'!F1394,"AAAAAF7/uRY=")</f>
        <v>#VALUE!</v>
      </c>
      <c r="X88" t="e">
        <f>AND('Planilla_General_03-12-2012_9_3'!G1394,"AAAAAF7/uRc=")</f>
        <v>#VALUE!</v>
      </c>
      <c r="Y88" t="e">
        <f>AND('Planilla_General_03-12-2012_9_3'!H1394,"AAAAAF7/uRg=")</f>
        <v>#VALUE!</v>
      </c>
      <c r="Z88" t="e">
        <f>AND('Planilla_General_03-12-2012_9_3'!I1394,"AAAAAF7/uRk=")</f>
        <v>#VALUE!</v>
      </c>
      <c r="AA88" t="e">
        <f>AND('Planilla_General_03-12-2012_9_3'!J1394,"AAAAAF7/uRo=")</f>
        <v>#VALUE!</v>
      </c>
      <c r="AB88" t="e">
        <f>AND('Planilla_General_03-12-2012_9_3'!K1394,"AAAAAF7/uRs=")</f>
        <v>#VALUE!</v>
      </c>
      <c r="AC88" t="e">
        <f>AND('Planilla_General_03-12-2012_9_3'!L1394,"AAAAAF7/uRw=")</f>
        <v>#VALUE!</v>
      </c>
      <c r="AD88" t="e">
        <f>AND('Planilla_General_03-12-2012_9_3'!M1394,"AAAAAF7/uR0=")</f>
        <v>#VALUE!</v>
      </c>
      <c r="AE88" t="e">
        <f>AND('Planilla_General_03-12-2012_9_3'!N1394,"AAAAAF7/uR4=")</f>
        <v>#VALUE!</v>
      </c>
      <c r="AF88" t="e">
        <f>AND('Planilla_General_03-12-2012_9_3'!O1394,"AAAAAF7/uR8=")</f>
        <v>#VALUE!</v>
      </c>
      <c r="AG88">
        <f>IF('Planilla_General_03-12-2012_9_3'!1395:1395,"AAAAAF7/uSA=",0)</f>
        <v>0</v>
      </c>
      <c r="AH88" t="e">
        <f>AND('Planilla_General_03-12-2012_9_3'!A1395,"AAAAAF7/uSE=")</f>
        <v>#VALUE!</v>
      </c>
      <c r="AI88" t="e">
        <f>AND('Planilla_General_03-12-2012_9_3'!B1395,"AAAAAF7/uSI=")</f>
        <v>#VALUE!</v>
      </c>
      <c r="AJ88" t="e">
        <f>AND('Planilla_General_03-12-2012_9_3'!C1395,"AAAAAF7/uSM=")</f>
        <v>#VALUE!</v>
      </c>
      <c r="AK88" t="e">
        <f>AND('Planilla_General_03-12-2012_9_3'!D1395,"AAAAAF7/uSQ=")</f>
        <v>#VALUE!</v>
      </c>
      <c r="AL88" t="e">
        <f>AND('Planilla_General_03-12-2012_9_3'!E1395,"AAAAAF7/uSU=")</f>
        <v>#VALUE!</v>
      </c>
      <c r="AM88" t="e">
        <f>AND('Planilla_General_03-12-2012_9_3'!F1395,"AAAAAF7/uSY=")</f>
        <v>#VALUE!</v>
      </c>
      <c r="AN88" t="e">
        <f>AND('Planilla_General_03-12-2012_9_3'!G1395,"AAAAAF7/uSc=")</f>
        <v>#VALUE!</v>
      </c>
      <c r="AO88" t="e">
        <f>AND('Planilla_General_03-12-2012_9_3'!H1395,"AAAAAF7/uSg=")</f>
        <v>#VALUE!</v>
      </c>
      <c r="AP88" t="e">
        <f>AND('Planilla_General_03-12-2012_9_3'!I1395,"AAAAAF7/uSk=")</f>
        <v>#VALUE!</v>
      </c>
      <c r="AQ88" t="e">
        <f>AND('Planilla_General_03-12-2012_9_3'!J1395,"AAAAAF7/uSo=")</f>
        <v>#VALUE!</v>
      </c>
      <c r="AR88" t="e">
        <f>AND('Planilla_General_03-12-2012_9_3'!K1395,"AAAAAF7/uSs=")</f>
        <v>#VALUE!</v>
      </c>
      <c r="AS88" t="e">
        <f>AND('Planilla_General_03-12-2012_9_3'!L1395,"AAAAAF7/uSw=")</f>
        <v>#VALUE!</v>
      </c>
      <c r="AT88" t="e">
        <f>AND('Planilla_General_03-12-2012_9_3'!M1395,"AAAAAF7/uS0=")</f>
        <v>#VALUE!</v>
      </c>
      <c r="AU88" t="e">
        <f>AND('Planilla_General_03-12-2012_9_3'!N1395,"AAAAAF7/uS4=")</f>
        <v>#VALUE!</v>
      </c>
      <c r="AV88" t="e">
        <f>AND('Planilla_General_03-12-2012_9_3'!O1395,"AAAAAF7/uS8=")</f>
        <v>#VALUE!</v>
      </c>
      <c r="AW88">
        <f>IF('Planilla_General_03-12-2012_9_3'!1396:1396,"AAAAAF7/uTA=",0)</f>
        <v>0</v>
      </c>
      <c r="AX88" t="e">
        <f>AND('Planilla_General_03-12-2012_9_3'!A1396,"AAAAAF7/uTE=")</f>
        <v>#VALUE!</v>
      </c>
      <c r="AY88" t="e">
        <f>AND('Planilla_General_03-12-2012_9_3'!B1396,"AAAAAF7/uTI=")</f>
        <v>#VALUE!</v>
      </c>
      <c r="AZ88" t="e">
        <f>AND('Planilla_General_03-12-2012_9_3'!C1396,"AAAAAF7/uTM=")</f>
        <v>#VALUE!</v>
      </c>
      <c r="BA88" t="e">
        <f>AND('Planilla_General_03-12-2012_9_3'!D1396,"AAAAAF7/uTQ=")</f>
        <v>#VALUE!</v>
      </c>
      <c r="BB88" t="e">
        <f>AND('Planilla_General_03-12-2012_9_3'!E1396,"AAAAAF7/uTU=")</f>
        <v>#VALUE!</v>
      </c>
      <c r="BC88" t="e">
        <f>AND('Planilla_General_03-12-2012_9_3'!F1396,"AAAAAF7/uTY=")</f>
        <v>#VALUE!</v>
      </c>
      <c r="BD88" t="e">
        <f>AND('Planilla_General_03-12-2012_9_3'!G1396,"AAAAAF7/uTc=")</f>
        <v>#VALUE!</v>
      </c>
      <c r="BE88" t="e">
        <f>AND('Planilla_General_03-12-2012_9_3'!H1396,"AAAAAF7/uTg=")</f>
        <v>#VALUE!</v>
      </c>
      <c r="BF88" t="e">
        <f>AND('Planilla_General_03-12-2012_9_3'!I1396,"AAAAAF7/uTk=")</f>
        <v>#VALUE!</v>
      </c>
      <c r="BG88" t="e">
        <f>AND('Planilla_General_03-12-2012_9_3'!J1396,"AAAAAF7/uTo=")</f>
        <v>#VALUE!</v>
      </c>
      <c r="BH88" t="e">
        <f>AND('Planilla_General_03-12-2012_9_3'!K1396,"AAAAAF7/uTs=")</f>
        <v>#VALUE!</v>
      </c>
      <c r="BI88" t="e">
        <f>AND('Planilla_General_03-12-2012_9_3'!L1396,"AAAAAF7/uTw=")</f>
        <v>#VALUE!</v>
      </c>
      <c r="BJ88" t="e">
        <f>AND('Planilla_General_03-12-2012_9_3'!M1396,"AAAAAF7/uT0=")</f>
        <v>#VALUE!</v>
      </c>
      <c r="BK88" t="e">
        <f>AND('Planilla_General_03-12-2012_9_3'!N1396,"AAAAAF7/uT4=")</f>
        <v>#VALUE!</v>
      </c>
      <c r="BL88" t="e">
        <f>AND('Planilla_General_03-12-2012_9_3'!O1396,"AAAAAF7/uT8=")</f>
        <v>#VALUE!</v>
      </c>
      <c r="BM88">
        <f>IF('Planilla_General_03-12-2012_9_3'!1397:1397,"AAAAAF7/uUA=",0)</f>
        <v>0</v>
      </c>
      <c r="BN88" t="e">
        <f>AND('Planilla_General_03-12-2012_9_3'!A1397,"AAAAAF7/uUE=")</f>
        <v>#VALUE!</v>
      </c>
      <c r="BO88" t="e">
        <f>AND('Planilla_General_03-12-2012_9_3'!B1397,"AAAAAF7/uUI=")</f>
        <v>#VALUE!</v>
      </c>
      <c r="BP88" t="e">
        <f>AND('Planilla_General_03-12-2012_9_3'!C1397,"AAAAAF7/uUM=")</f>
        <v>#VALUE!</v>
      </c>
      <c r="BQ88" t="e">
        <f>AND('Planilla_General_03-12-2012_9_3'!D1397,"AAAAAF7/uUQ=")</f>
        <v>#VALUE!</v>
      </c>
      <c r="BR88" t="e">
        <f>AND('Planilla_General_03-12-2012_9_3'!E1397,"AAAAAF7/uUU=")</f>
        <v>#VALUE!</v>
      </c>
      <c r="BS88" t="e">
        <f>AND('Planilla_General_03-12-2012_9_3'!F1397,"AAAAAF7/uUY=")</f>
        <v>#VALUE!</v>
      </c>
      <c r="BT88" t="e">
        <f>AND('Planilla_General_03-12-2012_9_3'!G1397,"AAAAAF7/uUc=")</f>
        <v>#VALUE!</v>
      </c>
      <c r="BU88" t="e">
        <f>AND('Planilla_General_03-12-2012_9_3'!H1397,"AAAAAF7/uUg=")</f>
        <v>#VALUE!</v>
      </c>
      <c r="BV88" t="e">
        <f>AND('Planilla_General_03-12-2012_9_3'!I1397,"AAAAAF7/uUk=")</f>
        <v>#VALUE!</v>
      </c>
      <c r="BW88" t="e">
        <f>AND('Planilla_General_03-12-2012_9_3'!J1397,"AAAAAF7/uUo=")</f>
        <v>#VALUE!</v>
      </c>
      <c r="BX88" t="e">
        <f>AND('Planilla_General_03-12-2012_9_3'!K1397,"AAAAAF7/uUs=")</f>
        <v>#VALUE!</v>
      </c>
      <c r="BY88" t="e">
        <f>AND('Planilla_General_03-12-2012_9_3'!L1397,"AAAAAF7/uUw=")</f>
        <v>#VALUE!</v>
      </c>
      <c r="BZ88" t="e">
        <f>AND('Planilla_General_03-12-2012_9_3'!M1397,"AAAAAF7/uU0=")</f>
        <v>#VALUE!</v>
      </c>
      <c r="CA88" t="e">
        <f>AND('Planilla_General_03-12-2012_9_3'!N1397,"AAAAAF7/uU4=")</f>
        <v>#VALUE!</v>
      </c>
      <c r="CB88" t="e">
        <f>AND('Planilla_General_03-12-2012_9_3'!O1397,"AAAAAF7/uU8=")</f>
        <v>#VALUE!</v>
      </c>
      <c r="CC88">
        <f>IF('Planilla_General_03-12-2012_9_3'!1398:1398,"AAAAAF7/uVA=",0)</f>
        <v>0</v>
      </c>
      <c r="CD88" t="e">
        <f>AND('Planilla_General_03-12-2012_9_3'!A1398,"AAAAAF7/uVE=")</f>
        <v>#VALUE!</v>
      </c>
      <c r="CE88" t="e">
        <f>AND('Planilla_General_03-12-2012_9_3'!B1398,"AAAAAF7/uVI=")</f>
        <v>#VALUE!</v>
      </c>
      <c r="CF88" t="e">
        <f>AND('Planilla_General_03-12-2012_9_3'!C1398,"AAAAAF7/uVM=")</f>
        <v>#VALUE!</v>
      </c>
      <c r="CG88" t="e">
        <f>AND('Planilla_General_03-12-2012_9_3'!D1398,"AAAAAF7/uVQ=")</f>
        <v>#VALUE!</v>
      </c>
      <c r="CH88" t="e">
        <f>AND('Planilla_General_03-12-2012_9_3'!E1398,"AAAAAF7/uVU=")</f>
        <v>#VALUE!</v>
      </c>
      <c r="CI88" t="e">
        <f>AND('Planilla_General_03-12-2012_9_3'!F1398,"AAAAAF7/uVY=")</f>
        <v>#VALUE!</v>
      </c>
      <c r="CJ88" t="e">
        <f>AND('Planilla_General_03-12-2012_9_3'!G1398,"AAAAAF7/uVc=")</f>
        <v>#VALUE!</v>
      </c>
      <c r="CK88" t="e">
        <f>AND('Planilla_General_03-12-2012_9_3'!H1398,"AAAAAF7/uVg=")</f>
        <v>#VALUE!</v>
      </c>
      <c r="CL88" t="e">
        <f>AND('Planilla_General_03-12-2012_9_3'!I1398,"AAAAAF7/uVk=")</f>
        <v>#VALUE!</v>
      </c>
      <c r="CM88" t="e">
        <f>AND('Planilla_General_03-12-2012_9_3'!J1398,"AAAAAF7/uVo=")</f>
        <v>#VALUE!</v>
      </c>
      <c r="CN88" t="e">
        <f>AND('Planilla_General_03-12-2012_9_3'!K1398,"AAAAAF7/uVs=")</f>
        <v>#VALUE!</v>
      </c>
      <c r="CO88" t="e">
        <f>AND('Planilla_General_03-12-2012_9_3'!L1398,"AAAAAF7/uVw=")</f>
        <v>#VALUE!</v>
      </c>
      <c r="CP88" t="e">
        <f>AND('Planilla_General_03-12-2012_9_3'!M1398,"AAAAAF7/uV0=")</f>
        <v>#VALUE!</v>
      </c>
      <c r="CQ88" t="e">
        <f>AND('Planilla_General_03-12-2012_9_3'!N1398,"AAAAAF7/uV4=")</f>
        <v>#VALUE!</v>
      </c>
      <c r="CR88" t="e">
        <f>AND('Planilla_General_03-12-2012_9_3'!O1398,"AAAAAF7/uV8=")</f>
        <v>#VALUE!</v>
      </c>
      <c r="CS88">
        <f>IF('Planilla_General_03-12-2012_9_3'!1399:1399,"AAAAAF7/uWA=",0)</f>
        <v>0</v>
      </c>
      <c r="CT88" t="e">
        <f>AND('Planilla_General_03-12-2012_9_3'!A1399,"AAAAAF7/uWE=")</f>
        <v>#VALUE!</v>
      </c>
      <c r="CU88" t="e">
        <f>AND('Planilla_General_03-12-2012_9_3'!B1399,"AAAAAF7/uWI=")</f>
        <v>#VALUE!</v>
      </c>
      <c r="CV88" t="e">
        <f>AND('Planilla_General_03-12-2012_9_3'!C1399,"AAAAAF7/uWM=")</f>
        <v>#VALUE!</v>
      </c>
      <c r="CW88" t="e">
        <f>AND('Planilla_General_03-12-2012_9_3'!D1399,"AAAAAF7/uWQ=")</f>
        <v>#VALUE!</v>
      </c>
      <c r="CX88" t="e">
        <f>AND('Planilla_General_03-12-2012_9_3'!E1399,"AAAAAF7/uWU=")</f>
        <v>#VALUE!</v>
      </c>
      <c r="CY88" t="e">
        <f>AND('Planilla_General_03-12-2012_9_3'!F1399,"AAAAAF7/uWY=")</f>
        <v>#VALUE!</v>
      </c>
      <c r="CZ88" t="e">
        <f>AND('Planilla_General_03-12-2012_9_3'!G1399,"AAAAAF7/uWc=")</f>
        <v>#VALUE!</v>
      </c>
      <c r="DA88" t="e">
        <f>AND('Planilla_General_03-12-2012_9_3'!H1399,"AAAAAF7/uWg=")</f>
        <v>#VALUE!</v>
      </c>
      <c r="DB88" t="e">
        <f>AND('Planilla_General_03-12-2012_9_3'!I1399,"AAAAAF7/uWk=")</f>
        <v>#VALUE!</v>
      </c>
      <c r="DC88" t="e">
        <f>AND('Planilla_General_03-12-2012_9_3'!J1399,"AAAAAF7/uWo=")</f>
        <v>#VALUE!</v>
      </c>
      <c r="DD88" t="e">
        <f>AND('Planilla_General_03-12-2012_9_3'!K1399,"AAAAAF7/uWs=")</f>
        <v>#VALUE!</v>
      </c>
      <c r="DE88" t="e">
        <f>AND('Planilla_General_03-12-2012_9_3'!L1399,"AAAAAF7/uWw=")</f>
        <v>#VALUE!</v>
      </c>
      <c r="DF88" t="e">
        <f>AND('Planilla_General_03-12-2012_9_3'!M1399,"AAAAAF7/uW0=")</f>
        <v>#VALUE!</v>
      </c>
      <c r="DG88" t="e">
        <f>AND('Planilla_General_03-12-2012_9_3'!N1399,"AAAAAF7/uW4=")</f>
        <v>#VALUE!</v>
      </c>
      <c r="DH88" t="e">
        <f>AND('Planilla_General_03-12-2012_9_3'!O1399,"AAAAAF7/uW8=")</f>
        <v>#VALUE!</v>
      </c>
      <c r="DI88">
        <f>IF('Planilla_General_03-12-2012_9_3'!1400:1400,"AAAAAF7/uXA=",0)</f>
        <v>0</v>
      </c>
      <c r="DJ88" t="e">
        <f>AND('Planilla_General_03-12-2012_9_3'!A1400,"AAAAAF7/uXE=")</f>
        <v>#VALUE!</v>
      </c>
      <c r="DK88" t="e">
        <f>AND('Planilla_General_03-12-2012_9_3'!B1400,"AAAAAF7/uXI=")</f>
        <v>#VALUE!</v>
      </c>
      <c r="DL88" t="e">
        <f>AND('Planilla_General_03-12-2012_9_3'!C1400,"AAAAAF7/uXM=")</f>
        <v>#VALUE!</v>
      </c>
      <c r="DM88" t="e">
        <f>AND('Planilla_General_03-12-2012_9_3'!D1400,"AAAAAF7/uXQ=")</f>
        <v>#VALUE!</v>
      </c>
      <c r="DN88" t="e">
        <f>AND('Planilla_General_03-12-2012_9_3'!E1400,"AAAAAF7/uXU=")</f>
        <v>#VALUE!</v>
      </c>
      <c r="DO88" t="e">
        <f>AND('Planilla_General_03-12-2012_9_3'!F1400,"AAAAAF7/uXY=")</f>
        <v>#VALUE!</v>
      </c>
      <c r="DP88" t="e">
        <f>AND('Planilla_General_03-12-2012_9_3'!G1400,"AAAAAF7/uXc=")</f>
        <v>#VALUE!</v>
      </c>
      <c r="DQ88" t="e">
        <f>AND('Planilla_General_03-12-2012_9_3'!H1400,"AAAAAF7/uXg=")</f>
        <v>#VALUE!</v>
      </c>
      <c r="DR88" t="e">
        <f>AND('Planilla_General_03-12-2012_9_3'!I1400,"AAAAAF7/uXk=")</f>
        <v>#VALUE!</v>
      </c>
      <c r="DS88" t="e">
        <f>AND('Planilla_General_03-12-2012_9_3'!J1400,"AAAAAF7/uXo=")</f>
        <v>#VALUE!</v>
      </c>
      <c r="DT88" t="e">
        <f>AND('Planilla_General_03-12-2012_9_3'!K1400,"AAAAAF7/uXs=")</f>
        <v>#VALUE!</v>
      </c>
      <c r="DU88" t="e">
        <f>AND('Planilla_General_03-12-2012_9_3'!L1400,"AAAAAF7/uXw=")</f>
        <v>#VALUE!</v>
      </c>
      <c r="DV88" t="e">
        <f>AND('Planilla_General_03-12-2012_9_3'!M1400,"AAAAAF7/uX0=")</f>
        <v>#VALUE!</v>
      </c>
      <c r="DW88" t="e">
        <f>AND('Planilla_General_03-12-2012_9_3'!N1400,"AAAAAF7/uX4=")</f>
        <v>#VALUE!</v>
      </c>
      <c r="DX88" t="e">
        <f>AND('Planilla_General_03-12-2012_9_3'!O1400,"AAAAAF7/uX8=")</f>
        <v>#VALUE!</v>
      </c>
      <c r="DY88">
        <f>IF('Planilla_General_03-12-2012_9_3'!1401:1401,"AAAAAF7/uYA=",0)</f>
        <v>0</v>
      </c>
      <c r="DZ88" t="e">
        <f>AND('Planilla_General_03-12-2012_9_3'!A1401,"AAAAAF7/uYE=")</f>
        <v>#VALUE!</v>
      </c>
      <c r="EA88" t="e">
        <f>AND('Planilla_General_03-12-2012_9_3'!B1401,"AAAAAF7/uYI=")</f>
        <v>#VALUE!</v>
      </c>
      <c r="EB88" t="e">
        <f>AND('Planilla_General_03-12-2012_9_3'!C1401,"AAAAAF7/uYM=")</f>
        <v>#VALUE!</v>
      </c>
      <c r="EC88" t="e">
        <f>AND('Planilla_General_03-12-2012_9_3'!D1401,"AAAAAF7/uYQ=")</f>
        <v>#VALUE!</v>
      </c>
      <c r="ED88" t="e">
        <f>AND('Planilla_General_03-12-2012_9_3'!E1401,"AAAAAF7/uYU=")</f>
        <v>#VALUE!</v>
      </c>
      <c r="EE88" t="e">
        <f>AND('Planilla_General_03-12-2012_9_3'!F1401,"AAAAAF7/uYY=")</f>
        <v>#VALUE!</v>
      </c>
      <c r="EF88" t="e">
        <f>AND('Planilla_General_03-12-2012_9_3'!G1401,"AAAAAF7/uYc=")</f>
        <v>#VALUE!</v>
      </c>
      <c r="EG88" t="e">
        <f>AND('Planilla_General_03-12-2012_9_3'!H1401,"AAAAAF7/uYg=")</f>
        <v>#VALUE!</v>
      </c>
      <c r="EH88" t="e">
        <f>AND('Planilla_General_03-12-2012_9_3'!I1401,"AAAAAF7/uYk=")</f>
        <v>#VALUE!</v>
      </c>
      <c r="EI88" t="e">
        <f>AND('Planilla_General_03-12-2012_9_3'!J1401,"AAAAAF7/uYo=")</f>
        <v>#VALUE!</v>
      </c>
      <c r="EJ88" t="e">
        <f>AND('Planilla_General_03-12-2012_9_3'!K1401,"AAAAAF7/uYs=")</f>
        <v>#VALUE!</v>
      </c>
      <c r="EK88" t="e">
        <f>AND('Planilla_General_03-12-2012_9_3'!L1401,"AAAAAF7/uYw=")</f>
        <v>#VALUE!</v>
      </c>
      <c r="EL88" t="e">
        <f>AND('Planilla_General_03-12-2012_9_3'!M1401,"AAAAAF7/uY0=")</f>
        <v>#VALUE!</v>
      </c>
      <c r="EM88" t="e">
        <f>AND('Planilla_General_03-12-2012_9_3'!N1401,"AAAAAF7/uY4=")</f>
        <v>#VALUE!</v>
      </c>
      <c r="EN88" t="e">
        <f>AND('Planilla_General_03-12-2012_9_3'!O1401,"AAAAAF7/uY8=")</f>
        <v>#VALUE!</v>
      </c>
      <c r="EO88">
        <f>IF('Planilla_General_03-12-2012_9_3'!1402:1402,"AAAAAF7/uZA=",0)</f>
        <v>0</v>
      </c>
      <c r="EP88" t="e">
        <f>AND('Planilla_General_03-12-2012_9_3'!A1402,"AAAAAF7/uZE=")</f>
        <v>#VALUE!</v>
      </c>
      <c r="EQ88" t="e">
        <f>AND('Planilla_General_03-12-2012_9_3'!B1402,"AAAAAF7/uZI=")</f>
        <v>#VALUE!</v>
      </c>
      <c r="ER88" t="e">
        <f>AND('Planilla_General_03-12-2012_9_3'!C1402,"AAAAAF7/uZM=")</f>
        <v>#VALUE!</v>
      </c>
      <c r="ES88" t="e">
        <f>AND('Planilla_General_03-12-2012_9_3'!D1402,"AAAAAF7/uZQ=")</f>
        <v>#VALUE!</v>
      </c>
      <c r="ET88" t="e">
        <f>AND('Planilla_General_03-12-2012_9_3'!E1402,"AAAAAF7/uZU=")</f>
        <v>#VALUE!</v>
      </c>
      <c r="EU88" t="e">
        <f>AND('Planilla_General_03-12-2012_9_3'!F1402,"AAAAAF7/uZY=")</f>
        <v>#VALUE!</v>
      </c>
      <c r="EV88" t="e">
        <f>AND('Planilla_General_03-12-2012_9_3'!G1402,"AAAAAF7/uZc=")</f>
        <v>#VALUE!</v>
      </c>
      <c r="EW88" t="e">
        <f>AND('Planilla_General_03-12-2012_9_3'!H1402,"AAAAAF7/uZg=")</f>
        <v>#VALUE!</v>
      </c>
      <c r="EX88" t="e">
        <f>AND('Planilla_General_03-12-2012_9_3'!I1402,"AAAAAF7/uZk=")</f>
        <v>#VALUE!</v>
      </c>
      <c r="EY88" t="e">
        <f>AND('Planilla_General_03-12-2012_9_3'!J1402,"AAAAAF7/uZo=")</f>
        <v>#VALUE!</v>
      </c>
      <c r="EZ88" t="e">
        <f>AND('Planilla_General_03-12-2012_9_3'!K1402,"AAAAAF7/uZs=")</f>
        <v>#VALUE!</v>
      </c>
      <c r="FA88" t="e">
        <f>AND('Planilla_General_03-12-2012_9_3'!L1402,"AAAAAF7/uZw=")</f>
        <v>#VALUE!</v>
      </c>
      <c r="FB88" t="e">
        <f>AND('Planilla_General_03-12-2012_9_3'!M1402,"AAAAAF7/uZ0=")</f>
        <v>#VALUE!</v>
      </c>
      <c r="FC88" t="e">
        <f>AND('Planilla_General_03-12-2012_9_3'!N1402,"AAAAAF7/uZ4=")</f>
        <v>#VALUE!</v>
      </c>
      <c r="FD88" t="e">
        <f>AND('Planilla_General_03-12-2012_9_3'!O1402,"AAAAAF7/uZ8=")</f>
        <v>#VALUE!</v>
      </c>
      <c r="FE88">
        <f>IF('Planilla_General_03-12-2012_9_3'!1403:1403,"AAAAAF7/uaA=",0)</f>
        <v>0</v>
      </c>
      <c r="FF88" t="e">
        <f>AND('Planilla_General_03-12-2012_9_3'!A1403,"AAAAAF7/uaE=")</f>
        <v>#VALUE!</v>
      </c>
      <c r="FG88" t="e">
        <f>AND('Planilla_General_03-12-2012_9_3'!B1403,"AAAAAF7/uaI=")</f>
        <v>#VALUE!</v>
      </c>
      <c r="FH88" t="e">
        <f>AND('Planilla_General_03-12-2012_9_3'!C1403,"AAAAAF7/uaM=")</f>
        <v>#VALUE!</v>
      </c>
      <c r="FI88" t="e">
        <f>AND('Planilla_General_03-12-2012_9_3'!D1403,"AAAAAF7/uaQ=")</f>
        <v>#VALUE!</v>
      </c>
      <c r="FJ88" t="e">
        <f>AND('Planilla_General_03-12-2012_9_3'!E1403,"AAAAAF7/uaU=")</f>
        <v>#VALUE!</v>
      </c>
      <c r="FK88" t="e">
        <f>AND('Planilla_General_03-12-2012_9_3'!F1403,"AAAAAF7/uaY=")</f>
        <v>#VALUE!</v>
      </c>
      <c r="FL88" t="e">
        <f>AND('Planilla_General_03-12-2012_9_3'!G1403,"AAAAAF7/uac=")</f>
        <v>#VALUE!</v>
      </c>
      <c r="FM88" t="e">
        <f>AND('Planilla_General_03-12-2012_9_3'!H1403,"AAAAAF7/uag=")</f>
        <v>#VALUE!</v>
      </c>
      <c r="FN88" t="e">
        <f>AND('Planilla_General_03-12-2012_9_3'!I1403,"AAAAAF7/uak=")</f>
        <v>#VALUE!</v>
      </c>
      <c r="FO88" t="e">
        <f>AND('Planilla_General_03-12-2012_9_3'!J1403,"AAAAAF7/uao=")</f>
        <v>#VALUE!</v>
      </c>
      <c r="FP88" t="e">
        <f>AND('Planilla_General_03-12-2012_9_3'!K1403,"AAAAAF7/uas=")</f>
        <v>#VALUE!</v>
      </c>
      <c r="FQ88" t="e">
        <f>AND('Planilla_General_03-12-2012_9_3'!L1403,"AAAAAF7/uaw=")</f>
        <v>#VALUE!</v>
      </c>
      <c r="FR88" t="e">
        <f>AND('Planilla_General_03-12-2012_9_3'!M1403,"AAAAAF7/ua0=")</f>
        <v>#VALUE!</v>
      </c>
      <c r="FS88" t="e">
        <f>AND('Planilla_General_03-12-2012_9_3'!N1403,"AAAAAF7/ua4=")</f>
        <v>#VALUE!</v>
      </c>
      <c r="FT88" t="e">
        <f>AND('Planilla_General_03-12-2012_9_3'!O1403,"AAAAAF7/ua8=")</f>
        <v>#VALUE!</v>
      </c>
      <c r="FU88">
        <f>IF('Planilla_General_03-12-2012_9_3'!1404:1404,"AAAAAF7/ubA=",0)</f>
        <v>0</v>
      </c>
      <c r="FV88" t="e">
        <f>AND('Planilla_General_03-12-2012_9_3'!A1404,"AAAAAF7/ubE=")</f>
        <v>#VALUE!</v>
      </c>
      <c r="FW88" t="e">
        <f>AND('Planilla_General_03-12-2012_9_3'!B1404,"AAAAAF7/ubI=")</f>
        <v>#VALUE!</v>
      </c>
      <c r="FX88" t="e">
        <f>AND('Planilla_General_03-12-2012_9_3'!C1404,"AAAAAF7/ubM=")</f>
        <v>#VALUE!</v>
      </c>
      <c r="FY88" t="e">
        <f>AND('Planilla_General_03-12-2012_9_3'!D1404,"AAAAAF7/ubQ=")</f>
        <v>#VALUE!</v>
      </c>
      <c r="FZ88" t="e">
        <f>AND('Planilla_General_03-12-2012_9_3'!E1404,"AAAAAF7/ubU=")</f>
        <v>#VALUE!</v>
      </c>
      <c r="GA88" t="e">
        <f>AND('Planilla_General_03-12-2012_9_3'!F1404,"AAAAAF7/ubY=")</f>
        <v>#VALUE!</v>
      </c>
      <c r="GB88" t="e">
        <f>AND('Planilla_General_03-12-2012_9_3'!G1404,"AAAAAF7/ubc=")</f>
        <v>#VALUE!</v>
      </c>
      <c r="GC88" t="e">
        <f>AND('Planilla_General_03-12-2012_9_3'!H1404,"AAAAAF7/ubg=")</f>
        <v>#VALUE!</v>
      </c>
      <c r="GD88" t="e">
        <f>AND('Planilla_General_03-12-2012_9_3'!I1404,"AAAAAF7/ubk=")</f>
        <v>#VALUE!</v>
      </c>
      <c r="GE88" t="e">
        <f>AND('Planilla_General_03-12-2012_9_3'!J1404,"AAAAAF7/ubo=")</f>
        <v>#VALUE!</v>
      </c>
      <c r="GF88" t="e">
        <f>AND('Planilla_General_03-12-2012_9_3'!K1404,"AAAAAF7/ubs=")</f>
        <v>#VALUE!</v>
      </c>
      <c r="GG88" t="e">
        <f>AND('Planilla_General_03-12-2012_9_3'!L1404,"AAAAAF7/ubw=")</f>
        <v>#VALUE!</v>
      </c>
      <c r="GH88" t="e">
        <f>AND('Planilla_General_03-12-2012_9_3'!M1404,"AAAAAF7/ub0=")</f>
        <v>#VALUE!</v>
      </c>
      <c r="GI88" t="e">
        <f>AND('Planilla_General_03-12-2012_9_3'!N1404,"AAAAAF7/ub4=")</f>
        <v>#VALUE!</v>
      </c>
      <c r="GJ88" t="e">
        <f>AND('Planilla_General_03-12-2012_9_3'!O1404,"AAAAAF7/ub8=")</f>
        <v>#VALUE!</v>
      </c>
      <c r="GK88">
        <f>IF('Planilla_General_03-12-2012_9_3'!1405:1405,"AAAAAF7/ucA=",0)</f>
        <v>0</v>
      </c>
      <c r="GL88" t="e">
        <f>AND('Planilla_General_03-12-2012_9_3'!A1405,"AAAAAF7/ucE=")</f>
        <v>#VALUE!</v>
      </c>
      <c r="GM88" t="e">
        <f>AND('Planilla_General_03-12-2012_9_3'!B1405,"AAAAAF7/ucI=")</f>
        <v>#VALUE!</v>
      </c>
      <c r="GN88" t="e">
        <f>AND('Planilla_General_03-12-2012_9_3'!C1405,"AAAAAF7/ucM=")</f>
        <v>#VALUE!</v>
      </c>
      <c r="GO88" t="e">
        <f>AND('Planilla_General_03-12-2012_9_3'!D1405,"AAAAAF7/ucQ=")</f>
        <v>#VALUE!</v>
      </c>
      <c r="GP88" t="e">
        <f>AND('Planilla_General_03-12-2012_9_3'!E1405,"AAAAAF7/ucU=")</f>
        <v>#VALUE!</v>
      </c>
      <c r="GQ88" t="e">
        <f>AND('Planilla_General_03-12-2012_9_3'!F1405,"AAAAAF7/ucY=")</f>
        <v>#VALUE!</v>
      </c>
      <c r="GR88" t="e">
        <f>AND('Planilla_General_03-12-2012_9_3'!G1405,"AAAAAF7/ucc=")</f>
        <v>#VALUE!</v>
      </c>
      <c r="GS88" t="e">
        <f>AND('Planilla_General_03-12-2012_9_3'!H1405,"AAAAAF7/ucg=")</f>
        <v>#VALUE!</v>
      </c>
      <c r="GT88" t="e">
        <f>AND('Planilla_General_03-12-2012_9_3'!I1405,"AAAAAF7/uck=")</f>
        <v>#VALUE!</v>
      </c>
      <c r="GU88" t="e">
        <f>AND('Planilla_General_03-12-2012_9_3'!J1405,"AAAAAF7/uco=")</f>
        <v>#VALUE!</v>
      </c>
      <c r="GV88" t="e">
        <f>AND('Planilla_General_03-12-2012_9_3'!K1405,"AAAAAF7/ucs=")</f>
        <v>#VALUE!</v>
      </c>
      <c r="GW88" t="e">
        <f>AND('Planilla_General_03-12-2012_9_3'!L1405,"AAAAAF7/ucw=")</f>
        <v>#VALUE!</v>
      </c>
      <c r="GX88" t="e">
        <f>AND('Planilla_General_03-12-2012_9_3'!M1405,"AAAAAF7/uc0=")</f>
        <v>#VALUE!</v>
      </c>
      <c r="GY88" t="e">
        <f>AND('Planilla_General_03-12-2012_9_3'!N1405,"AAAAAF7/uc4=")</f>
        <v>#VALUE!</v>
      </c>
      <c r="GZ88" t="e">
        <f>AND('Planilla_General_03-12-2012_9_3'!O1405,"AAAAAF7/uc8=")</f>
        <v>#VALUE!</v>
      </c>
      <c r="HA88">
        <f>IF('Planilla_General_03-12-2012_9_3'!1406:1406,"AAAAAF7/udA=",0)</f>
        <v>0</v>
      </c>
      <c r="HB88" t="e">
        <f>AND('Planilla_General_03-12-2012_9_3'!A1406,"AAAAAF7/udE=")</f>
        <v>#VALUE!</v>
      </c>
      <c r="HC88" t="e">
        <f>AND('Planilla_General_03-12-2012_9_3'!B1406,"AAAAAF7/udI=")</f>
        <v>#VALUE!</v>
      </c>
      <c r="HD88" t="e">
        <f>AND('Planilla_General_03-12-2012_9_3'!C1406,"AAAAAF7/udM=")</f>
        <v>#VALUE!</v>
      </c>
      <c r="HE88" t="e">
        <f>AND('Planilla_General_03-12-2012_9_3'!D1406,"AAAAAF7/udQ=")</f>
        <v>#VALUE!</v>
      </c>
      <c r="HF88" t="e">
        <f>AND('Planilla_General_03-12-2012_9_3'!E1406,"AAAAAF7/udU=")</f>
        <v>#VALUE!</v>
      </c>
      <c r="HG88" t="e">
        <f>AND('Planilla_General_03-12-2012_9_3'!F1406,"AAAAAF7/udY=")</f>
        <v>#VALUE!</v>
      </c>
      <c r="HH88" t="e">
        <f>AND('Planilla_General_03-12-2012_9_3'!G1406,"AAAAAF7/udc=")</f>
        <v>#VALUE!</v>
      </c>
      <c r="HI88" t="e">
        <f>AND('Planilla_General_03-12-2012_9_3'!H1406,"AAAAAF7/udg=")</f>
        <v>#VALUE!</v>
      </c>
      <c r="HJ88" t="e">
        <f>AND('Planilla_General_03-12-2012_9_3'!I1406,"AAAAAF7/udk=")</f>
        <v>#VALUE!</v>
      </c>
      <c r="HK88" t="e">
        <f>AND('Planilla_General_03-12-2012_9_3'!J1406,"AAAAAF7/udo=")</f>
        <v>#VALUE!</v>
      </c>
      <c r="HL88" t="e">
        <f>AND('Planilla_General_03-12-2012_9_3'!K1406,"AAAAAF7/uds=")</f>
        <v>#VALUE!</v>
      </c>
      <c r="HM88" t="e">
        <f>AND('Planilla_General_03-12-2012_9_3'!L1406,"AAAAAF7/udw=")</f>
        <v>#VALUE!</v>
      </c>
      <c r="HN88" t="e">
        <f>AND('Planilla_General_03-12-2012_9_3'!M1406,"AAAAAF7/ud0=")</f>
        <v>#VALUE!</v>
      </c>
      <c r="HO88" t="e">
        <f>AND('Planilla_General_03-12-2012_9_3'!N1406,"AAAAAF7/ud4=")</f>
        <v>#VALUE!</v>
      </c>
      <c r="HP88" t="e">
        <f>AND('Planilla_General_03-12-2012_9_3'!O1406,"AAAAAF7/ud8=")</f>
        <v>#VALUE!</v>
      </c>
      <c r="HQ88">
        <f>IF('Planilla_General_03-12-2012_9_3'!1407:1407,"AAAAAF7/ueA=",0)</f>
        <v>0</v>
      </c>
      <c r="HR88" t="e">
        <f>AND('Planilla_General_03-12-2012_9_3'!A1407,"AAAAAF7/ueE=")</f>
        <v>#VALUE!</v>
      </c>
      <c r="HS88" t="e">
        <f>AND('Planilla_General_03-12-2012_9_3'!B1407,"AAAAAF7/ueI=")</f>
        <v>#VALUE!</v>
      </c>
      <c r="HT88" t="e">
        <f>AND('Planilla_General_03-12-2012_9_3'!C1407,"AAAAAF7/ueM=")</f>
        <v>#VALUE!</v>
      </c>
      <c r="HU88" t="e">
        <f>AND('Planilla_General_03-12-2012_9_3'!D1407,"AAAAAF7/ueQ=")</f>
        <v>#VALUE!</v>
      </c>
      <c r="HV88" t="e">
        <f>AND('Planilla_General_03-12-2012_9_3'!E1407,"AAAAAF7/ueU=")</f>
        <v>#VALUE!</v>
      </c>
      <c r="HW88" t="e">
        <f>AND('Planilla_General_03-12-2012_9_3'!F1407,"AAAAAF7/ueY=")</f>
        <v>#VALUE!</v>
      </c>
      <c r="HX88" t="e">
        <f>AND('Planilla_General_03-12-2012_9_3'!G1407,"AAAAAF7/uec=")</f>
        <v>#VALUE!</v>
      </c>
      <c r="HY88" t="e">
        <f>AND('Planilla_General_03-12-2012_9_3'!H1407,"AAAAAF7/ueg=")</f>
        <v>#VALUE!</v>
      </c>
      <c r="HZ88" t="e">
        <f>AND('Planilla_General_03-12-2012_9_3'!I1407,"AAAAAF7/uek=")</f>
        <v>#VALUE!</v>
      </c>
      <c r="IA88" t="e">
        <f>AND('Planilla_General_03-12-2012_9_3'!J1407,"AAAAAF7/ueo=")</f>
        <v>#VALUE!</v>
      </c>
      <c r="IB88" t="e">
        <f>AND('Planilla_General_03-12-2012_9_3'!K1407,"AAAAAF7/ues=")</f>
        <v>#VALUE!</v>
      </c>
      <c r="IC88" t="e">
        <f>AND('Planilla_General_03-12-2012_9_3'!L1407,"AAAAAF7/uew=")</f>
        <v>#VALUE!</v>
      </c>
      <c r="ID88" t="e">
        <f>AND('Planilla_General_03-12-2012_9_3'!M1407,"AAAAAF7/ue0=")</f>
        <v>#VALUE!</v>
      </c>
      <c r="IE88" t="e">
        <f>AND('Planilla_General_03-12-2012_9_3'!N1407,"AAAAAF7/ue4=")</f>
        <v>#VALUE!</v>
      </c>
      <c r="IF88" t="e">
        <f>AND('Planilla_General_03-12-2012_9_3'!O1407,"AAAAAF7/ue8=")</f>
        <v>#VALUE!</v>
      </c>
      <c r="IG88">
        <f>IF('Planilla_General_03-12-2012_9_3'!1408:1408,"AAAAAF7/ufA=",0)</f>
        <v>0</v>
      </c>
      <c r="IH88" t="e">
        <f>AND('Planilla_General_03-12-2012_9_3'!A1408,"AAAAAF7/ufE=")</f>
        <v>#VALUE!</v>
      </c>
      <c r="II88" t="e">
        <f>AND('Planilla_General_03-12-2012_9_3'!B1408,"AAAAAF7/ufI=")</f>
        <v>#VALUE!</v>
      </c>
      <c r="IJ88" t="e">
        <f>AND('Planilla_General_03-12-2012_9_3'!C1408,"AAAAAF7/ufM=")</f>
        <v>#VALUE!</v>
      </c>
      <c r="IK88" t="e">
        <f>AND('Planilla_General_03-12-2012_9_3'!D1408,"AAAAAF7/ufQ=")</f>
        <v>#VALUE!</v>
      </c>
      <c r="IL88" t="e">
        <f>AND('Planilla_General_03-12-2012_9_3'!E1408,"AAAAAF7/ufU=")</f>
        <v>#VALUE!</v>
      </c>
      <c r="IM88" t="e">
        <f>AND('Planilla_General_03-12-2012_9_3'!F1408,"AAAAAF7/ufY=")</f>
        <v>#VALUE!</v>
      </c>
      <c r="IN88" t="e">
        <f>AND('Planilla_General_03-12-2012_9_3'!G1408,"AAAAAF7/ufc=")</f>
        <v>#VALUE!</v>
      </c>
      <c r="IO88" t="e">
        <f>AND('Planilla_General_03-12-2012_9_3'!H1408,"AAAAAF7/ufg=")</f>
        <v>#VALUE!</v>
      </c>
      <c r="IP88" t="e">
        <f>AND('Planilla_General_03-12-2012_9_3'!I1408,"AAAAAF7/ufk=")</f>
        <v>#VALUE!</v>
      </c>
      <c r="IQ88" t="e">
        <f>AND('Planilla_General_03-12-2012_9_3'!J1408,"AAAAAF7/ufo=")</f>
        <v>#VALUE!</v>
      </c>
      <c r="IR88" t="e">
        <f>AND('Planilla_General_03-12-2012_9_3'!K1408,"AAAAAF7/ufs=")</f>
        <v>#VALUE!</v>
      </c>
      <c r="IS88" t="e">
        <f>AND('Planilla_General_03-12-2012_9_3'!L1408,"AAAAAF7/ufw=")</f>
        <v>#VALUE!</v>
      </c>
      <c r="IT88" t="e">
        <f>AND('Planilla_General_03-12-2012_9_3'!M1408,"AAAAAF7/uf0=")</f>
        <v>#VALUE!</v>
      </c>
      <c r="IU88" t="e">
        <f>AND('Planilla_General_03-12-2012_9_3'!N1408,"AAAAAF7/uf4=")</f>
        <v>#VALUE!</v>
      </c>
      <c r="IV88" t="e">
        <f>AND('Planilla_General_03-12-2012_9_3'!O1408,"AAAAAF7/uf8=")</f>
        <v>#VALUE!</v>
      </c>
    </row>
    <row r="89" spans="1:256" x14ac:dyDescent="0.25">
      <c r="A89" t="e">
        <f>IF('Planilla_General_03-12-2012_9_3'!1409:1409,"AAAAAHvHyQA=",0)</f>
        <v>#VALUE!</v>
      </c>
      <c r="B89" t="e">
        <f>AND('Planilla_General_03-12-2012_9_3'!A1409,"AAAAAHvHyQE=")</f>
        <v>#VALUE!</v>
      </c>
      <c r="C89" t="e">
        <f>AND('Planilla_General_03-12-2012_9_3'!B1409,"AAAAAHvHyQI=")</f>
        <v>#VALUE!</v>
      </c>
      <c r="D89" t="e">
        <f>AND('Planilla_General_03-12-2012_9_3'!C1409,"AAAAAHvHyQM=")</f>
        <v>#VALUE!</v>
      </c>
      <c r="E89" t="e">
        <f>AND('Planilla_General_03-12-2012_9_3'!D1409,"AAAAAHvHyQQ=")</f>
        <v>#VALUE!</v>
      </c>
      <c r="F89" t="e">
        <f>AND('Planilla_General_03-12-2012_9_3'!E1409,"AAAAAHvHyQU=")</f>
        <v>#VALUE!</v>
      </c>
      <c r="G89" t="e">
        <f>AND('Planilla_General_03-12-2012_9_3'!F1409,"AAAAAHvHyQY=")</f>
        <v>#VALUE!</v>
      </c>
      <c r="H89" t="e">
        <f>AND('Planilla_General_03-12-2012_9_3'!G1409,"AAAAAHvHyQc=")</f>
        <v>#VALUE!</v>
      </c>
      <c r="I89" t="e">
        <f>AND('Planilla_General_03-12-2012_9_3'!H1409,"AAAAAHvHyQg=")</f>
        <v>#VALUE!</v>
      </c>
      <c r="J89" t="e">
        <f>AND('Planilla_General_03-12-2012_9_3'!I1409,"AAAAAHvHyQk=")</f>
        <v>#VALUE!</v>
      </c>
      <c r="K89" t="e">
        <f>AND('Planilla_General_03-12-2012_9_3'!J1409,"AAAAAHvHyQo=")</f>
        <v>#VALUE!</v>
      </c>
      <c r="L89" t="e">
        <f>AND('Planilla_General_03-12-2012_9_3'!K1409,"AAAAAHvHyQs=")</f>
        <v>#VALUE!</v>
      </c>
      <c r="M89" t="e">
        <f>AND('Planilla_General_03-12-2012_9_3'!L1409,"AAAAAHvHyQw=")</f>
        <v>#VALUE!</v>
      </c>
      <c r="N89" t="e">
        <f>AND('Planilla_General_03-12-2012_9_3'!M1409,"AAAAAHvHyQ0=")</f>
        <v>#VALUE!</v>
      </c>
      <c r="O89" t="e">
        <f>AND('Planilla_General_03-12-2012_9_3'!N1409,"AAAAAHvHyQ4=")</f>
        <v>#VALUE!</v>
      </c>
      <c r="P89" t="e">
        <f>AND('Planilla_General_03-12-2012_9_3'!O1409,"AAAAAHvHyQ8=")</f>
        <v>#VALUE!</v>
      </c>
      <c r="Q89">
        <f>IF('Planilla_General_03-12-2012_9_3'!1410:1410,"AAAAAHvHyRA=",0)</f>
        <v>0</v>
      </c>
      <c r="R89" t="e">
        <f>AND('Planilla_General_03-12-2012_9_3'!A1410,"AAAAAHvHyRE=")</f>
        <v>#VALUE!</v>
      </c>
      <c r="S89" t="e">
        <f>AND('Planilla_General_03-12-2012_9_3'!B1410,"AAAAAHvHyRI=")</f>
        <v>#VALUE!</v>
      </c>
      <c r="T89" t="e">
        <f>AND('Planilla_General_03-12-2012_9_3'!C1410,"AAAAAHvHyRM=")</f>
        <v>#VALUE!</v>
      </c>
      <c r="U89" t="e">
        <f>AND('Planilla_General_03-12-2012_9_3'!D1410,"AAAAAHvHyRQ=")</f>
        <v>#VALUE!</v>
      </c>
      <c r="V89" t="e">
        <f>AND('Planilla_General_03-12-2012_9_3'!E1410,"AAAAAHvHyRU=")</f>
        <v>#VALUE!</v>
      </c>
      <c r="W89" t="e">
        <f>AND('Planilla_General_03-12-2012_9_3'!F1410,"AAAAAHvHyRY=")</f>
        <v>#VALUE!</v>
      </c>
      <c r="X89" t="e">
        <f>AND('Planilla_General_03-12-2012_9_3'!G1410,"AAAAAHvHyRc=")</f>
        <v>#VALUE!</v>
      </c>
      <c r="Y89" t="e">
        <f>AND('Planilla_General_03-12-2012_9_3'!H1410,"AAAAAHvHyRg=")</f>
        <v>#VALUE!</v>
      </c>
      <c r="Z89" t="e">
        <f>AND('Planilla_General_03-12-2012_9_3'!I1410,"AAAAAHvHyRk=")</f>
        <v>#VALUE!</v>
      </c>
      <c r="AA89" t="e">
        <f>AND('Planilla_General_03-12-2012_9_3'!J1410,"AAAAAHvHyRo=")</f>
        <v>#VALUE!</v>
      </c>
      <c r="AB89" t="e">
        <f>AND('Planilla_General_03-12-2012_9_3'!K1410,"AAAAAHvHyRs=")</f>
        <v>#VALUE!</v>
      </c>
      <c r="AC89" t="e">
        <f>AND('Planilla_General_03-12-2012_9_3'!L1410,"AAAAAHvHyRw=")</f>
        <v>#VALUE!</v>
      </c>
      <c r="AD89" t="e">
        <f>AND('Planilla_General_03-12-2012_9_3'!M1410,"AAAAAHvHyR0=")</f>
        <v>#VALUE!</v>
      </c>
      <c r="AE89" t="e">
        <f>AND('Planilla_General_03-12-2012_9_3'!N1410,"AAAAAHvHyR4=")</f>
        <v>#VALUE!</v>
      </c>
      <c r="AF89" t="e">
        <f>AND('Planilla_General_03-12-2012_9_3'!O1410,"AAAAAHvHyR8=")</f>
        <v>#VALUE!</v>
      </c>
      <c r="AG89">
        <f>IF('Planilla_General_03-12-2012_9_3'!1411:1411,"AAAAAHvHySA=",0)</f>
        <v>0</v>
      </c>
      <c r="AH89" t="e">
        <f>AND('Planilla_General_03-12-2012_9_3'!A1411,"AAAAAHvHySE=")</f>
        <v>#VALUE!</v>
      </c>
      <c r="AI89" t="e">
        <f>AND('Planilla_General_03-12-2012_9_3'!B1411,"AAAAAHvHySI=")</f>
        <v>#VALUE!</v>
      </c>
      <c r="AJ89" t="e">
        <f>AND('Planilla_General_03-12-2012_9_3'!C1411,"AAAAAHvHySM=")</f>
        <v>#VALUE!</v>
      </c>
      <c r="AK89" t="e">
        <f>AND('Planilla_General_03-12-2012_9_3'!D1411,"AAAAAHvHySQ=")</f>
        <v>#VALUE!</v>
      </c>
      <c r="AL89" t="e">
        <f>AND('Planilla_General_03-12-2012_9_3'!E1411,"AAAAAHvHySU=")</f>
        <v>#VALUE!</v>
      </c>
      <c r="AM89" t="e">
        <f>AND('Planilla_General_03-12-2012_9_3'!F1411,"AAAAAHvHySY=")</f>
        <v>#VALUE!</v>
      </c>
      <c r="AN89" t="e">
        <f>AND('Planilla_General_03-12-2012_9_3'!G1411,"AAAAAHvHySc=")</f>
        <v>#VALUE!</v>
      </c>
      <c r="AO89" t="e">
        <f>AND('Planilla_General_03-12-2012_9_3'!H1411,"AAAAAHvHySg=")</f>
        <v>#VALUE!</v>
      </c>
      <c r="AP89" t="e">
        <f>AND('Planilla_General_03-12-2012_9_3'!I1411,"AAAAAHvHySk=")</f>
        <v>#VALUE!</v>
      </c>
      <c r="AQ89" t="e">
        <f>AND('Planilla_General_03-12-2012_9_3'!J1411,"AAAAAHvHySo=")</f>
        <v>#VALUE!</v>
      </c>
      <c r="AR89" t="e">
        <f>AND('Planilla_General_03-12-2012_9_3'!K1411,"AAAAAHvHySs=")</f>
        <v>#VALUE!</v>
      </c>
      <c r="AS89" t="e">
        <f>AND('Planilla_General_03-12-2012_9_3'!L1411,"AAAAAHvHySw=")</f>
        <v>#VALUE!</v>
      </c>
      <c r="AT89" t="e">
        <f>AND('Planilla_General_03-12-2012_9_3'!M1411,"AAAAAHvHyS0=")</f>
        <v>#VALUE!</v>
      </c>
      <c r="AU89" t="e">
        <f>AND('Planilla_General_03-12-2012_9_3'!N1411,"AAAAAHvHyS4=")</f>
        <v>#VALUE!</v>
      </c>
      <c r="AV89" t="e">
        <f>AND('Planilla_General_03-12-2012_9_3'!O1411,"AAAAAHvHyS8=")</f>
        <v>#VALUE!</v>
      </c>
      <c r="AW89">
        <f>IF('Planilla_General_03-12-2012_9_3'!1412:1412,"AAAAAHvHyTA=",0)</f>
        <v>0</v>
      </c>
      <c r="AX89" t="e">
        <f>AND('Planilla_General_03-12-2012_9_3'!A1412,"AAAAAHvHyTE=")</f>
        <v>#VALUE!</v>
      </c>
      <c r="AY89" t="e">
        <f>AND('Planilla_General_03-12-2012_9_3'!B1412,"AAAAAHvHyTI=")</f>
        <v>#VALUE!</v>
      </c>
      <c r="AZ89" t="e">
        <f>AND('Planilla_General_03-12-2012_9_3'!C1412,"AAAAAHvHyTM=")</f>
        <v>#VALUE!</v>
      </c>
      <c r="BA89" t="e">
        <f>AND('Planilla_General_03-12-2012_9_3'!D1412,"AAAAAHvHyTQ=")</f>
        <v>#VALUE!</v>
      </c>
      <c r="BB89" t="e">
        <f>AND('Planilla_General_03-12-2012_9_3'!E1412,"AAAAAHvHyTU=")</f>
        <v>#VALUE!</v>
      </c>
      <c r="BC89" t="e">
        <f>AND('Planilla_General_03-12-2012_9_3'!F1412,"AAAAAHvHyTY=")</f>
        <v>#VALUE!</v>
      </c>
      <c r="BD89" t="e">
        <f>AND('Planilla_General_03-12-2012_9_3'!G1412,"AAAAAHvHyTc=")</f>
        <v>#VALUE!</v>
      </c>
      <c r="BE89" t="e">
        <f>AND('Planilla_General_03-12-2012_9_3'!H1412,"AAAAAHvHyTg=")</f>
        <v>#VALUE!</v>
      </c>
      <c r="BF89" t="e">
        <f>AND('Planilla_General_03-12-2012_9_3'!I1412,"AAAAAHvHyTk=")</f>
        <v>#VALUE!</v>
      </c>
      <c r="BG89" t="e">
        <f>AND('Planilla_General_03-12-2012_9_3'!J1412,"AAAAAHvHyTo=")</f>
        <v>#VALUE!</v>
      </c>
      <c r="BH89" t="e">
        <f>AND('Planilla_General_03-12-2012_9_3'!K1412,"AAAAAHvHyTs=")</f>
        <v>#VALUE!</v>
      </c>
      <c r="BI89" t="e">
        <f>AND('Planilla_General_03-12-2012_9_3'!L1412,"AAAAAHvHyTw=")</f>
        <v>#VALUE!</v>
      </c>
      <c r="BJ89" t="e">
        <f>AND('Planilla_General_03-12-2012_9_3'!M1412,"AAAAAHvHyT0=")</f>
        <v>#VALUE!</v>
      </c>
      <c r="BK89" t="e">
        <f>AND('Planilla_General_03-12-2012_9_3'!N1412,"AAAAAHvHyT4=")</f>
        <v>#VALUE!</v>
      </c>
      <c r="BL89" t="e">
        <f>AND('Planilla_General_03-12-2012_9_3'!O1412,"AAAAAHvHyT8=")</f>
        <v>#VALUE!</v>
      </c>
      <c r="BM89">
        <f>IF('Planilla_General_03-12-2012_9_3'!1413:1413,"AAAAAHvHyUA=",0)</f>
        <v>0</v>
      </c>
      <c r="BN89" t="e">
        <f>AND('Planilla_General_03-12-2012_9_3'!A1413,"AAAAAHvHyUE=")</f>
        <v>#VALUE!</v>
      </c>
      <c r="BO89" t="e">
        <f>AND('Planilla_General_03-12-2012_9_3'!B1413,"AAAAAHvHyUI=")</f>
        <v>#VALUE!</v>
      </c>
      <c r="BP89" t="e">
        <f>AND('Planilla_General_03-12-2012_9_3'!C1413,"AAAAAHvHyUM=")</f>
        <v>#VALUE!</v>
      </c>
      <c r="BQ89" t="e">
        <f>AND('Planilla_General_03-12-2012_9_3'!D1413,"AAAAAHvHyUQ=")</f>
        <v>#VALUE!</v>
      </c>
      <c r="BR89" t="e">
        <f>AND('Planilla_General_03-12-2012_9_3'!E1413,"AAAAAHvHyUU=")</f>
        <v>#VALUE!</v>
      </c>
      <c r="BS89" t="e">
        <f>AND('Planilla_General_03-12-2012_9_3'!F1413,"AAAAAHvHyUY=")</f>
        <v>#VALUE!</v>
      </c>
      <c r="BT89" t="e">
        <f>AND('Planilla_General_03-12-2012_9_3'!G1413,"AAAAAHvHyUc=")</f>
        <v>#VALUE!</v>
      </c>
      <c r="BU89" t="e">
        <f>AND('Planilla_General_03-12-2012_9_3'!H1413,"AAAAAHvHyUg=")</f>
        <v>#VALUE!</v>
      </c>
      <c r="BV89" t="e">
        <f>AND('Planilla_General_03-12-2012_9_3'!I1413,"AAAAAHvHyUk=")</f>
        <v>#VALUE!</v>
      </c>
      <c r="BW89" t="e">
        <f>AND('Planilla_General_03-12-2012_9_3'!J1413,"AAAAAHvHyUo=")</f>
        <v>#VALUE!</v>
      </c>
      <c r="BX89" t="e">
        <f>AND('Planilla_General_03-12-2012_9_3'!K1413,"AAAAAHvHyUs=")</f>
        <v>#VALUE!</v>
      </c>
      <c r="BY89" t="e">
        <f>AND('Planilla_General_03-12-2012_9_3'!L1413,"AAAAAHvHyUw=")</f>
        <v>#VALUE!</v>
      </c>
      <c r="BZ89" t="e">
        <f>AND('Planilla_General_03-12-2012_9_3'!M1413,"AAAAAHvHyU0=")</f>
        <v>#VALUE!</v>
      </c>
      <c r="CA89" t="e">
        <f>AND('Planilla_General_03-12-2012_9_3'!N1413,"AAAAAHvHyU4=")</f>
        <v>#VALUE!</v>
      </c>
      <c r="CB89" t="e">
        <f>AND('Planilla_General_03-12-2012_9_3'!O1413,"AAAAAHvHyU8=")</f>
        <v>#VALUE!</v>
      </c>
      <c r="CC89">
        <f>IF('Planilla_General_03-12-2012_9_3'!1414:1414,"AAAAAHvHyVA=",0)</f>
        <v>0</v>
      </c>
      <c r="CD89" t="e">
        <f>AND('Planilla_General_03-12-2012_9_3'!A1414,"AAAAAHvHyVE=")</f>
        <v>#VALUE!</v>
      </c>
      <c r="CE89" t="e">
        <f>AND('Planilla_General_03-12-2012_9_3'!B1414,"AAAAAHvHyVI=")</f>
        <v>#VALUE!</v>
      </c>
      <c r="CF89" t="e">
        <f>AND('Planilla_General_03-12-2012_9_3'!C1414,"AAAAAHvHyVM=")</f>
        <v>#VALUE!</v>
      </c>
      <c r="CG89" t="e">
        <f>AND('Planilla_General_03-12-2012_9_3'!D1414,"AAAAAHvHyVQ=")</f>
        <v>#VALUE!</v>
      </c>
      <c r="CH89" t="e">
        <f>AND('Planilla_General_03-12-2012_9_3'!E1414,"AAAAAHvHyVU=")</f>
        <v>#VALUE!</v>
      </c>
      <c r="CI89" t="e">
        <f>AND('Planilla_General_03-12-2012_9_3'!F1414,"AAAAAHvHyVY=")</f>
        <v>#VALUE!</v>
      </c>
      <c r="CJ89" t="e">
        <f>AND('Planilla_General_03-12-2012_9_3'!G1414,"AAAAAHvHyVc=")</f>
        <v>#VALUE!</v>
      </c>
      <c r="CK89" t="e">
        <f>AND('Planilla_General_03-12-2012_9_3'!H1414,"AAAAAHvHyVg=")</f>
        <v>#VALUE!</v>
      </c>
      <c r="CL89" t="e">
        <f>AND('Planilla_General_03-12-2012_9_3'!I1414,"AAAAAHvHyVk=")</f>
        <v>#VALUE!</v>
      </c>
      <c r="CM89" t="e">
        <f>AND('Planilla_General_03-12-2012_9_3'!J1414,"AAAAAHvHyVo=")</f>
        <v>#VALUE!</v>
      </c>
      <c r="CN89" t="e">
        <f>AND('Planilla_General_03-12-2012_9_3'!K1414,"AAAAAHvHyVs=")</f>
        <v>#VALUE!</v>
      </c>
      <c r="CO89" t="e">
        <f>AND('Planilla_General_03-12-2012_9_3'!L1414,"AAAAAHvHyVw=")</f>
        <v>#VALUE!</v>
      </c>
      <c r="CP89" t="e">
        <f>AND('Planilla_General_03-12-2012_9_3'!M1414,"AAAAAHvHyV0=")</f>
        <v>#VALUE!</v>
      </c>
      <c r="CQ89" t="e">
        <f>AND('Planilla_General_03-12-2012_9_3'!N1414,"AAAAAHvHyV4=")</f>
        <v>#VALUE!</v>
      </c>
      <c r="CR89" t="e">
        <f>AND('Planilla_General_03-12-2012_9_3'!O1414,"AAAAAHvHyV8=")</f>
        <v>#VALUE!</v>
      </c>
      <c r="CS89">
        <f>IF('Planilla_General_03-12-2012_9_3'!1415:1415,"AAAAAHvHyWA=",0)</f>
        <v>0</v>
      </c>
      <c r="CT89" t="e">
        <f>AND('Planilla_General_03-12-2012_9_3'!A1415,"AAAAAHvHyWE=")</f>
        <v>#VALUE!</v>
      </c>
      <c r="CU89" t="e">
        <f>AND('Planilla_General_03-12-2012_9_3'!B1415,"AAAAAHvHyWI=")</f>
        <v>#VALUE!</v>
      </c>
      <c r="CV89" t="e">
        <f>AND('Planilla_General_03-12-2012_9_3'!C1415,"AAAAAHvHyWM=")</f>
        <v>#VALUE!</v>
      </c>
      <c r="CW89" t="e">
        <f>AND('Planilla_General_03-12-2012_9_3'!D1415,"AAAAAHvHyWQ=")</f>
        <v>#VALUE!</v>
      </c>
      <c r="CX89" t="e">
        <f>AND('Planilla_General_03-12-2012_9_3'!E1415,"AAAAAHvHyWU=")</f>
        <v>#VALUE!</v>
      </c>
      <c r="CY89" t="e">
        <f>AND('Planilla_General_03-12-2012_9_3'!F1415,"AAAAAHvHyWY=")</f>
        <v>#VALUE!</v>
      </c>
      <c r="CZ89" t="e">
        <f>AND('Planilla_General_03-12-2012_9_3'!G1415,"AAAAAHvHyWc=")</f>
        <v>#VALUE!</v>
      </c>
      <c r="DA89" t="e">
        <f>AND('Planilla_General_03-12-2012_9_3'!H1415,"AAAAAHvHyWg=")</f>
        <v>#VALUE!</v>
      </c>
      <c r="DB89" t="e">
        <f>AND('Planilla_General_03-12-2012_9_3'!I1415,"AAAAAHvHyWk=")</f>
        <v>#VALUE!</v>
      </c>
      <c r="DC89" t="e">
        <f>AND('Planilla_General_03-12-2012_9_3'!J1415,"AAAAAHvHyWo=")</f>
        <v>#VALUE!</v>
      </c>
      <c r="DD89" t="e">
        <f>AND('Planilla_General_03-12-2012_9_3'!K1415,"AAAAAHvHyWs=")</f>
        <v>#VALUE!</v>
      </c>
      <c r="DE89" t="e">
        <f>AND('Planilla_General_03-12-2012_9_3'!L1415,"AAAAAHvHyWw=")</f>
        <v>#VALUE!</v>
      </c>
      <c r="DF89" t="e">
        <f>AND('Planilla_General_03-12-2012_9_3'!M1415,"AAAAAHvHyW0=")</f>
        <v>#VALUE!</v>
      </c>
      <c r="DG89" t="e">
        <f>AND('Planilla_General_03-12-2012_9_3'!N1415,"AAAAAHvHyW4=")</f>
        <v>#VALUE!</v>
      </c>
      <c r="DH89" t="e">
        <f>AND('Planilla_General_03-12-2012_9_3'!O1415,"AAAAAHvHyW8=")</f>
        <v>#VALUE!</v>
      </c>
      <c r="DI89">
        <f>IF('Planilla_General_03-12-2012_9_3'!1416:1416,"AAAAAHvHyXA=",0)</f>
        <v>0</v>
      </c>
      <c r="DJ89" t="e">
        <f>AND('Planilla_General_03-12-2012_9_3'!A1416,"AAAAAHvHyXE=")</f>
        <v>#VALUE!</v>
      </c>
      <c r="DK89" t="e">
        <f>AND('Planilla_General_03-12-2012_9_3'!B1416,"AAAAAHvHyXI=")</f>
        <v>#VALUE!</v>
      </c>
      <c r="DL89" t="e">
        <f>AND('Planilla_General_03-12-2012_9_3'!C1416,"AAAAAHvHyXM=")</f>
        <v>#VALUE!</v>
      </c>
      <c r="DM89" t="e">
        <f>AND('Planilla_General_03-12-2012_9_3'!D1416,"AAAAAHvHyXQ=")</f>
        <v>#VALUE!</v>
      </c>
      <c r="DN89" t="e">
        <f>AND('Planilla_General_03-12-2012_9_3'!E1416,"AAAAAHvHyXU=")</f>
        <v>#VALUE!</v>
      </c>
      <c r="DO89" t="e">
        <f>AND('Planilla_General_03-12-2012_9_3'!F1416,"AAAAAHvHyXY=")</f>
        <v>#VALUE!</v>
      </c>
      <c r="DP89" t="e">
        <f>AND('Planilla_General_03-12-2012_9_3'!G1416,"AAAAAHvHyXc=")</f>
        <v>#VALUE!</v>
      </c>
      <c r="DQ89" t="e">
        <f>AND('Planilla_General_03-12-2012_9_3'!H1416,"AAAAAHvHyXg=")</f>
        <v>#VALUE!</v>
      </c>
      <c r="DR89" t="e">
        <f>AND('Planilla_General_03-12-2012_9_3'!I1416,"AAAAAHvHyXk=")</f>
        <v>#VALUE!</v>
      </c>
      <c r="DS89" t="e">
        <f>AND('Planilla_General_03-12-2012_9_3'!J1416,"AAAAAHvHyXo=")</f>
        <v>#VALUE!</v>
      </c>
      <c r="DT89" t="e">
        <f>AND('Planilla_General_03-12-2012_9_3'!K1416,"AAAAAHvHyXs=")</f>
        <v>#VALUE!</v>
      </c>
      <c r="DU89" t="e">
        <f>AND('Planilla_General_03-12-2012_9_3'!L1416,"AAAAAHvHyXw=")</f>
        <v>#VALUE!</v>
      </c>
      <c r="DV89" t="e">
        <f>AND('Planilla_General_03-12-2012_9_3'!M1416,"AAAAAHvHyX0=")</f>
        <v>#VALUE!</v>
      </c>
      <c r="DW89" t="e">
        <f>AND('Planilla_General_03-12-2012_9_3'!N1416,"AAAAAHvHyX4=")</f>
        <v>#VALUE!</v>
      </c>
      <c r="DX89" t="e">
        <f>AND('Planilla_General_03-12-2012_9_3'!O1416,"AAAAAHvHyX8=")</f>
        <v>#VALUE!</v>
      </c>
      <c r="DY89">
        <f>IF('Planilla_General_03-12-2012_9_3'!1417:1417,"AAAAAHvHyYA=",0)</f>
        <v>0</v>
      </c>
      <c r="DZ89" t="e">
        <f>AND('Planilla_General_03-12-2012_9_3'!A1417,"AAAAAHvHyYE=")</f>
        <v>#VALUE!</v>
      </c>
      <c r="EA89" t="e">
        <f>AND('Planilla_General_03-12-2012_9_3'!B1417,"AAAAAHvHyYI=")</f>
        <v>#VALUE!</v>
      </c>
      <c r="EB89" t="e">
        <f>AND('Planilla_General_03-12-2012_9_3'!C1417,"AAAAAHvHyYM=")</f>
        <v>#VALUE!</v>
      </c>
      <c r="EC89" t="e">
        <f>AND('Planilla_General_03-12-2012_9_3'!D1417,"AAAAAHvHyYQ=")</f>
        <v>#VALUE!</v>
      </c>
      <c r="ED89" t="e">
        <f>AND('Planilla_General_03-12-2012_9_3'!E1417,"AAAAAHvHyYU=")</f>
        <v>#VALUE!</v>
      </c>
      <c r="EE89" t="e">
        <f>AND('Planilla_General_03-12-2012_9_3'!F1417,"AAAAAHvHyYY=")</f>
        <v>#VALUE!</v>
      </c>
      <c r="EF89" t="e">
        <f>AND('Planilla_General_03-12-2012_9_3'!G1417,"AAAAAHvHyYc=")</f>
        <v>#VALUE!</v>
      </c>
      <c r="EG89" t="e">
        <f>AND('Planilla_General_03-12-2012_9_3'!H1417,"AAAAAHvHyYg=")</f>
        <v>#VALUE!</v>
      </c>
      <c r="EH89" t="e">
        <f>AND('Planilla_General_03-12-2012_9_3'!I1417,"AAAAAHvHyYk=")</f>
        <v>#VALUE!</v>
      </c>
      <c r="EI89" t="e">
        <f>AND('Planilla_General_03-12-2012_9_3'!J1417,"AAAAAHvHyYo=")</f>
        <v>#VALUE!</v>
      </c>
      <c r="EJ89" t="e">
        <f>AND('Planilla_General_03-12-2012_9_3'!K1417,"AAAAAHvHyYs=")</f>
        <v>#VALUE!</v>
      </c>
      <c r="EK89" t="e">
        <f>AND('Planilla_General_03-12-2012_9_3'!L1417,"AAAAAHvHyYw=")</f>
        <v>#VALUE!</v>
      </c>
      <c r="EL89" t="e">
        <f>AND('Planilla_General_03-12-2012_9_3'!M1417,"AAAAAHvHyY0=")</f>
        <v>#VALUE!</v>
      </c>
      <c r="EM89" t="e">
        <f>AND('Planilla_General_03-12-2012_9_3'!N1417,"AAAAAHvHyY4=")</f>
        <v>#VALUE!</v>
      </c>
      <c r="EN89" t="e">
        <f>AND('Planilla_General_03-12-2012_9_3'!O1417,"AAAAAHvHyY8=")</f>
        <v>#VALUE!</v>
      </c>
      <c r="EO89">
        <f>IF('Planilla_General_03-12-2012_9_3'!1418:1418,"AAAAAHvHyZA=",0)</f>
        <v>0</v>
      </c>
      <c r="EP89" t="e">
        <f>AND('Planilla_General_03-12-2012_9_3'!A1418,"AAAAAHvHyZE=")</f>
        <v>#VALUE!</v>
      </c>
      <c r="EQ89" t="e">
        <f>AND('Planilla_General_03-12-2012_9_3'!B1418,"AAAAAHvHyZI=")</f>
        <v>#VALUE!</v>
      </c>
      <c r="ER89" t="e">
        <f>AND('Planilla_General_03-12-2012_9_3'!C1418,"AAAAAHvHyZM=")</f>
        <v>#VALUE!</v>
      </c>
      <c r="ES89" t="e">
        <f>AND('Planilla_General_03-12-2012_9_3'!D1418,"AAAAAHvHyZQ=")</f>
        <v>#VALUE!</v>
      </c>
      <c r="ET89" t="e">
        <f>AND('Planilla_General_03-12-2012_9_3'!E1418,"AAAAAHvHyZU=")</f>
        <v>#VALUE!</v>
      </c>
      <c r="EU89" t="e">
        <f>AND('Planilla_General_03-12-2012_9_3'!F1418,"AAAAAHvHyZY=")</f>
        <v>#VALUE!</v>
      </c>
      <c r="EV89" t="e">
        <f>AND('Planilla_General_03-12-2012_9_3'!G1418,"AAAAAHvHyZc=")</f>
        <v>#VALUE!</v>
      </c>
      <c r="EW89" t="e">
        <f>AND('Planilla_General_03-12-2012_9_3'!H1418,"AAAAAHvHyZg=")</f>
        <v>#VALUE!</v>
      </c>
      <c r="EX89" t="e">
        <f>AND('Planilla_General_03-12-2012_9_3'!I1418,"AAAAAHvHyZk=")</f>
        <v>#VALUE!</v>
      </c>
      <c r="EY89" t="e">
        <f>AND('Planilla_General_03-12-2012_9_3'!J1418,"AAAAAHvHyZo=")</f>
        <v>#VALUE!</v>
      </c>
      <c r="EZ89" t="e">
        <f>AND('Planilla_General_03-12-2012_9_3'!K1418,"AAAAAHvHyZs=")</f>
        <v>#VALUE!</v>
      </c>
      <c r="FA89" t="e">
        <f>AND('Planilla_General_03-12-2012_9_3'!L1418,"AAAAAHvHyZw=")</f>
        <v>#VALUE!</v>
      </c>
      <c r="FB89" t="e">
        <f>AND('Planilla_General_03-12-2012_9_3'!M1418,"AAAAAHvHyZ0=")</f>
        <v>#VALUE!</v>
      </c>
      <c r="FC89" t="e">
        <f>AND('Planilla_General_03-12-2012_9_3'!N1418,"AAAAAHvHyZ4=")</f>
        <v>#VALUE!</v>
      </c>
      <c r="FD89" t="e">
        <f>AND('Planilla_General_03-12-2012_9_3'!O1418,"AAAAAHvHyZ8=")</f>
        <v>#VALUE!</v>
      </c>
      <c r="FE89">
        <f>IF('Planilla_General_03-12-2012_9_3'!1419:1419,"AAAAAHvHyaA=",0)</f>
        <v>0</v>
      </c>
      <c r="FF89" t="e">
        <f>AND('Planilla_General_03-12-2012_9_3'!A1419,"AAAAAHvHyaE=")</f>
        <v>#VALUE!</v>
      </c>
      <c r="FG89" t="e">
        <f>AND('Planilla_General_03-12-2012_9_3'!B1419,"AAAAAHvHyaI=")</f>
        <v>#VALUE!</v>
      </c>
      <c r="FH89" t="e">
        <f>AND('Planilla_General_03-12-2012_9_3'!C1419,"AAAAAHvHyaM=")</f>
        <v>#VALUE!</v>
      </c>
      <c r="FI89" t="e">
        <f>AND('Planilla_General_03-12-2012_9_3'!D1419,"AAAAAHvHyaQ=")</f>
        <v>#VALUE!</v>
      </c>
      <c r="FJ89" t="e">
        <f>AND('Planilla_General_03-12-2012_9_3'!E1419,"AAAAAHvHyaU=")</f>
        <v>#VALUE!</v>
      </c>
      <c r="FK89" t="e">
        <f>AND('Planilla_General_03-12-2012_9_3'!F1419,"AAAAAHvHyaY=")</f>
        <v>#VALUE!</v>
      </c>
      <c r="FL89" t="e">
        <f>AND('Planilla_General_03-12-2012_9_3'!G1419,"AAAAAHvHyac=")</f>
        <v>#VALUE!</v>
      </c>
      <c r="FM89" t="e">
        <f>AND('Planilla_General_03-12-2012_9_3'!H1419,"AAAAAHvHyag=")</f>
        <v>#VALUE!</v>
      </c>
      <c r="FN89" t="e">
        <f>AND('Planilla_General_03-12-2012_9_3'!I1419,"AAAAAHvHyak=")</f>
        <v>#VALUE!</v>
      </c>
      <c r="FO89" t="e">
        <f>AND('Planilla_General_03-12-2012_9_3'!J1419,"AAAAAHvHyao=")</f>
        <v>#VALUE!</v>
      </c>
      <c r="FP89" t="e">
        <f>AND('Planilla_General_03-12-2012_9_3'!K1419,"AAAAAHvHyas=")</f>
        <v>#VALUE!</v>
      </c>
      <c r="FQ89" t="e">
        <f>AND('Planilla_General_03-12-2012_9_3'!L1419,"AAAAAHvHyaw=")</f>
        <v>#VALUE!</v>
      </c>
      <c r="FR89" t="e">
        <f>AND('Planilla_General_03-12-2012_9_3'!M1419,"AAAAAHvHya0=")</f>
        <v>#VALUE!</v>
      </c>
      <c r="FS89" t="e">
        <f>AND('Planilla_General_03-12-2012_9_3'!N1419,"AAAAAHvHya4=")</f>
        <v>#VALUE!</v>
      </c>
      <c r="FT89" t="e">
        <f>AND('Planilla_General_03-12-2012_9_3'!O1419,"AAAAAHvHya8=")</f>
        <v>#VALUE!</v>
      </c>
      <c r="FU89">
        <f>IF('Planilla_General_03-12-2012_9_3'!1420:1420,"AAAAAHvHybA=",0)</f>
        <v>0</v>
      </c>
      <c r="FV89" t="e">
        <f>AND('Planilla_General_03-12-2012_9_3'!A1420,"AAAAAHvHybE=")</f>
        <v>#VALUE!</v>
      </c>
      <c r="FW89" t="e">
        <f>AND('Planilla_General_03-12-2012_9_3'!B1420,"AAAAAHvHybI=")</f>
        <v>#VALUE!</v>
      </c>
      <c r="FX89" t="e">
        <f>AND('Planilla_General_03-12-2012_9_3'!C1420,"AAAAAHvHybM=")</f>
        <v>#VALUE!</v>
      </c>
      <c r="FY89" t="e">
        <f>AND('Planilla_General_03-12-2012_9_3'!D1420,"AAAAAHvHybQ=")</f>
        <v>#VALUE!</v>
      </c>
      <c r="FZ89" t="e">
        <f>AND('Planilla_General_03-12-2012_9_3'!E1420,"AAAAAHvHybU=")</f>
        <v>#VALUE!</v>
      </c>
      <c r="GA89" t="e">
        <f>AND('Planilla_General_03-12-2012_9_3'!F1420,"AAAAAHvHybY=")</f>
        <v>#VALUE!</v>
      </c>
      <c r="GB89" t="e">
        <f>AND('Planilla_General_03-12-2012_9_3'!G1420,"AAAAAHvHybc=")</f>
        <v>#VALUE!</v>
      </c>
      <c r="GC89" t="e">
        <f>AND('Planilla_General_03-12-2012_9_3'!H1420,"AAAAAHvHybg=")</f>
        <v>#VALUE!</v>
      </c>
      <c r="GD89" t="e">
        <f>AND('Planilla_General_03-12-2012_9_3'!I1420,"AAAAAHvHybk=")</f>
        <v>#VALUE!</v>
      </c>
      <c r="GE89" t="e">
        <f>AND('Planilla_General_03-12-2012_9_3'!J1420,"AAAAAHvHybo=")</f>
        <v>#VALUE!</v>
      </c>
      <c r="GF89" t="e">
        <f>AND('Planilla_General_03-12-2012_9_3'!K1420,"AAAAAHvHybs=")</f>
        <v>#VALUE!</v>
      </c>
      <c r="GG89" t="e">
        <f>AND('Planilla_General_03-12-2012_9_3'!L1420,"AAAAAHvHybw=")</f>
        <v>#VALUE!</v>
      </c>
      <c r="GH89" t="e">
        <f>AND('Planilla_General_03-12-2012_9_3'!M1420,"AAAAAHvHyb0=")</f>
        <v>#VALUE!</v>
      </c>
      <c r="GI89" t="e">
        <f>AND('Planilla_General_03-12-2012_9_3'!N1420,"AAAAAHvHyb4=")</f>
        <v>#VALUE!</v>
      </c>
      <c r="GJ89" t="e">
        <f>AND('Planilla_General_03-12-2012_9_3'!O1420,"AAAAAHvHyb8=")</f>
        <v>#VALUE!</v>
      </c>
      <c r="GK89">
        <f>IF('Planilla_General_03-12-2012_9_3'!1421:1421,"AAAAAHvHycA=",0)</f>
        <v>0</v>
      </c>
      <c r="GL89" t="e">
        <f>AND('Planilla_General_03-12-2012_9_3'!A1421,"AAAAAHvHycE=")</f>
        <v>#VALUE!</v>
      </c>
      <c r="GM89" t="e">
        <f>AND('Planilla_General_03-12-2012_9_3'!B1421,"AAAAAHvHycI=")</f>
        <v>#VALUE!</v>
      </c>
      <c r="GN89" t="e">
        <f>AND('Planilla_General_03-12-2012_9_3'!C1421,"AAAAAHvHycM=")</f>
        <v>#VALUE!</v>
      </c>
      <c r="GO89" t="e">
        <f>AND('Planilla_General_03-12-2012_9_3'!D1421,"AAAAAHvHycQ=")</f>
        <v>#VALUE!</v>
      </c>
      <c r="GP89" t="e">
        <f>AND('Planilla_General_03-12-2012_9_3'!E1421,"AAAAAHvHycU=")</f>
        <v>#VALUE!</v>
      </c>
      <c r="GQ89" t="e">
        <f>AND('Planilla_General_03-12-2012_9_3'!F1421,"AAAAAHvHycY=")</f>
        <v>#VALUE!</v>
      </c>
      <c r="GR89" t="e">
        <f>AND('Planilla_General_03-12-2012_9_3'!G1421,"AAAAAHvHycc=")</f>
        <v>#VALUE!</v>
      </c>
      <c r="GS89" t="e">
        <f>AND('Planilla_General_03-12-2012_9_3'!H1421,"AAAAAHvHycg=")</f>
        <v>#VALUE!</v>
      </c>
      <c r="GT89" t="e">
        <f>AND('Planilla_General_03-12-2012_9_3'!I1421,"AAAAAHvHyck=")</f>
        <v>#VALUE!</v>
      </c>
      <c r="GU89" t="e">
        <f>AND('Planilla_General_03-12-2012_9_3'!J1421,"AAAAAHvHyco=")</f>
        <v>#VALUE!</v>
      </c>
      <c r="GV89" t="e">
        <f>AND('Planilla_General_03-12-2012_9_3'!K1421,"AAAAAHvHycs=")</f>
        <v>#VALUE!</v>
      </c>
      <c r="GW89" t="e">
        <f>AND('Planilla_General_03-12-2012_9_3'!L1421,"AAAAAHvHycw=")</f>
        <v>#VALUE!</v>
      </c>
      <c r="GX89" t="e">
        <f>AND('Planilla_General_03-12-2012_9_3'!M1421,"AAAAAHvHyc0=")</f>
        <v>#VALUE!</v>
      </c>
      <c r="GY89" t="e">
        <f>AND('Planilla_General_03-12-2012_9_3'!N1421,"AAAAAHvHyc4=")</f>
        <v>#VALUE!</v>
      </c>
      <c r="GZ89" t="e">
        <f>AND('Planilla_General_03-12-2012_9_3'!O1421,"AAAAAHvHyc8=")</f>
        <v>#VALUE!</v>
      </c>
      <c r="HA89">
        <f>IF('Planilla_General_03-12-2012_9_3'!1422:1422,"AAAAAHvHydA=",0)</f>
        <v>0</v>
      </c>
      <c r="HB89" t="e">
        <f>AND('Planilla_General_03-12-2012_9_3'!A1422,"AAAAAHvHydE=")</f>
        <v>#VALUE!</v>
      </c>
      <c r="HC89" t="e">
        <f>AND('Planilla_General_03-12-2012_9_3'!B1422,"AAAAAHvHydI=")</f>
        <v>#VALUE!</v>
      </c>
      <c r="HD89" t="e">
        <f>AND('Planilla_General_03-12-2012_9_3'!C1422,"AAAAAHvHydM=")</f>
        <v>#VALUE!</v>
      </c>
      <c r="HE89" t="e">
        <f>AND('Planilla_General_03-12-2012_9_3'!D1422,"AAAAAHvHydQ=")</f>
        <v>#VALUE!</v>
      </c>
      <c r="HF89" t="e">
        <f>AND('Planilla_General_03-12-2012_9_3'!E1422,"AAAAAHvHydU=")</f>
        <v>#VALUE!</v>
      </c>
      <c r="HG89" t="e">
        <f>AND('Planilla_General_03-12-2012_9_3'!F1422,"AAAAAHvHydY=")</f>
        <v>#VALUE!</v>
      </c>
      <c r="HH89" t="e">
        <f>AND('Planilla_General_03-12-2012_9_3'!G1422,"AAAAAHvHydc=")</f>
        <v>#VALUE!</v>
      </c>
      <c r="HI89" t="e">
        <f>AND('Planilla_General_03-12-2012_9_3'!H1422,"AAAAAHvHydg=")</f>
        <v>#VALUE!</v>
      </c>
      <c r="HJ89" t="e">
        <f>AND('Planilla_General_03-12-2012_9_3'!I1422,"AAAAAHvHydk=")</f>
        <v>#VALUE!</v>
      </c>
      <c r="HK89" t="e">
        <f>AND('Planilla_General_03-12-2012_9_3'!J1422,"AAAAAHvHydo=")</f>
        <v>#VALUE!</v>
      </c>
      <c r="HL89" t="e">
        <f>AND('Planilla_General_03-12-2012_9_3'!K1422,"AAAAAHvHyds=")</f>
        <v>#VALUE!</v>
      </c>
      <c r="HM89" t="e">
        <f>AND('Planilla_General_03-12-2012_9_3'!L1422,"AAAAAHvHydw=")</f>
        <v>#VALUE!</v>
      </c>
      <c r="HN89" t="e">
        <f>AND('Planilla_General_03-12-2012_9_3'!M1422,"AAAAAHvHyd0=")</f>
        <v>#VALUE!</v>
      </c>
      <c r="HO89" t="e">
        <f>AND('Planilla_General_03-12-2012_9_3'!N1422,"AAAAAHvHyd4=")</f>
        <v>#VALUE!</v>
      </c>
      <c r="HP89" t="e">
        <f>AND('Planilla_General_03-12-2012_9_3'!O1422,"AAAAAHvHyd8=")</f>
        <v>#VALUE!</v>
      </c>
      <c r="HQ89">
        <f>IF('Planilla_General_03-12-2012_9_3'!1423:1423,"AAAAAHvHyeA=",0)</f>
        <v>0</v>
      </c>
      <c r="HR89" t="e">
        <f>AND('Planilla_General_03-12-2012_9_3'!A1423,"AAAAAHvHyeE=")</f>
        <v>#VALUE!</v>
      </c>
      <c r="HS89" t="e">
        <f>AND('Planilla_General_03-12-2012_9_3'!B1423,"AAAAAHvHyeI=")</f>
        <v>#VALUE!</v>
      </c>
      <c r="HT89" t="e">
        <f>AND('Planilla_General_03-12-2012_9_3'!C1423,"AAAAAHvHyeM=")</f>
        <v>#VALUE!</v>
      </c>
      <c r="HU89" t="e">
        <f>AND('Planilla_General_03-12-2012_9_3'!D1423,"AAAAAHvHyeQ=")</f>
        <v>#VALUE!</v>
      </c>
      <c r="HV89" t="e">
        <f>AND('Planilla_General_03-12-2012_9_3'!E1423,"AAAAAHvHyeU=")</f>
        <v>#VALUE!</v>
      </c>
      <c r="HW89" t="e">
        <f>AND('Planilla_General_03-12-2012_9_3'!F1423,"AAAAAHvHyeY=")</f>
        <v>#VALUE!</v>
      </c>
      <c r="HX89" t="e">
        <f>AND('Planilla_General_03-12-2012_9_3'!G1423,"AAAAAHvHyec=")</f>
        <v>#VALUE!</v>
      </c>
      <c r="HY89" t="e">
        <f>AND('Planilla_General_03-12-2012_9_3'!H1423,"AAAAAHvHyeg=")</f>
        <v>#VALUE!</v>
      </c>
      <c r="HZ89" t="e">
        <f>AND('Planilla_General_03-12-2012_9_3'!I1423,"AAAAAHvHyek=")</f>
        <v>#VALUE!</v>
      </c>
      <c r="IA89" t="e">
        <f>AND('Planilla_General_03-12-2012_9_3'!J1423,"AAAAAHvHyeo=")</f>
        <v>#VALUE!</v>
      </c>
      <c r="IB89" t="e">
        <f>AND('Planilla_General_03-12-2012_9_3'!K1423,"AAAAAHvHyes=")</f>
        <v>#VALUE!</v>
      </c>
      <c r="IC89" t="e">
        <f>AND('Planilla_General_03-12-2012_9_3'!L1423,"AAAAAHvHyew=")</f>
        <v>#VALUE!</v>
      </c>
      <c r="ID89" t="e">
        <f>AND('Planilla_General_03-12-2012_9_3'!M1423,"AAAAAHvHye0=")</f>
        <v>#VALUE!</v>
      </c>
      <c r="IE89" t="e">
        <f>AND('Planilla_General_03-12-2012_9_3'!N1423,"AAAAAHvHye4=")</f>
        <v>#VALUE!</v>
      </c>
      <c r="IF89" t="e">
        <f>AND('Planilla_General_03-12-2012_9_3'!O1423,"AAAAAHvHye8=")</f>
        <v>#VALUE!</v>
      </c>
      <c r="IG89">
        <f>IF('Planilla_General_03-12-2012_9_3'!1424:1424,"AAAAAHvHyfA=",0)</f>
        <v>0</v>
      </c>
      <c r="IH89" t="e">
        <f>AND('Planilla_General_03-12-2012_9_3'!A1424,"AAAAAHvHyfE=")</f>
        <v>#VALUE!</v>
      </c>
      <c r="II89" t="e">
        <f>AND('Planilla_General_03-12-2012_9_3'!B1424,"AAAAAHvHyfI=")</f>
        <v>#VALUE!</v>
      </c>
      <c r="IJ89" t="e">
        <f>AND('Planilla_General_03-12-2012_9_3'!C1424,"AAAAAHvHyfM=")</f>
        <v>#VALUE!</v>
      </c>
      <c r="IK89" t="e">
        <f>AND('Planilla_General_03-12-2012_9_3'!D1424,"AAAAAHvHyfQ=")</f>
        <v>#VALUE!</v>
      </c>
      <c r="IL89" t="e">
        <f>AND('Planilla_General_03-12-2012_9_3'!E1424,"AAAAAHvHyfU=")</f>
        <v>#VALUE!</v>
      </c>
      <c r="IM89" t="e">
        <f>AND('Planilla_General_03-12-2012_9_3'!F1424,"AAAAAHvHyfY=")</f>
        <v>#VALUE!</v>
      </c>
      <c r="IN89" t="e">
        <f>AND('Planilla_General_03-12-2012_9_3'!G1424,"AAAAAHvHyfc=")</f>
        <v>#VALUE!</v>
      </c>
      <c r="IO89" t="e">
        <f>AND('Planilla_General_03-12-2012_9_3'!H1424,"AAAAAHvHyfg=")</f>
        <v>#VALUE!</v>
      </c>
      <c r="IP89" t="e">
        <f>AND('Planilla_General_03-12-2012_9_3'!I1424,"AAAAAHvHyfk=")</f>
        <v>#VALUE!</v>
      </c>
      <c r="IQ89" t="e">
        <f>AND('Planilla_General_03-12-2012_9_3'!J1424,"AAAAAHvHyfo=")</f>
        <v>#VALUE!</v>
      </c>
      <c r="IR89" t="e">
        <f>AND('Planilla_General_03-12-2012_9_3'!K1424,"AAAAAHvHyfs=")</f>
        <v>#VALUE!</v>
      </c>
      <c r="IS89" t="e">
        <f>AND('Planilla_General_03-12-2012_9_3'!L1424,"AAAAAHvHyfw=")</f>
        <v>#VALUE!</v>
      </c>
      <c r="IT89" t="e">
        <f>AND('Planilla_General_03-12-2012_9_3'!M1424,"AAAAAHvHyf0=")</f>
        <v>#VALUE!</v>
      </c>
      <c r="IU89" t="e">
        <f>AND('Planilla_General_03-12-2012_9_3'!N1424,"AAAAAHvHyf4=")</f>
        <v>#VALUE!</v>
      </c>
      <c r="IV89" t="e">
        <f>AND('Planilla_General_03-12-2012_9_3'!O1424,"AAAAAHvHyf8=")</f>
        <v>#VALUE!</v>
      </c>
    </row>
    <row r="90" spans="1:256" x14ac:dyDescent="0.25">
      <c r="A90" t="e">
        <f>IF('Planilla_General_03-12-2012_9_3'!1425:1425,"AAAAAH329gA=",0)</f>
        <v>#VALUE!</v>
      </c>
      <c r="B90" t="e">
        <f>AND('Planilla_General_03-12-2012_9_3'!A1425,"AAAAAH329gE=")</f>
        <v>#VALUE!</v>
      </c>
      <c r="C90" t="e">
        <f>AND('Planilla_General_03-12-2012_9_3'!B1425,"AAAAAH329gI=")</f>
        <v>#VALUE!</v>
      </c>
      <c r="D90" t="e">
        <f>AND('Planilla_General_03-12-2012_9_3'!C1425,"AAAAAH329gM=")</f>
        <v>#VALUE!</v>
      </c>
      <c r="E90" t="e">
        <f>AND('Planilla_General_03-12-2012_9_3'!D1425,"AAAAAH329gQ=")</f>
        <v>#VALUE!</v>
      </c>
      <c r="F90" t="e">
        <f>AND('Planilla_General_03-12-2012_9_3'!E1425,"AAAAAH329gU=")</f>
        <v>#VALUE!</v>
      </c>
      <c r="G90" t="e">
        <f>AND('Planilla_General_03-12-2012_9_3'!F1425,"AAAAAH329gY=")</f>
        <v>#VALUE!</v>
      </c>
      <c r="H90" t="e">
        <f>AND('Planilla_General_03-12-2012_9_3'!G1425,"AAAAAH329gc=")</f>
        <v>#VALUE!</v>
      </c>
      <c r="I90" t="e">
        <f>AND('Planilla_General_03-12-2012_9_3'!H1425,"AAAAAH329gg=")</f>
        <v>#VALUE!</v>
      </c>
      <c r="J90" t="e">
        <f>AND('Planilla_General_03-12-2012_9_3'!I1425,"AAAAAH329gk=")</f>
        <v>#VALUE!</v>
      </c>
      <c r="K90" t="e">
        <f>AND('Planilla_General_03-12-2012_9_3'!J1425,"AAAAAH329go=")</f>
        <v>#VALUE!</v>
      </c>
      <c r="L90" t="e">
        <f>AND('Planilla_General_03-12-2012_9_3'!K1425,"AAAAAH329gs=")</f>
        <v>#VALUE!</v>
      </c>
      <c r="M90" t="e">
        <f>AND('Planilla_General_03-12-2012_9_3'!L1425,"AAAAAH329gw=")</f>
        <v>#VALUE!</v>
      </c>
      <c r="N90" t="e">
        <f>AND('Planilla_General_03-12-2012_9_3'!M1425,"AAAAAH329g0=")</f>
        <v>#VALUE!</v>
      </c>
      <c r="O90" t="e">
        <f>AND('Planilla_General_03-12-2012_9_3'!N1425,"AAAAAH329g4=")</f>
        <v>#VALUE!</v>
      </c>
      <c r="P90" t="e">
        <f>AND('Planilla_General_03-12-2012_9_3'!O1425,"AAAAAH329g8=")</f>
        <v>#VALUE!</v>
      </c>
      <c r="Q90">
        <f>IF('Planilla_General_03-12-2012_9_3'!1426:1426,"AAAAAH329hA=",0)</f>
        <v>0</v>
      </c>
      <c r="R90" t="e">
        <f>AND('Planilla_General_03-12-2012_9_3'!A1426,"AAAAAH329hE=")</f>
        <v>#VALUE!</v>
      </c>
      <c r="S90" t="e">
        <f>AND('Planilla_General_03-12-2012_9_3'!B1426,"AAAAAH329hI=")</f>
        <v>#VALUE!</v>
      </c>
      <c r="T90" t="e">
        <f>AND('Planilla_General_03-12-2012_9_3'!C1426,"AAAAAH329hM=")</f>
        <v>#VALUE!</v>
      </c>
      <c r="U90" t="e">
        <f>AND('Planilla_General_03-12-2012_9_3'!D1426,"AAAAAH329hQ=")</f>
        <v>#VALUE!</v>
      </c>
      <c r="V90" t="e">
        <f>AND('Planilla_General_03-12-2012_9_3'!E1426,"AAAAAH329hU=")</f>
        <v>#VALUE!</v>
      </c>
      <c r="W90" t="e">
        <f>AND('Planilla_General_03-12-2012_9_3'!F1426,"AAAAAH329hY=")</f>
        <v>#VALUE!</v>
      </c>
      <c r="X90" t="e">
        <f>AND('Planilla_General_03-12-2012_9_3'!G1426,"AAAAAH329hc=")</f>
        <v>#VALUE!</v>
      </c>
      <c r="Y90" t="e">
        <f>AND('Planilla_General_03-12-2012_9_3'!H1426,"AAAAAH329hg=")</f>
        <v>#VALUE!</v>
      </c>
      <c r="Z90" t="e">
        <f>AND('Planilla_General_03-12-2012_9_3'!I1426,"AAAAAH329hk=")</f>
        <v>#VALUE!</v>
      </c>
      <c r="AA90" t="e">
        <f>AND('Planilla_General_03-12-2012_9_3'!J1426,"AAAAAH329ho=")</f>
        <v>#VALUE!</v>
      </c>
      <c r="AB90" t="e">
        <f>AND('Planilla_General_03-12-2012_9_3'!K1426,"AAAAAH329hs=")</f>
        <v>#VALUE!</v>
      </c>
      <c r="AC90" t="e">
        <f>AND('Planilla_General_03-12-2012_9_3'!L1426,"AAAAAH329hw=")</f>
        <v>#VALUE!</v>
      </c>
      <c r="AD90" t="e">
        <f>AND('Planilla_General_03-12-2012_9_3'!M1426,"AAAAAH329h0=")</f>
        <v>#VALUE!</v>
      </c>
      <c r="AE90" t="e">
        <f>AND('Planilla_General_03-12-2012_9_3'!N1426,"AAAAAH329h4=")</f>
        <v>#VALUE!</v>
      </c>
      <c r="AF90" t="e">
        <f>AND('Planilla_General_03-12-2012_9_3'!O1426,"AAAAAH329h8=")</f>
        <v>#VALUE!</v>
      </c>
      <c r="AG90">
        <f>IF('Planilla_General_03-12-2012_9_3'!1427:1427,"AAAAAH329iA=",0)</f>
        <v>0</v>
      </c>
      <c r="AH90" t="e">
        <f>AND('Planilla_General_03-12-2012_9_3'!A1427,"AAAAAH329iE=")</f>
        <v>#VALUE!</v>
      </c>
      <c r="AI90" t="e">
        <f>AND('Planilla_General_03-12-2012_9_3'!B1427,"AAAAAH329iI=")</f>
        <v>#VALUE!</v>
      </c>
      <c r="AJ90" t="e">
        <f>AND('Planilla_General_03-12-2012_9_3'!C1427,"AAAAAH329iM=")</f>
        <v>#VALUE!</v>
      </c>
      <c r="AK90" t="e">
        <f>AND('Planilla_General_03-12-2012_9_3'!D1427,"AAAAAH329iQ=")</f>
        <v>#VALUE!</v>
      </c>
      <c r="AL90" t="e">
        <f>AND('Planilla_General_03-12-2012_9_3'!E1427,"AAAAAH329iU=")</f>
        <v>#VALUE!</v>
      </c>
      <c r="AM90" t="e">
        <f>AND('Planilla_General_03-12-2012_9_3'!F1427,"AAAAAH329iY=")</f>
        <v>#VALUE!</v>
      </c>
      <c r="AN90" t="e">
        <f>AND('Planilla_General_03-12-2012_9_3'!G1427,"AAAAAH329ic=")</f>
        <v>#VALUE!</v>
      </c>
      <c r="AO90" t="e">
        <f>AND('Planilla_General_03-12-2012_9_3'!H1427,"AAAAAH329ig=")</f>
        <v>#VALUE!</v>
      </c>
      <c r="AP90" t="e">
        <f>AND('Planilla_General_03-12-2012_9_3'!I1427,"AAAAAH329ik=")</f>
        <v>#VALUE!</v>
      </c>
      <c r="AQ90" t="e">
        <f>AND('Planilla_General_03-12-2012_9_3'!J1427,"AAAAAH329io=")</f>
        <v>#VALUE!</v>
      </c>
      <c r="AR90" t="e">
        <f>AND('Planilla_General_03-12-2012_9_3'!K1427,"AAAAAH329is=")</f>
        <v>#VALUE!</v>
      </c>
      <c r="AS90" t="e">
        <f>AND('Planilla_General_03-12-2012_9_3'!L1427,"AAAAAH329iw=")</f>
        <v>#VALUE!</v>
      </c>
      <c r="AT90" t="e">
        <f>AND('Planilla_General_03-12-2012_9_3'!M1427,"AAAAAH329i0=")</f>
        <v>#VALUE!</v>
      </c>
      <c r="AU90" t="e">
        <f>AND('Planilla_General_03-12-2012_9_3'!N1427,"AAAAAH329i4=")</f>
        <v>#VALUE!</v>
      </c>
      <c r="AV90" t="e">
        <f>AND('Planilla_General_03-12-2012_9_3'!O1427,"AAAAAH329i8=")</f>
        <v>#VALUE!</v>
      </c>
      <c r="AW90">
        <f>IF('Planilla_General_03-12-2012_9_3'!1428:1428,"AAAAAH329jA=",0)</f>
        <v>0</v>
      </c>
      <c r="AX90" t="e">
        <f>AND('Planilla_General_03-12-2012_9_3'!A1428,"AAAAAH329jE=")</f>
        <v>#VALUE!</v>
      </c>
      <c r="AY90" t="e">
        <f>AND('Planilla_General_03-12-2012_9_3'!B1428,"AAAAAH329jI=")</f>
        <v>#VALUE!</v>
      </c>
      <c r="AZ90" t="e">
        <f>AND('Planilla_General_03-12-2012_9_3'!C1428,"AAAAAH329jM=")</f>
        <v>#VALUE!</v>
      </c>
      <c r="BA90" t="e">
        <f>AND('Planilla_General_03-12-2012_9_3'!D1428,"AAAAAH329jQ=")</f>
        <v>#VALUE!</v>
      </c>
      <c r="BB90" t="e">
        <f>AND('Planilla_General_03-12-2012_9_3'!E1428,"AAAAAH329jU=")</f>
        <v>#VALUE!</v>
      </c>
      <c r="BC90" t="e">
        <f>AND('Planilla_General_03-12-2012_9_3'!F1428,"AAAAAH329jY=")</f>
        <v>#VALUE!</v>
      </c>
      <c r="BD90" t="e">
        <f>AND('Planilla_General_03-12-2012_9_3'!G1428,"AAAAAH329jc=")</f>
        <v>#VALUE!</v>
      </c>
      <c r="BE90" t="e">
        <f>AND('Planilla_General_03-12-2012_9_3'!H1428,"AAAAAH329jg=")</f>
        <v>#VALUE!</v>
      </c>
      <c r="BF90" t="e">
        <f>AND('Planilla_General_03-12-2012_9_3'!I1428,"AAAAAH329jk=")</f>
        <v>#VALUE!</v>
      </c>
      <c r="BG90" t="e">
        <f>AND('Planilla_General_03-12-2012_9_3'!J1428,"AAAAAH329jo=")</f>
        <v>#VALUE!</v>
      </c>
      <c r="BH90" t="e">
        <f>AND('Planilla_General_03-12-2012_9_3'!K1428,"AAAAAH329js=")</f>
        <v>#VALUE!</v>
      </c>
      <c r="BI90" t="e">
        <f>AND('Planilla_General_03-12-2012_9_3'!L1428,"AAAAAH329jw=")</f>
        <v>#VALUE!</v>
      </c>
      <c r="BJ90" t="e">
        <f>AND('Planilla_General_03-12-2012_9_3'!M1428,"AAAAAH329j0=")</f>
        <v>#VALUE!</v>
      </c>
      <c r="BK90" t="e">
        <f>AND('Planilla_General_03-12-2012_9_3'!N1428,"AAAAAH329j4=")</f>
        <v>#VALUE!</v>
      </c>
      <c r="BL90" t="e">
        <f>AND('Planilla_General_03-12-2012_9_3'!O1428,"AAAAAH329j8=")</f>
        <v>#VALUE!</v>
      </c>
      <c r="BM90">
        <f>IF('Planilla_General_03-12-2012_9_3'!1429:1429,"AAAAAH329kA=",0)</f>
        <v>0</v>
      </c>
      <c r="BN90" t="e">
        <f>AND('Planilla_General_03-12-2012_9_3'!A1429,"AAAAAH329kE=")</f>
        <v>#VALUE!</v>
      </c>
      <c r="BO90" t="e">
        <f>AND('Planilla_General_03-12-2012_9_3'!B1429,"AAAAAH329kI=")</f>
        <v>#VALUE!</v>
      </c>
      <c r="BP90" t="e">
        <f>AND('Planilla_General_03-12-2012_9_3'!C1429,"AAAAAH329kM=")</f>
        <v>#VALUE!</v>
      </c>
      <c r="BQ90" t="e">
        <f>AND('Planilla_General_03-12-2012_9_3'!D1429,"AAAAAH329kQ=")</f>
        <v>#VALUE!</v>
      </c>
      <c r="BR90" t="e">
        <f>AND('Planilla_General_03-12-2012_9_3'!E1429,"AAAAAH329kU=")</f>
        <v>#VALUE!</v>
      </c>
      <c r="BS90" t="e">
        <f>AND('Planilla_General_03-12-2012_9_3'!F1429,"AAAAAH329kY=")</f>
        <v>#VALUE!</v>
      </c>
      <c r="BT90" t="e">
        <f>AND('Planilla_General_03-12-2012_9_3'!G1429,"AAAAAH329kc=")</f>
        <v>#VALUE!</v>
      </c>
      <c r="BU90" t="e">
        <f>AND('Planilla_General_03-12-2012_9_3'!H1429,"AAAAAH329kg=")</f>
        <v>#VALUE!</v>
      </c>
      <c r="BV90" t="e">
        <f>AND('Planilla_General_03-12-2012_9_3'!I1429,"AAAAAH329kk=")</f>
        <v>#VALUE!</v>
      </c>
      <c r="BW90" t="e">
        <f>AND('Planilla_General_03-12-2012_9_3'!J1429,"AAAAAH329ko=")</f>
        <v>#VALUE!</v>
      </c>
      <c r="BX90" t="e">
        <f>AND('Planilla_General_03-12-2012_9_3'!K1429,"AAAAAH329ks=")</f>
        <v>#VALUE!</v>
      </c>
      <c r="BY90" t="e">
        <f>AND('Planilla_General_03-12-2012_9_3'!L1429,"AAAAAH329kw=")</f>
        <v>#VALUE!</v>
      </c>
      <c r="BZ90" t="e">
        <f>AND('Planilla_General_03-12-2012_9_3'!M1429,"AAAAAH329k0=")</f>
        <v>#VALUE!</v>
      </c>
      <c r="CA90" t="e">
        <f>AND('Planilla_General_03-12-2012_9_3'!N1429,"AAAAAH329k4=")</f>
        <v>#VALUE!</v>
      </c>
      <c r="CB90" t="e">
        <f>AND('Planilla_General_03-12-2012_9_3'!O1429,"AAAAAH329k8=")</f>
        <v>#VALUE!</v>
      </c>
      <c r="CC90">
        <f>IF('Planilla_General_03-12-2012_9_3'!1430:1430,"AAAAAH329lA=",0)</f>
        <v>0</v>
      </c>
      <c r="CD90" t="e">
        <f>AND('Planilla_General_03-12-2012_9_3'!A1430,"AAAAAH329lE=")</f>
        <v>#VALUE!</v>
      </c>
      <c r="CE90" t="e">
        <f>AND('Planilla_General_03-12-2012_9_3'!B1430,"AAAAAH329lI=")</f>
        <v>#VALUE!</v>
      </c>
      <c r="CF90" t="e">
        <f>AND('Planilla_General_03-12-2012_9_3'!C1430,"AAAAAH329lM=")</f>
        <v>#VALUE!</v>
      </c>
      <c r="CG90" t="e">
        <f>AND('Planilla_General_03-12-2012_9_3'!D1430,"AAAAAH329lQ=")</f>
        <v>#VALUE!</v>
      </c>
      <c r="CH90" t="e">
        <f>AND('Planilla_General_03-12-2012_9_3'!E1430,"AAAAAH329lU=")</f>
        <v>#VALUE!</v>
      </c>
      <c r="CI90" t="e">
        <f>AND('Planilla_General_03-12-2012_9_3'!F1430,"AAAAAH329lY=")</f>
        <v>#VALUE!</v>
      </c>
      <c r="CJ90" t="e">
        <f>AND('Planilla_General_03-12-2012_9_3'!G1430,"AAAAAH329lc=")</f>
        <v>#VALUE!</v>
      </c>
      <c r="CK90" t="e">
        <f>AND('Planilla_General_03-12-2012_9_3'!H1430,"AAAAAH329lg=")</f>
        <v>#VALUE!</v>
      </c>
      <c r="CL90" t="e">
        <f>AND('Planilla_General_03-12-2012_9_3'!I1430,"AAAAAH329lk=")</f>
        <v>#VALUE!</v>
      </c>
      <c r="CM90" t="e">
        <f>AND('Planilla_General_03-12-2012_9_3'!J1430,"AAAAAH329lo=")</f>
        <v>#VALUE!</v>
      </c>
      <c r="CN90" t="e">
        <f>AND('Planilla_General_03-12-2012_9_3'!K1430,"AAAAAH329ls=")</f>
        <v>#VALUE!</v>
      </c>
      <c r="CO90" t="e">
        <f>AND('Planilla_General_03-12-2012_9_3'!L1430,"AAAAAH329lw=")</f>
        <v>#VALUE!</v>
      </c>
      <c r="CP90" t="e">
        <f>AND('Planilla_General_03-12-2012_9_3'!M1430,"AAAAAH329l0=")</f>
        <v>#VALUE!</v>
      </c>
      <c r="CQ90" t="e">
        <f>AND('Planilla_General_03-12-2012_9_3'!N1430,"AAAAAH329l4=")</f>
        <v>#VALUE!</v>
      </c>
      <c r="CR90" t="e">
        <f>AND('Planilla_General_03-12-2012_9_3'!O1430,"AAAAAH329l8=")</f>
        <v>#VALUE!</v>
      </c>
      <c r="CS90">
        <f>IF('Planilla_General_03-12-2012_9_3'!1431:1431,"AAAAAH329mA=",0)</f>
        <v>0</v>
      </c>
      <c r="CT90" t="e">
        <f>AND('Planilla_General_03-12-2012_9_3'!A1431,"AAAAAH329mE=")</f>
        <v>#VALUE!</v>
      </c>
      <c r="CU90" t="e">
        <f>AND('Planilla_General_03-12-2012_9_3'!B1431,"AAAAAH329mI=")</f>
        <v>#VALUE!</v>
      </c>
      <c r="CV90" t="e">
        <f>AND('Planilla_General_03-12-2012_9_3'!C1431,"AAAAAH329mM=")</f>
        <v>#VALUE!</v>
      </c>
      <c r="CW90" t="e">
        <f>AND('Planilla_General_03-12-2012_9_3'!D1431,"AAAAAH329mQ=")</f>
        <v>#VALUE!</v>
      </c>
      <c r="CX90" t="e">
        <f>AND('Planilla_General_03-12-2012_9_3'!E1431,"AAAAAH329mU=")</f>
        <v>#VALUE!</v>
      </c>
      <c r="CY90" t="e">
        <f>AND('Planilla_General_03-12-2012_9_3'!F1431,"AAAAAH329mY=")</f>
        <v>#VALUE!</v>
      </c>
      <c r="CZ90" t="e">
        <f>AND('Planilla_General_03-12-2012_9_3'!G1431,"AAAAAH329mc=")</f>
        <v>#VALUE!</v>
      </c>
      <c r="DA90" t="e">
        <f>AND('Planilla_General_03-12-2012_9_3'!H1431,"AAAAAH329mg=")</f>
        <v>#VALUE!</v>
      </c>
      <c r="DB90" t="e">
        <f>AND('Planilla_General_03-12-2012_9_3'!I1431,"AAAAAH329mk=")</f>
        <v>#VALUE!</v>
      </c>
      <c r="DC90" t="e">
        <f>AND('Planilla_General_03-12-2012_9_3'!J1431,"AAAAAH329mo=")</f>
        <v>#VALUE!</v>
      </c>
      <c r="DD90" t="e">
        <f>AND('Planilla_General_03-12-2012_9_3'!K1431,"AAAAAH329ms=")</f>
        <v>#VALUE!</v>
      </c>
      <c r="DE90" t="e">
        <f>AND('Planilla_General_03-12-2012_9_3'!L1431,"AAAAAH329mw=")</f>
        <v>#VALUE!</v>
      </c>
      <c r="DF90" t="e">
        <f>AND('Planilla_General_03-12-2012_9_3'!M1431,"AAAAAH329m0=")</f>
        <v>#VALUE!</v>
      </c>
      <c r="DG90" t="e">
        <f>AND('Planilla_General_03-12-2012_9_3'!N1431,"AAAAAH329m4=")</f>
        <v>#VALUE!</v>
      </c>
      <c r="DH90" t="e">
        <f>AND('Planilla_General_03-12-2012_9_3'!O1431,"AAAAAH329m8=")</f>
        <v>#VALUE!</v>
      </c>
      <c r="DI90">
        <f>IF('Planilla_General_03-12-2012_9_3'!1432:1432,"AAAAAH329nA=",0)</f>
        <v>0</v>
      </c>
      <c r="DJ90" t="e">
        <f>AND('Planilla_General_03-12-2012_9_3'!A1432,"AAAAAH329nE=")</f>
        <v>#VALUE!</v>
      </c>
      <c r="DK90" t="e">
        <f>AND('Planilla_General_03-12-2012_9_3'!B1432,"AAAAAH329nI=")</f>
        <v>#VALUE!</v>
      </c>
      <c r="DL90" t="e">
        <f>AND('Planilla_General_03-12-2012_9_3'!C1432,"AAAAAH329nM=")</f>
        <v>#VALUE!</v>
      </c>
      <c r="DM90" t="e">
        <f>AND('Planilla_General_03-12-2012_9_3'!D1432,"AAAAAH329nQ=")</f>
        <v>#VALUE!</v>
      </c>
      <c r="DN90" t="e">
        <f>AND('Planilla_General_03-12-2012_9_3'!E1432,"AAAAAH329nU=")</f>
        <v>#VALUE!</v>
      </c>
      <c r="DO90" t="e">
        <f>AND('Planilla_General_03-12-2012_9_3'!F1432,"AAAAAH329nY=")</f>
        <v>#VALUE!</v>
      </c>
      <c r="DP90" t="e">
        <f>AND('Planilla_General_03-12-2012_9_3'!G1432,"AAAAAH329nc=")</f>
        <v>#VALUE!</v>
      </c>
      <c r="DQ90" t="e">
        <f>AND('Planilla_General_03-12-2012_9_3'!H1432,"AAAAAH329ng=")</f>
        <v>#VALUE!</v>
      </c>
      <c r="DR90" t="e">
        <f>AND('Planilla_General_03-12-2012_9_3'!I1432,"AAAAAH329nk=")</f>
        <v>#VALUE!</v>
      </c>
      <c r="DS90" t="e">
        <f>AND('Planilla_General_03-12-2012_9_3'!J1432,"AAAAAH329no=")</f>
        <v>#VALUE!</v>
      </c>
      <c r="DT90" t="e">
        <f>AND('Planilla_General_03-12-2012_9_3'!K1432,"AAAAAH329ns=")</f>
        <v>#VALUE!</v>
      </c>
      <c r="DU90" t="e">
        <f>AND('Planilla_General_03-12-2012_9_3'!L1432,"AAAAAH329nw=")</f>
        <v>#VALUE!</v>
      </c>
      <c r="DV90" t="e">
        <f>AND('Planilla_General_03-12-2012_9_3'!M1432,"AAAAAH329n0=")</f>
        <v>#VALUE!</v>
      </c>
      <c r="DW90" t="e">
        <f>AND('Planilla_General_03-12-2012_9_3'!N1432,"AAAAAH329n4=")</f>
        <v>#VALUE!</v>
      </c>
      <c r="DX90" t="e">
        <f>AND('Planilla_General_03-12-2012_9_3'!O1432,"AAAAAH329n8=")</f>
        <v>#VALUE!</v>
      </c>
      <c r="DY90">
        <f>IF('Planilla_General_03-12-2012_9_3'!1433:1433,"AAAAAH329oA=",0)</f>
        <v>0</v>
      </c>
      <c r="DZ90" t="e">
        <f>AND('Planilla_General_03-12-2012_9_3'!A1433,"AAAAAH329oE=")</f>
        <v>#VALUE!</v>
      </c>
      <c r="EA90" t="e">
        <f>AND('Planilla_General_03-12-2012_9_3'!B1433,"AAAAAH329oI=")</f>
        <v>#VALUE!</v>
      </c>
      <c r="EB90" t="e">
        <f>AND('Planilla_General_03-12-2012_9_3'!C1433,"AAAAAH329oM=")</f>
        <v>#VALUE!</v>
      </c>
      <c r="EC90" t="e">
        <f>AND('Planilla_General_03-12-2012_9_3'!D1433,"AAAAAH329oQ=")</f>
        <v>#VALUE!</v>
      </c>
      <c r="ED90" t="e">
        <f>AND('Planilla_General_03-12-2012_9_3'!E1433,"AAAAAH329oU=")</f>
        <v>#VALUE!</v>
      </c>
      <c r="EE90" t="e">
        <f>AND('Planilla_General_03-12-2012_9_3'!F1433,"AAAAAH329oY=")</f>
        <v>#VALUE!</v>
      </c>
      <c r="EF90" t="e">
        <f>AND('Planilla_General_03-12-2012_9_3'!G1433,"AAAAAH329oc=")</f>
        <v>#VALUE!</v>
      </c>
      <c r="EG90" t="e">
        <f>AND('Planilla_General_03-12-2012_9_3'!H1433,"AAAAAH329og=")</f>
        <v>#VALUE!</v>
      </c>
      <c r="EH90" t="e">
        <f>AND('Planilla_General_03-12-2012_9_3'!I1433,"AAAAAH329ok=")</f>
        <v>#VALUE!</v>
      </c>
      <c r="EI90" t="e">
        <f>AND('Planilla_General_03-12-2012_9_3'!J1433,"AAAAAH329oo=")</f>
        <v>#VALUE!</v>
      </c>
      <c r="EJ90" t="e">
        <f>AND('Planilla_General_03-12-2012_9_3'!K1433,"AAAAAH329os=")</f>
        <v>#VALUE!</v>
      </c>
      <c r="EK90" t="e">
        <f>AND('Planilla_General_03-12-2012_9_3'!L1433,"AAAAAH329ow=")</f>
        <v>#VALUE!</v>
      </c>
      <c r="EL90" t="e">
        <f>AND('Planilla_General_03-12-2012_9_3'!M1433,"AAAAAH329o0=")</f>
        <v>#VALUE!</v>
      </c>
      <c r="EM90" t="e">
        <f>AND('Planilla_General_03-12-2012_9_3'!N1433,"AAAAAH329o4=")</f>
        <v>#VALUE!</v>
      </c>
      <c r="EN90" t="e">
        <f>AND('Planilla_General_03-12-2012_9_3'!O1433,"AAAAAH329o8=")</f>
        <v>#VALUE!</v>
      </c>
      <c r="EO90">
        <f>IF('Planilla_General_03-12-2012_9_3'!1434:1434,"AAAAAH329pA=",0)</f>
        <v>0</v>
      </c>
      <c r="EP90" t="e">
        <f>AND('Planilla_General_03-12-2012_9_3'!A1434,"AAAAAH329pE=")</f>
        <v>#VALUE!</v>
      </c>
      <c r="EQ90" t="e">
        <f>AND('Planilla_General_03-12-2012_9_3'!B1434,"AAAAAH329pI=")</f>
        <v>#VALUE!</v>
      </c>
      <c r="ER90" t="e">
        <f>AND('Planilla_General_03-12-2012_9_3'!C1434,"AAAAAH329pM=")</f>
        <v>#VALUE!</v>
      </c>
      <c r="ES90" t="e">
        <f>AND('Planilla_General_03-12-2012_9_3'!D1434,"AAAAAH329pQ=")</f>
        <v>#VALUE!</v>
      </c>
      <c r="ET90" t="e">
        <f>AND('Planilla_General_03-12-2012_9_3'!E1434,"AAAAAH329pU=")</f>
        <v>#VALUE!</v>
      </c>
      <c r="EU90" t="e">
        <f>AND('Planilla_General_03-12-2012_9_3'!F1434,"AAAAAH329pY=")</f>
        <v>#VALUE!</v>
      </c>
      <c r="EV90" t="e">
        <f>AND('Planilla_General_03-12-2012_9_3'!G1434,"AAAAAH329pc=")</f>
        <v>#VALUE!</v>
      </c>
      <c r="EW90" t="e">
        <f>AND('Planilla_General_03-12-2012_9_3'!H1434,"AAAAAH329pg=")</f>
        <v>#VALUE!</v>
      </c>
      <c r="EX90" t="e">
        <f>AND('Planilla_General_03-12-2012_9_3'!I1434,"AAAAAH329pk=")</f>
        <v>#VALUE!</v>
      </c>
      <c r="EY90" t="e">
        <f>AND('Planilla_General_03-12-2012_9_3'!J1434,"AAAAAH329po=")</f>
        <v>#VALUE!</v>
      </c>
      <c r="EZ90" t="e">
        <f>AND('Planilla_General_03-12-2012_9_3'!K1434,"AAAAAH329ps=")</f>
        <v>#VALUE!</v>
      </c>
      <c r="FA90" t="e">
        <f>AND('Planilla_General_03-12-2012_9_3'!L1434,"AAAAAH329pw=")</f>
        <v>#VALUE!</v>
      </c>
      <c r="FB90" t="e">
        <f>AND('Planilla_General_03-12-2012_9_3'!M1434,"AAAAAH329p0=")</f>
        <v>#VALUE!</v>
      </c>
      <c r="FC90" t="e">
        <f>AND('Planilla_General_03-12-2012_9_3'!N1434,"AAAAAH329p4=")</f>
        <v>#VALUE!</v>
      </c>
      <c r="FD90" t="e">
        <f>AND('Planilla_General_03-12-2012_9_3'!O1434,"AAAAAH329p8=")</f>
        <v>#VALUE!</v>
      </c>
      <c r="FE90">
        <f>IF('Planilla_General_03-12-2012_9_3'!1435:1435,"AAAAAH329qA=",0)</f>
        <v>0</v>
      </c>
      <c r="FF90" t="e">
        <f>AND('Planilla_General_03-12-2012_9_3'!A1435,"AAAAAH329qE=")</f>
        <v>#VALUE!</v>
      </c>
      <c r="FG90" t="e">
        <f>AND('Planilla_General_03-12-2012_9_3'!B1435,"AAAAAH329qI=")</f>
        <v>#VALUE!</v>
      </c>
      <c r="FH90" t="e">
        <f>AND('Planilla_General_03-12-2012_9_3'!C1435,"AAAAAH329qM=")</f>
        <v>#VALUE!</v>
      </c>
      <c r="FI90" t="e">
        <f>AND('Planilla_General_03-12-2012_9_3'!D1435,"AAAAAH329qQ=")</f>
        <v>#VALUE!</v>
      </c>
      <c r="FJ90" t="e">
        <f>AND('Planilla_General_03-12-2012_9_3'!E1435,"AAAAAH329qU=")</f>
        <v>#VALUE!</v>
      </c>
      <c r="FK90" t="e">
        <f>AND('Planilla_General_03-12-2012_9_3'!F1435,"AAAAAH329qY=")</f>
        <v>#VALUE!</v>
      </c>
      <c r="FL90" t="e">
        <f>AND('Planilla_General_03-12-2012_9_3'!G1435,"AAAAAH329qc=")</f>
        <v>#VALUE!</v>
      </c>
      <c r="FM90" t="e">
        <f>AND('Planilla_General_03-12-2012_9_3'!H1435,"AAAAAH329qg=")</f>
        <v>#VALUE!</v>
      </c>
      <c r="FN90" t="e">
        <f>AND('Planilla_General_03-12-2012_9_3'!I1435,"AAAAAH329qk=")</f>
        <v>#VALUE!</v>
      </c>
      <c r="FO90" t="e">
        <f>AND('Planilla_General_03-12-2012_9_3'!J1435,"AAAAAH329qo=")</f>
        <v>#VALUE!</v>
      </c>
      <c r="FP90" t="e">
        <f>AND('Planilla_General_03-12-2012_9_3'!K1435,"AAAAAH329qs=")</f>
        <v>#VALUE!</v>
      </c>
      <c r="FQ90" t="e">
        <f>AND('Planilla_General_03-12-2012_9_3'!L1435,"AAAAAH329qw=")</f>
        <v>#VALUE!</v>
      </c>
      <c r="FR90" t="e">
        <f>AND('Planilla_General_03-12-2012_9_3'!M1435,"AAAAAH329q0=")</f>
        <v>#VALUE!</v>
      </c>
      <c r="FS90" t="e">
        <f>AND('Planilla_General_03-12-2012_9_3'!N1435,"AAAAAH329q4=")</f>
        <v>#VALUE!</v>
      </c>
      <c r="FT90" t="e">
        <f>AND('Planilla_General_03-12-2012_9_3'!O1435,"AAAAAH329q8=")</f>
        <v>#VALUE!</v>
      </c>
      <c r="FU90">
        <f>IF('Planilla_General_03-12-2012_9_3'!1436:1436,"AAAAAH329rA=",0)</f>
        <v>0</v>
      </c>
      <c r="FV90" t="e">
        <f>AND('Planilla_General_03-12-2012_9_3'!A1436,"AAAAAH329rE=")</f>
        <v>#VALUE!</v>
      </c>
      <c r="FW90" t="e">
        <f>AND('Planilla_General_03-12-2012_9_3'!B1436,"AAAAAH329rI=")</f>
        <v>#VALUE!</v>
      </c>
      <c r="FX90" t="e">
        <f>AND('Planilla_General_03-12-2012_9_3'!C1436,"AAAAAH329rM=")</f>
        <v>#VALUE!</v>
      </c>
      <c r="FY90" t="e">
        <f>AND('Planilla_General_03-12-2012_9_3'!D1436,"AAAAAH329rQ=")</f>
        <v>#VALUE!</v>
      </c>
      <c r="FZ90" t="e">
        <f>AND('Planilla_General_03-12-2012_9_3'!E1436,"AAAAAH329rU=")</f>
        <v>#VALUE!</v>
      </c>
      <c r="GA90" t="e">
        <f>AND('Planilla_General_03-12-2012_9_3'!F1436,"AAAAAH329rY=")</f>
        <v>#VALUE!</v>
      </c>
      <c r="GB90" t="e">
        <f>AND('Planilla_General_03-12-2012_9_3'!G1436,"AAAAAH329rc=")</f>
        <v>#VALUE!</v>
      </c>
      <c r="GC90" t="e">
        <f>AND('Planilla_General_03-12-2012_9_3'!H1436,"AAAAAH329rg=")</f>
        <v>#VALUE!</v>
      </c>
      <c r="GD90" t="e">
        <f>AND('Planilla_General_03-12-2012_9_3'!I1436,"AAAAAH329rk=")</f>
        <v>#VALUE!</v>
      </c>
      <c r="GE90" t="e">
        <f>AND('Planilla_General_03-12-2012_9_3'!J1436,"AAAAAH329ro=")</f>
        <v>#VALUE!</v>
      </c>
      <c r="GF90" t="e">
        <f>AND('Planilla_General_03-12-2012_9_3'!K1436,"AAAAAH329rs=")</f>
        <v>#VALUE!</v>
      </c>
      <c r="GG90" t="e">
        <f>AND('Planilla_General_03-12-2012_9_3'!L1436,"AAAAAH329rw=")</f>
        <v>#VALUE!</v>
      </c>
      <c r="GH90" t="e">
        <f>AND('Planilla_General_03-12-2012_9_3'!M1436,"AAAAAH329r0=")</f>
        <v>#VALUE!</v>
      </c>
      <c r="GI90" t="e">
        <f>AND('Planilla_General_03-12-2012_9_3'!N1436,"AAAAAH329r4=")</f>
        <v>#VALUE!</v>
      </c>
      <c r="GJ90" t="e">
        <f>AND('Planilla_General_03-12-2012_9_3'!O1436,"AAAAAH329r8=")</f>
        <v>#VALUE!</v>
      </c>
      <c r="GK90">
        <f>IF('Planilla_General_03-12-2012_9_3'!1437:1437,"AAAAAH329sA=",0)</f>
        <v>0</v>
      </c>
      <c r="GL90" t="e">
        <f>AND('Planilla_General_03-12-2012_9_3'!A1437,"AAAAAH329sE=")</f>
        <v>#VALUE!</v>
      </c>
      <c r="GM90" t="e">
        <f>AND('Planilla_General_03-12-2012_9_3'!B1437,"AAAAAH329sI=")</f>
        <v>#VALUE!</v>
      </c>
      <c r="GN90" t="e">
        <f>AND('Planilla_General_03-12-2012_9_3'!C1437,"AAAAAH329sM=")</f>
        <v>#VALUE!</v>
      </c>
      <c r="GO90" t="e">
        <f>AND('Planilla_General_03-12-2012_9_3'!D1437,"AAAAAH329sQ=")</f>
        <v>#VALUE!</v>
      </c>
      <c r="GP90" t="e">
        <f>AND('Planilla_General_03-12-2012_9_3'!E1437,"AAAAAH329sU=")</f>
        <v>#VALUE!</v>
      </c>
      <c r="GQ90" t="e">
        <f>AND('Planilla_General_03-12-2012_9_3'!F1437,"AAAAAH329sY=")</f>
        <v>#VALUE!</v>
      </c>
      <c r="GR90" t="e">
        <f>AND('Planilla_General_03-12-2012_9_3'!G1437,"AAAAAH329sc=")</f>
        <v>#VALUE!</v>
      </c>
      <c r="GS90" t="e">
        <f>AND('Planilla_General_03-12-2012_9_3'!H1437,"AAAAAH329sg=")</f>
        <v>#VALUE!</v>
      </c>
      <c r="GT90" t="e">
        <f>AND('Planilla_General_03-12-2012_9_3'!I1437,"AAAAAH329sk=")</f>
        <v>#VALUE!</v>
      </c>
      <c r="GU90" t="e">
        <f>AND('Planilla_General_03-12-2012_9_3'!J1437,"AAAAAH329so=")</f>
        <v>#VALUE!</v>
      </c>
      <c r="GV90" t="e">
        <f>AND('Planilla_General_03-12-2012_9_3'!K1437,"AAAAAH329ss=")</f>
        <v>#VALUE!</v>
      </c>
      <c r="GW90" t="e">
        <f>AND('Planilla_General_03-12-2012_9_3'!L1437,"AAAAAH329sw=")</f>
        <v>#VALUE!</v>
      </c>
      <c r="GX90" t="e">
        <f>AND('Planilla_General_03-12-2012_9_3'!M1437,"AAAAAH329s0=")</f>
        <v>#VALUE!</v>
      </c>
      <c r="GY90" t="e">
        <f>AND('Planilla_General_03-12-2012_9_3'!N1437,"AAAAAH329s4=")</f>
        <v>#VALUE!</v>
      </c>
      <c r="GZ90" t="e">
        <f>AND('Planilla_General_03-12-2012_9_3'!O1437,"AAAAAH329s8=")</f>
        <v>#VALUE!</v>
      </c>
      <c r="HA90">
        <f>IF('Planilla_General_03-12-2012_9_3'!1438:1438,"AAAAAH329tA=",0)</f>
        <v>0</v>
      </c>
      <c r="HB90" t="e">
        <f>AND('Planilla_General_03-12-2012_9_3'!A1438,"AAAAAH329tE=")</f>
        <v>#VALUE!</v>
      </c>
      <c r="HC90" t="e">
        <f>AND('Planilla_General_03-12-2012_9_3'!B1438,"AAAAAH329tI=")</f>
        <v>#VALUE!</v>
      </c>
      <c r="HD90" t="e">
        <f>AND('Planilla_General_03-12-2012_9_3'!C1438,"AAAAAH329tM=")</f>
        <v>#VALUE!</v>
      </c>
      <c r="HE90" t="e">
        <f>AND('Planilla_General_03-12-2012_9_3'!D1438,"AAAAAH329tQ=")</f>
        <v>#VALUE!</v>
      </c>
      <c r="HF90" t="e">
        <f>AND('Planilla_General_03-12-2012_9_3'!E1438,"AAAAAH329tU=")</f>
        <v>#VALUE!</v>
      </c>
      <c r="HG90" t="e">
        <f>AND('Planilla_General_03-12-2012_9_3'!F1438,"AAAAAH329tY=")</f>
        <v>#VALUE!</v>
      </c>
      <c r="HH90" t="e">
        <f>AND('Planilla_General_03-12-2012_9_3'!G1438,"AAAAAH329tc=")</f>
        <v>#VALUE!</v>
      </c>
      <c r="HI90" t="e">
        <f>AND('Planilla_General_03-12-2012_9_3'!H1438,"AAAAAH329tg=")</f>
        <v>#VALUE!</v>
      </c>
      <c r="HJ90" t="e">
        <f>AND('Planilla_General_03-12-2012_9_3'!I1438,"AAAAAH329tk=")</f>
        <v>#VALUE!</v>
      </c>
      <c r="HK90" t="e">
        <f>AND('Planilla_General_03-12-2012_9_3'!J1438,"AAAAAH329to=")</f>
        <v>#VALUE!</v>
      </c>
      <c r="HL90" t="e">
        <f>AND('Planilla_General_03-12-2012_9_3'!K1438,"AAAAAH329ts=")</f>
        <v>#VALUE!</v>
      </c>
      <c r="HM90" t="e">
        <f>AND('Planilla_General_03-12-2012_9_3'!L1438,"AAAAAH329tw=")</f>
        <v>#VALUE!</v>
      </c>
      <c r="HN90" t="e">
        <f>AND('Planilla_General_03-12-2012_9_3'!M1438,"AAAAAH329t0=")</f>
        <v>#VALUE!</v>
      </c>
      <c r="HO90" t="e">
        <f>AND('Planilla_General_03-12-2012_9_3'!N1438,"AAAAAH329t4=")</f>
        <v>#VALUE!</v>
      </c>
      <c r="HP90" t="e">
        <f>AND('Planilla_General_03-12-2012_9_3'!O1438,"AAAAAH329t8=")</f>
        <v>#VALUE!</v>
      </c>
      <c r="HQ90">
        <f>IF('Planilla_General_03-12-2012_9_3'!1439:1439,"AAAAAH329uA=",0)</f>
        <v>0</v>
      </c>
      <c r="HR90" t="e">
        <f>AND('Planilla_General_03-12-2012_9_3'!A1439,"AAAAAH329uE=")</f>
        <v>#VALUE!</v>
      </c>
      <c r="HS90" t="e">
        <f>AND('Planilla_General_03-12-2012_9_3'!B1439,"AAAAAH329uI=")</f>
        <v>#VALUE!</v>
      </c>
      <c r="HT90" t="e">
        <f>AND('Planilla_General_03-12-2012_9_3'!C1439,"AAAAAH329uM=")</f>
        <v>#VALUE!</v>
      </c>
      <c r="HU90" t="e">
        <f>AND('Planilla_General_03-12-2012_9_3'!D1439,"AAAAAH329uQ=")</f>
        <v>#VALUE!</v>
      </c>
      <c r="HV90" t="e">
        <f>AND('Planilla_General_03-12-2012_9_3'!E1439,"AAAAAH329uU=")</f>
        <v>#VALUE!</v>
      </c>
      <c r="HW90" t="e">
        <f>AND('Planilla_General_03-12-2012_9_3'!F1439,"AAAAAH329uY=")</f>
        <v>#VALUE!</v>
      </c>
      <c r="HX90" t="e">
        <f>AND('Planilla_General_03-12-2012_9_3'!G1439,"AAAAAH329uc=")</f>
        <v>#VALUE!</v>
      </c>
      <c r="HY90" t="e">
        <f>AND('Planilla_General_03-12-2012_9_3'!H1439,"AAAAAH329ug=")</f>
        <v>#VALUE!</v>
      </c>
      <c r="HZ90" t="e">
        <f>AND('Planilla_General_03-12-2012_9_3'!I1439,"AAAAAH329uk=")</f>
        <v>#VALUE!</v>
      </c>
      <c r="IA90" t="e">
        <f>AND('Planilla_General_03-12-2012_9_3'!J1439,"AAAAAH329uo=")</f>
        <v>#VALUE!</v>
      </c>
      <c r="IB90" t="e">
        <f>AND('Planilla_General_03-12-2012_9_3'!K1439,"AAAAAH329us=")</f>
        <v>#VALUE!</v>
      </c>
      <c r="IC90" t="e">
        <f>AND('Planilla_General_03-12-2012_9_3'!L1439,"AAAAAH329uw=")</f>
        <v>#VALUE!</v>
      </c>
      <c r="ID90" t="e">
        <f>AND('Planilla_General_03-12-2012_9_3'!M1439,"AAAAAH329u0=")</f>
        <v>#VALUE!</v>
      </c>
      <c r="IE90" t="e">
        <f>AND('Planilla_General_03-12-2012_9_3'!N1439,"AAAAAH329u4=")</f>
        <v>#VALUE!</v>
      </c>
      <c r="IF90" t="e">
        <f>AND('Planilla_General_03-12-2012_9_3'!O1439,"AAAAAH329u8=")</f>
        <v>#VALUE!</v>
      </c>
      <c r="IG90">
        <f>IF('Planilla_General_03-12-2012_9_3'!1440:1440,"AAAAAH329vA=",0)</f>
        <v>0</v>
      </c>
      <c r="IH90" t="e">
        <f>AND('Planilla_General_03-12-2012_9_3'!A1440,"AAAAAH329vE=")</f>
        <v>#VALUE!</v>
      </c>
      <c r="II90" t="e">
        <f>AND('Planilla_General_03-12-2012_9_3'!B1440,"AAAAAH329vI=")</f>
        <v>#VALUE!</v>
      </c>
      <c r="IJ90" t="e">
        <f>AND('Planilla_General_03-12-2012_9_3'!C1440,"AAAAAH329vM=")</f>
        <v>#VALUE!</v>
      </c>
      <c r="IK90" t="e">
        <f>AND('Planilla_General_03-12-2012_9_3'!D1440,"AAAAAH329vQ=")</f>
        <v>#VALUE!</v>
      </c>
      <c r="IL90" t="e">
        <f>AND('Planilla_General_03-12-2012_9_3'!E1440,"AAAAAH329vU=")</f>
        <v>#VALUE!</v>
      </c>
      <c r="IM90" t="e">
        <f>AND('Planilla_General_03-12-2012_9_3'!F1440,"AAAAAH329vY=")</f>
        <v>#VALUE!</v>
      </c>
      <c r="IN90" t="e">
        <f>AND('Planilla_General_03-12-2012_9_3'!G1440,"AAAAAH329vc=")</f>
        <v>#VALUE!</v>
      </c>
      <c r="IO90" t="e">
        <f>AND('Planilla_General_03-12-2012_9_3'!H1440,"AAAAAH329vg=")</f>
        <v>#VALUE!</v>
      </c>
      <c r="IP90" t="e">
        <f>AND('Planilla_General_03-12-2012_9_3'!I1440,"AAAAAH329vk=")</f>
        <v>#VALUE!</v>
      </c>
      <c r="IQ90" t="e">
        <f>AND('Planilla_General_03-12-2012_9_3'!J1440,"AAAAAH329vo=")</f>
        <v>#VALUE!</v>
      </c>
      <c r="IR90" t="e">
        <f>AND('Planilla_General_03-12-2012_9_3'!K1440,"AAAAAH329vs=")</f>
        <v>#VALUE!</v>
      </c>
      <c r="IS90" t="e">
        <f>AND('Planilla_General_03-12-2012_9_3'!L1440,"AAAAAH329vw=")</f>
        <v>#VALUE!</v>
      </c>
      <c r="IT90" t="e">
        <f>AND('Planilla_General_03-12-2012_9_3'!M1440,"AAAAAH329v0=")</f>
        <v>#VALUE!</v>
      </c>
      <c r="IU90" t="e">
        <f>AND('Planilla_General_03-12-2012_9_3'!N1440,"AAAAAH329v4=")</f>
        <v>#VALUE!</v>
      </c>
      <c r="IV90" t="e">
        <f>AND('Planilla_General_03-12-2012_9_3'!O1440,"AAAAAH329v8=")</f>
        <v>#VALUE!</v>
      </c>
    </row>
    <row r="91" spans="1:256" x14ac:dyDescent="0.25">
      <c r="A91" t="e">
        <f>IF('Planilla_General_03-12-2012_9_3'!1441:1441,"AAAAAA/X7QA=",0)</f>
        <v>#VALUE!</v>
      </c>
      <c r="B91" t="e">
        <f>AND('Planilla_General_03-12-2012_9_3'!A1441,"AAAAAA/X7QE=")</f>
        <v>#VALUE!</v>
      </c>
      <c r="C91" t="e">
        <f>AND('Planilla_General_03-12-2012_9_3'!B1441,"AAAAAA/X7QI=")</f>
        <v>#VALUE!</v>
      </c>
      <c r="D91" t="e">
        <f>AND('Planilla_General_03-12-2012_9_3'!C1441,"AAAAAA/X7QM=")</f>
        <v>#VALUE!</v>
      </c>
      <c r="E91" t="e">
        <f>AND('Planilla_General_03-12-2012_9_3'!D1441,"AAAAAA/X7QQ=")</f>
        <v>#VALUE!</v>
      </c>
      <c r="F91" t="e">
        <f>AND('Planilla_General_03-12-2012_9_3'!E1441,"AAAAAA/X7QU=")</f>
        <v>#VALUE!</v>
      </c>
      <c r="G91" t="e">
        <f>AND('Planilla_General_03-12-2012_9_3'!F1441,"AAAAAA/X7QY=")</f>
        <v>#VALUE!</v>
      </c>
      <c r="H91" t="e">
        <f>AND('Planilla_General_03-12-2012_9_3'!G1441,"AAAAAA/X7Qc=")</f>
        <v>#VALUE!</v>
      </c>
      <c r="I91" t="e">
        <f>AND('Planilla_General_03-12-2012_9_3'!H1441,"AAAAAA/X7Qg=")</f>
        <v>#VALUE!</v>
      </c>
      <c r="J91" t="e">
        <f>AND('Planilla_General_03-12-2012_9_3'!I1441,"AAAAAA/X7Qk=")</f>
        <v>#VALUE!</v>
      </c>
      <c r="K91" t="e">
        <f>AND('Planilla_General_03-12-2012_9_3'!J1441,"AAAAAA/X7Qo=")</f>
        <v>#VALUE!</v>
      </c>
      <c r="L91" t="e">
        <f>AND('Planilla_General_03-12-2012_9_3'!K1441,"AAAAAA/X7Qs=")</f>
        <v>#VALUE!</v>
      </c>
      <c r="M91" t="e">
        <f>AND('Planilla_General_03-12-2012_9_3'!L1441,"AAAAAA/X7Qw=")</f>
        <v>#VALUE!</v>
      </c>
      <c r="N91" t="e">
        <f>AND('Planilla_General_03-12-2012_9_3'!M1441,"AAAAAA/X7Q0=")</f>
        <v>#VALUE!</v>
      </c>
      <c r="O91" t="e">
        <f>AND('Planilla_General_03-12-2012_9_3'!N1441,"AAAAAA/X7Q4=")</f>
        <v>#VALUE!</v>
      </c>
      <c r="P91" t="e">
        <f>AND('Planilla_General_03-12-2012_9_3'!O1441,"AAAAAA/X7Q8=")</f>
        <v>#VALUE!</v>
      </c>
      <c r="Q91">
        <f>IF('Planilla_General_03-12-2012_9_3'!1442:1442,"AAAAAA/X7RA=",0)</f>
        <v>0</v>
      </c>
      <c r="R91" t="e">
        <f>AND('Planilla_General_03-12-2012_9_3'!A1442,"AAAAAA/X7RE=")</f>
        <v>#VALUE!</v>
      </c>
      <c r="S91" t="e">
        <f>AND('Planilla_General_03-12-2012_9_3'!B1442,"AAAAAA/X7RI=")</f>
        <v>#VALUE!</v>
      </c>
      <c r="T91" t="e">
        <f>AND('Planilla_General_03-12-2012_9_3'!C1442,"AAAAAA/X7RM=")</f>
        <v>#VALUE!</v>
      </c>
      <c r="U91" t="e">
        <f>AND('Planilla_General_03-12-2012_9_3'!D1442,"AAAAAA/X7RQ=")</f>
        <v>#VALUE!</v>
      </c>
      <c r="V91" t="e">
        <f>AND('Planilla_General_03-12-2012_9_3'!E1442,"AAAAAA/X7RU=")</f>
        <v>#VALUE!</v>
      </c>
      <c r="W91" t="e">
        <f>AND('Planilla_General_03-12-2012_9_3'!F1442,"AAAAAA/X7RY=")</f>
        <v>#VALUE!</v>
      </c>
      <c r="X91" t="e">
        <f>AND('Planilla_General_03-12-2012_9_3'!G1442,"AAAAAA/X7Rc=")</f>
        <v>#VALUE!</v>
      </c>
      <c r="Y91" t="e">
        <f>AND('Planilla_General_03-12-2012_9_3'!H1442,"AAAAAA/X7Rg=")</f>
        <v>#VALUE!</v>
      </c>
      <c r="Z91" t="e">
        <f>AND('Planilla_General_03-12-2012_9_3'!I1442,"AAAAAA/X7Rk=")</f>
        <v>#VALUE!</v>
      </c>
      <c r="AA91" t="e">
        <f>AND('Planilla_General_03-12-2012_9_3'!J1442,"AAAAAA/X7Ro=")</f>
        <v>#VALUE!</v>
      </c>
      <c r="AB91" t="e">
        <f>AND('Planilla_General_03-12-2012_9_3'!K1442,"AAAAAA/X7Rs=")</f>
        <v>#VALUE!</v>
      </c>
      <c r="AC91" t="e">
        <f>AND('Planilla_General_03-12-2012_9_3'!L1442,"AAAAAA/X7Rw=")</f>
        <v>#VALUE!</v>
      </c>
      <c r="AD91" t="e">
        <f>AND('Planilla_General_03-12-2012_9_3'!M1442,"AAAAAA/X7R0=")</f>
        <v>#VALUE!</v>
      </c>
      <c r="AE91" t="e">
        <f>AND('Planilla_General_03-12-2012_9_3'!N1442,"AAAAAA/X7R4=")</f>
        <v>#VALUE!</v>
      </c>
      <c r="AF91" t="e">
        <f>AND('Planilla_General_03-12-2012_9_3'!O1442,"AAAAAA/X7R8=")</f>
        <v>#VALUE!</v>
      </c>
      <c r="AG91">
        <f>IF('Planilla_General_03-12-2012_9_3'!1443:1443,"AAAAAA/X7SA=",0)</f>
        <v>0</v>
      </c>
      <c r="AH91" t="e">
        <f>AND('Planilla_General_03-12-2012_9_3'!A1443,"AAAAAA/X7SE=")</f>
        <v>#VALUE!</v>
      </c>
      <c r="AI91" t="e">
        <f>AND('Planilla_General_03-12-2012_9_3'!B1443,"AAAAAA/X7SI=")</f>
        <v>#VALUE!</v>
      </c>
      <c r="AJ91" t="e">
        <f>AND('Planilla_General_03-12-2012_9_3'!C1443,"AAAAAA/X7SM=")</f>
        <v>#VALUE!</v>
      </c>
      <c r="AK91" t="e">
        <f>AND('Planilla_General_03-12-2012_9_3'!D1443,"AAAAAA/X7SQ=")</f>
        <v>#VALUE!</v>
      </c>
      <c r="AL91" t="e">
        <f>AND('Planilla_General_03-12-2012_9_3'!E1443,"AAAAAA/X7SU=")</f>
        <v>#VALUE!</v>
      </c>
      <c r="AM91" t="e">
        <f>AND('Planilla_General_03-12-2012_9_3'!F1443,"AAAAAA/X7SY=")</f>
        <v>#VALUE!</v>
      </c>
      <c r="AN91" t="e">
        <f>AND('Planilla_General_03-12-2012_9_3'!G1443,"AAAAAA/X7Sc=")</f>
        <v>#VALUE!</v>
      </c>
      <c r="AO91" t="e">
        <f>AND('Planilla_General_03-12-2012_9_3'!H1443,"AAAAAA/X7Sg=")</f>
        <v>#VALUE!</v>
      </c>
      <c r="AP91" t="e">
        <f>AND('Planilla_General_03-12-2012_9_3'!I1443,"AAAAAA/X7Sk=")</f>
        <v>#VALUE!</v>
      </c>
      <c r="AQ91" t="e">
        <f>AND('Planilla_General_03-12-2012_9_3'!J1443,"AAAAAA/X7So=")</f>
        <v>#VALUE!</v>
      </c>
      <c r="AR91" t="e">
        <f>AND('Planilla_General_03-12-2012_9_3'!K1443,"AAAAAA/X7Ss=")</f>
        <v>#VALUE!</v>
      </c>
      <c r="AS91" t="e">
        <f>AND('Planilla_General_03-12-2012_9_3'!L1443,"AAAAAA/X7Sw=")</f>
        <v>#VALUE!</v>
      </c>
      <c r="AT91" t="e">
        <f>AND('Planilla_General_03-12-2012_9_3'!M1443,"AAAAAA/X7S0=")</f>
        <v>#VALUE!</v>
      </c>
      <c r="AU91" t="e">
        <f>AND('Planilla_General_03-12-2012_9_3'!N1443,"AAAAAA/X7S4=")</f>
        <v>#VALUE!</v>
      </c>
      <c r="AV91" t="e">
        <f>AND('Planilla_General_03-12-2012_9_3'!O1443,"AAAAAA/X7S8=")</f>
        <v>#VALUE!</v>
      </c>
      <c r="AW91">
        <f>IF('Planilla_General_03-12-2012_9_3'!1444:1444,"AAAAAA/X7TA=",0)</f>
        <v>0</v>
      </c>
      <c r="AX91" t="e">
        <f>AND('Planilla_General_03-12-2012_9_3'!A1444,"AAAAAA/X7TE=")</f>
        <v>#VALUE!</v>
      </c>
      <c r="AY91" t="e">
        <f>AND('Planilla_General_03-12-2012_9_3'!B1444,"AAAAAA/X7TI=")</f>
        <v>#VALUE!</v>
      </c>
      <c r="AZ91" t="e">
        <f>AND('Planilla_General_03-12-2012_9_3'!C1444,"AAAAAA/X7TM=")</f>
        <v>#VALUE!</v>
      </c>
      <c r="BA91" t="e">
        <f>AND('Planilla_General_03-12-2012_9_3'!D1444,"AAAAAA/X7TQ=")</f>
        <v>#VALUE!</v>
      </c>
      <c r="BB91" t="e">
        <f>AND('Planilla_General_03-12-2012_9_3'!E1444,"AAAAAA/X7TU=")</f>
        <v>#VALUE!</v>
      </c>
      <c r="BC91" t="e">
        <f>AND('Planilla_General_03-12-2012_9_3'!F1444,"AAAAAA/X7TY=")</f>
        <v>#VALUE!</v>
      </c>
      <c r="BD91" t="e">
        <f>AND('Planilla_General_03-12-2012_9_3'!G1444,"AAAAAA/X7Tc=")</f>
        <v>#VALUE!</v>
      </c>
      <c r="BE91" t="e">
        <f>AND('Planilla_General_03-12-2012_9_3'!H1444,"AAAAAA/X7Tg=")</f>
        <v>#VALUE!</v>
      </c>
      <c r="BF91" t="e">
        <f>AND('Planilla_General_03-12-2012_9_3'!I1444,"AAAAAA/X7Tk=")</f>
        <v>#VALUE!</v>
      </c>
      <c r="BG91" t="e">
        <f>AND('Planilla_General_03-12-2012_9_3'!J1444,"AAAAAA/X7To=")</f>
        <v>#VALUE!</v>
      </c>
      <c r="BH91" t="e">
        <f>AND('Planilla_General_03-12-2012_9_3'!K1444,"AAAAAA/X7Ts=")</f>
        <v>#VALUE!</v>
      </c>
      <c r="BI91" t="e">
        <f>AND('Planilla_General_03-12-2012_9_3'!L1444,"AAAAAA/X7Tw=")</f>
        <v>#VALUE!</v>
      </c>
      <c r="BJ91" t="e">
        <f>AND('Planilla_General_03-12-2012_9_3'!M1444,"AAAAAA/X7T0=")</f>
        <v>#VALUE!</v>
      </c>
      <c r="BK91" t="e">
        <f>AND('Planilla_General_03-12-2012_9_3'!N1444,"AAAAAA/X7T4=")</f>
        <v>#VALUE!</v>
      </c>
      <c r="BL91" t="e">
        <f>AND('Planilla_General_03-12-2012_9_3'!O1444,"AAAAAA/X7T8=")</f>
        <v>#VALUE!</v>
      </c>
      <c r="BM91">
        <f>IF('Planilla_General_03-12-2012_9_3'!1445:1445,"AAAAAA/X7UA=",0)</f>
        <v>0</v>
      </c>
      <c r="BN91" t="e">
        <f>AND('Planilla_General_03-12-2012_9_3'!A1445,"AAAAAA/X7UE=")</f>
        <v>#VALUE!</v>
      </c>
      <c r="BO91" t="e">
        <f>AND('Planilla_General_03-12-2012_9_3'!B1445,"AAAAAA/X7UI=")</f>
        <v>#VALUE!</v>
      </c>
      <c r="BP91" t="e">
        <f>AND('Planilla_General_03-12-2012_9_3'!C1445,"AAAAAA/X7UM=")</f>
        <v>#VALUE!</v>
      </c>
      <c r="BQ91" t="e">
        <f>AND('Planilla_General_03-12-2012_9_3'!D1445,"AAAAAA/X7UQ=")</f>
        <v>#VALUE!</v>
      </c>
      <c r="BR91" t="e">
        <f>AND('Planilla_General_03-12-2012_9_3'!E1445,"AAAAAA/X7UU=")</f>
        <v>#VALUE!</v>
      </c>
      <c r="BS91" t="e">
        <f>AND('Planilla_General_03-12-2012_9_3'!F1445,"AAAAAA/X7UY=")</f>
        <v>#VALUE!</v>
      </c>
      <c r="BT91" t="e">
        <f>AND('Planilla_General_03-12-2012_9_3'!G1445,"AAAAAA/X7Uc=")</f>
        <v>#VALUE!</v>
      </c>
      <c r="BU91" t="e">
        <f>AND('Planilla_General_03-12-2012_9_3'!H1445,"AAAAAA/X7Ug=")</f>
        <v>#VALUE!</v>
      </c>
      <c r="BV91" t="e">
        <f>AND('Planilla_General_03-12-2012_9_3'!I1445,"AAAAAA/X7Uk=")</f>
        <v>#VALUE!</v>
      </c>
      <c r="BW91" t="e">
        <f>AND('Planilla_General_03-12-2012_9_3'!J1445,"AAAAAA/X7Uo=")</f>
        <v>#VALUE!</v>
      </c>
      <c r="BX91" t="e">
        <f>AND('Planilla_General_03-12-2012_9_3'!K1445,"AAAAAA/X7Us=")</f>
        <v>#VALUE!</v>
      </c>
      <c r="BY91" t="e">
        <f>AND('Planilla_General_03-12-2012_9_3'!L1445,"AAAAAA/X7Uw=")</f>
        <v>#VALUE!</v>
      </c>
      <c r="BZ91" t="e">
        <f>AND('Planilla_General_03-12-2012_9_3'!M1445,"AAAAAA/X7U0=")</f>
        <v>#VALUE!</v>
      </c>
      <c r="CA91" t="e">
        <f>AND('Planilla_General_03-12-2012_9_3'!N1445,"AAAAAA/X7U4=")</f>
        <v>#VALUE!</v>
      </c>
      <c r="CB91" t="e">
        <f>AND('Planilla_General_03-12-2012_9_3'!O1445,"AAAAAA/X7U8=")</f>
        <v>#VALUE!</v>
      </c>
      <c r="CC91">
        <f>IF('Planilla_General_03-12-2012_9_3'!1446:1446,"AAAAAA/X7VA=",0)</f>
        <v>0</v>
      </c>
      <c r="CD91" t="e">
        <f>AND('Planilla_General_03-12-2012_9_3'!A1446,"AAAAAA/X7VE=")</f>
        <v>#VALUE!</v>
      </c>
      <c r="CE91" t="e">
        <f>AND('Planilla_General_03-12-2012_9_3'!B1446,"AAAAAA/X7VI=")</f>
        <v>#VALUE!</v>
      </c>
      <c r="CF91" t="e">
        <f>AND('Planilla_General_03-12-2012_9_3'!C1446,"AAAAAA/X7VM=")</f>
        <v>#VALUE!</v>
      </c>
      <c r="CG91" t="e">
        <f>AND('Planilla_General_03-12-2012_9_3'!D1446,"AAAAAA/X7VQ=")</f>
        <v>#VALUE!</v>
      </c>
      <c r="CH91" t="e">
        <f>AND('Planilla_General_03-12-2012_9_3'!E1446,"AAAAAA/X7VU=")</f>
        <v>#VALUE!</v>
      </c>
      <c r="CI91" t="e">
        <f>AND('Planilla_General_03-12-2012_9_3'!F1446,"AAAAAA/X7VY=")</f>
        <v>#VALUE!</v>
      </c>
      <c r="CJ91" t="e">
        <f>AND('Planilla_General_03-12-2012_9_3'!G1446,"AAAAAA/X7Vc=")</f>
        <v>#VALUE!</v>
      </c>
      <c r="CK91" t="e">
        <f>AND('Planilla_General_03-12-2012_9_3'!H1446,"AAAAAA/X7Vg=")</f>
        <v>#VALUE!</v>
      </c>
      <c r="CL91" t="e">
        <f>AND('Planilla_General_03-12-2012_9_3'!I1446,"AAAAAA/X7Vk=")</f>
        <v>#VALUE!</v>
      </c>
      <c r="CM91" t="e">
        <f>AND('Planilla_General_03-12-2012_9_3'!J1446,"AAAAAA/X7Vo=")</f>
        <v>#VALUE!</v>
      </c>
      <c r="CN91" t="e">
        <f>AND('Planilla_General_03-12-2012_9_3'!K1446,"AAAAAA/X7Vs=")</f>
        <v>#VALUE!</v>
      </c>
      <c r="CO91" t="e">
        <f>AND('Planilla_General_03-12-2012_9_3'!L1446,"AAAAAA/X7Vw=")</f>
        <v>#VALUE!</v>
      </c>
      <c r="CP91" t="e">
        <f>AND('Planilla_General_03-12-2012_9_3'!M1446,"AAAAAA/X7V0=")</f>
        <v>#VALUE!</v>
      </c>
      <c r="CQ91" t="e">
        <f>AND('Planilla_General_03-12-2012_9_3'!N1446,"AAAAAA/X7V4=")</f>
        <v>#VALUE!</v>
      </c>
      <c r="CR91" t="e">
        <f>AND('Planilla_General_03-12-2012_9_3'!O1446,"AAAAAA/X7V8=")</f>
        <v>#VALUE!</v>
      </c>
      <c r="CS91">
        <f>IF('Planilla_General_03-12-2012_9_3'!1447:1447,"AAAAAA/X7WA=",0)</f>
        <v>0</v>
      </c>
      <c r="CT91" t="e">
        <f>AND('Planilla_General_03-12-2012_9_3'!A1447,"AAAAAA/X7WE=")</f>
        <v>#VALUE!</v>
      </c>
      <c r="CU91" t="e">
        <f>AND('Planilla_General_03-12-2012_9_3'!B1447,"AAAAAA/X7WI=")</f>
        <v>#VALUE!</v>
      </c>
      <c r="CV91" t="e">
        <f>AND('Planilla_General_03-12-2012_9_3'!C1447,"AAAAAA/X7WM=")</f>
        <v>#VALUE!</v>
      </c>
      <c r="CW91" t="e">
        <f>AND('Planilla_General_03-12-2012_9_3'!D1447,"AAAAAA/X7WQ=")</f>
        <v>#VALUE!</v>
      </c>
      <c r="CX91" t="e">
        <f>AND('Planilla_General_03-12-2012_9_3'!E1447,"AAAAAA/X7WU=")</f>
        <v>#VALUE!</v>
      </c>
      <c r="CY91" t="e">
        <f>AND('Planilla_General_03-12-2012_9_3'!F1447,"AAAAAA/X7WY=")</f>
        <v>#VALUE!</v>
      </c>
      <c r="CZ91" t="e">
        <f>AND('Planilla_General_03-12-2012_9_3'!G1447,"AAAAAA/X7Wc=")</f>
        <v>#VALUE!</v>
      </c>
      <c r="DA91" t="e">
        <f>AND('Planilla_General_03-12-2012_9_3'!H1447,"AAAAAA/X7Wg=")</f>
        <v>#VALUE!</v>
      </c>
      <c r="DB91" t="e">
        <f>AND('Planilla_General_03-12-2012_9_3'!I1447,"AAAAAA/X7Wk=")</f>
        <v>#VALUE!</v>
      </c>
      <c r="DC91" t="e">
        <f>AND('Planilla_General_03-12-2012_9_3'!J1447,"AAAAAA/X7Wo=")</f>
        <v>#VALUE!</v>
      </c>
      <c r="DD91" t="e">
        <f>AND('Planilla_General_03-12-2012_9_3'!K1447,"AAAAAA/X7Ws=")</f>
        <v>#VALUE!</v>
      </c>
      <c r="DE91" t="e">
        <f>AND('Planilla_General_03-12-2012_9_3'!L1447,"AAAAAA/X7Ww=")</f>
        <v>#VALUE!</v>
      </c>
      <c r="DF91" t="e">
        <f>AND('Planilla_General_03-12-2012_9_3'!M1447,"AAAAAA/X7W0=")</f>
        <v>#VALUE!</v>
      </c>
      <c r="DG91" t="e">
        <f>AND('Planilla_General_03-12-2012_9_3'!N1447,"AAAAAA/X7W4=")</f>
        <v>#VALUE!</v>
      </c>
      <c r="DH91" t="e">
        <f>AND('Planilla_General_03-12-2012_9_3'!O1447,"AAAAAA/X7W8=")</f>
        <v>#VALUE!</v>
      </c>
      <c r="DI91">
        <f>IF('Planilla_General_03-12-2012_9_3'!1448:1448,"AAAAAA/X7XA=",0)</f>
        <v>0</v>
      </c>
      <c r="DJ91" t="e">
        <f>AND('Planilla_General_03-12-2012_9_3'!A1448,"AAAAAA/X7XE=")</f>
        <v>#VALUE!</v>
      </c>
      <c r="DK91" t="e">
        <f>AND('Planilla_General_03-12-2012_9_3'!B1448,"AAAAAA/X7XI=")</f>
        <v>#VALUE!</v>
      </c>
      <c r="DL91" t="e">
        <f>AND('Planilla_General_03-12-2012_9_3'!C1448,"AAAAAA/X7XM=")</f>
        <v>#VALUE!</v>
      </c>
      <c r="DM91" t="e">
        <f>AND('Planilla_General_03-12-2012_9_3'!D1448,"AAAAAA/X7XQ=")</f>
        <v>#VALUE!</v>
      </c>
      <c r="DN91" t="e">
        <f>AND('Planilla_General_03-12-2012_9_3'!E1448,"AAAAAA/X7XU=")</f>
        <v>#VALUE!</v>
      </c>
      <c r="DO91" t="e">
        <f>AND('Planilla_General_03-12-2012_9_3'!F1448,"AAAAAA/X7XY=")</f>
        <v>#VALUE!</v>
      </c>
      <c r="DP91" t="e">
        <f>AND('Planilla_General_03-12-2012_9_3'!G1448,"AAAAAA/X7Xc=")</f>
        <v>#VALUE!</v>
      </c>
      <c r="DQ91" t="e">
        <f>AND('Planilla_General_03-12-2012_9_3'!H1448,"AAAAAA/X7Xg=")</f>
        <v>#VALUE!</v>
      </c>
      <c r="DR91" t="e">
        <f>AND('Planilla_General_03-12-2012_9_3'!I1448,"AAAAAA/X7Xk=")</f>
        <v>#VALUE!</v>
      </c>
      <c r="DS91" t="e">
        <f>AND('Planilla_General_03-12-2012_9_3'!J1448,"AAAAAA/X7Xo=")</f>
        <v>#VALUE!</v>
      </c>
      <c r="DT91" t="e">
        <f>AND('Planilla_General_03-12-2012_9_3'!K1448,"AAAAAA/X7Xs=")</f>
        <v>#VALUE!</v>
      </c>
      <c r="DU91" t="e">
        <f>AND('Planilla_General_03-12-2012_9_3'!L1448,"AAAAAA/X7Xw=")</f>
        <v>#VALUE!</v>
      </c>
      <c r="DV91" t="e">
        <f>AND('Planilla_General_03-12-2012_9_3'!M1448,"AAAAAA/X7X0=")</f>
        <v>#VALUE!</v>
      </c>
      <c r="DW91" t="e">
        <f>AND('Planilla_General_03-12-2012_9_3'!N1448,"AAAAAA/X7X4=")</f>
        <v>#VALUE!</v>
      </c>
      <c r="DX91" t="e">
        <f>AND('Planilla_General_03-12-2012_9_3'!O1448,"AAAAAA/X7X8=")</f>
        <v>#VALUE!</v>
      </c>
      <c r="DY91">
        <f>IF('Planilla_General_03-12-2012_9_3'!1449:1449,"AAAAAA/X7YA=",0)</f>
        <v>0</v>
      </c>
      <c r="DZ91" t="e">
        <f>AND('Planilla_General_03-12-2012_9_3'!A1449,"AAAAAA/X7YE=")</f>
        <v>#VALUE!</v>
      </c>
      <c r="EA91" t="e">
        <f>AND('Planilla_General_03-12-2012_9_3'!B1449,"AAAAAA/X7YI=")</f>
        <v>#VALUE!</v>
      </c>
      <c r="EB91" t="e">
        <f>AND('Planilla_General_03-12-2012_9_3'!C1449,"AAAAAA/X7YM=")</f>
        <v>#VALUE!</v>
      </c>
      <c r="EC91" t="e">
        <f>AND('Planilla_General_03-12-2012_9_3'!D1449,"AAAAAA/X7YQ=")</f>
        <v>#VALUE!</v>
      </c>
      <c r="ED91" t="e">
        <f>AND('Planilla_General_03-12-2012_9_3'!E1449,"AAAAAA/X7YU=")</f>
        <v>#VALUE!</v>
      </c>
      <c r="EE91" t="e">
        <f>AND('Planilla_General_03-12-2012_9_3'!F1449,"AAAAAA/X7YY=")</f>
        <v>#VALUE!</v>
      </c>
      <c r="EF91" t="e">
        <f>AND('Planilla_General_03-12-2012_9_3'!G1449,"AAAAAA/X7Yc=")</f>
        <v>#VALUE!</v>
      </c>
      <c r="EG91" t="e">
        <f>AND('Planilla_General_03-12-2012_9_3'!H1449,"AAAAAA/X7Yg=")</f>
        <v>#VALUE!</v>
      </c>
      <c r="EH91" t="e">
        <f>AND('Planilla_General_03-12-2012_9_3'!I1449,"AAAAAA/X7Yk=")</f>
        <v>#VALUE!</v>
      </c>
      <c r="EI91" t="e">
        <f>AND('Planilla_General_03-12-2012_9_3'!J1449,"AAAAAA/X7Yo=")</f>
        <v>#VALUE!</v>
      </c>
      <c r="EJ91" t="e">
        <f>AND('Planilla_General_03-12-2012_9_3'!K1449,"AAAAAA/X7Ys=")</f>
        <v>#VALUE!</v>
      </c>
      <c r="EK91" t="e">
        <f>AND('Planilla_General_03-12-2012_9_3'!L1449,"AAAAAA/X7Yw=")</f>
        <v>#VALUE!</v>
      </c>
      <c r="EL91" t="e">
        <f>AND('Planilla_General_03-12-2012_9_3'!M1449,"AAAAAA/X7Y0=")</f>
        <v>#VALUE!</v>
      </c>
      <c r="EM91" t="e">
        <f>AND('Planilla_General_03-12-2012_9_3'!N1449,"AAAAAA/X7Y4=")</f>
        <v>#VALUE!</v>
      </c>
      <c r="EN91" t="e">
        <f>AND('Planilla_General_03-12-2012_9_3'!O1449,"AAAAAA/X7Y8=")</f>
        <v>#VALUE!</v>
      </c>
      <c r="EO91">
        <f>IF('Planilla_General_03-12-2012_9_3'!1450:1450,"AAAAAA/X7ZA=",0)</f>
        <v>0</v>
      </c>
      <c r="EP91" t="e">
        <f>AND('Planilla_General_03-12-2012_9_3'!A1450,"AAAAAA/X7ZE=")</f>
        <v>#VALUE!</v>
      </c>
      <c r="EQ91" t="e">
        <f>AND('Planilla_General_03-12-2012_9_3'!B1450,"AAAAAA/X7ZI=")</f>
        <v>#VALUE!</v>
      </c>
      <c r="ER91" t="e">
        <f>AND('Planilla_General_03-12-2012_9_3'!C1450,"AAAAAA/X7ZM=")</f>
        <v>#VALUE!</v>
      </c>
      <c r="ES91" t="e">
        <f>AND('Planilla_General_03-12-2012_9_3'!D1450,"AAAAAA/X7ZQ=")</f>
        <v>#VALUE!</v>
      </c>
      <c r="ET91" t="e">
        <f>AND('Planilla_General_03-12-2012_9_3'!E1450,"AAAAAA/X7ZU=")</f>
        <v>#VALUE!</v>
      </c>
      <c r="EU91" t="e">
        <f>AND('Planilla_General_03-12-2012_9_3'!F1450,"AAAAAA/X7ZY=")</f>
        <v>#VALUE!</v>
      </c>
      <c r="EV91" t="e">
        <f>AND('Planilla_General_03-12-2012_9_3'!G1450,"AAAAAA/X7Zc=")</f>
        <v>#VALUE!</v>
      </c>
      <c r="EW91" t="e">
        <f>AND('Planilla_General_03-12-2012_9_3'!H1450,"AAAAAA/X7Zg=")</f>
        <v>#VALUE!</v>
      </c>
      <c r="EX91" t="e">
        <f>AND('Planilla_General_03-12-2012_9_3'!I1450,"AAAAAA/X7Zk=")</f>
        <v>#VALUE!</v>
      </c>
      <c r="EY91" t="e">
        <f>AND('Planilla_General_03-12-2012_9_3'!J1450,"AAAAAA/X7Zo=")</f>
        <v>#VALUE!</v>
      </c>
      <c r="EZ91" t="e">
        <f>AND('Planilla_General_03-12-2012_9_3'!K1450,"AAAAAA/X7Zs=")</f>
        <v>#VALUE!</v>
      </c>
      <c r="FA91" t="e">
        <f>AND('Planilla_General_03-12-2012_9_3'!L1450,"AAAAAA/X7Zw=")</f>
        <v>#VALUE!</v>
      </c>
      <c r="FB91" t="e">
        <f>AND('Planilla_General_03-12-2012_9_3'!M1450,"AAAAAA/X7Z0=")</f>
        <v>#VALUE!</v>
      </c>
      <c r="FC91" t="e">
        <f>AND('Planilla_General_03-12-2012_9_3'!N1450,"AAAAAA/X7Z4=")</f>
        <v>#VALUE!</v>
      </c>
      <c r="FD91" t="e">
        <f>AND('Planilla_General_03-12-2012_9_3'!O1450,"AAAAAA/X7Z8=")</f>
        <v>#VALUE!</v>
      </c>
      <c r="FE91">
        <f>IF('Planilla_General_03-12-2012_9_3'!1451:1451,"AAAAAA/X7aA=",0)</f>
        <v>0</v>
      </c>
      <c r="FF91" t="e">
        <f>AND('Planilla_General_03-12-2012_9_3'!A1451,"AAAAAA/X7aE=")</f>
        <v>#VALUE!</v>
      </c>
      <c r="FG91" t="e">
        <f>AND('Planilla_General_03-12-2012_9_3'!B1451,"AAAAAA/X7aI=")</f>
        <v>#VALUE!</v>
      </c>
      <c r="FH91" t="e">
        <f>AND('Planilla_General_03-12-2012_9_3'!C1451,"AAAAAA/X7aM=")</f>
        <v>#VALUE!</v>
      </c>
      <c r="FI91" t="e">
        <f>AND('Planilla_General_03-12-2012_9_3'!D1451,"AAAAAA/X7aQ=")</f>
        <v>#VALUE!</v>
      </c>
      <c r="FJ91" t="e">
        <f>AND('Planilla_General_03-12-2012_9_3'!E1451,"AAAAAA/X7aU=")</f>
        <v>#VALUE!</v>
      </c>
      <c r="FK91" t="e">
        <f>AND('Planilla_General_03-12-2012_9_3'!F1451,"AAAAAA/X7aY=")</f>
        <v>#VALUE!</v>
      </c>
      <c r="FL91" t="e">
        <f>AND('Planilla_General_03-12-2012_9_3'!G1451,"AAAAAA/X7ac=")</f>
        <v>#VALUE!</v>
      </c>
      <c r="FM91" t="e">
        <f>AND('Planilla_General_03-12-2012_9_3'!H1451,"AAAAAA/X7ag=")</f>
        <v>#VALUE!</v>
      </c>
      <c r="FN91" t="e">
        <f>AND('Planilla_General_03-12-2012_9_3'!I1451,"AAAAAA/X7ak=")</f>
        <v>#VALUE!</v>
      </c>
      <c r="FO91" t="e">
        <f>AND('Planilla_General_03-12-2012_9_3'!J1451,"AAAAAA/X7ao=")</f>
        <v>#VALUE!</v>
      </c>
      <c r="FP91" t="e">
        <f>AND('Planilla_General_03-12-2012_9_3'!K1451,"AAAAAA/X7as=")</f>
        <v>#VALUE!</v>
      </c>
      <c r="FQ91" t="e">
        <f>AND('Planilla_General_03-12-2012_9_3'!L1451,"AAAAAA/X7aw=")</f>
        <v>#VALUE!</v>
      </c>
      <c r="FR91" t="e">
        <f>AND('Planilla_General_03-12-2012_9_3'!M1451,"AAAAAA/X7a0=")</f>
        <v>#VALUE!</v>
      </c>
      <c r="FS91" t="e">
        <f>AND('Planilla_General_03-12-2012_9_3'!N1451,"AAAAAA/X7a4=")</f>
        <v>#VALUE!</v>
      </c>
      <c r="FT91" t="e">
        <f>AND('Planilla_General_03-12-2012_9_3'!O1451,"AAAAAA/X7a8=")</f>
        <v>#VALUE!</v>
      </c>
      <c r="FU91">
        <f>IF('Planilla_General_03-12-2012_9_3'!1452:1452,"AAAAAA/X7bA=",0)</f>
        <v>0</v>
      </c>
      <c r="FV91" t="e">
        <f>AND('Planilla_General_03-12-2012_9_3'!A1452,"AAAAAA/X7bE=")</f>
        <v>#VALUE!</v>
      </c>
      <c r="FW91" t="e">
        <f>AND('Planilla_General_03-12-2012_9_3'!B1452,"AAAAAA/X7bI=")</f>
        <v>#VALUE!</v>
      </c>
      <c r="FX91" t="e">
        <f>AND('Planilla_General_03-12-2012_9_3'!C1452,"AAAAAA/X7bM=")</f>
        <v>#VALUE!</v>
      </c>
      <c r="FY91" t="e">
        <f>AND('Planilla_General_03-12-2012_9_3'!D1452,"AAAAAA/X7bQ=")</f>
        <v>#VALUE!</v>
      </c>
      <c r="FZ91" t="e">
        <f>AND('Planilla_General_03-12-2012_9_3'!E1452,"AAAAAA/X7bU=")</f>
        <v>#VALUE!</v>
      </c>
      <c r="GA91" t="e">
        <f>AND('Planilla_General_03-12-2012_9_3'!F1452,"AAAAAA/X7bY=")</f>
        <v>#VALUE!</v>
      </c>
      <c r="GB91" t="e">
        <f>AND('Planilla_General_03-12-2012_9_3'!G1452,"AAAAAA/X7bc=")</f>
        <v>#VALUE!</v>
      </c>
      <c r="GC91" t="e">
        <f>AND('Planilla_General_03-12-2012_9_3'!H1452,"AAAAAA/X7bg=")</f>
        <v>#VALUE!</v>
      </c>
      <c r="GD91" t="e">
        <f>AND('Planilla_General_03-12-2012_9_3'!I1452,"AAAAAA/X7bk=")</f>
        <v>#VALUE!</v>
      </c>
      <c r="GE91" t="e">
        <f>AND('Planilla_General_03-12-2012_9_3'!J1452,"AAAAAA/X7bo=")</f>
        <v>#VALUE!</v>
      </c>
      <c r="GF91" t="e">
        <f>AND('Planilla_General_03-12-2012_9_3'!K1452,"AAAAAA/X7bs=")</f>
        <v>#VALUE!</v>
      </c>
      <c r="GG91" t="e">
        <f>AND('Planilla_General_03-12-2012_9_3'!L1452,"AAAAAA/X7bw=")</f>
        <v>#VALUE!</v>
      </c>
      <c r="GH91" t="e">
        <f>AND('Planilla_General_03-12-2012_9_3'!M1452,"AAAAAA/X7b0=")</f>
        <v>#VALUE!</v>
      </c>
      <c r="GI91" t="e">
        <f>AND('Planilla_General_03-12-2012_9_3'!N1452,"AAAAAA/X7b4=")</f>
        <v>#VALUE!</v>
      </c>
      <c r="GJ91" t="e">
        <f>AND('Planilla_General_03-12-2012_9_3'!O1452,"AAAAAA/X7b8=")</f>
        <v>#VALUE!</v>
      </c>
      <c r="GK91">
        <f>IF('Planilla_General_03-12-2012_9_3'!1453:1453,"AAAAAA/X7cA=",0)</f>
        <v>0</v>
      </c>
      <c r="GL91" t="e">
        <f>AND('Planilla_General_03-12-2012_9_3'!A1453,"AAAAAA/X7cE=")</f>
        <v>#VALUE!</v>
      </c>
      <c r="GM91" t="e">
        <f>AND('Planilla_General_03-12-2012_9_3'!B1453,"AAAAAA/X7cI=")</f>
        <v>#VALUE!</v>
      </c>
      <c r="GN91" t="e">
        <f>AND('Planilla_General_03-12-2012_9_3'!C1453,"AAAAAA/X7cM=")</f>
        <v>#VALUE!</v>
      </c>
      <c r="GO91" t="e">
        <f>AND('Planilla_General_03-12-2012_9_3'!D1453,"AAAAAA/X7cQ=")</f>
        <v>#VALUE!</v>
      </c>
      <c r="GP91" t="e">
        <f>AND('Planilla_General_03-12-2012_9_3'!E1453,"AAAAAA/X7cU=")</f>
        <v>#VALUE!</v>
      </c>
      <c r="GQ91" t="e">
        <f>AND('Planilla_General_03-12-2012_9_3'!F1453,"AAAAAA/X7cY=")</f>
        <v>#VALUE!</v>
      </c>
      <c r="GR91" t="e">
        <f>AND('Planilla_General_03-12-2012_9_3'!G1453,"AAAAAA/X7cc=")</f>
        <v>#VALUE!</v>
      </c>
      <c r="GS91" t="e">
        <f>AND('Planilla_General_03-12-2012_9_3'!H1453,"AAAAAA/X7cg=")</f>
        <v>#VALUE!</v>
      </c>
      <c r="GT91" t="e">
        <f>AND('Planilla_General_03-12-2012_9_3'!I1453,"AAAAAA/X7ck=")</f>
        <v>#VALUE!</v>
      </c>
      <c r="GU91" t="e">
        <f>AND('Planilla_General_03-12-2012_9_3'!J1453,"AAAAAA/X7co=")</f>
        <v>#VALUE!</v>
      </c>
      <c r="GV91" t="e">
        <f>AND('Planilla_General_03-12-2012_9_3'!K1453,"AAAAAA/X7cs=")</f>
        <v>#VALUE!</v>
      </c>
      <c r="GW91" t="e">
        <f>AND('Planilla_General_03-12-2012_9_3'!L1453,"AAAAAA/X7cw=")</f>
        <v>#VALUE!</v>
      </c>
      <c r="GX91" t="e">
        <f>AND('Planilla_General_03-12-2012_9_3'!M1453,"AAAAAA/X7c0=")</f>
        <v>#VALUE!</v>
      </c>
      <c r="GY91" t="e">
        <f>AND('Planilla_General_03-12-2012_9_3'!N1453,"AAAAAA/X7c4=")</f>
        <v>#VALUE!</v>
      </c>
      <c r="GZ91" t="e">
        <f>AND('Planilla_General_03-12-2012_9_3'!O1453,"AAAAAA/X7c8=")</f>
        <v>#VALUE!</v>
      </c>
      <c r="HA91">
        <f>IF('Planilla_General_03-12-2012_9_3'!1454:1454,"AAAAAA/X7dA=",0)</f>
        <v>0</v>
      </c>
      <c r="HB91" t="e">
        <f>AND('Planilla_General_03-12-2012_9_3'!A1454,"AAAAAA/X7dE=")</f>
        <v>#VALUE!</v>
      </c>
      <c r="HC91" t="e">
        <f>AND('Planilla_General_03-12-2012_9_3'!B1454,"AAAAAA/X7dI=")</f>
        <v>#VALUE!</v>
      </c>
      <c r="HD91" t="e">
        <f>AND('Planilla_General_03-12-2012_9_3'!C1454,"AAAAAA/X7dM=")</f>
        <v>#VALUE!</v>
      </c>
      <c r="HE91" t="e">
        <f>AND('Planilla_General_03-12-2012_9_3'!D1454,"AAAAAA/X7dQ=")</f>
        <v>#VALUE!</v>
      </c>
      <c r="HF91" t="e">
        <f>AND('Planilla_General_03-12-2012_9_3'!E1454,"AAAAAA/X7dU=")</f>
        <v>#VALUE!</v>
      </c>
      <c r="HG91" t="e">
        <f>AND('Planilla_General_03-12-2012_9_3'!F1454,"AAAAAA/X7dY=")</f>
        <v>#VALUE!</v>
      </c>
      <c r="HH91" t="e">
        <f>AND('Planilla_General_03-12-2012_9_3'!G1454,"AAAAAA/X7dc=")</f>
        <v>#VALUE!</v>
      </c>
      <c r="HI91" t="e">
        <f>AND('Planilla_General_03-12-2012_9_3'!H1454,"AAAAAA/X7dg=")</f>
        <v>#VALUE!</v>
      </c>
      <c r="HJ91" t="e">
        <f>AND('Planilla_General_03-12-2012_9_3'!I1454,"AAAAAA/X7dk=")</f>
        <v>#VALUE!</v>
      </c>
      <c r="HK91" t="e">
        <f>AND('Planilla_General_03-12-2012_9_3'!J1454,"AAAAAA/X7do=")</f>
        <v>#VALUE!</v>
      </c>
      <c r="HL91" t="e">
        <f>AND('Planilla_General_03-12-2012_9_3'!K1454,"AAAAAA/X7ds=")</f>
        <v>#VALUE!</v>
      </c>
      <c r="HM91" t="e">
        <f>AND('Planilla_General_03-12-2012_9_3'!L1454,"AAAAAA/X7dw=")</f>
        <v>#VALUE!</v>
      </c>
      <c r="HN91" t="e">
        <f>AND('Planilla_General_03-12-2012_9_3'!M1454,"AAAAAA/X7d0=")</f>
        <v>#VALUE!</v>
      </c>
      <c r="HO91" t="e">
        <f>AND('Planilla_General_03-12-2012_9_3'!N1454,"AAAAAA/X7d4=")</f>
        <v>#VALUE!</v>
      </c>
      <c r="HP91" t="e">
        <f>AND('Planilla_General_03-12-2012_9_3'!O1454,"AAAAAA/X7d8=")</f>
        <v>#VALUE!</v>
      </c>
      <c r="HQ91">
        <f>IF('Planilla_General_03-12-2012_9_3'!1455:1455,"AAAAAA/X7eA=",0)</f>
        <v>0</v>
      </c>
      <c r="HR91" t="e">
        <f>AND('Planilla_General_03-12-2012_9_3'!A1455,"AAAAAA/X7eE=")</f>
        <v>#VALUE!</v>
      </c>
      <c r="HS91" t="e">
        <f>AND('Planilla_General_03-12-2012_9_3'!B1455,"AAAAAA/X7eI=")</f>
        <v>#VALUE!</v>
      </c>
      <c r="HT91" t="e">
        <f>AND('Planilla_General_03-12-2012_9_3'!C1455,"AAAAAA/X7eM=")</f>
        <v>#VALUE!</v>
      </c>
      <c r="HU91" t="e">
        <f>AND('Planilla_General_03-12-2012_9_3'!D1455,"AAAAAA/X7eQ=")</f>
        <v>#VALUE!</v>
      </c>
      <c r="HV91" t="e">
        <f>AND('Planilla_General_03-12-2012_9_3'!E1455,"AAAAAA/X7eU=")</f>
        <v>#VALUE!</v>
      </c>
      <c r="HW91" t="e">
        <f>AND('Planilla_General_03-12-2012_9_3'!F1455,"AAAAAA/X7eY=")</f>
        <v>#VALUE!</v>
      </c>
      <c r="HX91" t="e">
        <f>AND('Planilla_General_03-12-2012_9_3'!G1455,"AAAAAA/X7ec=")</f>
        <v>#VALUE!</v>
      </c>
      <c r="HY91" t="e">
        <f>AND('Planilla_General_03-12-2012_9_3'!H1455,"AAAAAA/X7eg=")</f>
        <v>#VALUE!</v>
      </c>
      <c r="HZ91" t="e">
        <f>AND('Planilla_General_03-12-2012_9_3'!I1455,"AAAAAA/X7ek=")</f>
        <v>#VALUE!</v>
      </c>
      <c r="IA91" t="e">
        <f>AND('Planilla_General_03-12-2012_9_3'!J1455,"AAAAAA/X7eo=")</f>
        <v>#VALUE!</v>
      </c>
      <c r="IB91" t="e">
        <f>AND('Planilla_General_03-12-2012_9_3'!K1455,"AAAAAA/X7es=")</f>
        <v>#VALUE!</v>
      </c>
      <c r="IC91" t="e">
        <f>AND('Planilla_General_03-12-2012_9_3'!L1455,"AAAAAA/X7ew=")</f>
        <v>#VALUE!</v>
      </c>
      <c r="ID91" t="e">
        <f>AND('Planilla_General_03-12-2012_9_3'!M1455,"AAAAAA/X7e0=")</f>
        <v>#VALUE!</v>
      </c>
      <c r="IE91" t="e">
        <f>AND('Planilla_General_03-12-2012_9_3'!N1455,"AAAAAA/X7e4=")</f>
        <v>#VALUE!</v>
      </c>
      <c r="IF91" t="e">
        <f>AND('Planilla_General_03-12-2012_9_3'!O1455,"AAAAAA/X7e8=")</f>
        <v>#VALUE!</v>
      </c>
      <c r="IG91">
        <f>IF('Planilla_General_03-12-2012_9_3'!1456:1456,"AAAAAA/X7fA=",0)</f>
        <v>0</v>
      </c>
      <c r="IH91" t="e">
        <f>AND('Planilla_General_03-12-2012_9_3'!A1456,"AAAAAA/X7fE=")</f>
        <v>#VALUE!</v>
      </c>
      <c r="II91" t="e">
        <f>AND('Planilla_General_03-12-2012_9_3'!B1456,"AAAAAA/X7fI=")</f>
        <v>#VALUE!</v>
      </c>
      <c r="IJ91" t="e">
        <f>AND('Planilla_General_03-12-2012_9_3'!C1456,"AAAAAA/X7fM=")</f>
        <v>#VALUE!</v>
      </c>
      <c r="IK91" t="e">
        <f>AND('Planilla_General_03-12-2012_9_3'!D1456,"AAAAAA/X7fQ=")</f>
        <v>#VALUE!</v>
      </c>
      <c r="IL91" t="e">
        <f>AND('Planilla_General_03-12-2012_9_3'!E1456,"AAAAAA/X7fU=")</f>
        <v>#VALUE!</v>
      </c>
      <c r="IM91" t="e">
        <f>AND('Planilla_General_03-12-2012_9_3'!F1456,"AAAAAA/X7fY=")</f>
        <v>#VALUE!</v>
      </c>
      <c r="IN91" t="e">
        <f>AND('Planilla_General_03-12-2012_9_3'!G1456,"AAAAAA/X7fc=")</f>
        <v>#VALUE!</v>
      </c>
      <c r="IO91" t="e">
        <f>AND('Planilla_General_03-12-2012_9_3'!H1456,"AAAAAA/X7fg=")</f>
        <v>#VALUE!</v>
      </c>
      <c r="IP91" t="e">
        <f>AND('Planilla_General_03-12-2012_9_3'!I1456,"AAAAAA/X7fk=")</f>
        <v>#VALUE!</v>
      </c>
      <c r="IQ91" t="e">
        <f>AND('Planilla_General_03-12-2012_9_3'!J1456,"AAAAAA/X7fo=")</f>
        <v>#VALUE!</v>
      </c>
      <c r="IR91" t="e">
        <f>AND('Planilla_General_03-12-2012_9_3'!K1456,"AAAAAA/X7fs=")</f>
        <v>#VALUE!</v>
      </c>
      <c r="IS91" t="e">
        <f>AND('Planilla_General_03-12-2012_9_3'!L1456,"AAAAAA/X7fw=")</f>
        <v>#VALUE!</v>
      </c>
      <c r="IT91" t="e">
        <f>AND('Planilla_General_03-12-2012_9_3'!M1456,"AAAAAA/X7f0=")</f>
        <v>#VALUE!</v>
      </c>
      <c r="IU91" t="e">
        <f>AND('Planilla_General_03-12-2012_9_3'!N1456,"AAAAAA/X7f4=")</f>
        <v>#VALUE!</v>
      </c>
      <c r="IV91" t="e">
        <f>AND('Planilla_General_03-12-2012_9_3'!O1456,"AAAAAA/X7f8=")</f>
        <v>#VALUE!</v>
      </c>
    </row>
    <row r="92" spans="1:256" x14ac:dyDescent="0.25">
      <c r="A92" t="e">
        <f>IF('Planilla_General_03-12-2012_9_3'!1457:1457,"AAAAAH//uwA=",0)</f>
        <v>#VALUE!</v>
      </c>
      <c r="B92" t="e">
        <f>AND('Planilla_General_03-12-2012_9_3'!A1457,"AAAAAH//uwE=")</f>
        <v>#VALUE!</v>
      </c>
      <c r="C92" t="e">
        <f>AND('Planilla_General_03-12-2012_9_3'!B1457,"AAAAAH//uwI=")</f>
        <v>#VALUE!</v>
      </c>
      <c r="D92" t="e">
        <f>AND('Planilla_General_03-12-2012_9_3'!C1457,"AAAAAH//uwM=")</f>
        <v>#VALUE!</v>
      </c>
      <c r="E92" t="e">
        <f>AND('Planilla_General_03-12-2012_9_3'!D1457,"AAAAAH//uwQ=")</f>
        <v>#VALUE!</v>
      </c>
      <c r="F92" t="e">
        <f>AND('Planilla_General_03-12-2012_9_3'!E1457,"AAAAAH//uwU=")</f>
        <v>#VALUE!</v>
      </c>
      <c r="G92" t="e">
        <f>AND('Planilla_General_03-12-2012_9_3'!F1457,"AAAAAH//uwY=")</f>
        <v>#VALUE!</v>
      </c>
      <c r="H92" t="e">
        <f>AND('Planilla_General_03-12-2012_9_3'!G1457,"AAAAAH//uwc=")</f>
        <v>#VALUE!</v>
      </c>
      <c r="I92" t="e">
        <f>AND('Planilla_General_03-12-2012_9_3'!H1457,"AAAAAH//uwg=")</f>
        <v>#VALUE!</v>
      </c>
      <c r="J92" t="e">
        <f>AND('Planilla_General_03-12-2012_9_3'!I1457,"AAAAAH//uwk=")</f>
        <v>#VALUE!</v>
      </c>
      <c r="K92" t="e">
        <f>AND('Planilla_General_03-12-2012_9_3'!J1457,"AAAAAH//uwo=")</f>
        <v>#VALUE!</v>
      </c>
      <c r="L92" t="e">
        <f>AND('Planilla_General_03-12-2012_9_3'!K1457,"AAAAAH//uws=")</f>
        <v>#VALUE!</v>
      </c>
      <c r="M92" t="e">
        <f>AND('Planilla_General_03-12-2012_9_3'!L1457,"AAAAAH//uww=")</f>
        <v>#VALUE!</v>
      </c>
      <c r="N92" t="e">
        <f>AND('Planilla_General_03-12-2012_9_3'!M1457,"AAAAAH//uw0=")</f>
        <v>#VALUE!</v>
      </c>
      <c r="O92" t="e">
        <f>AND('Planilla_General_03-12-2012_9_3'!N1457,"AAAAAH//uw4=")</f>
        <v>#VALUE!</v>
      </c>
      <c r="P92" t="e">
        <f>AND('Planilla_General_03-12-2012_9_3'!O1457,"AAAAAH//uw8=")</f>
        <v>#VALUE!</v>
      </c>
      <c r="Q92">
        <f>IF('Planilla_General_03-12-2012_9_3'!1458:1458,"AAAAAH//uxA=",0)</f>
        <v>0</v>
      </c>
      <c r="R92" t="e">
        <f>AND('Planilla_General_03-12-2012_9_3'!A1458,"AAAAAH//uxE=")</f>
        <v>#VALUE!</v>
      </c>
      <c r="S92" t="e">
        <f>AND('Planilla_General_03-12-2012_9_3'!B1458,"AAAAAH//uxI=")</f>
        <v>#VALUE!</v>
      </c>
      <c r="T92" t="e">
        <f>AND('Planilla_General_03-12-2012_9_3'!C1458,"AAAAAH//uxM=")</f>
        <v>#VALUE!</v>
      </c>
      <c r="U92" t="e">
        <f>AND('Planilla_General_03-12-2012_9_3'!D1458,"AAAAAH//uxQ=")</f>
        <v>#VALUE!</v>
      </c>
      <c r="V92" t="e">
        <f>AND('Planilla_General_03-12-2012_9_3'!E1458,"AAAAAH//uxU=")</f>
        <v>#VALUE!</v>
      </c>
      <c r="W92" t="e">
        <f>AND('Planilla_General_03-12-2012_9_3'!F1458,"AAAAAH//uxY=")</f>
        <v>#VALUE!</v>
      </c>
      <c r="X92" t="e">
        <f>AND('Planilla_General_03-12-2012_9_3'!G1458,"AAAAAH//uxc=")</f>
        <v>#VALUE!</v>
      </c>
      <c r="Y92" t="e">
        <f>AND('Planilla_General_03-12-2012_9_3'!H1458,"AAAAAH//uxg=")</f>
        <v>#VALUE!</v>
      </c>
      <c r="Z92" t="e">
        <f>AND('Planilla_General_03-12-2012_9_3'!I1458,"AAAAAH//uxk=")</f>
        <v>#VALUE!</v>
      </c>
      <c r="AA92" t="e">
        <f>AND('Planilla_General_03-12-2012_9_3'!J1458,"AAAAAH//uxo=")</f>
        <v>#VALUE!</v>
      </c>
      <c r="AB92" t="e">
        <f>AND('Planilla_General_03-12-2012_9_3'!K1458,"AAAAAH//uxs=")</f>
        <v>#VALUE!</v>
      </c>
      <c r="AC92" t="e">
        <f>AND('Planilla_General_03-12-2012_9_3'!L1458,"AAAAAH//uxw=")</f>
        <v>#VALUE!</v>
      </c>
      <c r="AD92" t="e">
        <f>AND('Planilla_General_03-12-2012_9_3'!M1458,"AAAAAH//ux0=")</f>
        <v>#VALUE!</v>
      </c>
      <c r="AE92" t="e">
        <f>AND('Planilla_General_03-12-2012_9_3'!N1458,"AAAAAH//ux4=")</f>
        <v>#VALUE!</v>
      </c>
      <c r="AF92" t="e">
        <f>AND('Planilla_General_03-12-2012_9_3'!O1458,"AAAAAH//ux8=")</f>
        <v>#VALUE!</v>
      </c>
      <c r="AG92">
        <f>IF('Planilla_General_03-12-2012_9_3'!1459:1459,"AAAAAH//uyA=",0)</f>
        <v>0</v>
      </c>
      <c r="AH92" t="e">
        <f>AND('Planilla_General_03-12-2012_9_3'!A1459,"AAAAAH//uyE=")</f>
        <v>#VALUE!</v>
      </c>
      <c r="AI92" t="e">
        <f>AND('Planilla_General_03-12-2012_9_3'!B1459,"AAAAAH//uyI=")</f>
        <v>#VALUE!</v>
      </c>
      <c r="AJ92" t="e">
        <f>AND('Planilla_General_03-12-2012_9_3'!C1459,"AAAAAH//uyM=")</f>
        <v>#VALUE!</v>
      </c>
      <c r="AK92" t="e">
        <f>AND('Planilla_General_03-12-2012_9_3'!D1459,"AAAAAH//uyQ=")</f>
        <v>#VALUE!</v>
      </c>
      <c r="AL92" t="e">
        <f>AND('Planilla_General_03-12-2012_9_3'!E1459,"AAAAAH//uyU=")</f>
        <v>#VALUE!</v>
      </c>
      <c r="AM92" t="e">
        <f>AND('Planilla_General_03-12-2012_9_3'!F1459,"AAAAAH//uyY=")</f>
        <v>#VALUE!</v>
      </c>
      <c r="AN92" t="e">
        <f>AND('Planilla_General_03-12-2012_9_3'!G1459,"AAAAAH//uyc=")</f>
        <v>#VALUE!</v>
      </c>
      <c r="AO92" t="e">
        <f>AND('Planilla_General_03-12-2012_9_3'!H1459,"AAAAAH//uyg=")</f>
        <v>#VALUE!</v>
      </c>
      <c r="AP92" t="e">
        <f>AND('Planilla_General_03-12-2012_9_3'!I1459,"AAAAAH//uyk=")</f>
        <v>#VALUE!</v>
      </c>
      <c r="AQ92" t="e">
        <f>AND('Planilla_General_03-12-2012_9_3'!J1459,"AAAAAH//uyo=")</f>
        <v>#VALUE!</v>
      </c>
      <c r="AR92" t="e">
        <f>AND('Planilla_General_03-12-2012_9_3'!K1459,"AAAAAH//uys=")</f>
        <v>#VALUE!</v>
      </c>
      <c r="AS92" t="e">
        <f>AND('Planilla_General_03-12-2012_9_3'!L1459,"AAAAAH//uyw=")</f>
        <v>#VALUE!</v>
      </c>
      <c r="AT92" t="e">
        <f>AND('Planilla_General_03-12-2012_9_3'!M1459,"AAAAAH//uy0=")</f>
        <v>#VALUE!</v>
      </c>
      <c r="AU92" t="e">
        <f>AND('Planilla_General_03-12-2012_9_3'!N1459,"AAAAAH//uy4=")</f>
        <v>#VALUE!</v>
      </c>
      <c r="AV92" t="e">
        <f>AND('Planilla_General_03-12-2012_9_3'!O1459,"AAAAAH//uy8=")</f>
        <v>#VALUE!</v>
      </c>
      <c r="AW92">
        <f>IF('Planilla_General_03-12-2012_9_3'!1460:1460,"AAAAAH//uzA=",0)</f>
        <v>0</v>
      </c>
      <c r="AX92" t="e">
        <f>AND('Planilla_General_03-12-2012_9_3'!A1460,"AAAAAH//uzE=")</f>
        <v>#VALUE!</v>
      </c>
      <c r="AY92" t="e">
        <f>AND('Planilla_General_03-12-2012_9_3'!B1460,"AAAAAH//uzI=")</f>
        <v>#VALUE!</v>
      </c>
      <c r="AZ92" t="e">
        <f>AND('Planilla_General_03-12-2012_9_3'!C1460,"AAAAAH//uzM=")</f>
        <v>#VALUE!</v>
      </c>
      <c r="BA92" t="e">
        <f>AND('Planilla_General_03-12-2012_9_3'!D1460,"AAAAAH//uzQ=")</f>
        <v>#VALUE!</v>
      </c>
      <c r="BB92" t="e">
        <f>AND('Planilla_General_03-12-2012_9_3'!E1460,"AAAAAH//uzU=")</f>
        <v>#VALUE!</v>
      </c>
      <c r="BC92" t="e">
        <f>AND('Planilla_General_03-12-2012_9_3'!F1460,"AAAAAH//uzY=")</f>
        <v>#VALUE!</v>
      </c>
      <c r="BD92" t="e">
        <f>AND('Planilla_General_03-12-2012_9_3'!G1460,"AAAAAH//uzc=")</f>
        <v>#VALUE!</v>
      </c>
      <c r="BE92" t="e">
        <f>AND('Planilla_General_03-12-2012_9_3'!H1460,"AAAAAH//uzg=")</f>
        <v>#VALUE!</v>
      </c>
      <c r="BF92" t="e">
        <f>AND('Planilla_General_03-12-2012_9_3'!I1460,"AAAAAH//uzk=")</f>
        <v>#VALUE!</v>
      </c>
      <c r="BG92" t="e">
        <f>AND('Planilla_General_03-12-2012_9_3'!J1460,"AAAAAH//uzo=")</f>
        <v>#VALUE!</v>
      </c>
      <c r="BH92" t="e">
        <f>AND('Planilla_General_03-12-2012_9_3'!K1460,"AAAAAH//uzs=")</f>
        <v>#VALUE!</v>
      </c>
      <c r="BI92" t="e">
        <f>AND('Planilla_General_03-12-2012_9_3'!L1460,"AAAAAH//uzw=")</f>
        <v>#VALUE!</v>
      </c>
      <c r="BJ92" t="e">
        <f>AND('Planilla_General_03-12-2012_9_3'!M1460,"AAAAAH//uz0=")</f>
        <v>#VALUE!</v>
      </c>
      <c r="BK92" t="e">
        <f>AND('Planilla_General_03-12-2012_9_3'!N1460,"AAAAAH//uz4=")</f>
        <v>#VALUE!</v>
      </c>
      <c r="BL92" t="e">
        <f>AND('Planilla_General_03-12-2012_9_3'!O1460,"AAAAAH//uz8=")</f>
        <v>#VALUE!</v>
      </c>
      <c r="BM92">
        <f>IF('Planilla_General_03-12-2012_9_3'!1461:1461,"AAAAAH//u0A=",0)</f>
        <v>0</v>
      </c>
      <c r="BN92" t="e">
        <f>AND('Planilla_General_03-12-2012_9_3'!A1461,"AAAAAH//u0E=")</f>
        <v>#VALUE!</v>
      </c>
      <c r="BO92" t="e">
        <f>AND('Planilla_General_03-12-2012_9_3'!B1461,"AAAAAH//u0I=")</f>
        <v>#VALUE!</v>
      </c>
      <c r="BP92" t="e">
        <f>AND('Planilla_General_03-12-2012_9_3'!C1461,"AAAAAH//u0M=")</f>
        <v>#VALUE!</v>
      </c>
      <c r="BQ92" t="e">
        <f>AND('Planilla_General_03-12-2012_9_3'!D1461,"AAAAAH//u0Q=")</f>
        <v>#VALUE!</v>
      </c>
      <c r="BR92" t="e">
        <f>AND('Planilla_General_03-12-2012_9_3'!E1461,"AAAAAH//u0U=")</f>
        <v>#VALUE!</v>
      </c>
      <c r="BS92" t="e">
        <f>AND('Planilla_General_03-12-2012_9_3'!F1461,"AAAAAH//u0Y=")</f>
        <v>#VALUE!</v>
      </c>
      <c r="BT92" t="e">
        <f>AND('Planilla_General_03-12-2012_9_3'!G1461,"AAAAAH//u0c=")</f>
        <v>#VALUE!</v>
      </c>
      <c r="BU92" t="e">
        <f>AND('Planilla_General_03-12-2012_9_3'!H1461,"AAAAAH//u0g=")</f>
        <v>#VALUE!</v>
      </c>
      <c r="BV92" t="e">
        <f>AND('Planilla_General_03-12-2012_9_3'!I1461,"AAAAAH//u0k=")</f>
        <v>#VALUE!</v>
      </c>
      <c r="BW92" t="e">
        <f>AND('Planilla_General_03-12-2012_9_3'!J1461,"AAAAAH//u0o=")</f>
        <v>#VALUE!</v>
      </c>
      <c r="BX92" t="e">
        <f>AND('Planilla_General_03-12-2012_9_3'!K1461,"AAAAAH//u0s=")</f>
        <v>#VALUE!</v>
      </c>
      <c r="BY92" t="e">
        <f>AND('Planilla_General_03-12-2012_9_3'!L1461,"AAAAAH//u0w=")</f>
        <v>#VALUE!</v>
      </c>
      <c r="BZ92" t="e">
        <f>AND('Planilla_General_03-12-2012_9_3'!M1461,"AAAAAH//u00=")</f>
        <v>#VALUE!</v>
      </c>
      <c r="CA92" t="e">
        <f>AND('Planilla_General_03-12-2012_9_3'!N1461,"AAAAAH//u04=")</f>
        <v>#VALUE!</v>
      </c>
      <c r="CB92" t="e">
        <f>AND('Planilla_General_03-12-2012_9_3'!O1461,"AAAAAH//u08=")</f>
        <v>#VALUE!</v>
      </c>
      <c r="CC92">
        <f>IF('Planilla_General_03-12-2012_9_3'!1462:1462,"AAAAAH//u1A=",0)</f>
        <v>0</v>
      </c>
      <c r="CD92" t="e">
        <f>AND('Planilla_General_03-12-2012_9_3'!A1462,"AAAAAH//u1E=")</f>
        <v>#VALUE!</v>
      </c>
      <c r="CE92" t="e">
        <f>AND('Planilla_General_03-12-2012_9_3'!B1462,"AAAAAH//u1I=")</f>
        <v>#VALUE!</v>
      </c>
      <c r="CF92" t="e">
        <f>AND('Planilla_General_03-12-2012_9_3'!C1462,"AAAAAH//u1M=")</f>
        <v>#VALUE!</v>
      </c>
      <c r="CG92" t="e">
        <f>AND('Planilla_General_03-12-2012_9_3'!D1462,"AAAAAH//u1Q=")</f>
        <v>#VALUE!</v>
      </c>
      <c r="CH92" t="e">
        <f>AND('Planilla_General_03-12-2012_9_3'!E1462,"AAAAAH//u1U=")</f>
        <v>#VALUE!</v>
      </c>
      <c r="CI92" t="e">
        <f>AND('Planilla_General_03-12-2012_9_3'!F1462,"AAAAAH//u1Y=")</f>
        <v>#VALUE!</v>
      </c>
      <c r="CJ92" t="e">
        <f>AND('Planilla_General_03-12-2012_9_3'!G1462,"AAAAAH//u1c=")</f>
        <v>#VALUE!</v>
      </c>
      <c r="CK92" t="e">
        <f>AND('Planilla_General_03-12-2012_9_3'!H1462,"AAAAAH//u1g=")</f>
        <v>#VALUE!</v>
      </c>
      <c r="CL92" t="e">
        <f>AND('Planilla_General_03-12-2012_9_3'!I1462,"AAAAAH//u1k=")</f>
        <v>#VALUE!</v>
      </c>
      <c r="CM92" t="e">
        <f>AND('Planilla_General_03-12-2012_9_3'!J1462,"AAAAAH//u1o=")</f>
        <v>#VALUE!</v>
      </c>
      <c r="CN92" t="e">
        <f>AND('Planilla_General_03-12-2012_9_3'!K1462,"AAAAAH//u1s=")</f>
        <v>#VALUE!</v>
      </c>
      <c r="CO92" t="e">
        <f>AND('Planilla_General_03-12-2012_9_3'!L1462,"AAAAAH//u1w=")</f>
        <v>#VALUE!</v>
      </c>
      <c r="CP92" t="e">
        <f>AND('Planilla_General_03-12-2012_9_3'!M1462,"AAAAAH//u10=")</f>
        <v>#VALUE!</v>
      </c>
      <c r="CQ92" t="e">
        <f>AND('Planilla_General_03-12-2012_9_3'!N1462,"AAAAAH//u14=")</f>
        <v>#VALUE!</v>
      </c>
      <c r="CR92" t="e">
        <f>AND('Planilla_General_03-12-2012_9_3'!O1462,"AAAAAH//u18=")</f>
        <v>#VALUE!</v>
      </c>
      <c r="CS92">
        <f>IF('Planilla_General_03-12-2012_9_3'!1463:1463,"AAAAAH//u2A=",0)</f>
        <v>0</v>
      </c>
      <c r="CT92" t="e">
        <f>AND('Planilla_General_03-12-2012_9_3'!A1463,"AAAAAH//u2E=")</f>
        <v>#VALUE!</v>
      </c>
      <c r="CU92" t="e">
        <f>AND('Planilla_General_03-12-2012_9_3'!B1463,"AAAAAH//u2I=")</f>
        <v>#VALUE!</v>
      </c>
      <c r="CV92" t="e">
        <f>AND('Planilla_General_03-12-2012_9_3'!C1463,"AAAAAH//u2M=")</f>
        <v>#VALUE!</v>
      </c>
      <c r="CW92" t="e">
        <f>AND('Planilla_General_03-12-2012_9_3'!D1463,"AAAAAH//u2Q=")</f>
        <v>#VALUE!</v>
      </c>
      <c r="CX92" t="e">
        <f>AND('Planilla_General_03-12-2012_9_3'!E1463,"AAAAAH//u2U=")</f>
        <v>#VALUE!</v>
      </c>
      <c r="CY92" t="e">
        <f>AND('Planilla_General_03-12-2012_9_3'!F1463,"AAAAAH//u2Y=")</f>
        <v>#VALUE!</v>
      </c>
      <c r="CZ92" t="e">
        <f>AND('Planilla_General_03-12-2012_9_3'!G1463,"AAAAAH//u2c=")</f>
        <v>#VALUE!</v>
      </c>
      <c r="DA92" t="e">
        <f>AND('Planilla_General_03-12-2012_9_3'!H1463,"AAAAAH//u2g=")</f>
        <v>#VALUE!</v>
      </c>
      <c r="DB92" t="e">
        <f>AND('Planilla_General_03-12-2012_9_3'!I1463,"AAAAAH//u2k=")</f>
        <v>#VALUE!</v>
      </c>
      <c r="DC92" t="e">
        <f>AND('Planilla_General_03-12-2012_9_3'!J1463,"AAAAAH//u2o=")</f>
        <v>#VALUE!</v>
      </c>
      <c r="DD92" t="e">
        <f>AND('Planilla_General_03-12-2012_9_3'!K1463,"AAAAAH//u2s=")</f>
        <v>#VALUE!</v>
      </c>
      <c r="DE92" t="e">
        <f>AND('Planilla_General_03-12-2012_9_3'!L1463,"AAAAAH//u2w=")</f>
        <v>#VALUE!</v>
      </c>
      <c r="DF92" t="e">
        <f>AND('Planilla_General_03-12-2012_9_3'!M1463,"AAAAAH//u20=")</f>
        <v>#VALUE!</v>
      </c>
      <c r="DG92" t="e">
        <f>AND('Planilla_General_03-12-2012_9_3'!N1463,"AAAAAH//u24=")</f>
        <v>#VALUE!</v>
      </c>
      <c r="DH92" t="e">
        <f>AND('Planilla_General_03-12-2012_9_3'!O1463,"AAAAAH//u28=")</f>
        <v>#VALUE!</v>
      </c>
      <c r="DI92">
        <f>IF('Planilla_General_03-12-2012_9_3'!1464:1464,"AAAAAH//u3A=",0)</f>
        <v>0</v>
      </c>
      <c r="DJ92" t="e">
        <f>AND('Planilla_General_03-12-2012_9_3'!A1464,"AAAAAH//u3E=")</f>
        <v>#VALUE!</v>
      </c>
      <c r="DK92" t="e">
        <f>AND('Planilla_General_03-12-2012_9_3'!B1464,"AAAAAH//u3I=")</f>
        <v>#VALUE!</v>
      </c>
      <c r="DL92" t="e">
        <f>AND('Planilla_General_03-12-2012_9_3'!C1464,"AAAAAH//u3M=")</f>
        <v>#VALUE!</v>
      </c>
      <c r="DM92" t="e">
        <f>AND('Planilla_General_03-12-2012_9_3'!D1464,"AAAAAH//u3Q=")</f>
        <v>#VALUE!</v>
      </c>
      <c r="DN92" t="e">
        <f>AND('Planilla_General_03-12-2012_9_3'!E1464,"AAAAAH//u3U=")</f>
        <v>#VALUE!</v>
      </c>
      <c r="DO92" t="e">
        <f>AND('Planilla_General_03-12-2012_9_3'!F1464,"AAAAAH//u3Y=")</f>
        <v>#VALUE!</v>
      </c>
      <c r="DP92" t="e">
        <f>AND('Planilla_General_03-12-2012_9_3'!G1464,"AAAAAH//u3c=")</f>
        <v>#VALUE!</v>
      </c>
      <c r="DQ92" t="e">
        <f>AND('Planilla_General_03-12-2012_9_3'!H1464,"AAAAAH//u3g=")</f>
        <v>#VALUE!</v>
      </c>
      <c r="DR92" t="e">
        <f>AND('Planilla_General_03-12-2012_9_3'!I1464,"AAAAAH//u3k=")</f>
        <v>#VALUE!</v>
      </c>
      <c r="DS92" t="e">
        <f>AND('Planilla_General_03-12-2012_9_3'!J1464,"AAAAAH//u3o=")</f>
        <v>#VALUE!</v>
      </c>
      <c r="DT92" t="e">
        <f>AND('Planilla_General_03-12-2012_9_3'!K1464,"AAAAAH//u3s=")</f>
        <v>#VALUE!</v>
      </c>
      <c r="DU92" t="e">
        <f>AND('Planilla_General_03-12-2012_9_3'!L1464,"AAAAAH//u3w=")</f>
        <v>#VALUE!</v>
      </c>
      <c r="DV92" t="e">
        <f>AND('Planilla_General_03-12-2012_9_3'!M1464,"AAAAAH//u30=")</f>
        <v>#VALUE!</v>
      </c>
      <c r="DW92" t="e">
        <f>AND('Planilla_General_03-12-2012_9_3'!N1464,"AAAAAH//u34=")</f>
        <v>#VALUE!</v>
      </c>
      <c r="DX92" t="e">
        <f>AND('Planilla_General_03-12-2012_9_3'!O1464,"AAAAAH//u38=")</f>
        <v>#VALUE!</v>
      </c>
      <c r="DY92">
        <f>IF('Planilla_General_03-12-2012_9_3'!1465:1465,"AAAAAH//u4A=",0)</f>
        <v>0</v>
      </c>
      <c r="DZ92" t="e">
        <f>AND('Planilla_General_03-12-2012_9_3'!A1465,"AAAAAH//u4E=")</f>
        <v>#VALUE!</v>
      </c>
      <c r="EA92" t="e">
        <f>AND('Planilla_General_03-12-2012_9_3'!B1465,"AAAAAH//u4I=")</f>
        <v>#VALUE!</v>
      </c>
      <c r="EB92" t="e">
        <f>AND('Planilla_General_03-12-2012_9_3'!C1465,"AAAAAH//u4M=")</f>
        <v>#VALUE!</v>
      </c>
      <c r="EC92" t="e">
        <f>AND('Planilla_General_03-12-2012_9_3'!D1465,"AAAAAH//u4Q=")</f>
        <v>#VALUE!</v>
      </c>
      <c r="ED92" t="e">
        <f>AND('Planilla_General_03-12-2012_9_3'!E1465,"AAAAAH//u4U=")</f>
        <v>#VALUE!</v>
      </c>
      <c r="EE92" t="e">
        <f>AND('Planilla_General_03-12-2012_9_3'!F1465,"AAAAAH//u4Y=")</f>
        <v>#VALUE!</v>
      </c>
      <c r="EF92" t="e">
        <f>AND('Planilla_General_03-12-2012_9_3'!G1465,"AAAAAH//u4c=")</f>
        <v>#VALUE!</v>
      </c>
      <c r="EG92" t="e">
        <f>AND('Planilla_General_03-12-2012_9_3'!H1465,"AAAAAH//u4g=")</f>
        <v>#VALUE!</v>
      </c>
      <c r="EH92" t="e">
        <f>AND('Planilla_General_03-12-2012_9_3'!I1465,"AAAAAH//u4k=")</f>
        <v>#VALUE!</v>
      </c>
      <c r="EI92" t="e">
        <f>AND('Planilla_General_03-12-2012_9_3'!J1465,"AAAAAH//u4o=")</f>
        <v>#VALUE!</v>
      </c>
      <c r="EJ92" t="e">
        <f>AND('Planilla_General_03-12-2012_9_3'!K1465,"AAAAAH//u4s=")</f>
        <v>#VALUE!</v>
      </c>
      <c r="EK92" t="e">
        <f>AND('Planilla_General_03-12-2012_9_3'!L1465,"AAAAAH//u4w=")</f>
        <v>#VALUE!</v>
      </c>
      <c r="EL92" t="e">
        <f>AND('Planilla_General_03-12-2012_9_3'!M1465,"AAAAAH//u40=")</f>
        <v>#VALUE!</v>
      </c>
      <c r="EM92" t="e">
        <f>AND('Planilla_General_03-12-2012_9_3'!N1465,"AAAAAH//u44=")</f>
        <v>#VALUE!</v>
      </c>
      <c r="EN92" t="e">
        <f>AND('Planilla_General_03-12-2012_9_3'!O1465,"AAAAAH//u48=")</f>
        <v>#VALUE!</v>
      </c>
      <c r="EO92">
        <f>IF('Planilla_General_03-12-2012_9_3'!1466:1466,"AAAAAH//u5A=",0)</f>
        <v>0</v>
      </c>
      <c r="EP92" t="e">
        <f>AND('Planilla_General_03-12-2012_9_3'!A1466,"AAAAAH//u5E=")</f>
        <v>#VALUE!</v>
      </c>
      <c r="EQ92" t="e">
        <f>AND('Planilla_General_03-12-2012_9_3'!B1466,"AAAAAH//u5I=")</f>
        <v>#VALUE!</v>
      </c>
      <c r="ER92" t="e">
        <f>AND('Planilla_General_03-12-2012_9_3'!C1466,"AAAAAH//u5M=")</f>
        <v>#VALUE!</v>
      </c>
      <c r="ES92" t="e">
        <f>AND('Planilla_General_03-12-2012_9_3'!D1466,"AAAAAH//u5Q=")</f>
        <v>#VALUE!</v>
      </c>
      <c r="ET92" t="e">
        <f>AND('Planilla_General_03-12-2012_9_3'!E1466,"AAAAAH//u5U=")</f>
        <v>#VALUE!</v>
      </c>
      <c r="EU92" t="e">
        <f>AND('Planilla_General_03-12-2012_9_3'!F1466,"AAAAAH//u5Y=")</f>
        <v>#VALUE!</v>
      </c>
      <c r="EV92" t="e">
        <f>AND('Planilla_General_03-12-2012_9_3'!G1466,"AAAAAH//u5c=")</f>
        <v>#VALUE!</v>
      </c>
      <c r="EW92" t="e">
        <f>AND('Planilla_General_03-12-2012_9_3'!H1466,"AAAAAH//u5g=")</f>
        <v>#VALUE!</v>
      </c>
      <c r="EX92" t="e">
        <f>AND('Planilla_General_03-12-2012_9_3'!I1466,"AAAAAH//u5k=")</f>
        <v>#VALUE!</v>
      </c>
      <c r="EY92" t="e">
        <f>AND('Planilla_General_03-12-2012_9_3'!J1466,"AAAAAH//u5o=")</f>
        <v>#VALUE!</v>
      </c>
      <c r="EZ92" t="e">
        <f>AND('Planilla_General_03-12-2012_9_3'!K1466,"AAAAAH//u5s=")</f>
        <v>#VALUE!</v>
      </c>
      <c r="FA92" t="e">
        <f>AND('Planilla_General_03-12-2012_9_3'!L1466,"AAAAAH//u5w=")</f>
        <v>#VALUE!</v>
      </c>
      <c r="FB92" t="e">
        <f>AND('Planilla_General_03-12-2012_9_3'!M1466,"AAAAAH//u50=")</f>
        <v>#VALUE!</v>
      </c>
      <c r="FC92" t="e">
        <f>AND('Planilla_General_03-12-2012_9_3'!N1466,"AAAAAH//u54=")</f>
        <v>#VALUE!</v>
      </c>
      <c r="FD92" t="e">
        <f>AND('Planilla_General_03-12-2012_9_3'!O1466,"AAAAAH//u58=")</f>
        <v>#VALUE!</v>
      </c>
      <c r="FE92">
        <f>IF('Planilla_General_03-12-2012_9_3'!1467:1467,"AAAAAH//u6A=",0)</f>
        <v>0</v>
      </c>
      <c r="FF92" t="e">
        <f>AND('Planilla_General_03-12-2012_9_3'!A1467,"AAAAAH//u6E=")</f>
        <v>#VALUE!</v>
      </c>
      <c r="FG92" t="e">
        <f>AND('Planilla_General_03-12-2012_9_3'!B1467,"AAAAAH//u6I=")</f>
        <v>#VALUE!</v>
      </c>
      <c r="FH92" t="e">
        <f>AND('Planilla_General_03-12-2012_9_3'!C1467,"AAAAAH//u6M=")</f>
        <v>#VALUE!</v>
      </c>
      <c r="FI92" t="e">
        <f>AND('Planilla_General_03-12-2012_9_3'!D1467,"AAAAAH//u6Q=")</f>
        <v>#VALUE!</v>
      </c>
      <c r="FJ92" t="e">
        <f>AND('Planilla_General_03-12-2012_9_3'!E1467,"AAAAAH//u6U=")</f>
        <v>#VALUE!</v>
      </c>
      <c r="FK92" t="e">
        <f>AND('Planilla_General_03-12-2012_9_3'!F1467,"AAAAAH//u6Y=")</f>
        <v>#VALUE!</v>
      </c>
      <c r="FL92" t="e">
        <f>AND('Planilla_General_03-12-2012_9_3'!G1467,"AAAAAH//u6c=")</f>
        <v>#VALUE!</v>
      </c>
      <c r="FM92" t="e">
        <f>AND('Planilla_General_03-12-2012_9_3'!H1467,"AAAAAH//u6g=")</f>
        <v>#VALUE!</v>
      </c>
      <c r="FN92" t="e">
        <f>AND('Planilla_General_03-12-2012_9_3'!I1467,"AAAAAH//u6k=")</f>
        <v>#VALUE!</v>
      </c>
      <c r="FO92" t="e">
        <f>AND('Planilla_General_03-12-2012_9_3'!J1467,"AAAAAH//u6o=")</f>
        <v>#VALUE!</v>
      </c>
      <c r="FP92" t="e">
        <f>AND('Planilla_General_03-12-2012_9_3'!K1467,"AAAAAH//u6s=")</f>
        <v>#VALUE!</v>
      </c>
      <c r="FQ92" t="e">
        <f>AND('Planilla_General_03-12-2012_9_3'!L1467,"AAAAAH//u6w=")</f>
        <v>#VALUE!</v>
      </c>
      <c r="FR92" t="e">
        <f>AND('Planilla_General_03-12-2012_9_3'!M1467,"AAAAAH//u60=")</f>
        <v>#VALUE!</v>
      </c>
      <c r="FS92" t="e">
        <f>AND('Planilla_General_03-12-2012_9_3'!N1467,"AAAAAH//u64=")</f>
        <v>#VALUE!</v>
      </c>
      <c r="FT92" t="e">
        <f>AND('Planilla_General_03-12-2012_9_3'!O1467,"AAAAAH//u68=")</f>
        <v>#VALUE!</v>
      </c>
      <c r="FU92">
        <f>IF('Planilla_General_03-12-2012_9_3'!1468:1468,"AAAAAH//u7A=",0)</f>
        <v>0</v>
      </c>
      <c r="FV92" t="e">
        <f>AND('Planilla_General_03-12-2012_9_3'!A1468,"AAAAAH//u7E=")</f>
        <v>#VALUE!</v>
      </c>
      <c r="FW92" t="e">
        <f>AND('Planilla_General_03-12-2012_9_3'!B1468,"AAAAAH//u7I=")</f>
        <v>#VALUE!</v>
      </c>
      <c r="FX92" t="e">
        <f>AND('Planilla_General_03-12-2012_9_3'!C1468,"AAAAAH//u7M=")</f>
        <v>#VALUE!</v>
      </c>
      <c r="FY92" t="e">
        <f>AND('Planilla_General_03-12-2012_9_3'!D1468,"AAAAAH//u7Q=")</f>
        <v>#VALUE!</v>
      </c>
      <c r="FZ92" t="e">
        <f>AND('Planilla_General_03-12-2012_9_3'!E1468,"AAAAAH//u7U=")</f>
        <v>#VALUE!</v>
      </c>
      <c r="GA92" t="e">
        <f>AND('Planilla_General_03-12-2012_9_3'!F1468,"AAAAAH//u7Y=")</f>
        <v>#VALUE!</v>
      </c>
      <c r="GB92" t="e">
        <f>AND('Planilla_General_03-12-2012_9_3'!G1468,"AAAAAH//u7c=")</f>
        <v>#VALUE!</v>
      </c>
      <c r="GC92" t="e">
        <f>AND('Planilla_General_03-12-2012_9_3'!H1468,"AAAAAH//u7g=")</f>
        <v>#VALUE!</v>
      </c>
      <c r="GD92" t="e">
        <f>AND('Planilla_General_03-12-2012_9_3'!I1468,"AAAAAH//u7k=")</f>
        <v>#VALUE!</v>
      </c>
      <c r="GE92" t="e">
        <f>AND('Planilla_General_03-12-2012_9_3'!J1468,"AAAAAH//u7o=")</f>
        <v>#VALUE!</v>
      </c>
      <c r="GF92" t="e">
        <f>AND('Planilla_General_03-12-2012_9_3'!K1468,"AAAAAH//u7s=")</f>
        <v>#VALUE!</v>
      </c>
      <c r="GG92" t="e">
        <f>AND('Planilla_General_03-12-2012_9_3'!L1468,"AAAAAH//u7w=")</f>
        <v>#VALUE!</v>
      </c>
      <c r="GH92" t="e">
        <f>AND('Planilla_General_03-12-2012_9_3'!M1468,"AAAAAH//u70=")</f>
        <v>#VALUE!</v>
      </c>
      <c r="GI92" t="e">
        <f>AND('Planilla_General_03-12-2012_9_3'!N1468,"AAAAAH//u74=")</f>
        <v>#VALUE!</v>
      </c>
      <c r="GJ92" t="e">
        <f>AND('Planilla_General_03-12-2012_9_3'!O1468,"AAAAAH//u78=")</f>
        <v>#VALUE!</v>
      </c>
      <c r="GK92">
        <f>IF('Planilla_General_03-12-2012_9_3'!1469:1469,"AAAAAH//u8A=",0)</f>
        <v>0</v>
      </c>
      <c r="GL92" t="e">
        <f>AND('Planilla_General_03-12-2012_9_3'!A1469,"AAAAAH//u8E=")</f>
        <v>#VALUE!</v>
      </c>
      <c r="GM92" t="e">
        <f>AND('Planilla_General_03-12-2012_9_3'!B1469,"AAAAAH//u8I=")</f>
        <v>#VALUE!</v>
      </c>
      <c r="GN92" t="e">
        <f>AND('Planilla_General_03-12-2012_9_3'!C1469,"AAAAAH//u8M=")</f>
        <v>#VALUE!</v>
      </c>
      <c r="GO92" t="e">
        <f>AND('Planilla_General_03-12-2012_9_3'!D1469,"AAAAAH//u8Q=")</f>
        <v>#VALUE!</v>
      </c>
      <c r="GP92" t="e">
        <f>AND('Planilla_General_03-12-2012_9_3'!E1469,"AAAAAH//u8U=")</f>
        <v>#VALUE!</v>
      </c>
      <c r="GQ92" t="e">
        <f>AND('Planilla_General_03-12-2012_9_3'!F1469,"AAAAAH//u8Y=")</f>
        <v>#VALUE!</v>
      </c>
      <c r="GR92" t="e">
        <f>AND('Planilla_General_03-12-2012_9_3'!G1469,"AAAAAH//u8c=")</f>
        <v>#VALUE!</v>
      </c>
      <c r="GS92" t="e">
        <f>AND('Planilla_General_03-12-2012_9_3'!H1469,"AAAAAH//u8g=")</f>
        <v>#VALUE!</v>
      </c>
      <c r="GT92" t="e">
        <f>AND('Planilla_General_03-12-2012_9_3'!I1469,"AAAAAH//u8k=")</f>
        <v>#VALUE!</v>
      </c>
      <c r="GU92" t="e">
        <f>AND('Planilla_General_03-12-2012_9_3'!J1469,"AAAAAH//u8o=")</f>
        <v>#VALUE!</v>
      </c>
      <c r="GV92" t="e">
        <f>AND('Planilla_General_03-12-2012_9_3'!K1469,"AAAAAH//u8s=")</f>
        <v>#VALUE!</v>
      </c>
      <c r="GW92" t="e">
        <f>AND('Planilla_General_03-12-2012_9_3'!L1469,"AAAAAH//u8w=")</f>
        <v>#VALUE!</v>
      </c>
      <c r="GX92" t="e">
        <f>AND('Planilla_General_03-12-2012_9_3'!M1469,"AAAAAH//u80=")</f>
        <v>#VALUE!</v>
      </c>
      <c r="GY92" t="e">
        <f>AND('Planilla_General_03-12-2012_9_3'!N1469,"AAAAAH//u84=")</f>
        <v>#VALUE!</v>
      </c>
      <c r="GZ92" t="e">
        <f>AND('Planilla_General_03-12-2012_9_3'!O1469,"AAAAAH//u88=")</f>
        <v>#VALUE!</v>
      </c>
      <c r="HA92">
        <f>IF('Planilla_General_03-12-2012_9_3'!1470:1470,"AAAAAH//u9A=",0)</f>
        <v>0</v>
      </c>
      <c r="HB92" t="e">
        <f>AND('Planilla_General_03-12-2012_9_3'!A1470,"AAAAAH//u9E=")</f>
        <v>#VALUE!</v>
      </c>
      <c r="HC92" t="e">
        <f>AND('Planilla_General_03-12-2012_9_3'!B1470,"AAAAAH//u9I=")</f>
        <v>#VALUE!</v>
      </c>
      <c r="HD92" t="e">
        <f>AND('Planilla_General_03-12-2012_9_3'!C1470,"AAAAAH//u9M=")</f>
        <v>#VALUE!</v>
      </c>
      <c r="HE92" t="e">
        <f>AND('Planilla_General_03-12-2012_9_3'!D1470,"AAAAAH//u9Q=")</f>
        <v>#VALUE!</v>
      </c>
      <c r="HF92" t="e">
        <f>AND('Planilla_General_03-12-2012_9_3'!E1470,"AAAAAH//u9U=")</f>
        <v>#VALUE!</v>
      </c>
      <c r="HG92" t="e">
        <f>AND('Planilla_General_03-12-2012_9_3'!F1470,"AAAAAH//u9Y=")</f>
        <v>#VALUE!</v>
      </c>
      <c r="HH92" t="e">
        <f>AND('Planilla_General_03-12-2012_9_3'!G1470,"AAAAAH//u9c=")</f>
        <v>#VALUE!</v>
      </c>
      <c r="HI92" t="e">
        <f>AND('Planilla_General_03-12-2012_9_3'!H1470,"AAAAAH//u9g=")</f>
        <v>#VALUE!</v>
      </c>
      <c r="HJ92" t="e">
        <f>AND('Planilla_General_03-12-2012_9_3'!I1470,"AAAAAH//u9k=")</f>
        <v>#VALUE!</v>
      </c>
      <c r="HK92" t="e">
        <f>AND('Planilla_General_03-12-2012_9_3'!J1470,"AAAAAH//u9o=")</f>
        <v>#VALUE!</v>
      </c>
      <c r="HL92" t="e">
        <f>AND('Planilla_General_03-12-2012_9_3'!K1470,"AAAAAH//u9s=")</f>
        <v>#VALUE!</v>
      </c>
      <c r="HM92" t="e">
        <f>AND('Planilla_General_03-12-2012_9_3'!L1470,"AAAAAH//u9w=")</f>
        <v>#VALUE!</v>
      </c>
      <c r="HN92" t="e">
        <f>AND('Planilla_General_03-12-2012_9_3'!M1470,"AAAAAH//u90=")</f>
        <v>#VALUE!</v>
      </c>
      <c r="HO92" t="e">
        <f>AND('Planilla_General_03-12-2012_9_3'!N1470,"AAAAAH//u94=")</f>
        <v>#VALUE!</v>
      </c>
      <c r="HP92" t="e">
        <f>AND('Planilla_General_03-12-2012_9_3'!O1470,"AAAAAH//u98=")</f>
        <v>#VALUE!</v>
      </c>
      <c r="HQ92">
        <f>IF('Planilla_General_03-12-2012_9_3'!1471:1471,"AAAAAH//u+A=",0)</f>
        <v>0</v>
      </c>
      <c r="HR92" t="e">
        <f>AND('Planilla_General_03-12-2012_9_3'!A1471,"AAAAAH//u+E=")</f>
        <v>#VALUE!</v>
      </c>
      <c r="HS92" t="e">
        <f>AND('Planilla_General_03-12-2012_9_3'!B1471,"AAAAAH//u+I=")</f>
        <v>#VALUE!</v>
      </c>
      <c r="HT92" t="e">
        <f>AND('Planilla_General_03-12-2012_9_3'!C1471,"AAAAAH//u+M=")</f>
        <v>#VALUE!</v>
      </c>
      <c r="HU92" t="e">
        <f>AND('Planilla_General_03-12-2012_9_3'!D1471,"AAAAAH//u+Q=")</f>
        <v>#VALUE!</v>
      </c>
      <c r="HV92" t="e">
        <f>AND('Planilla_General_03-12-2012_9_3'!E1471,"AAAAAH//u+U=")</f>
        <v>#VALUE!</v>
      </c>
      <c r="HW92" t="e">
        <f>AND('Planilla_General_03-12-2012_9_3'!F1471,"AAAAAH//u+Y=")</f>
        <v>#VALUE!</v>
      </c>
      <c r="HX92" t="e">
        <f>AND('Planilla_General_03-12-2012_9_3'!G1471,"AAAAAH//u+c=")</f>
        <v>#VALUE!</v>
      </c>
      <c r="HY92" t="e">
        <f>AND('Planilla_General_03-12-2012_9_3'!H1471,"AAAAAH//u+g=")</f>
        <v>#VALUE!</v>
      </c>
      <c r="HZ92" t="e">
        <f>AND('Planilla_General_03-12-2012_9_3'!I1471,"AAAAAH//u+k=")</f>
        <v>#VALUE!</v>
      </c>
      <c r="IA92" t="e">
        <f>AND('Planilla_General_03-12-2012_9_3'!J1471,"AAAAAH//u+o=")</f>
        <v>#VALUE!</v>
      </c>
      <c r="IB92" t="e">
        <f>AND('Planilla_General_03-12-2012_9_3'!K1471,"AAAAAH//u+s=")</f>
        <v>#VALUE!</v>
      </c>
      <c r="IC92" t="e">
        <f>AND('Planilla_General_03-12-2012_9_3'!L1471,"AAAAAH//u+w=")</f>
        <v>#VALUE!</v>
      </c>
      <c r="ID92" t="e">
        <f>AND('Planilla_General_03-12-2012_9_3'!M1471,"AAAAAH//u+0=")</f>
        <v>#VALUE!</v>
      </c>
      <c r="IE92" t="e">
        <f>AND('Planilla_General_03-12-2012_9_3'!N1471,"AAAAAH//u+4=")</f>
        <v>#VALUE!</v>
      </c>
      <c r="IF92" t="e">
        <f>AND('Planilla_General_03-12-2012_9_3'!O1471,"AAAAAH//u+8=")</f>
        <v>#VALUE!</v>
      </c>
      <c r="IG92">
        <f>IF('Planilla_General_03-12-2012_9_3'!1472:1472,"AAAAAH//u/A=",0)</f>
        <v>0</v>
      </c>
      <c r="IH92" t="e">
        <f>AND('Planilla_General_03-12-2012_9_3'!A1472,"AAAAAH//u/E=")</f>
        <v>#VALUE!</v>
      </c>
      <c r="II92" t="e">
        <f>AND('Planilla_General_03-12-2012_9_3'!B1472,"AAAAAH//u/I=")</f>
        <v>#VALUE!</v>
      </c>
      <c r="IJ92" t="e">
        <f>AND('Planilla_General_03-12-2012_9_3'!C1472,"AAAAAH//u/M=")</f>
        <v>#VALUE!</v>
      </c>
      <c r="IK92" t="e">
        <f>AND('Planilla_General_03-12-2012_9_3'!D1472,"AAAAAH//u/Q=")</f>
        <v>#VALUE!</v>
      </c>
      <c r="IL92" t="e">
        <f>AND('Planilla_General_03-12-2012_9_3'!E1472,"AAAAAH//u/U=")</f>
        <v>#VALUE!</v>
      </c>
      <c r="IM92" t="e">
        <f>AND('Planilla_General_03-12-2012_9_3'!F1472,"AAAAAH//u/Y=")</f>
        <v>#VALUE!</v>
      </c>
      <c r="IN92" t="e">
        <f>AND('Planilla_General_03-12-2012_9_3'!G1472,"AAAAAH//u/c=")</f>
        <v>#VALUE!</v>
      </c>
      <c r="IO92" t="e">
        <f>AND('Planilla_General_03-12-2012_9_3'!H1472,"AAAAAH//u/g=")</f>
        <v>#VALUE!</v>
      </c>
      <c r="IP92" t="e">
        <f>AND('Planilla_General_03-12-2012_9_3'!I1472,"AAAAAH//u/k=")</f>
        <v>#VALUE!</v>
      </c>
      <c r="IQ92" t="e">
        <f>AND('Planilla_General_03-12-2012_9_3'!J1472,"AAAAAH//u/o=")</f>
        <v>#VALUE!</v>
      </c>
      <c r="IR92" t="e">
        <f>AND('Planilla_General_03-12-2012_9_3'!K1472,"AAAAAH//u/s=")</f>
        <v>#VALUE!</v>
      </c>
      <c r="IS92" t="e">
        <f>AND('Planilla_General_03-12-2012_9_3'!L1472,"AAAAAH//u/w=")</f>
        <v>#VALUE!</v>
      </c>
      <c r="IT92" t="e">
        <f>AND('Planilla_General_03-12-2012_9_3'!M1472,"AAAAAH//u/0=")</f>
        <v>#VALUE!</v>
      </c>
      <c r="IU92" t="e">
        <f>AND('Planilla_General_03-12-2012_9_3'!N1472,"AAAAAH//u/4=")</f>
        <v>#VALUE!</v>
      </c>
      <c r="IV92" t="e">
        <f>AND('Planilla_General_03-12-2012_9_3'!O1472,"AAAAAH//u/8=")</f>
        <v>#VALUE!</v>
      </c>
    </row>
    <row r="93" spans="1:256" x14ac:dyDescent="0.25">
      <c r="A93" t="e">
        <f>IF('Planilla_General_03-12-2012_9_3'!1473:1473,"AAAAAG/52wA=",0)</f>
        <v>#VALUE!</v>
      </c>
      <c r="B93" t="e">
        <f>AND('Planilla_General_03-12-2012_9_3'!A1473,"AAAAAG/52wE=")</f>
        <v>#VALUE!</v>
      </c>
      <c r="C93" t="e">
        <f>AND('Planilla_General_03-12-2012_9_3'!B1473,"AAAAAG/52wI=")</f>
        <v>#VALUE!</v>
      </c>
      <c r="D93" t="e">
        <f>AND('Planilla_General_03-12-2012_9_3'!C1473,"AAAAAG/52wM=")</f>
        <v>#VALUE!</v>
      </c>
      <c r="E93" t="e">
        <f>AND('Planilla_General_03-12-2012_9_3'!D1473,"AAAAAG/52wQ=")</f>
        <v>#VALUE!</v>
      </c>
      <c r="F93" t="e">
        <f>AND('Planilla_General_03-12-2012_9_3'!E1473,"AAAAAG/52wU=")</f>
        <v>#VALUE!</v>
      </c>
      <c r="G93" t="e">
        <f>AND('Planilla_General_03-12-2012_9_3'!F1473,"AAAAAG/52wY=")</f>
        <v>#VALUE!</v>
      </c>
      <c r="H93" t="e">
        <f>AND('Planilla_General_03-12-2012_9_3'!G1473,"AAAAAG/52wc=")</f>
        <v>#VALUE!</v>
      </c>
      <c r="I93" t="e">
        <f>AND('Planilla_General_03-12-2012_9_3'!H1473,"AAAAAG/52wg=")</f>
        <v>#VALUE!</v>
      </c>
      <c r="J93" t="e">
        <f>AND('Planilla_General_03-12-2012_9_3'!I1473,"AAAAAG/52wk=")</f>
        <v>#VALUE!</v>
      </c>
      <c r="K93" t="e">
        <f>AND('Planilla_General_03-12-2012_9_3'!J1473,"AAAAAG/52wo=")</f>
        <v>#VALUE!</v>
      </c>
      <c r="L93" t="e">
        <f>AND('Planilla_General_03-12-2012_9_3'!K1473,"AAAAAG/52ws=")</f>
        <v>#VALUE!</v>
      </c>
      <c r="M93" t="e">
        <f>AND('Planilla_General_03-12-2012_9_3'!L1473,"AAAAAG/52ww=")</f>
        <v>#VALUE!</v>
      </c>
      <c r="N93" t="e">
        <f>AND('Planilla_General_03-12-2012_9_3'!M1473,"AAAAAG/52w0=")</f>
        <v>#VALUE!</v>
      </c>
      <c r="O93" t="e">
        <f>AND('Planilla_General_03-12-2012_9_3'!N1473,"AAAAAG/52w4=")</f>
        <v>#VALUE!</v>
      </c>
      <c r="P93" t="e">
        <f>AND('Planilla_General_03-12-2012_9_3'!O1473,"AAAAAG/52w8=")</f>
        <v>#VALUE!</v>
      </c>
      <c r="Q93">
        <f>IF('Planilla_General_03-12-2012_9_3'!1474:1474,"AAAAAG/52xA=",0)</f>
        <v>0</v>
      </c>
      <c r="R93" t="e">
        <f>AND('Planilla_General_03-12-2012_9_3'!A1474,"AAAAAG/52xE=")</f>
        <v>#VALUE!</v>
      </c>
      <c r="S93" t="e">
        <f>AND('Planilla_General_03-12-2012_9_3'!B1474,"AAAAAG/52xI=")</f>
        <v>#VALUE!</v>
      </c>
      <c r="T93" t="e">
        <f>AND('Planilla_General_03-12-2012_9_3'!C1474,"AAAAAG/52xM=")</f>
        <v>#VALUE!</v>
      </c>
      <c r="U93" t="e">
        <f>AND('Planilla_General_03-12-2012_9_3'!D1474,"AAAAAG/52xQ=")</f>
        <v>#VALUE!</v>
      </c>
      <c r="V93" t="e">
        <f>AND('Planilla_General_03-12-2012_9_3'!E1474,"AAAAAG/52xU=")</f>
        <v>#VALUE!</v>
      </c>
      <c r="W93" t="e">
        <f>AND('Planilla_General_03-12-2012_9_3'!F1474,"AAAAAG/52xY=")</f>
        <v>#VALUE!</v>
      </c>
      <c r="X93" t="e">
        <f>AND('Planilla_General_03-12-2012_9_3'!G1474,"AAAAAG/52xc=")</f>
        <v>#VALUE!</v>
      </c>
      <c r="Y93" t="e">
        <f>AND('Planilla_General_03-12-2012_9_3'!H1474,"AAAAAG/52xg=")</f>
        <v>#VALUE!</v>
      </c>
      <c r="Z93" t="e">
        <f>AND('Planilla_General_03-12-2012_9_3'!I1474,"AAAAAG/52xk=")</f>
        <v>#VALUE!</v>
      </c>
      <c r="AA93" t="e">
        <f>AND('Planilla_General_03-12-2012_9_3'!J1474,"AAAAAG/52xo=")</f>
        <v>#VALUE!</v>
      </c>
      <c r="AB93" t="e">
        <f>AND('Planilla_General_03-12-2012_9_3'!K1474,"AAAAAG/52xs=")</f>
        <v>#VALUE!</v>
      </c>
      <c r="AC93" t="e">
        <f>AND('Planilla_General_03-12-2012_9_3'!L1474,"AAAAAG/52xw=")</f>
        <v>#VALUE!</v>
      </c>
      <c r="AD93" t="e">
        <f>AND('Planilla_General_03-12-2012_9_3'!M1474,"AAAAAG/52x0=")</f>
        <v>#VALUE!</v>
      </c>
      <c r="AE93" t="e">
        <f>AND('Planilla_General_03-12-2012_9_3'!N1474,"AAAAAG/52x4=")</f>
        <v>#VALUE!</v>
      </c>
      <c r="AF93" t="e">
        <f>AND('Planilla_General_03-12-2012_9_3'!O1474,"AAAAAG/52x8=")</f>
        <v>#VALUE!</v>
      </c>
      <c r="AG93">
        <f>IF('Planilla_General_03-12-2012_9_3'!1475:1475,"AAAAAG/52yA=",0)</f>
        <v>0</v>
      </c>
      <c r="AH93" t="e">
        <f>AND('Planilla_General_03-12-2012_9_3'!A1475,"AAAAAG/52yE=")</f>
        <v>#VALUE!</v>
      </c>
      <c r="AI93" t="e">
        <f>AND('Planilla_General_03-12-2012_9_3'!B1475,"AAAAAG/52yI=")</f>
        <v>#VALUE!</v>
      </c>
      <c r="AJ93" t="e">
        <f>AND('Planilla_General_03-12-2012_9_3'!C1475,"AAAAAG/52yM=")</f>
        <v>#VALUE!</v>
      </c>
      <c r="AK93" t="e">
        <f>AND('Planilla_General_03-12-2012_9_3'!D1475,"AAAAAG/52yQ=")</f>
        <v>#VALUE!</v>
      </c>
      <c r="AL93" t="e">
        <f>AND('Planilla_General_03-12-2012_9_3'!E1475,"AAAAAG/52yU=")</f>
        <v>#VALUE!</v>
      </c>
      <c r="AM93" t="e">
        <f>AND('Planilla_General_03-12-2012_9_3'!F1475,"AAAAAG/52yY=")</f>
        <v>#VALUE!</v>
      </c>
      <c r="AN93" t="e">
        <f>AND('Planilla_General_03-12-2012_9_3'!G1475,"AAAAAG/52yc=")</f>
        <v>#VALUE!</v>
      </c>
      <c r="AO93" t="e">
        <f>AND('Planilla_General_03-12-2012_9_3'!H1475,"AAAAAG/52yg=")</f>
        <v>#VALUE!</v>
      </c>
      <c r="AP93" t="e">
        <f>AND('Planilla_General_03-12-2012_9_3'!I1475,"AAAAAG/52yk=")</f>
        <v>#VALUE!</v>
      </c>
      <c r="AQ93" t="e">
        <f>AND('Planilla_General_03-12-2012_9_3'!J1475,"AAAAAG/52yo=")</f>
        <v>#VALUE!</v>
      </c>
      <c r="AR93" t="e">
        <f>AND('Planilla_General_03-12-2012_9_3'!K1475,"AAAAAG/52ys=")</f>
        <v>#VALUE!</v>
      </c>
      <c r="AS93" t="e">
        <f>AND('Planilla_General_03-12-2012_9_3'!L1475,"AAAAAG/52yw=")</f>
        <v>#VALUE!</v>
      </c>
      <c r="AT93" t="e">
        <f>AND('Planilla_General_03-12-2012_9_3'!M1475,"AAAAAG/52y0=")</f>
        <v>#VALUE!</v>
      </c>
      <c r="AU93" t="e">
        <f>AND('Planilla_General_03-12-2012_9_3'!N1475,"AAAAAG/52y4=")</f>
        <v>#VALUE!</v>
      </c>
      <c r="AV93" t="e">
        <f>AND('Planilla_General_03-12-2012_9_3'!O1475,"AAAAAG/52y8=")</f>
        <v>#VALUE!</v>
      </c>
      <c r="AW93">
        <f>IF('Planilla_General_03-12-2012_9_3'!1476:1476,"AAAAAG/52zA=",0)</f>
        <v>0</v>
      </c>
      <c r="AX93" t="e">
        <f>AND('Planilla_General_03-12-2012_9_3'!A1476,"AAAAAG/52zE=")</f>
        <v>#VALUE!</v>
      </c>
      <c r="AY93" t="e">
        <f>AND('Planilla_General_03-12-2012_9_3'!B1476,"AAAAAG/52zI=")</f>
        <v>#VALUE!</v>
      </c>
      <c r="AZ93" t="e">
        <f>AND('Planilla_General_03-12-2012_9_3'!C1476,"AAAAAG/52zM=")</f>
        <v>#VALUE!</v>
      </c>
      <c r="BA93" t="e">
        <f>AND('Planilla_General_03-12-2012_9_3'!D1476,"AAAAAG/52zQ=")</f>
        <v>#VALUE!</v>
      </c>
      <c r="BB93" t="e">
        <f>AND('Planilla_General_03-12-2012_9_3'!E1476,"AAAAAG/52zU=")</f>
        <v>#VALUE!</v>
      </c>
      <c r="BC93" t="e">
        <f>AND('Planilla_General_03-12-2012_9_3'!F1476,"AAAAAG/52zY=")</f>
        <v>#VALUE!</v>
      </c>
      <c r="BD93" t="e">
        <f>AND('Planilla_General_03-12-2012_9_3'!G1476,"AAAAAG/52zc=")</f>
        <v>#VALUE!</v>
      </c>
      <c r="BE93" t="e">
        <f>AND('Planilla_General_03-12-2012_9_3'!H1476,"AAAAAG/52zg=")</f>
        <v>#VALUE!</v>
      </c>
      <c r="BF93" t="e">
        <f>AND('Planilla_General_03-12-2012_9_3'!I1476,"AAAAAG/52zk=")</f>
        <v>#VALUE!</v>
      </c>
      <c r="BG93" t="e">
        <f>AND('Planilla_General_03-12-2012_9_3'!J1476,"AAAAAG/52zo=")</f>
        <v>#VALUE!</v>
      </c>
      <c r="BH93" t="e">
        <f>AND('Planilla_General_03-12-2012_9_3'!K1476,"AAAAAG/52zs=")</f>
        <v>#VALUE!</v>
      </c>
      <c r="BI93" t="e">
        <f>AND('Planilla_General_03-12-2012_9_3'!L1476,"AAAAAG/52zw=")</f>
        <v>#VALUE!</v>
      </c>
      <c r="BJ93" t="e">
        <f>AND('Planilla_General_03-12-2012_9_3'!M1476,"AAAAAG/52z0=")</f>
        <v>#VALUE!</v>
      </c>
      <c r="BK93" t="e">
        <f>AND('Planilla_General_03-12-2012_9_3'!N1476,"AAAAAG/52z4=")</f>
        <v>#VALUE!</v>
      </c>
      <c r="BL93" t="e">
        <f>AND('Planilla_General_03-12-2012_9_3'!O1476,"AAAAAG/52z8=")</f>
        <v>#VALUE!</v>
      </c>
      <c r="BM93">
        <f>IF('Planilla_General_03-12-2012_9_3'!1477:1477,"AAAAAG/520A=",0)</f>
        <v>0</v>
      </c>
      <c r="BN93" t="e">
        <f>AND('Planilla_General_03-12-2012_9_3'!A1477,"AAAAAG/520E=")</f>
        <v>#VALUE!</v>
      </c>
      <c r="BO93" t="e">
        <f>AND('Planilla_General_03-12-2012_9_3'!B1477,"AAAAAG/520I=")</f>
        <v>#VALUE!</v>
      </c>
      <c r="BP93" t="e">
        <f>AND('Planilla_General_03-12-2012_9_3'!C1477,"AAAAAG/520M=")</f>
        <v>#VALUE!</v>
      </c>
      <c r="BQ93" t="e">
        <f>AND('Planilla_General_03-12-2012_9_3'!D1477,"AAAAAG/520Q=")</f>
        <v>#VALUE!</v>
      </c>
      <c r="BR93" t="e">
        <f>AND('Planilla_General_03-12-2012_9_3'!E1477,"AAAAAG/520U=")</f>
        <v>#VALUE!</v>
      </c>
      <c r="BS93" t="e">
        <f>AND('Planilla_General_03-12-2012_9_3'!F1477,"AAAAAG/520Y=")</f>
        <v>#VALUE!</v>
      </c>
      <c r="BT93" t="e">
        <f>AND('Planilla_General_03-12-2012_9_3'!G1477,"AAAAAG/520c=")</f>
        <v>#VALUE!</v>
      </c>
      <c r="BU93" t="e">
        <f>AND('Planilla_General_03-12-2012_9_3'!H1477,"AAAAAG/520g=")</f>
        <v>#VALUE!</v>
      </c>
      <c r="BV93" t="e">
        <f>AND('Planilla_General_03-12-2012_9_3'!I1477,"AAAAAG/520k=")</f>
        <v>#VALUE!</v>
      </c>
      <c r="BW93" t="e">
        <f>AND('Planilla_General_03-12-2012_9_3'!J1477,"AAAAAG/520o=")</f>
        <v>#VALUE!</v>
      </c>
      <c r="BX93" t="e">
        <f>AND('Planilla_General_03-12-2012_9_3'!K1477,"AAAAAG/520s=")</f>
        <v>#VALUE!</v>
      </c>
      <c r="BY93" t="e">
        <f>AND('Planilla_General_03-12-2012_9_3'!L1477,"AAAAAG/520w=")</f>
        <v>#VALUE!</v>
      </c>
      <c r="BZ93" t="e">
        <f>AND('Planilla_General_03-12-2012_9_3'!M1477,"AAAAAG/5200=")</f>
        <v>#VALUE!</v>
      </c>
      <c r="CA93" t="e">
        <f>AND('Planilla_General_03-12-2012_9_3'!N1477,"AAAAAG/5204=")</f>
        <v>#VALUE!</v>
      </c>
      <c r="CB93" t="e">
        <f>AND('Planilla_General_03-12-2012_9_3'!O1477,"AAAAAG/5208=")</f>
        <v>#VALUE!</v>
      </c>
      <c r="CC93">
        <f>IF('Planilla_General_03-12-2012_9_3'!1478:1478,"AAAAAG/521A=",0)</f>
        <v>0</v>
      </c>
      <c r="CD93" t="e">
        <f>AND('Planilla_General_03-12-2012_9_3'!A1478,"AAAAAG/521E=")</f>
        <v>#VALUE!</v>
      </c>
      <c r="CE93" t="e">
        <f>AND('Planilla_General_03-12-2012_9_3'!B1478,"AAAAAG/521I=")</f>
        <v>#VALUE!</v>
      </c>
      <c r="CF93" t="e">
        <f>AND('Planilla_General_03-12-2012_9_3'!C1478,"AAAAAG/521M=")</f>
        <v>#VALUE!</v>
      </c>
      <c r="CG93" t="e">
        <f>AND('Planilla_General_03-12-2012_9_3'!D1478,"AAAAAG/521Q=")</f>
        <v>#VALUE!</v>
      </c>
      <c r="CH93" t="e">
        <f>AND('Planilla_General_03-12-2012_9_3'!E1478,"AAAAAG/521U=")</f>
        <v>#VALUE!</v>
      </c>
      <c r="CI93" t="e">
        <f>AND('Planilla_General_03-12-2012_9_3'!F1478,"AAAAAG/521Y=")</f>
        <v>#VALUE!</v>
      </c>
      <c r="CJ93" t="e">
        <f>AND('Planilla_General_03-12-2012_9_3'!G1478,"AAAAAG/521c=")</f>
        <v>#VALUE!</v>
      </c>
      <c r="CK93" t="e">
        <f>AND('Planilla_General_03-12-2012_9_3'!H1478,"AAAAAG/521g=")</f>
        <v>#VALUE!</v>
      </c>
      <c r="CL93" t="e">
        <f>AND('Planilla_General_03-12-2012_9_3'!I1478,"AAAAAG/521k=")</f>
        <v>#VALUE!</v>
      </c>
      <c r="CM93" t="e">
        <f>AND('Planilla_General_03-12-2012_9_3'!J1478,"AAAAAG/521o=")</f>
        <v>#VALUE!</v>
      </c>
      <c r="CN93" t="e">
        <f>AND('Planilla_General_03-12-2012_9_3'!K1478,"AAAAAG/521s=")</f>
        <v>#VALUE!</v>
      </c>
      <c r="CO93" t="e">
        <f>AND('Planilla_General_03-12-2012_9_3'!L1478,"AAAAAG/521w=")</f>
        <v>#VALUE!</v>
      </c>
      <c r="CP93" t="e">
        <f>AND('Planilla_General_03-12-2012_9_3'!M1478,"AAAAAG/5210=")</f>
        <v>#VALUE!</v>
      </c>
      <c r="CQ93" t="e">
        <f>AND('Planilla_General_03-12-2012_9_3'!N1478,"AAAAAG/5214=")</f>
        <v>#VALUE!</v>
      </c>
      <c r="CR93" t="e">
        <f>AND('Planilla_General_03-12-2012_9_3'!O1478,"AAAAAG/5218=")</f>
        <v>#VALUE!</v>
      </c>
      <c r="CS93">
        <f>IF('Planilla_General_03-12-2012_9_3'!1479:1479,"AAAAAG/522A=",0)</f>
        <v>0</v>
      </c>
      <c r="CT93" t="e">
        <f>AND('Planilla_General_03-12-2012_9_3'!A1479,"AAAAAG/522E=")</f>
        <v>#VALUE!</v>
      </c>
      <c r="CU93" t="e">
        <f>AND('Planilla_General_03-12-2012_9_3'!B1479,"AAAAAG/522I=")</f>
        <v>#VALUE!</v>
      </c>
      <c r="CV93" t="e">
        <f>AND('Planilla_General_03-12-2012_9_3'!C1479,"AAAAAG/522M=")</f>
        <v>#VALUE!</v>
      </c>
      <c r="CW93" t="e">
        <f>AND('Planilla_General_03-12-2012_9_3'!D1479,"AAAAAG/522Q=")</f>
        <v>#VALUE!</v>
      </c>
      <c r="CX93" t="e">
        <f>AND('Planilla_General_03-12-2012_9_3'!E1479,"AAAAAG/522U=")</f>
        <v>#VALUE!</v>
      </c>
      <c r="CY93" t="e">
        <f>AND('Planilla_General_03-12-2012_9_3'!F1479,"AAAAAG/522Y=")</f>
        <v>#VALUE!</v>
      </c>
      <c r="CZ93" t="e">
        <f>AND('Planilla_General_03-12-2012_9_3'!G1479,"AAAAAG/522c=")</f>
        <v>#VALUE!</v>
      </c>
      <c r="DA93" t="e">
        <f>AND('Planilla_General_03-12-2012_9_3'!H1479,"AAAAAG/522g=")</f>
        <v>#VALUE!</v>
      </c>
      <c r="DB93" t="e">
        <f>AND('Planilla_General_03-12-2012_9_3'!I1479,"AAAAAG/522k=")</f>
        <v>#VALUE!</v>
      </c>
      <c r="DC93" t="e">
        <f>AND('Planilla_General_03-12-2012_9_3'!J1479,"AAAAAG/522o=")</f>
        <v>#VALUE!</v>
      </c>
      <c r="DD93" t="e">
        <f>AND('Planilla_General_03-12-2012_9_3'!K1479,"AAAAAG/522s=")</f>
        <v>#VALUE!</v>
      </c>
      <c r="DE93" t="e">
        <f>AND('Planilla_General_03-12-2012_9_3'!L1479,"AAAAAG/522w=")</f>
        <v>#VALUE!</v>
      </c>
      <c r="DF93" t="e">
        <f>AND('Planilla_General_03-12-2012_9_3'!M1479,"AAAAAG/5220=")</f>
        <v>#VALUE!</v>
      </c>
      <c r="DG93" t="e">
        <f>AND('Planilla_General_03-12-2012_9_3'!N1479,"AAAAAG/5224=")</f>
        <v>#VALUE!</v>
      </c>
      <c r="DH93" t="e">
        <f>AND('Planilla_General_03-12-2012_9_3'!O1479,"AAAAAG/5228=")</f>
        <v>#VALUE!</v>
      </c>
      <c r="DI93">
        <f>IF('Planilla_General_03-12-2012_9_3'!1480:1480,"AAAAAG/523A=",0)</f>
        <v>0</v>
      </c>
      <c r="DJ93" t="e">
        <f>AND('Planilla_General_03-12-2012_9_3'!A1480,"AAAAAG/523E=")</f>
        <v>#VALUE!</v>
      </c>
      <c r="DK93" t="e">
        <f>AND('Planilla_General_03-12-2012_9_3'!B1480,"AAAAAG/523I=")</f>
        <v>#VALUE!</v>
      </c>
      <c r="DL93" t="e">
        <f>AND('Planilla_General_03-12-2012_9_3'!C1480,"AAAAAG/523M=")</f>
        <v>#VALUE!</v>
      </c>
      <c r="DM93" t="e">
        <f>AND('Planilla_General_03-12-2012_9_3'!D1480,"AAAAAG/523Q=")</f>
        <v>#VALUE!</v>
      </c>
      <c r="DN93" t="e">
        <f>AND('Planilla_General_03-12-2012_9_3'!E1480,"AAAAAG/523U=")</f>
        <v>#VALUE!</v>
      </c>
      <c r="DO93" t="e">
        <f>AND('Planilla_General_03-12-2012_9_3'!F1480,"AAAAAG/523Y=")</f>
        <v>#VALUE!</v>
      </c>
      <c r="DP93" t="e">
        <f>AND('Planilla_General_03-12-2012_9_3'!G1480,"AAAAAG/523c=")</f>
        <v>#VALUE!</v>
      </c>
      <c r="DQ93" t="e">
        <f>AND('Planilla_General_03-12-2012_9_3'!H1480,"AAAAAG/523g=")</f>
        <v>#VALUE!</v>
      </c>
      <c r="DR93" t="e">
        <f>AND('Planilla_General_03-12-2012_9_3'!I1480,"AAAAAG/523k=")</f>
        <v>#VALUE!</v>
      </c>
      <c r="DS93" t="e">
        <f>AND('Planilla_General_03-12-2012_9_3'!J1480,"AAAAAG/523o=")</f>
        <v>#VALUE!</v>
      </c>
      <c r="DT93" t="e">
        <f>AND('Planilla_General_03-12-2012_9_3'!K1480,"AAAAAG/523s=")</f>
        <v>#VALUE!</v>
      </c>
      <c r="DU93" t="e">
        <f>AND('Planilla_General_03-12-2012_9_3'!L1480,"AAAAAG/523w=")</f>
        <v>#VALUE!</v>
      </c>
      <c r="DV93" t="e">
        <f>AND('Planilla_General_03-12-2012_9_3'!M1480,"AAAAAG/5230=")</f>
        <v>#VALUE!</v>
      </c>
      <c r="DW93" t="e">
        <f>AND('Planilla_General_03-12-2012_9_3'!N1480,"AAAAAG/5234=")</f>
        <v>#VALUE!</v>
      </c>
      <c r="DX93" t="e">
        <f>AND('Planilla_General_03-12-2012_9_3'!O1480,"AAAAAG/5238=")</f>
        <v>#VALUE!</v>
      </c>
      <c r="DY93">
        <f>IF('Planilla_General_03-12-2012_9_3'!1481:1481,"AAAAAG/524A=",0)</f>
        <v>0</v>
      </c>
      <c r="DZ93" t="e">
        <f>AND('Planilla_General_03-12-2012_9_3'!A1481,"AAAAAG/524E=")</f>
        <v>#VALUE!</v>
      </c>
      <c r="EA93" t="e">
        <f>AND('Planilla_General_03-12-2012_9_3'!B1481,"AAAAAG/524I=")</f>
        <v>#VALUE!</v>
      </c>
      <c r="EB93" t="e">
        <f>AND('Planilla_General_03-12-2012_9_3'!C1481,"AAAAAG/524M=")</f>
        <v>#VALUE!</v>
      </c>
      <c r="EC93" t="e">
        <f>AND('Planilla_General_03-12-2012_9_3'!D1481,"AAAAAG/524Q=")</f>
        <v>#VALUE!</v>
      </c>
      <c r="ED93" t="e">
        <f>AND('Planilla_General_03-12-2012_9_3'!E1481,"AAAAAG/524U=")</f>
        <v>#VALUE!</v>
      </c>
      <c r="EE93" t="e">
        <f>AND('Planilla_General_03-12-2012_9_3'!F1481,"AAAAAG/524Y=")</f>
        <v>#VALUE!</v>
      </c>
      <c r="EF93" t="e">
        <f>AND('Planilla_General_03-12-2012_9_3'!G1481,"AAAAAG/524c=")</f>
        <v>#VALUE!</v>
      </c>
      <c r="EG93" t="e">
        <f>AND('Planilla_General_03-12-2012_9_3'!H1481,"AAAAAG/524g=")</f>
        <v>#VALUE!</v>
      </c>
      <c r="EH93" t="e">
        <f>AND('Planilla_General_03-12-2012_9_3'!I1481,"AAAAAG/524k=")</f>
        <v>#VALUE!</v>
      </c>
      <c r="EI93" t="e">
        <f>AND('Planilla_General_03-12-2012_9_3'!J1481,"AAAAAG/524o=")</f>
        <v>#VALUE!</v>
      </c>
      <c r="EJ93" t="e">
        <f>AND('Planilla_General_03-12-2012_9_3'!K1481,"AAAAAG/524s=")</f>
        <v>#VALUE!</v>
      </c>
      <c r="EK93" t="e">
        <f>AND('Planilla_General_03-12-2012_9_3'!L1481,"AAAAAG/524w=")</f>
        <v>#VALUE!</v>
      </c>
      <c r="EL93" t="e">
        <f>AND('Planilla_General_03-12-2012_9_3'!M1481,"AAAAAG/5240=")</f>
        <v>#VALUE!</v>
      </c>
      <c r="EM93" t="e">
        <f>AND('Planilla_General_03-12-2012_9_3'!N1481,"AAAAAG/5244=")</f>
        <v>#VALUE!</v>
      </c>
      <c r="EN93" t="e">
        <f>AND('Planilla_General_03-12-2012_9_3'!O1481,"AAAAAG/5248=")</f>
        <v>#VALUE!</v>
      </c>
      <c r="EO93">
        <f>IF('Planilla_General_03-12-2012_9_3'!1482:1482,"AAAAAG/525A=",0)</f>
        <v>0</v>
      </c>
      <c r="EP93" t="e">
        <f>AND('Planilla_General_03-12-2012_9_3'!A1482,"AAAAAG/525E=")</f>
        <v>#VALUE!</v>
      </c>
      <c r="EQ93" t="e">
        <f>AND('Planilla_General_03-12-2012_9_3'!B1482,"AAAAAG/525I=")</f>
        <v>#VALUE!</v>
      </c>
      <c r="ER93" t="e">
        <f>AND('Planilla_General_03-12-2012_9_3'!C1482,"AAAAAG/525M=")</f>
        <v>#VALUE!</v>
      </c>
      <c r="ES93" t="e">
        <f>AND('Planilla_General_03-12-2012_9_3'!D1482,"AAAAAG/525Q=")</f>
        <v>#VALUE!</v>
      </c>
      <c r="ET93" t="e">
        <f>AND('Planilla_General_03-12-2012_9_3'!E1482,"AAAAAG/525U=")</f>
        <v>#VALUE!</v>
      </c>
      <c r="EU93" t="e">
        <f>AND('Planilla_General_03-12-2012_9_3'!F1482,"AAAAAG/525Y=")</f>
        <v>#VALUE!</v>
      </c>
      <c r="EV93" t="e">
        <f>AND('Planilla_General_03-12-2012_9_3'!G1482,"AAAAAG/525c=")</f>
        <v>#VALUE!</v>
      </c>
      <c r="EW93" t="e">
        <f>AND('Planilla_General_03-12-2012_9_3'!H1482,"AAAAAG/525g=")</f>
        <v>#VALUE!</v>
      </c>
      <c r="EX93" t="e">
        <f>AND('Planilla_General_03-12-2012_9_3'!I1482,"AAAAAG/525k=")</f>
        <v>#VALUE!</v>
      </c>
      <c r="EY93" t="e">
        <f>AND('Planilla_General_03-12-2012_9_3'!J1482,"AAAAAG/525o=")</f>
        <v>#VALUE!</v>
      </c>
      <c r="EZ93" t="e">
        <f>AND('Planilla_General_03-12-2012_9_3'!K1482,"AAAAAG/525s=")</f>
        <v>#VALUE!</v>
      </c>
      <c r="FA93" t="e">
        <f>AND('Planilla_General_03-12-2012_9_3'!L1482,"AAAAAG/525w=")</f>
        <v>#VALUE!</v>
      </c>
      <c r="FB93" t="e">
        <f>AND('Planilla_General_03-12-2012_9_3'!M1482,"AAAAAG/5250=")</f>
        <v>#VALUE!</v>
      </c>
      <c r="FC93" t="e">
        <f>AND('Planilla_General_03-12-2012_9_3'!N1482,"AAAAAG/5254=")</f>
        <v>#VALUE!</v>
      </c>
      <c r="FD93" t="e">
        <f>AND('Planilla_General_03-12-2012_9_3'!O1482,"AAAAAG/5258=")</f>
        <v>#VALUE!</v>
      </c>
      <c r="FE93">
        <f>IF('Planilla_General_03-12-2012_9_3'!1483:1483,"AAAAAG/526A=",0)</f>
        <v>0</v>
      </c>
      <c r="FF93" t="e">
        <f>AND('Planilla_General_03-12-2012_9_3'!A1483,"AAAAAG/526E=")</f>
        <v>#VALUE!</v>
      </c>
      <c r="FG93" t="e">
        <f>AND('Planilla_General_03-12-2012_9_3'!B1483,"AAAAAG/526I=")</f>
        <v>#VALUE!</v>
      </c>
      <c r="FH93" t="e">
        <f>AND('Planilla_General_03-12-2012_9_3'!C1483,"AAAAAG/526M=")</f>
        <v>#VALUE!</v>
      </c>
      <c r="FI93" t="e">
        <f>AND('Planilla_General_03-12-2012_9_3'!D1483,"AAAAAG/526Q=")</f>
        <v>#VALUE!</v>
      </c>
      <c r="FJ93" t="e">
        <f>AND('Planilla_General_03-12-2012_9_3'!E1483,"AAAAAG/526U=")</f>
        <v>#VALUE!</v>
      </c>
      <c r="FK93" t="e">
        <f>AND('Planilla_General_03-12-2012_9_3'!F1483,"AAAAAG/526Y=")</f>
        <v>#VALUE!</v>
      </c>
      <c r="FL93" t="e">
        <f>AND('Planilla_General_03-12-2012_9_3'!G1483,"AAAAAG/526c=")</f>
        <v>#VALUE!</v>
      </c>
      <c r="FM93" t="e">
        <f>AND('Planilla_General_03-12-2012_9_3'!H1483,"AAAAAG/526g=")</f>
        <v>#VALUE!</v>
      </c>
      <c r="FN93" t="e">
        <f>AND('Planilla_General_03-12-2012_9_3'!I1483,"AAAAAG/526k=")</f>
        <v>#VALUE!</v>
      </c>
      <c r="FO93" t="e">
        <f>AND('Planilla_General_03-12-2012_9_3'!J1483,"AAAAAG/526o=")</f>
        <v>#VALUE!</v>
      </c>
      <c r="FP93" t="e">
        <f>AND('Planilla_General_03-12-2012_9_3'!K1483,"AAAAAG/526s=")</f>
        <v>#VALUE!</v>
      </c>
      <c r="FQ93" t="e">
        <f>AND('Planilla_General_03-12-2012_9_3'!L1483,"AAAAAG/526w=")</f>
        <v>#VALUE!</v>
      </c>
      <c r="FR93" t="e">
        <f>AND('Planilla_General_03-12-2012_9_3'!M1483,"AAAAAG/5260=")</f>
        <v>#VALUE!</v>
      </c>
      <c r="FS93" t="e">
        <f>AND('Planilla_General_03-12-2012_9_3'!N1483,"AAAAAG/5264=")</f>
        <v>#VALUE!</v>
      </c>
      <c r="FT93" t="e">
        <f>AND('Planilla_General_03-12-2012_9_3'!O1483,"AAAAAG/5268=")</f>
        <v>#VALUE!</v>
      </c>
      <c r="FU93">
        <f>IF('Planilla_General_03-12-2012_9_3'!1484:1484,"AAAAAG/527A=",0)</f>
        <v>0</v>
      </c>
      <c r="FV93" t="e">
        <f>AND('Planilla_General_03-12-2012_9_3'!A1484,"AAAAAG/527E=")</f>
        <v>#VALUE!</v>
      </c>
      <c r="FW93" t="e">
        <f>AND('Planilla_General_03-12-2012_9_3'!B1484,"AAAAAG/527I=")</f>
        <v>#VALUE!</v>
      </c>
      <c r="FX93" t="e">
        <f>AND('Planilla_General_03-12-2012_9_3'!C1484,"AAAAAG/527M=")</f>
        <v>#VALUE!</v>
      </c>
      <c r="FY93" t="e">
        <f>AND('Planilla_General_03-12-2012_9_3'!D1484,"AAAAAG/527Q=")</f>
        <v>#VALUE!</v>
      </c>
      <c r="FZ93" t="e">
        <f>AND('Planilla_General_03-12-2012_9_3'!E1484,"AAAAAG/527U=")</f>
        <v>#VALUE!</v>
      </c>
      <c r="GA93" t="e">
        <f>AND('Planilla_General_03-12-2012_9_3'!F1484,"AAAAAG/527Y=")</f>
        <v>#VALUE!</v>
      </c>
      <c r="GB93" t="e">
        <f>AND('Planilla_General_03-12-2012_9_3'!G1484,"AAAAAG/527c=")</f>
        <v>#VALUE!</v>
      </c>
      <c r="GC93" t="e">
        <f>AND('Planilla_General_03-12-2012_9_3'!H1484,"AAAAAG/527g=")</f>
        <v>#VALUE!</v>
      </c>
      <c r="GD93" t="e">
        <f>AND('Planilla_General_03-12-2012_9_3'!I1484,"AAAAAG/527k=")</f>
        <v>#VALUE!</v>
      </c>
      <c r="GE93" t="e">
        <f>AND('Planilla_General_03-12-2012_9_3'!J1484,"AAAAAG/527o=")</f>
        <v>#VALUE!</v>
      </c>
      <c r="GF93" t="e">
        <f>AND('Planilla_General_03-12-2012_9_3'!K1484,"AAAAAG/527s=")</f>
        <v>#VALUE!</v>
      </c>
      <c r="GG93" t="e">
        <f>AND('Planilla_General_03-12-2012_9_3'!L1484,"AAAAAG/527w=")</f>
        <v>#VALUE!</v>
      </c>
      <c r="GH93" t="e">
        <f>AND('Planilla_General_03-12-2012_9_3'!M1484,"AAAAAG/5270=")</f>
        <v>#VALUE!</v>
      </c>
      <c r="GI93" t="e">
        <f>AND('Planilla_General_03-12-2012_9_3'!N1484,"AAAAAG/5274=")</f>
        <v>#VALUE!</v>
      </c>
      <c r="GJ93" t="e">
        <f>AND('Planilla_General_03-12-2012_9_3'!O1484,"AAAAAG/5278=")</f>
        <v>#VALUE!</v>
      </c>
      <c r="GK93">
        <f>IF('Planilla_General_03-12-2012_9_3'!1485:1485,"AAAAAG/528A=",0)</f>
        <v>0</v>
      </c>
      <c r="GL93" t="e">
        <f>AND('Planilla_General_03-12-2012_9_3'!A1485,"AAAAAG/528E=")</f>
        <v>#VALUE!</v>
      </c>
      <c r="GM93" t="e">
        <f>AND('Planilla_General_03-12-2012_9_3'!B1485,"AAAAAG/528I=")</f>
        <v>#VALUE!</v>
      </c>
      <c r="GN93" t="e">
        <f>AND('Planilla_General_03-12-2012_9_3'!C1485,"AAAAAG/528M=")</f>
        <v>#VALUE!</v>
      </c>
      <c r="GO93" t="e">
        <f>AND('Planilla_General_03-12-2012_9_3'!D1485,"AAAAAG/528Q=")</f>
        <v>#VALUE!</v>
      </c>
      <c r="GP93" t="e">
        <f>AND('Planilla_General_03-12-2012_9_3'!E1485,"AAAAAG/528U=")</f>
        <v>#VALUE!</v>
      </c>
      <c r="GQ93" t="e">
        <f>AND('Planilla_General_03-12-2012_9_3'!F1485,"AAAAAG/528Y=")</f>
        <v>#VALUE!</v>
      </c>
      <c r="GR93" t="e">
        <f>AND('Planilla_General_03-12-2012_9_3'!G1485,"AAAAAG/528c=")</f>
        <v>#VALUE!</v>
      </c>
      <c r="GS93" t="e">
        <f>AND('Planilla_General_03-12-2012_9_3'!H1485,"AAAAAG/528g=")</f>
        <v>#VALUE!</v>
      </c>
      <c r="GT93" t="e">
        <f>AND('Planilla_General_03-12-2012_9_3'!I1485,"AAAAAG/528k=")</f>
        <v>#VALUE!</v>
      </c>
      <c r="GU93" t="e">
        <f>AND('Planilla_General_03-12-2012_9_3'!J1485,"AAAAAG/528o=")</f>
        <v>#VALUE!</v>
      </c>
      <c r="GV93" t="e">
        <f>AND('Planilla_General_03-12-2012_9_3'!K1485,"AAAAAG/528s=")</f>
        <v>#VALUE!</v>
      </c>
      <c r="GW93" t="e">
        <f>AND('Planilla_General_03-12-2012_9_3'!L1485,"AAAAAG/528w=")</f>
        <v>#VALUE!</v>
      </c>
      <c r="GX93" t="e">
        <f>AND('Planilla_General_03-12-2012_9_3'!M1485,"AAAAAG/5280=")</f>
        <v>#VALUE!</v>
      </c>
      <c r="GY93" t="e">
        <f>AND('Planilla_General_03-12-2012_9_3'!N1485,"AAAAAG/5284=")</f>
        <v>#VALUE!</v>
      </c>
      <c r="GZ93" t="e">
        <f>AND('Planilla_General_03-12-2012_9_3'!O1485,"AAAAAG/5288=")</f>
        <v>#VALUE!</v>
      </c>
      <c r="HA93">
        <f>IF('Planilla_General_03-12-2012_9_3'!1486:1486,"AAAAAG/529A=",0)</f>
        <v>0</v>
      </c>
      <c r="HB93" t="e">
        <f>AND('Planilla_General_03-12-2012_9_3'!A1486,"AAAAAG/529E=")</f>
        <v>#VALUE!</v>
      </c>
      <c r="HC93" t="e">
        <f>AND('Planilla_General_03-12-2012_9_3'!B1486,"AAAAAG/529I=")</f>
        <v>#VALUE!</v>
      </c>
      <c r="HD93" t="e">
        <f>AND('Planilla_General_03-12-2012_9_3'!C1486,"AAAAAG/529M=")</f>
        <v>#VALUE!</v>
      </c>
      <c r="HE93" t="e">
        <f>AND('Planilla_General_03-12-2012_9_3'!D1486,"AAAAAG/529Q=")</f>
        <v>#VALUE!</v>
      </c>
      <c r="HF93" t="e">
        <f>AND('Planilla_General_03-12-2012_9_3'!E1486,"AAAAAG/529U=")</f>
        <v>#VALUE!</v>
      </c>
      <c r="HG93" t="e">
        <f>AND('Planilla_General_03-12-2012_9_3'!F1486,"AAAAAG/529Y=")</f>
        <v>#VALUE!</v>
      </c>
      <c r="HH93" t="e">
        <f>AND('Planilla_General_03-12-2012_9_3'!G1486,"AAAAAG/529c=")</f>
        <v>#VALUE!</v>
      </c>
      <c r="HI93" t="e">
        <f>AND('Planilla_General_03-12-2012_9_3'!H1486,"AAAAAG/529g=")</f>
        <v>#VALUE!</v>
      </c>
      <c r="HJ93" t="e">
        <f>AND('Planilla_General_03-12-2012_9_3'!I1486,"AAAAAG/529k=")</f>
        <v>#VALUE!</v>
      </c>
      <c r="HK93" t="e">
        <f>AND('Planilla_General_03-12-2012_9_3'!J1486,"AAAAAG/529o=")</f>
        <v>#VALUE!</v>
      </c>
      <c r="HL93" t="e">
        <f>AND('Planilla_General_03-12-2012_9_3'!K1486,"AAAAAG/529s=")</f>
        <v>#VALUE!</v>
      </c>
      <c r="HM93" t="e">
        <f>AND('Planilla_General_03-12-2012_9_3'!L1486,"AAAAAG/529w=")</f>
        <v>#VALUE!</v>
      </c>
      <c r="HN93" t="e">
        <f>AND('Planilla_General_03-12-2012_9_3'!M1486,"AAAAAG/5290=")</f>
        <v>#VALUE!</v>
      </c>
      <c r="HO93" t="e">
        <f>AND('Planilla_General_03-12-2012_9_3'!N1486,"AAAAAG/5294=")</f>
        <v>#VALUE!</v>
      </c>
      <c r="HP93" t="e">
        <f>AND('Planilla_General_03-12-2012_9_3'!O1486,"AAAAAG/5298=")</f>
        <v>#VALUE!</v>
      </c>
      <c r="HQ93">
        <f>IF('Planilla_General_03-12-2012_9_3'!1487:1487,"AAAAAG/52+A=",0)</f>
        <v>0</v>
      </c>
      <c r="HR93" t="e">
        <f>AND('Planilla_General_03-12-2012_9_3'!A1487,"AAAAAG/52+E=")</f>
        <v>#VALUE!</v>
      </c>
      <c r="HS93" t="e">
        <f>AND('Planilla_General_03-12-2012_9_3'!B1487,"AAAAAG/52+I=")</f>
        <v>#VALUE!</v>
      </c>
      <c r="HT93" t="e">
        <f>AND('Planilla_General_03-12-2012_9_3'!C1487,"AAAAAG/52+M=")</f>
        <v>#VALUE!</v>
      </c>
      <c r="HU93" t="e">
        <f>AND('Planilla_General_03-12-2012_9_3'!D1487,"AAAAAG/52+Q=")</f>
        <v>#VALUE!</v>
      </c>
      <c r="HV93" t="e">
        <f>AND('Planilla_General_03-12-2012_9_3'!E1487,"AAAAAG/52+U=")</f>
        <v>#VALUE!</v>
      </c>
      <c r="HW93" t="e">
        <f>AND('Planilla_General_03-12-2012_9_3'!F1487,"AAAAAG/52+Y=")</f>
        <v>#VALUE!</v>
      </c>
      <c r="HX93" t="e">
        <f>AND('Planilla_General_03-12-2012_9_3'!G1487,"AAAAAG/52+c=")</f>
        <v>#VALUE!</v>
      </c>
      <c r="HY93" t="e">
        <f>AND('Planilla_General_03-12-2012_9_3'!H1487,"AAAAAG/52+g=")</f>
        <v>#VALUE!</v>
      </c>
      <c r="HZ93" t="e">
        <f>AND('Planilla_General_03-12-2012_9_3'!I1487,"AAAAAG/52+k=")</f>
        <v>#VALUE!</v>
      </c>
      <c r="IA93" t="e">
        <f>AND('Planilla_General_03-12-2012_9_3'!J1487,"AAAAAG/52+o=")</f>
        <v>#VALUE!</v>
      </c>
      <c r="IB93" t="e">
        <f>AND('Planilla_General_03-12-2012_9_3'!K1487,"AAAAAG/52+s=")</f>
        <v>#VALUE!</v>
      </c>
      <c r="IC93" t="e">
        <f>AND('Planilla_General_03-12-2012_9_3'!L1487,"AAAAAG/52+w=")</f>
        <v>#VALUE!</v>
      </c>
      <c r="ID93" t="e">
        <f>AND('Planilla_General_03-12-2012_9_3'!M1487,"AAAAAG/52+0=")</f>
        <v>#VALUE!</v>
      </c>
      <c r="IE93" t="e">
        <f>AND('Planilla_General_03-12-2012_9_3'!N1487,"AAAAAG/52+4=")</f>
        <v>#VALUE!</v>
      </c>
      <c r="IF93" t="e">
        <f>AND('Planilla_General_03-12-2012_9_3'!O1487,"AAAAAG/52+8=")</f>
        <v>#VALUE!</v>
      </c>
      <c r="IG93">
        <f>IF('Planilla_General_03-12-2012_9_3'!1488:1488,"AAAAAG/52/A=",0)</f>
        <v>0</v>
      </c>
      <c r="IH93" t="e">
        <f>AND('Planilla_General_03-12-2012_9_3'!A1488,"AAAAAG/52/E=")</f>
        <v>#VALUE!</v>
      </c>
      <c r="II93" t="e">
        <f>AND('Planilla_General_03-12-2012_9_3'!B1488,"AAAAAG/52/I=")</f>
        <v>#VALUE!</v>
      </c>
      <c r="IJ93" t="e">
        <f>AND('Planilla_General_03-12-2012_9_3'!C1488,"AAAAAG/52/M=")</f>
        <v>#VALUE!</v>
      </c>
      <c r="IK93" t="e">
        <f>AND('Planilla_General_03-12-2012_9_3'!D1488,"AAAAAG/52/Q=")</f>
        <v>#VALUE!</v>
      </c>
      <c r="IL93" t="e">
        <f>AND('Planilla_General_03-12-2012_9_3'!E1488,"AAAAAG/52/U=")</f>
        <v>#VALUE!</v>
      </c>
      <c r="IM93" t="e">
        <f>AND('Planilla_General_03-12-2012_9_3'!F1488,"AAAAAG/52/Y=")</f>
        <v>#VALUE!</v>
      </c>
      <c r="IN93" t="e">
        <f>AND('Planilla_General_03-12-2012_9_3'!G1488,"AAAAAG/52/c=")</f>
        <v>#VALUE!</v>
      </c>
      <c r="IO93" t="e">
        <f>AND('Planilla_General_03-12-2012_9_3'!H1488,"AAAAAG/52/g=")</f>
        <v>#VALUE!</v>
      </c>
      <c r="IP93" t="e">
        <f>AND('Planilla_General_03-12-2012_9_3'!I1488,"AAAAAG/52/k=")</f>
        <v>#VALUE!</v>
      </c>
      <c r="IQ93" t="e">
        <f>AND('Planilla_General_03-12-2012_9_3'!J1488,"AAAAAG/52/o=")</f>
        <v>#VALUE!</v>
      </c>
      <c r="IR93" t="e">
        <f>AND('Planilla_General_03-12-2012_9_3'!K1488,"AAAAAG/52/s=")</f>
        <v>#VALUE!</v>
      </c>
      <c r="IS93" t="e">
        <f>AND('Planilla_General_03-12-2012_9_3'!L1488,"AAAAAG/52/w=")</f>
        <v>#VALUE!</v>
      </c>
      <c r="IT93" t="e">
        <f>AND('Planilla_General_03-12-2012_9_3'!M1488,"AAAAAG/52/0=")</f>
        <v>#VALUE!</v>
      </c>
      <c r="IU93" t="e">
        <f>AND('Planilla_General_03-12-2012_9_3'!N1488,"AAAAAG/52/4=")</f>
        <v>#VALUE!</v>
      </c>
      <c r="IV93" t="e">
        <f>AND('Planilla_General_03-12-2012_9_3'!O1488,"AAAAAG/52/8=")</f>
        <v>#VALUE!</v>
      </c>
    </row>
    <row r="94" spans="1:256" x14ac:dyDescent="0.25">
      <c r="A94" t="e">
        <f>IF('Planilla_General_03-12-2012_9_3'!1489:1489,"AAAAAF8+7wA=",0)</f>
        <v>#VALUE!</v>
      </c>
      <c r="B94" t="e">
        <f>AND('Planilla_General_03-12-2012_9_3'!A1489,"AAAAAF8+7wE=")</f>
        <v>#VALUE!</v>
      </c>
      <c r="C94" t="e">
        <f>AND('Planilla_General_03-12-2012_9_3'!B1489,"AAAAAF8+7wI=")</f>
        <v>#VALUE!</v>
      </c>
      <c r="D94" t="e">
        <f>AND('Planilla_General_03-12-2012_9_3'!C1489,"AAAAAF8+7wM=")</f>
        <v>#VALUE!</v>
      </c>
      <c r="E94" t="e">
        <f>AND('Planilla_General_03-12-2012_9_3'!D1489,"AAAAAF8+7wQ=")</f>
        <v>#VALUE!</v>
      </c>
      <c r="F94" t="e">
        <f>AND('Planilla_General_03-12-2012_9_3'!E1489,"AAAAAF8+7wU=")</f>
        <v>#VALUE!</v>
      </c>
      <c r="G94" t="e">
        <f>AND('Planilla_General_03-12-2012_9_3'!F1489,"AAAAAF8+7wY=")</f>
        <v>#VALUE!</v>
      </c>
      <c r="H94" t="e">
        <f>AND('Planilla_General_03-12-2012_9_3'!G1489,"AAAAAF8+7wc=")</f>
        <v>#VALUE!</v>
      </c>
      <c r="I94" t="e">
        <f>AND('Planilla_General_03-12-2012_9_3'!H1489,"AAAAAF8+7wg=")</f>
        <v>#VALUE!</v>
      </c>
      <c r="J94" t="e">
        <f>AND('Planilla_General_03-12-2012_9_3'!I1489,"AAAAAF8+7wk=")</f>
        <v>#VALUE!</v>
      </c>
      <c r="K94" t="e">
        <f>AND('Planilla_General_03-12-2012_9_3'!J1489,"AAAAAF8+7wo=")</f>
        <v>#VALUE!</v>
      </c>
      <c r="L94" t="e">
        <f>AND('Planilla_General_03-12-2012_9_3'!K1489,"AAAAAF8+7ws=")</f>
        <v>#VALUE!</v>
      </c>
      <c r="M94" t="e">
        <f>AND('Planilla_General_03-12-2012_9_3'!L1489,"AAAAAF8+7ww=")</f>
        <v>#VALUE!</v>
      </c>
      <c r="N94" t="e">
        <f>AND('Planilla_General_03-12-2012_9_3'!M1489,"AAAAAF8+7w0=")</f>
        <v>#VALUE!</v>
      </c>
      <c r="O94" t="e">
        <f>AND('Planilla_General_03-12-2012_9_3'!N1489,"AAAAAF8+7w4=")</f>
        <v>#VALUE!</v>
      </c>
      <c r="P94" t="e">
        <f>AND('Planilla_General_03-12-2012_9_3'!O1489,"AAAAAF8+7w8=")</f>
        <v>#VALUE!</v>
      </c>
      <c r="Q94">
        <f>IF('Planilla_General_03-12-2012_9_3'!1490:1490,"AAAAAF8+7xA=",0)</f>
        <v>0</v>
      </c>
      <c r="R94" t="e">
        <f>AND('Planilla_General_03-12-2012_9_3'!A1490,"AAAAAF8+7xE=")</f>
        <v>#VALUE!</v>
      </c>
      <c r="S94" t="e">
        <f>AND('Planilla_General_03-12-2012_9_3'!B1490,"AAAAAF8+7xI=")</f>
        <v>#VALUE!</v>
      </c>
      <c r="T94" t="e">
        <f>AND('Planilla_General_03-12-2012_9_3'!C1490,"AAAAAF8+7xM=")</f>
        <v>#VALUE!</v>
      </c>
      <c r="U94" t="e">
        <f>AND('Planilla_General_03-12-2012_9_3'!D1490,"AAAAAF8+7xQ=")</f>
        <v>#VALUE!</v>
      </c>
      <c r="V94" t="e">
        <f>AND('Planilla_General_03-12-2012_9_3'!E1490,"AAAAAF8+7xU=")</f>
        <v>#VALUE!</v>
      </c>
      <c r="W94" t="e">
        <f>AND('Planilla_General_03-12-2012_9_3'!F1490,"AAAAAF8+7xY=")</f>
        <v>#VALUE!</v>
      </c>
      <c r="X94" t="e">
        <f>AND('Planilla_General_03-12-2012_9_3'!G1490,"AAAAAF8+7xc=")</f>
        <v>#VALUE!</v>
      </c>
      <c r="Y94" t="e">
        <f>AND('Planilla_General_03-12-2012_9_3'!H1490,"AAAAAF8+7xg=")</f>
        <v>#VALUE!</v>
      </c>
      <c r="Z94" t="e">
        <f>AND('Planilla_General_03-12-2012_9_3'!I1490,"AAAAAF8+7xk=")</f>
        <v>#VALUE!</v>
      </c>
      <c r="AA94" t="e">
        <f>AND('Planilla_General_03-12-2012_9_3'!J1490,"AAAAAF8+7xo=")</f>
        <v>#VALUE!</v>
      </c>
      <c r="AB94" t="e">
        <f>AND('Planilla_General_03-12-2012_9_3'!K1490,"AAAAAF8+7xs=")</f>
        <v>#VALUE!</v>
      </c>
      <c r="AC94" t="e">
        <f>AND('Planilla_General_03-12-2012_9_3'!L1490,"AAAAAF8+7xw=")</f>
        <v>#VALUE!</v>
      </c>
      <c r="AD94" t="e">
        <f>AND('Planilla_General_03-12-2012_9_3'!M1490,"AAAAAF8+7x0=")</f>
        <v>#VALUE!</v>
      </c>
      <c r="AE94" t="e">
        <f>AND('Planilla_General_03-12-2012_9_3'!N1490,"AAAAAF8+7x4=")</f>
        <v>#VALUE!</v>
      </c>
      <c r="AF94" t="e">
        <f>AND('Planilla_General_03-12-2012_9_3'!O1490,"AAAAAF8+7x8=")</f>
        <v>#VALUE!</v>
      </c>
      <c r="AG94">
        <f>IF('Planilla_General_03-12-2012_9_3'!1491:1491,"AAAAAF8+7yA=",0)</f>
        <v>0</v>
      </c>
      <c r="AH94" t="e">
        <f>AND('Planilla_General_03-12-2012_9_3'!A1491,"AAAAAF8+7yE=")</f>
        <v>#VALUE!</v>
      </c>
      <c r="AI94" t="e">
        <f>AND('Planilla_General_03-12-2012_9_3'!B1491,"AAAAAF8+7yI=")</f>
        <v>#VALUE!</v>
      </c>
      <c r="AJ94" t="e">
        <f>AND('Planilla_General_03-12-2012_9_3'!C1491,"AAAAAF8+7yM=")</f>
        <v>#VALUE!</v>
      </c>
      <c r="AK94" t="e">
        <f>AND('Planilla_General_03-12-2012_9_3'!D1491,"AAAAAF8+7yQ=")</f>
        <v>#VALUE!</v>
      </c>
      <c r="AL94" t="e">
        <f>AND('Planilla_General_03-12-2012_9_3'!E1491,"AAAAAF8+7yU=")</f>
        <v>#VALUE!</v>
      </c>
      <c r="AM94" t="e">
        <f>AND('Planilla_General_03-12-2012_9_3'!F1491,"AAAAAF8+7yY=")</f>
        <v>#VALUE!</v>
      </c>
      <c r="AN94" t="e">
        <f>AND('Planilla_General_03-12-2012_9_3'!G1491,"AAAAAF8+7yc=")</f>
        <v>#VALUE!</v>
      </c>
      <c r="AO94" t="e">
        <f>AND('Planilla_General_03-12-2012_9_3'!H1491,"AAAAAF8+7yg=")</f>
        <v>#VALUE!</v>
      </c>
      <c r="AP94" t="e">
        <f>AND('Planilla_General_03-12-2012_9_3'!I1491,"AAAAAF8+7yk=")</f>
        <v>#VALUE!</v>
      </c>
      <c r="AQ94" t="e">
        <f>AND('Planilla_General_03-12-2012_9_3'!J1491,"AAAAAF8+7yo=")</f>
        <v>#VALUE!</v>
      </c>
      <c r="AR94" t="e">
        <f>AND('Planilla_General_03-12-2012_9_3'!K1491,"AAAAAF8+7ys=")</f>
        <v>#VALUE!</v>
      </c>
      <c r="AS94" t="e">
        <f>AND('Planilla_General_03-12-2012_9_3'!L1491,"AAAAAF8+7yw=")</f>
        <v>#VALUE!</v>
      </c>
      <c r="AT94" t="e">
        <f>AND('Planilla_General_03-12-2012_9_3'!M1491,"AAAAAF8+7y0=")</f>
        <v>#VALUE!</v>
      </c>
      <c r="AU94" t="e">
        <f>AND('Planilla_General_03-12-2012_9_3'!N1491,"AAAAAF8+7y4=")</f>
        <v>#VALUE!</v>
      </c>
      <c r="AV94" t="e">
        <f>AND('Planilla_General_03-12-2012_9_3'!O1491,"AAAAAF8+7y8=")</f>
        <v>#VALUE!</v>
      </c>
      <c r="AW94">
        <f>IF('Planilla_General_03-12-2012_9_3'!1492:1492,"AAAAAF8+7zA=",0)</f>
        <v>0</v>
      </c>
      <c r="AX94" t="e">
        <f>AND('Planilla_General_03-12-2012_9_3'!A1492,"AAAAAF8+7zE=")</f>
        <v>#VALUE!</v>
      </c>
      <c r="AY94" t="e">
        <f>AND('Planilla_General_03-12-2012_9_3'!B1492,"AAAAAF8+7zI=")</f>
        <v>#VALUE!</v>
      </c>
      <c r="AZ94" t="e">
        <f>AND('Planilla_General_03-12-2012_9_3'!C1492,"AAAAAF8+7zM=")</f>
        <v>#VALUE!</v>
      </c>
      <c r="BA94" t="e">
        <f>AND('Planilla_General_03-12-2012_9_3'!D1492,"AAAAAF8+7zQ=")</f>
        <v>#VALUE!</v>
      </c>
      <c r="BB94" t="e">
        <f>AND('Planilla_General_03-12-2012_9_3'!E1492,"AAAAAF8+7zU=")</f>
        <v>#VALUE!</v>
      </c>
      <c r="BC94" t="e">
        <f>AND('Planilla_General_03-12-2012_9_3'!F1492,"AAAAAF8+7zY=")</f>
        <v>#VALUE!</v>
      </c>
      <c r="BD94" t="e">
        <f>AND('Planilla_General_03-12-2012_9_3'!G1492,"AAAAAF8+7zc=")</f>
        <v>#VALUE!</v>
      </c>
      <c r="BE94" t="e">
        <f>AND('Planilla_General_03-12-2012_9_3'!H1492,"AAAAAF8+7zg=")</f>
        <v>#VALUE!</v>
      </c>
      <c r="BF94" t="e">
        <f>AND('Planilla_General_03-12-2012_9_3'!I1492,"AAAAAF8+7zk=")</f>
        <v>#VALUE!</v>
      </c>
      <c r="BG94" t="e">
        <f>AND('Planilla_General_03-12-2012_9_3'!J1492,"AAAAAF8+7zo=")</f>
        <v>#VALUE!</v>
      </c>
      <c r="BH94" t="e">
        <f>AND('Planilla_General_03-12-2012_9_3'!K1492,"AAAAAF8+7zs=")</f>
        <v>#VALUE!</v>
      </c>
      <c r="BI94" t="e">
        <f>AND('Planilla_General_03-12-2012_9_3'!L1492,"AAAAAF8+7zw=")</f>
        <v>#VALUE!</v>
      </c>
      <c r="BJ94" t="e">
        <f>AND('Planilla_General_03-12-2012_9_3'!M1492,"AAAAAF8+7z0=")</f>
        <v>#VALUE!</v>
      </c>
      <c r="BK94" t="e">
        <f>AND('Planilla_General_03-12-2012_9_3'!N1492,"AAAAAF8+7z4=")</f>
        <v>#VALUE!</v>
      </c>
      <c r="BL94" t="e">
        <f>AND('Planilla_General_03-12-2012_9_3'!O1492,"AAAAAF8+7z8=")</f>
        <v>#VALUE!</v>
      </c>
      <c r="BM94">
        <f>IF('Planilla_General_03-12-2012_9_3'!1493:1493,"AAAAAF8+70A=",0)</f>
        <v>0</v>
      </c>
      <c r="BN94" t="e">
        <f>AND('Planilla_General_03-12-2012_9_3'!A1493,"AAAAAF8+70E=")</f>
        <v>#VALUE!</v>
      </c>
      <c r="BO94" t="e">
        <f>AND('Planilla_General_03-12-2012_9_3'!B1493,"AAAAAF8+70I=")</f>
        <v>#VALUE!</v>
      </c>
      <c r="BP94" t="e">
        <f>AND('Planilla_General_03-12-2012_9_3'!C1493,"AAAAAF8+70M=")</f>
        <v>#VALUE!</v>
      </c>
      <c r="BQ94" t="e">
        <f>AND('Planilla_General_03-12-2012_9_3'!D1493,"AAAAAF8+70Q=")</f>
        <v>#VALUE!</v>
      </c>
      <c r="BR94" t="e">
        <f>AND('Planilla_General_03-12-2012_9_3'!E1493,"AAAAAF8+70U=")</f>
        <v>#VALUE!</v>
      </c>
      <c r="BS94" t="e">
        <f>AND('Planilla_General_03-12-2012_9_3'!F1493,"AAAAAF8+70Y=")</f>
        <v>#VALUE!</v>
      </c>
      <c r="BT94" t="e">
        <f>AND('Planilla_General_03-12-2012_9_3'!G1493,"AAAAAF8+70c=")</f>
        <v>#VALUE!</v>
      </c>
      <c r="BU94" t="e">
        <f>AND('Planilla_General_03-12-2012_9_3'!H1493,"AAAAAF8+70g=")</f>
        <v>#VALUE!</v>
      </c>
      <c r="BV94" t="e">
        <f>AND('Planilla_General_03-12-2012_9_3'!I1493,"AAAAAF8+70k=")</f>
        <v>#VALUE!</v>
      </c>
      <c r="BW94" t="e">
        <f>AND('Planilla_General_03-12-2012_9_3'!J1493,"AAAAAF8+70o=")</f>
        <v>#VALUE!</v>
      </c>
      <c r="BX94" t="e">
        <f>AND('Planilla_General_03-12-2012_9_3'!K1493,"AAAAAF8+70s=")</f>
        <v>#VALUE!</v>
      </c>
      <c r="BY94" t="e">
        <f>AND('Planilla_General_03-12-2012_9_3'!L1493,"AAAAAF8+70w=")</f>
        <v>#VALUE!</v>
      </c>
      <c r="BZ94" t="e">
        <f>AND('Planilla_General_03-12-2012_9_3'!M1493,"AAAAAF8+700=")</f>
        <v>#VALUE!</v>
      </c>
      <c r="CA94" t="e">
        <f>AND('Planilla_General_03-12-2012_9_3'!N1493,"AAAAAF8+704=")</f>
        <v>#VALUE!</v>
      </c>
      <c r="CB94" t="e">
        <f>AND('Planilla_General_03-12-2012_9_3'!O1493,"AAAAAF8+708=")</f>
        <v>#VALUE!</v>
      </c>
      <c r="CC94">
        <f>IF('Planilla_General_03-12-2012_9_3'!1494:1494,"AAAAAF8+71A=",0)</f>
        <v>0</v>
      </c>
      <c r="CD94" t="e">
        <f>AND('Planilla_General_03-12-2012_9_3'!A1494,"AAAAAF8+71E=")</f>
        <v>#VALUE!</v>
      </c>
      <c r="CE94" t="e">
        <f>AND('Planilla_General_03-12-2012_9_3'!B1494,"AAAAAF8+71I=")</f>
        <v>#VALUE!</v>
      </c>
      <c r="CF94" t="e">
        <f>AND('Planilla_General_03-12-2012_9_3'!C1494,"AAAAAF8+71M=")</f>
        <v>#VALUE!</v>
      </c>
      <c r="CG94" t="e">
        <f>AND('Planilla_General_03-12-2012_9_3'!D1494,"AAAAAF8+71Q=")</f>
        <v>#VALUE!</v>
      </c>
      <c r="CH94" t="e">
        <f>AND('Planilla_General_03-12-2012_9_3'!E1494,"AAAAAF8+71U=")</f>
        <v>#VALUE!</v>
      </c>
      <c r="CI94" t="e">
        <f>AND('Planilla_General_03-12-2012_9_3'!F1494,"AAAAAF8+71Y=")</f>
        <v>#VALUE!</v>
      </c>
      <c r="CJ94" t="e">
        <f>AND('Planilla_General_03-12-2012_9_3'!G1494,"AAAAAF8+71c=")</f>
        <v>#VALUE!</v>
      </c>
      <c r="CK94" t="e">
        <f>AND('Planilla_General_03-12-2012_9_3'!H1494,"AAAAAF8+71g=")</f>
        <v>#VALUE!</v>
      </c>
      <c r="CL94" t="e">
        <f>AND('Planilla_General_03-12-2012_9_3'!I1494,"AAAAAF8+71k=")</f>
        <v>#VALUE!</v>
      </c>
      <c r="CM94" t="e">
        <f>AND('Planilla_General_03-12-2012_9_3'!J1494,"AAAAAF8+71o=")</f>
        <v>#VALUE!</v>
      </c>
      <c r="CN94" t="e">
        <f>AND('Planilla_General_03-12-2012_9_3'!K1494,"AAAAAF8+71s=")</f>
        <v>#VALUE!</v>
      </c>
      <c r="CO94" t="e">
        <f>AND('Planilla_General_03-12-2012_9_3'!L1494,"AAAAAF8+71w=")</f>
        <v>#VALUE!</v>
      </c>
      <c r="CP94" t="e">
        <f>AND('Planilla_General_03-12-2012_9_3'!M1494,"AAAAAF8+710=")</f>
        <v>#VALUE!</v>
      </c>
      <c r="CQ94" t="e">
        <f>AND('Planilla_General_03-12-2012_9_3'!N1494,"AAAAAF8+714=")</f>
        <v>#VALUE!</v>
      </c>
      <c r="CR94" t="e">
        <f>AND('Planilla_General_03-12-2012_9_3'!O1494,"AAAAAF8+718=")</f>
        <v>#VALUE!</v>
      </c>
      <c r="CS94">
        <f>IF('Planilla_General_03-12-2012_9_3'!1495:1495,"AAAAAF8+72A=",0)</f>
        <v>0</v>
      </c>
      <c r="CT94" t="e">
        <f>AND('Planilla_General_03-12-2012_9_3'!A1495,"AAAAAF8+72E=")</f>
        <v>#VALUE!</v>
      </c>
      <c r="CU94" t="e">
        <f>AND('Planilla_General_03-12-2012_9_3'!B1495,"AAAAAF8+72I=")</f>
        <v>#VALUE!</v>
      </c>
      <c r="CV94" t="e">
        <f>AND('Planilla_General_03-12-2012_9_3'!C1495,"AAAAAF8+72M=")</f>
        <v>#VALUE!</v>
      </c>
      <c r="CW94" t="e">
        <f>AND('Planilla_General_03-12-2012_9_3'!D1495,"AAAAAF8+72Q=")</f>
        <v>#VALUE!</v>
      </c>
      <c r="CX94" t="e">
        <f>AND('Planilla_General_03-12-2012_9_3'!E1495,"AAAAAF8+72U=")</f>
        <v>#VALUE!</v>
      </c>
      <c r="CY94" t="e">
        <f>AND('Planilla_General_03-12-2012_9_3'!F1495,"AAAAAF8+72Y=")</f>
        <v>#VALUE!</v>
      </c>
      <c r="CZ94" t="e">
        <f>AND('Planilla_General_03-12-2012_9_3'!G1495,"AAAAAF8+72c=")</f>
        <v>#VALUE!</v>
      </c>
      <c r="DA94" t="e">
        <f>AND('Planilla_General_03-12-2012_9_3'!H1495,"AAAAAF8+72g=")</f>
        <v>#VALUE!</v>
      </c>
      <c r="DB94" t="e">
        <f>AND('Planilla_General_03-12-2012_9_3'!I1495,"AAAAAF8+72k=")</f>
        <v>#VALUE!</v>
      </c>
      <c r="DC94" t="e">
        <f>AND('Planilla_General_03-12-2012_9_3'!J1495,"AAAAAF8+72o=")</f>
        <v>#VALUE!</v>
      </c>
      <c r="DD94" t="e">
        <f>AND('Planilla_General_03-12-2012_9_3'!K1495,"AAAAAF8+72s=")</f>
        <v>#VALUE!</v>
      </c>
      <c r="DE94" t="e">
        <f>AND('Planilla_General_03-12-2012_9_3'!L1495,"AAAAAF8+72w=")</f>
        <v>#VALUE!</v>
      </c>
      <c r="DF94" t="e">
        <f>AND('Planilla_General_03-12-2012_9_3'!M1495,"AAAAAF8+720=")</f>
        <v>#VALUE!</v>
      </c>
      <c r="DG94" t="e">
        <f>AND('Planilla_General_03-12-2012_9_3'!N1495,"AAAAAF8+724=")</f>
        <v>#VALUE!</v>
      </c>
      <c r="DH94" t="e">
        <f>AND('Planilla_General_03-12-2012_9_3'!O1495,"AAAAAF8+728=")</f>
        <v>#VALUE!</v>
      </c>
      <c r="DI94">
        <f>IF('Planilla_General_03-12-2012_9_3'!1496:1496,"AAAAAF8+73A=",0)</f>
        <v>0</v>
      </c>
      <c r="DJ94" t="e">
        <f>AND('Planilla_General_03-12-2012_9_3'!A1496,"AAAAAF8+73E=")</f>
        <v>#VALUE!</v>
      </c>
      <c r="DK94" t="e">
        <f>AND('Planilla_General_03-12-2012_9_3'!B1496,"AAAAAF8+73I=")</f>
        <v>#VALUE!</v>
      </c>
      <c r="DL94" t="e">
        <f>AND('Planilla_General_03-12-2012_9_3'!C1496,"AAAAAF8+73M=")</f>
        <v>#VALUE!</v>
      </c>
      <c r="DM94" t="e">
        <f>AND('Planilla_General_03-12-2012_9_3'!D1496,"AAAAAF8+73Q=")</f>
        <v>#VALUE!</v>
      </c>
      <c r="DN94" t="e">
        <f>AND('Planilla_General_03-12-2012_9_3'!E1496,"AAAAAF8+73U=")</f>
        <v>#VALUE!</v>
      </c>
      <c r="DO94" t="e">
        <f>AND('Planilla_General_03-12-2012_9_3'!F1496,"AAAAAF8+73Y=")</f>
        <v>#VALUE!</v>
      </c>
      <c r="DP94" t="e">
        <f>AND('Planilla_General_03-12-2012_9_3'!G1496,"AAAAAF8+73c=")</f>
        <v>#VALUE!</v>
      </c>
      <c r="DQ94" t="e">
        <f>AND('Planilla_General_03-12-2012_9_3'!H1496,"AAAAAF8+73g=")</f>
        <v>#VALUE!</v>
      </c>
      <c r="DR94" t="e">
        <f>AND('Planilla_General_03-12-2012_9_3'!I1496,"AAAAAF8+73k=")</f>
        <v>#VALUE!</v>
      </c>
      <c r="DS94" t="e">
        <f>AND('Planilla_General_03-12-2012_9_3'!J1496,"AAAAAF8+73o=")</f>
        <v>#VALUE!</v>
      </c>
      <c r="DT94" t="e">
        <f>AND('Planilla_General_03-12-2012_9_3'!K1496,"AAAAAF8+73s=")</f>
        <v>#VALUE!</v>
      </c>
      <c r="DU94" t="e">
        <f>AND('Planilla_General_03-12-2012_9_3'!L1496,"AAAAAF8+73w=")</f>
        <v>#VALUE!</v>
      </c>
      <c r="DV94" t="e">
        <f>AND('Planilla_General_03-12-2012_9_3'!M1496,"AAAAAF8+730=")</f>
        <v>#VALUE!</v>
      </c>
      <c r="DW94" t="e">
        <f>AND('Planilla_General_03-12-2012_9_3'!N1496,"AAAAAF8+734=")</f>
        <v>#VALUE!</v>
      </c>
      <c r="DX94" t="e">
        <f>AND('Planilla_General_03-12-2012_9_3'!O1496,"AAAAAF8+738=")</f>
        <v>#VALUE!</v>
      </c>
      <c r="DY94">
        <f>IF('Planilla_General_03-12-2012_9_3'!1497:1497,"AAAAAF8+74A=",0)</f>
        <v>0</v>
      </c>
      <c r="DZ94" t="e">
        <f>AND('Planilla_General_03-12-2012_9_3'!A1497,"AAAAAF8+74E=")</f>
        <v>#VALUE!</v>
      </c>
      <c r="EA94" t="e">
        <f>AND('Planilla_General_03-12-2012_9_3'!B1497,"AAAAAF8+74I=")</f>
        <v>#VALUE!</v>
      </c>
      <c r="EB94" t="e">
        <f>AND('Planilla_General_03-12-2012_9_3'!C1497,"AAAAAF8+74M=")</f>
        <v>#VALUE!</v>
      </c>
      <c r="EC94" t="e">
        <f>AND('Planilla_General_03-12-2012_9_3'!D1497,"AAAAAF8+74Q=")</f>
        <v>#VALUE!</v>
      </c>
      <c r="ED94" t="e">
        <f>AND('Planilla_General_03-12-2012_9_3'!E1497,"AAAAAF8+74U=")</f>
        <v>#VALUE!</v>
      </c>
      <c r="EE94" t="e">
        <f>AND('Planilla_General_03-12-2012_9_3'!F1497,"AAAAAF8+74Y=")</f>
        <v>#VALUE!</v>
      </c>
      <c r="EF94" t="e">
        <f>AND('Planilla_General_03-12-2012_9_3'!G1497,"AAAAAF8+74c=")</f>
        <v>#VALUE!</v>
      </c>
      <c r="EG94" t="e">
        <f>AND('Planilla_General_03-12-2012_9_3'!H1497,"AAAAAF8+74g=")</f>
        <v>#VALUE!</v>
      </c>
      <c r="EH94" t="e">
        <f>AND('Planilla_General_03-12-2012_9_3'!I1497,"AAAAAF8+74k=")</f>
        <v>#VALUE!</v>
      </c>
      <c r="EI94" t="e">
        <f>AND('Planilla_General_03-12-2012_9_3'!J1497,"AAAAAF8+74o=")</f>
        <v>#VALUE!</v>
      </c>
      <c r="EJ94" t="e">
        <f>AND('Planilla_General_03-12-2012_9_3'!K1497,"AAAAAF8+74s=")</f>
        <v>#VALUE!</v>
      </c>
      <c r="EK94" t="e">
        <f>AND('Planilla_General_03-12-2012_9_3'!L1497,"AAAAAF8+74w=")</f>
        <v>#VALUE!</v>
      </c>
      <c r="EL94" t="e">
        <f>AND('Planilla_General_03-12-2012_9_3'!M1497,"AAAAAF8+740=")</f>
        <v>#VALUE!</v>
      </c>
      <c r="EM94" t="e">
        <f>AND('Planilla_General_03-12-2012_9_3'!N1497,"AAAAAF8+744=")</f>
        <v>#VALUE!</v>
      </c>
      <c r="EN94" t="e">
        <f>AND('Planilla_General_03-12-2012_9_3'!O1497,"AAAAAF8+748=")</f>
        <v>#VALUE!</v>
      </c>
      <c r="EO94">
        <f>IF('Planilla_General_03-12-2012_9_3'!1498:1498,"AAAAAF8+75A=",0)</f>
        <v>0</v>
      </c>
      <c r="EP94" t="e">
        <f>AND('Planilla_General_03-12-2012_9_3'!A1498,"AAAAAF8+75E=")</f>
        <v>#VALUE!</v>
      </c>
      <c r="EQ94" t="e">
        <f>AND('Planilla_General_03-12-2012_9_3'!B1498,"AAAAAF8+75I=")</f>
        <v>#VALUE!</v>
      </c>
      <c r="ER94" t="e">
        <f>AND('Planilla_General_03-12-2012_9_3'!C1498,"AAAAAF8+75M=")</f>
        <v>#VALUE!</v>
      </c>
      <c r="ES94" t="e">
        <f>AND('Planilla_General_03-12-2012_9_3'!D1498,"AAAAAF8+75Q=")</f>
        <v>#VALUE!</v>
      </c>
      <c r="ET94" t="e">
        <f>AND('Planilla_General_03-12-2012_9_3'!E1498,"AAAAAF8+75U=")</f>
        <v>#VALUE!</v>
      </c>
      <c r="EU94" t="e">
        <f>AND('Planilla_General_03-12-2012_9_3'!F1498,"AAAAAF8+75Y=")</f>
        <v>#VALUE!</v>
      </c>
      <c r="EV94" t="e">
        <f>AND('Planilla_General_03-12-2012_9_3'!G1498,"AAAAAF8+75c=")</f>
        <v>#VALUE!</v>
      </c>
      <c r="EW94" t="e">
        <f>AND('Planilla_General_03-12-2012_9_3'!H1498,"AAAAAF8+75g=")</f>
        <v>#VALUE!</v>
      </c>
      <c r="EX94" t="e">
        <f>AND('Planilla_General_03-12-2012_9_3'!I1498,"AAAAAF8+75k=")</f>
        <v>#VALUE!</v>
      </c>
      <c r="EY94" t="e">
        <f>AND('Planilla_General_03-12-2012_9_3'!J1498,"AAAAAF8+75o=")</f>
        <v>#VALUE!</v>
      </c>
      <c r="EZ94" t="e">
        <f>AND('Planilla_General_03-12-2012_9_3'!K1498,"AAAAAF8+75s=")</f>
        <v>#VALUE!</v>
      </c>
      <c r="FA94" t="e">
        <f>AND('Planilla_General_03-12-2012_9_3'!L1498,"AAAAAF8+75w=")</f>
        <v>#VALUE!</v>
      </c>
      <c r="FB94" t="e">
        <f>AND('Planilla_General_03-12-2012_9_3'!M1498,"AAAAAF8+750=")</f>
        <v>#VALUE!</v>
      </c>
      <c r="FC94" t="e">
        <f>AND('Planilla_General_03-12-2012_9_3'!N1498,"AAAAAF8+754=")</f>
        <v>#VALUE!</v>
      </c>
      <c r="FD94" t="e">
        <f>AND('Planilla_General_03-12-2012_9_3'!O1498,"AAAAAF8+758=")</f>
        <v>#VALUE!</v>
      </c>
      <c r="FE94">
        <f>IF('Planilla_General_03-12-2012_9_3'!1499:1499,"AAAAAF8+76A=",0)</f>
        <v>0</v>
      </c>
      <c r="FF94" t="e">
        <f>AND('Planilla_General_03-12-2012_9_3'!A1499,"AAAAAF8+76E=")</f>
        <v>#VALUE!</v>
      </c>
      <c r="FG94" t="e">
        <f>AND('Planilla_General_03-12-2012_9_3'!B1499,"AAAAAF8+76I=")</f>
        <v>#VALUE!</v>
      </c>
      <c r="FH94" t="e">
        <f>AND('Planilla_General_03-12-2012_9_3'!C1499,"AAAAAF8+76M=")</f>
        <v>#VALUE!</v>
      </c>
      <c r="FI94" t="e">
        <f>AND('Planilla_General_03-12-2012_9_3'!D1499,"AAAAAF8+76Q=")</f>
        <v>#VALUE!</v>
      </c>
      <c r="FJ94" t="e">
        <f>AND('Planilla_General_03-12-2012_9_3'!E1499,"AAAAAF8+76U=")</f>
        <v>#VALUE!</v>
      </c>
      <c r="FK94" t="e">
        <f>AND('Planilla_General_03-12-2012_9_3'!F1499,"AAAAAF8+76Y=")</f>
        <v>#VALUE!</v>
      </c>
      <c r="FL94" t="e">
        <f>AND('Planilla_General_03-12-2012_9_3'!G1499,"AAAAAF8+76c=")</f>
        <v>#VALUE!</v>
      </c>
      <c r="FM94" t="e">
        <f>AND('Planilla_General_03-12-2012_9_3'!H1499,"AAAAAF8+76g=")</f>
        <v>#VALUE!</v>
      </c>
      <c r="FN94" t="e">
        <f>AND('Planilla_General_03-12-2012_9_3'!I1499,"AAAAAF8+76k=")</f>
        <v>#VALUE!</v>
      </c>
      <c r="FO94" t="e">
        <f>AND('Planilla_General_03-12-2012_9_3'!J1499,"AAAAAF8+76o=")</f>
        <v>#VALUE!</v>
      </c>
      <c r="FP94" t="e">
        <f>AND('Planilla_General_03-12-2012_9_3'!K1499,"AAAAAF8+76s=")</f>
        <v>#VALUE!</v>
      </c>
      <c r="FQ94" t="e">
        <f>AND('Planilla_General_03-12-2012_9_3'!L1499,"AAAAAF8+76w=")</f>
        <v>#VALUE!</v>
      </c>
      <c r="FR94" t="e">
        <f>AND('Planilla_General_03-12-2012_9_3'!M1499,"AAAAAF8+760=")</f>
        <v>#VALUE!</v>
      </c>
      <c r="FS94" t="e">
        <f>AND('Planilla_General_03-12-2012_9_3'!N1499,"AAAAAF8+764=")</f>
        <v>#VALUE!</v>
      </c>
      <c r="FT94" t="e">
        <f>AND('Planilla_General_03-12-2012_9_3'!O1499,"AAAAAF8+768=")</f>
        <v>#VALUE!</v>
      </c>
      <c r="FU94">
        <f>IF('Planilla_General_03-12-2012_9_3'!1500:1500,"AAAAAF8+77A=",0)</f>
        <v>0</v>
      </c>
      <c r="FV94" t="e">
        <f>AND('Planilla_General_03-12-2012_9_3'!A1500,"AAAAAF8+77E=")</f>
        <v>#VALUE!</v>
      </c>
      <c r="FW94" t="e">
        <f>AND('Planilla_General_03-12-2012_9_3'!B1500,"AAAAAF8+77I=")</f>
        <v>#VALUE!</v>
      </c>
      <c r="FX94" t="e">
        <f>AND('Planilla_General_03-12-2012_9_3'!C1500,"AAAAAF8+77M=")</f>
        <v>#VALUE!</v>
      </c>
      <c r="FY94" t="e">
        <f>AND('Planilla_General_03-12-2012_9_3'!D1500,"AAAAAF8+77Q=")</f>
        <v>#VALUE!</v>
      </c>
      <c r="FZ94" t="e">
        <f>AND('Planilla_General_03-12-2012_9_3'!E1500,"AAAAAF8+77U=")</f>
        <v>#VALUE!</v>
      </c>
      <c r="GA94" t="e">
        <f>AND('Planilla_General_03-12-2012_9_3'!F1500,"AAAAAF8+77Y=")</f>
        <v>#VALUE!</v>
      </c>
      <c r="GB94" t="e">
        <f>AND('Planilla_General_03-12-2012_9_3'!G1500,"AAAAAF8+77c=")</f>
        <v>#VALUE!</v>
      </c>
      <c r="GC94" t="e">
        <f>AND('Planilla_General_03-12-2012_9_3'!H1500,"AAAAAF8+77g=")</f>
        <v>#VALUE!</v>
      </c>
      <c r="GD94" t="e">
        <f>AND('Planilla_General_03-12-2012_9_3'!I1500,"AAAAAF8+77k=")</f>
        <v>#VALUE!</v>
      </c>
      <c r="GE94" t="e">
        <f>AND('Planilla_General_03-12-2012_9_3'!J1500,"AAAAAF8+77o=")</f>
        <v>#VALUE!</v>
      </c>
      <c r="GF94" t="e">
        <f>AND('Planilla_General_03-12-2012_9_3'!K1500,"AAAAAF8+77s=")</f>
        <v>#VALUE!</v>
      </c>
      <c r="GG94" t="e">
        <f>AND('Planilla_General_03-12-2012_9_3'!L1500,"AAAAAF8+77w=")</f>
        <v>#VALUE!</v>
      </c>
      <c r="GH94" t="e">
        <f>AND('Planilla_General_03-12-2012_9_3'!M1500,"AAAAAF8+770=")</f>
        <v>#VALUE!</v>
      </c>
      <c r="GI94" t="e">
        <f>AND('Planilla_General_03-12-2012_9_3'!N1500,"AAAAAF8+774=")</f>
        <v>#VALUE!</v>
      </c>
      <c r="GJ94" t="e">
        <f>AND('Planilla_General_03-12-2012_9_3'!O1500,"AAAAAF8+778=")</f>
        <v>#VALUE!</v>
      </c>
      <c r="GK94">
        <f>IF('Planilla_General_03-12-2012_9_3'!1501:1501,"AAAAAF8+78A=",0)</f>
        <v>0</v>
      </c>
      <c r="GL94" t="e">
        <f>AND('Planilla_General_03-12-2012_9_3'!A1501,"AAAAAF8+78E=")</f>
        <v>#VALUE!</v>
      </c>
      <c r="GM94" t="e">
        <f>AND('Planilla_General_03-12-2012_9_3'!B1501,"AAAAAF8+78I=")</f>
        <v>#VALUE!</v>
      </c>
      <c r="GN94" t="e">
        <f>AND('Planilla_General_03-12-2012_9_3'!C1501,"AAAAAF8+78M=")</f>
        <v>#VALUE!</v>
      </c>
      <c r="GO94" t="e">
        <f>AND('Planilla_General_03-12-2012_9_3'!D1501,"AAAAAF8+78Q=")</f>
        <v>#VALUE!</v>
      </c>
      <c r="GP94" t="e">
        <f>AND('Planilla_General_03-12-2012_9_3'!E1501,"AAAAAF8+78U=")</f>
        <v>#VALUE!</v>
      </c>
      <c r="GQ94" t="e">
        <f>AND('Planilla_General_03-12-2012_9_3'!F1501,"AAAAAF8+78Y=")</f>
        <v>#VALUE!</v>
      </c>
      <c r="GR94" t="e">
        <f>AND('Planilla_General_03-12-2012_9_3'!G1501,"AAAAAF8+78c=")</f>
        <v>#VALUE!</v>
      </c>
      <c r="GS94" t="e">
        <f>AND('Planilla_General_03-12-2012_9_3'!H1501,"AAAAAF8+78g=")</f>
        <v>#VALUE!</v>
      </c>
      <c r="GT94" t="e">
        <f>AND('Planilla_General_03-12-2012_9_3'!I1501,"AAAAAF8+78k=")</f>
        <v>#VALUE!</v>
      </c>
      <c r="GU94" t="e">
        <f>AND('Planilla_General_03-12-2012_9_3'!J1501,"AAAAAF8+78o=")</f>
        <v>#VALUE!</v>
      </c>
      <c r="GV94" t="e">
        <f>AND('Planilla_General_03-12-2012_9_3'!K1501,"AAAAAF8+78s=")</f>
        <v>#VALUE!</v>
      </c>
      <c r="GW94" t="e">
        <f>AND('Planilla_General_03-12-2012_9_3'!L1501,"AAAAAF8+78w=")</f>
        <v>#VALUE!</v>
      </c>
      <c r="GX94" t="e">
        <f>AND('Planilla_General_03-12-2012_9_3'!M1501,"AAAAAF8+780=")</f>
        <v>#VALUE!</v>
      </c>
      <c r="GY94" t="e">
        <f>AND('Planilla_General_03-12-2012_9_3'!N1501,"AAAAAF8+784=")</f>
        <v>#VALUE!</v>
      </c>
      <c r="GZ94" t="e">
        <f>AND('Planilla_General_03-12-2012_9_3'!O1501,"AAAAAF8+788=")</f>
        <v>#VALUE!</v>
      </c>
      <c r="HA94">
        <f>IF('Planilla_General_03-12-2012_9_3'!1502:1502,"AAAAAF8+79A=",0)</f>
        <v>0</v>
      </c>
      <c r="HB94" t="e">
        <f>AND('Planilla_General_03-12-2012_9_3'!A1502,"AAAAAF8+79E=")</f>
        <v>#VALUE!</v>
      </c>
      <c r="HC94" t="e">
        <f>AND('Planilla_General_03-12-2012_9_3'!B1502,"AAAAAF8+79I=")</f>
        <v>#VALUE!</v>
      </c>
      <c r="HD94" t="e">
        <f>AND('Planilla_General_03-12-2012_9_3'!C1502,"AAAAAF8+79M=")</f>
        <v>#VALUE!</v>
      </c>
      <c r="HE94" t="e">
        <f>AND('Planilla_General_03-12-2012_9_3'!D1502,"AAAAAF8+79Q=")</f>
        <v>#VALUE!</v>
      </c>
      <c r="HF94" t="e">
        <f>AND('Planilla_General_03-12-2012_9_3'!E1502,"AAAAAF8+79U=")</f>
        <v>#VALUE!</v>
      </c>
      <c r="HG94" t="e">
        <f>AND('Planilla_General_03-12-2012_9_3'!F1502,"AAAAAF8+79Y=")</f>
        <v>#VALUE!</v>
      </c>
      <c r="HH94" t="e">
        <f>AND('Planilla_General_03-12-2012_9_3'!G1502,"AAAAAF8+79c=")</f>
        <v>#VALUE!</v>
      </c>
      <c r="HI94" t="e">
        <f>AND('Planilla_General_03-12-2012_9_3'!H1502,"AAAAAF8+79g=")</f>
        <v>#VALUE!</v>
      </c>
      <c r="HJ94" t="e">
        <f>AND('Planilla_General_03-12-2012_9_3'!I1502,"AAAAAF8+79k=")</f>
        <v>#VALUE!</v>
      </c>
      <c r="HK94" t="e">
        <f>AND('Planilla_General_03-12-2012_9_3'!J1502,"AAAAAF8+79o=")</f>
        <v>#VALUE!</v>
      </c>
      <c r="HL94" t="e">
        <f>AND('Planilla_General_03-12-2012_9_3'!K1502,"AAAAAF8+79s=")</f>
        <v>#VALUE!</v>
      </c>
      <c r="HM94" t="e">
        <f>AND('Planilla_General_03-12-2012_9_3'!L1502,"AAAAAF8+79w=")</f>
        <v>#VALUE!</v>
      </c>
      <c r="HN94" t="e">
        <f>AND('Planilla_General_03-12-2012_9_3'!M1502,"AAAAAF8+790=")</f>
        <v>#VALUE!</v>
      </c>
      <c r="HO94" t="e">
        <f>AND('Planilla_General_03-12-2012_9_3'!N1502,"AAAAAF8+794=")</f>
        <v>#VALUE!</v>
      </c>
      <c r="HP94" t="e">
        <f>AND('Planilla_General_03-12-2012_9_3'!O1502,"AAAAAF8+798=")</f>
        <v>#VALUE!</v>
      </c>
      <c r="HQ94">
        <f>IF('Planilla_General_03-12-2012_9_3'!1503:1503,"AAAAAF8+7+A=",0)</f>
        <v>0</v>
      </c>
      <c r="HR94" t="e">
        <f>AND('Planilla_General_03-12-2012_9_3'!A1503,"AAAAAF8+7+E=")</f>
        <v>#VALUE!</v>
      </c>
      <c r="HS94" t="e">
        <f>AND('Planilla_General_03-12-2012_9_3'!B1503,"AAAAAF8+7+I=")</f>
        <v>#VALUE!</v>
      </c>
      <c r="HT94" t="e">
        <f>AND('Planilla_General_03-12-2012_9_3'!C1503,"AAAAAF8+7+M=")</f>
        <v>#VALUE!</v>
      </c>
      <c r="HU94" t="e">
        <f>AND('Planilla_General_03-12-2012_9_3'!D1503,"AAAAAF8+7+Q=")</f>
        <v>#VALUE!</v>
      </c>
      <c r="HV94" t="e">
        <f>AND('Planilla_General_03-12-2012_9_3'!E1503,"AAAAAF8+7+U=")</f>
        <v>#VALUE!</v>
      </c>
      <c r="HW94" t="e">
        <f>AND('Planilla_General_03-12-2012_9_3'!F1503,"AAAAAF8+7+Y=")</f>
        <v>#VALUE!</v>
      </c>
      <c r="HX94" t="e">
        <f>AND('Planilla_General_03-12-2012_9_3'!G1503,"AAAAAF8+7+c=")</f>
        <v>#VALUE!</v>
      </c>
      <c r="HY94" t="e">
        <f>AND('Planilla_General_03-12-2012_9_3'!H1503,"AAAAAF8+7+g=")</f>
        <v>#VALUE!</v>
      </c>
      <c r="HZ94" t="e">
        <f>AND('Planilla_General_03-12-2012_9_3'!I1503,"AAAAAF8+7+k=")</f>
        <v>#VALUE!</v>
      </c>
      <c r="IA94" t="e">
        <f>AND('Planilla_General_03-12-2012_9_3'!J1503,"AAAAAF8+7+o=")</f>
        <v>#VALUE!</v>
      </c>
      <c r="IB94" t="e">
        <f>AND('Planilla_General_03-12-2012_9_3'!K1503,"AAAAAF8+7+s=")</f>
        <v>#VALUE!</v>
      </c>
      <c r="IC94" t="e">
        <f>AND('Planilla_General_03-12-2012_9_3'!L1503,"AAAAAF8+7+w=")</f>
        <v>#VALUE!</v>
      </c>
      <c r="ID94" t="e">
        <f>AND('Planilla_General_03-12-2012_9_3'!M1503,"AAAAAF8+7+0=")</f>
        <v>#VALUE!</v>
      </c>
      <c r="IE94" t="e">
        <f>AND('Planilla_General_03-12-2012_9_3'!N1503,"AAAAAF8+7+4=")</f>
        <v>#VALUE!</v>
      </c>
      <c r="IF94" t="e">
        <f>AND('Planilla_General_03-12-2012_9_3'!O1503,"AAAAAF8+7+8=")</f>
        <v>#VALUE!</v>
      </c>
      <c r="IG94">
        <f>IF('Planilla_General_03-12-2012_9_3'!1504:1504,"AAAAAF8+7/A=",0)</f>
        <v>0</v>
      </c>
      <c r="IH94" t="e">
        <f>AND('Planilla_General_03-12-2012_9_3'!A1504,"AAAAAF8+7/E=")</f>
        <v>#VALUE!</v>
      </c>
      <c r="II94" t="e">
        <f>AND('Planilla_General_03-12-2012_9_3'!B1504,"AAAAAF8+7/I=")</f>
        <v>#VALUE!</v>
      </c>
      <c r="IJ94" t="e">
        <f>AND('Planilla_General_03-12-2012_9_3'!C1504,"AAAAAF8+7/M=")</f>
        <v>#VALUE!</v>
      </c>
      <c r="IK94" t="e">
        <f>AND('Planilla_General_03-12-2012_9_3'!D1504,"AAAAAF8+7/Q=")</f>
        <v>#VALUE!</v>
      </c>
      <c r="IL94" t="e">
        <f>AND('Planilla_General_03-12-2012_9_3'!E1504,"AAAAAF8+7/U=")</f>
        <v>#VALUE!</v>
      </c>
      <c r="IM94" t="e">
        <f>AND('Planilla_General_03-12-2012_9_3'!F1504,"AAAAAF8+7/Y=")</f>
        <v>#VALUE!</v>
      </c>
      <c r="IN94" t="e">
        <f>AND('Planilla_General_03-12-2012_9_3'!G1504,"AAAAAF8+7/c=")</f>
        <v>#VALUE!</v>
      </c>
      <c r="IO94" t="e">
        <f>AND('Planilla_General_03-12-2012_9_3'!H1504,"AAAAAF8+7/g=")</f>
        <v>#VALUE!</v>
      </c>
      <c r="IP94" t="e">
        <f>AND('Planilla_General_03-12-2012_9_3'!I1504,"AAAAAF8+7/k=")</f>
        <v>#VALUE!</v>
      </c>
      <c r="IQ94" t="e">
        <f>AND('Planilla_General_03-12-2012_9_3'!J1504,"AAAAAF8+7/o=")</f>
        <v>#VALUE!</v>
      </c>
      <c r="IR94" t="e">
        <f>AND('Planilla_General_03-12-2012_9_3'!K1504,"AAAAAF8+7/s=")</f>
        <v>#VALUE!</v>
      </c>
      <c r="IS94" t="e">
        <f>AND('Planilla_General_03-12-2012_9_3'!L1504,"AAAAAF8+7/w=")</f>
        <v>#VALUE!</v>
      </c>
      <c r="IT94" t="e">
        <f>AND('Planilla_General_03-12-2012_9_3'!M1504,"AAAAAF8+7/0=")</f>
        <v>#VALUE!</v>
      </c>
      <c r="IU94" t="e">
        <f>AND('Planilla_General_03-12-2012_9_3'!N1504,"AAAAAF8+7/4=")</f>
        <v>#VALUE!</v>
      </c>
      <c r="IV94" t="e">
        <f>AND('Planilla_General_03-12-2012_9_3'!O1504,"AAAAAF8+7/8=")</f>
        <v>#VALUE!</v>
      </c>
    </row>
    <row r="95" spans="1:256" x14ac:dyDescent="0.25">
      <c r="A95" t="e">
        <f>IF('Planilla_General_03-12-2012_9_3'!1505:1505,"AAAAAH/dewA=",0)</f>
        <v>#VALUE!</v>
      </c>
      <c r="B95" t="e">
        <f>AND('Planilla_General_03-12-2012_9_3'!A1505,"AAAAAH/dewE=")</f>
        <v>#VALUE!</v>
      </c>
      <c r="C95" t="e">
        <f>AND('Planilla_General_03-12-2012_9_3'!B1505,"AAAAAH/dewI=")</f>
        <v>#VALUE!</v>
      </c>
      <c r="D95" t="e">
        <f>AND('Planilla_General_03-12-2012_9_3'!C1505,"AAAAAH/dewM=")</f>
        <v>#VALUE!</v>
      </c>
      <c r="E95" t="e">
        <f>AND('Planilla_General_03-12-2012_9_3'!D1505,"AAAAAH/dewQ=")</f>
        <v>#VALUE!</v>
      </c>
      <c r="F95" t="e">
        <f>AND('Planilla_General_03-12-2012_9_3'!E1505,"AAAAAH/dewU=")</f>
        <v>#VALUE!</v>
      </c>
      <c r="G95" t="e">
        <f>AND('Planilla_General_03-12-2012_9_3'!F1505,"AAAAAH/dewY=")</f>
        <v>#VALUE!</v>
      </c>
      <c r="H95" t="e">
        <f>AND('Planilla_General_03-12-2012_9_3'!G1505,"AAAAAH/dewc=")</f>
        <v>#VALUE!</v>
      </c>
      <c r="I95" t="e">
        <f>AND('Planilla_General_03-12-2012_9_3'!H1505,"AAAAAH/dewg=")</f>
        <v>#VALUE!</v>
      </c>
      <c r="J95" t="e">
        <f>AND('Planilla_General_03-12-2012_9_3'!I1505,"AAAAAH/dewk=")</f>
        <v>#VALUE!</v>
      </c>
      <c r="K95" t="e">
        <f>AND('Planilla_General_03-12-2012_9_3'!J1505,"AAAAAH/dewo=")</f>
        <v>#VALUE!</v>
      </c>
      <c r="L95" t="e">
        <f>AND('Planilla_General_03-12-2012_9_3'!K1505,"AAAAAH/dews=")</f>
        <v>#VALUE!</v>
      </c>
      <c r="M95" t="e">
        <f>AND('Planilla_General_03-12-2012_9_3'!L1505,"AAAAAH/deww=")</f>
        <v>#VALUE!</v>
      </c>
      <c r="N95" t="e">
        <f>AND('Planilla_General_03-12-2012_9_3'!M1505,"AAAAAH/dew0=")</f>
        <v>#VALUE!</v>
      </c>
      <c r="O95" t="e">
        <f>AND('Planilla_General_03-12-2012_9_3'!N1505,"AAAAAH/dew4=")</f>
        <v>#VALUE!</v>
      </c>
      <c r="P95" t="e">
        <f>AND('Planilla_General_03-12-2012_9_3'!O1505,"AAAAAH/dew8=")</f>
        <v>#VALUE!</v>
      </c>
      <c r="Q95">
        <f>IF('Planilla_General_03-12-2012_9_3'!1506:1506,"AAAAAH/dexA=",0)</f>
        <v>0</v>
      </c>
      <c r="R95" t="e">
        <f>AND('Planilla_General_03-12-2012_9_3'!A1506,"AAAAAH/dexE=")</f>
        <v>#VALUE!</v>
      </c>
      <c r="S95" t="e">
        <f>AND('Planilla_General_03-12-2012_9_3'!B1506,"AAAAAH/dexI=")</f>
        <v>#VALUE!</v>
      </c>
      <c r="T95" t="e">
        <f>AND('Planilla_General_03-12-2012_9_3'!C1506,"AAAAAH/dexM=")</f>
        <v>#VALUE!</v>
      </c>
      <c r="U95" t="e">
        <f>AND('Planilla_General_03-12-2012_9_3'!D1506,"AAAAAH/dexQ=")</f>
        <v>#VALUE!</v>
      </c>
      <c r="V95" t="e">
        <f>AND('Planilla_General_03-12-2012_9_3'!E1506,"AAAAAH/dexU=")</f>
        <v>#VALUE!</v>
      </c>
      <c r="W95" t="e">
        <f>AND('Planilla_General_03-12-2012_9_3'!F1506,"AAAAAH/dexY=")</f>
        <v>#VALUE!</v>
      </c>
      <c r="X95" t="e">
        <f>AND('Planilla_General_03-12-2012_9_3'!G1506,"AAAAAH/dexc=")</f>
        <v>#VALUE!</v>
      </c>
      <c r="Y95" t="e">
        <f>AND('Planilla_General_03-12-2012_9_3'!H1506,"AAAAAH/dexg=")</f>
        <v>#VALUE!</v>
      </c>
      <c r="Z95" t="e">
        <f>AND('Planilla_General_03-12-2012_9_3'!I1506,"AAAAAH/dexk=")</f>
        <v>#VALUE!</v>
      </c>
      <c r="AA95" t="e">
        <f>AND('Planilla_General_03-12-2012_9_3'!J1506,"AAAAAH/dexo=")</f>
        <v>#VALUE!</v>
      </c>
      <c r="AB95" t="e">
        <f>AND('Planilla_General_03-12-2012_9_3'!K1506,"AAAAAH/dexs=")</f>
        <v>#VALUE!</v>
      </c>
      <c r="AC95" t="e">
        <f>AND('Planilla_General_03-12-2012_9_3'!L1506,"AAAAAH/dexw=")</f>
        <v>#VALUE!</v>
      </c>
      <c r="AD95" t="e">
        <f>AND('Planilla_General_03-12-2012_9_3'!M1506,"AAAAAH/dex0=")</f>
        <v>#VALUE!</v>
      </c>
      <c r="AE95" t="e">
        <f>AND('Planilla_General_03-12-2012_9_3'!N1506,"AAAAAH/dex4=")</f>
        <v>#VALUE!</v>
      </c>
      <c r="AF95" t="e">
        <f>AND('Planilla_General_03-12-2012_9_3'!O1506,"AAAAAH/dex8=")</f>
        <v>#VALUE!</v>
      </c>
      <c r="AG95">
        <f>IF('Planilla_General_03-12-2012_9_3'!1507:1507,"AAAAAH/deyA=",0)</f>
        <v>0</v>
      </c>
      <c r="AH95" t="e">
        <f>AND('Planilla_General_03-12-2012_9_3'!A1507,"AAAAAH/deyE=")</f>
        <v>#VALUE!</v>
      </c>
      <c r="AI95" t="e">
        <f>AND('Planilla_General_03-12-2012_9_3'!B1507,"AAAAAH/deyI=")</f>
        <v>#VALUE!</v>
      </c>
      <c r="AJ95" t="e">
        <f>AND('Planilla_General_03-12-2012_9_3'!C1507,"AAAAAH/deyM=")</f>
        <v>#VALUE!</v>
      </c>
      <c r="AK95" t="e">
        <f>AND('Planilla_General_03-12-2012_9_3'!D1507,"AAAAAH/deyQ=")</f>
        <v>#VALUE!</v>
      </c>
      <c r="AL95" t="e">
        <f>AND('Planilla_General_03-12-2012_9_3'!E1507,"AAAAAH/deyU=")</f>
        <v>#VALUE!</v>
      </c>
      <c r="AM95" t="e">
        <f>AND('Planilla_General_03-12-2012_9_3'!F1507,"AAAAAH/deyY=")</f>
        <v>#VALUE!</v>
      </c>
      <c r="AN95" t="e">
        <f>AND('Planilla_General_03-12-2012_9_3'!G1507,"AAAAAH/deyc=")</f>
        <v>#VALUE!</v>
      </c>
      <c r="AO95" t="e">
        <f>AND('Planilla_General_03-12-2012_9_3'!H1507,"AAAAAH/deyg=")</f>
        <v>#VALUE!</v>
      </c>
      <c r="AP95" t="e">
        <f>AND('Planilla_General_03-12-2012_9_3'!I1507,"AAAAAH/deyk=")</f>
        <v>#VALUE!</v>
      </c>
      <c r="AQ95" t="e">
        <f>AND('Planilla_General_03-12-2012_9_3'!J1507,"AAAAAH/deyo=")</f>
        <v>#VALUE!</v>
      </c>
      <c r="AR95" t="e">
        <f>AND('Planilla_General_03-12-2012_9_3'!K1507,"AAAAAH/deys=")</f>
        <v>#VALUE!</v>
      </c>
      <c r="AS95" t="e">
        <f>AND('Planilla_General_03-12-2012_9_3'!L1507,"AAAAAH/deyw=")</f>
        <v>#VALUE!</v>
      </c>
      <c r="AT95" t="e">
        <f>AND('Planilla_General_03-12-2012_9_3'!M1507,"AAAAAH/dey0=")</f>
        <v>#VALUE!</v>
      </c>
      <c r="AU95" t="e">
        <f>AND('Planilla_General_03-12-2012_9_3'!N1507,"AAAAAH/dey4=")</f>
        <v>#VALUE!</v>
      </c>
      <c r="AV95" t="e">
        <f>AND('Planilla_General_03-12-2012_9_3'!O1507,"AAAAAH/dey8=")</f>
        <v>#VALUE!</v>
      </c>
      <c r="AW95">
        <f>IF('Planilla_General_03-12-2012_9_3'!1508:1508,"AAAAAH/dezA=",0)</f>
        <v>0</v>
      </c>
      <c r="AX95" t="e">
        <f>AND('Planilla_General_03-12-2012_9_3'!A1508,"AAAAAH/dezE=")</f>
        <v>#VALUE!</v>
      </c>
      <c r="AY95" t="e">
        <f>AND('Planilla_General_03-12-2012_9_3'!B1508,"AAAAAH/dezI=")</f>
        <v>#VALUE!</v>
      </c>
      <c r="AZ95" t="e">
        <f>AND('Planilla_General_03-12-2012_9_3'!C1508,"AAAAAH/dezM=")</f>
        <v>#VALUE!</v>
      </c>
      <c r="BA95" t="e">
        <f>AND('Planilla_General_03-12-2012_9_3'!D1508,"AAAAAH/dezQ=")</f>
        <v>#VALUE!</v>
      </c>
      <c r="BB95" t="e">
        <f>AND('Planilla_General_03-12-2012_9_3'!E1508,"AAAAAH/dezU=")</f>
        <v>#VALUE!</v>
      </c>
      <c r="BC95" t="e">
        <f>AND('Planilla_General_03-12-2012_9_3'!F1508,"AAAAAH/dezY=")</f>
        <v>#VALUE!</v>
      </c>
      <c r="BD95" t="e">
        <f>AND('Planilla_General_03-12-2012_9_3'!G1508,"AAAAAH/dezc=")</f>
        <v>#VALUE!</v>
      </c>
      <c r="BE95" t="e">
        <f>AND('Planilla_General_03-12-2012_9_3'!H1508,"AAAAAH/dezg=")</f>
        <v>#VALUE!</v>
      </c>
      <c r="BF95" t="e">
        <f>AND('Planilla_General_03-12-2012_9_3'!I1508,"AAAAAH/dezk=")</f>
        <v>#VALUE!</v>
      </c>
      <c r="BG95" t="e">
        <f>AND('Planilla_General_03-12-2012_9_3'!J1508,"AAAAAH/dezo=")</f>
        <v>#VALUE!</v>
      </c>
      <c r="BH95" t="e">
        <f>AND('Planilla_General_03-12-2012_9_3'!K1508,"AAAAAH/dezs=")</f>
        <v>#VALUE!</v>
      </c>
      <c r="BI95" t="e">
        <f>AND('Planilla_General_03-12-2012_9_3'!L1508,"AAAAAH/dezw=")</f>
        <v>#VALUE!</v>
      </c>
      <c r="BJ95" t="e">
        <f>AND('Planilla_General_03-12-2012_9_3'!M1508,"AAAAAH/dez0=")</f>
        <v>#VALUE!</v>
      </c>
      <c r="BK95" t="e">
        <f>AND('Planilla_General_03-12-2012_9_3'!N1508,"AAAAAH/dez4=")</f>
        <v>#VALUE!</v>
      </c>
      <c r="BL95" t="e">
        <f>AND('Planilla_General_03-12-2012_9_3'!O1508,"AAAAAH/dez8=")</f>
        <v>#VALUE!</v>
      </c>
      <c r="BM95">
        <f>IF('Planilla_General_03-12-2012_9_3'!1509:1509,"AAAAAH/de0A=",0)</f>
        <v>0</v>
      </c>
      <c r="BN95" t="e">
        <f>AND('Planilla_General_03-12-2012_9_3'!A1509,"AAAAAH/de0E=")</f>
        <v>#VALUE!</v>
      </c>
      <c r="BO95" t="e">
        <f>AND('Planilla_General_03-12-2012_9_3'!B1509,"AAAAAH/de0I=")</f>
        <v>#VALUE!</v>
      </c>
      <c r="BP95" t="e">
        <f>AND('Planilla_General_03-12-2012_9_3'!C1509,"AAAAAH/de0M=")</f>
        <v>#VALUE!</v>
      </c>
      <c r="BQ95" t="e">
        <f>AND('Planilla_General_03-12-2012_9_3'!D1509,"AAAAAH/de0Q=")</f>
        <v>#VALUE!</v>
      </c>
      <c r="BR95" t="e">
        <f>AND('Planilla_General_03-12-2012_9_3'!E1509,"AAAAAH/de0U=")</f>
        <v>#VALUE!</v>
      </c>
      <c r="BS95" t="e">
        <f>AND('Planilla_General_03-12-2012_9_3'!F1509,"AAAAAH/de0Y=")</f>
        <v>#VALUE!</v>
      </c>
      <c r="BT95" t="e">
        <f>AND('Planilla_General_03-12-2012_9_3'!G1509,"AAAAAH/de0c=")</f>
        <v>#VALUE!</v>
      </c>
      <c r="BU95" t="e">
        <f>AND('Planilla_General_03-12-2012_9_3'!H1509,"AAAAAH/de0g=")</f>
        <v>#VALUE!</v>
      </c>
      <c r="BV95" t="e">
        <f>AND('Planilla_General_03-12-2012_9_3'!I1509,"AAAAAH/de0k=")</f>
        <v>#VALUE!</v>
      </c>
      <c r="BW95" t="e">
        <f>AND('Planilla_General_03-12-2012_9_3'!J1509,"AAAAAH/de0o=")</f>
        <v>#VALUE!</v>
      </c>
      <c r="BX95" t="e">
        <f>AND('Planilla_General_03-12-2012_9_3'!K1509,"AAAAAH/de0s=")</f>
        <v>#VALUE!</v>
      </c>
      <c r="BY95" t="e">
        <f>AND('Planilla_General_03-12-2012_9_3'!L1509,"AAAAAH/de0w=")</f>
        <v>#VALUE!</v>
      </c>
      <c r="BZ95" t="e">
        <f>AND('Planilla_General_03-12-2012_9_3'!M1509,"AAAAAH/de00=")</f>
        <v>#VALUE!</v>
      </c>
      <c r="CA95" t="e">
        <f>AND('Planilla_General_03-12-2012_9_3'!N1509,"AAAAAH/de04=")</f>
        <v>#VALUE!</v>
      </c>
      <c r="CB95" t="e">
        <f>AND('Planilla_General_03-12-2012_9_3'!O1509,"AAAAAH/de08=")</f>
        <v>#VALUE!</v>
      </c>
      <c r="CC95">
        <f>IF('Planilla_General_03-12-2012_9_3'!1510:1510,"AAAAAH/de1A=",0)</f>
        <v>0</v>
      </c>
      <c r="CD95" t="e">
        <f>AND('Planilla_General_03-12-2012_9_3'!A1510,"AAAAAH/de1E=")</f>
        <v>#VALUE!</v>
      </c>
      <c r="CE95" t="e">
        <f>AND('Planilla_General_03-12-2012_9_3'!B1510,"AAAAAH/de1I=")</f>
        <v>#VALUE!</v>
      </c>
      <c r="CF95" t="e">
        <f>AND('Planilla_General_03-12-2012_9_3'!C1510,"AAAAAH/de1M=")</f>
        <v>#VALUE!</v>
      </c>
      <c r="CG95" t="e">
        <f>AND('Planilla_General_03-12-2012_9_3'!D1510,"AAAAAH/de1Q=")</f>
        <v>#VALUE!</v>
      </c>
      <c r="CH95" t="e">
        <f>AND('Planilla_General_03-12-2012_9_3'!E1510,"AAAAAH/de1U=")</f>
        <v>#VALUE!</v>
      </c>
      <c r="CI95" t="e">
        <f>AND('Planilla_General_03-12-2012_9_3'!F1510,"AAAAAH/de1Y=")</f>
        <v>#VALUE!</v>
      </c>
      <c r="CJ95" t="e">
        <f>AND('Planilla_General_03-12-2012_9_3'!G1510,"AAAAAH/de1c=")</f>
        <v>#VALUE!</v>
      </c>
      <c r="CK95" t="e">
        <f>AND('Planilla_General_03-12-2012_9_3'!H1510,"AAAAAH/de1g=")</f>
        <v>#VALUE!</v>
      </c>
      <c r="CL95" t="e">
        <f>AND('Planilla_General_03-12-2012_9_3'!I1510,"AAAAAH/de1k=")</f>
        <v>#VALUE!</v>
      </c>
      <c r="CM95" t="e">
        <f>AND('Planilla_General_03-12-2012_9_3'!J1510,"AAAAAH/de1o=")</f>
        <v>#VALUE!</v>
      </c>
      <c r="CN95" t="e">
        <f>AND('Planilla_General_03-12-2012_9_3'!K1510,"AAAAAH/de1s=")</f>
        <v>#VALUE!</v>
      </c>
      <c r="CO95" t="e">
        <f>AND('Planilla_General_03-12-2012_9_3'!L1510,"AAAAAH/de1w=")</f>
        <v>#VALUE!</v>
      </c>
      <c r="CP95" t="e">
        <f>AND('Planilla_General_03-12-2012_9_3'!M1510,"AAAAAH/de10=")</f>
        <v>#VALUE!</v>
      </c>
      <c r="CQ95" t="e">
        <f>AND('Planilla_General_03-12-2012_9_3'!N1510,"AAAAAH/de14=")</f>
        <v>#VALUE!</v>
      </c>
      <c r="CR95" t="e">
        <f>AND('Planilla_General_03-12-2012_9_3'!O1510,"AAAAAH/de18=")</f>
        <v>#VALUE!</v>
      </c>
      <c r="CS95">
        <f>IF('Planilla_General_03-12-2012_9_3'!1511:1511,"AAAAAH/de2A=",0)</f>
        <v>0</v>
      </c>
      <c r="CT95" t="e">
        <f>AND('Planilla_General_03-12-2012_9_3'!A1511,"AAAAAH/de2E=")</f>
        <v>#VALUE!</v>
      </c>
      <c r="CU95" t="e">
        <f>AND('Planilla_General_03-12-2012_9_3'!B1511,"AAAAAH/de2I=")</f>
        <v>#VALUE!</v>
      </c>
      <c r="CV95" t="e">
        <f>AND('Planilla_General_03-12-2012_9_3'!C1511,"AAAAAH/de2M=")</f>
        <v>#VALUE!</v>
      </c>
      <c r="CW95" t="e">
        <f>AND('Planilla_General_03-12-2012_9_3'!D1511,"AAAAAH/de2Q=")</f>
        <v>#VALUE!</v>
      </c>
      <c r="CX95" t="e">
        <f>AND('Planilla_General_03-12-2012_9_3'!E1511,"AAAAAH/de2U=")</f>
        <v>#VALUE!</v>
      </c>
      <c r="CY95" t="e">
        <f>AND('Planilla_General_03-12-2012_9_3'!F1511,"AAAAAH/de2Y=")</f>
        <v>#VALUE!</v>
      </c>
      <c r="CZ95" t="e">
        <f>AND('Planilla_General_03-12-2012_9_3'!G1511,"AAAAAH/de2c=")</f>
        <v>#VALUE!</v>
      </c>
      <c r="DA95" t="e">
        <f>AND('Planilla_General_03-12-2012_9_3'!H1511,"AAAAAH/de2g=")</f>
        <v>#VALUE!</v>
      </c>
      <c r="DB95" t="e">
        <f>AND('Planilla_General_03-12-2012_9_3'!I1511,"AAAAAH/de2k=")</f>
        <v>#VALUE!</v>
      </c>
      <c r="DC95" t="e">
        <f>AND('Planilla_General_03-12-2012_9_3'!J1511,"AAAAAH/de2o=")</f>
        <v>#VALUE!</v>
      </c>
      <c r="DD95" t="e">
        <f>AND('Planilla_General_03-12-2012_9_3'!K1511,"AAAAAH/de2s=")</f>
        <v>#VALUE!</v>
      </c>
      <c r="DE95" t="e">
        <f>AND('Planilla_General_03-12-2012_9_3'!L1511,"AAAAAH/de2w=")</f>
        <v>#VALUE!</v>
      </c>
      <c r="DF95" t="e">
        <f>AND('Planilla_General_03-12-2012_9_3'!M1511,"AAAAAH/de20=")</f>
        <v>#VALUE!</v>
      </c>
      <c r="DG95" t="e">
        <f>AND('Planilla_General_03-12-2012_9_3'!N1511,"AAAAAH/de24=")</f>
        <v>#VALUE!</v>
      </c>
      <c r="DH95" t="e">
        <f>AND('Planilla_General_03-12-2012_9_3'!O1511,"AAAAAH/de28=")</f>
        <v>#VALUE!</v>
      </c>
      <c r="DI95">
        <f>IF('Planilla_General_03-12-2012_9_3'!1512:1512,"AAAAAH/de3A=",0)</f>
        <v>0</v>
      </c>
      <c r="DJ95" t="e">
        <f>AND('Planilla_General_03-12-2012_9_3'!A1512,"AAAAAH/de3E=")</f>
        <v>#VALUE!</v>
      </c>
      <c r="DK95" t="e">
        <f>AND('Planilla_General_03-12-2012_9_3'!B1512,"AAAAAH/de3I=")</f>
        <v>#VALUE!</v>
      </c>
      <c r="DL95" t="e">
        <f>AND('Planilla_General_03-12-2012_9_3'!C1512,"AAAAAH/de3M=")</f>
        <v>#VALUE!</v>
      </c>
      <c r="DM95" t="e">
        <f>AND('Planilla_General_03-12-2012_9_3'!D1512,"AAAAAH/de3Q=")</f>
        <v>#VALUE!</v>
      </c>
      <c r="DN95" t="e">
        <f>AND('Planilla_General_03-12-2012_9_3'!E1512,"AAAAAH/de3U=")</f>
        <v>#VALUE!</v>
      </c>
      <c r="DO95" t="e">
        <f>AND('Planilla_General_03-12-2012_9_3'!F1512,"AAAAAH/de3Y=")</f>
        <v>#VALUE!</v>
      </c>
      <c r="DP95" t="e">
        <f>AND('Planilla_General_03-12-2012_9_3'!G1512,"AAAAAH/de3c=")</f>
        <v>#VALUE!</v>
      </c>
      <c r="DQ95" t="e">
        <f>AND('Planilla_General_03-12-2012_9_3'!H1512,"AAAAAH/de3g=")</f>
        <v>#VALUE!</v>
      </c>
      <c r="DR95" t="e">
        <f>AND('Planilla_General_03-12-2012_9_3'!I1512,"AAAAAH/de3k=")</f>
        <v>#VALUE!</v>
      </c>
      <c r="DS95" t="e">
        <f>AND('Planilla_General_03-12-2012_9_3'!J1512,"AAAAAH/de3o=")</f>
        <v>#VALUE!</v>
      </c>
      <c r="DT95" t="e">
        <f>AND('Planilla_General_03-12-2012_9_3'!K1512,"AAAAAH/de3s=")</f>
        <v>#VALUE!</v>
      </c>
      <c r="DU95" t="e">
        <f>AND('Planilla_General_03-12-2012_9_3'!L1512,"AAAAAH/de3w=")</f>
        <v>#VALUE!</v>
      </c>
      <c r="DV95" t="e">
        <f>AND('Planilla_General_03-12-2012_9_3'!M1512,"AAAAAH/de30=")</f>
        <v>#VALUE!</v>
      </c>
      <c r="DW95" t="e">
        <f>AND('Planilla_General_03-12-2012_9_3'!N1512,"AAAAAH/de34=")</f>
        <v>#VALUE!</v>
      </c>
      <c r="DX95" t="e">
        <f>AND('Planilla_General_03-12-2012_9_3'!O1512,"AAAAAH/de38=")</f>
        <v>#VALUE!</v>
      </c>
      <c r="DY95">
        <f>IF('Planilla_General_03-12-2012_9_3'!1513:1513,"AAAAAH/de4A=",0)</f>
        <v>0</v>
      </c>
      <c r="DZ95" t="e">
        <f>AND('Planilla_General_03-12-2012_9_3'!A1513,"AAAAAH/de4E=")</f>
        <v>#VALUE!</v>
      </c>
      <c r="EA95" t="e">
        <f>AND('Planilla_General_03-12-2012_9_3'!B1513,"AAAAAH/de4I=")</f>
        <v>#VALUE!</v>
      </c>
      <c r="EB95" t="e">
        <f>AND('Planilla_General_03-12-2012_9_3'!C1513,"AAAAAH/de4M=")</f>
        <v>#VALUE!</v>
      </c>
      <c r="EC95" t="e">
        <f>AND('Planilla_General_03-12-2012_9_3'!D1513,"AAAAAH/de4Q=")</f>
        <v>#VALUE!</v>
      </c>
      <c r="ED95" t="e">
        <f>AND('Planilla_General_03-12-2012_9_3'!E1513,"AAAAAH/de4U=")</f>
        <v>#VALUE!</v>
      </c>
      <c r="EE95" t="e">
        <f>AND('Planilla_General_03-12-2012_9_3'!F1513,"AAAAAH/de4Y=")</f>
        <v>#VALUE!</v>
      </c>
      <c r="EF95" t="e">
        <f>AND('Planilla_General_03-12-2012_9_3'!G1513,"AAAAAH/de4c=")</f>
        <v>#VALUE!</v>
      </c>
      <c r="EG95" t="e">
        <f>AND('Planilla_General_03-12-2012_9_3'!H1513,"AAAAAH/de4g=")</f>
        <v>#VALUE!</v>
      </c>
      <c r="EH95" t="e">
        <f>AND('Planilla_General_03-12-2012_9_3'!I1513,"AAAAAH/de4k=")</f>
        <v>#VALUE!</v>
      </c>
      <c r="EI95" t="e">
        <f>AND('Planilla_General_03-12-2012_9_3'!J1513,"AAAAAH/de4o=")</f>
        <v>#VALUE!</v>
      </c>
      <c r="EJ95" t="e">
        <f>AND('Planilla_General_03-12-2012_9_3'!K1513,"AAAAAH/de4s=")</f>
        <v>#VALUE!</v>
      </c>
      <c r="EK95" t="e">
        <f>AND('Planilla_General_03-12-2012_9_3'!L1513,"AAAAAH/de4w=")</f>
        <v>#VALUE!</v>
      </c>
      <c r="EL95" t="e">
        <f>AND('Planilla_General_03-12-2012_9_3'!M1513,"AAAAAH/de40=")</f>
        <v>#VALUE!</v>
      </c>
      <c r="EM95" t="e">
        <f>AND('Planilla_General_03-12-2012_9_3'!N1513,"AAAAAH/de44=")</f>
        <v>#VALUE!</v>
      </c>
      <c r="EN95" t="e">
        <f>AND('Planilla_General_03-12-2012_9_3'!O1513,"AAAAAH/de48=")</f>
        <v>#VALUE!</v>
      </c>
      <c r="EO95">
        <f>IF('Planilla_General_03-12-2012_9_3'!1514:1514,"AAAAAH/de5A=",0)</f>
        <v>0</v>
      </c>
      <c r="EP95" t="e">
        <f>AND('Planilla_General_03-12-2012_9_3'!A1514,"AAAAAH/de5E=")</f>
        <v>#VALUE!</v>
      </c>
      <c r="EQ95" t="e">
        <f>AND('Planilla_General_03-12-2012_9_3'!B1514,"AAAAAH/de5I=")</f>
        <v>#VALUE!</v>
      </c>
      <c r="ER95" t="e">
        <f>AND('Planilla_General_03-12-2012_9_3'!C1514,"AAAAAH/de5M=")</f>
        <v>#VALUE!</v>
      </c>
      <c r="ES95" t="e">
        <f>AND('Planilla_General_03-12-2012_9_3'!D1514,"AAAAAH/de5Q=")</f>
        <v>#VALUE!</v>
      </c>
      <c r="ET95" t="e">
        <f>AND('Planilla_General_03-12-2012_9_3'!E1514,"AAAAAH/de5U=")</f>
        <v>#VALUE!</v>
      </c>
      <c r="EU95" t="e">
        <f>AND('Planilla_General_03-12-2012_9_3'!F1514,"AAAAAH/de5Y=")</f>
        <v>#VALUE!</v>
      </c>
      <c r="EV95" t="e">
        <f>AND('Planilla_General_03-12-2012_9_3'!G1514,"AAAAAH/de5c=")</f>
        <v>#VALUE!</v>
      </c>
      <c r="EW95" t="e">
        <f>AND('Planilla_General_03-12-2012_9_3'!H1514,"AAAAAH/de5g=")</f>
        <v>#VALUE!</v>
      </c>
      <c r="EX95" t="e">
        <f>AND('Planilla_General_03-12-2012_9_3'!I1514,"AAAAAH/de5k=")</f>
        <v>#VALUE!</v>
      </c>
      <c r="EY95" t="e">
        <f>AND('Planilla_General_03-12-2012_9_3'!J1514,"AAAAAH/de5o=")</f>
        <v>#VALUE!</v>
      </c>
      <c r="EZ95" t="e">
        <f>AND('Planilla_General_03-12-2012_9_3'!K1514,"AAAAAH/de5s=")</f>
        <v>#VALUE!</v>
      </c>
      <c r="FA95" t="e">
        <f>AND('Planilla_General_03-12-2012_9_3'!L1514,"AAAAAH/de5w=")</f>
        <v>#VALUE!</v>
      </c>
      <c r="FB95" t="e">
        <f>AND('Planilla_General_03-12-2012_9_3'!M1514,"AAAAAH/de50=")</f>
        <v>#VALUE!</v>
      </c>
      <c r="FC95" t="e">
        <f>AND('Planilla_General_03-12-2012_9_3'!N1514,"AAAAAH/de54=")</f>
        <v>#VALUE!</v>
      </c>
      <c r="FD95" t="e">
        <f>AND('Planilla_General_03-12-2012_9_3'!O1514,"AAAAAH/de58=")</f>
        <v>#VALUE!</v>
      </c>
      <c r="FE95">
        <f>IF('Planilla_General_03-12-2012_9_3'!1515:1515,"AAAAAH/de6A=",0)</f>
        <v>0</v>
      </c>
      <c r="FF95" t="e">
        <f>AND('Planilla_General_03-12-2012_9_3'!A1515,"AAAAAH/de6E=")</f>
        <v>#VALUE!</v>
      </c>
      <c r="FG95" t="e">
        <f>AND('Planilla_General_03-12-2012_9_3'!B1515,"AAAAAH/de6I=")</f>
        <v>#VALUE!</v>
      </c>
      <c r="FH95" t="e">
        <f>AND('Planilla_General_03-12-2012_9_3'!C1515,"AAAAAH/de6M=")</f>
        <v>#VALUE!</v>
      </c>
      <c r="FI95" t="e">
        <f>AND('Planilla_General_03-12-2012_9_3'!D1515,"AAAAAH/de6Q=")</f>
        <v>#VALUE!</v>
      </c>
      <c r="FJ95" t="e">
        <f>AND('Planilla_General_03-12-2012_9_3'!E1515,"AAAAAH/de6U=")</f>
        <v>#VALUE!</v>
      </c>
      <c r="FK95" t="e">
        <f>AND('Planilla_General_03-12-2012_9_3'!F1515,"AAAAAH/de6Y=")</f>
        <v>#VALUE!</v>
      </c>
      <c r="FL95" t="e">
        <f>AND('Planilla_General_03-12-2012_9_3'!G1515,"AAAAAH/de6c=")</f>
        <v>#VALUE!</v>
      </c>
      <c r="FM95" t="e">
        <f>AND('Planilla_General_03-12-2012_9_3'!H1515,"AAAAAH/de6g=")</f>
        <v>#VALUE!</v>
      </c>
      <c r="FN95" t="e">
        <f>AND('Planilla_General_03-12-2012_9_3'!I1515,"AAAAAH/de6k=")</f>
        <v>#VALUE!</v>
      </c>
      <c r="FO95" t="e">
        <f>AND('Planilla_General_03-12-2012_9_3'!J1515,"AAAAAH/de6o=")</f>
        <v>#VALUE!</v>
      </c>
      <c r="FP95" t="e">
        <f>AND('Planilla_General_03-12-2012_9_3'!K1515,"AAAAAH/de6s=")</f>
        <v>#VALUE!</v>
      </c>
      <c r="FQ95" t="e">
        <f>AND('Planilla_General_03-12-2012_9_3'!L1515,"AAAAAH/de6w=")</f>
        <v>#VALUE!</v>
      </c>
      <c r="FR95" t="e">
        <f>AND('Planilla_General_03-12-2012_9_3'!M1515,"AAAAAH/de60=")</f>
        <v>#VALUE!</v>
      </c>
      <c r="FS95" t="e">
        <f>AND('Planilla_General_03-12-2012_9_3'!N1515,"AAAAAH/de64=")</f>
        <v>#VALUE!</v>
      </c>
      <c r="FT95" t="e">
        <f>AND('Planilla_General_03-12-2012_9_3'!O1515,"AAAAAH/de68=")</f>
        <v>#VALUE!</v>
      </c>
      <c r="FU95">
        <f>IF('Planilla_General_03-12-2012_9_3'!1516:1516,"AAAAAH/de7A=",0)</f>
        <v>0</v>
      </c>
      <c r="FV95" t="e">
        <f>AND('Planilla_General_03-12-2012_9_3'!A1516,"AAAAAH/de7E=")</f>
        <v>#VALUE!</v>
      </c>
      <c r="FW95" t="e">
        <f>AND('Planilla_General_03-12-2012_9_3'!B1516,"AAAAAH/de7I=")</f>
        <v>#VALUE!</v>
      </c>
      <c r="FX95" t="e">
        <f>AND('Planilla_General_03-12-2012_9_3'!C1516,"AAAAAH/de7M=")</f>
        <v>#VALUE!</v>
      </c>
      <c r="FY95" t="e">
        <f>AND('Planilla_General_03-12-2012_9_3'!D1516,"AAAAAH/de7Q=")</f>
        <v>#VALUE!</v>
      </c>
      <c r="FZ95" t="e">
        <f>AND('Planilla_General_03-12-2012_9_3'!E1516,"AAAAAH/de7U=")</f>
        <v>#VALUE!</v>
      </c>
      <c r="GA95" t="e">
        <f>AND('Planilla_General_03-12-2012_9_3'!F1516,"AAAAAH/de7Y=")</f>
        <v>#VALUE!</v>
      </c>
      <c r="GB95" t="e">
        <f>AND('Planilla_General_03-12-2012_9_3'!G1516,"AAAAAH/de7c=")</f>
        <v>#VALUE!</v>
      </c>
      <c r="GC95" t="e">
        <f>AND('Planilla_General_03-12-2012_9_3'!H1516,"AAAAAH/de7g=")</f>
        <v>#VALUE!</v>
      </c>
      <c r="GD95" t="e">
        <f>AND('Planilla_General_03-12-2012_9_3'!I1516,"AAAAAH/de7k=")</f>
        <v>#VALUE!</v>
      </c>
      <c r="GE95" t="e">
        <f>AND('Planilla_General_03-12-2012_9_3'!J1516,"AAAAAH/de7o=")</f>
        <v>#VALUE!</v>
      </c>
      <c r="GF95" t="e">
        <f>AND('Planilla_General_03-12-2012_9_3'!K1516,"AAAAAH/de7s=")</f>
        <v>#VALUE!</v>
      </c>
      <c r="GG95" t="e">
        <f>AND('Planilla_General_03-12-2012_9_3'!L1516,"AAAAAH/de7w=")</f>
        <v>#VALUE!</v>
      </c>
      <c r="GH95" t="e">
        <f>AND('Planilla_General_03-12-2012_9_3'!M1516,"AAAAAH/de70=")</f>
        <v>#VALUE!</v>
      </c>
      <c r="GI95" t="e">
        <f>AND('Planilla_General_03-12-2012_9_3'!N1516,"AAAAAH/de74=")</f>
        <v>#VALUE!</v>
      </c>
      <c r="GJ95" t="e">
        <f>AND('Planilla_General_03-12-2012_9_3'!O1516,"AAAAAH/de78=")</f>
        <v>#VALUE!</v>
      </c>
      <c r="GK95">
        <f>IF('Planilla_General_03-12-2012_9_3'!1517:1517,"AAAAAH/de8A=",0)</f>
        <v>0</v>
      </c>
      <c r="GL95" t="e">
        <f>AND('Planilla_General_03-12-2012_9_3'!A1517,"AAAAAH/de8E=")</f>
        <v>#VALUE!</v>
      </c>
      <c r="GM95" t="e">
        <f>AND('Planilla_General_03-12-2012_9_3'!B1517,"AAAAAH/de8I=")</f>
        <v>#VALUE!</v>
      </c>
      <c r="GN95" t="e">
        <f>AND('Planilla_General_03-12-2012_9_3'!C1517,"AAAAAH/de8M=")</f>
        <v>#VALUE!</v>
      </c>
      <c r="GO95" t="e">
        <f>AND('Planilla_General_03-12-2012_9_3'!D1517,"AAAAAH/de8Q=")</f>
        <v>#VALUE!</v>
      </c>
      <c r="GP95" t="e">
        <f>AND('Planilla_General_03-12-2012_9_3'!E1517,"AAAAAH/de8U=")</f>
        <v>#VALUE!</v>
      </c>
      <c r="GQ95" t="e">
        <f>AND('Planilla_General_03-12-2012_9_3'!F1517,"AAAAAH/de8Y=")</f>
        <v>#VALUE!</v>
      </c>
      <c r="GR95" t="e">
        <f>AND('Planilla_General_03-12-2012_9_3'!G1517,"AAAAAH/de8c=")</f>
        <v>#VALUE!</v>
      </c>
      <c r="GS95" t="e">
        <f>AND('Planilla_General_03-12-2012_9_3'!H1517,"AAAAAH/de8g=")</f>
        <v>#VALUE!</v>
      </c>
      <c r="GT95" t="e">
        <f>AND('Planilla_General_03-12-2012_9_3'!I1517,"AAAAAH/de8k=")</f>
        <v>#VALUE!</v>
      </c>
      <c r="GU95" t="e">
        <f>AND('Planilla_General_03-12-2012_9_3'!J1517,"AAAAAH/de8o=")</f>
        <v>#VALUE!</v>
      </c>
      <c r="GV95" t="e">
        <f>AND('Planilla_General_03-12-2012_9_3'!K1517,"AAAAAH/de8s=")</f>
        <v>#VALUE!</v>
      </c>
      <c r="GW95" t="e">
        <f>AND('Planilla_General_03-12-2012_9_3'!L1517,"AAAAAH/de8w=")</f>
        <v>#VALUE!</v>
      </c>
      <c r="GX95" t="e">
        <f>AND('Planilla_General_03-12-2012_9_3'!M1517,"AAAAAH/de80=")</f>
        <v>#VALUE!</v>
      </c>
      <c r="GY95" t="e">
        <f>AND('Planilla_General_03-12-2012_9_3'!N1517,"AAAAAH/de84=")</f>
        <v>#VALUE!</v>
      </c>
      <c r="GZ95" t="e">
        <f>AND('Planilla_General_03-12-2012_9_3'!O1517,"AAAAAH/de88=")</f>
        <v>#VALUE!</v>
      </c>
      <c r="HA95">
        <f>IF('Planilla_General_03-12-2012_9_3'!1518:1518,"AAAAAH/de9A=",0)</f>
        <v>0</v>
      </c>
      <c r="HB95" t="e">
        <f>AND('Planilla_General_03-12-2012_9_3'!A1518,"AAAAAH/de9E=")</f>
        <v>#VALUE!</v>
      </c>
      <c r="HC95" t="e">
        <f>AND('Planilla_General_03-12-2012_9_3'!B1518,"AAAAAH/de9I=")</f>
        <v>#VALUE!</v>
      </c>
      <c r="HD95" t="e">
        <f>AND('Planilla_General_03-12-2012_9_3'!C1518,"AAAAAH/de9M=")</f>
        <v>#VALUE!</v>
      </c>
      <c r="HE95" t="e">
        <f>AND('Planilla_General_03-12-2012_9_3'!D1518,"AAAAAH/de9Q=")</f>
        <v>#VALUE!</v>
      </c>
      <c r="HF95" t="e">
        <f>AND('Planilla_General_03-12-2012_9_3'!E1518,"AAAAAH/de9U=")</f>
        <v>#VALUE!</v>
      </c>
      <c r="HG95" t="e">
        <f>AND('Planilla_General_03-12-2012_9_3'!F1518,"AAAAAH/de9Y=")</f>
        <v>#VALUE!</v>
      </c>
      <c r="HH95" t="e">
        <f>AND('Planilla_General_03-12-2012_9_3'!G1518,"AAAAAH/de9c=")</f>
        <v>#VALUE!</v>
      </c>
      <c r="HI95" t="e">
        <f>AND('Planilla_General_03-12-2012_9_3'!H1518,"AAAAAH/de9g=")</f>
        <v>#VALUE!</v>
      </c>
      <c r="HJ95" t="e">
        <f>AND('Planilla_General_03-12-2012_9_3'!I1518,"AAAAAH/de9k=")</f>
        <v>#VALUE!</v>
      </c>
      <c r="HK95" t="e">
        <f>AND('Planilla_General_03-12-2012_9_3'!J1518,"AAAAAH/de9o=")</f>
        <v>#VALUE!</v>
      </c>
      <c r="HL95" t="e">
        <f>AND('Planilla_General_03-12-2012_9_3'!K1518,"AAAAAH/de9s=")</f>
        <v>#VALUE!</v>
      </c>
      <c r="HM95" t="e">
        <f>AND('Planilla_General_03-12-2012_9_3'!L1518,"AAAAAH/de9w=")</f>
        <v>#VALUE!</v>
      </c>
      <c r="HN95" t="e">
        <f>AND('Planilla_General_03-12-2012_9_3'!M1518,"AAAAAH/de90=")</f>
        <v>#VALUE!</v>
      </c>
      <c r="HO95" t="e">
        <f>AND('Planilla_General_03-12-2012_9_3'!N1518,"AAAAAH/de94=")</f>
        <v>#VALUE!</v>
      </c>
      <c r="HP95" t="e">
        <f>AND('Planilla_General_03-12-2012_9_3'!O1518,"AAAAAH/de98=")</f>
        <v>#VALUE!</v>
      </c>
      <c r="HQ95">
        <f>IF('Planilla_General_03-12-2012_9_3'!1519:1519,"AAAAAH/de+A=",0)</f>
        <v>0</v>
      </c>
      <c r="HR95" t="e">
        <f>AND('Planilla_General_03-12-2012_9_3'!A1519,"AAAAAH/de+E=")</f>
        <v>#VALUE!</v>
      </c>
      <c r="HS95" t="e">
        <f>AND('Planilla_General_03-12-2012_9_3'!B1519,"AAAAAH/de+I=")</f>
        <v>#VALUE!</v>
      </c>
      <c r="HT95" t="e">
        <f>AND('Planilla_General_03-12-2012_9_3'!C1519,"AAAAAH/de+M=")</f>
        <v>#VALUE!</v>
      </c>
      <c r="HU95" t="e">
        <f>AND('Planilla_General_03-12-2012_9_3'!D1519,"AAAAAH/de+Q=")</f>
        <v>#VALUE!</v>
      </c>
      <c r="HV95" t="e">
        <f>AND('Planilla_General_03-12-2012_9_3'!E1519,"AAAAAH/de+U=")</f>
        <v>#VALUE!</v>
      </c>
      <c r="HW95" t="e">
        <f>AND('Planilla_General_03-12-2012_9_3'!F1519,"AAAAAH/de+Y=")</f>
        <v>#VALUE!</v>
      </c>
      <c r="HX95" t="e">
        <f>AND('Planilla_General_03-12-2012_9_3'!G1519,"AAAAAH/de+c=")</f>
        <v>#VALUE!</v>
      </c>
      <c r="HY95" t="e">
        <f>AND('Planilla_General_03-12-2012_9_3'!H1519,"AAAAAH/de+g=")</f>
        <v>#VALUE!</v>
      </c>
      <c r="HZ95" t="e">
        <f>AND('Planilla_General_03-12-2012_9_3'!I1519,"AAAAAH/de+k=")</f>
        <v>#VALUE!</v>
      </c>
      <c r="IA95" t="e">
        <f>AND('Planilla_General_03-12-2012_9_3'!J1519,"AAAAAH/de+o=")</f>
        <v>#VALUE!</v>
      </c>
      <c r="IB95" t="e">
        <f>AND('Planilla_General_03-12-2012_9_3'!K1519,"AAAAAH/de+s=")</f>
        <v>#VALUE!</v>
      </c>
      <c r="IC95" t="e">
        <f>AND('Planilla_General_03-12-2012_9_3'!L1519,"AAAAAH/de+w=")</f>
        <v>#VALUE!</v>
      </c>
      <c r="ID95" t="e">
        <f>AND('Planilla_General_03-12-2012_9_3'!M1519,"AAAAAH/de+0=")</f>
        <v>#VALUE!</v>
      </c>
      <c r="IE95" t="e">
        <f>AND('Planilla_General_03-12-2012_9_3'!N1519,"AAAAAH/de+4=")</f>
        <v>#VALUE!</v>
      </c>
      <c r="IF95" t="e">
        <f>AND('Planilla_General_03-12-2012_9_3'!O1519,"AAAAAH/de+8=")</f>
        <v>#VALUE!</v>
      </c>
      <c r="IG95">
        <f>IF('Planilla_General_03-12-2012_9_3'!1520:1520,"AAAAAH/de/A=",0)</f>
        <v>0</v>
      </c>
      <c r="IH95" t="e">
        <f>AND('Planilla_General_03-12-2012_9_3'!A1520,"AAAAAH/de/E=")</f>
        <v>#VALUE!</v>
      </c>
      <c r="II95" t="e">
        <f>AND('Planilla_General_03-12-2012_9_3'!B1520,"AAAAAH/de/I=")</f>
        <v>#VALUE!</v>
      </c>
      <c r="IJ95" t="e">
        <f>AND('Planilla_General_03-12-2012_9_3'!C1520,"AAAAAH/de/M=")</f>
        <v>#VALUE!</v>
      </c>
      <c r="IK95" t="e">
        <f>AND('Planilla_General_03-12-2012_9_3'!D1520,"AAAAAH/de/Q=")</f>
        <v>#VALUE!</v>
      </c>
      <c r="IL95" t="e">
        <f>AND('Planilla_General_03-12-2012_9_3'!E1520,"AAAAAH/de/U=")</f>
        <v>#VALUE!</v>
      </c>
      <c r="IM95" t="e">
        <f>AND('Planilla_General_03-12-2012_9_3'!F1520,"AAAAAH/de/Y=")</f>
        <v>#VALUE!</v>
      </c>
      <c r="IN95" t="e">
        <f>AND('Planilla_General_03-12-2012_9_3'!G1520,"AAAAAH/de/c=")</f>
        <v>#VALUE!</v>
      </c>
      <c r="IO95" t="e">
        <f>AND('Planilla_General_03-12-2012_9_3'!H1520,"AAAAAH/de/g=")</f>
        <v>#VALUE!</v>
      </c>
      <c r="IP95" t="e">
        <f>AND('Planilla_General_03-12-2012_9_3'!I1520,"AAAAAH/de/k=")</f>
        <v>#VALUE!</v>
      </c>
      <c r="IQ95" t="e">
        <f>AND('Planilla_General_03-12-2012_9_3'!J1520,"AAAAAH/de/o=")</f>
        <v>#VALUE!</v>
      </c>
      <c r="IR95" t="e">
        <f>AND('Planilla_General_03-12-2012_9_3'!K1520,"AAAAAH/de/s=")</f>
        <v>#VALUE!</v>
      </c>
      <c r="IS95" t="e">
        <f>AND('Planilla_General_03-12-2012_9_3'!L1520,"AAAAAH/de/w=")</f>
        <v>#VALUE!</v>
      </c>
      <c r="IT95" t="e">
        <f>AND('Planilla_General_03-12-2012_9_3'!M1520,"AAAAAH/de/0=")</f>
        <v>#VALUE!</v>
      </c>
      <c r="IU95" t="e">
        <f>AND('Planilla_General_03-12-2012_9_3'!N1520,"AAAAAH/de/4=")</f>
        <v>#VALUE!</v>
      </c>
      <c r="IV95" t="e">
        <f>AND('Planilla_General_03-12-2012_9_3'!O1520,"AAAAAH/de/8=")</f>
        <v>#VALUE!</v>
      </c>
    </row>
    <row r="96" spans="1:256" x14ac:dyDescent="0.25">
      <c r="A96" t="e">
        <f>IF('Planilla_General_03-12-2012_9_3'!1521:1521,"AAAAAG7+fQA=",0)</f>
        <v>#VALUE!</v>
      </c>
      <c r="B96" t="e">
        <f>AND('Planilla_General_03-12-2012_9_3'!A1521,"AAAAAG7+fQE=")</f>
        <v>#VALUE!</v>
      </c>
      <c r="C96" t="e">
        <f>AND('Planilla_General_03-12-2012_9_3'!B1521,"AAAAAG7+fQI=")</f>
        <v>#VALUE!</v>
      </c>
      <c r="D96" t="e">
        <f>AND('Planilla_General_03-12-2012_9_3'!C1521,"AAAAAG7+fQM=")</f>
        <v>#VALUE!</v>
      </c>
      <c r="E96" t="e">
        <f>AND('Planilla_General_03-12-2012_9_3'!D1521,"AAAAAG7+fQQ=")</f>
        <v>#VALUE!</v>
      </c>
      <c r="F96" t="e">
        <f>AND('Planilla_General_03-12-2012_9_3'!E1521,"AAAAAG7+fQU=")</f>
        <v>#VALUE!</v>
      </c>
      <c r="G96" t="e">
        <f>AND('Planilla_General_03-12-2012_9_3'!F1521,"AAAAAG7+fQY=")</f>
        <v>#VALUE!</v>
      </c>
      <c r="H96" t="e">
        <f>AND('Planilla_General_03-12-2012_9_3'!G1521,"AAAAAG7+fQc=")</f>
        <v>#VALUE!</v>
      </c>
      <c r="I96" t="e">
        <f>AND('Planilla_General_03-12-2012_9_3'!H1521,"AAAAAG7+fQg=")</f>
        <v>#VALUE!</v>
      </c>
      <c r="J96" t="e">
        <f>AND('Planilla_General_03-12-2012_9_3'!I1521,"AAAAAG7+fQk=")</f>
        <v>#VALUE!</v>
      </c>
      <c r="K96" t="e">
        <f>AND('Planilla_General_03-12-2012_9_3'!J1521,"AAAAAG7+fQo=")</f>
        <v>#VALUE!</v>
      </c>
      <c r="L96" t="e">
        <f>AND('Planilla_General_03-12-2012_9_3'!K1521,"AAAAAG7+fQs=")</f>
        <v>#VALUE!</v>
      </c>
      <c r="M96" t="e">
        <f>AND('Planilla_General_03-12-2012_9_3'!L1521,"AAAAAG7+fQw=")</f>
        <v>#VALUE!</v>
      </c>
      <c r="N96" t="e">
        <f>AND('Planilla_General_03-12-2012_9_3'!M1521,"AAAAAG7+fQ0=")</f>
        <v>#VALUE!</v>
      </c>
      <c r="O96" t="e">
        <f>AND('Planilla_General_03-12-2012_9_3'!N1521,"AAAAAG7+fQ4=")</f>
        <v>#VALUE!</v>
      </c>
      <c r="P96" t="e">
        <f>AND('Planilla_General_03-12-2012_9_3'!O1521,"AAAAAG7+fQ8=")</f>
        <v>#VALUE!</v>
      </c>
      <c r="Q96">
        <f>IF('Planilla_General_03-12-2012_9_3'!1522:1522,"AAAAAG7+fRA=",0)</f>
        <v>0</v>
      </c>
      <c r="R96" t="e">
        <f>AND('Planilla_General_03-12-2012_9_3'!A1522,"AAAAAG7+fRE=")</f>
        <v>#VALUE!</v>
      </c>
      <c r="S96" t="e">
        <f>AND('Planilla_General_03-12-2012_9_3'!B1522,"AAAAAG7+fRI=")</f>
        <v>#VALUE!</v>
      </c>
      <c r="T96" t="e">
        <f>AND('Planilla_General_03-12-2012_9_3'!C1522,"AAAAAG7+fRM=")</f>
        <v>#VALUE!</v>
      </c>
      <c r="U96" t="e">
        <f>AND('Planilla_General_03-12-2012_9_3'!D1522,"AAAAAG7+fRQ=")</f>
        <v>#VALUE!</v>
      </c>
      <c r="V96" t="e">
        <f>AND('Planilla_General_03-12-2012_9_3'!E1522,"AAAAAG7+fRU=")</f>
        <v>#VALUE!</v>
      </c>
      <c r="W96" t="e">
        <f>AND('Planilla_General_03-12-2012_9_3'!F1522,"AAAAAG7+fRY=")</f>
        <v>#VALUE!</v>
      </c>
      <c r="X96" t="e">
        <f>AND('Planilla_General_03-12-2012_9_3'!G1522,"AAAAAG7+fRc=")</f>
        <v>#VALUE!</v>
      </c>
      <c r="Y96" t="e">
        <f>AND('Planilla_General_03-12-2012_9_3'!H1522,"AAAAAG7+fRg=")</f>
        <v>#VALUE!</v>
      </c>
      <c r="Z96" t="e">
        <f>AND('Planilla_General_03-12-2012_9_3'!I1522,"AAAAAG7+fRk=")</f>
        <v>#VALUE!</v>
      </c>
      <c r="AA96" t="e">
        <f>AND('Planilla_General_03-12-2012_9_3'!J1522,"AAAAAG7+fRo=")</f>
        <v>#VALUE!</v>
      </c>
      <c r="AB96" t="e">
        <f>AND('Planilla_General_03-12-2012_9_3'!K1522,"AAAAAG7+fRs=")</f>
        <v>#VALUE!</v>
      </c>
      <c r="AC96" t="e">
        <f>AND('Planilla_General_03-12-2012_9_3'!L1522,"AAAAAG7+fRw=")</f>
        <v>#VALUE!</v>
      </c>
      <c r="AD96" t="e">
        <f>AND('Planilla_General_03-12-2012_9_3'!M1522,"AAAAAG7+fR0=")</f>
        <v>#VALUE!</v>
      </c>
      <c r="AE96" t="e">
        <f>AND('Planilla_General_03-12-2012_9_3'!N1522,"AAAAAG7+fR4=")</f>
        <v>#VALUE!</v>
      </c>
      <c r="AF96" t="e">
        <f>AND('Planilla_General_03-12-2012_9_3'!O1522,"AAAAAG7+fR8=")</f>
        <v>#VALUE!</v>
      </c>
      <c r="AG96">
        <f>IF('Planilla_General_03-12-2012_9_3'!1523:1523,"AAAAAG7+fSA=",0)</f>
        <v>0</v>
      </c>
      <c r="AH96" t="e">
        <f>AND('Planilla_General_03-12-2012_9_3'!A1523,"AAAAAG7+fSE=")</f>
        <v>#VALUE!</v>
      </c>
      <c r="AI96" t="e">
        <f>AND('Planilla_General_03-12-2012_9_3'!B1523,"AAAAAG7+fSI=")</f>
        <v>#VALUE!</v>
      </c>
      <c r="AJ96" t="e">
        <f>AND('Planilla_General_03-12-2012_9_3'!C1523,"AAAAAG7+fSM=")</f>
        <v>#VALUE!</v>
      </c>
      <c r="AK96" t="e">
        <f>AND('Planilla_General_03-12-2012_9_3'!D1523,"AAAAAG7+fSQ=")</f>
        <v>#VALUE!</v>
      </c>
      <c r="AL96" t="e">
        <f>AND('Planilla_General_03-12-2012_9_3'!E1523,"AAAAAG7+fSU=")</f>
        <v>#VALUE!</v>
      </c>
      <c r="AM96" t="e">
        <f>AND('Planilla_General_03-12-2012_9_3'!F1523,"AAAAAG7+fSY=")</f>
        <v>#VALUE!</v>
      </c>
      <c r="AN96" t="e">
        <f>AND('Planilla_General_03-12-2012_9_3'!G1523,"AAAAAG7+fSc=")</f>
        <v>#VALUE!</v>
      </c>
      <c r="AO96" t="e">
        <f>AND('Planilla_General_03-12-2012_9_3'!H1523,"AAAAAG7+fSg=")</f>
        <v>#VALUE!</v>
      </c>
      <c r="AP96" t="e">
        <f>AND('Planilla_General_03-12-2012_9_3'!I1523,"AAAAAG7+fSk=")</f>
        <v>#VALUE!</v>
      </c>
      <c r="AQ96" t="e">
        <f>AND('Planilla_General_03-12-2012_9_3'!J1523,"AAAAAG7+fSo=")</f>
        <v>#VALUE!</v>
      </c>
      <c r="AR96" t="e">
        <f>AND('Planilla_General_03-12-2012_9_3'!K1523,"AAAAAG7+fSs=")</f>
        <v>#VALUE!</v>
      </c>
      <c r="AS96" t="e">
        <f>AND('Planilla_General_03-12-2012_9_3'!L1523,"AAAAAG7+fSw=")</f>
        <v>#VALUE!</v>
      </c>
      <c r="AT96" t="e">
        <f>AND('Planilla_General_03-12-2012_9_3'!M1523,"AAAAAG7+fS0=")</f>
        <v>#VALUE!</v>
      </c>
      <c r="AU96" t="e">
        <f>AND('Planilla_General_03-12-2012_9_3'!N1523,"AAAAAG7+fS4=")</f>
        <v>#VALUE!</v>
      </c>
      <c r="AV96" t="e">
        <f>AND('Planilla_General_03-12-2012_9_3'!O1523,"AAAAAG7+fS8=")</f>
        <v>#VALUE!</v>
      </c>
      <c r="AW96">
        <f>IF('Planilla_General_03-12-2012_9_3'!1524:1524,"AAAAAG7+fTA=",0)</f>
        <v>0</v>
      </c>
      <c r="AX96" t="e">
        <f>AND('Planilla_General_03-12-2012_9_3'!A1524,"AAAAAG7+fTE=")</f>
        <v>#VALUE!</v>
      </c>
      <c r="AY96" t="e">
        <f>AND('Planilla_General_03-12-2012_9_3'!B1524,"AAAAAG7+fTI=")</f>
        <v>#VALUE!</v>
      </c>
      <c r="AZ96" t="e">
        <f>AND('Planilla_General_03-12-2012_9_3'!C1524,"AAAAAG7+fTM=")</f>
        <v>#VALUE!</v>
      </c>
      <c r="BA96" t="e">
        <f>AND('Planilla_General_03-12-2012_9_3'!D1524,"AAAAAG7+fTQ=")</f>
        <v>#VALUE!</v>
      </c>
      <c r="BB96" t="e">
        <f>AND('Planilla_General_03-12-2012_9_3'!E1524,"AAAAAG7+fTU=")</f>
        <v>#VALUE!</v>
      </c>
      <c r="BC96" t="e">
        <f>AND('Planilla_General_03-12-2012_9_3'!F1524,"AAAAAG7+fTY=")</f>
        <v>#VALUE!</v>
      </c>
      <c r="BD96" t="e">
        <f>AND('Planilla_General_03-12-2012_9_3'!G1524,"AAAAAG7+fTc=")</f>
        <v>#VALUE!</v>
      </c>
      <c r="BE96" t="e">
        <f>AND('Planilla_General_03-12-2012_9_3'!H1524,"AAAAAG7+fTg=")</f>
        <v>#VALUE!</v>
      </c>
      <c r="BF96" t="e">
        <f>AND('Planilla_General_03-12-2012_9_3'!I1524,"AAAAAG7+fTk=")</f>
        <v>#VALUE!</v>
      </c>
      <c r="BG96" t="e">
        <f>AND('Planilla_General_03-12-2012_9_3'!J1524,"AAAAAG7+fTo=")</f>
        <v>#VALUE!</v>
      </c>
      <c r="BH96" t="e">
        <f>AND('Planilla_General_03-12-2012_9_3'!K1524,"AAAAAG7+fTs=")</f>
        <v>#VALUE!</v>
      </c>
      <c r="BI96" t="e">
        <f>AND('Planilla_General_03-12-2012_9_3'!L1524,"AAAAAG7+fTw=")</f>
        <v>#VALUE!</v>
      </c>
      <c r="BJ96" t="e">
        <f>AND('Planilla_General_03-12-2012_9_3'!M1524,"AAAAAG7+fT0=")</f>
        <v>#VALUE!</v>
      </c>
      <c r="BK96" t="e">
        <f>AND('Planilla_General_03-12-2012_9_3'!N1524,"AAAAAG7+fT4=")</f>
        <v>#VALUE!</v>
      </c>
      <c r="BL96" t="e">
        <f>AND('Planilla_General_03-12-2012_9_3'!O1524,"AAAAAG7+fT8=")</f>
        <v>#VALUE!</v>
      </c>
      <c r="BM96">
        <f>IF('Planilla_General_03-12-2012_9_3'!1525:1525,"AAAAAG7+fUA=",0)</f>
        <v>0</v>
      </c>
      <c r="BN96" t="e">
        <f>AND('Planilla_General_03-12-2012_9_3'!A1525,"AAAAAG7+fUE=")</f>
        <v>#VALUE!</v>
      </c>
      <c r="BO96" t="e">
        <f>AND('Planilla_General_03-12-2012_9_3'!B1525,"AAAAAG7+fUI=")</f>
        <v>#VALUE!</v>
      </c>
      <c r="BP96" t="e">
        <f>AND('Planilla_General_03-12-2012_9_3'!C1525,"AAAAAG7+fUM=")</f>
        <v>#VALUE!</v>
      </c>
      <c r="BQ96" t="e">
        <f>AND('Planilla_General_03-12-2012_9_3'!D1525,"AAAAAG7+fUQ=")</f>
        <v>#VALUE!</v>
      </c>
      <c r="BR96" t="e">
        <f>AND('Planilla_General_03-12-2012_9_3'!E1525,"AAAAAG7+fUU=")</f>
        <v>#VALUE!</v>
      </c>
      <c r="BS96" t="e">
        <f>AND('Planilla_General_03-12-2012_9_3'!F1525,"AAAAAG7+fUY=")</f>
        <v>#VALUE!</v>
      </c>
      <c r="BT96" t="e">
        <f>AND('Planilla_General_03-12-2012_9_3'!G1525,"AAAAAG7+fUc=")</f>
        <v>#VALUE!</v>
      </c>
      <c r="BU96" t="e">
        <f>AND('Planilla_General_03-12-2012_9_3'!H1525,"AAAAAG7+fUg=")</f>
        <v>#VALUE!</v>
      </c>
      <c r="BV96" t="e">
        <f>AND('Planilla_General_03-12-2012_9_3'!I1525,"AAAAAG7+fUk=")</f>
        <v>#VALUE!</v>
      </c>
      <c r="BW96" t="e">
        <f>AND('Planilla_General_03-12-2012_9_3'!J1525,"AAAAAG7+fUo=")</f>
        <v>#VALUE!</v>
      </c>
      <c r="BX96" t="e">
        <f>AND('Planilla_General_03-12-2012_9_3'!K1525,"AAAAAG7+fUs=")</f>
        <v>#VALUE!</v>
      </c>
      <c r="BY96" t="e">
        <f>AND('Planilla_General_03-12-2012_9_3'!L1525,"AAAAAG7+fUw=")</f>
        <v>#VALUE!</v>
      </c>
      <c r="BZ96" t="e">
        <f>AND('Planilla_General_03-12-2012_9_3'!M1525,"AAAAAG7+fU0=")</f>
        <v>#VALUE!</v>
      </c>
      <c r="CA96" t="e">
        <f>AND('Planilla_General_03-12-2012_9_3'!N1525,"AAAAAG7+fU4=")</f>
        <v>#VALUE!</v>
      </c>
      <c r="CB96" t="e">
        <f>AND('Planilla_General_03-12-2012_9_3'!O1525,"AAAAAG7+fU8=")</f>
        <v>#VALUE!</v>
      </c>
      <c r="CC96">
        <f>IF('Planilla_General_03-12-2012_9_3'!1526:1526,"AAAAAG7+fVA=",0)</f>
        <v>0</v>
      </c>
      <c r="CD96" t="e">
        <f>AND('Planilla_General_03-12-2012_9_3'!A1526,"AAAAAG7+fVE=")</f>
        <v>#VALUE!</v>
      </c>
      <c r="CE96" t="e">
        <f>AND('Planilla_General_03-12-2012_9_3'!B1526,"AAAAAG7+fVI=")</f>
        <v>#VALUE!</v>
      </c>
      <c r="CF96" t="e">
        <f>AND('Planilla_General_03-12-2012_9_3'!C1526,"AAAAAG7+fVM=")</f>
        <v>#VALUE!</v>
      </c>
      <c r="CG96" t="e">
        <f>AND('Planilla_General_03-12-2012_9_3'!D1526,"AAAAAG7+fVQ=")</f>
        <v>#VALUE!</v>
      </c>
      <c r="CH96" t="e">
        <f>AND('Planilla_General_03-12-2012_9_3'!E1526,"AAAAAG7+fVU=")</f>
        <v>#VALUE!</v>
      </c>
      <c r="CI96" t="e">
        <f>AND('Planilla_General_03-12-2012_9_3'!F1526,"AAAAAG7+fVY=")</f>
        <v>#VALUE!</v>
      </c>
      <c r="CJ96" t="e">
        <f>AND('Planilla_General_03-12-2012_9_3'!G1526,"AAAAAG7+fVc=")</f>
        <v>#VALUE!</v>
      </c>
      <c r="CK96" t="e">
        <f>AND('Planilla_General_03-12-2012_9_3'!H1526,"AAAAAG7+fVg=")</f>
        <v>#VALUE!</v>
      </c>
      <c r="CL96" t="e">
        <f>AND('Planilla_General_03-12-2012_9_3'!I1526,"AAAAAG7+fVk=")</f>
        <v>#VALUE!</v>
      </c>
      <c r="CM96" t="e">
        <f>AND('Planilla_General_03-12-2012_9_3'!J1526,"AAAAAG7+fVo=")</f>
        <v>#VALUE!</v>
      </c>
      <c r="CN96" t="e">
        <f>AND('Planilla_General_03-12-2012_9_3'!K1526,"AAAAAG7+fVs=")</f>
        <v>#VALUE!</v>
      </c>
      <c r="CO96" t="e">
        <f>AND('Planilla_General_03-12-2012_9_3'!L1526,"AAAAAG7+fVw=")</f>
        <v>#VALUE!</v>
      </c>
      <c r="CP96" t="e">
        <f>AND('Planilla_General_03-12-2012_9_3'!M1526,"AAAAAG7+fV0=")</f>
        <v>#VALUE!</v>
      </c>
      <c r="CQ96" t="e">
        <f>AND('Planilla_General_03-12-2012_9_3'!N1526,"AAAAAG7+fV4=")</f>
        <v>#VALUE!</v>
      </c>
      <c r="CR96" t="e">
        <f>AND('Planilla_General_03-12-2012_9_3'!O1526,"AAAAAG7+fV8=")</f>
        <v>#VALUE!</v>
      </c>
      <c r="CS96">
        <f>IF('Planilla_General_03-12-2012_9_3'!1527:1527,"AAAAAG7+fWA=",0)</f>
        <v>0</v>
      </c>
      <c r="CT96" t="e">
        <f>AND('Planilla_General_03-12-2012_9_3'!A1527,"AAAAAG7+fWE=")</f>
        <v>#VALUE!</v>
      </c>
      <c r="CU96" t="e">
        <f>AND('Planilla_General_03-12-2012_9_3'!B1527,"AAAAAG7+fWI=")</f>
        <v>#VALUE!</v>
      </c>
      <c r="CV96" t="e">
        <f>AND('Planilla_General_03-12-2012_9_3'!C1527,"AAAAAG7+fWM=")</f>
        <v>#VALUE!</v>
      </c>
      <c r="CW96" t="e">
        <f>AND('Planilla_General_03-12-2012_9_3'!D1527,"AAAAAG7+fWQ=")</f>
        <v>#VALUE!</v>
      </c>
      <c r="CX96" t="e">
        <f>AND('Planilla_General_03-12-2012_9_3'!E1527,"AAAAAG7+fWU=")</f>
        <v>#VALUE!</v>
      </c>
      <c r="CY96" t="e">
        <f>AND('Planilla_General_03-12-2012_9_3'!F1527,"AAAAAG7+fWY=")</f>
        <v>#VALUE!</v>
      </c>
      <c r="CZ96" t="e">
        <f>AND('Planilla_General_03-12-2012_9_3'!G1527,"AAAAAG7+fWc=")</f>
        <v>#VALUE!</v>
      </c>
      <c r="DA96" t="e">
        <f>AND('Planilla_General_03-12-2012_9_3'!H1527,"AAAAAG7+fWg=")</f>
        <v>#VALUE!</v>
      </c>
      <c r="DB96" t="e">
        <f>AND('Planilla_General_03-12-2012_9_3'!I1527,"AAAAAG7+fWk=")</f>
        <v>#VALUE!</v>
      </c>
      <c r="DC96" t="e">
        <f>AND('Planilla_General_03-12-2012_9_3'!J1527,"AAAAAG7+fWo=")</f>
        <v>#VALUE!</v>
      </c>
      <c r="DD96" t="e">
        <f>AND('Planilla_General_03-12-2012_9_3'!K1527,"AAAAAG7+fWs=")</f>
        <v>#VALUE!</v>
      </c>
      <c r="DE96" t="e">
        <f>AND('Planilla_General_03-12-2012_9_3'!L1527,"AAAAAG7+fWw=")</f>
        <v>#VALUE!</v>
      </c>
      <c r="DF96" t="e">
        <f>AND('Planilla_General_03-12-2012_9_3'!M1527,"AAAAAG7+fW0=")</f>
        <v>#VALUE!</v>
      </c>
      <c r="DG96" t="e">
        <f>AND('Planilla_General_03-12-2012_9_3'!N1527,"AAAAAG7+fW4=")</f>
        <v>#VALUE!</v>
      </c>
      <c r="DH96" t="e">
        <f>AND('Planilla_General_03-12-2012_9_3'!O1527,"AAAAAG7+fW8=")</f>
        <v>#VALUE!</v>
      </c>
      <c r="DI96">
        <f>IF('Planilla_General_03-12-2012_9_3'!1528:1528,"AAAAAG7+fXA=",0)</f>
        <v>0</v>
      </c>
      <c r="DJ96" t="e">
        <f>AND('Planilla_General_03-12-2012_9_3'!A1528,"AAAAAG7+fXE=")</f>
        <v>#VALUE!</v>
      </c>
      <c r="DK96" t="e">
        <f>AND('Planilla_General_03-12-2012_9_3'!B1528,"AAAAAG7+fXI=")</f>
        <v>#VALUE!</v>
      </c>
      <c r="DL96" t="e">
        <f>AND('Planilla_General_03-12-2012_9_3'!C1528,"AAAAAG7+fXM=")</f>
        <v>#VALUE!</v>
      </c>
      <c r="DM96" t="e">
        <f>AND('Planilla_General_03-12-2012_9_3'!D1528,"AAAAAG7+fXQ=")</f>
        <v>#VALUE!</v>
      </c>
      <c r="DN96" t="e">
        <f>AND('Planilla_General_03-12-2012_9_3'!E1528,"AAAAAG7+fXU=")</f>
        <v>#VALUE!</v>
      </c>
      <c r="DO96" t="e">
        <f>AND('Planilla_General_03-12-2012_9_3'!F1528,"AAAAAG7+fXY=")</f>
        <v>#VALUE!</v>
      </c>
      <c r="DP96" t="e">
        <f>AND('Planilla_General_03-12-2012_9_3'!G1528,"AAAAAG7+fXc=")</f>
        <v>#VALUE!</v>
      </c>
      <c r="DQ96" t="e">
        <f>AND('Planilla_General_03-12-2012_9_3'!H1528,"AAAAAG7+fXg=")</f>
        <v>#VALUE!</v>
      </c>
      <c r="DR96" t="e">
        <f>AND('Planilla_General_03-12-2012_9_3'!I1528,"AAAAAG7+fXk=")</f>
        <v>#VALUE!</v>
      </c>
      <c r="DS96" t="e">
        <f>AND('Planilla_General_03-12-2012_9_3'!J1528,"AAAAAG7+fXo=")</f>
        <v>#VALUE!</v>
      </c>
      <c r="DT96" t="e">
        <f>AND('Planilla_General_03-12-2012_9_3'!K1528,"AAAAAG7+fXs=")</f>
        <v>#VALUE!</v>
      </c>
      <c r="DU96" t="e">
        <f>AND('Planilla_General_03-12-2012_9_3'!L1528,"AAAAAG7+fXw=")</f>
        <v>#VALUE!</v>
      </c>
      <c r="DV96" t="e">
        <f>AND('Planilla_General_03-12-2012_9_3'!M1528,"AAAAAG7+fX0=")</f>
        <v>#VALUE!</v>
      </c>
      <c r="DW96" t="e">
        <f>AND('Planilla_General_03-12-2012_9_3'!N1528,"AAAAAG7+fX4=")</f>
        <v>#VALUE!</v>
      </c>
      <c r="DX96" t="e">
        <f>AND('Planilla_General_03-12-2012_9_3'!O1528,"AAAAAG7+fX8=")</f>
        <v>#VALUE!</v>
      </c>
      <c r="DY96">
        <f>IF('Planilla_General_03-12-2012_9_3'!1529:1529,"AAAAAG7+fYA=",0)</f>
        <v>0</v>
      </c>
      <c r="DZ96" t="e">
        <f>AND('Planilla_General_03-12-2012_9_3'!A1529,"AAAAAG7+fYE=")</f>
        <v>#VALUE!</v>
      </c>
      <c r="EA96" t="e">
        <f>AND('Planilla_General_03-12-2012_9_3'!B1529,"AAAAAG7+fYI=")</f>
        <v>#VALUE!</v>
      </c>
      <c r="EB96" t="e">
        <f>AND('Planilla_General_03-12-2012_9_3'!C1529,"AAAAAG7+fYM=")</f>
        <v>#VALUE!</v>
      </c>
      <c r="EC96" t="e">
        <f>AND('Planilla_General_03-12-2012_9_3'!D1529,"AAAAAG7+fYQ=")</f>
        <v>#VALUE!</v>
      </c>
      <c r="ED96" t="e">
        <f>AND('Planilla_General_03-12-2012_9_3'!E1529,"AAAAAG7+fYU=")</f>
        <v>#VALUE!</v>
      </c>
      <c r="EE96" t="e">
        <f>AND('Planilla_General_03-12-2012_9_3'!F1529,"AAAAAG7+fYY=")</f>
        <v>#VALUE!</v>
      </c>
      <c r="EF96" t="e">
        <f>AND('Planilla_General_03-12-2012_9_3'!G1529,"AAAAAG7+fYc=")</f>
        <v>#VALUE!</v>
      </c>
      <c r="EG96" t="e">
        <f>AND('Planilla_General_03-12-2012_9_3'!H1529,"AAAAAG7+fYg=")</f>
        <v>#VALUE!</v>
      </c>
      <c r="EH96" t="e">
        <f>AND('Planilla_General_03-12-2012_9_3'!I1529,"AAAAAG7+fYk=")</f>
        <v>#VALUE!</v>
      </c>
      <c r="EI96" t="e">
        <f>AND('Planilla_General_03-12-2012_9_3'!J1529,"AAAAAG7+fYo=")</f>
        <v>#VALUE!</v>
      </c>
      <c r="EJ96" t="e">
        <f>AND('Planilla_General_03-12-2012_9_3'!K1529,"AAAAAG7+fYs=")</f>
        <v>#VALUE!</v>
      </c>
      <c r="EK96" t="e">
        <f>AND('Planilla_General_03-12-2012_9_3'!L1529,"AAAAAG7+fYw=")</f>
        <v>#VALUE!</v>
      </c>
      <c r="EL96" t="e">
        <f>AND('Planilla_General_03-12-2012_9_3'!M1529,"AAAAAG7+fY0=")</f>
        <v>#VALUE!</v>
      </c>
      <c r="EM96" t="e">
        <f>AND('Planilla_General_03-12-2012_9_3'!N1529,"AAAAAG7+fY4=")</f>
        <v>#VALUE!</v>
      </c>
      <c r="EN96" t="e">
        <f>AND('Planilla_General_03-12-2012_9_3'!O1529,"AAAAAG7+fY8=")</f>
        <v>#VALUE!</v>
      </c>
      <c r="EO96">
        <f>IF('Planilla_General_03-12-2012_9_3'!1530:1530,"AAAAAG7+fZA=",0)</f>
        <v>0</v>
      </c>
      <c r="EP96" t="e">
        <f>AND('Planilla_General_03-12-2012_9_3'!A1530,"AAAAAG7+fZE=")</f>
        <v>#VALUE!</v>
      </c>
      <c r="EQ96" t="e">
        <f>AND('Planilla_General_03-12-2012_9_3'!B1530,"AAAAAG7+fZI=")</f>
        <v>#VALUE!</v>
      </c>
      <c r="ER96" t="e">
        <f>AND('Planilla_General_03-12-2012_9_3'!C1530,"AAAAAG7+fZM=")</f>
        <v>#VALUE!</v>
      </c>
      <c r="ES96" t="e">
        <f>AND('Planilla_General_03-12-2012_9_3'!D1530,"AAAAAG7+fZQ=")</f>
        <v>#VALUE!</v>
      </c>
      <c r="ET96" t="e">
        <f>AND('Planilla_General_03-12-2012_9_3'!E1530,"AAAAAG7+fZU=")</f>
        <v>#VALUE!</v>
      </c>
      <c r="EU96" t="e">
        <f>AND('Planilla_General_03-12-2012_9_3'!F1530,"AAAAAG7+fZY=")</f>
        <v>#VALUE!</v>
      </c>
      <c r="EV96" t="e">
        <f>AND('Planilla_General_03-12-2012_9_3'!G1530,"AAAAAG7+fZc=")</f>
        <v>#VALUE!</v>
      </c>
      <c r="EW96" t="e">
        <f>AND('Planilla_General_03-12-2012_9_3'!H1530,"AAAAAG7+fZg=")</f>
        <v>#VALUE!</v>
      </c>
      <c r="EX96" t="e">
        <f>AND('Planilla_General_03-12-2012_9_3'!I1530,"AAAAAG7+fZk=")</f>
        <v>#VALUE!</v>
      </c>
      <c r="EY96" t="e">
        <f>AND('Planilla_General_03-12-2012_9_3'!J1530,"AAAAAG7+fZo=")</f>
        <v>#VALUE!</v>
      </c>
      <c r="EZ96" t="e">
        <f>AND('Planilla_General_03-12-2012_9_3'!K1530,"AAAAAG7+fZs=")</f>
        <v>#VALUE!</v>
      </c>
      <c r="FA96" t="e">
        <f>AND('Planilla_General_03-12-2012_9_3'!L1530,"AAAAAG7+fZw=")</f>
        <v>#VALUE!</v>
      </c>
      <c r="FB96" t="e">
        <f>AND('Planilla_General_03-12-2012_9_3'!M1530,"AAAAAG7+fZ0=")</f>
        <v>#VALUE!</v>
      </c>
      <c r="FC96" t="e">
        <f>AND('Planilla_General_03-12-2012_9_3'!N1530,"AAAAAG7+fZ4=")</f>
        <v>#VALUE!</v>
      </c>
      <c r="FD96" t="e">
        <f>AND('Planilla_General_03-12-2012_9_3'!O1530,"AAAAAG7+fZ8=")</f>
        <v>#VALUE!</v>
      </c>
      <c r="FE96">
        <f>IF('Planilla_General_03-12-2012_9_3'!1531:1531,"AAAAAG7+faA=",0)</f>
        <v>0</v>
      </c>
      <c r="FF96" t="e">
        <f>AND('Planilla_General_03-12-2012_9_3'!A1531,"AAAAAG7+faE=")</f>
        <v>#VALUE!</v>
      </c>
      <c r="FG96" t="e">
        <f>AND('Planilla_General_03-12-2012_9_3'!B1531,"AAAAAG7+faI=")</f>
        <v>#VALUE!</v>
      </c>
      <c r="FH96" t="e">
        <f>AND('Planilla_General_03-12-2012_9_3'!C1531,"AAAAAG7+faM=")</f>
        <v>#VALUE!</v>
      </c>
      <c r="FI96" t="e">
        <f>AND('Planilla_General_03-12-2012_9_3'!D1531,"AAAAAG7+faQ=")</f>
        <v>#VALUE!</v>
      </c>
      <c r="FJ96" t="e">
        <f>AND('Planilla_General_03-12-2012_9_3'!E1531,"AAAAAG7+faU=")</f>
        <v>#VALUE!</v>
      </c>
      <c r="FK96" t="e">
        <f>AND('Planilla_General_03-12-2012_9_3'!F1531,"AAAAAG7+faY=")</f>
        <v>#VALUE!</v>
      </c>
      <c r="FL96" t="e">
        <f>AND('Planilla_General_03-12-2012_9_3'!G1531,"AAAAAG7+fac=")</f>
        <v>#VALUE!</v>
      </c>
      <c r="FM96" t="e">
        <f>AND('Planilla_General_03-12-2012_9_3'!H1531,"AAAAAG7+fag=")</f>
        <v>#VALUE!</v>
      </c>
      <c r="FN96" t="e">
        <f>AND('Planilla_General_03-12-2012_9_3'!I1531,"AAAAAG7+fak=")</f>
        <v>#VALUE!</v>
      </c>
      <c r="FO96" t="e">
        <f>AND('Planilla_General_03-12-2012_9_3'!J1531,"AAAAAG7+fao=")</f>
        <v>#VALUE!</v>
      </c>
      <c r="FP96" t="e">
        <f>AND('Planilla_General_03-12-2012_9_3'!K1531,"AAAAAG7+fas=")</f>
        <v>#VALUE!</v>
      </c>
      <c r="FQ96" t="e">
        <f>AND('Planilla_General_03-12-2012_9_3'!L1531,"AAAAAG7+faw=")</f>
        <v>#VALUE!</v>
      </c>
      <c r="FR96" t="e">
        <f>AND('Planilla_General_03-12-2012_9_3'!M1531,"AAAAAG7+fa0=")</f>
        <v>#VALUE!</v>
      </c>
      <c r="FS96" t="e">
        <f>AND('Planilla_General_03-12-2012_9_3'!N1531,"AAAAAG7+fa4=")</f>
        <v>#VALUE!</v>
      </c>
      <c r="FT96" t="e">
        <f>AND('Planilla_General_03-12-2012_9_3'!O1531,"AAAAAG7+fa8=")</f>
        <v>#VALUE!</v>
      </c>
      <c r="FU96">
        <f>IF('Planilla_General_03-12-2012_9_3'!1532:1532,"AAAAAG7+fbA=",0)</f>
        <v>0</v>
      </c>
      <c r="FV96" t="e">
        <f>AND('Planilla_General_03-12-2012_9_3'!A1532,"AAAAAG7+fbE=")</f>
        <v>#VALUE!</v>
      </c>
      <c r="FW96" t="e">
        <f>AND('Planilla_General_03-12-2012_9_3'!B1532,"AAAAAG7+fbI=")</f>
        <v>#VALUE!</v>
      </c>
      <c r="FX96" t="e">
        <f>AND('Planilla_General_03-12-2012_9_3'!C1532,"AAAAAG7+fbM=")</f>
        <v>#VALUE!</v>
      </c>
      <c r="FY96" t="e">
        <f>AND('Planilla_General_03-12-2012_9_3'!D1532,"AAAAAG7+fbQ=")</f>
        <v>#VALUE!</v>
      </c>
      <c r="FZ96" t="e">
        <f>AND('Planilla_General_03-12-2012_9_3'!E1532,"AAAAAG7+fbU=")</f>
        <v>#VALUE!</v>
      </c>
      <c r="GA96" t="e">
        <f>AND('Planilla_General_03-12-2012_9_3'!F1532,"AAAAAG7+fbY=")</f>
        <v>#VALUE!</v>
      </c>
      <c r="GB96" t="e">
        <f>AND('Planilla_General_03-12-2012_9_3'!G1532,"AAAAAG7+fbc=")</f>
        <v>#VALUE!</v>
      </c>
      <c r="GC96" t="e">
        <f>AND('Planilla_General_03-12-2012_9_3'!H1532,"AAAAAG7+fbg=")</f>
        <v>#VALUE!</v>
      </c>
      <c r="GD96" t="e">
        <f>AND('Planilla_General_03-12-2012_9_3'!I1532,"AAAAAG7+fbk=")</f>
        <v>#VALUE!</v>
      </c>
      <c r="GE96" t="e">
        <f>AND('Planilla_General_03-12-2012_9_3'!J1532,"AAAAAG7+fbo=")</f>
        <v>#VALUE!</v>
      </c>
      <c r="GF96" t="e">
        <f>AND('Planilla_General_03-12-2012_9_3'!K1532,"AAAAAG7+fbs=")</f>
        <v>#VALUE!</v>
      </c>
      <c r="GG96" t="e">
        <f>AND('Planilla_General_03-12-2012_9_3'!L1532,"AAAAAG7+fbw=")</f>
        <v>#VALUE!</v>
      </c>
      <c r="GH96" t="e">
        <f>AND('Planilla_General_03-12-2012_9_3'!M1532,"AAAAAG7+fb0=")</f>
        <v>#VALUE!</v>
      </c>
      <c r="GI96" t="e">
        <f>AND('Planilla_General_03-12-2012_9_3'!N1532,"AAAAAG7+fb4=")</f>
        <v>#VALUE!</v>
      </c>
      <c r="GJ96" t="e">
        <f>AND('Planilla_General_03-12-2012_9_3'!O1532,"AAAAAG7+fb8=")</f>
        <v>#VALUE!</v>
      </c>
      <c r="GK96">
        <f>IF('Planilla_General_03-12-2012_9_3'!1533:1533,"AAAAAG7+fcA=",0)</f>
        <v>0</v>
      </c>
      <c r="GL96" t="e">
        <f>AND('Planilla_General_03-12-2012_9_3'!A1533,"AAAAAG7+fcE=")</f>
        <v>#VALUE!</v>
      </c>
      <c r="GM96" t="e">
        <f>AND('Planilla_General_03-12-2012_9_3'!B1533,"AAAAAG7+fcI=")</f>
        <v>#VALUE!</v>
      </c>
      <c r="GN96" t="e">
        <f>AND('Planilla_General_03-12-2012_9_3'!C1533,"AAAAAG7+fcM=")</f>
        <v>#VALUE!</v>
      </c>
      <c r="GO96" t="e">
        <f>AND('Planilla_General_03-12-2012_9_3'!D1533,"AAAAAG7+fcQ=")</f>
        <v>#VALUE!</v>
      </c>
      <c r="GP96" t="e">
        <f>AND('Planilla_General_03-12-2012_9_3'!E1533,"AAAAAG7+fcU=")</f>
        <v>#VALUE!</v>
      </c>
      <c r="GQ96" t="e">
        <f>AND('Planilla_General_03-12-2012_9_3'!F1533,"AAAAAG7+fcY=")</f>
        <v>#VALUE!</v>
      </c>
      <c r="GR96" t="e">
        <f>AND('Planilla_General_03-12-2012_9_3'!G1533,"AAAAAG7+fcc=")</f>
        <v>#VALUE!</v>
      </c>
      <c r="GS96" t="e">
        <f>AND('Planilla_General_03-12-2012_9_3'!H1533,"AAAAAG7+fcg=")</f>
        <v>#VALUE!</v>
      </c>
      <c r="GT96" t="e">
        <f>AND('Planilla_General_03-12-2012_9_3'!I1533,"AAAAAG7+fck=")</f>
        <v>#VALUE!</v>
      </c>
      <c r="GU96" t="e">
        <f>AND('Planilla_General_03-12-2012_9_3'!J1533,"AAAAAG7+fco=")</f>
        <v>#VALUE!</v>
      </c>
      <c r="GV96" t="e">
        <f>AND('Planilla_General_03-12-2012_9_3'!K1533,"AAAAAG7+fcs=")</f>
        <v>#VALUE!</v>
      </c>
      <c r="GW96" t="e">
        <f>AND('Planilla_General_03-12-2012_9_3'!L1533,"AAAAAG7+fcw=")</f>
        <v>#VALUE!</v>
      </c>
      <c r="GX96" t="e">
        <f>AND('Planilla_General_03-12-2012_9_3'!M1533,"AAAAAG7+fc0=")</f>
        <v>#VALUE!</v>
      </c>
      <c r="GY96" t="e">
        <f>AND('Planilla_General_03-12-2012_9_3'!N1533,"AAAAAG7+fc4=")</f>
        <v>#VALUE!</v>
      </c>
      <c r="GZ96" t="e">
        <f>AND('Planilla_General_03-12-2012_9_3'!O1533,"AAAAAG7+fc8=")</f>
        <v>#VALUE!</v>
      </c>
      <c r="HA96">
        <f>IF('Planilla_General_03-12-2012_9_3'!1534:1534,"AAAAAG7+fdA=",0)</f>
        <v>0</v>
      </c>
      <c r="HB96" t="e">
        <f>AND('Planilla_General_03-12-2012_9_3'!A1534,"AAAAAG7+fdE=")</f>
        <v>#VALUE!</v>
      </c>
      <c r="HC96" t="e">
        <f>AND('Planilla_General_03-12-2012_9_3'!B1534,"AAAAAG7+fdI=")</f>
        <v>#VALUE!</v>
      </c>
      <c r="HD96" t="e">
        <f>AND('Planilla_General_03-12-2012_9_3'!C1534,"AAAAAG7+fdM=")</f>
        <v>#VALUE!</v>
      </c>
      <c r="HE96" t="e">
        <f>AND('Planilla_General_03-12-2012_9_3'!D1534,"AAAAAG7+fdQ=")</f>
        <v>#VALUE!</v>
      </c>
      <c r="HF96" t="e">
        <f>AND('Planilla_General_03-12-2012_9_3'!E1534,"AAAAAG7+fdU=")</f>
        <v>#VALUE!</v>
      </c>
      <c r="HG96" t="e">
        <f>AND('Planilla_General_03-12-2012_9_3'!F1534,"AAAAAG7+fdY=")</f>
        <v>#VALUE!</v>
      </c>
      <c r="HH96" t="e">
        <f>AND('Planilla_General_03-12-2012_9_3'!G1534,"AAAAAG7+fdc=")</f>
        <v>#VALUE!</v>
      </c>
      <c r="HI96" t="e">
        <f>AND('Planilla_General_03-12-2012_9_3'!H1534,"AAAAAG7+fdg=")</f>
        <v>#VALUE!</v>
      </c>
      <c r="HJ96" t="e">
        <f>AND('Planilla_General_03-12-2012_9_3'!I1534,"AAAAAG7+fdk=")</f>
        <v>#VALUE!</v>
      </c>
      <c r="HK96" t="e">
        <f>AND('Planilla_General_03-12-2012_9_3'!J1534,"AAAAAG7+fdo=")</f>
        <v>#VALUE!</v>
      </c>
      <c r="HL96" t="e">
        <f>AND('Planilla_General_03-12-2012_9_3'!K1534,"AAAAAG7+fds=")</f>
        <v>#VALUE!</v>
      </c>
      <c r="HM96" t="e">
        <f>AND('Planilla_General_03-12-2012_9_3'!L1534,"AAAAAG7+fdw=")</f>
        <v>#VALUE!</v>
      </c>
      <c r="HN96" t="e">
        <f>AND('Planilla_General_03-12-2012_9_3'!M1534,"AAAAAG7+fd0=")</f>
        <v>#VALUE!</v>
      </c>
      <c r="HO96" t="e">
        <f>AND('Planilla_General_03-12-2012_9_3'!N1534,"AAAAAG7+fd4=")</f>
        <v>#VALUE!</v>
      </c>
      <c r="HP96" t="e">
        <f>AND('Planilla_General_03-12-2012_9_3'!O1534,"AAAAAG7+fd8=")</f>
        <v>#VALUE!</v>
      </c>
      <c r="HQ96">
        <f>IF('Planilla_General_03-12-2012_9_3'!1535:1535,"AAAAAG7+feA=",0)</f>
        <v>0</v>
      </c>
      <c r="HR96" t="e">
        <f>AND('Planilla_General_03-12-2012_9_3'!A1535,"AAAAAG7+feE=")</f>
        <v>#VALUE!</v>
      </c>
      <c r="HS96" t="e">
        <f>AND('Planilla_General_03-12-2012_9_3'!B1535,"AAAAAG7+feI=")</f>
        <v>#VALUE!</v>
      </c>
      <c r="HT96" t="e">
        <f>AND('Planilla_General_03-12-2012_9_3'!C1535,"AAAAAG7+feM=")</f>
        <v>#VALUE!</v>
      </c>
      <c r="HU96" t="e">
        <f>AND('Planilla_General_03-12-2012_9_3'!D1535,"AAAAAG7+feQ=")</f>
        <v>#VALUE!</v>
      </c>
      <c r="HV96" t="e">
        <f>AND('Planilla_General_03-12-2012_9_3'!E1535,"AAAAAG7+feU=")</f>
        <v>#VALUE!</v>
      </c>
      <c r="HW96" t="e">
        <f>AND('Planilla_General_03-12-2012_9_3'!F1535,"AAAAAG7+feY=")</f>
        <v>#VALUE!</v>
      </c>
      <c r="HX96" t="e">
        <f>AND('Planilla_General_03-12-2012_9_3'!G1535,"AAAAAG7+fec=")</f>
        <v>#VALUE!</v>
      </c>
      <c r="HY96" t="e">
        <f>AND('Planilla_General_03-12-2012_9_3'!H1535,"AAAAAG7+feg=")</f>
        <v>#VALUE!</v>
      </c>
      <c r="HZ96" t="e">
        <f>AND('Planilla_General_03-12-2012_9_3'!I1535,"AAAAAG7+fek=")</f>
        <v>#VALUE!</v>
      </c>
      <c r="IA96" t="e">
        <f>AND('Planilla_General_03-12-2012_9_3'!J1535,"AAAAAG7+feo=")</f>
        <v>#VALUE!</v>
      </c>
      <c r="IB96" t="e">
        <f>AND('Planilla_General_03-12-2012_9_3'!K1535,"AAAAAG7+fes=")</f>
        <v>#VALUE!</v>
      </c>
      <c r="IC96" t="e">
        <f>AND('Planilla_General_03-12-2012_9_3'!L1535,"AAAAAG7+few=")</f>
        <v>#VALUE!</v>
      </c>
      <c r="ID96" t="e">
        <f>AND('Planilla_General_03-12-2012_9_3'!M1535,"AAAAAG7+fe0=")</f>
        <v>#VALUE!</v>
      </c>
      <c r="IE96" t="e">
        <f>AND('Planilla_General_03-12-2012_9_3'!N1535,"AAAAAG7+fe4=")</f>
        <v>#VALUE!</v>
      </c>
      <c r="IF96" t="e">
        <f>AND('Planilla_General_03-12-2012_9_3'!O1535,"AAAAAG7+fe8=")</f>
        <v>#VALUE!</v>
      </c>
      <c r="IG96">
        <f>IF('Planilla_General_03-12-2012_9_3'!1536:1536,"AAAAAG7+ffA=",0)</f>
        <v>0</v>
      </c>
      <c r="IH96" t="e">
        <f>AND('Planilla_General_03-12-2012_9_3'!A1536,"AAAAAG7+ffE=")</f>
        <v>#VALUE!</v>
      </c>
      <c r="II96" t="e">
        <f>AND('Planilla_General_03-12-2012_9_3'!B1536,"AAAAAG7+ffI=")</f>
        <v>#VALUE!</v>
      </c>
      <c r="IJ96" t="e">
        <f>AND('Planilla_General_03-12-2012_9_3'!C1536,"AAAAAG7+ffM=")</f>
        <v>#VALUE!</v>
      </c>
      <c r="IK96" t="e">
        <f>AND('Planilla_General_03-12-2012_9_3'!D1536,"AAAAAG7+ffQ=")</f>
        <v>#VALUE!</v>
      </c>
      <c r="IL96" t="e">
        <f>AND('Planilla_General_03-12-2012_9_3'!E1536,"AAAAAG7+ffU=")</f>
        <v>#VALUE!</v>
      </c>
      <c r="IM96" t="e">
        <f>AND('Planilla_General_03-12-2012_9_3'!F1536,"AAAAAG7+ffY=")</f>
        <v>#VALUE!</v>
      </c>
      <c r="IN96" t="e">
        <f>AND('Planilla_General_03-12-2012_9_3'!G1536,"AAAAAG7+ffc=")</f>
        <v>#VALUE!</v>
      </c>
      <c r="IO96" t="e">
        <f>AND('Planilla_General_03-12-2012_9_3'!H1536,"AAAAAG7+ffg=")</f>
        <v>#VALUE!</v>
      </c>
      <c r="IP96" t="e">
        <f>AND('Planilla_General_03-12-2012_9_3'!I1536,"AAAAAG7+ffk=")</f>
        <v>#VALUE!</v>
      </c>
      <c r="IQ96" t="e">
        <f>AND('Planilla_General_03-12-2012_9_3'!J1536,"AAAAAG7+ffo=")</f>
        <v>#VALUE!</v>
      </c>
      <c r="IR96" t="e">
        <f>AND('Planilla_General_03-12-2012_9_3'!K1536,"AAAAAG7+ffs=")</f>
        <v>#VALUE!</v>
      </c>
      <c r="IS96" t="e">
        <f>AND('Planilla_General_03-12-2012_9_3'!L1536,"AAAAAG7+ffw=")</f>
        <v>#VALUE!</v>
      </c>
      <c r="IT96" t="e">
        <f>AND('Planilla_General_03-12-2012_9_3'!M1536,"AAAAAG7+ff0=")</f>
        <v>#VALUE!</v>
      </c>
      <c r="IU96" t="e">
        <f>AND('Planilla_General_03-12-2012_9_3'!N1536,"AAAAAG7+ff4=")</f>
        <v>#VALUE!</v>
      </c>
      <c r="IV96" t="e">
        <f>AND('Planilla_General_03-12-2012_9_3'!O1536,"AAAAAG7+ff8=")</f>
        <v>#VALUE!</v>
      </c>
    </row>
    <row r="97" spans="1:256" x14ac:dyDescent="0.25">
      <c r="A97" t="e">
        <f>IF('Planilla_General_03-12-2012_9_3'!1537:1537,"AAAAAH9+uwA=",0)</f>
        <v>#VALUE!</v>
      </c>
      <c r="B97" t="e">
        <f>AND('Planilla_General_03-12-2012_9_3'!A1537,"AAAAAH9+uwE=")</f>
        <v>#VALUE!</v>
      </c>
      <c r="C97" t="e">
        <f>AND('Planilla_General_03-12-2012_9_3'!B1537,"AAAAAH9+uwI=")</f>
        <v>#VALUE!</v>
      </c>
      <c r="D97" t="e">
        <f>AND('Planilla_General_03-12-2012_9_3'!C1537,"AAAAAH9+uwM=")</f>
        <v>#VALUE!</v>
      </c>
      <c r="E97" t="e">
        <f>AND('Planilla_General_03-12-2012_9_3'!D1537,"AAAAAH9+uwQ=")</f>
        <v>#VALUE!</v>
      </c>
      <c r="F97" t="e">
        <f>AND('Planilla_General_03-12-2012_9_3'!E1537,"AAAAAH9+uwU=")</f>
        <v>#VALUE!</v>
      </c>
      <c r="G97" t="e">
        <f>AND('Planilla_General_03-12-2012_9_3'!F1537,"AAAAAH9+uwY=")</f>
        <v>#VALUE!</v>
      </c>
      <c r="H97" t="e">
        <f>AND('Planilla_General_03-12-2012_9_3'!G1537,"AAAAAH9+uwc=")</f>
        <v>#VALUE!</v>
      </c>
      <c r="I97" t="e">
        <f>AND('Planilla_General_03-12-2012_9_3'!H1537,"AAAAAH9+uwg=")</f>
        <v>#VALUE!</v>
      </c>
      <c r="J97" t="e">
        <f>AND('Planilla_General_03-12-2012_9_3'!I1537,"AAAAAH9+uwk=")</f>
        <v>#VALUE!</v>
      </c>
      <c r="K97" t="e">
        <f>AND('Planilla_General_03-12-2012_9_3'!J1537,"AAAAAH9+uwo=")</f>
        <v>#VALUE!</v>
      </c>
      <c r="L97" t="e">
        <f>AND('Planilla_General_03-12-2012_9_3'!K1537,"AAAAAH9+uws=")</f>
        <v>#VALUE!</v>
      </c>
      <c r="M97" t="e">
        <f>AND('Planilla_General_03-12-2012_9_3'!L1537,"AAAAAH9+uww=")</f>
        <v>#VALUE!</v>
      </c>
      <c r="N97" t="e">
        <f>AND('Planilla_General_03-12-2012_9_3'!M1537,"AAAAAH9+uw0=")</f>
        <v>#VALUE!</v>
      </c>
      <c r="O97" t="e">
        <f>AND('Planilla_General_03-12-2012_9_3'!N1537,"AAAAAH9+uw4=")</f>
        <v>#VALUE!</v>
      </c>
      <c r="P97" t="e">
        <f>AND('Planilla_General_03-12-2012_9_3'!O1537,"AAAAAH9+uw8=")</f>
        <v>#VALUE!</v>
      </c>
      <c r="Q97">
        <f>IF('Planilla_General_03-12-2012_9_3'!1538:1538,"AAAAAH9+uxA=",0)</f>
        <v>0</v>
      </c>
      <c r="R97" t="e">
        <f>AND('Planilla_General_03-12-2012_9_3'!A1538,"AAAAAH9+uxE=")</f>
        <v>#VALUE!</v>
      </c>
      <c r="S97" t="e">
        <f>AND('Planilla_General_03-12-2012_9_3'!B1538,"AAAAAH9+uxI=")</f>
        <v>#VALUE!</v>
      </c>
      <c r="T97" t="e">
        <f>AND('Planilla_General_03-12-2012_9_3'!C1538,"AAAAAH9+uxM=")</f>
        <v>#VALUE!</v>
      </c>
      <c r="U97" t="e">
        <f>AND('Planilla_General_03-12-2012_9_3'!D1538,"AAAAAH9+uxQ=")</f>
        <v>#VALUE!</v>
      </c>
      <c r="V97" t="e">
        <f>AND('Planilla_General_03-12-2012_9_3'!E1538,"AAAAAH9+uxU=")</f>
        <v>#VALUE!</v>
      </c>
      <c r="W97" t="e">
        <f>AND('Planilla_General_03-12-2012_9_3'!F1538,"AAAAAH9+uxY=")</f>
        <v>#VALUE!</v>
      </c>
      <c r="X97" t="e">
        <f>AND('Planilla_General_03-12-2012_9_3'!G1538,"AAAAAH9+uxc=")</f>
        <v>#VALUE!</v>
      </c>
      <c r="Y97" t="e">
        <f>AND('Planilla_General_03-12-2012_9_3'!H1538,"AAAAAH9+uxg=")</f>
        <v>#VALUE!</v>
      </c>
      <c r="Z97" t="e">
        <f>AND('Planilla_General_03-12-2012_9_3'!I1538,"AAAAAH9+uxk=")</f>
        <v>#VALUE!</v>
      </c>
      <c r="AA97" t="e">
        <f>AND('Planilla_General_03-12-2012_9_3'!J1538,"AAAAAH9+uxo=")</f>
        <v>#VALUE!</v>
      </c>
      <c r="AB97" t="e">
        <f>AND('Planilla_General_03-12-2012_9_3'!K1538,"AAAAAH9+uxs=")</f>
        <v>#VALUE!</v>
      </c>
      <c r="AC97" t="e">
        <f>AND('Planilla_General_03-12-2012_9_3'!L1538,"AAAAAH9+uxw=")</f>
        <v>#VALUE!</v>
      </c>
      <c r="AD97" t="e">
        <f>AND('Planilla_General_03-12-2012_9_3'!M1538,"AAAAAH9+ux0=")</f>
        <v>#VALUE!</v>
      </c>
      <c r="AE97" t="e">
        <f>AND('Planilla_General_03-12-2012_9_3'!N1538,"AAAAAH9+ux4=")</f>
        <v>#VALUE!</v>
      </c>
      <c r="AF97" t="e">
        <f>AND('Planilla_General_03-12-2012_9_3'!O1538,"AAAAAH9+ux8=")</f>
        <v>#VALUE!</v>
      </c>
      <c r="AG97">
        <f>IF('Planilla_General_03-12-2012_9_3'!1539:1539,"AAAAAH9+uyA=",0)</f>
        <v>0</v>
      </c>
      <c r="AH97" t="e">
        <f>AND('Planilla_General_03-12-2012_9_3'!A1539,"AAAAAH9+uyE=")</f>
        <v>#VALUE!</v>
      </c>
      <c r="AI97" t="e">
        <f>AND('Planilla_General_03-12-2012_9_3'!B1539,"AAAAAH9+uyI=")</f>
        <v>#VALUE!</v>
      </c>
      <c r="AJ97" t="e">
        <f>AND('Planilla_General_03-12-2012_9_3'!C1539,"AAAAAH9+uyM=")</f>
        <v>#VALUE!</v>
      </c>
      <c r="AK97" t="e">
        <f>AND('Planilla_General_03-12-2012_9_3'!D1539,"AAAAAH9+uyQ=")</f>
        <v>#VALUE!</v>
      </c>
      <c r="AL97" t="e">
        <f>AND('Planilla_General_03-12-2012_9_3'!E1539,"AAAAAH9+uyU=")</f>
        <v>#VALUE!</v>
      </c>
      <c r="AM97" t="e">
        <f>AND('Planilla_General_03-12-2012_9_3'!F1539,"AAAAAH9+uyY=")</f>
        <v>#VALUE!</v>
      </c>
      <c r="AN97" t="e">
        <f>AND('Planilla_General_03-12-2012_9_3'!G1539,"AAAAAH9+uyc=")</f>
        <v>#VALUE!</v>
      </c>
      <c r="AO97" t="e">
        <f>AND('Planilla_General_03-12-2012_9_3'!H1539,"AAAAAH9+uyg=")</f>
        <v>#VALUE!</v>
      </c>
      <c r="AP97" t="e">
        <f>AND('Planilla_General_03-12-2012_9_3'!I1539,"AAAAAH9+uyk=")</f>
        <v>#VALUE!</v>
      </c>
      <c r="AQ97" t="e">
        <f>AND('Planilla_General_03-12-2012_9_3'!J1539,"AAAAAH9+uyo=")</f>
        <v>#VALUE!</v>
      </c>
      <c r="AR97" t="e">
        <f>AND('Planilla_General_03-12-2012_9_3'!K1539,"AAAAAH9+uys=")</f>
        <v>#VALUE!</v>
      </c>
      <c r="AS97" t="e">
        <f>AND('Planilla_General_03-12-2012_9_3'!L1539,"AAAAAH9+uyw=")</f>
        <v>#VALUE!</v>
      </c>
      <c r="AT97" t="e">
        <f>AND('Planilla_General_03-12-2012_9_3'!M1539,"AAAAAH9+uy0=")</f>
        <v>#VALUE!</v>
      </c>
      <c r="AU97" t="e">
        <f>AND('Planilla_General_03-12-2012_9_3'!N1539,"AAAAAH9+uy4=")</f>
        <v>#VALUE!</v>
      </c>
      <c r="AV97" t="e">
        <f>AND('Planilla_General_03-12-2012_9_3'!O1539,"AAAAAH9+uy8=")</f>
        <v>#VALUE!</v>
      </c>
      <c r="AW97">
        <f>IF('Planilla_General_03-12-2012_9_3'!1540:1540,"AAAAAH9+uzA=",0)</f>
        <v>0</v>
      </c>
      <c r="AX97" t="e">
        <f>AND('Planilla_General_03-12-2012_9_3'!A1540,"AAAAAH9+uzE=")</f>
        <v>#VALUE!</v>
      </c>
      <c r="AY97" t="e">
        <f>AND('Planilla_General_03-12-2012_9_3'!B1540,"AAAAAH9+uzI=")</f>
        <v>#VALUE!</v>
      </c>
      <c r="AZ97" t="e">
        <f>AND('Planilla_General_03-12-2012_9_3'!C1540,"AAAAAH9+uzM=")</f>
        <v>#VALUE!</v>
      </c>
      <c r="BA97" t="e">
        <f>AND('Planilla_General_03-12-2012_9_3'!D1540,"AAAAAH9+uzQ=")</f>
        <v>#VALUE!</v>
      </c>
      <c r="BB97" t="e">
        <f>AND('Planilla_General_03-12-2012_9_3'!E1540,"AAAAAH9+uzU=")</f>
        <v>#VALUE!</v>
      </c>
      <c r="BC97" t="e">
        <f>AND('Planilla_General_03-12-2012_9_3'!F1540,"AAAAAH9+uzY=")</f>
        <v>#VALUE!</v>
      </c>
      <c r="BD97" t="e">
        <f>AND('Planilla_General_03-12-2012_9_3'!G1540,"AAAAAH9+uzc=")</f>
        <v>#VALUE!</v>
      </c>
      <c r="BE97" t="e">
        <f>AND('Planilla_General_03-12-2012_9_3'!H1540,"AAAAAH9+uzg=")</f>
        <v>#VALUE!</v>
      </c>
      <c r="BF97" t="e">
        <f>AND('Planilla_General_03-12-2012_9_3'!I1540,"AAAAAH9+uzk=")</f>
        <v>#VALUE!</v>
      </c>
      <c r="BG97" t="e">
        <f>AND('Planilla_General_03-12-2012_9_3'!J1540,"AAAAAH9+uzo=")</f>
        <v>#VALUE!</v>
      </c>
      <c r="BH97" t="e">
        <f>AND('Planilla_General_03-12-2012_9_3'!K1540,"AAAAAH9+uzs=")</f>
        <v>#VALUE!</v>
      </c>
      <c r="BI97" t="e">
        <f>AND('Planilla_General_03-12-2012_9_3'!L1540,"AAAAAH9+uzw=")</f>
        <v>#VALUE!</v>
      </c>
      <c r="BJ97" t="e">
        <f>AND('Planilla_General_03-12-2012_9_3'!M1540,"AAAAAH9+uz0=")</f>
        <v>#VALUE!</v>
      </c>
      <c r="BK97" t="e">
        <f>AND('Planilla_General_03-12-2012_9_3'!N1540,"AAAAAH9+uz4=")</f>
        <v>#VALUE!</v>
      </c>
      <c r="BL97" t="e">
        <f>AND('Planilla_General_03-12-2012_9_3'!O1540,"AAAAAH9+uz8=")</f>
        <v>#VALUE!</v>
      </c>
      <c r="BM97">
        <f>IF('Planilla_General_03-12-2012_9_3'!1541:1541,"AAAAAH9+u0A=",0)</f>
        <v>0</v>
      </c>
      <c r="BN97" t="e">
        <f>AND('Planilla_General_03-12-2012_9_3'!A1541,"AAAAAH9+u0E=")</f>
        <v>#VALUE!</v>
      </c>
      <c r="BO97" t="e">
        <f>AND('Planilla_General_03-12-2012_9_3'!B1541,"AAAAAH9+u0I=")</f>
        <v>#VALUE!</v>
      </c>
      <c r="BP97" t="e">
        <f>AND('Planilla_General_03-12-2012_9_3'!C1541,"AAAAAH9+u0M=")</f>
        <v>#VALUE!</v>
      </c>
      <c r="BQ97" t="e">
        <f>AND('Planilla_General_03-12-2012_9_3'!D1541,"AAAAAH9+u0Q=")</f>
        <v>#VALUE!</v>
      </c>
      <c r="BR97" t="e">
        <f>AND('Planilla_General_03-12-2012_9_3'!E1541,"AAAAAH9+u0U=")</f>
        <v>#VALUE!</v>
      </c>
      <c r="BS97" t="e">
        <f>AND('Planilla_General_03-12-2012_9_3'!F1541,"AAAAAH9+u0Y=")</f>
        <v>#VALUE!</v>
      </c>
      <c r="BT97" t="e">
        <f>AND('Planilla_General_03-12-2012_9_3'!G1541,"AAAAAH9+u0c=")</f>
        <v>#VALUE!</v>
      </c>
      <c r="BU97" t="e">
        <f>AND('Planilla_General_03-12-2012_9_3'!H1541,"AAAAAH9+u0g=")</f>
        <v>#VALUE!</v>
      </c>
      <c r="BV97" t="e">
        <f>AND('Planilla_General_03-12-2012_9_3'!I1541,"AAAAAH9+u0k=")</f>
        <v>#VALUE!</v>
      </c>
      <c r="BW97" t="e">
        <f>AND('Planilla_General_03-12-2012_9_3'!J1541,"AAAAAH9+u0o=")</f>
        <v>#VALUE!</v>
      </c>
      <c r="BX97" t="e">
        <f>AND('Planilla_General_03-12-2012_9_3'!K1541,"AAAAAH9+u0s=")</f>
        <v>#VALUE!</v>
      </c>
      <c r="BY97" t="e">
        <f>AND('Planilla_General_03-12-2012_9_3'!L1541,"AAAAAH9+u0w=")</f>
        <v>#VALUE!</v>
      </c>
      <c r="BZ97" t="e">
        <f>AND('Planilla_General_03-12-2012_9_3'!M1541,"AAAAAH9+u00=")</f>
        <v>#VALUE!</v>
      </c>
      <c r="CA97" t="e">
        <f>AND('Planilla_General_03-12-2012_9_3'!N1541,"AAAAAH9+u04=")</f>
        <v>#VALUE!</v>
      </c>
      <c r="CB97" t="e">
        <f>AND('Planilla_General_03-12-2012_9_3'!O1541,"AAAAAH9+u08=")</f>
        <v>#VALUE!</v>
      </c>
      <c r="CC97">
        <f>IF('Planilla_General_03-12-2012_9_3'!1542:1542,"AAAAAH9+u1A=",0)</f>
        <v>0</v>
      </c>
      <c r="CD97" t="e">
        <f>AND('Planilla_General_03-12-2012_9_3'!A1542,"AAAAAH9+u1E=")</f>
        <v>#VALUE!</v>
      </c>
      <c r="CE97" t="e">
        <f>AND('Planilla_General_03-12-2012_9_3'!B1542,"AAAAAH9+u1I=")</f>
        <v>#VALUE!</v>
      </c>
      <c r="CF97" t="e">
        <f>AND('Planilla_General_03-12-2012_9_3'!C1542,"AAAAAH9+u1M=")</f>
        <v>#VALUE!</v>
      </c>
      <c r="CG97" t="e">
        <f>AND('Planilla_General_03-12-2012_9_3'!D1542,"AAAAAH9+u1Q=")</f>
        <v>#VALUE!</v>
      </c>
      <c r="CH97" t="e">
        <f>AND('Planilla_General_03-12-2012_9_3'!E1542,"AAAAAH9+u1U=")</f>
        <v>#VALUE!</v>
      </c>
      <c r="CI97" t="e">
        <f>AND('Planilla_General_03-12-2012_9_3'!F1542,"AAAAAH9+u1Y=")</f>
        <v>#VALUE!</v>
      </c>
      <c r="CJ97" t="e">
        <f>AND('Planilla_General_03-12-2012_9_3'!G1542,"AAAAAH9+u1c=")</f>
        <v>#VALUE!</v>
      </c>
      <c r="CK97" t="e">
        <f>AND('Planilla_General_03-12-2012_9_3'!H1542,"AAAAAH9+u1g=")</f>
        <v>#VALUE!</v>
      </c>
      <c r="CL97" t="e">
        <f>AND('Planilla_General_03-12-2012_9_3'!I1542,"AAAAAH9+u1k=")</f>
        <v>#VALUE!</v>
      </c>
      <c r="CM97" t="e">
        <f>AND('Planilla_General_03-12-2012_9_3'!J1542,"AAAAAH9+u1o=")</f>
        <v>#VALUE!</v>
      </c>
      <c r="CN97" t="e">
        <f>AND('Planilla_General_03-12-2012_9_3'!K1542,"AAAAAH9+u1s=")</f>
        <v>#VALUE!</v>
      </c>
      <c r="CO97" t="e">
        <f>AND('Planilla_General_03-12-2012_9_3'!L1542,"AAAAAH9+u1w=")</f>
        <v>#VALUE!</v>
      </c>
      <c r="CP97" t="e">
        <f>AND('Planilla_General_03-12-2012_9_3'!M1542,"AAAAAH9+u10=")</f>
        <v>#VALUE!</v>
      </c>
      <c r="CQ97" t="e">
        <f>AND('Planilla_General_03-12-2012_9_3'!N1542,"AAAAAH9+u14=")</f>
        <v>#VALUE!</v>
      </c>
      <c r="CR97" t="e">
        <f>AND('Planilla_General_03-12-2012_9_3'!O1542,"AAAAAH9+u18=")</f>
        <v>#VALUE!</v>
      </c>
      <c r="CS97">
        <f>IF('Planilla_General_03-12-2012_9_3'!1543:1543,"AAAAAH9+u2A=",0)</f>
        <v>0</v>
      </c>
      <c r="CT97" t="e">
        <f>AND('Planilla_General_03-12-2012_9_3'!A1543,"AAAAAH9+u2E=")</f>
        <v>#VALUE!</v>
      </c>
      <c r="CU97" t="e">
        <f>AND('Planilla_General_03-12-2012_9_3'!B1543,"AAAAAH9+u2I=")</f>
        <v>#VALUE!</v>
      </c>
      <c r="CV97" t="e">
        <f>AND('Planilla_General_03-12-2012_9_3'!C1543,"AAAAAH9+u2M=")</f>
        <v>#VALUE!</v>
      </c>
      <c r="CW97" t="e">
        <f>AND('Planilla_General_03-12-2012_9_3'!D1543,"AAAAAH9+u2Q=")</f>
        <v>#VALUE!</v>
      </c>
      <c r="CX97" t="e">
        <f>AND('Planilla_General_03-12-2012_9_3'!E1543,"AAAAAH9+u2U=")</f>
        <v>#VALUE!</v>
      </c>
      <c r="CY97" t="e">
        <f>AND('Planilla_General_03-12-2012_9_3'!F1543,"AAAAAH9+u2Y=")</f>
        <v>#VALUE!</v>
      </c>
      <c r="CZ97" t="e">
        <f>AND('Planilla_General_03-12-2012_9_3'!G1543,"AAAAAH9+u2c=")</f>
        <v>#VALUE!</v>
      </c>
      <c r="DA97" t="e">
        <f>AND('Planilla_General_03-12-2012_9_3'!H1543,"AAAAAH9+u2g=")</f>
        <v>#VALUE!</v>
      </c>
      <c r="DB97" t="e">
        <f>AND('Planilla_General_03-12-2012_9_3'!I1543,"AAAAAH9+u2k=")</f>
        <v>#VALUE!</v>
      </c>
      <c r="DC97" t="e">
        <f>AND('Planilla_General_03-12-2012_9_3'!J1543,"AAAAAH9+u2o=")</f>
        <v>#VALUE!</v>
      </c>
      <c r="DD97" t="e">
        <f>AND('Planilla_General_03-12-2012_9_3'!K1543,"AAAAAH9+u2s=")</f>
        <v>#VALUE!</v>
      </c>
      <c r="DE97" t="e">
        <f>AND('Planilla_General_03-12-2012_9_3'!L1543,"AAAAAH9+u2w=")</f>
        <v>#VALUE!</v>
      </c>
      <c r="DF97" t="e">
        <f>AND('Planilla_General_03-12-2012_9_3'!M1543,"AAAAAH9+u20=")</f>
        <v>#VALUE!</v>
      </c>
      <c r="DG97" t="e">
        <f>AND('Planilla_General_03-12-2012_9_3'!N1543,"AAAAAH9+u24=")</f>
        <v>#VALUE!</v>
      </c>
      <c r="DH97" t="e">
        <f>AND('Planilla_General_03-12-2012_9_3'!O1543,"AAAAAH9+u28=")</f>
        <v>#VALUE!</v>
      </c>
      <c r="DI97">
        <f>IF('Planilla_General_03-12-2012_9_3'!1544:1544,"AAAAAH9+u3A=",0)</f>
        <v>0</v>
      </c>
      <c r="DJ97" t="e">
        <f>AND('Planilla_General_03-12-2012_9_3'!A1544,"AAAAAH9+u3E=")</f>
        <v>#VALUE!</v>
      </c>
      <c r="DK97" t="e">
        <f>AND('Planilla_General_03-12-2012_9_3'!B1544,"AAAAAH9+u3I=")</f>
        <v>#VALUE!</v>
      </c>
      <c r="DL97" t="e">
        <f>AND('Planilla_General_03-12-2012_9_3'!C1544,"AAAAAH9+u3M=")</f>
        <v>#VALUE!</v>
      </c>
      <c r="DM97" t="e">
        <f>AND('Planilla_General_03-12-2012_9_3'!D1544,"AAAAAH9+u3Q=")</f>
        <v>#VALUE!</v>
      </c>
      <c r="DN97" t="e">
        <f>AND('Planilla_General_03-12-2012_9_3'!E1544,"AAAAAH9+u3U=")</f>
        <v>#VALUE!</v>
      </c>
      <c r="DO97" t="e">
        <f>AND('Planilla_General_03-12-2012_9_3'!F1544,"AAAAAH9+u3Y=")</f>
        <v>#VALUE!</v>
      </c>
      <c r="DP97" t="e">
        <f>AND('Planilla_General_03-12-2012_9_3'!G1544,"AAAAAH9+u3c=")</f>
        <v>#VALUE!</v>
      </c>
      <c r="DQ97" t="e">
        <f>AND('Planilla_General_03-12-2012_9_3'!H1544,"AAAAAH9+u3g=")</f>
        <v>#VALUE!</v>
      </c>
      <c r="DR97" t="e">
        <f>AND('Planilla_General_03-12-2012_9_3'!I1544,"AAAAAH9+u3k=")</f>
        <v>#VALUE!</v>
      </c>
      <c r="DS97" t="e">
        <f>AND('Planilla_General_03-12-2012_9_3'!J1544,"AAAAAH9+u3o=")</f>
        <v>#VALUE!</v>
      </c>
      <c r="DT97" t="e">
        <f>AND('Planilla_General_03-12-2012_9_3'!K1544,"AAAAAH9+u3s=")</f>
        <v>#VALUE!</v>
      </c>
      <c r="DU97" t="e">
        <f>AND('Planilla_General_03-12-2012_9_3'!L1544,"AAAAAH9+u3w=")</f>
        <v>#VALUE!</v>
      </c>
      <c r="DV97" t="e">
        <f>AND('Planilla_General_03-12-2012_9_3'!M1544,"AAAAAH9+u30=")</f>
        <v>#VALUE!</v>
      </c>
      <c r="DW97" t="e">
        <f>AND('Planilla_General_03-12-2012_9_3'!N1544,"AAAAAH9+u34=")</f>
        <v>#VALUE!</v>
      </c>
      <c r="DX97" t="e">
        <f>AND('Planilla_General_03-12-2012_9_3'!O1544,"AAAAAH9+u38=")</f>
        <v>#VALUE!</v>
      </c>
      <c r="DY97">
        <f>IF('Planilla_General_03-12-2012_9_3'!1545:1545,"AAAAAH9+u4A=",0)</f>
        <v>0</v>
      </c>
      <c r="DZ97" t="e">
        <f>AND('Planilla_General_03-12-2012_9_3'!A1545,"AAAAAH9+u4E=")</f>
        <v>#VALUE!</v>
      </c>
      <c r="EA97" t="e">
        <f>AND('Planilla_General_03-12-2012_9_3'!B1545,"AAAAAH9+u4I=")</f>
        <v>#VALUE!</v>
      </c>
      <c r="EB97" t="e">
        <f>AND('Planilla_General_03-12-2012_9_3'!C1545,"AAAAAH9+u4M=")</f>
        <v>#VALUE!</v>
      </c>
      <c r="EC97" t="e">
        <f>AND('Planilla_General_03-12-2012_9_3'!D1545,"AAAAAH9+u4Q=")</f>
        <v>#VALUE!</v>
      </c>
      <c r="ED97" t="e">
        <f>AND('Planilla_General_03-12-2012_9_3'!E1545,"AAAAAH9+u4U=")</f>
        <v>#VALUE!</v>
      </c>
      <c r="EE97" t="e">
        <f>AND('Planilla_General_03-12-2012_9_3'!F1545,"AAAAAH9+u4Y=")</f>
        <v>#VALUE!</v>
      </c>
      <c r="EF97" t="e">
        <f>AND('Planilla_General_03-12-2012_9_3'!G1545,"AAAAAH9+u4c=")</f>
        <v>#VALUE!</v>
      </c>
      <c r="EG97" t="e">
        <f>AND('Planilla_General_03-12-2012_9_3'!H1545,"AAAAAH9+u4g=")</f>
        <v>#VALUE!</v>
      </c>
      <c r="EH97" t="e">
        <f>AND('Planilla_General_03-12-2012_9_3'!I1545,"AAAAAH9+u4k=")</f>
        <v>#VALUE!</v>
      </c>
      <c r="EI97" t="e">
        <f>AND('Planilla_General_03-12-2012_9_3'!J1545,"AAAAAH9+u4o=")</f>
        <v>#VALUE!</v>
      </c>
      <c r="EJ97" t="e">
        <f>AND('Planilla_General_03-12-2012_9_3'!K1545,"AAAAAH9+u4s=")</f>
        <v>#VALUE!</v>
      </c>
      <c r="EK97" t="e">
        <f>AND('Planilla_General_03-12-2012_9_3'!L1545,"AAAAAH9+u4w=")</f>
        <v>#VALUE!</v>
      </c>
      <c r="EL97" t="e">
        <f>AND('Planilla_General_03-12-2012_9_3'!M1545,"AAAAAH9+u40=")</f>
        <v>#VALUE!</v>
      </c>
      <c r="EM97" t="e">
        <f>AND('Planilla_General_03-12-2012_9_3'!N1545,"AAAAAH9+u44=")</f>
        <v>#VALUE!</v>
      </c>
      <c r="EN97" t="e">
        <f>AND('Planilla_General_03-12-2012_9_3'!O1545,"AAAAAH9+u48=")</f>
        <v>#VALUE!</v>
      </c>
      <c r="EO97">
        <f>IF('Planilla_General_03-12-2012_9_3'!1546:1546,"AAAAAH9+u5A=",0)</f>
        <v>0</v>
      </c>
      <c r="EP97" t="e">
        <f>AND('Planilla_General_03-12-2012_9_3'!A1546,"AAAAAH9+u5E=")</f>
        <v>#VALUE!</v>
      </c>
      <c r="EQ97" t="e">
        <f>AND('Planilla_General_03-12-2012_9_3'!B1546,"AAAAAH9+u5I=")</f>
        <v>#VALUE!</v>
      </c>
      <c r="ER97" t="e">
        <f>AND('Planilla_General_03-12-2012_9_3'!C1546,"AAAAAH9+u5M=")</f>
        <v>#VALUE!</v>
      </c>
      <c r="ES97" t="e">
        <f>AND('Planilla_General_03-12-2012_9_3'!D1546,"AAAAAH9+u5Q=")</f>
        <v>#VALUE!</v>
      </c>
      <c r="ET97" t="e">
        <f>AND('Planilla_General_03-12-2012_9_3'!E1546,"AAAAAH9+u5U=")</f>
        <v>#VALUE!</v>
      </c>
      <c r="EU97" t="e">
        <f>AND('Planilla_General_03-12-2012_9_3'!F1546,"AAAAAH9+u5Y=")</f>
        <v>#VALUE!</v>
      </c>
      <c r="EV97" t="e">
        <f>AND('Planilla_General_03-12-2012_9_3'!G1546,"AAAAAH9+u5c=")</f>
        <v>#VALUE!</v>
      </c>
      <c r="EW97" t="e">
        <f>AND('Planilla_General_03-12-2012_9_3'!H1546,"AAAAAH9+u5g=")</f>
        <v>#VALUE!</v>
      </c>
      <c r="EX97" t="e">
        <f>AND('Planilla_General_03-12-2012_9_3'!I1546,"AAAAAH9+u5k=")</f>
        <v>#VALUE!</v>
      </c>
      <c r="EY97" t="e">
        <f>AND('Planilla_General_03-12-2012_9_3'!J1546,"AAAAAH9+u5o=")</f>
        <v>#VALUE!</v>
      </c>
      <c r="EZ97" t="e">
        <f>AND('Planilla_General_03-12-2012_9_3'!K1546,"AAAAAH9+u5s=")</f>
        <v>#VALUE!</v>
      </c>
      <c r="FA97" t="e">
        <f>AND('Planilla_General_03-12-2012_9_3'!L1546,"AAAAAH9+u5w=")</f>
        <v>#VALUE!</v>
      </c>
      <c r="FB97" t="e">
        <f>AND('Planilla_General_03-12-2012_9_3'!M1546,"AAAAAH9+u50=")</f>
        <v>#VALUE!</v>
      </c>
      <c r="FC97" t="e">
        <f>AND('Planilla_General_03-12-2012_9_3'!N1546,"AAAAAH9+u54=")</f>
        <v>#VALUE!</v>
      </c>
      <c r="FD97" t="e">
        <f>AND('Planilla_General_03-12-2012_9_3'!O1546,"AAAAAH9+u58=")</f>
        <v>#VALUE!</v>
      </c>
      <c r="FE97">
        <f>IF('Planilla_General_03-12-2012_9_3'!1547:1547,"AAAAAH9+u6A=",0)</f>
        <v>0</v>
      </c>
      <c r="FF97" t="e">
        <f>AND('Planilla_General_03-12-2012_9_3'!A1547,"AAAAAH9+u6E=")</f>
        <v>#VALUE!</v>
      </c>
      <c r="FG97" t="e">
        <f>AND('Planilla_General_03-12-2012_9_3'!B1547,"AAAAAH9+u6I=")</f>
        <v>#VALUE!</v>
      </c>
      <c r="FH97" t="e">
        <f>AND('Planilla_General_03-12-2012_9_3'!C1547,"AAAAAH9+u6M=")</f>
        <v>#VALUE!</v>
      </c>
      <c r="FI97" t="e">
        <f>AND('Planilla_General_03-12-2012_9_3'!D1547,"AAAAAH9+u6Q=")</f>
        <v>#VALUE!</v>
      </c>
      <c r="FJ97" t="e">
        <f>AND('Planilla_General_03-12-2012_9_3'!E1547,"AAAAAH9+u6U=")</f>
        <v>#VALUE!</v>
      </c>
      <c r="FK97" t="e">
        <f>AND('Planilla_General_03-12-2012_9_3'!F1547,"AAAAAH9+u6Y=")</f>
        <v>#VALUE!</v>
      </c>
      <c r="FL97" t="e">
        <f>AND('Planilla_General_03-12-2012_9_3'!G1547,"AAAAAH9+u6c=")</f>
        <v>#VALUE!</v>
      </c>
      <c r="FM97" t="e">
        <f>AND('Planilla_General_03-12-2012_9_3'!H1547,"AAAAAH9+u6g=")</f>
        <v>#VALUE!</v>
      </c>
      <c r="FN97" t="e">
        <f>AND('Planilla_General_03-12-2012_9_3'!I1547,"AAAAAH9+u6k=")</f>
        <v>#VALUE!</v>
      </c>
      <c r="FO97" t="e">
        <f>AND('Planilla_General_03-12-2012_9_3'!J1547,"AAAAAH9+u6o=")</f>
        <v>#VALUE!</v>
      </c>
      <c r="FP97" t="e">
        <f>AND('Planilla_General_03-12-2012_9_3'!K1547,"AAAAAH9+u6s=")</f>
        <v>#VALUE!</v>
      </c>
      <c r="FQ97" t="e">
        <f>AND('Planilla_General_03-12-2012_9_3'!L1547,"AAAAAH9+u6w=")</f>
        <v>#VALUE!</v>
      </c>
      <c r="FR97" t="e">
        <f>AND('Planilla_General_03-12-2012_9_3'!M1547,"AAAAAH9+u60=")</f>
        <v>#VALUE!</v>
      </c>
      <c r="FS97" t="e">
        <f>AND('Planilla_General_03-12-2012_9_3'!N1547,"AAAAAH9+u64=")</f>
        <v>#VALUE!</v>
      </c>
      <c r="FT97" t="e">
        <f>AND('Planilla_General_03-12-2012_9_3'!O1547,"AAAAAH9+u68=")</f>
        <v>#VALUE!</v>
      </c>
      <c r="FU97">
        <f>IF('Planilla_General_03-12-2012_9_3'!1548:1548,"AAAAAH9+u7A=",0)</f>
        <v>0</v>
      </c>
      <c r="FV97" t="e">
        <f>AND('Planilla_General_03-12-2012_9_3'!A1548,"AAAAAH9+u7E=")</f>
        <v>#VALUE!</v>
      </c>
      <c r="FW97" t="e">
        <f>AND('Planilla_General_03-12-2012_9_3'!B1548,"AAAAAH9+u7I=")</f>
        <v>#VALUE!</v>
      </c>
      <c r="FX97" t="e">
        <f>AND('Planilla_General_03-12-2012_9_3'!C1548,"AAAAAH9+u7M=")</f>
        <v>#VALUE!</v>
      </c>
      <c r="FY97" t="e">
        <f>AND('Planilla_General_03-12-2012_9_3'!D1548,"AAAAAH9+u7Q=")</f>
        <v>#VALUE!</v>
      </c>
      <c r="FZ97" t="e">
        <f>AND('Planilla_General_03-12-2012_9_3'!E1548,"AAAAAH9+u7U=")</f>
        <v>#VALUE!</v>
      </c>
      <c r="GA97" t="e">
        <f>AND('Planilla_General_03-12-2012_9_3'!F1548,"AAAAAH9+u7Y=")</f>
        <v>#VALUE!</v>
      </c>
      <c r="GB97" t="e">
        <f>AND('Planilla_General_03-12-2012_9_3'!G1548,"AAAAAH9+u7c=")</f>
        <v>#VALUE!</v>
      </c>
      <c r="GC97" t="e">
        <f>AND('Planilla_General_03-12-2012_9_3'!H1548,"AAAAAH9+u7g=")</f>
        <v>#VALUE!</v>
      </c>
      <c r="GD97" t="e">
        <f>AND('Planilla_General_03-12-2012_9_3'!I1548,"AAAAAH9+u7k=")</f>
        <v>#VALUE!</v>
      </c>
      <c r="GE97" t="e">
        <f>AND('Planilla_General_03-12-2012_9_3'!J1548,"AAAAAH9+u7o=")</f>
        <v>#VALUE!</v>
      </c>
      <c r="GF97" t="e">
        <f>AND('Planilla_General_03-12-2012_9_3'!K1548,"AAAAAH9+u7s=")</f>
        <v>#VALUE!</v>
      </c>
      <c r="GG97" t="e">
        <f>AND('Planilla_General_03-12-2012_9_3'!L1548,"AAAAAH9+u7w=")</f>
        <v>#VALUE!</v>
      </c>
      <c r="GH97" t="e">
        <f>AND('Planilla_General_03-12-2012_9_3'!M1548,"AAAAAH9+u70=")</f>
        <v>#VALUE!</v>
      </c>
      <c r="GI97" t="e">
        <f>AND('Planilla_General_03-12-2012_9_3'!N1548,"AAAAAH9+u74=")</f>
        <v>#VALUE!</v>
      </c>
      <c r="GJ97" t="e">
        <f>AND('Planilla_General_03-12-2012_9_3'!O1548,"AAAAAH9+u78=")</f>
        <v>#VALUE!</v>
      </c>
      <c r="GK97">
        <f>IF('Planilla_General_03-12-2012_9_3'!1549:1549,"AAAAAH9+u8A=",0)</f>
        <v>0</v>
      </c>
      <c r="GL97" t="e">
        <f>AND('Planilla_General_03-12-2012_9_3'!A1549,"AAAAAH9+u8E=")</f>
        <v>#VALUE!</v>
      </c>
      <c r="GM97" t="e">
        <f>AND('Planilla_General_03-12-2012_9_3'!B1549,"AAAAAH9+u8I=")</f>
        <v>#VALUE!</v>
      </c>
      <c r="GN97" t="e">
        <f>AND('Planilla_General_03-12-2012_9_3'!C1549,"AAAAAH9+u8M=")</f>
        <v>#VALUE!</v>
      </c>
      <c r="GO97" t="e">
        <f>AND('Planilla_General_03-12-2012_9_3'!D1549,"AAAAAH9+u8Q=")</f>
        <v>#VALUE!</v>
      </c>
      <c r="GP97" t="e">
        <f>AND('Planilla_General_03-12-2012_9_3'!E1549,"AAAAAH9+u8U=")</f>
        <v>#VALUE!</v>
      </c>
      <c r="GQ97" t="e">
        <f>AND('Planilla_General_03-12-2012_9_3'!F1549,"AAAAAH9+u8Y=")</f>
        <v>#VALUE!</v>
      </c>
      <c r="GR97" t="e">
        <f>AND('Planilla_General_03-12-2012_9_3'!G1549,"AAAAAH9+u8c=")</f>
        <v>#VALUE!</v>
      </c>
      <c r="GS97" t="e">
        <f>AND('Planilla_General_03-12-2012_9_3'!H1549,"AAAAAH9+u8g=")</f>
        <v>#VALUE!</v>
      </c>
      <c r="GT97" t="e">
        <f>AND('Planilla_General_03-12-2012_9_3'!I1549,"AAAAAH9+u8k=")</f>
        <v>#VALUE!</v>
      </c>
      <c r="GU97" t="e">
        <f>AND('Planilla_General_03-12-2012_9_3'!J1549,"AAAAAH9+u8o=")</f>
        <v>#VALUE!</v>
      </c>
      <c r="GV97" t="e">
        <f>AND('Planilla_General_03-12-2012_9_3'!K1549,"AAAAAH9+u8s=")</f>
        <v>#VALUE!</v>
      </c>
      <c r="GW97" t="e">
        <f>AND('Planilla_General_03-12-2012_9_3'!L1549,"AAAAAH9+u8w=")</f>
        <v>#VALUE!</v>
      </c>
      <c r="GX97" t="e">
        <f>AND('Planilla_General_03-12-2012_9_3'!M1549,"AAAAAH9+u80=")</f>
        <v>#VALUE!</v>
      </c>
      <c r="GY97" t="e">
        <f>AND('Planilla_General_03-12-2012_9_3'!N1549,"AAAAAH9+u84=")</f>
        <v>#VALUE!</v>
      </c>
      <c r="GZ97" t="e">
        <f>AND('Planilla_General_03-12-2012_9_3'!O1549,"AAAAAH9+u88=")</f>
        <v>#VALUE!</v>
      </c>
      <c r="HA97">
        <f>IF('Planilla_General_03-12-2012_9_3'!1550:1550,"AAAAAH9+u9A=",0)</f>
        <v>0</v>
      </c>
      <c r="HB97" t="e">
        <f>AND('Planilla_General_03-12-2012_9_3'!A1550,"AAAAAH9+u9E=")</f>
        <v>#VALUE!</v>
      </c>
      <c r="HC97" t="e">
        <f>AND('Planilla_General_03-12-2012_9_3'!B1550,"AAAAAH9+u9I=")</f>
        <v>#VALUE!</v>
      </c>
      <c r="HD97" t="e">
        <f>AND('Planilla_General_03-12-2012_9_3'!C1550,"AAAAAH9+u9M=")</f>
        <v>#VALUE!</v>
      </c>
      <c r="HE97" t="e">
        <f>AND('Planilla_General_03-12-2012_9_3'!D1550,"AAAAAH9+u9Q=")</f>
        <v>#VALUE!</v>
      </c>
      <c r="HF97" t="e">
        <f>AND('Planilla_General_03-12-2012_9_3'!E1550,"AAAAAH9+u9U=")</f>
        <v>#VALUE!</v>
      </c>
      <c r="HG97" t="e">
        <f>AND('Planilla_General_03-12-2012_9_3'!F1550,"AAAAAH9+u9Y=")</f>
        <v>#VALUE!</v>
      </c>
      <c r="HH97" t="e">
        <f>AND('Planilla_General_03-12-2012_9_3'!G1550,"AAAAAH9+u9c=")</f>
        <v>#VALUE!</v>
      </c>
      <c r="HI97" t="e">
        <f>AND('Planilla_General_03-12-2012_9_3'!H1550,"AAAAAH9+u9g=")</f>
        <v>#VALUE!</v>
      </c>
      <c r="HJ97" t="e">
        <f>AND('Planilla_General_03-12-2012_9_3'!I1550,"AAAAAH9+u9k=")</f>
        <v>#VALUE!</v>
      </c>
      <c r="HK97" t="e">
        <f>AND('Planilla_General_03-12-2012_9_3'!J1550,"AAAAAH9+u9o=")</f>
        <v>#VALUE!</v>
      </c>
      <c r="HL97" t="e">
        <f>AND('Planilla_General_03-12-2012_9_3'!K1550,"AAAAAH9+u9s=")</f>
        <v>#VALUE!</v>
      </c>
      <c r="HM97" t="e">
        <f>AND('Planilla_General_03-12-2012_9_3'!L1550,"AAAAAH9+u9w=")</f>
        <v>#VALUE!</v>
      </c>
      <c r="HN97" t="e">
        <f>AND('Planilla_General_03-12-2012_9_3'!M1550,"AAAAAH9+u90=")</f>
        <v>#VALUE!</v>
      </c>
      <c r="HO97" t="e">
        <f>AND('Planilla_General_03-12-2012_9_3'!N1550,"AAAAAH9+u94=")</f>
        <v>#VALUE!</v>
      </c>
      <c r="HP97" t="e">
        <f>AND('Planilla_General_03-12-2012_9_3'!O1550,"AAAAAH9+u98=")</f>
        <v>#VALUE!</v>
      </c>
      <c r="HQ97">
        <f>IF('Planilla_General_03-12-2012_9_3'!1551:1551,"AAAAAH9+u+A=",0)</f>
        <v>0</v>
      </c>
      <c r="HR97" t="e">
        <f>AND('Planilla_General_03-12-2012_9_3'!A1551,"AAAAAH9+u+E=")</f>
        <v>#VALUE!</v>
      </c>
      <c r="HS97" t="e">
        <f>AND('Planilla_General_03-12-2012_9_3'!B1551,"AAAAAH9+u+I=")</f>
        <v>#VALUE!</v>
      </c>
      <c r="HT97" t="e">
        <f>AND('Planilla_General_03-12-2012_9_3'!C1551,"AAAAAH9+u+M=")</f>
        <v>#VALUE!</v>
      </c>
      <c r="HU97" t="e">
        <f>AND('Planilla_General_03-12-2012_9_3'!D1551,"AAAAAH9+u+Q=")</f>
        <v>#VALUE!</v>
      </c>
      <c r="HV97" t="e">
        <f>AND('Planilla_General_03-12-2012_9_3'!E1551,"AAAAAH9+u+U=")</f>
        <v>#VALUE!</v>
      </c>
      <c r="HW97" t="e">
        <f>AND('Planilla_General_03-12-2012_9_3'!F1551,"AAAAAH9+u+Y=")</f>
        <v>#VALUE!</v>
      </c>
      <c r="HX97" t="e">
        <f>AND('Planilla_General_03-12-2012_9_3'!G1551,"AAAAAH9+u+c=")</f>
        <v>#VALUE!</v>
      </c>
      <c r="HY97" t="e">
        <f>AND('Planilla_General_03-12-2012_9_3'!H1551,"AAAAAH9+u+g=")</f>
        <v>#VALUE!</v>
      </c>
      <c r="HZ97" t="e">
        <f>AND('Planilla_General_03-12-2012_9_3'!I1551,"AAAAAH9+u+k=")</f>
        <v>#VALUE!</v>
      </c>
      <c r="IA97" t="e">
        <f>AND('Planilla_General_03-12-2012_9_3'!J1551,"AAAAAH9+u+o=")</f>
        <v>#VALUE!</v>
      </c>
      <c r="IB97" t="e">
        <f>AND('Planilla_General_03-12-2012_9_3'!K1551,"AAAAAH9+u+s=")</f>
        <v>#VALUE!</v>
      </c>
      <c r="IC97" t="e">
        <f>AND('Planilla_General_03-12-2012_9_3'!L1551,"AAAAAH9+u+w=")</f>
        <v>#VALUE!</v>
      </c>
      <c r="ID97" t="e">
        <f>AND('Planilla_General_03-12-2012_9_3'!M1551,"AAAAAH9+u+0=")</f>
        <v>#VALUE!</v>
      </c>
      <c r="IE97" t="e">
        <f>AND('Planilla_General_03-12-2012_9_3'!N1551,"AAAAAH9+u+4=")</f>
        <v>#VALUE!</v>
      </c>
      <c r="IF97" t="e">
        <f>AND('Planilla_General_03-12-2012_9_3'!O1551,"AAAAAH9+u+8=")</f>
        <v>#VALUE!</v>
      </c>
      <c r="IG97">
        <f>IF('Planilla_General_03-12-2012_9_3'!1552:1552,"AAAAAH9+u/A=",0)</f>
        <v>0</v>
      </c>
      <c r="IH97" t="e">
        <f>AND('Planilla_General_03-12-2012_9_3'!A1552,"AAAAAH9+u/E=")</f>
        <v>#VALUE!</v>
      </c>
      <c r="II97" t="e">
        <f>AND('Planilla_General_03-12-2012_9_3'!B1552,"AAAAAH9+u/I=")</f>
        <v>#VALUE!</v>
      </c>
      <c r="IJ97" t="e">
        <f>AND('Planilla_General_03-12-2012_9_3'!C1552,"AAAAAH9+u/M=")</f>
        <v>#VALUE!</v>
      </c>
      <c r="IK97" t="e">
        <f>AND('Planilla_General_03-12-2012_9_3'!D1552,"AAAAAH9+u/Q=")</f>
        <v>#VALUE!</v>
      </c>
      <c r="IL97" t="e">
        <f>AND('Planilla_General_03-12-2012_9_3'!E1552,"AAAAAH9+u/U=")</f>
        <v>#VALUE!</v>
      </c>
      <c r="IM97" t="e">
        <f>AND('Planilla_General_03-12-2012_9_3'!F1552,"AAAAAH9+u/Y=")</f>
        <v>#VALUE!</v>
      </c>
      <c r="IN97" t="e">
        <f>AND('Planilla_General_03-12-2012_9_3'!G1552,"AAAAAH9+u/c=")</f>
        <v>#VALUE!</v>
      </c>
      <c r="IO97" t="e">
        <f>AND('Planilla_General_03-12-2012_9_3'!H1552,"AAAAAH9+u/g=")</f>
        <v>#VALUE!</v>
      </c>
      <c r="IP97" t="e">
        <f>AND('Planilla_General_03-12-2012_9_3'!I1552,"AAAAAH9+u/k=")</f>
        <v>#VALUE!</v>
      </c>
      <c r="IQ97" t="e">
        <f>AND('Planilla_General_03-12-2012_9_3'!J1552,"AAAAAH9+u/o=")</f>
        <v>#VALUE!</v>
      </c>
      <c r="IR97" t="e">
        <f>AND('Planilla_General_03-12-2012_9_3'!K1552,"AAAAAH9+u/s=")</f>
        <v>#VALUE!</v>
      </c>
      <c r="IS97" t="e">
        <f>AND('Planilla_General_03-12-2012_9_3'!L1552,"AAAAAH9+u/w=")</f>
        <v>#VALUE!</v>
      </c>
      <c r="IT97" t="e">
        <f>AND('Planilla_General_03-12-2012_9_3'!M1552,"AAAAAH9+u/0=")</f>
        <v>#VALUE!</v>
      </c>
      <c r="IU97" t="e">
        <f>AND('Planilla_General_03-12-2012_9_3'!N1552,"AAAAAH9+u/4=")</f>
        <v>#VALUE!</v>
      </c>
      <c r="IV97" t="e">
        <f>AND('Planilla_General_03-12-2012_9_3'!O1552,"AAAAAH9+u/8=")</f>
        <v>#VALUE!</v>
      </c>
    </row>
    <row r="98" spans="1:256" x14ac:dyDescent="0.25">
      <c r="A98" t="e">
        <f>IF('Planilla_General_03-12-2012_9_3'!1553:1553,"AAAAAH+99QA=",0)</f>
        <v>#VALUE!</v>
      </c>
      <c r="B98" t="e">
        <f>AND('Planilla_General_03-12-2012_9_3'!A1553,"AAAAAH+99QE=")</f>
        <v>#VALUE!</v>
      </c>
      <c r="C98" t="e">
        <f>AND('Planilla_General_03-12-2012_9_3'!B1553,"AAAAAH+99QI=")</f>
        <v>#VALUE!</v>
      </c>
      <c r="D98" t="e">
        <f>AND('Planilla_General_03-12-2012_9_3'!C1553,"AAAAAH+99QM=")</f>
        <v>#VALUE!</v>
      </c>
      <c r="E98" t="e">
        <f>AND('Planilla_General_03-12-2012_9_3'!D1553,"AAAAAH+99QQ=")</f>
        <v>#VALUE!</v>
      </c>
      <c r="F98" t="e">
        <f>AND('Planilla_General_03-12-2012_9_3'!E1553,"AAAAAH+99QU=")</f>
        <v>#VALUE!</v>
      </c>
      <c r="G98" t="e">
        <f>AND('Planilla_General_03-12-2012_9_3'!F1553,"AAAAAH+99QY=")</f>
        <v>#VALUE!</v>
      </c>
      <c r="H98" t="e">
        <f>AND('Planilla_General_03-12-2012_9_3'!G1553,"AAAAAH+99Qc=")</f>
        <v>#VALUE!</v>
      </c>
      <c r="I98" t="e">
        <f>AND('Planilla_General_03-12-2012_9_3'!H1553,"AAAAAH+99Qg=")</f>
        <v>#VALUE!</v>
      </c>
      <c r="J98" t="e">
        <f>AND('Planilla_General_03-12-2012_9_3'!I1553,"AAAAAH+99Qk=")</f>
        <v>#VALUE!</v>
      </c>
      <c r="K98" t="e">
        <f>AND('Planilla_General_03-12-2012_9_3'!J1553,"AAAAAH+99Qo=")</f>
        <v>#VALUE!</v>
      </c>
      <c r="L98" t="e">
        <f>AND('Planilla_General_03-12-2012_9_3'!K1553,"AAAAAH+99Qs=")</f>
        <v>#VALUE!</v>
      </c>
      <c r="M98" t="e">
        <f>AND('Planilla_General_03-12-2012_9_3'!L1553,"AAAAAH+99Qw=")</f>
        <v>#VALUE!</v>
      </c>
      <c r="N98" t="e">
        <f>AND('Planilla_General_03-12-2012_9_3'!M1553,"AAAAAH+99Q0=")</f>
        <v>#VALUE!</v>
      </c>
      <c r="O98" t="e">
        <f>AND('Planilla_General_03-12-2012_9_3'!N1553,"AAAAAH+99Q4=")</f>
        <v>#VALUE!</v>
      </c>
      <c r="P98" t="e">
        <f>AND('Planilla_General_03-12-2012_9_3'!O1553,"AAAAAH+99Q8=")</f>
        <v>#VALUE!</v>
      </c>
      <c r="Q98">
        <f>IF('Planilla_General_03-12-2012_9_3'!1554:1554,"AAAAAH+99RA=",0)</f>
        <v>0</v>
      </c>
      <c r="R98" t="e">
        <f>AND('Planilla_General_03-12-2012_9_3'!A1554,"AAAAAH+99RE=")</f>
        <v>#VALUE!</v>
      </c>
      <c r="S98" t="e">
        <f>AND('Planilla_General_03-12-2012_9_3'!B1554,"AAAAAH+99RI=")</f>
        <v>#VALUE!</v>
      </c>
      <c r="T98" t="e">
        <f>AND('Planilla_General_03-12-2012_9_3'!C1554,"AAAAAH+99RM=")</f>
        <v>#VALUE!</v>
      </c>
      <c r="U98" t="e">
        <f>AND('Planilla_General_03-12-2012_9_3'!D1554,"AAAAAH+99RQ=")</f>
        <v>#VALUE!</v>
      </c>
      <c r="V98" t="e">
        <f>AND('Planilla_General_03-12-2012_9_3'!E1554,"AAAAAH+99RU=")</f>
        <v>#VALUE!</v>
      </c>
      <c r="W98" t="e">
        <f>AND('Planilla_General_03-12-2012_9_3'!F1554,"AAAAAH+99RY=")</f>
        <v>#VALUE!</v>
      </c>
      <c r="X98" t="e">
        <f>AND('Planilla_General_03-12-2012_9_3'!G1554,"AAAAAH+99Rc=")</f>
        <v>#VALUE!</v>
      </c>
      <c r="Y98" t="e">
        <f>AND('Planilla_General_03-12-2012_9_3'!H1554,"AAAAAH+99Rg=")</f>
        <v>#VALUE!</v>
      </c>
      <c r="Z98" t="e">
        <f>AND('Planilla_General_03-12-2012_9_3'!I1554,"AAAAAH+99Rk=")</f>
        <v>#VALUE!</v>
      </c>
      <c r="AA98" t="e">
        <f>AND('Planilla_General_03-12-2012_9_3'!J1554,"AAAAAH+99Ro=")</f>
        <v>#VALUE!</v>
      </c>
      <c r="AB98" t="e">
        <f>AND('Planilla_General_03-12-2012_9_3'!K1554,"AAAAAH+99Rs=")</f>
        <v>#VALUE!</v>
      </c>
      <c r="AC98" t="e">
        <f>AND('Planilla_General_03-12-2012_9_3'!L1554,"AAAAAH+99Rw=")</f>
        <v>#VALUE!</v>
      </c>
      <c r="AD98" t="e">
        <f>AND('Planilla_General_03-12-2012_9_3'!M1554,"AAAAAH+99R0=")</f>
        <v>#VALUE!</v>
      </c>
      <c r="AE98" t="e">
        <f>AND('Planilla_General_03-12-2012_9_3'!N1554,"AAAAAH+99R4=")</f>
        <v>#VALUE!</v>
      </c>
      <c r="AF98" t="e">
        <f>AND('Planilla_General_03-12-2012_9_3'!O1554,"AAAAAH+99R8=")</f>
        <v>#VALUE!</v>
      </c>
      <c r="AG98">
        <f>IF('Planilla_General_03-12-2012_9_3'!1555:1555,"AAAAAH+99SA=",0)</f>
        <v>0</v>
      </c>
      <c r="AH98" t="e">
        <f>AND('Planilla_General_03-12-2012_9_3'!A1555,"AAAAAH+99SE=")</f>
        <v>#VALUE!</v>
      </c>
      <c r="AI98" t="e">
        <f>AND('Planilla_General_03-12-2012_9_3'!B1555,"AAAAAH+99SI=")</f>
        <v>#VALUE!</v>
      </c>
      <c r="AJ98" t="e">
        <f>AND('Planilla_General_03-12-2012_9_3'!C1555,"AAAAAH+99SM=")</f>
        <v>#VALUE!</v>
      </c>
      <c r="AK98" t="e">
        <f>AND('Planilla_General_03-12-2012_9_3'!D1555,"AAAAAH+99SQ=")</f>
        <v>#VALUE!</v>
      </c>
      <c r="AL98" t="e">
        <f>AND('Planilla_General_03-12-2012_9_3'!E1555,"AAAAAH+99SU=")</f>
        <v>#VALUE!</v>
      </c>
      <c r="AM98" t="e">
        <f>AND('Planilla_General_03-12-2012_9_3'!F1555,"AAAAAH+99SY=")</f>
        <v>#VALUE!</v>
      </c>
      <c r="AN98" t="e">
        <f>AND('Planilla_General_03-12-2012_9_3'!G1555,"AAAAAH+99Sc=")</f>
        <v>#VALUE!</v>
      </c>
      <c r="AO98" t="e">
        <f>AND('Planilla_General_03-12-2012_9_3'!H1555,"AAAAAH+99Sg=")</f>
        <v>#VALUE!</v>
      </c>
      <c r="AP98" t="e">
        <f>AND('Planilla_General_03-12-2012_9_3'!I1555,"AAAAAH+99Sk=")</f>
        <v>#VALUE!</v>
      </c>
      <c r="AQ98" t="e">
        <f>AND('Planilla_General_03-12-2012_9_3'!J1555,"AAAAAH+99So=")</f>
        <v>#VALUE!</v>
      </c>
      <c r="AR98" t="e">
        <f>AND('Planilla_General_03-12-2012_9_3'!K1555,"AAAAAH+99Ss=")</f>
        <v>#VALUE!</v>
      </c>
      <c r="AS98" t="e">
        <f>AND('Planilla_General_03-12-2012_9_3'!L1555,"AAAAAH+99Sw=")</f>
        <v>#VALUE!</v>
      </c>
      <c r="AT98" t="e">
        <f>AND('Planilla_General_03-12-2012_9_3'!M1555,"AAAAAH+99S0=")</f>
        <v>#VALUE!</v>
      </c>
      <c r="AU98" t="e">
        <f>AND('Planilla_General_03-12-2012_9_3'!N1555,"AAAAAH+99S4=")</f>
        <v>#VALUE!</v>
      </c>
      <c r="AV98" t="e">
        <f>AND('Planilla_General_03-12-2012_9_3'!O1555,"AAAAAH+99S8=")</f>
        <v>#VALUE!</v>
      </c>
      <c r="AW98">
        <f>IF('Planilla_General_03-12-2012_9_3'!1556:1556,"AAAAAH+99TA=",0)</f>
        <v>0</v>
      </c>
      <c r="AX98" t="e">
        <f>AND('Planilla_General_03-12-2012_9_3'!A1556,"AAAAAH+99TE=")</f>
        <v>#VALUE!</v>
      </c>
      <c r="AY98" t="e">
        <f>AND('Planilla_General_03-12-2012_9_3'!B1556,"AAAAAH+99TI=")</f>
        <v>#VALUE!</v>
      </c>
      <c r="AZ98" t="e">
        <f>AND('Planilla_General_03-12-2012_9_3'!C1556,"AAAAAH+99TM=")</f>
        <v>#VALUE!</v>
      </c>
      <c r="BA98" t="e">
        <f>AND('Planilla_General_03-12-2012_9_3'!D1556,"AAAAAH+99TQ=")</f>
        <v>#VALUE!</v>
      </c>
      <c r="BB98" t="e">
        <f>AND('Planilla_General_03-12-2012_9_3'!E1556,"AAAAAH+99TU=")</f>
        <v>#VALUE!</v>
      </c>
      <c r="BC98" t="e">
        <f>AND('Planilla_General_03-12-2012_9_3'!F1556,"AAAAAH+99TY=")</f>
        <v>#VALUE!</v>
      </c>
      <c r="BD98" t="e">
        <f>AND('Planilla_General_03-12-2012_9_3'!G1556,"AAAAAH+99Tc=")</f>
        <v>#VALUE!</v>
      </c>
      <c r="BE98" t="e">
        <f>AND('Planilla_General_03-12-2012_9_3'!H1556,"AAAAAH+99Tg=")</f>
        <v>#VALUE!</v>
      </c>
      <c r="BF98" t="e">
        <f>AND('Planilla_General_03-12-2012_9_3'!I1556,"AAAAAH+99Tk=")</f>
        <v>#VALUE!</v>
      </c>
      <c r="BG98" t="e">
        <f>AND('Planilla_General_03-12-2012_9_3'!J1556,"AAAAAH+99To=")</f>
        <v>#VALUE!</v>
      </c>
      <c r="BH98" t="e">
        <f>AND('Planilla_General_03-12-2012_9_3'!K1556,"AAAAAH+99Ts=")</f>
        <v>#VALUE!</v>
      </c>
      <c r="BI98" t="e">
        <f>AND('Planilla_General_03-12-2012_9_3'!L1556,"AAAAAH+99Tw=")</f>
        <v>#VALUE!</v>
      </c>
      <c r="BJ98" t="e">
        <f>AND('Planilla_General_03-12-2012_9_3'!M1556,"AAAAAH+99T0=")</f>
        <v>#VALUE!</v>
      </c>
      <c r="BK98" t="e">
        <f>AND('Planilla_General_03-12-2012_9_3'!N1556,"AAAAAH+99T4=")</f>
        <v>#VALUE!</v>
      </c>
      <c r="BL98" t="e">
        <f>AND('Planilla_General_03-12-2012_9_3'!O1556,"AAAAAH+99T8=")</f>
        <v>#VALUE!</v>
      </c>
      <c r="BM98">
        <f>IF('Planilla_General_03-12-2012_9_3'!1557:1557,"AAAAAH+99UA=",0)</f>
        <v>0</v>
      </c>
      <c r="BN98" t="e">
        <f>AND('Planilla_General_03-12-2012_9_3'!A1557,"AAAAAH+99UE=")</f>
        <v>#VALUE!</v>
      </c>
      <c r="BO98" t="e">
        <f>AND('Planilla_General_03-12-2012_9_3'!B1557,"AAAAAH+99UI=")</f>
        <v>#VALUE!</v>
      </c>
      <c r="BP98" t="e">
        <f>AND('Planilla_General_03-12-2012_9_3'!C1557,"AAAAAH+99UM=")</f>
        <v>#VALUE!</v>
      </c>
      <c r="BQ98" t="e">
        <f>AND('Planilla_General_03-12-2012_9_3'!D1557,"AAAAAH+99UQ=")</f>
        <v>#VALUE!</v>
      </c>
      <c r="BR98" t="e">
        <f>AND('Planilla_General_03-12-2012_9_3'!E1557,"AAAAAH+99UU=")</f>
        <v>#VALUE!</v>
      </c>
      <c r="BS98" t="e">
        <f>AND('Planilla_General_03-12-2012_9_3'!F1557,"AAAAAH+99UY=")</f>
        <v>#VALUE!</v>
      </c>
      <c r="BT98" t="e">
        <f>AND('Planilla_General_03-12-2012_9_3'!G1557,"AAAAAH+99Uc=")</f>
        <v>#VALUE!</v>
      </c>
      <c r="BU98" t="e">
        <f>AND('Planilla_General_03-12-2012_9_3'!H1557,"AAAAAH+99Ug=")</f>
        <v>#VALUE!</v>
      </c>
      <c r="BV98" t="e">
        <f>AND('Planilla_General_03-12-2012_9_3'!I1557,"AAAAAH+99Uk=")</f>
        <v>#VALUE!</v>
      </c>
      <c r="BW98" t="e">
        <f>AND('Planilla_General_03-12-2012_9_3'!J1557,"AAAAAH+99Uo=")</f>
        <v>#VALUE!</v>
      </c>
      <c r="BX98" t="e">
        <f>AND('Planilla_General_03-12-2012_9_3'!K1557,"AAAAAH+99Us=")</f>
        <v>#VALUE!</v>
      </c>
      <c r="BY98" t="e">
        <f>AND('Planilla_General_03-12-2012_9_3'!L1557,"AAAAAH+99Uw=")</f>
        <v>#VALUE!</v>
      </c>
      <c r="BZ98" t="e">
        <f>AND('Planilla_General_03-12-2012_9_3'!M1557,"AAAAAH+99U0=")</f>
        <v>#VALUE!</v>
      </c>
      <c r="CA98" t="e">
        <f>AND('Planilla_General_03-12-2012_9_3'!N1557,"AAAAAH+99U4=")</f>
        <v>#VALUE!</v>
      </c>
      <c r="CB98" t="e">
        <f>AND('Planilla_General_03-12-2012_9_3'!O1557,"AAAAAH+99U8=")</f>
        <v>#VALUE!</v>
      </c>
      <c r="CC98">
        <f>IF('Planilla_General_03-12-2012_9_3'!1558:1558,"AAAAAH+99VA=",0)</f>
        <v>0</v>
      </c>
      <c r="CD98" t="e">
        <f>AND('Planilla_General_03-12-2012_9_3'!A1558,"AAAAAH+99VE=")</f>
        <v>#VALUE!</v>
      </c>
      <c r="CE98" t="e">
        <f>AND('Planilla_General_03-12-2012_9_3'!B1558,"AAAAAH+99VI=")</f>
        <v>#VALUE!</v>
      </c>
      <c r="CF98" t="e">
        <f>AND('Planilla_General_03-12-2012_9_3'!C1558,"AAAAAH+99VM=")</f>
        <v>#VALUE!</v>
      </c>
      <c r="CG98" t="e">
        <f>AND('Planilla_General_03-12-2012_9_3'!D1558,"AAAAAH+99VQ=")</f>
        <v>#VALUE!</v>
      </c>
      <c r="CH98" t="e">
        <f>AND('Planilla_General_03-12-2012_9_3'!E1558,"AAAAAH+99VU=")</f>
        <v>#VALUE!</v>
      </c>
      <c r="CI98" t="e">
        <f>AND('Planilla_General_03-12-2012_9_3'!F1558,"AAAAAH+99VY=")</f>
        <v>#VALUE!</v>
      </c>
      <c r="CJ98" t="e">
        <f>AND('Planilla_General_03-12-2012_9_3'!G1558,"AAAAAH+99Vc=")</f>
        <v>#VALUE!</v>
      </c>
      <c r="CK98" t="e">
        <f>AND('Planilla_General_03-12-2012_9_3'!H1558,"AAAAAH+99Vg=")</f>
        <v>#VALUE!</v>
      </c>
      <c r="CL98" t="e">
        <f>AND('Planilla_General_03-12-2012_9_3'!I1558,"AAAAAH+99Vk=")</f>
        <v>#VALUE!</v>
      </c>
      <c r="CM98" t="e">
        <f>AND('Planilla_General_03-12-2012_9_3'!J1558,"AAAAAH+99Vo=")</f>
        <v>#VALUE!</v>
      </c>
      <c r="CN98" t="e">
        <f>AND('Planilla_General_03-12-2012_9_3'!K1558,"AAAAAH+99Vs=")</f>
        <v>#VALUE!</v>
      </c>
      <c r="CO98" t="e">
        <f>AND('Planilla_General_03-12-2012_9_3'!L1558,"AAAAAH+99Vw=")</f>
        <v>#VALUE!</v>
      </c>
      <c r="CP98" t="e">
        <f>AND('Planilla_General_03-12-2012_9_3'!M1558,"AAAAAH+99V0=")</f>
        <v>#VALUE!</v>
      </c>
      <c r="CQ98" t="e">
        <f>AND('Planilla_General_03-12-2012_9_3'!N1558,"AAAAAH+99V4=")</f>
        <v>#VALUE!</v>
      </c>
      <c r="CR98" t="e">
        <f>AND('Planilla_General_03-12-2012_9_3'!O1558,"AAAAAH+99V8=")</f>
        <v>#VALUE!</v>
      </c>
      <c r="CS98">
        <f>IF('Planilla_General_03-12-2012_9_3'!1559:1559,"AAAAAH+99WA=",0)</f>
        <v>0</v>
      </c>
      <c r="CT98" t="e">
        <f>AND('Planilla_General_03-12-2012_9_3'!A1559,"AAAAAH+99WE=")</f>
        <v>#VALUE!</v>
      </c>
      <c r="CU98" t="e">
        <f>AND('Planilla_General_03-12-2012_9_3'!B1559,"AAAAAH+99WI=")</f>
        <v>#VALUE!</v>
      </c>
      <c r="CV98" t="e">
        <f>AND('Planilla_General_03-12-2012_9_3'!C1559,"AAAAAH+99WM=")</f>
        <v>#VALUE!</v>
      </c>
      <c r="CW98" t="e">
        <f>AND('Planilla_General_03-12-2012_9_3'!D1559,"AAAAAH+99WQ=")</f>
        <v>#VALUE!</v>
      </c>
      <c r="CX98" t="e">
        <f>AND('Planilla_General_03-12-2012_9_3'!E1559,"AAAAAH+99WU=")</f>
        <v>#VALUE!</v>
      </c>
      <c r="CY98" t="e">
        <f>AND('Planilla_General_03-12-2012_9_3'!F1559,"AAAAAH+99WY=")</f>
        <v>#VALUE!</v>
      </c>
      <c r="CZ98" t="e">
        <f>AND('Planilla_General_03-12-2012_9_3'!G1559,"AAAAAH+99Wc=")</f>
        <v>#VALUE!</v>
      </c>
      <c r="DA98" t="e">
        <f>AND('Planilla_General_03-12-2012_9_3'!H1559,"AAAAAH+99Wg=")</f>
        <v>#VALUE!</v>
      </c>
      <c r="DB98" t="e">
        <f>AND('Planilla_General_03-12-2012_9_3'!I1559,"AAAAAH+99Wk=")</f>
        <v>#VALUE!</v>
      </c>
      <c r="DC98" t="e">
        <f>AND('Planilla_General_03-12-2012_9_3'!J1559,"AAAAAH+99Wo=")</f>
        <v>#VALUE!</v>
      </c>
      <c r="DD98" t="e">
        <f>AND('Planilla_General_03-12-2012_9_3'!K1559,"AAAAAH+99Ws=")</f>
        <v>#VALUE!</v>
      </c>
      <c r="DE98" t="e">
        <f>AND('Planilla_General_03-12-2012_9_3'!L1559,"AAAAAH+99Ww=")</f>
        <v>#VALUE!</v>
      </c>
      <c r="DF98" t="e">
        <f>AND('Planilla_General_03-12-2012_9_3'!M1559,"AAAAAH+99W0=")</f>
        <v>#VALUE!</v>
      </c>
      <c r="DG98" t="e">
        <f>AND('Planilla_General_03-12-2012_9_3'!N1559,"AAAAAH+99W4=")</f>
        <v>#VALUE!</v>
      </c>
      <c r="DH98" t="e">
        <f>AND('Planilla_General_03-12-2012_9_3'!O1559,"AAAAAH+99W8=")</f>
        <v>#VALUE!</v>
      </c>
      <c r="DI98">
        <f>IF('Planilla_General_03-12-2012_9_3'!1560:1560,"AAAAAH+99XA=",0)</f>
        <v>0</v>
      </c>
      <c r="DJ98" t="e">
        <f>AND('Planilla_General_03-12-2012_9_3'!A1560,"AAAAAH+99XE=")</f>
        <v>#VALUE!</v>
      </c>
      <c r="DK98" t="e">
        <f>AND('Planilla_General_03-12-2012_9_3'!B1560,"AAAAAH+99XI=")</f>
        <v>#VALUE!</v>
      </c>
      <c r="DL98" t="e">
        <f>AND('Planilla_General_03-12-2012_9_3'!C1560,"AAAAAH+99XM=")</f>
        <v>#VALUE!</v>
      </c>
      <c r="DM98" t="e">
        <f>AND('Planilla_General_03-12-2012_9_3'!D1560,"AAAAAH+99XQ=")</f>
        <v>#VALUE!</v>
      </c>
      <c r="DN98" t="e">
        <f>AND('Planilla_General_03-12-2012_9_3'!E1560,"AAAAAH+99XU=")</f>
        <v>#VALUE!</v>
      </c>
      <c r="DO98" t="e">
        <f>AND('Planilla_General_03-12-2012_9_3'!F1560,"AAAAAH+99XY=")</f>
        <v>#VALUE!</v>
      </c>
      <c r="DP98" t="e">
        <f>AND('Planilla_General_03-12-2012_9_3'!G1560,"AAAAAH+99Xc=")</f>
        <v>#VALUE!</v>
      </c>
      <c r="DQ98" t="e">
        <f>AND('Planilla_General_03-12-2012_9_3'!H1560,"AAAAAH+99Xg=")</f>
        <v>#VALUE!</v>
      </c>
      <c r="DR98" t="e">
        <f>AND('Planilla_General_03-12-2012_9_3'!I1560,"AAAAAH+99Xk=")</f>
        <v>#VALUE!</v>
      </c>
      <c r="DS98" t="e">
        <f>AND('Planilla_General_03-12-2012_9_3'!J1560,"AAAAAH+99Xo=")</f>
        <v>#VALUE!</v>
      </c>
      <c r="DT98" t="e">
        <f>AND('Planilla_General_03-12-2012_9_3'!K1560,"AAAAAH+99Xs=")</f>
        <v>#VALUE!</v>
      </c>
      <c r="DU98" t="e">
        <f>AND('Planilla_General_03-12-2012_9_3'!L1560,"AAAAAH+99Xw=")</f>
        <v>#VALUE!</v>
      </c>
      <c r="DV98" t="e">
        <f>AND('Planilla_General_03-12-2012_9_3'!M1560,"AAAAAH+99X0=")</f>
        <v>#VALUE!</v>
      </c>
      <c r="DW98" t="e">
        <f>AND('Planilla_General_03-12-2012_9_3'!N1560,"AAAAAH+99X4=")</f>
        <v>#VALUE!</v>
      </c>
      <c r="DX98" t="e">
        <f>AND('Planilla_General_03-12-2012_9_3'!O1560,"AAAAAH+99X8=")</f>
        <v>#VALUE!</v>
      </c>
      <c r="DY98">
        <f>IF('Planilla_General_03-12-2012_9_3'!1561:1561,"AAAAAH+99YA=",0)</f>
        <v>0</v>
      </c>
      <c r="DZ98" t="e">
        <f>AND('Planilla_General_03-12-2012_9_3'!A1561,"AAAAAH+99YE=")</f>
        <v>#VALUE!</v>
      </c>
      <c r="EA98" t="e">
        <f>AND('Planilla_General_03-12-2012_9_3'!B1561,"AAAAAH+99YI=")</f>
        <v>#VALUE!</v>
      </c>
      <c r="EB98" t="e">
        <f>AND('Planilla_General_03-12-2012_9_3'!C1561,"AAAAAH+99YM=")</f>
        <v>#VALUE!</v>
      </c>
      <c r="EC98" t="e">
        <f>AND('Planilla_General_03-12-2012_9_3'!D1561,"AAAAAH+99YQ=")</f>
        <v>#VALUE!</v>
      </c>
      <c r="ED98" t="e">
        <f>AND('Planilla_General_03-12-2012_9_3'!E1561,"AAAAAH+99YU=")</f>
        <v>#VALUE!</v>
      </c>
      <c r="EE98" t="e">
        <f>AND('Planilla_General_03-12-2012_9_3'!F1561,"AAAAAH+99YY=")</f>
        <v>#VALUE!</v>
      </c>
      <c r="EF98" t="e">
        <f>AND('Planilla_General_03-12-2012_9_3'!G1561,"AAAAAH+99Yc=")</f>
        <v>#VALUE!</v>
      </c>
      <c r="EG98" t="e">
        <f>AND('Planilla_General_03-12-2012_9_3'!H1561,"AAAAAH+99Yg=")</f>
        <v>#VALUE!</v>
      </c>
      <c r="EH98" t="e">
        <f>AND('Planilla_General_03-12-2012_9_3'!I1561,"AAAAAH+99Yk=")</f>
        <v>#VALUE!</v>
      </c>
      <c r="EI98" t="e">
        <f>AND('Planilla_General_03-12-2012_9_3'!J1561,"AAAAAH+99Yo=")</f>
        <v>#VALUE!</v>
      </c>
      <c r="EJ98" t="e">
        <f>AND('Planilla_General_03-12-2012_9_3'!K1561,"AAAAAH+99Ys=")</f>
        <v>#VALUE!</v>
      </c>
      <c r="EK98" t="e">
        <f>AND('Planilla_General_03-12-2012_9_3'!L1561,"AAAAAH+99Yw=")</f>
        <v>#VALUE!</v>
      </c>
      <c r="EL98" t="e">
        <f>AND('Planilla_General_03-12-2012_9_3'!M1561,"AAAAAH+99Y0=")</f>
        <v>#VALUE!</v>
      </c>
      <c r="EM98" t="e">
        <f>AND('Planilla_General_03-12-2012_9_3'!N1561,"AAAAAH+99Y4=")</f>
        <v>#VALUE!</v>
      </c>
      <c r="EN98" t="e">
        <f>AND('Planilla_General_03-12-2012_9_3'!O1561,"AAAAAH+99Y8=")</f>
        <v>#VALUE!</v>
      </c>
      <c r="EO98">
        <f>IF('Planilla_General_03-12-2012_9_3'!1562:1562,"AAAAAH+99ZA=",0)</f>
        <v>0</v>
      </c>
      <c r="EP98" t="e">
        <f>AND('Planilla_General_03-12-2012_9_3'!A1562,"AAAAAH+99ZE=")</f>
        <v>#VALUE!</v>
      </c>
      <c r="EQ98" t="e">
        <f>AND('Planilla_General_03-12-2012_9_3'!B1562,"AAAAAH+99ZI=")</f>
        <v>#VALUE!</v>
      </c>
      <c r="ER98" t="e">
        <f>AND('Planilla_General_03-12-2012_9_3'!C1562,"AAAAAH+99ZM=")</f>
        <v>#VALUE!</v>
      </c>
      <c r="ES98" t="e">
        <f>AND('Planilla_General_03-12-2012_9_3'!D1562,"AAAAAH+99ZQ=")</f>
        <v>#VALUE!</v>
      </c>
      <c r="ET98" t="e">
        <f>AND('Planilla_General_03-12-2012_9_3'!E1562,"AAAAAH+99ZU=")</f>
        <v>#VALUE!</v>
      </c>
      <c r="EU98" t="e">
        <f>AND('Planilla_General_03-12-2012_9_3'!F1562,"AAAAAH+99ZY=")</f>
        <v>#VALUE!</v>
      </c>
      <c r="EV98" t="e">
        <f>AND('Planilla_General_03-12-2012_9_3'!G1562,"AAAAAH+99Zc=")</f>
        <v>#VALUE!</v>
      </c>
      <c r="EW98" t="e">
        <f>AND('Planilla_General_03-12-2012_9_3'!H1562,"AAAAAH+99Zg=")</f>
        <v>#VALUE!</v>
      </c>
      <c r="EX98" t="e">
        <f>AND('Planilla_General_03-12-2012_9_3'!I1562,"AAAAAH+99Zk=")</f>
        <v>#VALUE!</v>
      </c>
      <c r="EY98" t="e">
        <f>AND('Planilla_General_03-12-2012_9_3'!J1562,"AAAAAH+99Zo=")</f>
        <v>#VALUE!</v>
      </c>
      <c r="EZ98" t="e">
        <f>AND('Planilla_General_03-12-2012_9_3'!K1562,"AAAAAH+99Zs=")</f>
        <v>#VALUE!</v>
      </c>
      <c r="FA98" t="e">
        <f>AND('Planilla_General_03-12-2012_9_3'!L1562,"AAAAAH+99Zw=")</f>
        <v>#VALUE!</v>
      </c>
      <c r="FB98" t="e">
        <f>AND('Planilla_General_03-12-2012_9_3'!M1562,"AAAAAH+99Z0=")</f>
        <v>#VALUE!</v>
      </c>
      <c r="FC98" t="e">
        <f>AND('Planilla_General_03-12-2012_9_3'!N1562,"AAAAAH+99Z4=")</f>
        <v>#VALUE!</v>
      </c>
      <c r="FD98" t="e">
        <f>AND('Planilla_General_03-12-2012_9_3'!O1562,"AAAAAH+99Z8=")</f>
        <v>#VALUE!</v>
      </c>
      <c r="FE98">
        <f>IF('Planilla_General_03-12-2012_9_3'!1563:1563,"AAAAAH+99aA=",0)</f>
        <v>0</v>
      </c>
      <c r="FF98" t="e">
        <f>AND('Planilla_General_03-12-2012_9_3'!A1563,"AAAAAH+99aE=")</f>
        <v>#VALUE!</v>
      </c>
      <c r="FG98" t="e">
        <f>AND('Planilla_General_03-12-2012_9_3'!B1563,"AAAAAH+99aI=")</f>
        <v>#VALUE!</v>
      </c>
      <c r="FH98" t="e">
        <f>AND('Planilla_General_03-12-2012_9_3'!C1563,"AAAAAH+99aM=")</f>
        <v>#VALUE!</v>
      </c>
      <c r="FI98" t="e">
        <f>AND('Planilla_General_03-12-2012_9_3'!D1563,"AAAAAH+99aQ=")</f>
        <v>#VALUE!</v>
      </c>
      <c r="FJ98" t="e">
        <f>AND('Planilla_General_03-12-2012_9_3'!E1563,"AAAAAH+99aU=")</f>
        <v>#VALUE!</v>
      </c>
      <c r="FK98" t="e">
        <f>AND('Planilla_General_03-12-2012_9_3'!F1563,"AAAAAH+99aY=")</f>
        <v>#VALUE!</v>
      </c>
      <c r="FL98" t="e">
        <f>AND('Planilla_General_03-12-2012_9_3'!G1563,"AAAAAH+99ac=")</f>
        <v>#VALUE!</v>
      </c>
      <c r="FM98" t="e">
        <f>AND('Planilla_General_03-12-2012_9_3'!H1563,"AAAAAH+99ag=")</f>
        <v>#VALUE!</v>
      </c>
      <c r="FN98" t="e">
        <f>AND('Planilla_General_03-12-2012_9_3'!I1563,"AAAAAH+99ak=")</f>
        <v>#VALUE!</v>
      </c>
      <c r="FO98" t="e">
        <f>AND('Planilla_General_03-12-2012_9_3'!J1563,"AAAAAH+99ao=")</f>
        <v>#VALUE!</v>
      </c>
      <c r="FP98" t="e">
        <f>AND('Planilla_General_03-12-2012_9_3'!K1563,"AAAAAH+99as=")</f>
        <v>#VALUE!</v>
      </c>
      <c r="FQ98" t="e">
        <f>AND('Planilla_General_03-12-2012_9_3'!L1563,"AAAAAH+99aw=")</f>
        <v>#VALUE!</v>
      </c>
      <c r="FR98" t="e">
        <f>AND('Planilla_General_03-12-2012_9_3'!M1563,"AAAAAH+99a0=")</f>
        <v>#VALUE!</v>
      </c>
      <c r="FS98" t="e">
        <f>AND('Planilla_General_03-12-2012_9_3'!N1563,"AAAAAH+99a4=")</f>
        <v>#VALUE!</v>
      </c>
      <c r="FT98" t="e">
        <f>AND('Planilla_General_03-12-2012_9_3'!O1563,"AAAAAH+99a8=")</f>
        <v>#VALUE!</v>
      </c>
      <c r="FU98">
        <f>IF('Planilla_General_03-12-2012_9_3'!1564:1564,"AAAAAH+99bA=",0)</f>
        <v>0</v>
      </c>
      <c r="FV98" t="e">
        <f>AND('Planilla_General_03-12-2012_9_3'!A1564,"AAAAAH+99bE=")</f>
        <v>#VALUE!</v>
      </c>
      <c r="FW98" t="e">
        <f>AND('Planilla_General_03-12-2012_9_3'!B1564,"AAAAAH+99bI=")</f>
        <v>#VALUE!</v>
      </c>
      <c r="FX98" t="e">
        <f>AND('Planilla_General_03-12-2012_9_3'!C1564,"AAAAAH+99bM=")</f>
        <v>#VALUE!</v>
      </c>
      <c r="FY98" t="e">
        <f>AND('Planilla_General_03-12-2012_9_3'!D1564,"AAAAAH+99bQ=")</f>
        <v>#VALUE!</v>
      </c>
      <c r="FZ98" t="e">
        <f>AND('Planilla_General_03-12-2012_9_3'!E1564,"AAAAAH+99bU=")</f>
        <v>#VALUE!</v>
      </c>
      <c r="GA98" t="e">
        <f>AND('Planilla_General_03-12-2012_9_3'!F1564,"AAAAAH+99bY=")</f>
        <v>#VALUE!</v>
      </c>
      <c r="GB98" t="e">
        <f>AND('Planilla_General_03-12-2012_9_3'!G1564,"AAAAAH+99bc=")</f>
        <v>#VALUE!</v>
      </c>
      <c r="GC98" t="e">
        <f>AND('Planilla_General_03-12-2012_9_3'!H1564,"AAAAAH+99bg=")</f>
        <v>#VALUE!</v>
      </c>
      <c r="GD98" t="e">
        <f>AND('Planilla_General_03-12-2012_9_3'!I1564,"AAAAAH+99bk=")</f>
        <v>#VALUE!</v>
      </c>
      <c r="GE98" t="e">
        <f>AND('Planilla_General_03-12-2012_9_3'!J1564,"AAAAAH+99bo=")</f>
        <v>#VALUE!</v>
      </c>
      <c r="GF98" t="e">
        <f>AND('Planilla_General_03-12-2012_9_3'!K1564,"AAAAAH+99bs=")</f>
        <v>#VALUE!</v>
      </c>
      <c r="GG98" t="e">
        <f>AND('Planilla_General_03-12-2012_9_3'!L1564,"AAAAAH+99bw=")</f>
        <v>#VALUE!</v>
      </c>
      <c r="GH98" t="e">
        <f>AND('Planilla_General_03-12-2012_9_3'!M1564,"AAAAAH+99b0=")</f>
        <v>#VALUE!</v>
      </c>
      <c r="GI98" t="e">
        <f>AND('Planilla_General_03-12-2012_9_3'!N1564,"AAAAAH+99b4=")</f>
        <v>#VALUE!</v>
      </c>
      <c r="GJ98" t="e">
        <f>AND('Planilla_General_03-12-2012_9_3'!O1564,"AAAAAH+99b8=")</f>
        <v>#VALUE!</v>
      </c>
      <c r="GK98">
        <f>IF('Planilla_General_03-12-2012_9_3'!1565:1565,"AAAAAH+99cA=",0)</f>
        <v>0</v>
      </c>
      <c r="GL98" t="e">
        <f>AND('Planilla_General_03-12-2012_9_3'!A1565,"AAAAAH+99cE=")</f>
        <v>#VALUE!</v>
      </c>
      <c r="GM98" t="e">
        <f>AND('Planilla_General_03-12-2012_9_3'!B1565,"AAAAAH+99cI=")</f>
        <v>#VALUE!</v>
      </c>
      <c r="GN98" t="e">
        <f>AND('Planilla_General_03-12-2012_9_3'!C1565,"AAAAAH+99cM=")</f>
        <v>#VALUE!</v>
      </c>
      <c r="GO98" t="e">
        <f>AND('Planilla_General_03-12-2012_9_3'!D1565,"AAAAAH+99cQ=")</f>
        <v>#VALUE!</v>
      </c>
      <c r="GP98" t="e">
        <f>AND('Planilla_General_03-12-2012_9_3'!E1565,"AAAAAH+99cU=")</f>
        <v>#VALUE!</v>
      </c>
      <c r="GQ98" t="e">
        <f>AND('Planilla_General_03-12-2012_9_3'!F1565,"AAAAAH+99cY=")</f>
        <v>#VALUE!</v>
      </c>
      <c r="GR98" t="e">
        <f>AND('Planilla_General_03-12-2012_9_3'!G1565,"AAAAAH+99cc=")</f>
        <v>#VALUE!</v>
      </c>
      <c r="GS98" t="e">
        <f>AND('Planilla_General_03-12-2012_9_3'!H1565,"AAAAAH+99cg=")</f>
        <v>#VALUE!</v>
      </c>
      <c r="GT98" t="e">
        <f>AND('Planilla_General_03-12-2012_9_3'!I1565,"AAAAAH+99ck=")</f>
        <v>#VALUE!</v>
      </c>
      <c r="GU98" t="e">
        <f>AND('Planilla_General_03-12-2012_9_3'!J1565,"AAAAAH+99co=")</f>
        <v>#VALUE!</v>
      </c>
      <c r="GV98" t="e">
        <f>AND('Planilla_General_03-12-2012_9_3'!K1565,"AAAAAH+99cs=")</f>
        <v>#VALUE!</v>
      </c>
      <c r="GW98" t="e">
        <f>AND('Planilla_General_03-12-2012_9_3'!L1565,"AAAAAH+99cw=")</f>
        <v>#VALUE!</v>
      </c>
      <c r="GX98" t="e">
        <f>AND('Planilla_General_03-12-2012_9_3'!M1565,"AAAAAH+99c0=")</f>
        <v>#VALUE!</v>
      </c>
      <c r="GY98" t="e">
        <f>AND('Planilla_General_03-12-2012_9_3'!N1565,"AAAAAH+99c4=")</f>
        <v>#VALUE!</v>
      </c>
      <c r="GZ98" t="e">
        <f>AND('Planilla_General_03-12-2012_9_3'!O1565,"AAAAAH+99c8=")</f>
        <v>#VALUE!</v>
      </c>
      <c r="HA98">
        <f>IF('Planilla_General_03-12-2012_9_3'!1566:1566,"AAAAAH+99dA=",0)</f>
        <v>0</v>
      </c>
      <c r="HB98" t="e">
        <f>AND('Planilla_General_03-12-2012_9_3'!A1566,"AAAAAH+99dE=")</f>
        <v>#VALUE!</v>
      </c>
      <c r="HC98" t="e">
        <f>AND('Planilla_General_03-12-2012_9_3'!B1566,"AAAAAH+99dI=")</f>
        <v>#VALUE!</v>
      </c>
      <c r="HD98" t="e">
        <f>AND('Planilla_General_03-12-2012_9_3'!C1566,"AAAAAH+99dM=")</f>
        <v>#VALUE!</v>
      </c>
      <c r="HE98" t="e">
        <f>AND('Planilla_General_03-12-2012_9_3'!D1566,"AAAAAH+99dQ=")</f>
        <v>#VALUE!</v>
      </c>
      <c r="HF98" t="e">
        <f>AND('Planilla_General_03-12-2012_9_3'!E1566,"AAAAAH+99dU=")</f>
        <v>#VALUE!</v>
      </c>
      <c r="HG98" t="e">
        <f>AND('Planilla_General_03-12-2012_9_3'!F1566,"AAAAAH+99dY=")</f>
        <v>#VALUE!</v>
      </c>
      <c r="HH98" t="e">
        <f>AND('Planilla_General_03-12-2012_9_3'!G1566,"AAAAAH+99dc=")</f>
        <v>#VALUE!</v>
      </c>
      <c r="HI98" t="e">
        <f>AND('Planilla_General_03-12-2012_9_3'!H1566,"AAAAAH+99dg=")</f>
        <v>#VALUE!</v>
      </c>
      <c r="HJ98" t="e">
        <f>AND('Planilla_General_03-12-2012_9_3'!I1566,"AAAAAH+99dk=")</f>
        <v>#VALUE!</v>
      </c>
      <c r="HK98" t="e">
        <f>AND('Planilla_General_03-12-2012_9_3'!J1566,"AAAAAH+99do=")</f>
        <v>#VALUE!</v>
      </c>
      <c r="HL98" t="e">
        <f>AND('Planilla_General_03-12-2012_9_3'!K1566,"AAAAAH+99ds=")</f>
        <v>#VALUE!</v>
      </c>
      <c r="HM98" t="e">
        <f>AND('Planilla_General_03-12-2012_9_3'!L1566,"AAAAAH+99dw=")</f>
        <v>#VALUE!</v>
      </c>
      <c r="HN98" t="e">
        <f>AND('Planilla_General_03-12-2012_9_3'!M1566,"AAAAAH+99d0=")</f>
        <v>#VALUE!</v>
      </c>
      <c r="HO98" t="e">
        <f>AND('Planilla_General_03-12-2012_9_3'!N1566,"AAAAAH+99d4=")</f>
        <v>#VALUE!</v>
      </c>
      <c r="HP98" t="e">
        <f>AND('Planilla_General_03-12-2012_9_3'!O1566,"AAAAAH+99d8=")</f>
        <v>#VALUE!</v>
      </c>
      <c r="HQ98">
        <f>IF('Planilla_General_03-12-2012_9_3'!1567:1567,"AAAAAH+99eA=",0)</f>
        <v>0</v>
      </c>
      <c r="HR98" t="e">
        <f>AND('Planilla_General_03-12-2012_9_3'!A1567,"AAAAAH+99eE=")</f>
        <v>#VALUE!</v>
      </c>
      <c r="HS98" t="e">
        <f>AND('Planilla_General_03-12-2012_9_3'!B1567,"AAAAAH+99eI=")</f>
        <v>#VALUE!</v>
      </c>
      <c r="HT98" t="e">
        <f>AND('Planilla_General_03-12-2012_9_3'!C1567,"AAAAAH+99eM=")</f>
        <v>#VALUE!</v>
      </c>
      <c r="HU98" t="e">
        <f>AND('Planilla_General_03-12-2012_9_3'!D1567,"AAAAAH+99eQ=")</f>
        <v>#VALUE!</v>
      </c>
      <c r="HV98" t="e">
        <f>AND('Planilla_General_03-12-2012_9_3'!E1567,"AAAAAH+99eU=")</f>
        <v>#VALUE!</v>
      </c>
      <c r="HW98" t="e">
        <f>AND('Planilla_General_03-12-2012_9_3'!F1567,"AAAAAH+99eY=")</f>
        <v>#VALUE!</v>
      </c>
      <c r="HX98" t="e">
        <f>AND('Planilla_General_03-12-2012_9_3'!G1567,"AAAAAH+99ec=")</f>
        <v>#VALUE!</v>
      </c>
      <c r="HY98" t="e">
        <f>AND('Planilla_General_03-12-2012_9_3'!H1567,"AAAAAH+99eg=")</f>
        <v>#VALUE!</v>
      </c>
      <c r="HZ98" t="e">
        <f>AND('Planilla_General_03-12-2012_9_3'!I1567,"AAAAAH+99ek=")</f>
        <v>#VALUE!</v>
      </c>
      <c r="IA98" t="e">
        <f>AND('Planilla_General_03-12-2012_9_3'!J1567,"AAAAAH+99eo=")</f>
        <v>#VALUE!</v>
      </c>
      <c r="IB98" t="e">
        <f>AND('Planilla_General_03-12-2012_9_3'!K1567,"AAAAAH+99es=")</f>
        <v>#VALUE!</v>
      </c>
      <c r="IC98" t="e">
        <f>AND('Planilla_General_03-12-2012_9_3'!L1567,"AAAAAH+99ew=")</f>
        <v>#VALUE!</v>
      </c>
      <c r="ID98" t="e">
        <f>AND('Planilla_General_03-12-2012_9_3'!M1567,"AAAAAH+99e0=")</f>
        <v>#VALUE!</v>
      </c>
      <c r="IE98" t="e">
        <f>AND('Planilla_General_03-12-2012_9_3'!N1567,"AAAAAH+99e4=")</f>
        <v>#VALUE!</v>
      </c>
      <c r="IF98" t="e">
        <f>AND('Planilla_General_03-12-2012_9_3'!O1567,"AAAAAH+99e8=")</f>
        <v>#VALUE!</v>
      </c>
      <c r="IG98">
        <f>IF('Planilla_General_03-12-2012_9_3'!1568:1568,"AAAAAH+99fA=",0)</f>
        <v>0</v>
      </c>
      <c r="IH98" t="e">
        <f>AND('Planilla_General_03-12-2012_9_3'!A1568,"AAAAAH+99fE=")</f>
        <v>#VALUE!</v>
      </c>
      <c r="II98" t="e">
        <f>AND('Planilla_General_03-12-2012_9_3'!B1568,"AAAAAH+99fI=")</f>
        <v>#VALUE!</v>
      </c>
      <c r="IJ98" t="e">
        <f>AND('Planilla_General_03-12-2012_9_3'!C1568,"AAAAAH+99fM=")</f>
        <v>#VALUE!</v>
      </c>
      <c r="IK98" t="e">
        <f>AND('Planilla_General_03-12-2012_9_3'!D1568,"AAAAAH+99fQ=")</f>
        <v>#VALUE!</v>
      </c>
      <c r="IL98" t="e">
        <f>AND('Planilla_General_03-12-2012_9_3'!E1568,"AAAAAH+99fU=")</f>
        <v>#VALUE!</v>
      </c>
      <c r="IM98" t="e">
        <f>AND('Planilla_General_03-12-2012_9_3'!F1568,"AAAAAH+99fY=")</f>
        <v>#VALUE!</v>
      </c>
      <c r="IN98" t="e">
        <f>AND('Planilla_General_03-12-2012_9_3'!G1568,"AAAAAH+99fc=")</f>
        <v>#VALUE!</v>
      </c>
      <c r="IO98" t="e">
        <f>AND('Planilla_General_03-12-2012_9_3'!H1568,"AAAAAH+99fg=")</f>
        <v>#VALUE!</v>
      </c>
      <c r="IP98" t="e">
        <f>AND('Planilla_General_03-12-2012_9_3'!I1568,"AAAAAH+99fk=")</f>
        <v>#VALUE!</v>
      </c>
      <c r="IQ98" t="e">
        <f>AND('Planilla_General_03-12-2012_9_3'!J1568,"AAAAAH+99fo=")</f>
        <v>#VALUE!</v>
      </c>
      <c r="IR98" t="e">
        <f>AND('Planilla_General_03-12-2012_9_3'!K1568,"AAAAAH+99fs=")</f>
        <v>#VALUE!</v>
      </c>
      <c r="IS98" t="e">
        <f>AND('Planilla_General_03-12-2012_9_3'!L1568,"AAAAAH+99fw=")</f>
        <v>#VALUE!</v>
      </c>
      <c r="IT98" t="e">
        <f>AND('Planilla_General_03-12-2012_9_3'!M1568,"AAAAAH+99f0=")</f>
        <v>#VALUE!</v>
      </c>
      <c r="IU98" t="e">
        <f>AND('Planilla_General_03-12-2012_9_3'!N1568,"AAAAAH+99f4=")</f>
        <v>#VALUE!</v>
      </c>
      <c r="IV98" t="e">
        <f>AND('Planilla_General_03-12-2012_9_3'!O1568,"AAAAAH+99f8=")</f>
        <v>#VALUE!</v>
      </c>
    </row>
    <row r="99" spans="1:256" x14ac:dyDescent="0.25">
      <c r="A99" t="e">
        <f>IF('Planilla_General_03-12-2012_9_3'!1569:1569,"AAAAAG/f3wA=",0)</f>
        <v>#VALUE!</v>
      </c>
      <c r="B99" t="e">
        <f>AND('Planilla_General_03-12-2012_9_3'!A1569,"AAAAAG/f3wE=")</f>
        <v>#VALUE!</v>
      </c>
      <c r="C99" t="e">
        <f>AND('Planilla_General_03-12-2012_9_3'!B1569,"AAAAAG/f3wI=")</f>
        <v>#VALUE!</v>
      </c>
      <c r="D99" t="e">
        <f>AND('Planilla_General_03-12-2012_9_3'!C1569,"AAAAAG/f3wM=")</f>
        <v>#VALUE!</v>
      </c>
      <c r="E99" t="e">
        <f>AND('Planilla_General_03-12-2012_9_3'!D1569,"AAAAAG/f3wQ=")</f>
        <v>#VALUE!</v>
      </c>
      <c r="F99" t="e">
        <f>AND('Planilla_General_03-12-2012_9_3'!E1569,"AAAAAG/f3wU=")</f>
        <v>#VALUE!</v>
      </c>
      <c r="G99" t="e">
        <f>AND('Planilla_General_03-12-2012_9_3'!F1569,"AAAAAG/f3wY=")</f>
        <v>#VALUE!</v>
      </c>
      <c r="H99" t="e">
        <f>AND('Planilla_General_03-12-2012_9_3'!G1569,"AAAAAG/f3wc=")</f>
        <v>#VALUE!</v>
      </c>
      <c r="I99" t="e">
        <f>AND('Planilla_General_03-12-2012_9_3'!H1569,"AAAAAG/f3wg=")</f>
        <v>#VALUE!</v>
      </c>
      <c r="J99" t="e">
        <f>AND('Planilla_General_03-12-2012_9_3'!I1569,"AAAAAG/f3wk=")</f>
        <v>#VALUE!</v>
      </c>
      <c r="K99" t="e">
        <f>AND('Planilla_General_03-12-2012_9_3'!J1569,"AAAAAG/f3wo=")</f>
        <v>#VALUE!</v>
      </c>
      <c r="L99" t="e">
        <f>AND('Planilla_General_03-12-2012_9_3'!K1569,"AAAAAG/f3ws=")</f>
        <v>#VALUE!</v>
      </c>
      <c r="M99" t="e">
        <f>AND('Planilla_General_03-12-2012_9_3'!L1569,"AAAAAG/f3ww=")</f>
        <v>#VALUE!</v>
      </c>
      <c r="N99" t="e">
        <f>AND('Planilla_General_03-12-2012_9_3'!M1569,"AAAAAG/f3w0=")</f>
        <v>#VALUE!</v>
      </c>
      <c r="O99" t="e">
        <f>AND('Planilla_General_03-12-2012_9_3'!N1569,"AAAAAG/f3w4=")</f>
        <v>#VALUE!</v>
      </c>
      <c r="P99" t="e">
        <f>AND('Planilla_General_03-12-2012_9_3'!O1569,"AAAAAG/f3w8=")</f>
        <v>#VALUE!</v>
      </c>
      <c r="Q99">
        <f>IF('Planilla_General_03-12-2012_9_3'!1570:1570,"AAAAAG/f3xA=",0)</f>
        <v>0</v>
      </c>
      <c r="R99" t="e">
        <f>AND('Planilla_General_03-12-2012_9_3'!A1570,"AAAAAG/f3xE=")</f>
        <v>#VALUE!</v>
      </c>
      <c r="S99" t="e">
        <f>AND('Planilla_General_03-12-2012_9_3'!B1570,"AAAAAG/f3xI=")</f>
        <v>#VALUE!</v>
      </c>
      <c r="T99" t="e">
        <f>AND('Planilla_General_03-12-2012_9_3'!C1570,"AAAAAG/f3xM=")</f>
        <v>#VALUE!</v>
      </c>
      <c r="U99" t="e">
        <f>AND('Planilla_General_03-12-2012_9_3'!D1570,"AAAAAG/f3xQ=")</f>
        <v>#VALUE!</v>
      </c>
      <c r="V99" t="e">
        <f>AND('Planilla_General_03-12-2012_9_3'!E1570,"AAAAAG/f3xU=")</f>
        <v>#VALUE!</v>
      </c>
      <c r="W99" t="e">
        <f>AND('Planilla_General_03-12-2012_9_3'!F1570,"AAAAAG/f3xY=")</f>
        <v>#VALUE!</v>
      </c>
      <c r="X99" t="e">
        <f>AND('Planilla_General_03-12-2012_9_3'!G1570,"AAAAAG/f3xc=")</f>
        <v>#VALUE!</v>
      </c>
      <c r="Y99" t="e">
        <f>AND('Planilla_General_03-12-2012_9_3'!H1570,"AAAAAG/f3xg=")</f>
        <v>#VALUE!</v>
      </c>
      <c r="Z99" t="e">
        <f>AND('Planilla_General_03-12-2012_9_3'!I1570,"AAAAAG/f3xk=")</f>
        <v>#VALUE!</v>
      </c>
      <c r="AA99" t="e">
        <f>AND('Planilla_General_03-12-2012_9_3'!J1570,"AAAAAG/f3xo=")</f>
        <v>#VALUE!</v>
      </c>
      <c r="AB99" t="e">
        <f>AND('Planilla_General_03-12-2012_9_3'!K1570,"AAAAAG/f3xs=")</f>
        <v>#VALUE!</v>
      </c>
      <c r="AC99" t="e">
        <f>AND('Planilla_General_03-12-2012_9_3'!L1570,"AAAAAG/f3xw=")</f>
        <v>#VALUE!</v>
      </c>
      <c r="AD99" t="e">
        <f>AND('Planilla_General_03-12-2012_9_3'!M1570,"AAAAAG/f3x0=")</f>
        <v>#VALUE!</v>
      </c>
      <c r="AE99" t="e">
        <f>AND('Planilla_General_03-12-2012_9_3'!N1570,"AAAAAG/f3x4=")</f>
        <v>#VALUE!</v>
      </c>
      <c r="AF99" t="e">
        <f>AND('Planilla_General_03-12-2012_9_3'!O1570,"AAAAAG/f3x8=")</f>
        <v>#VALUE!</v>
      </c>
      <c r="AG99">
        <f>IF('Planilla_General_03-12-2012_9_3'!1571:1571,"AAAAAG/f3yA=",0)</f>
        <v>0</v>
      </c>
      <c r="AH99" t="e">
        <f>AND('Planilla_General_03-12-2012_9_3'!A1571,"AAAAAG/f3yE=")</f>
        <v>#VALUE!</v>
      </c>
      <c r="AI99" t="e">
        <f>AND('Planilla_General_03-12-2012_9_3'!B1571,"AAAAAG/f3yI=")</f>
        <v>#VALUE!</v>
      </c>
      <c r="AJ99" t="e">
        <f>AND('Planilla_General_03-12-2012_9_3'!C1571,"AAAAAG/f3yM=")</f>
        <v>#VALUE!</v>
      </c>
      <c r="AK99" t="e">
        <f>AND('Planilla_General_03-12-2012_9_3'!D1571,"AAAAAG/f3yQ=")</f>
        <v>#VALUE!</v>
      </c>
      <c r="AL99" t="e">
        <f>AND('Planilla_General_03-12-2012_9_3'!E1571,"AAAAAG/f3yU=")</f>
        <v>#VALUE!</v>
      </c>
      <c r="AM99" t="e">
        <f>AND('Planilla_General_03-12-2012_9_3'!F1571,"AAAAAG/f3yY=")</f>
        <v>#VALUE!</v>
      </c>
      <c r="AN99" t="e">
        <f>AND('Planilla_General_03-12-2012_9_3'!G1571,"AAAAAG/f3yc=")</f>
        <v>#VALUE!</v>
      </c>
      <c r="AO99" t="e">
        <f>AND('Planilla_General_03-12-2012_9_3'!H1571,"AAAAAG/f3yg=")</f>
        <v>#VALUE!</v>
      </c>
      <c r="AP99" t="e">
        <f>AND('Planilla_General_03-12-2012_9_3'!I1571,"AAAAAG/f3yk=")</f>
        <v>#VALUE!</v>
      </c>
      <c r="AQ99" t="e">
        <f>AND('Planilla_General_03-12-2012_9_3'!J1571,"AAAAAG/f3yo=")</f>
        <v>#VALUE!</v>
      </c>
      <c r="AR99" t="e">
        <f>AND('Planilla_General_03-12-2012_9_3'!K1571,"AAAAAG/f3ys=")</f>
        <v>#VALUE!</v>
      </c>
      <c r="AS99" t="e">
        <f>AND('Planilla_General_03-12-2012_9_3'!L1571,"AAAAAG/f3yw=")</f>
        <v>#VALUE!</v>
      </c>
      <c r="AT99" t="e">
        <f>AND('Planilla_General_03-12-2012_9_3'!M1571,"AAAAAG/f3y0=")</f>
        <v>#VALUE!</v>
      </c>
      <c r="AU99" t="e">
        <f>AND('Planilla_General_03-12-2012_9_3'!N1571,"AAAAAG/f3y4=")</f>
        <v>#VALUE!</v>
      </c>
      <c r="AV99" t="e">
        <f>AND('Planilla_General_03-12-2012_9_3'!O1571,"AAAAAG/f3y8=")</f>
        <v>#VALUE!</v>
      </c>
      <c r="AW99">
        <f>IF('Planilla_General_03-12-2012_9_3'!1572:1572,"AAAAAG/f3zA=",0)</f>
        <v>0</v>
      </c>
      <c r="AX99" t="e">
        <f>AND('Planilla_General_03-12-2012_9_3'!A1572,"AAAAAG/f3zE=")</f>
        <v>#VALUE!</v>
      </c>
      <c r="AY99" t="e">
        <f>AND('Planilla_General_03-12-2012_9_3'!B1572,"AAAAAG/f3zI=")</f>
        <v>#VALUE!</v>
      </c>
      <c r="AZ99" t="e">
        <f>AND('Planilla_General_03-12-2012_9_3'!C1572,"AAAAAG/f3zM=")</f>
        <v>#VALUE!</v>
      </c>
      <c r="BA99" t="e">
        <f>AND('Planilla_General_03-12-2012_9_3'!D1572,"AAAAAG/f3zQ=")</f>
        <v>#VALUE!</v>
      </c>
      <c r="BB99" t="e">
        <f>AND('Planilla_General_03-12-2012_9_3'!E1572,"AAAAAG/f3zU=")</f>
        <v>#VALUE!</v>
      </c>
      <c r="BC99" t="e">
        <f>AND('Planilla_General_03-12-2012_9_3'!F1572,"AAAAAG/f3zY=")</f>
        <v>#VALUE!</v>
      </c>
      <c r="BD99" t="e">
        <f>AND('Planilla_General_03-12-2012_9_3'!G1572,"AAAAAG/f3zc=")</f>
        <v>#VALUE!</v>
      </c>
      <c r="BE99" t="e">
        <f>AND('Planilla_General_03-12-2012_9_3'!H1572,"AAAAAG/f3zg=")</f>
        <v>#VALUE!</v>
      </c>
      <c r="BF99" t="e">
        <f>AND('Planilla_General_03-12-2012_9_3'!I1572,"AAAAAG/f3zk=")</f>
        <v>#VALUE!</v>
      </c>
      <c r="BG99" t="e">
        <f>AND('Planilla_General_03-12-2012_9_3'!J1572,"AAAAAG/f3zo=")</f>
        <v>#VALUE!</v>
      </c>
      <c r="BH99" t="e">
        <f>AND('Planilla_General_03-12-2012_9_3'!K1572,"AAAAAG/f3zs=")</f>
        <v>#VALUE!</v>
      </c>
      <c r="BI99" t="e">
        <f>AND('Planilla_General_03-12-2012_9_3'!L1572,"AAAAAG/f3zw=")</f>
        <v>#VALUE!</v>
      </c>
      <c r="BJ99" t="e">
        <f>AND('Planilla_General_03-12-2012_9_3'!M1572,"AAAAAG/f3z0=")</f>
        <v>#VALUE!</v>
      </c>
      <c r="BK99" t="e">
        <f>AND('Planilla_General_03-12-2012_9_3'!N1572,"AAAAAG/f3z4=")</f>
        <v>#VALUE!</v>
      </c>
      <c r="BL99" t="e">
        <f>AND('Planilla_General_03-12-2012_9_3'!O1572,"AAAAAG/f3z8=")</f>
        <v>#VALUE!</v>
      </c>
      <c r="BM99">
        <f>IF('Planilla_General_03-12-2012_9_3'!1573:1573,"AAAAAG/f30A=",0)</f>
        <v>0</v>
      </c>
      <c r="BN99" t="e">
        <f>AND('Planilla_General_03-12-2012_9_3'!A1573,"AAAAAG/f30E=")</f>
        <v>#VALUE!</v>
      </c>
      <c r="BO99" t="e">
        <f>AND('Planilla_General_03-12-2012_9_3'!B1573,"AAAAAG/f30I=")</f>
        <v>#VALUE!</v>
      </c>
      <c r="BP99" t="e">
        <f>AND('Planilla_General_03-12-2012_9_3'!C1573,"AAAAAG/f30M=")</f>
        <v>#VALUE!</v>
      </c>
      <c r="BQ99" t="e">
        <f>AND('Planilla_General_03-12-2012_9_3'!D1573,"AAAAAG/f30Q=")</f>
        <v>#VALUE!</v>
      </c>
      <c r="BR99" t="e">
        <f>AND('Planilla_General_03-12-2012_9_3'!E1573,"AAAAAG/f30U=")</f>
        <v>#VALUE!</v>
      </c>
      <c r="BS99" t="e">
        <f>AND('Planilla_General_03-12-2012_9_3'!F1573,"AAAAAG/f30Y=")</f>
        <v>#VALUE!</v>
      </c>
      <c r="BT99" t="e">
        <f>AND('Planilla_General_03-12-2012_9_3'!G1573,"AAAAAG/f30c=")</f>
        <v>#VALUE!</v>
      </c>
      <c r="BU99" t="e">
        <f>AND('Planilla_General_03-12-2012_9_3'!H1573,"AAAAAG/f30g=")</f>
        <v>#VALUE!</v>
      </c>
      <c r="BV99" t="e">
        <f>AND('Planilla_General_03-12-2012_9_3'!I1573,"AAAAAG/f30k=")</f>
        <v>#VALUE!</v>
      </c>
      <c r="BW99" t="e">
        <f>AND('Planilla_General_03-12-2012_9_3'!J1573,"AAAAAG/f30o=")</f>
        <v>#VALUE!</v>
      </c>
      <c r="BX99" t="e">
        <f>AND('Planilla_General_03-12-2012_9_3'!K1573,"AAAAAG/f30s=")</f>
        <v>#VALUE!</v>
      </c>
      <c r="BY99" t="e">
        <f>AND('Planilla_General_03-12-2012_9_3'!L1573,"AAAAAG/f30w=")</f>
        <v>#VALUE!</v>
      </c>
      <c r="BZ99" t="e">
        <f>AND('Planilla_General_03-12-2012_9_3'!M1573,"AAAAAG/f300=")</f>
        <v>#VALUE!</v>
      </c>
      <c r="CA99" t="e">
        <f>AND('Planilla_General_03-12-2012_9_3'!N1573,"AAAAAG/f304=")</f>
        <v>#VALUE!</v>
      </c>
      <c r="CB99" t="e">
        <f>AND('Planilla_General_03-12-2012_9_3'!O1573,"AAAAAG/f308=")</f>
        <v>#VALUE!</v>
      </c>
      <c r="CC99">
        <f>IF('Planilla_General_03-12-2012_9_3'!1574:1574,"AAAAAG/f31A=",0)</f>
        <v>0</v>
      </c>
      <c r="CD99" t="e">
        <f>AND('Planilla_General_03-12-2012_9_3'!A1574,"AAAAAG/f31E=")</f>
        <v>#VALUE!</v>
      </c>
      <c r="CE99" t="e">
        <f>AND('Planilla_General_03-12-2012_9_3'!B1574,"AAAAAG/f31I=")</f>
        <v>#VALUE!</v>
      </c>
      <c r="CF99" t="e">
        <f>AND('Planilla_General_03-12-2012_9_3'!C1574,"AAAAAG/f31M=")</f>
        <v>#VALUE!</v>
      </c>
      <c r="CG99" t="e">
        <f>AND('Planilla_General_03-12-2012_9_3'!D1574,"AAAAAG/f31Q=")</f>
        <v>#VALUE!</v>
      </c>
      <c r="CH99" t="e">
        <f>AND('Planilla_General_03-12-2012_9_3'!E1574,"AAAAAG/f31U=")</f>
        <v>#VALUE!</v>
      </c>
      <c r="CI99" t="e">
        <f>AND('Planilla_General_03-12-2012_9_3'!F1574,"AAAAAG/f31Y=")</f>
        <v>#VALUE!</v>
      </c>
      <c r="CJ99" t="e">
        <f>AND('Planilla_General_03-12-2012_9_3'!G1574,"AAAAAG/f31c=")</f>
        <v>#VALUE!</v>
      </c>
      <c r="CK99" t="e">
        <f>AND('Planilla_General_03-12-2012_9_3'!H1574,"AAAAAG/f31g=")</f>
        <v>#VALUE!</v>
      </c>
      <c r="CL99" t="e">
        <f>AND('Planilla_General_03-12-2012_9_3'!I1574,"AAAAAG/f31k=")</f>
        <v>#VALUE!</v>
      </c>
      <c r="CM99" t="e">
        <f>AND('Planilla_General_03-12-2012_9_3'!J1574,"AAAAAG/f31o=")</f>
        <v>#VALUE!</v>
      </c>
      <c r="CN99" t="e">
        <f>AND('Planilla_General_03-12-2012_9_3'!K1574,"AAAAAG/f31s=")</f>
        <v>#VALUE!</v>
      </c>
      <c r="CO99" t="e">
        <f>AND('Planilla_General_03-12-2012_9_3'!L1574,"AAAAAG/f31w=")</f>
        <v>#VALUE!</v>
      </c>
      <c r="CP99" t="e">
        <f>AND('Planilla_General_03-12-2012_9_3'!M1574,"AAAAAG/f310=")</f>
        <v>#VALUE!</v>
      </c>
      <c r="CQ99" t="e">
        <f>AND('Planilla_General_03-12-2012_9_3'!N1574,"AAAAAG/f314=")</f>
        <v>#VALUE!</v>
      </c>
      <c r="CR99" t="e">
        <f>AND('Planilla_General_03-12-2012_9_3'!O1574,"AAAAAG/f318=")</f>
        <v>#VALUE!</v>
      </c>
      <c r="CS99">
        <f>IF('Planilla_General_03-12-2012_9_3'!1575:1575,"AAAAAG/f32A=",0)</f>
        <v>0</v>
      </c>
      <c r="CT99" t="e">
        <f>AND('Planilla_General_03-12-2012_9_3'!A1575,"AAAAAG/f32E=")</f>
        <v>#VALUE!</v>
      </c>
      <c r="CU99" t="e">
        <f>AND('Planilla_General_03-12-2012_9_3'!B1575,"AAAAAG/f32I=")</f>
        <v>#VALUE!</v>
      </c>
      <c r="CV99" t="e">
        <f>AND('Planilla_General_03-12-2012_9_3'!C1575,"AAAAAG/f32M=")</f>
        <v>#VALUE!</v>
      </c>
      <c r="CW99" t="e">
        <f>AND('Planilla_General_03-12-2012_9_3'!D1575,"AAAAAG/f32Q=")</f>
        <v>#VALUE!</v>
      </c>
      <c r="CX99" t="e">
        <f>AND('Planilla_General_03-12-2012_9_3'!E1575,"AAAAAG/f32U=")</f>
        <v>#VALUE!</v>
      </c>
      <c r="CY99" t="e">
        <f>AND('Planilla_General_03-12-2012_9_3'!F1575,"AAAAAG/f32Y=")</f>
        <v>#VALUE!</v>
      </c>
      <c r="CZ99" t="e">
        <f>AND('Planilla_General_03-12-2012_9_3'!G1575,"AAAAAG/f32c=")</f>
        <v>#VALUE!</v>
      </c>
      <c r="DA99" t="e">
        <f>AND('Planilla_General_03-12-2012_9_3'!H1575,"AAAAAG/f32g=")</f>
        <v>#VALUE!</v>
      </c>
      <c r="DB99" t="e">
        <f>AND('Planilla_General_03-12-2012_9_3'!I1575,"AAAAAG/f32k=")</f>
        <v>#VALUE!</v>
      </c>
      <c r="DC99" t="e">
        <f>AND('Planilla_General_03-12-2012_9_3'!J1575,"AAAAAG/f32o=")</f>
        <v>#VALUE!</v>
      </c>
      <c r="DD99" t="e">
        <f>AND('Planilla_General_03-12-2012_9_3'!K1575,"AAAAAG/f32s=")</f>
        <v>#VALUE!</v>
      </c>
      <c r="DE99" t="e">
        <f>AND('Planilla_General_03-12-2012_9_3'!L1575,"AAAAAG/f32w=")</f>
        <v>#VALUE!</v>
      </c>
      <c r="DF99" t="e">
        <f>AND('Planilla_General_03-12-2012_9_3'!M1575,"AAAAAG/f320=")</f>
        <v>#VALUE!</v>
      </c>
      <c r="DG99" t="e">
        <f>AND('Planilla_General_03-12-2012_9_3'!N1575,"AAAAAG/f324=")</f>
        <v>#VALUE!</v>
      </c>
      <c r="DH99" t="e">
        <f>AND('Planilla_General_03-12-2012_9_3'!O1575,"AAAAAG/f328=")</f>
        <v>#VALUE!</v>
      </c>
      <c r="DI99">
        <f>IF('Planilla_General_03-12-2012_9_3'!1576:1576,"AAAAAG/f33A=",0)</f>
        <v>0</v>
      </c>
      <c r="DJ99" t="e">
        <f>AND('Planilla_General_03-12-2012_9_3'!A1576,"AAAAAG/f33E=")</f>
        <v>#VALUE!</v>
      </c>
      <c r="DK99" t="e">
        <f>AND('Planilla_General_03-12-2012_9_3'!B1576,"AAAAAG/f33I=")</f>
        <v>#VALUE!</v>
      </c>
      <c r="DL99" t="e">
        <f>AND('Planilla_General_03-12-2012_9_3'!C1576,"AAAAAG/f33M=")</f>
        <v>#VALUE!</v>
      </c>
      <c r="DM99" t="e">
        <f>AND('Planilla_General_03-12-2012_9_3'!D1576,"AAAAAG/f33Q=")</f>
        <v>#VALUE!</v>
      </c>
      <c r="DN99" t="e">
        <f>AND('Planilla_General_03-12-2012_9_3'!E1576,"AAAAAG/f33U=")</f>
        <v>#VALUE!</v>
      </c>
      <c r="DO99" t="e">
        <f>AND('Planilla_General_03-12-2012_9_3'!F1576,"AAAAAG/f33Y=")</f>
        <v>#VALUE!</v>
      </c>
      <c r="DP99" t="e">
        <f>AND('Planilla_General_03-12-2012_9_3'!G1576,"AAAAAG/f33c=")</f>
        <v>#VALUE!</v>
      </c>
      <c r="DQ99" t="e">
        <f>AND('Planilla_General_03-12-2012_9_3'!H1576,"AAAAAG/f33g=")</f>
        <v>#VALUE!</v>
      </c>
      <c r="DR99" t="e">
        <f>AND('Planilla_General_03-12-2012_9_3'!I1576,"AAAAAG/f33k=")</f>
        <v>#VALUE!</v>
      </c>
      <c r="DS99" t="e">
        <f>AND('Planilla_General_03-12-2012_9_3'!J1576,"AAAAAG/f33o=")</f>
        <v>#VALUE!</v>
      </c>
      <c r="DT99" t="e">
        <f>AND('Planilla_General_03-12-2012_9_3'!K1576,"AAAAAG/f33s=")</f>
        <v>#VALUE!</v>
      </c>
      <c r="DU99" t="e">
        <f>AND('Planilla_General_03-12-2012_9_3'!L1576,"AAAAAG/f33w=")</f>
        <v>#VALUE!</v>
      </c>
      <c r="DV99" t="e">
        <f>AND('Planilla_General_03-12-2012_9_3'!M1576,"AAAAAG/f330=")</f>
        <v>#VALUE!</v>
      </c>
      <c r="DW99" t="e">
        <f>AND('Planilla_General_03-12-2012_9_3'!N1576,"AAAAAG/f334=")</f>
        <v>#VALUE!</v>
      </c>
      <c r="DX99" t="e">
        <f>AND('Planilla_General_03-12-2012_9_3'!O1576,"AAAAAG/f338=")</f>
        <v>#VALUE!</v>
      </c>
      <c r="DY99">
        <f>IF('Planilla_General_03-12-2012_9_3'!1577:1577,"AAAAAG/f34A=",0)</f>
        <v>0</v>
      </c>
      <c r="DZ99" t="e">
        <f>AND('Planilla_General_03-12-2012_9_3'!A1577,"AAAAAG/f34E=")</f>
        <v>#VALUE!</v>
      </c>
      <c r="EA99" t="e">
        <f>AND('Planilla_General_03-12-2012_9_3'!B1577,"AAAAAG/f34I=")</f>
        <v>#VALUE!</v>
      </c>
      <c r="EB99" t="e">
        <f>AND('Planilla_General_03-12-2012_9_3'!C1577,"AAAAAG/f34M=")</f>
        <v>#VALUE!</v>
      </c>
      <c r="EC99" t="e">
        <f>AND('Planilla_General_03-12-2012_9_3'!D1577,"AAAAAG/f34Q=")</f>
        <v>#VALUE!</v>
      </c>
      <c r="ED99" t="e">
        <f>AND('Planilla_General_03-12-2012_9_3'!E1577,"AAAAAG/f34U=")</f>
        <v>#VALUE!</v>
      </c>
      <c r="EE99" t="e">
        <f>AND('Planilla_General_03-12-2012_9_3'!F1577,"AAAAAG/f34Y=")</f>
        <v>#VALUE!</v>
      </c>
      <c r="EF99" t="e">
        <f>AND('Planilla_General_03-12-2012_9_3'!G1577,"AAAAAG/f34c=")</f>
        <v>#VALUE!</v>
      </c>
      <c r="EG99" t="e">
        <f>AND('Planilla_General_03-12-2012_9_3'!H1577,"AAAAAG/f34g=")</f>
        <v>#VALUE!</v>
      </c>
      <c r="EH99" t="e">
        <f>AND('Planilla_General_03-12-2012_9_3'!I1577,"AAAAAG/f34k=")</f>
        <v>#VALUE!</v>
      </c>
      <c r="EI99" t="e">
        <f>AND('Planilla_General_03-12-2012_9_3'!J1577,"AAAAAG/f34o=")</f>
        <v>#VALUE!</v>
      </c>
      <c r="EJ99" t="e">
        <f>AND('Planilla_General_03-12-2012_9_3'!K1577,"AAAAAG/f34s=")</f>
        <v>#VALUE!</v>
      </c>
      <c r="EK99" t="e">
        <f>AND('Planilla_General_03-12-2012_9_3'!L1577,"AAAAAG/f34w=")</f>
        <v>#VALUE!</v>
      </c>
      <c r="EL99" t="e">
        <f>AND('Planilla_General_03-12-2012_9_3'!M1577,"AAAAAG/f340=")</f>
        <v>#VALUE!</v>
      </c>
      <c r="EM99" t="e">
        <f>AND('Planilla_General_03-12-2012_9_3'!N1577,"AAAAAG/f344=")</f>
        <v>#VALUE!</v>
      </c>
      <c r="EN99" t="e">
        <f>AND('Planilla_General_03-12-2012_9_3'!O1577,"AAAAAG/f348=")</f>
        <v>#VALUE!</v>
      </c>
      <c r="EO99">
        <f>IF('Planilla_General_03-12-2012_9_3'!1578:1578,"AAAAAG/f35A=",0)</f>
        <v>0</v>
      </c>
      <c r="EP99" t="e">
        <f>AND('Planilla_General_03-12-2012_9_3'!A1578,"AAAAAG/f35E=")</f>
        <v>#VALUE!</v>
      </c>
      <c r="EQ99" t="e">
        <f>AND('Planilla_General_03-12-2012_9_3'!B1578,"AAAAAG/f35I=")</f>
        <v>#VALUE!</v>
      </c>
      <c r="ER99" t="e">
        <f>AND('Planilla_General_03-12-2012_9_3'!C1578,"AAAAAG/f35M=")</f>
        <v>#VALUE!</v>
      </c>
      <c r="ES99" t="e">
        <f>AND('Planilla_General_03-12-2012_9_3'!D1578,"AAAAAG/f35Q=")</f>
        <v>#VALUE!</v>
      </c>
      <c r="ET99" t="e">
        <f>AND('Planilla_General_03-12-2012_9_3'!E1578,"AAAAAG/f35U=")</f>
        <v>#VALUE!</v>
      </c>
      <c r="EU99" t="e">
        <f>AND('Planilla_General_03-12-2012_9_3'!F1578,"AAAAAG/f35Y=")</f>
        <v>#VALUE!</v>
      </c>
      <c r="EV99" t="e">
        <f>AND('Planilla_General_03-12-2012_9_3'!G1578,"AAAAAG/f35c=")</f>
        <v>#VALUE!</v>
      </c>
      <c r="EW99" t="e">
        <f>AND('Planilla_General_03-12-2012_9_3'!H1578,"AAAAAG/f35g=")</f>
        <v>#VALUE!</v>
      </c>
      <c r="EX99" t="e">
        <f>AND('Planilla_General_03-12-2012_9_3'!I1578,"AAAAAG/f35k=")</f>
        <v>#VALUE!</v>
      </c>
      <c r="EY99" t="e">
        <f>AND('Planilla_General_03-12-2012_9_3'!J1578,"AAAAAG/f35o=")</f>
        <v>#VALUE!</v>
      </c>
      <c r="EZ99" t="e">
        <f>AND('Planilla_General_03-12-2012_9_3'!K1578,"AAAAAG/f35s=")</f>
        <v>#VALUE!</v>
      </c>
      <c r="FA99" t="e">
        <f>AND('Planilla_General_03-12-2012_9_3'!L1578,"AAAAAG/f35w=")</f>
        <v>#VALUE!</v>
      </c>
      <c r="FB99" t="e">
        <f>AND('Planilla_General_03-12-2012_9_3'!M1578,"AAAAAG/f350=")</f>
        <v>#VALUE!</v>
      </c>
      <c r="FC99" t="e">
        <f>AND('Planilla_General_03-12-2012_9_3'!N1578,"AAAAAG/f354=")</f>
        <v>#VALUE!</v>
      </c>
      <c r="FD99" t="e">
        <f>AND('Planilla_General_03-12-2012_9_3'!O1578,"AAAAAG/f358=")</f>
        <v>#VALUE!</v>
      </c>
      <c r="FE99">
        <f>IF('Planilla_General_03-12-2012_9_3'!1579:1579,"AAAAAG/f36A=",0)</f>
        <v>0</v>
      </c>
      <c r="FF99" t="e">
        <f>AND('Planilla_General_03-12-2012_9_3'!A1579,"AAAAAG/f36E=")</f>
        <v>#VALUE!</v>
      </c>
      <c r="FG99" t="e">
        <f>AND('Planilla_General_03-12-2012_9_3'!B1579,"AAAAAG/f36I=")</f>
        <v>#VALUE!</v>
      </c>
      <c r="FH99" t="e">
        <f>AND('Planilla_General_03-12-2012_9_3'!C1579,"AAAAAG/f36M=")</f>
        <v>#VALUE!</v>
      </c>
      <c r="FI99" t="e">
        <f>AND('Planilla_General_03-12-2012_9_3'!D1579,"AAAAAG/f36Q=")</f>
        <v>#VALUE!</v>
      </c>
      <c r="FJ99" t="e">
        <f>AND('Planilla_General_03-12-2012_9_3'!E1579,"AAAAAG/f36U=")</f>
        <v>#VALUE!</v>
      </c>
      <c r="FK99" t="e">
        <f>AND('Planilla_General_03-12-2012_9_3'!F1579,"AAAAAG/f36Y=")</f>
        <v>#VALUE!</v>
      </c>
      <c r="FL99" t="e">
        <f>AND('Planilla_General_03-12-2012_9_3'!G1579,"AAAAAG/f36c=")</f>
        <v>#VALUE!</v>
      </c>
      <c r="FM99" t="e">
        <f>AND('Planilla_General_03-12-2012_9_3'!H1579,"AAAAAG/f36g=")</f>
        <v>#VALUE!</v>
      </c>
      <c r="FN99" t="e">
        <f>AND('Planilla_General_03-12-2012_9_3'!I1579,"AAAAAG/f36k=")</f>
        <v>#VALUE!</v>
      </c>
      <c r="FO99" t="e">
        <f>AND('Planilla_General_03-12-2012_9_3'!J1579,"AAAAAG/f36o=")</f>
        <v>#VALUE!</v>
      </c>
      <c r="FP99" t="e">
        <f>AND('Planilla_General_03-12-2012_9_3'!K1579,"AAAAAG/f36s=")</f>
        <v>#VALUE!</v>
      </c>
      <c r="FQ99" t="e">
        <f>AND('Planilla_General_03-12-2012_9_3'!L1579,"AAAAAG/f36w=")</f>
        <v>#VALUE!</v>
      </c>
      <c r="FR99" t="e">
        <f>AND('Planilla_General_03-12-2012_9_3'!M1579,"AAAAAG/f360=")</f>
        <v>#VALUE!</v>
      </c>
      <c r="FS99" t="e">
        <f>AND('Planilla_General_03-12-2012_9_3'!N1579,"AAAAAG/f364=")</f>
        <v>#VALUE!</v>
      </c>
      <c r="FT99" t="e">
        <f>AND('Planilla_General_03-12-2012_9_3'!O1579,"AAAAAG/f368=")</f>
        <v>#VALUE!</v>
      </c>
      <c r="FU99">
        <f>IF('Planilla_General_03-12-2012_9_3'!1580:1580,"AAAAAG/f37A=",0)</f>
        <v>0</v>
      </c>
      <c r="FV99" t="e">
        <f>AND('Planilla_General_03-12-2012_9_3'!A1580,"AAAAAG/f37E=")</f>
        <v>#VALUE!</v>
      </c>
      <c r="FW99" t="e">
        <f>AND('Planilla_General_03-12-2012_9_3'!B1580,"AAAAAG/f37I=")</f>
        <v>#VALUE!</v>
      </c>
      <c r="FX99" t="e">
        <f>AND('Planilla_General_03-12-2012_9_3'!C1580,"AAAAAG/f37M=")</f>
        <v>#VALUE!</v>
      </c>
      <c r="FY99" t="e">
        <f>AND('Planilla_General_03-12-2012_9_3'!D1580,"AAAAAG/f37Q=")</f>
        <v>#VALUE!</v>
      </c>
      <c r="FZ99" t="e">
        <f>AND('Planilla_General_03-12-2012_9_3'!E1580,"AAAAAG/f37U=")</f>
        <v>#VALUE!</v>
      </c>
      <c r="GA99" t="e">
        <f>AND('Planilla_General_03-12-2012_9_3'!F1580,"AAAAAG/f37Y=")</f>
        <v>#VALUE!</v>
      </c>
      <c r="GB99" t="e">
        <f>AND('Planilla_General_03-12-2012_9_3'!G1580,"AAAAAG/f37c=")</f>
        <v>#VALUE!</v>
      </c>
      <c r="GC99" t="e">
        <f>AND('Planilla_General_03-12-2012_9_3'!H1580,"AAAAAG/f37g=")</f>
        <v>#VALUE!</v>
      </c>
      <c r="GD99" t="e">
        <f>AND('Planilla_General_03-12-2012_9_3'!I1580,"AAAAAG/f37k=")</f>
        <v>#VALUE!</v>
      </c>
      <c r="GE99" t="e">
        <f>AND('Planilla_General_03-12-2012_9_3'!J1580,"AAAAAG/f37o=")</f>
        <v>#VALUE!</v>
      </c>
      <c r="GF99" t="e">
        <f>AND('Planilla_General_03-12-2012_9_3'!K1580,"AAAAAG/f37s=")</f>
        <v>#VALUE!</v>
      </c>
      <c r="GG99" t="e">
        <f>AND('Planilla_General_03-12-2012_9_3'!L1580,"AAAAAG/f37w=")</f>
        <v>#VALUE!</v>
      </c>
      <c r="GH99" t="e">
        <f>AND('Planilla_General_03-12-2012_9_3'!M1580,"AAAAAG/f370=")</f>
        <v>#VALUE!</v>
      </c>
      <c r="GI99" t="e">
        <f>AND('Planilla_General_03-12-2012_9_3'!N1580,"AAAAAG/f374=")</f>
        <v>#VALUE!</v>
      </c>
      <c r="GJ99" t="e">
        <f>AND('Planilla_General_03-12-2012_9_3'!O1580,"AAAAAG/f378=")</f>
        <v>#VALUE!</v>
      </c>
      <c r="GK99">
        <f>IF('Planilla_General_03-12-2012_9_3'!1581:1581,"AAAAAG/f38A=",0)</f>
        <v>0</v>
      </c>
      <c r="GL99" t="e">
        <f>AND('Planilla_General_03-12-2012_9_3'!A1581,"AAAAAG/f38E=")</f>
        <v>#VALUE!</v>
      </c>
      <c r="GM99" t="e">
        <f>AND('Planilla_General_03-12-2012_9_3'!B1581,"AAAAAG/f38I=")</f>
        <v>#VALUE!</v>
      </c>
      <c r="GN99" t="e">
        <f>AND('Planilla_General_03-12-2012_9_3'!C1581,"AAAAAG/f38M=")</f>
        <v>#VALUE!</v>
      </c>
      <c r="GO99" t="e">
        <f>AND('Planilla_General_03-12-2012_9_3'!D1581,"AAAAAG/f38Q=")</f>
        <v>#VALUE!</v>
      </c>
      <c r="GP99" t="e">
        <f>AND('Planilla_General_03-12-2012_9_3'!E1581,"AAAAAG/f38U=")</f>
        <v>#VALUE!</v>
      </c>
      <c r="GQ99" t="e">
        <f>AND('Planilla_General_03-12-2012_9_3'!F1581,"AAAAAG/f38Y=")</f>
        <v>#VALUE!</v>
      </c>
      <c r="GR99" t="e">
        <f>AND('Planilla_General_03-12-2012_9_3'!G1581,"AAAAAG/f38c=")</f>
        <v>#VALUE!</v>
      </c>
      <c r="GS99" t="e">
        <f>AND('Planilla_General_03-12-2012_9_3'!H1581,"AAAAAG/f38g=")</f>
        <v>#VALUE!</v>
      </c>
      <c r="GT99" t="e">
        <f>AND('Planilla_General_03-12-2012_9_3'!I1581,"AAAAAG/f38k=")</f>
        <v>#VALUE!</v>
      </c>
      <c r="GU99" t="e">
        <f>AND('Planilla_General_03-12-2012_9_3'!J1581,"AAAAAG/f38o=")</f>
        <v>#VALUE!</v>
      </c>
      <c r="GV99" t="e">
        <f>AND('Planilla_General_03-12-2012_9_3'!K1581,"AAAAAG/f38s=")</f>
        <v>#VALUE!</v>
      </c>
      <c r="GW99" t="e">
        <f>AND('Planilla_General_03-12-2012_9_3'!L1581,"AAAAAG/f38w=")</f>
        <v>#VALUE!</v>
      </c>
      <c r="GX99" t="e">
        <f>AND('Planilla_General_03-12-2012_9_3'!M1581,"AAAAAG/f380=")</f>
        <v>#VALUE!</v>
      </c>
      <c r="GY99" t="e">
        <f>AND('Planilla_General_03-12-2012_9_3'!N1581,"AAAAAG/f384=")</f>
        <v>#VALUE!</v>
      </c>
      <c r="GZ99" t="e">
        <f>AND('Planilla_General_03-12-2012_9_3'!O1581,"AAAAAG/f388=")</f>
        <v>#VALUE!</v>
      </c>
      <c r="HA99">
        <f>IF('Planilla_General_03-12-2012_9_3'!1582:1582,"AAAAAG/f39A=",0)</f>
        <v>0</v>
      </c>
      <c r="HB99" t="e">
        <f>AND('Planilla_General_03-12-2012_9_3'!A1582,"AAAAAG/f39E=")</f>
        <v>#VALUE!</v>
      </c>
      <c r="HC99" t="e">
        <f>AND('Planilla_General_03-12-2012_9_3'!B1582,"AAAAAG/f39I=")</f>
        <v>#VALUE!</v>
      </c>
      <c r="HD99" t="e">
        <f>AND('Planilla_General_03-12-2012_9_3'!C1582,"AAAAAG/f39M=")</f>
        <v>#VALUE!</v>
      </c>
      <c r="HE99" t="e">
        <f>AND('Planilla_General_03-12-2012_9_3'!D1582,"AAAAAG/f39Q=")</f>
        <v>#VALUE!</v>
      </c>
      <c r="HF99" t="e">
        <f>AND('Planilla_General_03-12-2012_9_3'!E1582,"AAAAAG/f39U=")</f>
        <v>#VALUE!</v>
      </c>
      <c r="HG99" t="e">
        <f>AND('Planilla_General_03-12-2012_9_3'!F1582,"AAAAAG/f39Y=")</f>
        <v>#VALUE!</v>
      </c>
      <c r="HH99" t="e">
        <f>AND('Planilla_General_03-12-2012_9_3'!G1582,"AAAAAG/f39c=")</f>
        <v>#VALUE!</v>
      </c>
      <c r="HI99" t="e">
        <f>AND('Planilla_General_03-12-2012_9_3'!H1582,"AAAAAG/f39g=")</f>
        <v>#VALUE!</v>
      </c>
      <c r="HJ99" t="e">
        <f>AND('Planilla_General_03-12-2012_9_3'!I1582,"AAAAAG/f39k=")</f>
        <v>#VALUE!</v>
      </c>
      <c r="HK99" t="e">
        <f>AND('Planilla_General_03-12-2012_9_3'!J1582,"AAAAAG/f39o=")</f>
        <v>#VALUE!</v>
      </c>
      <c r="HL99" t="e">
        <f>AND('Planilla_General_03-12-2012_9_3'!K1582,"AAAAAG/f39s=")</f>
        <v>#VALUE!</v>
      </c>
      <c r="HM99" t="e">
        <f>AND('Planilla_General_03-12-2012_9_3'!L1582,"AAAAAG/f39w=")</f>
        <v>#VALUE!</v>
      </c>
      <c r="HN99" t="e">
        <f>AND('Planilla_General_03-12-2012_9_3'!M1582,"AAAAAG/f390=")</f>
        <v>#VALUE!</v>
      </c>
      <c r="HO99" t="e">
        <f>AND('Planilla_General_03-12-2012_9_3'!N1582,"AAAAAG/f394=")</f>
        <v>#VALUE!</v>
      </c>
      <c r="HP99" t="e">
        <f>AND('Planilla_General_03-12-2012_9_3'!O1582,"AAAAAG/f398=")</f>
        <v>#VALUE!</v>
      </c>
      <c r="HQ99">
        <f>IF('Planilla_General_03-12-2012_9_3'!1583:1583,"AAAAAG/f3+A=",0)</f>
        <v>0</v>
      </c>
      <c r="HR99" t="e">
        <f>AND('Planilla_General_03-12-2012_9_3'!A1583,"AAAAAG/f3+E=")</f>
        <v>#VALUE!</v>
      </c>
      <c r="HS99" t="e">
        <f>AND('Planilla_General_03-12-2012_9_3'!B1583,"AAAAAG/f3+I=")</f>
        <v>#VALUE!</v>
      </c>
      <c r="HT99" t="e">
        <f>AND('Planilla_General_03-12-2012_9_3'!C1583,"AAAAAG/f3+M=")</f>
        <v>#VALUE!</v>
      </c>
      <c r="HU99" t="e">
        <f>AND('Planilla_General_03-12-2012_9_3'!D1583,"AAAAAG/f3+Q=")</f>
        <v>#VALUE!</v>
      </c>
      <c r="HV99" t="e">
        <f>AND('Planilla_General_03-12-2012_9_3'!E1583,"AAAAAG/f3+U=")</f>
        <v>#VALUE!</v>
      </c>
      <c r="HW99" t="e">
        <f>AND('Planilla_General_03-12-2012_9_3'!F1583,"AAAAAG/f3+Y=")</f>
        <v>#VALUE!</v>
      </c>
      <c r="HX99" t="e">
        <f>AND('Planilla_General_03-12-2012_9_3'!G1583,"AAAAAG/f3+c=")</f>
        <v>#VALUE!</v>
      </c>
      <c r="HY99" t="e">
        <f>AND('Planilla_General_03-12-2012_9_3'!H1583,"AAAAAG/f3+g=")</f>
        <v>#VALUE!</v>
      </c>
      <c r="HZ99" t="e">
        <f>AND('Planilla_General_03-12-2012_9_3'!I1583,"AAAAAG/f3+k=")</f>
        <v>#VALUE!</v>
      </c>
      <c r="IA99" t="e">
        <f>AND('Planilla_General_03-12-2012_9_3'!J1583,"AAAAAG/f3+o=")</f>
        <v>#VALUE!</v>
      </c>
      <c r="IB99" t="e">
        <f>AND('Planilla_General_03-12-2012_9_3'!K1583,"AAAAAG/f3+s=")</f>
        <v>#VALUE!</v>
      </c>
      <c r="IC99" t="e">
        <f>AND('Planilla_General_03-12-2012_9_3'!L1583,"AAAAAG/f3+w=")</f>
        <v>#VALUE!</v>
      </c>
      <c r="ID99" t="e">
        <f>AND('Planilla_General_03-12-2012_9_3'!M1583,"AAAAAG/f3+0=")</f>
        <v>#VALUE!</v>
      </c>
      <c r="IE99" t="e">
        <f>AND('Planilla_General_03-12-2012_9_3'!N1583,"AAAAAG/f3+4=")</f>
        <v>#VALUE!</v>
      </c>
      <c r="IF99" t="e">
        <f>AND('Planilla_General_03-12-2012_9_3'!O1583,"AAAAAG/f3+8=")</f>
        <v>#VALUE!</v>
      </c>
      <c r="IG99">
        <f>IF('Planilla_General_03-12-2012_9_3'!1584:1584,"AAAAAG/f3/A=",0)</f>
        <v>0</v>
      </c>
      <c r="IH99" t="e">
        <f>AND('Planilla_General_03-12-2012_9_3'!A1584,"AAAAAG/f3/E=")</f>
        <v>#VALUE!</v>
      </c>
      <c r="II99" t="e">
        <f>AND('Planilla_General_03-12-2012_9_3'!B1584,"AAAAAG/f3/I=")</f>
        <v>#VALUE!</v>
      </c>
      <c r="IJ99" t="e">
        <f>AND('Planilla_General_03-12-2012_9_3'!C1584,"AAAAAG/f3/M=")</f>
        <v>#VALUE!</v>
      </c>
      <c r="IK99" t="e">
        <f>AND('Planilla_General_03-12-2012_9_3'!D1584,"AAAAAG/f3/Q=")</f>
        <v>#VALUE!</v>
      </c>
      <c r="IL99" t="e">
        <f>AND('Planilla_General_03-12-2012_9_3'!E1584,"AAAAAG/f3/U=")</f>
        <v>#VALUE!</v>
      </c>
      <c r="IM99" t="e">
        <f>AND('Planilla_General_03-12-2012_9_3'!F1584,"AAAAAG/f3/Y=")</f>
        <v>#VALUE!</v>
      </c>
      <c r="IN99" t="e">
        <f>AND('Planilla_General_03-12-2012_9_3'!G1584,"AAAAAG/f3/c=")</f>
        <v>#VALUE!</v>
      </c>
      <c r="IO99" t="e">
        <f>AND('Planilla_General_03-12-2012_9_3'!H1584,"AAAAAG/f3/g=")</f>
        <v>#VALUE!</v>
      </c>
      <c r="IP99" t="e">
        <f>AND('Planilla_General_03-12-2012_9_3'!I1584,"AAAAAG/f3/k=")</f>
        <v>#VALUE!</v>
      </c>
      <c r="IQ99" t="e">
        <f>AND('Planilla_General_03-12-2012_9_3'!J1584,"AAAAAG/f3/o=")</f>
        <v>#VALUE!</v>
      </c>
      <c r="IR99" t="e">
        <f>AND('Planilla_General_03-12-2012_9_3'!K1584,"AAAAAG/f3/s=")</f>
        <v>#VALUE!</v>
      </c>
      <c r="IS99" t="e">
        <f>AND('Planilla_General_03-12-2012_9_3'!L1584,"AAAAAG/f3/w=")</f>
        <v>#VALUE!</v>
      </c>
      <c r="IT99" t="e">
        <f>AND('Planilla_General_03-12-2012_9_3'!M1584,"AAAAAG/f3/0=")</f>
        <v>#VALUE!</v>
      </c>
      <c r="IU99" t="e">
        <f>AND('Planilla_General_03-12-2012_9_3'!N1584,"AAAAAG/f3/4=")</f>
        <v>#VALUE!</v>
      </c>
      <c r="IV99" t="e">
        <f>AND('Planilla_General_03-12-2012_9_3'!O1584,"AAAAAG/f3/8=")</f>
        <v>#VALUE!</v>
      </c>
    </row>
    <row r="100" spans="1:256" x14ac:dyDescent="0.25">
      <c r="A100" t="e">
        <f>IF('Planilla_General_03-12-2012_9_3'!1585:1585,"AAAAAH///wA=",0)</f>
        <v>#VALUE!</v>
      </c>
      <c r="B100" t="e">
        <f>AND('Planilla_General_03-12-2012_9_3'!A1585,"AAAAAH///wE=")</f>
        <v>#VALUE!</v>
      </c>
      <c r="C100" t="e">
        <f>AND('Planilla_General_03-12-2012_9_3'!B1585,"AAAAAH///wI=")</f>
        <v>#VALUE!</v>
      </c>
      <c r="D100" t="e">
        <f>AND('Planilla_General_03-12-2012_9_3'!C1585,"AAAAAH///wM=")</f>
        <v>#VALUE!</v>
      </c>
      <c r="E100" t="e">
        <f>AND('Planilla_General_03-12-2012_9_3'!D1585,"AAAAAH///wQ=")</f>
        <v>#VALUE!</v>
      </c>
      <c r="F100" t="e">
        <f>AND('Planilla_General_03-12-2012_9_3'!E1585,"AAAAAH///wU=")</f>
        <v>#VALUE!</v>
      </c>
      <c r="G100" t="e">
        <f>AND('Planilla_General_03-12-2012_9_3'!F1585,"AAAAAH///wY=")</f>
        <v>#VALUE!</v>
      </c>
      <c r="H100" t="e">
        <f>AND('Planilla_General_03-12-2012_9_3'!G1585,"AAAAAH///wc=")</f>
        <v>#VALUE!</v>
      </c>
      <c r="I100" t="e">
        <f>AND('Planilla_General_03-12-2012_9_3'!H1585,"AAAAAH///wg=")</f>
        <v>#VALUE!</v>
      </c>
      <c r="J100" t="e">
        <f>AND('Planilla_General_03-12-2012_9_3'!I1585,"AAAAAH///wk=")</f>
        <v>#VALUE!</v>
      </c>
      <c r="K100" t="e">
        <f>AND('Planilla_General_03-12-2012_9_3'!J1585,"AAAAAH///wo=")</f>
        <v>#VALUE!</v>
      </c>
      <c r="L100" t="e">
        <f>AND('Planilla_General_03-12-2012_9_3'!K1585,"AAAAAH///ws=")</f>
        <v>#VALUE!</v>
      </c>
      <c r="M100" t="e">
        <f>AND('Planilla_General_03-12-2012_9_3'!L1585,"AAAAAH///ww=")</f>
        <v>#VALUE!</v>
      </c>
      <c r="N100" t="e">
        <f>AND('Planilla_General_03-12-2012_9_3'!M1585,"AAAAAH///w0=")</f>
        <v>#VALUE!</v>
      </c>
      <c r="O100" t="e">
        <f>AND('Planilla_General_03-12-2012_9_3'!N1585,"AAAAAH///w4=")</f>
        <v>#VALUE!</v>
      </c>
      <c r="P100" t="e">
        <f>AND('Planilla_General_03-12-2012_9_3'!O1585,"AAAAAH///w8=")</f>
        <v>#VALUE!</v>
      </c>
      <c r="Q100">
        <f>IF('Planilla_General_03-12-2012_9_3'!1586:1586,"AAAAAH///xA=",0)</f>
        <v>0</v>
      </c>
      <c r="R100" t="e">
        <f>AND('Planilla_General_03-12-2012_9_3'!A1586,"AAAAAH///xE=")</f>
        <v>#VALUE!</v>
      </c>
      <c r="S100" t="e">
        <f>AND('Planilla_General_03-12-2012_9_3'!B1586,"AAAAAH///xI=")</f>
        <v>#VALUE!</v>
      </c>
      <c r="T100" t="e">
        <f>AND('Planilla_General_03-12-2012_9_3'!C1586,"AAAAAH///xM=")</f>
        <v>#VALUE!</v>
      </c>
      <c r="U100" t="e">
        <f>AND('Planilla_General_03-12-2012_9_3'!D1586,"AAAAAH///xQ=")</f>
        <v>#VALUE!</v>
      </c>
      <c r="V100" t="e">
        <f>AND('Planilla_General_03-12-2012_9_3'!E1586,"AAAAAH///xU=")</f>
        <v>#VALUE!</v>
      </c>
      <c r="W100" t="e">
        <f>AND('Planilla_General_03-12-2012_9_3'!F1586,"AAAAAH///xY=")</f>
        <v>#VALUE!</v>
      </c>
      <c r="X100" t="e">
        <f>AND('Planilla_General_03-12-2012_9_3'!G1586,"AAAAAH///xc=")</f>
        <v>#VALUE!</v>
      </c>
      <c r="Y100" t="e">
        <f>AND('Planilla_General_03-12-2012_9_3'!H1586,"AAAAAH///xg=")</f>
        <v>#VALUE!</v>
      </c>
      <c r="Z100" t="e">
        <f>AND('Planilla_General_03-12-2012_9_3'!I1586,"AAAAAH///xk=")</f>
        <v>#VALUE!</v>
      </c>
      <c r="AA100" t="e">
        <f>AND('Planilla_General_03-12-2012_9_3'!J1586,"AAAAAH///xo=")</f>
        <v>#VALUE!</v>
      </c>
      <c r="AB100" t="e">
        <f>AND('Planilla_General_03-12-2012_9_3'!K1586,"AAAAAH///xs=")</f>
        <v>#VALUE!</v>
      </c>
      <c r="AC100" t="e">
        <f>AND('Planilla_General_03-12-2012_9_3'!L1586,"AAAAAH///xw=")</f>
        <v>#VALUE!</v>
      </c>
      <c r="AD100" t="e">
        <f>AND('Planilla_General_03-12-2012_9_3'!M1586,"AAAAAH///x0=")</f>
        <v>#VALUE!</v>
      </c>
      <c r="AE100" t="e">
        <f>AND('Planilla_General_03-12-2012_9_3'!N1586,"AAAAAH///x4=")</f>
        <v>#VALUE!</v>
      </c>
      <c r="AF100" t="e">
        <f>AND('Planilla_General_03-12-2012_9_3'!O1586,"AAAAAH///x8=")</f>
        <v>#VALUE!</v>
      </c>
      <c r="AG100">
        <f>IF('Planilla_General_03-12-2012_9_3'!1587:1587,"AAAAAH///yA=",0)</f>
        <v>0</v>
      </c>
      <c r="AH100" t="e">
        <f>AND('Planilla_General_03-12-2012_9_3'!A1587,"AAAAAH///yE=")</f>
        <v>#VALUE!</v>
      </c>
      <c r="AI100" t="e">
        <f>AND('Planilla_General_03-12-2012_9_3'!B1587,"AAAAAH///yI=")</f>
        <v>#VALUE!</v>
      </c>
      <c r="AJ100" t="e">
        <f>AND('Planilla_General_03-12-2012_9_3'!C1587,"AAAAAH///yM=")</f>
        <v>#VALUE!</v>
      </c>
      <c r="AK100" t="e">
        <f>AND('Planilla_General_03-12-2012_9_3'!D1587,"AAAAAH///yQ=")</f>
        <v>#VALUE!</v>
      </c>
      <c r="AL100" t="e">
        <f>AND('Planilla_General_03-12-2012_9_3'!E1587,"AAAAAH///yU=")</f>
        <v>#VALUE!</v>
      </c>
      <c r="AM100" t="e">
        <f>AND('Planilla_General_03-12-2012_9_3'!F1587,"AAAAAH///yY=")</f>
        <v>#VALUE!</v>
      </c>
      <c r="AN100" t="e">
        <f>AND('Planilla_General_03-12-2012_9_3'!G1587,"AAAAAH///yc=")</f>
        <v>#VALUE!</v>
      </c>
      <c r="AO100" t="e">
        <f>AND('Planilla_General_03-12-2012_9_3'!H1587,"AAAAAH///yg=")</f>
        <v>#VALUE!</v>
      </c>
      <c r="AP100" t="e">
        <f>AND('Planilla_General_03-12-2012_9_3'!I1587,"AAAAAH///yk=")</f>
        <v>#VALUE!</v>
      </c>
      <c r="AQ100" t="e">
        <f>AND('Planilla_General_03-12-2012_9_3'!J1587,"AAAAAH///yo=")</f>
        <v>#VALUE!</v>
      </c>
      <c r="AR100" t="e">
        <f>AND('Planilla_General_03-12-2012_9_3'!K1587,"AAAAAH///ys=")</f>
        <v>#VALUE!</v>
      </c>
      <c r="AS100" t="e">
        <f>AND('Planilla_General_03-12-2012_9_3'!L1587,"AAAAAH///yw=")</f>
        <v>#VALUE!</v>
      </c>
      <c r="AT100" t="e">
        <f>AND('Planilla_General_03-12-2012_9_3'!M1587,"AAAAAH///y0=")</f>
        <v>#VALUE!</v>
      </c>
      <c r="AU100" t="e">
        <f>AND('Planilla_General_03-12-2012_9_3'!N1587,"AAAAAH///y4=")</f>
        <v>#VALUE!</v>
      </c>
      <c r="AV100" t="e">
        <f>AND('Planilla_General_03-12-2012_9_3'!O1587,"AAAAAH///y8=")</f>
        <v>#VALUE!</v>
      </c>
      <c r="AW100">
        <f>IF('Planilla_General_03-12-2012_9_3'!1588:1588,"AAAAAH///zA=",0)</f>
        <v>0</v>
      </c>
      <c r="AX100" t="e">
        <f>AND('Planilla_General_03-12-2012_9_3'!A1588,"AAAAAH///zE=")</f>
        <v>#VALUE!</v>
      </c>
      <c r="AY100" t="e">
        <f>AND('Planilla_General_03-12-2012_9_3'!B1588,"AAAAAH///zI=")</f>
        <v>#VALUE!</v>
      </c>
      <c r="AZ100" t="e">
        <f>AND('Planilla_General_03-12-2012_9_3'!C1588,"AAAAAH///zM=")</f>
        <v>#VALUE!</v>
      </c>
      <c r="BA100" t="e">
        <f>AND('Planilla_General_03-12-2012_9_3'!D1588,"AAAAAH///zQ=")</f>
        <v>#VALUE!</v>
      </c>
      <c r="BB100" t="e">
        <f>AND('Planilla_General_03-12-2012_9_3'!E1588,"AAAAAH///zU=")</f>
        <v>#VALUE!</v>
      </c>
      <c r="BC100" t="e">
        <f>AND('Planilla_General_03-12-2012_9_3'!F1588,"AAAAAH///zY=")</f>
        <v>#VALUE!</v>
      </c>
      <c r="BD100" t="e">
        <f>AND('Planilla_General_03-12-2012_9_3'!G1588,"AAAAAH///zc=")</f>
        <v>#VALUE!</v>
      </c>
      <c r="BE100" t="e">
        <f>AND('Planilla_General_03-12-2012_9_3'!H1588,"AAAAAH///zg=")</f>
        <v>#VALUE!</v>
      </c>
      <c r="BF100" t="e">
        <f>AND('Planilla_General_03-12-2012_9_3'!I1588,"AAAAAH///zk=")</f>
        <v>#VALUE!</v>
      </c>
      <c r="BG100" t="e">
        <f>AND('Planilla_General_03-12-2012_9_3'!J1588,"AAAAAH///zo=")</f>
        <v>#VALUE!</v>
      </c>
      <c r="BH100" t="e">
        <f>AND('Planilla_General_03-12-2012_9_3'!K1588,"AAAAAH///zs=")</f>
        <v>#VALUE!</v>
      </c>
      <c r="BI100" t="e">
        <f>AND('Planilla_General_03-12-2012_9_3'!L1588,"AAAAAH///zw=")</f>
        <v>#VALUE!</v>
      </c>
      <c r="BJ100" t="e">
        <f>AND('Planilla_General_03-12-2012_9_3'!M1588,"AAAAAH///z0=")</f>
        <v>#VALUE!</v>
      </c>
      <c r="BK100" t="e">
        <f>AND('Planilla_General_03-12-2012_9_3'!N1588,"AAAAAH///z4=")</f>
        <v>#VALUE!</v>
      </c>
      <c r="BL100" t="e">
        <f>AND('Planilla_General_03-12-2012_9_3'!O1588,"AAAAAH///z8=")</f>
        <v>#VALUE!</v>
      </c>
      <c r="BM100">
        <f>IF('Planilla_General_03-12-2012_9_3'!1589:1589,"AAAAAH///0A=",0)</f>
        <v>0</v>
      </c>
      <c r="BN100" t="e">
        <f>AND('Planilla_General_03-12-2012_9_3'!A1589,"AAAAAH///0E=")</f>
        <v>#VALUE!</v>
      </c>
      <c r="BO100" t="e">
        <f>AND('Planilla_General_03-12-2012_9_3'!B1589,"AAAAAH///0I=")</f>
        <v>#VALUE!</v>
      </c>
      <c r="BP100" t="e">
        <f>AND('Planilla_General_03-12-2012_9_3'!C1589,"AAAAAH///0M=")</f>
        <v>#VALUE!</v>
      </c>
      <c r="BQ100" t="e">
        <f>AND('Planilla_General_03-12-2012_9_3'!D1589,"AAAAAH///0Q=")</f>
        <v>#VALUE!</v>
      </c>
      <c r="BR100" t="e">
        <f>AND('Planilla_General_03-12-2012_9_3'!E1589,"AAAAAH///0U=")</f>
        <v>#VALUE!</v>
      </c>
      <c r="BS100" t="e">
        <f>AND('Planilla_General_03-12-2012_9_3'!F1589,"AAAAAH///0Y=")</f>
        <v>#VALUE!</v>
      </c>
      <c r="BT100" t="e">
        <f>AND('Planilla_General_03-12-2012_9_3'!G1589,"AAAAAH///0c=")</f>
        <v>#VALUE!</v>
      </c>
      <c r="BU100" t="e">
        <f>AND('Planilla_General_03-12-2012_9_3'!H1589,"AAAAAH///0g=")</f>
        <v>#VALUE!</v>
      </c>
      <c r="BV100" t="e">
        <f>AND('Planilla_General_03-12-2012_9_3'!I1589,"AAAAAH///0k=")</f>
        <v>#VALUE!</v>
      </c>
      <c r="BW100" t="e">
        <f>AND('Planilla_General_03-12-2012_9_3'!J1589,"AAAAAH///0o=")</f>
        <v>#VALUE!</v>
      </c>
      <c r="BX100" t="e">
        <f>AND('Planilla_General_03-12-2012_9_3'!K1589,"AAAAAH///0s=")</f>
        <v>#VALUE!</v>
      </c>
      <c r="BY100" t="e">
        <f>AND('Planilla_General_03-12-2012_9_3'!L1589,"AAAAAH///0w=")</f>
        <v>#VALUE!</v>
      </c>
      <c r="BZ100" t="e">
        <f>AND('Planilla_General_03-12-2012_9_3'!M1589,"AAAAAH///00=")</f>
        <v>#VALUE!</v>
      </c>
      <c r="CA100" t="e">
        <f>AND('Planilla_General_03-12-2012_9_3'!N1589,"AAAAAH///04=")</f>
        <v>#VALUE!</v>
      </c>
      <c r="CB100" t="e">
        <f>AND('Planilla_General_03-12-2012_9_3'!O1589,"AAAAAH///08=")</f>
        <v>#VALUE!</v>
      </c>
      <c r="CC100">
        <f>IF('Planilla_General_03-12-2012_9_3'!1590:1590,"AAAAAH///1A=",0)</f>
        <v>0</v>
      </c>
      <c r="CD100" t="e">
        <f>AND('Planilla_General_03-12-2012_9_3'!A1590,"AAAAAH///1E=")</f>
        <v>#VALUE!</v>
      </c>
      <c r="CE100" t="e">
        <f>AND('Planilla_General_03-12-2012_9_3'!B1590,"AAAAAH///1I=")</f>
        <v>#VALUE!</v>
      </c>
      <c r="CF100" t="e">
        <f>AND('Planilla_General_03-12-2012_9_3'!C1590,"AAAAAH///1M=")</f>
        <v>#VALUE!</v>
      </c>
      <c r="CG100" t="e">
        <f>AND('Planilla_General_03-12-2012_9_3'!D1590,"AAAAAH///1Q=")</f>
        <v>#VALUE!</v>
      </c>
      <c r="CH100" t="e">
        <f>AND('Planilla_General_03-12-2012_9_3'!E1590,"AAAAAH///1U=")</f>
        <v>#VALUE!</v>
      </c>
      <c r="CI100" t="e">
        <f>AND('Planilla_General_03-12-2012_9_3'!F1590,"AAAAAH///1Y=")</f>
        <v>#VALUE!</v>
      </c>
      <c r="CJ100" t="e">
        <f>AND('Planilla_General_03-12-2012_9_3'!G1590,"AAAAAH///1c=")</f>
        <v>#VALUE!</v>
      </c>
      <c r="CK100" t="e">
        <f>AND('Planilla_General_03-12-2012_9_3'!H1590,"AAAAAH///1g=")</f>
        <v>#VALUE!</v>
      </c>
      <c r="CL100" t="e">
        <f>AND('Planilla_General_03-12-2012_9_3'!I1590,"AAAAAH///1k=")</f>
        <v>#VALUE!</v>
      </c>
      <c r="CM100" t="e">
        <f>AND('Planilla_General_03-12-2012_9_3'!J1590,"AAAAAH///1o=")</f>
        <v>#VALUE!</v>
      </c>
      <c r="CN100" t="e">
        <f>AND('Planilla_General_03-12-2012_9_3'!K1590,"AAAAAH///1s=")</f>
        <v>#VALUE!</v>
      </c>
      <c r="CO100" t="e">
        <f>AND('Planilla_General_03-12-2012_9_3'!L1590,"AAAAAH///1w=")</f>
        <v>#VALUE!</v>
      </c>
      <c r="CP100" t="e">
        <f>AND('Planilla_General_03-12-2012_9_3'!M1590,"AAAAAH///10=")</f>
        <v>#VALUE!</v>
      </c>
      <c r="CQ100" t="e">
        <f>AND('Planilla_General_03-12-2012_9_3'!N1590,"AAAAAH///14=")</f>
        <v>#VALUE!</v>
      </c>
      <c r="CR100" t="e">
        <f>AND('Planilla_General_03-12-2012_9_3'!O1590,"AAAAAH///18=")</f>
        <v>#VALUE!</v>
      </c>
      <c r="CS100">
        <f>IF('Planilla_General_03-12-2012_9_3'!1591:1591,"AAAAAH///2A=",0)</f>
        <v>0</v>
      </c>
      <c r="CT100" t="e">
        <f>AND('Planilla_General_03-12-2012_9_3'!A1591,"AAAAAH///2E=")</f>
        <v>#VALUE!</v>
      </c>
      <c r="CU100" t="e">
        <f>AND('Planilla_General_03-12-2012_9_3'!B1591,"AAAAAH///2I=")</f>
        <v>#VALUE!</v>
      </c>
      <c r="CV100" t="e">
        <f>AND('Planilla_General_03-12-2012_9_3'!C1591,"AAAAAH///2M=")</f>
        <v>#VALUE!</v>
      </c>
      <c r="CW100" t="e">
        <f>AND('Planilla_General_03-12-2012_9_3'!D1591,"AAAAAH///2Q=")</f>
        <v>#VALUE!</v>
      </c>
      <c r="CX100" t="e">
        <f>AND('Planilla_General_03-12-2012_9_3'!E1591,"AAAAAH///2U=")</f>
        <v>#VALUE!</v>
      </c>
      <c r="CY100" t="e">
        <f>AND('Planilla_General_03-12-2012_9_3'!F1591,"AAAAAH///2Y=")</f>
        <v>#VALUE!</v>
      </c>
      <c r="CZ100" t="e">
        <f>AND('Planilla_General_03-12-2012_9_3'!G1591,"AAAAAH///2c=")</f>
        <v>#VALUE!</v>
      </c>
      <c r="DA100" t="e">
        <f>AND('Planilla_General_03-12-2012_9_3'!H1591,"AAAAAH///2g=")</f>
        <v>#VALUE!</v>
      </c>
      <c r="DB100" t="e">
        <f>AND('Planilla_General_03-12-2012_9_3'!I1591,"AAAAAH///2k=")</f>
        <v>#VALUE!</v>
      </c>
      <c r="DC100" t="e">
        <f>AND('Planilla_General_03-12-2012_9_3'!J1591,"AAAAAH///2o=")</f>
        <v>#VALUE!</v>
      </c>
      <c r="DD100" t="e">
        <f>AND('Planilla_General_03-12-2012_9_3'!K1591,"AAAAAH///2s=")</f>
        <v>#VALUE!</v>
      </c>
      <c r="DE100" t="e">
        <f>AND('Planilla_General_03-12-2012_9_3'!L1591,"AAAAAH///2w=")</f>
        <v>#VALUE!</v>
      </c>
      <c r="DF100" t="e">
        <f>AND('Planilla_General_03-12-2012_9_3'!M1591,"AAAAAH///20=")</f>
        <v>#VALUE!</v>
      </c>
      <c r="DG100" t="e">
        <f>AND('Planilla_General_03-12-2012_9_3'!N1591,"AAAAAH///24=")</f>
        <v>#VALUE!</v>
      </c>
      <c r="DH100" t="e">
        <f>AND('Planilla_General_03-12-2012_9_3'!O1591,"AAAAAH///28=")</f>
        <v>#VALUE!</v>
      </c>
      <c r="DI100">
        <f>IF('Planilla_General_03-12-2012_9_3'!1592:1592,"AAAAAH///3A=",0)</f>
        <v>0</v>
      </c>
      <c r="DJ100" t="e">
        <f>AND('Planilla_General_03-12-2012_9_3'!A1592,"AAAAAH///3E=")</f>
        <v>#VALUE!</v>
      </c>
      <c r="DK100" t="e">
        <f>AND('Planilla_General_03-12-2012_9_3'!B1592,"AAAAAH///3I=")</f>
        <v>#VALUE!</v>
      </c>
      <c r="DL100" t="e">
        <f>AND('Planilla_General_03-12-2012_9_3'!C1592,"AAAAAH///3M=")</f>
        <v>#VALUE!</v>
      </c>
      <c r="DM100" t="e">
        <f>AND('Planilla_General_03-12-2012_9_3'!D1592,"AAAAAH///3Q=")</f>
        <v>#VALUE!</v>
      </c>
      <c r="DN100" t="e">
        <f>AND('Planilla_General_03-12-2012_9_3'!E1592,"AAAAAH///3U=")</f>
        <v>#VALUE!</v>
      </c>
      <c r="DO100" t="e">
        <f>AND('Planilla_General_03-12-2012_9_3'!F1592,"AAAAAH///3Y=")</f>
        <v>#VALUE!</v>
      </c>
      <c r="DP100" t="e">
        <f>AND('Planilla_General_03-12-2012_9_3'!G1592,"AAAAAH///3c=")</f>
        <v>#VALUE!</v>
      </c>
      <c r="DQ100" t="e">
        <f>AND('Planilla_General_03-12-2012_9_3'!H1592,"AAAAAH///3g=")</f>
        <v>#VALUE!</v>
      </c>
      <c r="DR100" t="e">
        <f>AND('Planilla_General_03-12-2012_9_3'!I1592,"AAAAAH///3k=")</f>
        <v>#VALUE!</v>
      </c>
      <c r="DS100" t="e">
        <f>AND('Planilla_General_03-12-2012_9_3'!J1592,"AAAAAH///3o=")</f>
        <v>#VALUE!</v>
      </c>
      <c r="DT100" t="e">
        <f>AND('Planilla_General_03-12-2012_9_3'!K1592,"AAAAAH///3s=")</f>
        <v>#VALUE!</v>
      </c>
      <c r="DU100" t="e">
        <f>AND('Planilla_General_03-12-2012_9_3'!L1592,"AAAAAH///3w=")</f>
        <v>#VALUE!</v>
      </c>
      <c r="DV100" t="e">
        <f>AND('Planilla_General_03-12-2012_9_3'!M1592,"AAAAAH///30=")</f>
        <v>#VALUE!</v>
      </c>
      <c r="DW100" t="e">
        <f>AND('Planilla_General_03-12-2012_9_3'!N1592,"AAAAAH///34=")</f>
        <v>#VALUE!</v>
      </c>
      <c r="DX100" t="e">
        <f>AND('Planilla_General_03-12-2012_9_3'!O1592,"AAAAAH///38=")</f>
        <v>#VALUE!</v>
      </c>
      <c r="DY100">
        <f>IF('Planilla_General_03-12-2012_9_3'!1593:1593,"AAAAAH///4A=",0)</f>
        <v>0</v>
      </c>
      <c r="DZ100" t="e">
        <f>AND('Planilla_General_03-12-2012_9_3'!A1593,"AAAAAH///4E=")</f>
        <v>#VALUE!</v>
      </c>
      <c r="EA100" t="e">
        <f>AND('Planilla_General_03-12-2012_9_3'!B1593,"AAAAAH///4I=")</f>
        <v>#VALUE!</v>
      </c>
      <c r="EB100" t="e">
        <f>AND('Planilla_General_03-12-2012_9_3'!C1593,"AAAAAH///4M=")</f>
        <v>#VALUE!</v>
      </c>
      <c r="EC100" t="e">
        <f>AND('Planilla_General_03-12-2012_9_3'!D1593,"AAAAAH///4Q=")</f>
        <v>#VALUE!</v>
      </c>
      <c r="ED100" t="e">
        <f>AND('Planilla_General_03-12-2012_9_3'!E1593,"AAAAAH///4U=")</f>
        <v>#VALUE!</v>
      </c>
      <c r="EE100" t="e">
        <f>AND('Planilla_General_03-12-2012_9_3'!F1593,"AAAAAH///4Y=")</f>
        <v>#VALUE!</v>
      </c>
      <c r="EF100" t="e">
        <f>AND('Planilla_General_03-12-2012_9_3'!G1593,"AAAAAH///4c=")</f>
        <v>#VALUE!</v>
      </c>
      <c r="EG100" t="e">
        <f>AND('Planilla_General_03-12-2012_9_3'!H1593,"AAAAAH///4g=")</f>
        <v>#VALUE!</v>
      </c>
      <c r="EH100" t="e">
        <f>AND('Planilla_General_03-12-2012_9_3'!I1593,"AAAAAH///4k=")</f>
        <v>#VALUE!</v>
      </c>
      <c r="EI100" t="e">
        <f>AND('Planilla_General_03-12-2012_9_3'!J1593,"AAAAAH///4o=")</f>
        <v>#VALUE!</v>
      </c>
      <c r="EJ100" t="e">
        <f>AND('Planilla_General_03-12-2012_9_3'!K1593,"AAAAAH///4s=")</f>
        <v>#VALUE!</v>
      </c>
      <c r="EK100" t="e">
        <f>AND('Planilla_General_03-12-2012_9_3'!L1593,"AAAAAH///4w=")</f>
        <v>#VALUE!</v>
      </c>
      <c r="EL100" t="e">
        <f>AND('Planilla_General_03-12-2012_9_3'!M1593,"AAAAAH///40=")</f>
        <v>#VALUE!</v>
      </c>
      <c r="EM100" t="e">
        <f>AND('Planilla_General_03-12-2012_9_3'!N1593,"AAAAAH///44=")</f>
        <v>#VALUE!</v>
      </c>
      <c r="EN100" t="e">
        <f>AND('Planilla_General_03-12-2012_9_3'!O1593,"AAAAAH///48=")</f>
        <v>#VALUE!</v>
      </c>
      <c r="EO100">
        <f>IF('Planilla_General_03-12-2012_9_3'!1594:1594,"AAAAAH///5A=",0)</f>
        <v>0</v>
      </c>
      <c r="EP100" t="e">
        <f>AND('Planilla_General_03-12-2012_9_3'!A1594,"AAAAAH///5E=")</f>
        <v>#VALUE!</v>
      </c>
      <c r="EQ100" t="e">
        <f>AND('Planilla_General_03-12-2012_9_3'!B1594,"AAAAAH///5I=")</f>
        <v>#VALUE!</v>
      </c>
      <c r="ER100" t="e">
        <f>AND('Planilla_General_03-12-2012_9_3'!C1594,"AAAAAH///5M=")</f>
        <v>#VALUE!</v>
      </c>
      <c r="ES100" t="e">
        <f>AND('Planilla_General_03-12-2012_9_3'!D1594,"AAAAAH///5Q=")</f>
        <v>#VALUE!</v>
      </c>
      <c r="ET100" t="e">
        <f>AND('Planilla_General_03-12-2012_9_3'!E1594,"AAAAAH///5U=")</f>
        <v>#VALUE!</v>
      </c>
      <c r="EU100" t="e">
        <f>AND('Planilla_General_03-12-2012_9_3'!F1594,"AAAAAH///5Y=")</f>
        <v>#VALUE!</v>
      </c>
      <c r="EV100" t="e">
        <f>AND('Planilla_General_03-12-2012_9_3'!G1594,"AAAAAH///5c=")</f>
        <v>#VALUE!</v>
      </c>
      <c r="EW100" t="e">
        <f>AND('Planilla_General_03-12-2012_9_3'!H1594,"AAAAAH///5g=")</f>
        <v>#VALUE!</v>
      </c>
      <c r="EX100" t="e">
        <f>AND('Planilla_General_03-12-2012_9_3'!I1594,"AAAAAH///5k=")</f>
        <v>#VALUE!</v>
      </c>
      <c r="EY100" t="e">
        <f>AND('Planilla_General_03-12-2012_9_3'!J1594,"AAAAAH///5o=")</f>
        <v>#VALUE!</v>
      </c>
      <c r="EZ100" t="e">
        <f>AND('Planilla_General_03-12-2012_9_3'!K1594,"AAAAAH///5s=")</f>
        <v>#VALUE!</v>
      </c>
      <c r="FA100" t="e">
        <f>AND('Planilla_General_03-12-2012_9_3'!L1594,"AAAAAH///5w=")</f>
        <v>#VALUE!</v>
      </c>
      <c r="FB100" t="e">
        <f>AND('Planilla_General_03-12-2012_9_3'!M1594,"AAAAAH///50=")</f>
        <v>#VALUE!</v>
      </c>
      <c r="FC100" t="e">
        <f>AND('Planilla_General_03-12-2012_9_3'!N1594,"AAAAAH///54=")</f>
        <v>#VALUE!</v>
      </c>
      <c r="FD100" t="e">
        <f>AND('Planilla_General_03-12-2012_9_3'!O1594,"AAAAAH///58=")</f>
        <v>#VALUE!</v>
      </c>
      <c r="FE100">
        <f>IF('Planilla_General_03-12-2012_9_3'!1595:1595,"AAAAAH///6A=",0)</f>
        <v>0</v>
      </c>
      <c r="FF100" t="e">
        <f>AND('Planilla_General_03-12-2012_9_3'!A1595,"AAAAAH///6E=")</f>
        <v>#VALUE!</v>
      </c>
      <c r="FG100" t="e">
        <f>AND('Planilla_General_03-12-2012_9_3'!B1595,"AAAAAH///6I=")</f>
        <v>#VALUE!</v>
      </c>
      <c r="FH100" t="e">
        <f>AND('Planilla_General_03-12-2012_9_3'!C1595,"AAAAAH///6M=")</f>
        <v>#VALUE!</v>
      </c>
      <c r="FI100" t="e">
        <f>AND('Planilla_General_03-12-2012_9_3'!D1595,"AAAAAH///6Q=")</f>
        <v>#VALUE!</v>
      </c>
      <c r="FJ100" t="e">
        <f>AND('Planilla_General_03-12-2012_9_3'!E1595,"AAAAAH///6U=")</f>
        <v>#VALUE!</v>
      </c>
      <c r="FK100" t="e">
        <f>AND('Planilla_General_03-12-2012_9_3'!F1595,"AAAAAH///6Y=")</f>
        <v>#VALUE!</v>
      </c>
      <c r="FL100" t="e">
        <f>AND('Planilla_General_03-12-2012_9_3'!G1595,"AAAAAH///6c=")</f>
        <v>#VALUE!</v>
      </c>
      <c r="FM100" t="e">
        <f>AND('Planilla_General_03-12-2012_9_3'!H1595,"AAAAAH///6g=")</f>
        <v>#VALUE!</v>
      </c>
      <c r="FN100" t="e">
        <f>AND('Planilla_General_03-12-2012_9_3'!I1595,"AAAAAH///6k=")</f>
        <v>#VALUE!</v>
      </c>
      <c r="FO100" t="e">
        <f>AND('Planilla_General_03-12-2012_9_3'!J1595,"AAAAAH///6o=")</f>
        <v>#VALUE!</v>
      </c>
      <c r="FP100" t="e">
        <f>AND('Planilla_General_03-12-2012_9_3'!K1595,"AAAAAH///6s=")</f>
        <v>#VALUE!</v>
      </c>
      <c r="FQ100" t="e">
        <f>AND('Planilla_General_03-12-2012_9_3'!L1595,"AAAAAH///6w=")</f>
        <v>#VALUE!</v>
      </c>
      <c r="FR100" t="e">
        <f>AND('Planilla_General_03-12-2012_9_3'!M1595,"AAAAAH///60=")</f>
        <v>#VALUE!</v>
      </c>
      <c r="FS100" t="e">
        <f>AND('Planilla_General_03-12-2012_9_3'!N1595,"AAAAAH///64=")</f>
        <v>#VALUE!</v>
      </c>
      <c r="FT100" t="e">
        <f>AND('Planilla_General_03-12-2012_9_3'!O1595,"AAAAAH///68=")</f>
        <v>#VALUE!</v>
      </c>
      <c r="FU100">
        <f>IF('Planilla_General_03-12-2012_9_3'!1596:1596,"AAAAAH///7A=",0)</f>
        <v>0</v>
      </c>
      <c r="FV100" t="e">
        <f>AND('Planilla_General_03-12-2012_9_3'!A1596,"AAAAAH///7E=")</f>
        <v>#VALUE!</v>
      </c>
      <c r="FW100" t="e">
        <f>AND('Planilla_General_03-12-2012_9_3'!B1596,"AAAAAH///7I=")</f>
        <v>#VALUE!</v>
      </c>
      <c r="FX100" t="e">
        <f>AND('Planilla_General_03-12-2012_9_3'!C1596,"AAAAAH///7M=")</f>
        <v>#VALUE!</v>
      </c>
      <c r="FY100" t="e">
        <f>AND('Planilla_General_03-12-2012_9_3'!D1596,"AAAAAH///7Q=")</f>
        <v>#VALUE!</v>
      </c>
      <c r="FZ100" t="e">
        <f>AND('Planilla_General_03-12-2012_9_3'!E1596,"AAAAAH///7U=")</f>
        <v>#VALUE!</v>
      </c>
      <c r="GA100" t="e">
        <f>AND('Planilla_General_03-12-2012_9_3'!F1596,"AAAAAH///7Y=")</f>
        <v>#VALUE!</v>
      </c>
      <c r="GB100" t="e">
        <f>AND('Planilla_General_03-12-2012_9_3'!G1596,"AAAAAH///7c=")</f>
        <v>#VALUE!</v>
      </c>
      <c r="GC100" t="e">
        <f>AND('Planilla_General_03-12-2012_9_3'!H1596,"AAAAAH///7g=")</f>
        <v>#VALUE!</v>
      </c>
      <c r="GD100" t="e">
        <f>AND('Planilla_General_03-12-2012_9_3'!I1596,"AAAAAH///7k=")</f>
        <v>#VALUE!</v>
      </c>
      <c r="GE100" t="e">
        <f>AND('Planilla_General_03-12-2012_9_3'!J1596,"AAAAAH///7o=")</f>
        <v>#VALUE!</v>
      </c>
      <c r="GF100" t="e">
        <f>AND('Planilla_General_03-12-2012_9_3'!K1596,"AAAAAH///7s=")</f>
        <v>#VALUE!</v>
      </c>
      <c r="GG100" t="e">
        <f>AND('Planilla_General_03-12-2012_9_3'!L1596,"AAAAAH///7w=")</f>
        <v>#VALUE!</v>
      </c>
      <c r="GH100" t="e">
        <f>AND('Planilla_General_03-12-2012_9_3'!M1596,"AAAAAH///70=")</f>
        <v>#VALUE!</v>
      </c>
      <c r="GI100" t="e">
        <f>AND('Planilla_General_03-12-2012_9_3'!N1596,"AAAAAH///74=")</f>
        <v>#VALUE!</v>
      </c>
      <c r="GJ100" t="e">
        <f>AND('Planilla_General_03-12-2012_9_3'!O1596,"AAAAAH///78=")</f>
        <v>#VALUE!</v>
      </c>
      <c r="GK100">
        <f>IF('Planilla_General_03-12-2012_9_3'!1597:1597,"AAAAAH///8A=",0)</f>
        <v>0</v>
      </c>
      <c r="GL100" t="e">
        <f>AND('Planilla_General_03-12-2012_9_3'!A1597,"AAAAAH///8E=")</f>
        <v>#VALUE!</v>
      </c>
      <c r="GM100" t="e">
        <f>AND('Planilla_General_03-12-2012_9_3'!B1597,"AAAAAH///8I=")</f>
        <v>#VALUE!</v>
      </c>
      <c r="GN100" t="e">
        <f>AND('Planilla_General_03-12-2012_9_3'!C1597,"AAAAAH///8M=")</f>
        <v>#VALUE!</v>
      </c>
      <c r="GO100" t="e">
        <f>AND('Planilla_General_03-12-2012_9_3'!D1597,"AAAAAH///8Q=")</f>
        <v>#VALUE!</v>
      </c>
      <c r="GP100" t="e">
        <f>AND('Planilla_General_03-12-2012_9_3'!E1597,"AAAAAH///8U=")</f>
        <v>#VALUE!</v>
      </c>
      <c r="GQ100" t="e">
        <f>AND('Planilla_General_03-12-2012_9_3'!F1597,"AAAAAH///8Y=")</f>
        <v>#VALUE!</v>
      </c>
      <c r="GR100" t="e">
        <f>AND('Planilla_General_03-12-2012_9_3'!G1597,"AAAAAH///8c=")</f>
        <v>#VALUE!</v>
      </c>
      <c r="GS100" t="e">
        <f>AND('Planilla_General_03-12-2012_9_3'!H1597,"AAAAAH///8g=")</f>
        <v>#VALUE!</v>
      </c>
      <c r="GT100" t="e">
        <f>AND('Planilla_General_03-12-2012_9_3'!I1597,"AAAAAH///8k=")</f>
        <v>#VALUE!</v>
      </c>
      <c r="GU100" t="e">
        <f>AND('Planilla_General_03-12-2012_9_3'!J1597,"AAAAAH///8o=")</f>
        <v>#VALUE!</v>
      </c>
      <c r="GV100" t="e">
        <f>AND('Planilla_General_03-12-2012_9_3'!K1597,"AAAAAH///8s=")</f>
        <v>#VALUE!</v>
      </c>
      <c r="GW100" t="e">
        <f>AND('Planilla_General_03-12-2012_9_3'!L1597,"AAAAAH///8w=")</f>
        <v>#VALUE!</v>
      </c>
      <c r="GX100" t="e">
        <f>AND('Planilla_General_03-12-2012_9_3'!M1597,"AAAAAH///80=")</f>
        <v>#VALUE!</v>
      </c>
      <c r="GY100" t="e">
        <f>AND('Planilla_General_03-12-2012_9_3'!N1597,"AAAAAH///84=")</f>
        <v>#VALUE!</v>
      </c>
      <c r="GZ100" t="e">
        <f>AND('Planilla_General_03-12-2012_9_3'!O1597,"AAAAAH///88=")</f>
        <v>#VALUE!</v>
      </c>
      <c r="HA100">
        <f>IF('Planilla_General_03-12-2012_9_3'!1598:1598,"AAAAAH///9A=",0)</f>
        <v>0</v>
      </c>
      <c r="HB100" t="e">
        <f>AND('Planilla_General_03-12-2012_9_3'!A1598,"AAAAAH///9E=")</f>
        <v>#VALUE!</v>
      </c>
      <c r="HC100" t="e">
        <f>AND('Planilla_General_03-12-2012_9_3'!B1598,"AAAAAH///9I=")</f>
        <v>#VALUE!</v>
      </c>
      <c r="HD100" t="e">
        <f>AND('Planilla_General_03-12-2012_9_3'!C1598,"AAAAAH///9M=")</f>
        <v>#VALUE!</v>
      </c>
      <c r="HE100" t="e">
        <f>AND('Planilla_General_03-12-2012_9_3'!D1598,"AAAAAH///9Q=")</f>
        <v>#VALUE!</v>
      </c>
      <c r="HF100" t="e">
        <f>AND('Planilla_General_03-12-2012_9_3'!E1598,"AAAAAH///9U=")</f>
        <v>#VALUE!</v>
      </c>
      <c r="HG100" t="e">
        <f>AND('Planilla_General_03-12-2012_9_3'!F1598,"AAAAAH///9Y=")</f>
        <v>#VALUE!</v>
      </c>
      <c r="HH100" t="e">
        <f>AND('Planilla_General_03-12-2012_9_3'!G1598,"AAAAAH///9c=")</f>
        <v>#VALUE!</v>
      </c>
      <c r="HI100" t="e">
        <f>AND('Planilla_General_03-12-2012_9_3'!H1598,"AAAAAH///9g=")</f>
        <v>#VALUE!</v>
      </c>
      <c r="HJ100" t="e">
        <f>AND('Planilla_General_03-12-2012_9_3'!I1598,"AAAAAH///9k=")</f>
        <v>#VALUE!</v>
      </c>
      <c r="HK100" t="e">
        <f>AND('Planilla_General_03-12-2012_9_3'!J1598,"AAAAAH///9o=")</f>
        <v>#VALUE!</v>
      </c>
      <c r="HL100" t="e">
        <f>AND('Planilla_General_03-12-2012_9_3'!K1598,"AAAAAH///9s=")</f>
        <v>#VALUE!</v>
      </c>
      <c r="HM100" t="e">
        <f>AND('Planilla_General_03-12-2012_9_3'!L1598,"AAAAAH///9w=")</f>
        <v>#VALUE!</v>
      </c>
      <c r="HN100" t="e">
        <f>AND('Planilla_General_03-12-2012_9_3'!M1598,"AAAAAH///90=")</f>
        <v>#VALUE!</v>
      </c>
      <c r="HO100" t="e">
        <f>AND('Planilla_General_03-12-2012_9_3'!N1598,"AAAAAH///94=")</f>
        <v>#VALUE!</v>
      </c>
      <c r="HP100" t="e">
        <f>AND('Planilla_General_03-12-2012_9_3'!O1598,"AAAAAH///98=")</f>
        <v>#VALUE!</v>
      </c>
      <c r="HQ100">
        <f>IF('Planilla_General_03-12-2012_9_3'!1599:1599,"AAAAAH///+A=",0)</f>
        <v>0</v>
      </c>
      <c r="HR100" t="e">
        <f>AND('Planilla_General_03-12-2012_9_3'!A1599,"AAAAAH///+E=")</f>
        <v>#VALUE!</v>
      </c>
      <c r="HS100" t="e">
        <f>AND('Planilla_General_03-12-2012_9_3'!B1599,"AAAAAH///+I=")</f>
        <v>#VALUE!</v>
      </c>
      <c r="HT100" t="e">
        <f>AND('Planilla_General_03-12-2012_9_3'!C1599,"AAAAAH///+M=")</f>
        <v>#VALUE!</v>
      </c>
      <c r="HU100" t="e">
        <f>AND('Planilla_General_03-12-2012_9_3'!D1599,"AAAAAH///+Q=")</f>
        <v>#VALUE!</v>
      </c>
      <c r="HV100" t="e">
        <f>AND('Planilla_General_03-12-2012_9_3'!E1599,"AAAAAH///+U=")</f>
        <v>#VALUE!</v>
      </c>
      <c r="HW100" t="e">
        <f>AND('Planilla_General_03-12-2012_9_3'!F1599,"AAAAAH///+Y=")</f>
        <v>#VALUE!</v>
      </c>
      <c r="HX100" t="e">
        <f>AND('Planilla_General_03-12-2012_9_3'!G1599,"AAAAAH///+c=")</f>
        <v>#VALUE!</v>
      </c>
      <c r="HY100" t="e">
        <f>AND('Planilla_General_03-12-2012_9_3'!H1599,"AAAAAH///+g=")</f>
        <v>#VALUE!</v>
      </c>
      <c r="HZ100" t="e">
        <f>AND('Planilla_General_03-12-2012_9_3'!I1599,"AAAAAH///+k=")</f>
        <v>#VALUE!</v>
      </c>
      <c r="IA100" t="e">
        <f>AND('Planilla_General_03-12-2012_9_3'!J1599,"AAAAAH///+o=")</f>
        <v>#VALUE!</v>
      </c>
      <c r="IB100" t="e">
        <f>AND('Planilla_General_03-12-2012_9_3'!K1599,"AAAAAH///+s=")</f>
        <v>#VALUE!</v>
      </c>
      <c r="IC100" t="e">
        <f>AND('Planilla_General_03-12-2012_9_3'!L1599,"AAAAAH///+w=")</f>
        <v>#VALUE!</v>
      </c>
      <c r="ID100" t="e">
        <f>AND('Planilla_General_03-12-2012_9_3'!M1599,"AAAAAH///+0=")</f>
        <v>#VALUE!</v>
      </c>
      <c r="IE100" t="e">
        <f>AND('Planilla_General_03-12-2012_9_3'!N1599,"AAAAAH///+4=")</f>
        <v>#VALUE!</v>
      </c>
      <c r="IF100" t="e">
        <f>AND('Planilla_General_03-12-2012_9_3'!O1599,"AAAAAH///+8=")</f>
        <v>#VALUE!</v>
      </c>
      <c r="IG100">
        <f>IF('Planilla_General_03-12-2012_9_3'!1600:1600,"AAAAAH////A=",0)</f>
        <v>0</v>
      </c>
      <c r="IH100" t="e">
        <f>AND('Planilla_General_03-12-2012_9_3'!A1600,"AAAAAH////E=")</f>
        <v>#VALUE!</v>
      </c>
      <c r="II100" t="e">
        <f>AND('Planilla_General_03-12-2012_9_3'!B1600,"AAAAAH////I=")</f>
        <v>#VALUE!</v>
      </c>
      <c r="IJ100" t="e">
        <f>AND('Planilla_General_03-12-2012_9_3'!C1600,"AAAAAH////M=")</f>
        <v>#VALUE!</v>
      </c>
      <c r="IK100" t="e">
        <f>AND('Planilla_General_03-12-2012_9_3'!D1600,"AAAAAH////Q=")</f>
        <v>#VALUE!</v>
      </c>
      <c r="IL100" t="e">
        <f>AND('Planilla_General_03-12-2012_9_3'!E1600,"AAAAAH////U=")</f>
        <v>#VALUE!</v>
      </c>
      <c r="IM100" t="e">
        <f>AND('Planilla_General_03-12-2012_9_3'!F1600,"AAAAAH////Y=")</f>
        <v>#VALUE!</v>
      </c>
      <c r="IN100" t="e">
        <f>AND('Planilla_General_03-12-2012_9_3'!G1600,"AAAAAH////c=")</f>
        <v>#VALUE!</v>
      </c>
      <c r="IO100" t="e">
        <f>AND('Planilla_General_03-12-2012_9_3'!H1600,"AAAAAH////g=")</f>
        <v>#VALUE!</v>
      </c>
      <c r="IP100" t="e">
        <f>AND('Planilla_General_03-12-2012_9_3'!I1600,"AAAAAH////k=")</f>
        <v>#VALUE!</v>
      </c>
      <c r="IQ100" t="e">
        <f>AND('Planilla_General_03-12-2012_9_3'!J1600,"AAAAAH////o=")</f>
        <v>#VALUE!</v>
      </c>
      <c r="IR100" t="e">
        <f>AND('Planilla_General_03-12-2012_9_3'!K1600,"AAAAAH////s=")</f>
        <v>#VALUE!</v>
      </c>
      <c r="IS100" t="e">
        <f>AND('Planilla_General_03-12-2012_9_3'!L1600,"AAAAAH////w=")</f>
        <v>#VALUE!</v>
      </c>
      <c r="IT100" t="e">
        <f>AND('Planilla_General_03-12-2012_9_3'!M1600,"AAAAAH////0=")</f>
        <v>#VALUE!</v>
      </c>
      <c r="IU100" t="e">
        <f>AND('Planilla_General_03-12-2012_9_3'!N1600,"AAAAAH////4=")</f>
        <v>#VALUE!</v>
      </c>
      <c r="IV100" t="e">
        <f>AND('Planilla_General_03-12-2012_9_3'!O1600,"AAAAAH////8=")</f>
        <v>#VALUE!</v>
      </c>
    </row>
    <row r="101" spans="1:256" x14ac:dyDescent="0.25">
      <c r="A101" t="e">
        <f>IF('Planilla_General_03-12-2012_9_3'!1601:1601,"AAAAAHff3wA=",0)</f>
        <v>#VALUE!</v>
      </c>
      <c r="B101" t="e">
        <f>AND('Planilla_General_03-12-2012_9_3'!A1601,"AAAAAHff3wE=")</f>
        <v>#VALUE!</v>
      </c>
      <c r="C101" t="e">
        <f>AND('Planilla_General_03-12-2012_9_3'!B1601,"AAAAAHff3wI=")</f>
        <v>#VALUE!</v>
      </c>
      <c r="D101" t="e">
        <f>AND('Planilla_General_03-12-2012_9_3'!C1601,"AAAAAHff3wM=")</f>
        <v>#VALUE!</v>
      </c>
      <c r="E101" t="e">
        <f>AND('Planilla_General_03-12-2012_9_3'!D1601,"AAAAAHff3wQ=")</f>
        <v>#VALUE!</v>
      </c>
      <c r="F101" t="e">
        <f>AND('Planilla_General_03-12-2012_9_3'!E1601,"AAAAAHff3wU=")</f>
        <v>#VALUE!</v>
      </c>
      <c r="G101" t="e">
        <f>AND('Planilla_General_03-12-2012_9_3'!F1601,"AAAAAHff3wY=")</f>
        <v>#VALUE!</v>
      </c>
      <c r="H101" t="e">
        <f>AND('Planilla_General_03-12-2012_9_3'!G1601,"AAAAAHff3wc=")</f>
        <v>#VALUE!</v>
      </c>
      <c r="I101" t="e">
        <f>AND('Planilla_General_03-12-2012_9_3'!H1601,"AAAAAHff3wg=")</f>
        <v>#VALUE!</v>
      </c>
      <c r="J101" t="e">
        <f>AND('Planilla_General_03-12-2012_9_3'!I1601,"AAAAAHff3wk=")</f>
        <v>#VALUE!</v>
      </c>
      <c r="K101" t="e">
        <f>AND('Planilla_General_03-12-2012_9_3'!J1601,"AAAAAHff3wo=")</f>
        <v>#VALUE!</v>
      </c>
      <c r="L101" t="e">
        <f>AND('Planilla_General_03-12-2012_9_3'!K1601,"AAAAAHff3ws=")</f>
        <v>#VALUE!</v>
      </c>
      <c r="M101" t="e">
        <f>AND('Planilla_General_03-12-2012_9_3'!L1601,"AAAAAHff3ww=")</f>
        <v>#VALUE!</v>
      </c>
      <c r="N101" t="e">
        <f>AND('Planilla_General_03-12-2012_9_3'!M1601,"AAAAAHff3w0=")</f>
        <v>#VALUE!</v>
      </c>
      <c r="O101" t="e">
        <f>AND('Planilla_General_03-12-2012_9_3'!N1601,"AAAAAHff3w4=")</f>
        <v>#VALUE!</v>
      </c>
      <c r="P101" t="e">
        <f>AND('Planilla_General_03-12-2012_9_3'!O1601,"AAAAAHff3w8=")</f>
        <v>#VALUE!</v>
      </c>
      <c r="Q101">
        <f>IF('Planilla_General_03-12-2012_9_3'!1602:1602,"AAAAAHff3xA=",0)</f>
        <v>0</v>
      </c>
      <c r="R101" t="e">
        <f>AND('Planilla_General_03-12-2012_9_3'!A1602,"AAAAAHff3xE=")</f>
        <v>#VALUE!</v>
      </c>
      <c r="S101" t="e">
        <f>AND('Planilla_General_03-12-2012_9_3'!B1602,"AAAAAHff3xI=")</f>
        <v>#VALUE!</v>
      </c>
      <c r="T101" t="e">
        <f>AND('Planilla_General_03-12-2012_9_3'!C1602,"AAAAAHff3xM=")</f>
        <v>#VALUE!</v>
      </c>
      <c r="U101" t="e">
        <f>AND('Planilla_General_03-12-2012_9_3'!D1602,"AAAAAHff3xQ=")</f>
        <v>#VALUE!</v>
      </c>
      <c r="V101" t="e">
        <f>AND('Planilla_General_03-12-2012_9_3'!E1602,"AAAAAHff3xU=")</f>
        <v>#VALUE!</v>
      </c>
      <c r="W101" t="e">
        <f>AND('Planilla_General_03-12-2012_9_3'!F1602,"AAAAAHff3xY=")</f>
        <v>#VALUE!</v>
      </c>
      <c r="X101" t="e">
        <f>AND('Planilla_General_03-12-2012_9_3'!G1602,"AAAAAHff3xc=")</f>
        <v>#VALUE!</v>
      </c>
      <c r="Y101" t="e">
        <f>AND('Planilla_General_03-12-2012_9_3'!H1602,"AAAAAHff3xg=")</f>
        <v>#VALUE!</v>
      </c>
      <c r="Z101" t="e">
        <f>AND('Planilla_General_03-12-2012_9_3'!I1602,"AAAAAHff3xk=")</f>
        <v>#VALUE!</v>
      </c>
      <c r="AA101" t="e">
        <f>AND('Planilla_General_03-12-2012_9_3'!J1602,"AAAAAHff3xo=")</f>
        <v>#VALUE!</v>
      </c>
      <c r="AB101" t="e">
        <f>AND('Planilla_General_03-12-2012_9_3'!K1602,"AAAAAHff3xs=")</f>
        <v>#VALUE!</v>
      </c>
      <c r="AC101" t="e">
        <f>AND('Planilla_General_03-12-2012_9_3'!L1602,"AAAAAHff3xw=")</f>
        <v>#VALUE!</v>
      </c>
      <c r="AD101" t="e">
        <f>AND('Planilla_General_03-12-2012_9_3'!M1602,"AAAAAHff3x0=")</f>
        <v>#VALUE!</v>
      </c>
      <c r="AE101" t="e">
        <f>AND('Planilla_General_03-12-2012_9_3'!N1602,"AAAAAHff3x4=")</f>
        <v>#VALUE!</v>
      </c>
      <c r="AF101" t="e">
        <f>AND('Planilla_General_03-12-2012_9_3'!O1602,"AAAAAHff3x8=")</f>
        <v>#VALUE!</v>
      </c>
      <c r="AG101">
        <f>IF('Planilla_General_03-12-2012_9_3'!1603:1603,"AAAAAHff3yA=",0)</f>
        <v>0</v>
      </c>
      <c r="AH101" t="e">
        <f>AND('Planilla_General_03-12-2012_9_3'!A1603,"AAAAAHff3yE=")</f>
        <v>#VALUE!</v>
      </c>
      <c r="AI101" t="e">
        <f>AND('Planilla_General_03-12-2012_9_3'!B1603,"AAAAAHff3yI=")</f>
        <v>#VALUE!</v>
      </c>
      <c r="AJ101" t="e">
        <f>AND('Planilla_General_03-12-2012_9_3'!C1603,"AAAAAHff3yM=")</f>
        <v>#VALUE!</v>
      </c>
      <c r="AK101" t="e">
        <f>AND('Planilla_General_03-12-2012_9_3'!D1603,"AAAAAHff3yQ=")</f>
        <v>#VALUE!</v>
      </c>
      <c r="AL101" t="e">
        <f>AND('Planilla_General_03-12-2012_9_3'!E1603,"AAAAAHff3yU=")</f>
        <v>#VALUE!</v>
      </c>
      <c r="AM101" t="e">
        <f>AND('Planilla_General_03-12-2012_9_3'!F1603,"AAAAAHff3yY=")</f>
        <v>#VALUE!</v>
      </c>
      <c r="AN101" t="e">
        <f>AND('Planilla_General_03-12-2012_9_3'!G1603,"AAAAAHff3yc=")</f>
        <v>#VALUE!</v>
      </c>
      <c r="AO101" t="e">
        <f>AND('Planilla_General_03-12-2012_9_3'!H1603,"AAAAAHff3yg=")</f>
        <v>#VALUE!</v>
      </c>
      <c r="AP101" t="e">
        <f>AND('Planilla_General_03-12-2012_9_3'!I1603,"AAAAAHff3yk=")</f>
        <v>#VALUE!</v>
      </c>
      <c r="AQ101" t="e">
        <f>AND('Planilla_General_03-12-2012_9_3'!J1603,"AAAAAHff3yo=")</f>
        <v>#VALUE!</v>
      </c>
      <c r="AR101" t="e">
        <f>AND('Planilla_General_03-12-2012_9_3'!K1603,"AAAAAHff3ys=")</f>
        <v>#VALUE!</v>
      </c>
      <c r="AS101" t="e">
        <f>AND('Planilla_General_03-12-2012_9_3'!L1603,"AAAAAHff3yw=")</f>
        <v>#VALUE!</v>
      </c>
      <c r="AT101" t="e">
        <f>AND('Planilla_General_03-12-2012_9_3'!M1603,"AAAAAHff3y0=")</f>
        <v>#VALUE!</v>
      </c>
      <c r="AU101" t="e">
        <f>AND('Planilla_General_03-12-2012_9_3'!N1603,"AAAAAHff3y4=")</f>
        <v>#VALUE!</v>
      </c>
      <c r="AV101" t="e">
        <f>AND('Planilla_General_03-12-2012_9_3'!O1603,"AAAAAHff3y8=")</f>
        <v>#VALUE!</v>
      </c>
      <c r="AW101">
        <f>IF('Planilla_General_03-12-2012_9_3'!1604:1604,"AAAAAHff3zA=",0)</f>
        <v>0</v>
      </c>
      <c r="AX101" t="e">
        <f>AND('Planilla_General_03-12-2012_9_3'!A1604,"AAAAAHff3zE=")</f>
        <v>#VALUE!</v>
      </c>
      <c r="AY101" t="e">
        <f>AND('Planilla_General_03-12-2012_9_3'!B1604,"AAAAAHff3zI=")</f>
        <v>#VALUE!</v>
      </c>
      <c r="AZ101" t="e">
        <f>AND('Planilla_General_03-12-2012_9_3'!C1604,"AAAAAHff3zM=")</f>
        <v>#VALUE!</v>
      </c>
      <c r="BA101" t="e">
        <f>AND('Planilla_General_03-12-2012_9_3'!D1604,"AAAAAHff3zQ=")</f>
        <v>#VALUE!</v>
      </c>
      <c r="BB101" t="e">
        <f>AND('Planilla_General_03-12-2012_9_3'!E1604,"AAAAAHff3zU=")</f>
        <v>#VALUE!</v>
      </c>
      <c r="BC101" t="e">
        <f>AND('Planilla_General_03-12-2012_9_3'!F1604,"AAAAAHff3zY=")</f>
        <v>#VALUE!</v>
      </c>
      <c r="BD101" t="e">
        <f>AND('Planilla_General_03-12-2012_9_3'!G1604,"AAAAAHff3zc=")</f>
        <v>#VALUE!</v>
      </c>
      <c r="BE101" t="e">
        <f>AND('Planilla_General_03-12-2012_9_3'!H1604,"AAAAAHff3zg=")</f>
        <v>#VALUE!</v>
      </c>
      <c r="BF101" t="e">
        <f>AND('Planilla_General_03-12-2012_9_3'!I1604,"AAAAAHff3zk=")</f>
        <v>#VALUE!</v>
      </c>
      <c r="BG101" t="e">
        <f>AND('Planilla_General_03-12-2012_9_3'!J1604,"AAAAAHff3zo=")</f>
        <v>#VALUE!</v>
      </c>
      <c r="BH101" t="e">
        <f>AND('Planilla_General_03-12-2012_9_3'!K1604,"AAAAAHff3zs=")</f>
        <v>#VALUE!</v>
      </c>
      <c r="BI101" t="e">
        <f>AND('Planilla_General_03-12-2012_9_3'!L1604,"AAAAAHff3zw=")</f>
        <v>#VALUE!</v>
      </c>
      <c r="BJ101" t="e">
        <f>AND('Planilla_General_03-12-2012_9_3'!M1604,"AAAAAHff3z0=")</f>
        <v>#VALUE!</v>
      </c>
      <c r="BK101" t="e">
        <f>AND('Planilla_General_03-12-2012_9_3'!N1604,"AAAAAHff3z4=")</f>
        <v>#VALUE!</v>
      </c>
      <c r="BL101" t="e">
        <f>AND('Planilla_General_03-12-2012_9_3'!O1604,"AAAAAHff3z8=")</f>
        <v>#VALUE!</v>
      </c>
      <c r="BM101">
        <f>IF('Planilla_General_03-12-2012_9_3'!1605:1605,"AAAAAHff30A=",0)</f>
        <v>0</v>
      </c>
      <c r="BN101" t="e">
        <f>AND('Planilla_General_03-12-2012_9_3'!A1605,"AAAAAHff30E=")</f>
        <v>#VALUE!</v>
      </c>
      <c r="BO101" t="e">
        <f>AND('Planilla_General_03-12-2012_9_3'!B1605,"AAAAAHff30I=")</f>
        <v>#VALUE!</v>
      </c>
      <c r="BP101" t="e">
        <f>AND('Planilla_General_03-12-2012_9_3'!C1605,"AAAAAHff30M=")</f>
        <v>#VALUE!</v>
      </c>
      <c r="BQ101" t="e">
        <f>AND('Planilla_General_03-12-2012_9_3'!D1605,"AAAAAHff30Q=")</f>
        <v>#VALUE!</v>
      </c>
      <c r="BR101" t="e">
        <f>AND('Planilla_General_03-12-2012_9_3'!E1605,"AAAAAHff30U=")</f>
        <v>#VALUE!</v>
      </c>
      <c r="BS101" t="e">
        <f>AND('Planilla_General_03-12-2012_9_3'!F1605,"AAAAAHff30Y=")</f>
        <v>#VALUE!</v>
      </c>
      <c r="BT101" t="e">
        <f>AND('Planilla_General_03-12-2012_9_3'!G1605,"AAAAAHff30c=")</f>
        <v>#VALUE!</v>
      </c>
      <c r="BU101" t="e">
        <f>AND('Planilla_General_03-12-2012_9_3'!H1605,"AAAAAHff30g=")</f>
        <v>#VALUE!</v>
      </c>
      <c r="BV101" t="e">
        <f>AND('Planilla_General_03-12-2012_9_3'!I1605,"AAAAAHff30k=")</f>
        <v>#VALUE!</v>
      </c>
      <c r="BW101" t="e">
        <f>AND('Planilla_General_03-12-2012_9_3'!J1605,"AAAAAHff30o=")</f>
        <v>#VALUE!</v>
      </c>
      <c r="BX101" t="e">
        <f>AND('Planilla_General_03-12-2012_9_3'!K1605,"AAAAAHff30s=")</f>
        <v>#VALUE!</v>
      </c>
      <c r="BY101" t="e">
        <f>AND('Planilla_General_03-12-2012_9_3'!L1605,"AAAAAHff30w=")</f>
        <v>#VALUE!</v>
      </c>
      <c r="BZ101" t="e">
        <f>AND('Planilla_General_03-12-2012_9_3'!M1605,"AAAAAHff300=")</f>
        <v>#VALUE!</v>
      </c>
      <c r="CA101" t="e">
        <f>AND('Planilla_General_03-12-2012_9_3'!N1605,"AAAAAHff304=")</f>
        <v>#VALUE!</v>
      </c>
      <c r="CB101" t="e">
        <f>AND('Planilla_General_03-12-2012_9_3'!O1605,"AAAAAHff308=")</f>
        <v>#VALUE!</v>
      </c>
      <c r="CC101">
        <f>IF('Planilla_General_03-12-2012_9_3'!1606:1606,"AAAAAHff31A=",0)</f>
        <v>0</v>
      </c>
      <c r="CD101" t="e">
        <f>AND('Planilla_General_03-12-2012_9_3'!A1606,"AAAAAHff31E=")</f>
        <v>#VALUE!</v>
      </c>
      <c r="CE101" t="e">
        <f>AND('Planilla_General_03-12-2012_9_3'!B1606,"AAAAAHff31I=")</f>
        <v>#VALUE!</v>
      </c>
      <c r="CF101" t="e">
        <f>AND('Planilla_General_03-12-2012_9_3'!C1606,"AAAAAHff31M=")</f>
        <v>#VALUE!</v>
      </c>
      <c r="CG101" t="e">
        <f>AND('Planilla_General_03-12-2012_9_3'!D1606,"AAAAAHff31Q=")</f>
        <v>#VALUE!</v>
      </c>
      <c r="CH101" t="e">
        <f>AND('Planilla_General_03-12-2012_9_3'!E1606,"AAAAAHff31U=")</f>
        <v>#VALUE!</v>
      </c>
      <c r="CI101" t="e">
        <f>AND('Planilla_General_03-12-2012_9_3'!F1606,"AAAAAHff31Y=")</f>
        <v>#VALUE!</v>
      </c>
      <c r="CJ101" t="e">
        <f>AND('Planilla_General_03-12-2012_9_3'!G1606,"AAAAAHff31c=")</f>
        <v>#VALUE!</v>
      </c>
      <c r="CK101" t="e">
        <f>AND('Planilla_General_03-12-2012_9_3'!H1606,"AAAAAHff31g=")</f>
        <v>#VALUE!</v>
      </c>
      <c r="CL101" t="e">
        <f>AND('Planilla_General_03-12-2012_9_3'!I1606,"AAAAAHff31k=")</f>
        <v>#VALUE!</v>
      </c>
      <c r="CM101" t="e">
        <f>AND('Planilla_General_03-12-2012_9_3'!J1606,"AAAAAHff31o=")</f>
        <v>#VALUE!</v>
      </c>
      <c r="CN101" t="e">
        <f>AND('Planilla_General_03-12-2012_9_3'!K1606,"AAAAAHff31s=")</f>
        <v>#VALUE!</v>
      </c>
      <c r="CO101" t="e">
        <f>AND('Planilla_General_03-12-2012_9_3'!L1606,"AAAAAHff31w=")</f>
        <v>#VALUE!</v>
      </c>
      <c r="CP101" t="e">
        <f>AND('Planilla_General_03-12-2012_9_3'!M1606,"AAAAAHff310=")</f>
        <v>#VALUE!</v>
      </c>
      <c r="CQ101" t="e">
        <f>AND('Planilla_General_03-12-2012_9_3'!N1606,"AAAAAHff314=")</f>
        <v>#VALUE!</v>
      </c>
      <c r="CR101" t="e">
        <f>AND('Planilla_General_03-12-2012_9_3'!O1606,"AAAAAHff318=")</f>
        <v>#VALUE!</v>
      </c>
      <c r="CS101">
        <f>IF('Planilla_General_03-12-2012_9_3'!1607:1607,"AAAAAHff32A=",0)</f>
        <v>0</v>
      </c>
      <c r="CT101" t="e">
        <f>AND('Planilla_General_03-12-2012_9_3'!A1607,"AAAAAHff32E=")</f>
        <v>#VALUE!</v>
      </c>
      <c r="CU101" t="e">
        <f>AND('Planilla_General_03-12-2012_9_3'!B1607,"AAAAAHff32I=")</f>
        <v>#VALUE!</v>
      </c>
      <c r="CV101" t="e">
        <f>AND('Planilla_General_03-12-2012_9_3'!C1607,"AAAAAHff32M=")</f>
        <v>#VALUE!</v>
      </c>
      <c r="CW101" t="e">
        <f>AND('Planilla_General_03-12-2012_9_3'!D1607,"AAAAAHff32Q=")</f>
        <v>#VALUE!</v>
      </c>
      <c r="CX101" t="e">
        <f>AND('Planilla_General_03-12-2012_9_3'!E1607,"AAAAAHff32U=")</f>
        <v>#VALUE!</v>
      </c>
      <c r="CY101" t="e">
        <f>AND('Planilla_General_03-12-2012_9_3'!F1607,"AAAAAHff32Y=")</f>
        <v>#VALUE!</v>
      </c>
      <c r="CZ101" t="e">
        <f>AND('Planilla_General_03-12-2012_9_3'!G1607,"AAAAAHff32c=")</f>
        <v>#VALUE!</v>
      </c>
      <c r="DA101" t="e">
        <f>AND('Planilla_General_03-12-2012_9_3'!H1607,"AAAAAHff32g=")</f>
        <v>#VALUE!</v>
      </c>
      <c r="DB101" t="e">
        <f>AND('Planilla_General_03-12-2012_9_3'!I1607,"AAAAAHff32k=")</f>
        <v>#VALUE!</v>
      </c>
      <c r="DC101" t="e">
        <f>AND('Planilla_General_03-12-2012_9_3'!J1607,"AAAAAHff32o=")</f>
        <v>#VALUE!</v>
      </c>
      <c r="DD101" t="e">
        <f>AND('Planilla_General_03-12-2012_9_3'!K1607,"AAAAAHff32s=")</f>
        <v>#VALUE!</v>
      </c>
      <c r="DE101" t="e">
        <f>AND('Planilla_General_03-12-2012_9_3'!L1607,"AAAAAHff32w=")</f>
        <v>#VALUE!</v>
      </c>
      <c r="DF101" t="e">
        <f>AND('Planilla_General_03-12-2012_9_3'!M1607,"AAAAAHff320=")</f>
        <v>#VALUE!</v>
      </c>
      <c r="DG101" t="e">
        <f>AND('Planilla_General_03-12-2012_9_3'!N1607,"AAAAAHff324=")</f>
        <v>#VALUE!</v>
      </c>
      <c r="DH101" t="e">
        <f>AND('Planilla_General_03-12-2012_9_3'!O1607,"AAAAAHff328=")</f>
        <v>#VALUE!</v>
      </c>
      <c r="DI101">
        <f>IF('Planilla_General_03-12-2012_9_3'!1608:1608,"AAAAAHff33A=",0)</f>
        <v>0</v>
      </c>
      <c r="DJ101" t="e">
        <f>AND('Planilla_General_03-12-2012_9_3'!A1608,"AAAAAHff33E=")</f>
        <v>#VALUE!</v>
      </c>
      <c r="DK101" t="e">
        <f>AND('Planilla_General_03-12-2012_9_3'!B1608,"AAAAAHff33I=")</f>
        <v>#VALUE!</v>
      </c>
      <c r="DL101" t="e">
        <f>AND('Planilla_General_03-12-2012_9_3'!C1608,"AAAAAHff33M=")</f>
        <v>#VALUE!</v>
      </c>
      <c r="DM101" t="e">
        <f>AND('Planilla_General_03-12-2012_9_3'!D1608,"AAAAAHff33Q=")</f>
        <v>#VALUE!</v>
      </c>
      <c r="DN101" t="e">
        <f>AND('Planilla_General_03-12-2012_9_3'!E1608,"AAAAAHff33U=")</f>
        <v>#VALUE!</v>
      </c>
      <c r="DO101" t="e">
        <f>AND('Planilla_General_03-12-2012_9_3'!F1608,"AAAAAHff33Y=")</f>
        <v>#VALUE!</v>
      </c>
      <c r="DP101" t="e">
        <f>AND('Planilla_General_03-12-2012_9_3'!G1608,"AAAAAHff33c=")</f>
        <v>#VALUE!</v>
      </c>
      <c r="DQ101" t="e">
        <f>AND('Planilla_General_03-12-2012_9_3'!H1608,"AAAAAHff33g=")</f>
        <v>#VALUE!</v>
      </c>
      <c r="DR101" t="e">
        <f>AND('Planilla_General_03-12-2012_9_3'!I1608,"AAAAAHff33k=")</f>
        <v>#VALUE!</v>
      </c>
      <c r="DS101" t="e">
        <f>AND('Planilla_General_03-12-2012_9_3'!J1608,"AAAAAHff33o=")</f>
        <v>#VALUE!</v>
      </c>
      <c r="DT101" t="e">
        <f>AND('Planilla_General_03-12-2012_9_3'!K1608,"AAAAAHff33s=")</f>
        <v>#VALUE!</v>
      </c>
      <c r="DU101" t="e">
        <f>AND('Planilla_General_03-12-2012_9_3'!L1608,"AAAAAHff33w=")</f>
        <v>#VALUE!</v>
      </c>
      <c r="DV101" t="e">
        <f>AND('Planilla_General_03-12-2012_9_3'!M1608,"AAAAAHff330=")</f>
        <v>#VALUE!</v>
      </c>
      <c r="DW101" t="e">
        <f>AND('Planilla_General_03-12-2012_9_3'!N1608,"AAAAAHff334=")</f>
        <v>#VALUE!</v>
      </c>
      <c r="DX101" t="e">
        <f>AND('Planilla_General_03-12-2012_9_3'!O1608,"AAAAAHff338=")</f>
        <v>#VALUE!</v>
      </c>
      <c r="DY101">
        <f>IF('Planilla_General_03-12-2012_9_3'!1609:1609,"AAAAAHff34A=",0)</f>
        <v>0</v>
      </c>
      <c r="DZ101" t="e">
        <f>AND('Planilla_General_03-12-2012_9_3'!A1609,"AAAAAHff34E=")</f>
        <v>#VALUE!</v>
      </c>
      <c r="EA101" t="e">
        <f>AND('Planilla_General_03-12-2012_9_3'!B1609,"AAAAAHff34I=")</f>
        <v>#VALUE!</v>
      </c>
      <c r="EB101" t="e">
        <f>AND('Planilla_General_03-12-2012_9_3'!C1609,"AAAAAHff34M=")</f>
        <v>#VALUE!</v>
      </c>
      <c r="EC101" t="e">
        <f>AND('Planilla_General_03-12-2012_9_3'!D1609,"AAAAAHff34Q=")</f>
        <v>#VALUE!</v>
      </c>
      <c r="ED101" t="e">
        <f>AND('Planilla_General_03-12-2012_9_3'!E1609,"AAAAAHff34U=")</f>
        <v>#VALUE!</v>
      </c>
      <c r="EE101" t="e">
        <f>AND('Planilla_General_03-12-2012_9_3'!F1609,"AAAAAHff34Y=")</f>
        <v>#VALUE!</v>
      </c>
      <c r="EF101" t="e">
        <f>AND('Planilla_General_03-12-2012_9_3'!G1609,"AAAAAHff34c=")</f>
        <v>#VALUE!</v>
      </c>
      <c r="EG101" t="e">
        <f>AND('Planilla_General_03-12-2012_9_3'!H1609,"AAAAAHff34g=")</f>
        <v>#VALUE!</v>
      </c>
      <c r="EH101" t="e">
        <f>AND('Planilla_General_03-12-2012_9_3'!I1609,"AAAAAHff34k=")</f>
        <v>#VALUE!</v>
      </c>
      <c r="EI101" t="e">
        <f>AND('Planilla_General_03-12-2012_9_3'!J1609,"AAAAAHff34o=")</f>
        <v>#VALUE!</v>
      </c>
      <c r="EJ101" t="e">
        <f>AND('Planilla_General_03-12-2012_9_3'!K1609,"AAAAAHff34s=")</f>
        <v>#VALUE!</v>
      </c>
      <c r="EK101" t="e">
        <f>AND('Planilla_General_03-12-2012_9_3'!L1609,"AAAAAHff34w=")</f>
        <v>#VALUE!</v>
      </c>
      <c r="EL101" t="e">
        <f>AND('Planilla_General_03-12-2012_9_3'!M1609,"AAAAAHff340=")</f>
        <v>#VALUE!</v>
      </c>
      <c r="EM101" t="e">
        <f>AND('Planilla_General_03-12-2012_9_3'!N1609,"AAAAAHff344=")</f>
        <v>#VALUE!</v>
      </c>
      <c r="EN101" t="e">
        <f>AND('Planilla_General_03-12-2012_9_3'!O1609,"AAAAAHff348=")</f>
        <v>#VALUE!</v>
      </c>
      <c r="EO101">
        <f>IF('Planilla_General_03-12-2012_9_3'!1610:1610,"AAAAAHff35A=",0)</f>
        <v>0</v>
      </c>
      <c r="EP101" t="e">
        <f>AND('Planilla_General_03-12-2012_9_3'!A1610,"AAAAAHff35E=")</f>
        <v>#VALUE!</v>
      </c>
      <c r="EQ101" t="e">
        <f>AND('Planilla_General_03-12-2012_9_3'!B1610,"AAAAAHff35I=")</f>
        <v>#VALUE!</v>
      </c>
      <c r="ER101" t="e">
        <f>AND('Planilla_General_03-12-2012_9_3'!C1610,"AAAAAHff35M=")</f>
        <v>#VALUE!</v>
      </c>
      <c r="ES101" t="e">
        <f>AND('Planilla_General_03-12-2012_9_3'!D1610,"AAAAAHff35Q=")</f>
        <v>#VALUE!</v>
      </c>
      <c r="ET101" t="e">
        <f>AND('Planilla_General_03-12-2012_9_3'!E1610,"AAAAAHff35U=")</f>
        <v>#VALUE!</v>
      </c>
      <c r="EU101" t="e">
        <f>AND('Planilla_General_03-12-2012_9_3'!F1610,"AAAAAHff35Y=")</f>
        <v>#VALUE!</v>
      </c>
      <c r="EV101" t="e">
        <f>AND('Planilla_General_03-12-2012_9_3'!G1610,"AAAAAHff35c=")</f>
        <v>#VALUE!</v>
      </c>
      <c r="EW101" t="e">
        <f>AND('Planilla_General_03-12-2012_9_3'!H1610,"AAAAAHff35g=")</f>
        <v>#VALUE!</v>
      </c>
      <c r="EX101" t="e">
        <f>AND('Planilla_General_03-12-2012_9_3'!I1610,"AAAAAHff35k=")</f>
        <v>#VALUE!</v>
      </c>
      <c r="EY101" t="e">
        <f>AND('Planilla_General_03-12-2012_9_3'!J1610,"AAAAAHff35o=")</f>
        <v>#VALUE!</v>
      </c>
      <c r="EZ101" t="e">
        <f>AND('Planilla_General_03-12-2012_9_3'!K1610,"AAAAAHff35s=")</f>
        <v>#VALUE!</v>
      </c>
      <c r="FA101" t="e">
        <f>AND('Planilla_General_03-12-2012_9_3'!L1610,"AAAAAHff35w=")</f>
        <v>#VALUE!</v>
      </c>
      <c r="FB101" t="e">
        <f>AND('Planilla_General_03-12-2012_9_3'!M1610,"AAAAAHff350=")</f>
        <v>#VALUE!</v>
      </c>
      <c r="FC101" t="e">
        <f>AND('Planilla_General_03-12-2012_9_3'!N1610,"AAAAAHff354=")</f>
        <v>#VALUE!</v>
      </c>
      <c r="FD101" t="e">
        <f>AND('Planilla_General_03-12-2012_9_3'!O1610,"AAAAAHff358=")</f>
        <v>#VALUE!</v>
      </c>
      <c r="FE101">
        <f>IF('Planilla_General_03-12-2012_9_3'!1611:1611,"AAAAAHff36A=",0)</f>
        <v>0</v>
      </c>
      <c r="FF101" t="e">
        <f>AND('Planilla_General_03-12-2012_9_3'!A1611,"AAAAAHff36E=")</f>
        <v>#VALUE!</v>
      </c>
      <c r="FG101" t="e">
        <f>AND('Planilla_General_03-12-2012_9_3'!B1611,"AAAAAHff36I=")</f>
        <v>#VALUE!</v>
      </c>
      <c r="FH101" t="e">
        <f>AND('Planilla_General_03-12-2012_9_3'!C1611,"AAAAAHff36M=")</f>
        <v>#VALUE!</v>
      </c>
      <c r="FI101" t="e">
        <f>AND('Planilla_General_03-12-2012_9_3'!D1611,"AAAAAHff36Q=")</f>
        <v>#VALUE!</v>
      </c>
      <c r="FJ101" t="e">
        <f>AND('Planilla_General_03-12-2012_9_3'!E1611,"AAAAAHff36U=")</f>
        <v>#VALUE!</v>
      </c>
      <c r="FK101" t="e">
        <f>AND('Planilla_General_03-12-2012_9_3'!F1611,"AAAAAHff36Y=")</f>
        <v>#VALUE!</v>
      </c>
      <c r="FL101" t="e">
        <f>AND('Planilla_General_03-12-2012_9_3'!G1611,"AAAAAHff36c=")</f>
        <v>#VALUE!</v>
      </c>
      <c r="FM101" t="e">
        <f>AND('Planilla_General_03-12-2012_9_3'!H1611,"AAAAAHff36g=")</f>
        <v>#VALUE!</v>
      </c>
      <c r="FN101" t="e">
        <f>AND('Planilla_General_03-12-2012_9_3'!I1611,"AAAAAHff36k=")</f>
        <v>#VALUE!</v>
      </c>
      <c r="FO101" t="e">
        <f>AND('Planilla_General_03-12-2012_9_3'!J1611,"AAAAAHff36o=")</f>
        <v>#VALUE!</v>
      </c>
      <c r="FP101" t="e">
        <f>AND('Planilla_General_03-12-2012_9_3'!K1611,"AAAAAHff36s=")</f>
        <v>#VALUE!</v>
      </c>
      <c r="FQ101" t="e">
        <f>AND('Planilla_General_03-12-2012_9_3'!L1611,"AAAAAHff36w=")</f>
        <v>#VALUE!</v>
      </c>
      <c r="FR101" t="e">
        <f>AND('Planilla_General_03-12-2012_9_3'!M1611,"AAAAAHff360=")</f>
        <v>#VALUE!</v>
      </c>
      <c r="FS101" t="e">
        <f>AND('Planilla_General_03-12-2012_9_3'!N1611,"AAAAAHff364=")</f>
        <v>#VALUE!</v>
      </c>
      <c r="FT101" t="e">
        <f>AND('Planilla_General_03-12-2012_9_3'!O1611,"AAAAAHff368=")</f>
        <v>#VALUE!</v>
      </c>
      <c r="FU101">
        <f>IF('Planilla_General_03-12-2012_9_3'!1612:1612,"AAAAAHff37A=",0)</f>
        <v>0</v>
      </c>
      <c r="FV101" t="e">
        <f>AND('Planilla_General_03-12-2012_9_3'!A1612,"AAAAAHff37E=")</f>
        <v>#VALUE!</v>
      </c>
      <c r="FW101" t="e">
        <f>AND('Planilla_General_03-12-2012_9_3'!B1612,"AAAAAHff37I=")</f>
        <v>#VALUE!</v>
      </c>
      <c r="FX101" t="e">
        <f>AND('Planilla_General_03-12-2012_9_3'!C1612,"AAAAAHff37M=")</f>
        <v>#VALUE!</v>
      </c>
      <c r="FY101" t="e">
        <f>AND('Planilla_General_03-12-2012_9_3'!D1612,"AAAAAHff37Q=")</f>
        <v>#VALUE!</v>
      </c>
      <c r="FZ101" t="e">
        <f>AND('Planilla_General_03-12-2012_9_3'!E1612,"AAAAAHff37U=")</f>
        <v>#VALUE!</v>
      </c>
      <c r="GA101" t="e">
        <f>AND('Planilla_General_03-12-2012_9_3'!F1612,"AAAAAHff37Y=")</f>
        <v>#VALUE!</v>
      </c>
      <c r="GB101" t="e">
        <f>AND('Planilla_General_03-12-2012_9_3'!G1612,"AAAAAHff37c=")</f>
        <v>#VALUE!</v>
      </c>
      <c r="GC101" t="e">
        <f>AND('Planilla_General_03-12-2012_9_3'!H1612,"AAAAAHff37g=")</f>
        <v>#VALUE!</v>
      </c>
      <c r="GD101" t="e">
        <f>AND('Planilla_General_03-12-2012_9_3'!I1612,"AAAAAHff37k=")</f>
        <v>#VALUE!</v>
      </c>
      <c r="GE101" t="e">
        <f>AND('Planilla_General_03-12-2012_9_3'!J1612,"AAAAAHff37o=")</f>
        <v>#VALUE!</v>
      </c>
      <c r="GF101" t="e">
        <f>AND('Planilla_General_03-12-2012_9_3'!K1612,"AAAAAHff37s=")</f>
        <v>#VALUE!</v>
      </c>
      <c r="GG101" t="e">
        <f>AND('Planilla_General_03-12-2012_9_3'!L1612,"AAAAAHff37w=")</f>
        <v>#VALUE!</v>
      </c>
      <c r="GH101" t="e">
        <f>AND('Planilla_General_03-12-2012_9_3'!M1612,"AAAAAHff370=")</f>
        <v>#VALUE!</v>
      </c>
      <c r="GI101" t="e">
        <f>AND('Planilla_General_03-12-2012_9_3'!N1612,"AAAAAHff374=")</f>
        <v>#VALUE!</v>
      </c>
      <c r="GJ101" t="e">
        <f>AND('Planilla_General_03-12-2012_9_3'!O1612,"AAAAAHff378=")</f>
        <v>#VALUE!</v>
      </c>
      <c r="GK101">
        <f>IF('Planilla_General_03-12-2012_9_3'!1613:1613,"AAAAAHff38A=",0)</f>
        <v>0</v>
      </c>
      <c r="GL101" t="e">
        <f>AND('Planilla_General_03-12-2012_9_3'!A1613,"AAAAAHff38E=")</f>
        <v>#VALUE!</v>
      </c>
      <c r="GM101" t="e">
        <f>AND('Planilla_General_03-12-2012_9_3'!B1613,"AAAAAHff38I=")</f>
        <v>#VALUE!</v>
      </c>
      <c r="GN101" t="e">
        <f>AND('Planilla_General_03-12-2012_9_3'!C1613,"AAAAAHff38M=")</f>
        <v>#VALUE!</v>
      </c>
      <c r="GO101" t="e">
        <f>AND('Planilla_General_03-12-2012_9_3'!D1613,"AAAAAHff38Q=")</f>
        <v>#VALUE!</v>
      </c>
      <c r="GP101" t="e">
        <f>AND('Planilla_General_03-12-2012_9_3'!E1613,"AAAAAHff38U=")</f>
        <v>#VALUE!</v>
      </c>
      <c r="GQ101" t="e">
        <f>AND('Planilla_General_03-12-2012_9_3'!F1613,"AAAAAHff38Y=")</f>
        <v>#VALUE!</v>
      </c>
      <c r="GR101" t="e">
        <f>AND('Planilla_General_03-12-2012_9_3'!G1613,"AAAAAHff38c=")</f>
        <v>#VALUE!</v>
      </c>
      <c r="GS101" t="e">
        <f>AND('Planilla_General_03-12-2012_9_3'!H1613,"AAAAAHff38g=")</f>
        <v>#VALUE!</v>
      </c>
      <c r="GT101" t="e">
        <f>AND('Planilla_General_03-12-2012_9_3'!I1613,"AAAAAHff38k=")</f>
        <v>#VALUE!</v>
      </c>
      <c r="GU101" t="e">
        <f>AND('Planilla_General_03-12-2012_9_3'!J1613,"AAAAAHff38o=")</f>
        <v>#VALUE!</v>
      </c>
      <c r="GV101" t="e">
        <f>AND('Planilla_General_03-12-2012_9_3'!K1613,"AAAAAHff38s=")</f>
        <v>#VALUE!</v>
      </c>
      <c r="GW101" t="e">
        <f>AND('Planilla_General_03-12-2012_9_3'!L1613,"AAAAAHff38w=")</f>
        <v>#VALUE!</v>
      </c>
      <c r="GX101" t="e">
        <f>AND('Planilla_General_03-12-2012_9_3'!M1613,"AAAAAHff380=")</f>
        <v>#VALUE!</v>
      </c>
      <c r="GY101" t="e">
        <f>AND('Planilla_General_03-12-2012_9_3'!N1613,"AAAAAHff384=")</f>
        <v>#VALUE!</v>
      </c>
      <c r="GZ101" t="e">
        <f>AND('Planilla_General_03-12-2012_9_3'!O1613,"AAAAAHff388=")</f>
        <v>#VALUE!</v>
      </c>
      <c r="HA101">
        <f>IF('Planilla_General_03-12-2012_9_3'!1614:1614,"AAAAAHff39A=",0)</f>
        <v>0</v>
      </c>
      <c r="HB101" t="e">
        <f>AND('Planilla_General_03-12-2012_9_3'!A1614,"AAAAAHff39E=")</f>
        <v>#VALUE!</v>
      </c>
      <c r="HC101" t="e">
        <f>AND('Planilla_General_03-12-2012_9_3'!B1614,"AAAAAHff39I=")</f>
        <v>#VALUE!</v>
      </c>
      <c r="HD101" t="e">
        <f>AND('Planilla_General_03-12-2012_9_3'!C1614,"AAAAAHff39M=")</f>
        <v>#VALUE!</v>
      </c>
      <c r="HE101" t="e">
        <f>AND('Planilla_General_03-12-2012_9_3'!D1614,"AAAAAHff39Q=")</f>
        <v>#VALUE!</v>
      </c>
      <c r="HF101" t="e">
        <f>AND('Planilla_General_03-12-2012_9_3'!E1614,"AAAAAHff39U=")</f>
        <v>#VALUE!</v>
      </c>
      <c r="HG101" t="e">
        <f>AND('Planilla_General_03-12-2012_9_3'!F1614,"AAAAAHff39Y=")</f>
        <v>#VALUE!</v>
      </c>
      <c r="HH101" t="e">
        <f>AND('Planilla_General_03-12-2012_9_3'!G1614,"AAAAAHff39c=")</f>
        <v>#VALUE!</v>
      </c>
      <c r="HI101" t="e">
        <f>AND('Planilla_General_03-12-2012_9_3'!H1614,"AAAAAHff39g=")</f>
        <v>#VALUE!</v>
      </c>
      <c r="HJ101" t="e">
        <f>AND('Planilla_General_03-12-2012_9_3'!I1614,"AAAAAHff39k=")</f>
        <v>#VALUE!</v>
      </c>
      <c r="HK101" t="e">
        <f>AND('Planilla_General_03-12-2012_9_3'!J1614,"AAAAAHff39o=")</f>
        <v>#VALUE!</v>
      </c>
      <c r="HL101" t="e">
        <f>AND('Planilla_General_03-12-2012_9_3'!K1614,"AAAAAHff39s=")</f>
        <v>#VALUE!</v>
      </c>
      <c r="HM101" t="e">
        <f>AND('Planilla_General_03-12-2012_9_3'!L1614,"AAAAAHff39w=")</f>
        <v>#VALUE!</v>
      </c>
      <c r="HN101" t="e">
        <f>AND('Planilla_General_03-12-2012_9_3'!M1614,"AAAAAHff390=")</f>
        <v>#VALUE!</v>
      </c>
      <c r="HO101" t="e">
        <f>AND('Planilla_General_03-12-2012_9_3'!N1614,"AAAAAHff394=")</f>
        <v>#VALUE!</v>
      </c>
      <c r="HP101" t="e">
        <f>AND('Planilla_General_03-12-2012_9_3'!O1614,"AAAAAHff398=")</f>
        <v>#VALUE!</v>
      </c>
      <c r="HQ101">
        <f>IF('Planilla_General_03-12-2012_9_3'!1615:1615,"AAAAAHff3+A=",0)</f>
        <v>0</v>
      </c>
      <c r="HR101" t="e">
        <f>AND('Planilla_General_03-12-2012_9_3'!A1615,"AAAAAHff3+E=")</f>
        <v>#VALUE!</v>
      </c>
      <c r="HS101" t="e">
        <f>AND('Planilla_General_03-12-2012_9_3'!B1615,"AAAAAHff3+I=")</f>
        <v>#VALUE!</v>
      </c>
      <c r="HT101" t="e">
        <f>AND('Planilla_General_03-12-2012_9_3'!C1615,"AAAAAHff3+M=")</f>
        <v>#VALUE!</v>
      </c>
      <c r="HU101" t="e">
        <f>AND('Planilla_General_03-12-2012_9_3'!D1615,"AAAAAHff3+Q=")</f>
        <v>#VALUE!</v>
      </c>
      <c r="HV101" t="e">
        <f>AND('Planilla_General_03-12-2012_9_3'!E1615,"AAAAAHff3+U=")</f>
        <v>#VALUE!</v>
      </c>
      <c r="HW101" t="e">
        <f>AND('Planilla_General_03-12-2012_9_3'!F1615,"AAAAAHff3+Y=")</f>
        <v>#VALUE!</v>
      </c>
      <c r="HX101" t="e">
        <f>AND('Planilla_General_03-12-2012_9_3'!G1615,"AAAAAHff3+c=")</f>
        <v>#VALUE!</v>
      </c>
      <c r="HY101" t="e">
        <f>AND('Planilla_General_03-12-2012_9_3'!H1615,"AAAAAHff3+g=")</f>
        <v>#VALUE!</v>
      </c>
      <c r="HZ101" t="e">
        <f>AND('Planilla_General_03-12-2012_9_3'!I1615,"AAAAAHff3+k=")</f>
        <v>#VALUE!</v>
      </c>
      <c r="IA101" t="e">
        <f>AND('Planilla_General_03-12-2012_9_3'!J1615,"AAAAAHff3+o=")</f>
        <v>#VALUE!</v>
      </c>
      <c r="IB101" t="e">
        <f>AND('Planilla_General_03-12-2012_9_3'!K1615,"AAAAAHff3+s=")</f>
        <v>#VALUE!</v>
      </c>
      <c r="IC101" t="e">
        <f>AND('Planilla_General_03-12-2012_9_3'!L1615,"AAAAAHff3+w=")</f>
        <v>#VALUE!</v>
      </c>
      <c r="ID101" t="e">
        <f>AND('Planilla_General_03-12-2012_9_3'!M1615,"AAAAAHff3+0=")</f>
        <v>#VALUE!</v>
      </c>
      <c r="IE101" t="e">
        <f>AND('Planilla_General_03-12-2012_9_3'!N1615,"AAAAAHff3+4=")</f>
        <v>#VALUE!</v>
      </c>
      <c r="IF101" t="e">
        <f>AND('Planilla_General_03-12-2012_9_3'!O1615,"AAAAAHff3+8=")</f>
        <v>#VALUE!</v>
      </c>
      <c r="IG101">
        <f>IF('Planilla_General_03-12-2012_9_3'!1616:1616,"AAAAAHff3/A=",0)</f>
        <v>0</v>
      </c>
      <c r="IH101" t="e">
        <f>AND('Planilla_General_03-12-2012_9_3'!A1616,"AAAAAHff3/E=")</f>
        <v>#VALUE!</v>
      </c>
      <c r="II101" t="e">
        <f>AND('Planilla_General_03-12-2012_9_3'!B1616,"AAAAAHff3/I=")</f>
        <v>#VALUE!</v>
      </c>
      <c r="IJ101" t="e">
        <f>AND('Planilla_General_03-12-2012_9_3'!C1616,"AAAAAHff3/M=")</f>
        <v>#VALUE!</v>
      </c>
      <c r="IK101" t="e">
        <f>AND('Planilla_General_03-12-2012_9_3'!D1616,"AAAAAHff3/Q=")</f>
        <v>#VALUE!</v>
      </c>
      <c r="IL101" t="e">
        <f>AND('Planilla_General_03-12-2012_9_3'!E1616,"AAAAAHff3/U=")</f>
        <v>#VALUE!</v>
      </c>
      <c r="IM101" t="e">
        <f>AND('Planilla_General_03-12-2012_9_3'!F1616,"AAAAAHff3/Y=")</f>
        <v>#VALUE!</v>
      </c>
      <c r="IN101" t="e">
        <f>AND('Planilla_General_03-12-2012_9_3'!G1616,"AAAAAHff3/c=")</f>
        <v>#VALUE!</v>
      </c>
      <c r="IO101" t="e">
        <f>AND('Planilla_General_03-12-2012_9_3'!H1616,"AAAAAHff3/g=")</f>
        <v>#VALUE!</v>
      </c>
      <c r="IP101" t="e">
        <f>AND('Planilla_General_03-12-2012_9_3'!I1616,"AAAAAHff3/k=")</f>
        <v>#VALUE!</v>
      </c>
      <c r="IQ101" t="e">
        <f>AND('Planilla_General_03-12-2012_9_3'!J1616,"AAAAAHff3/o=")</f>
        <v>#VALUE!</v>
      </c>
      <c r="IR101" t="e">
        <f>AND('Planilla_General_03-12-2012_9_3'!K1616,"AAAAAHff3/s=")</f>
        <v>#VALUE!</v>
      </c>
      <c r="IS101" t="e">
        <f>AND('Planilla_General_03-12-2012_9_3'!L1616,"AAAAAHff3/w=")</f>
        <v>#VALUE!</v>
      </c>
      <c r="IT101" t="e">
        <f>AND('Planilla_General_03-12-2012_9_3'!M1616,"AAAAAHff3/0=")</f>
        <v>#VALUE!</v>
      </c>
      <c r="IU101" t="e">
        <f>AND('Planilla_General_03-12-2012_9_3'!N1616,"AAAAAHff3/4=")</f>
        <v>#VALUE!</v>
      </c>
      <c r="IV101" t="e">
        <f>AND('Planilla_General_03-12-2012_9_3'!O1616,"AAAAAHff3/8=")</f>
        <v>#VALUE!</v>
      </c>
    </row>
    <row r="102" spans="1:256" x14ac:dyDescent="0.25">
      <c r="A102" t="e">
        <f>IF('Planilla_General_03-12-2012_9_3'!1617:1617,"AAAAAG/fvwA=",0)</f>
        <v>#VALUE!</v>
      </c>
      <c r="B102" t="e">
        <f>AND('Planilla_General_03-12-2012_9_3'!A1617,"AAAAAG/fvwE=")</f>
        <v>#VALUE!</v>
      </c>
      <c r="C102" t="e">
        <f>AND('Planilla_General_03-12-2012_9_3'!B1617,"AAAAAG/fvwI=")</f>
        <v>#VALUE!</v>
      </c>
      <c r="D102" t="e">
        <f>AND('Planilla_General_03-12-2012_9_3'!C1617,"AAAAAG/fvwM=")</f>
        <v>#VALUE!</v>
      </c>
      <c r="E102" t="e">
        <f>AND('Planilla_General_03-12-2012_9_3'!D1617,"AAAAAG/fvwQ=")</f>
        <v>#VALUE!</v>
      </c>
      <c r="F102" t="e">
        <f>AND('Planilla_General_03-12-2012_9_3'!E1617,"AAAAAG/fvwU=")</f>
        <v>#VALUE!</v>
      </c>
      <c r="G102" t="e">
        <f>AND('Planilla_General_03-12-2012_9_3'!F1617,"AAAAAG/fvwY=")</f>
        <v>#VALUE!</v>
      </c>
      <c r="H102" t="e">
        <f>AND('Planilla_General_03-12-2012_9_3'!G1617,"AAAAAG/fvwc=")</f>
        <v>#VALUE!</v>
      </c>
      <c r="I102" t="e">
        <f>AND('Planilla_General_03-12-2012_9_3'!H1617,"AAAAAG/fvwg=")</f>
        <v>#VALUE!</v>
      </c>
      <c r="J102" t="e">
        <f>AND('Planilla_General_03-12-2012_9_3'!I1617,"AAAAAG/fvwk=")</f>
        <v>#VALUE!</v>
      </c>
      <c r="K102" t="e">
        <f>AND('Planilla_General_03-12-2012_9_3'!J1617,"AAAAAG/fvwo=")</f>
        <v>#VALUE!</v>
      </c>
      <c r="L102" t="e">
        <f>AND('Planilla_General_03-12-2012_9_3'!K1617,"AAAAAG/fvws=")</f>
        <v>#VALUE!</v>
      </c>
      <c r="M102" t="e">
        <f>AND('Planilla_General_03-12-2012_9_3'!L1617,"AAAAAG/fvww=")</f>
        <v>#VALUE!</v>
      </c>
      <c r="N102" t="e">
        <f>AND('Planilla_General_03-12-2012_9_3'!M1617,"AAAAAG/fvw0=")</f>
        <v>#VALUE!</v>
      </c>
      <c r="O102" t="e">
        <f>AND('Planilla_General_03-12-2012_9_3'!N1617,"AAAAAG/fvw4=")</f>
        <v>#VALUE!</v>
      </c>
      <c r="P102" t="e">
        <f>AND('Planilla_General_03-12-2012_9_3'!O1617,"AAAAAG/fvw8=")</f>
        <v>#VALUE!</v>
      </c>
      <c r="Q102">
        <f>IF('Planilla_General_03-12-2012_9_3'!1618:1618,"AAAAAG/fvxA=",0)</f>
        <v>0</v>
      </c>
      <c r="R102" t="e">
        <f>AND('Planilla_General_03-12-2012_9_3'!A1618,"AAAAAG/fvxE=")</f>
        <v>#VALUE!</v>
      </c>
      <c r="S102" t="e">
        <f>AND('Planilla_General_03-12-2012_9_3'!B1618,"AAAAAG/fvxI=")</f>
        <v>#VALUE!</v>
      </c>
      <c r="T102" t="e">
        <f>AND('Planilla_General_03-12-2012_9_3'!C1618,"AAAAAG/fvxM=")</f>
        <v>#VALUE!</v>
      </c>
      <c r="U102" t="e">
        <f>AND('Planilla_General_03-12-2012_9_3'!D1618,"AAAAAG/fvxQ=")</f>
        <v>#VALUE!</v>
      </c>
      <c r="V102" t="e">
        <f>AND('Planilla_General_03-12-2012_9_3'!E1618,"AAAAAG/fvxU=")</f>
        <v>#VALUE!</v>
      </c>
      <c r="W102" t="e">
        <f>AND('Planilla_General_03-12-2012_9_3'!F1618,"AAAAAG/fvxY=")</f>
        <v>#VALUE!</v>
      </c>
      <c r="X102" t="e">
        <f>AND('Planilla_General_03-12-2012_9_3'!G1618,"AAAAAG/fvxc=")</f>
        <v>#VALUE!</v>
      </c>
      <c r="Y102" t="e">
        <f>AND('Planilla_General_03-12-2012_9_3'!H1618,"AAAAAG/fvxg=")</f>
        <v>#VALUE!</v>
      </c>
      <c r="Z102" t="e">
        <f>AND('Planilla_General_03-12-2012_9_3'!I1618,"AAAAAG/fvxk=")</f>
        <v>#VALUE!</v>
      </c>
      <c r="AA102" t="e">
        <f>AND('Planilla_General_03-12-2012_9_3'!J1618,"AAAAAG/fvxo=")</f>
        <v>#VALUE!</v>
      </c>
      <c r="AB102" t="e">
        <f>AND('Planilla_General_03-12-2012_9_3'!K1618,"AAAAAG/fvxs=")</f>
        <v>#VALUE!</v>
      </c>
      <c r="AC102" t="e">
        <f>AND('Planilla_General_03-12-2012_9_3'!L1618,"AAAAAG/fvxw=")</f>
        <v>#VALUE!</v>
      </c>
      <c r="AD102" t="e">
        <f>AND('Planilla_General_03-12-2012_9_3'!M1618,"AAAAAG/fvx0=")</f>
        <v>#VALUE!</v>
      </c>
      <c r="AE102" t="e">
        <f>AND('Planilla_General_03-12-2012_9_3'!N1618,"AAAAAG/fvx4=")</f>
        <v>#VALUE!</v>
      </c>
      <c r="AF102" t="e">
        <f>AND('Planilla_General_03-12-2012_9_3'!O1618,"AAAAAG/fvx8=")</f>
        <v>#VALUE!</v>
      </c>
      <c r="AG102">
        <f>IF('Planilla_General_03-12-2012_9_3'!1619:1619,"AAAAAG/fvyA=",0)</f>
        <v>0</v>
      </c>
      <c r="AH102" t="e">
        <f>AND('Planilla_General_03-12-2012_9_3'!A1619,"AAAAAG/fvyE=")</f>
        <v>#VALUE!</v>
      </c>
      <c r="AI102" t="e">
        <f>AND('Planilla_General_03-12-2012_9_3'!B1619,"AAAAAG/fvyI=")</f>
        <v>#VALUE!</v>
      </c>
      <c r="AJ102" t="e">
        <f>AND('Planilla_General_03-12-2012_9_3'!C1619,"AAAAAG/fvyM=")</f>
        <v>#VALUE!</v>
      </c>
      <c r="AK102" t="e">
        <f>AND('Planilla_General_03-12-2012_9_3'!D1619,"AAAAAG/fvyQ=")</f>
        <v>#VALUE!</v>
      </c>
      <c r="AL102" t="e">
        <f>AND('Planilla_General_03-12-2012_9_3'!E1619,"AAAAAG/fvyU=")</f>
        <v>#VALUE!</v>
      </c>
      <c r="AM102" t="e">
        <f>AND('Planilla_General_03-12-2012_9_3'!F1619,"AAAAAG/fvyY=")</f>
        <v>#VALUE!</v>
      </c>
      <c r="AN102" t="e">
        <f>AND('Planilla_General_03-12-2012_9_3'!G1619,"AAAAAG/fvyc=")</f>
        <v>#VALUE!</v>
      </c>
      <c r="AO102" t="e">
        <f>AND('Planilla_General_03-12-2012_9_3'!H1619,"AAAAAG/fvyg=")</f>
        <v>#VALUE!</v>
      </c>
      <c r="AP102" t="e">
        <f>AND('Planilla_General_03-12-2012_9_3'!I1619,"AAAAAG/fvyk=")</f>
        <v>#VALUE!</v>
      </c>
      <c r="AQ102" t="e">
        <f>AND('Planilla_General_03-12-2012_9_3'!J1619,"AAAAAG/fvyo=")</f>
        <v>#VALUE!</v>
      </c>
      <c r="AR102" t="e">
        <f>AND('Planilla_General_03-12-2012_9_3'!K1619,"AAAAAG/fvys=")</f>
        <v>#VALUE!</v>
      </c>
      <c r="AS102" t="e">
        <f>AND('Planilla_General_03-12-2012_9_3'!L1619,"AAAAAG/fvyw=")</f>
        <v>#VALUE!</v>
      </c>
      <c r="AT102" t="e">
        <f>AND('Planilla_General_03-12-2012_9_3'!M1619,"AAAAAG/fvy0=")</f>
        <v>#VALUE!</v>
      </c>
      <c r="AU102" t="e">
        <f>AND('Planilla_General_03-12-2012_9_3'!N1619,"AAAAAG/fvy4=")</f>
        <v>#VALUE!</v>
      </c>
      <c r="AV102" t="e">
        <f>AND('Planilla_General_03-12-2012_9_3'!O1619,"AAAAAG/fvy8=")</f>
        <v>#VALUE!</v>
      </c>
      <c r="AW102">
        <f>IF('Planilla_General_03-12-2012_9_3'!1620:1620,"AAAAAG/fvzA=",0)</f>
        <v>0</v>
      </c>
      <c r="AX102" t="e">
        <f>AND('Planilla_General_03-12-2012_9_3'!A1620,"AAAAAG/fvzE=")</f>
        <v>#VALUE!</v>
      </c>
      <c r="AY102" t="e">
        <f>AND('Planilla_General_03-12-2012_9_3'!B1620,"AAAAAG/fvzI=")</f>
        <v>#VALUE!</v>
      </c>
      <c r="AZ102" t="e">
        <f>AND('Planilla_General_03-12-2012_9_3'!C1620,"AAAAAG/fvzM=")</f>
        <v>#VALUE!</v>
      </c>
      <c r="BA102" t="e">
        <f>AND('Planilla_General_03-12-2012_9_3'!D1620,"AAAAAG/fvzQ=")</f>
        <v>#VALUE!</v>
      </c>
      <c r="BB102" t="e">
        <f>AND('Planilla_General_03-12-2012_9_3'!E1620,"AAAAAG/fvzU=")</f>
        <v>#VALUE!</v>
      </c>
      <c r="BC102" t="e">
        <f>AND('Planilla_General_03-12-2012_9_3'!F1620,"AAAAAG/fvzY=")</f>
        <v>#VALUE!</v>
      </c>
      <c r="BD102" t="e">
        <f>AND('Planilla_General_03-12-2012_9_3'!G1620,"AAAAAG/fvzc=")</f>
        <v>#VALUE!</v>
      </c>
      <c r="BE102" t="e">
        <f>AND('Planilla_General_03-12-2012_9_3'!H1620,"AAAAAG/fvzg=")</f>
        <v>#VALUE!</v>
      </c>
      <c r="BF102" t="e">
        <f>AND('Planilla_General_03-12-2012_9_3'!I1620,"AAAAAG/fvzk=")</f>
        <v>#VALUE!</v>
      </c>
      <c r="BG102" t="e">
        <f>AND('Planilla_General_03-12-2012_9_3'!J1620,"AAAAAG/fvzo=")</f>
        <v>#VALUE!</v>
      </c>
      <c r="BH102" t="e">
        <f>AND('Planilla_General_03-12-2012_9_3'!K1620,"AAAAAG/fvzs=")</f>
        <v>#VALUE!</v>
      </c>
      <c r="BI102" t="e">
        <f>AND('Planilla_General_03-12-2012_9_3'!L1620,"AAAAAG/fvzw=")</f>
        <v>#VALUE!</v>
      </c>
      <c r="BJ102" t="e">
        <f>AND('Planilla_General_03-12-2012_9_3'!M1620,"AAAAAG/fvz0=")</f>
        <v>#VALUE!</v>
      </c>
      <c r="BK102" t="e">
        <f>AND('Planilla_General_03-12-2012_9_3'!N1620,"AAAAAG/fvz4=")</f>
        <v>#VALUE!</v>
      </c>
      <c r="BL102" t="e">
        <f>AND('Planilla_General_03-12-2012_9_3'!O1620,"AAAAAG/fvz8=")</f>
        <v>#VALUE!</v>
      </c>
      <c r="BM102">
        <f>IF('Planilla_General_03-12-2012_9_3'!1621:1621,"AAAAAG/fv0A=",0)</f>
        <v>0</v>
      </c>
      <c r="BN102" t="e">
        <f>AND('Planilla_General_03-12-2012_9_3'!A1621,"AAAAAG/fv0E=")</f>
        <v>#VALUE!</v>
      </c>
      <c r="BO102" t="e">
        <f>AND('Planilla_General_03-12-2012_9_3'!B1621,"AAAAAG/fv0I=")</f>
        <v>#VALUE!</v>
      </c>
      <c r="BP102" t="e">
        <f>AND('Planilla_General_03-12-2012_9_3'!C1621,"AAAAAG/fv0M=")</f>
        <v>#VALUE!</v>
      </c>
      <c r="BQ102" t="e">
        <f>AND('Planilla_General_03-12-2012_9_3'!D1621,"AAAAAG/fv0Q=")</f>
        <v>#VALUE!</v>
      </c>
      <c r="BR102" t="e">
        <f>AND('Planilla_General_03-12-2012_9_3'!E1621,"AAAAAG/fv0U=")</f>
        <v>#VALUE!</v>
      </c>
      <c r="BS102" t="e">
        <f>AND('Planilla_General_03-12-2012_9_3'!F1621,"AAAAAG/fv0Y=")</f>
        <v>#VALUE!</v>
      </c>
      <c r="BT102" t="e">
        <f>AND('Planilla_General_03-12-2012_9_3'!G1621,"AAAAAG/fv0c=")</f>
        <v>#VALUE!</v>
      </c>
      <c r="BU102" t="e">
        <f>AND('Planilla_General_03-12-2012_9_3'!H1621,"AAAAAG/fv0g=")</f>
        <v>#VALUE!</v>
      </c>
      <c r="BV102" t="e">
        <f>AND('Planilla_General_03-12-2012_9_3'!I1621,"AAAAAG/fv0k=")</f>
        <v>#VALUE!</v>
      </c>
      <c r="BW102" t="e">
        <f>AND('Planilla_General_03-12-2012_9_3'!J1621,"AAAAAG/fv0o=")</f>
        <v>#VALUE!</v>
      </c>
      <c r="BX102" t="e">
        <f>AND('Planilla_General_03-12-2012_9_3'!K1621,"AAAAAG/fv0s=")</f>
        <v>#VALUE!</v>
      </c>
      <c r="BY102" t="e">
        <f>AND('Planilla_General_03-12-2012_9_3'!L1621,"AAAAAG/fv0w=")</f>
        <v>#VALUE!</v>
      </c>
      <c r="BZ102" t="e">
        <f>AND('Planilla_General_03-12-2012_9_3'!M1621,"AAAAAG/fv00=")</f>
        <v>#VALUE!</v>
      </c>
      <c r="CA102" t="e">
        <f>AND('Planilla_General_03-12-2012_9_3'!N1621,"AAAAAG/fv04=")</f>
        <v>#VALUE!</v>
      </c>
      <c r="CB102" t="e">
        <f>AND('Planilla_General_03-12-2012_9_3'!O1621,"AAAAAG/fv08=")</f>
        <v>#VALUE!</v>
      </c>
      <c r="CC102">
        <f>IF('Planilla_General_03-12-2012_9_3'!1622:1622,"AAAAAG/fv1A=",0)</f>
        <v>0</v>
      </c>
      <c r="CD102" t="e">
        <f>AND('Planilla_General_03-12-2012_9_3'!A1622,"AAAAAG/fv1E=")</f>
        <v>#VALUE!</v>
      </c>
      <c r="CE102" t="e">
        <f>AND('Planilla_General_03-12-2012_9_3'!B1622,"AAAAAG/fv1I=")</f>
        <v>#VALUE!</v>
      </c>
      <c r="CF102" t="e">
        <f>AND('Planilla_General_03-12-2012_9_3'!C1622,"AAAAAG/fv1M=")</f>
        <v>#VALUE!</v>
      </c>
      <c r="CG102" t="e">
        <f>AND('Planilla_General_03-12-2012_9_3'!D1622,"AAAAAG/fv1Q=")</f>
        <v>#VALUE!</v>
      </c>
      <c r="CH102" t="e">
        <f>AND('Planilla_General_03-12-2012_9_3'!E1622,"AAAAAG/fv1U=")</f>
        <v>#VALUE!</v>
      </c>
      <c r="CI102" t="e">
        <f>AND('Planilla_General_03-12-2012_9_3'!F1622,"AAAAAG/fv1Y=")</f>
        <v>#VALUE!</v>
      </c>
      <c r="CJ102" t="e">
        <f>AND('Planilla_General_03-12-2012_9_3'!G1622,"AAAAAG/fv1c=")</f>
        <v>#VALUE!</v>
      </c>
      <c r="CK102" t="e">
        <f>AND('Planilla_General_03-12-2012_9_3'!H1622,"AAAAAG/fv1g=")</f>
        <v>#VALUE!</v>
      </c>
      <c r="CL102" t="e">
        <f>AND('Planilla_General_03-12-2012_9_3'!I1622,"AAAAAG/fv1k=")</f>
        <v>#VALUE!</v>
      </c>
      <c r="CM102" t="e">
        <f>AND('Planilla_General_03-12-2012_9_3'!J1622,"AAAAAG/fv1o=")</f>
        <v>#VALUE!</v>
      </c>
      <c r="CN102" t="e">
        <f>AND('Planilla_General_03-12-2012_9_3'!K1622,"AAAAAG/fv1s=")</f>
        <v>#VALUE!</v>
      </c>
      <c r="CO102" t="e">
        <f>AND('Planilla_General_03-12-2012_9_3'!L1622,"AAAAAG/fv1w=")</f>
        <v>#VALUE!</v>
      </c>
      <c r="CP102" t="e">
        <f>AND('Planilla_General_03-12-2012_9_3'!M1622,"AAAAAG/fv10=")</f>
        <v>#VALUE!</v>
      </c>
      <c r="CQ102" t="e">
        <f>AND('Planilla_General_03-12-2012_9_3'!N1622,"AAAAAG/fv14=")</f>
        <v>#VALUE!</v>
      </c>
      <c r="CR102" t="e">
        <f>AND('Planilla_General_03-12-2012_9_3'!O1622,"AAAAAG/fv18=")</f>
        <v>#VALUE!</v>
      </c>
      <c r="CS102">
        <f>IF('Planilla_General_03-12-2012_9_3'!1623:1623,"AAAAAG/fv2A=",0)</f>
        <v>0</v>
      </c>
      <c r="CT102" t="e">
        <f>AND('Planilla_General_03-12-2012_9_3'!A1623,"AAAAAG/fv2E=")</f>
        <v>#VALUE!</v>
      </c>
      <c r="CU102" t="e">
        <f>AND('Planilla_General_03-12-2012_9_3'!B1623,"AAAAAG/fv2I=")</f>
        <v>#VALUE!</v>
      </c>
      <c r="CV102" t="e">
        <f>AND('Planilla_General_03-12-2012_9_3'!C1623,"AAAAAG/fv2M=")</f>
        <v>#VALUE!</v>
      </c>
      <c r="CW102" t="e">
        <f>AND('Planilla_General_03-12-2012_9_3'!D1623,"AAAAAG/fv2Q=")</f>
        <v>#VALUE!</v>
      </c>
      <c r="CX102" t="e">
        <f>AND('Planilla_General_03-12-2012_9_3'!E1623,"AAAAAG/fv2U=")</f>
        <v>#VALUE!</v>
      </c>
      <c r="CY102" t="e">
        <f>AND('Planilla_General_03-12-2012_9_3'!F1623,"AAAAAG/fv2Y=")</f>
        <v>#VALUE!</v>
      </c>
      <c r="CZ102" t="e">
        <f>AND('Planilla_General_03-12-2012_9_3'!G1623,"AAAAAG/fv2c=")</f>
        <v>#VALUE!</v>
      </c>
      <c r="DA102" t="e">
        <f>AND('Planilla_General_03-12-2012_9_3'!H1623,"AAAAAG/fv2g=")</f>
        <v>#VALUE!</v>
      </c>
      <c r="DB102" t="e">
        <f>AND('Planilla_General_03-12-2012_9_3'!I1623,"AAAAAG/fv2k=")</f>
        <v>#VALUE!</v>
      </c>
      <c r="DC102" t="e">
        <f>AND('Planilla_General_03-12-2012_9_3'!J1623,"AAAAAG/fv2o=")</f>
        <v>#VALUE!</v>
      </c>
      <c r="DD102" t="e">
        <f>AND('Planilla_General_03-12-2012_9_3'!K1623,"AAAAAG/fv2s=")</f>
        <v>#VALUE!</v>
      </c>
      <c r="DE102" t="e">
        <f>AND('Planilla_General_03-12-2012_9_3'!L1623,"AAAAAG/fv2w=")</f>
        <v>#VALUE!</v>
      </c>
      <c r="DF102" t="e">
        <f>AND('Planilla_General_03-12-2012_9_3'!M1623,"AAAAAG/fv20=")</f>
        <v>#VALUE!</v>
      </c>
      <c r="DG102" t="e">
        <f>AND('Planilla_General_03-12-2012_9_3'!N1623,"AAAAAG/fv24=")</f>
        <v>#VALUE!</v>
      </c>
      <c r="DH102" t="e">
        <f>AND('Planilla_General_03-12-2012_9_3'!O1623,"AAAAAG/fv28=")</f>
        <v>#VALUE!</v>
      </c>
      <c r="DI102">
        <f>IF('Planilla_General_03-12-2012_9_3'!1624:1624,"AAAAAG/fv3A=",0)</f>
        <v>0</v>
      </c>
      <c r="DJ102" t="e">
        <f>AND('Planilla_General_03-12-2012_9_3'!A1624,"AAAAAG/fv3E=")</f>
        <v>#VALUE!</v>
      </c>
      <c r="DK102" t="e">
        <f>AND('Planilla_General_03-12-2012_9_3'!B1624,"AAAAAG/fv3I=")</f>
        <v>#VALUE!</v>
      </c>
      <c r="DL102" t="e">
        <f>AND('Planilla_General_03-12-2012_9_3'!C1624,"AAAAAG/fv3M=")</f>
        <v>#VALUE!</v>
      </c>
      <c r="DM102" t="e">
        <f>AND('Planilla_General_03-12-2012_9_3'!D1624,"AAAAAG/fv3Q=")</f>
        <v>#VALUE!</v>
      </c>
      <c r="DN102" t="e">
        <f>AND('Planilla_General_03-12-2012_9_3'!E1624,"AAAAAG/fv3U=")</f>
        <v>#VALUE!</v>
      </c>
      <c r="DO102" t="e">
        <f>AND('Planilla_General_03-12-2012_9_3'!F1624,"AAAAAG/fv3Y=")</f>
        <v>#VALUE!</v>
      </c>
      <c r="DP102" t="e">
        <f>AND('Planilla_General_03-12-2012_9_3'!G1624,"AAAAAG/fv3c=")</f>
        <v>#VALUE!</v>
      </c>
      <c r="DQ102" t="e">
        <f>AND('Planilla_General_03-12-2012_9_3'!H1624,"AAAAAG/fv3g=")</f>
        <v>#VALUE!</v>
      </c>
      <c r="DR102" t="e">
        <f>AND('Planilla_General_03-12-2012_9_3'!I1624,"AAAAAG/fv3k=")</f>
        <v>#VALUE!</v>
      </c>
      <c r="DS102" t="e">
        <f>AND('Planilla_General_03-12-2012_9_3'!J1624,"AAAAAG/fv3o=")</f>
        <v>#VALUE!</v>
      </c>
      <c r="DT102" t="e">
        <f>AND('Planilla_General_03-12-2012_9_3'!K1624,"AAAAAG/fv3s=")</f>
        <v>#VALUE!</v>
      </c>
      <c r="DU102" t="e">
        <f>AND('Planilla_General_03-12-2012_9_3'!L1624,"AAAAAG/fv3w=")</f>
        <v>#VALUE!</v>
      </c>
      <c r="DV102" t="e">
        <f>AND('Planilla_General_03-12-2012_9_3'!M1624,"AAAAAG/fv30=")</f>
        <v>#VALUE!</v>
      </c>
      <c r="DW102" t="e">
        <f>AND('Planilla_General_03-12-2012_9_3'!N1624,"AAAAAG/fv34=")</f>
        <v>#VALUE!</v>
      </c>
      <c r="DX102" t="e">
        <f>AND('Planilla_General_03-12-2012_9_3'!O1624,"AAAAAG/fv38=")</f>
        <v>#VALUE!</v>
      </c>
      <c r="DY102">
        <f>IF('Planilla_General_03-12-2012_9_3'!1625:1625,"AAAAAG/fv4A=",0)</f>
        <v>0</v>
      </c>
      <c r="DZ102" t="e">
        <f>AND('Planilla_General_03-12-2012_9_3'!A1625,"AAAAAG/fv4E=")</f>
        <v>#VALUE!</v>
      </c>
      <c r="EA102" t="e">
        <f>AND('Planilla_General_03-12-2012_9_3'!B1625,"AAAAAG/fv4I=")</f>
        <v>#VALUE!</v>
      </c>
      <c r="EB102" t="e">
        <f>AND('Planilla_General_03-12-2012_9_3'!C1625,"AAAAAG/fv4M=")</f>
        <v>#VALUE!</v>
      </c>
      <c r="EC102" t="e">
        <f>AND('Planilla_General_03-12-2012_9_3'!D1625,"AAAAAG/fv4Q=")</f>
        <v>#VALUE!</v>
      </c>
      <c r="ED102" t="e">
        <f>AND('Planilla_General_03-12-2012_9_3'!E1625,"AAAAAG/fv4U=")</f>
        <v>#VALUE!</v>
      </c>
      <c r="EE102" t="e">
        <f>AND('Planilla_General_03-12-2012_9_3'!F1625,"AAAAAG/fv4Y=")</f>
        <v>#VALUE!</v>
      </c>
      <c r="EF102" t="e">
        <f>AND('Planilla_General_03-12-2012_9_3'!G1625,"AAAAAG/fv4c=")</f>
        <v>#VALUE!</v>
      </c>
      <c r="EG102" t="e">
        <f>AND('Planilla_General_03-12-2012_9_3'!H1625,"AAAAAG/fv4g=")</f>
        <v>#VALUE!</v>
      </c>
      <c r="EH102" t="e">
        <f>AND('Planilla_General_03-12-2012_9_3'!I1625,"AAAAAG/fv4k=")</f>
        <v>#VALUE!</v>
      </c>
      <c r="EI102" t="e">
        <f>AND('Planilla_General_03-12-2012_9_3'!J1625,"AAAAAG/fv4o=")</f>
        <v>#VALUE!</v>
      </c>
      <c r="EJ102" t="e">
        <f>AND('Planilla_General_03-12-2012_9_3'!K1625,"AAAAAG/fv4s=")</f>
        <v>#VALUE!</v>
      </c>
      <c r="EK102" t="e">
        <f>AND('Planilla_General_03-12-2012_9_3'!L1625,"AAAAAG/fv4w=")</f>
        <v>#VALUE!</v>
      </c>
      <c r="EL102" t="e">
        <f>AND('Planilla_General_03-12-2012_9_3'!M1625,"AAAAAG/fv40=")</f>
        <v>#VALUE!</v>
      </c>
      <c r="EM102" t="e">
        <f>AND('Planilla_General_03-12-2012_9_3'!N1625,"AAAAAG/fv44=")</f>
        <v>#VALUE!</v>
      </c>
      <c r="EN102" t="e">
        <f>AND('Planilla_General_03-12-2012_9_3'!O1625,"AAAAAG/fv48=")</f>
        <v>#VALUE!</v>
      </c>
      <c r="EO102">
        <f>IF('Planilla_General_03-12-2012_9_3'!1626:1626,"AAAAAG/fv5A=",0)</f>
        <v>0</v>
      </c>
      <c r="EP102" t="e">
        <f>AND('Planilla_General_03-12-2012_9_3'!A1626,"AAAAAG/fv5E=")</f>
        <v>#VALUE!</v>
      </c>
      <c r="EQ102" t="e">
        <f>AND('Planilla_General_03-12-2012_9_3'!B1626,"AAAAAG/fv5I=")</f>
        <v>#VALUE!</v>
      </c>
      <c r="ER102" t="e">
        <f>AND('Planilla_General_03-12-2012_9_3'!C1626,"AAAAAG/fv5M=")</f>
        <v>#VALUE!</v>
      </c>
      <c r="ES102" t="e">
        <f>AND('Planilla_General_03-12-2012_9_3'!D1626,"AAAAAG/fv5Q=")</f>
        <v>#VALUE!</v>
      </c>
      <c r="ET102" t="e">
        <f>AND('Planilla_General_03-12-2012_9_3'!E1626,"AAAAAG/fv5U=")</f>
        <v>#VALUE!</v>
      </c>
      <c r="EU102" t="e">
        <f>AND('Planilla_General_03-12-2012_9_3'!F1626,"AAAAAG/fv5Y=")</f>
        <v>#VALUE!</v>
      </c>
      <c r="EV102" t="e">
        <f>AND('Planilla_General_03-12-2012_9_3'!G1626,"AAAAAG/fv5c=")</f>
        <v>#VALUE!</v>
      </c>
      <c r="EW102" t="e">
        <f>AND('Planilla_General_03-12-2012_9_3'!H1626,"AAAAAG/fv5g=")</f>
        <v>#VALUE!</v>
      </c>
      <c r="EX102" t="e">
        <f>AND('Planilla_General_03-12-2012_9_3'!I1626,"AAAAAG/fv5k=")</f>
        <v>#VALUE!</v>
      </c>
      <c r="EY102" t="e">
        <f>AND('Planilla_General_03-12-2012_9_3'!J1626,"AAAAAG/fv5o=")</f>
        <v>#VALUE!</v>
      </c>
      <c r="EZ102" t="e">
        <f>AND('Planilla_General_03-12-2012_9_3'!K1626,"AAAAAG/fv5s=")</f>
        <v>#VALUE!</v>
      </c>
      <c r="FA102" t="e">
        <f>AND('Planilla_General_03-12-2012_9_3'!L1626,"AAAAAG/fv5w=")</f>
        <v>#VALUE!</v>
      </c>
      <c r="FB102" t="e">
        <f>AND('Planilla_General_03-12-2012_9_3'!M1626,"AAAAAG/fv50=")</f>
        <v>#VALUE!</v>
      </c>
      <c r="FC102" t="e">
        <f>AND('Planilla_General_03-12-2012_9_3'!N1626,"AAAAAG/fv54=")</f>
        <v>#VALUE!</v>
      </c>
      <c r="FD102" t="e">
        <f>AND('Planilla_General_03-12-2012_9_3'!O1626,"AAAAAG/fv58=")</f>
        <v>#VALUE!</v>
      </c>
      <c r="FE102">
        <f>IF('Planilla_General_03-12-2012_9_3'!1627:1627,"AAAAAG/fv6A=",0)</f>
        <v>0</v>
      </c>
      <c r="FF102" t="e">
        <f>AND('Planilla_General_03-12-2012_9_3'!A1627,"AAAAAG/fv6E=")</f>
        <v>#VALUE!</v>
      </c>
      <c r="FG102" t="e">
        <f>AND('Planilla_General_03-12-2012_9_3'!B1627,"AAAAAG/fv6I=")</f>
        <v>#VALUE!</v>
      </c>
      <c r="FH102" t="e">
        <f>AND('Planilla_General_03-12-2012_9_3'!C1627,"AAAAAG/fv6M=")</f>
        <v>#VALUE!</v>
      </c>
      <c r="FI102" t="e">
        <f>AND('Planilla_General_03-12-2012_9_3'!D1627,"AAAAAG/fv6Q=")</f>
        <v>#VALUE!</v>
      </c>
      <c r="FJ102" t="e">
        <f>AND('Planilla_General_03-12-2012_9_3'!E1627,"AAAAAG/fv6U=")</f>
        <v>#VALUE!</v>
      </c>
      <c r="FK102" t="e">
        <f>AND('Planilla_General_03-12-2012_9_3'!F1627,"AAAAAG/fv6Y=")</f>
        <v>#VALUE!</v>
      </c>
      <c r="FL102" t="e">
        <f>AND('Planilla_General_03-12-2012_9_3'!G1627,"AAAAAG/fv6c=")</f>
        <v>#VALUE!</v>
      </c>
      <c r="FM102" t="e">
        <f>AND('Planilla_General_03-12-2012_9_3'!H1627,"AAAAAG/fv6g=")</f>
        <v>#VALUE!</v>
      </c>
      <c r="FN102" t="e">
        <f>AND('Planilla_General_03-12-2012_9_3'!I1627,"AAAAAG/fv6k=")</f>
        <v>#VALUE!</v>
      </c>
      <c r="FO102" t="e">
        <f>AND('Planilla_General_03-12-2012_9_3'!J1627,"AAAAAG/fv6o=")</f>
        <v>#VALUE!</v>
      </c>
      <c r="FP102" t="e">
        <f>AND('Planilla_General_03-12-2012_9_3'!K1627,"AAAAAG/fv6s=")</f>
        <v>#VALUE!</v>
      </c>
      <c r="FQ102" t="e">
        <f>AND('Planilla_General_03-12-2012_9_3'!L1627,"AAAAAG/fv6w=")</f>
        <v>#VALUE!</v>
      </c>
      <c r="FR102" t="e">
        <f>AND('Planilla_General_03-12-2012_9_3'!M1627,"AAAAAG/fv60=")</f>
        <v>#VALUE!</v>
      </c>
      <c r="FS102" t="e">
        <f>AND('Planilla_General_03-12-2012_9_3'!N1627,"AAAAAG/fv64=")</f>
        <v>#VALUE!</v>
      </c>
      <c r="FT102" t="e">
        <f>AND('Planilla_General_03-12-2012_9_3'!O1627,"AAAAAG/fv68=")</f>
        <v>#VALUE!</v>
      </c>
      <c r="FU102">
        <f>IF('Planilla_General_03-12-2012_9_3'!1628:1628,"AAAAAG/fv7A=",0)</f>
        <v>0</v>
      </c>
      <c r="FV102" t="e">
        <f>AND('Planilla_General_03-12-2012_9_3'!A1628,"AAAAAG/fv7E=")</f>
        <v>#VALUE!</v>
      </c>
      <c r="FW102" t="e">
        <f>AND('Planilla_General_03-12-2012_9_3'!B1628,"AAAAAG/fv7I=")</f>
        <v>#VALUE!</v>
      </c>
      <c r="FX102" t="e">
        <f>AND('Planilla_General_03-12-2012_9_3'!C1628,"AAAAAG/fv7M=")</f>
        <v>#VALUE!</v>
      </c>
      <c r="FY102" t="e">
        <f>AND('Planilla_General_03-12-2012_9_3'!D1628,"AAAAAG/fv7Q=")</f>
        <v>#VALUE!</v>
      </c>
      <c r="FZ102" t="e">
        <f>AND('Planilla_General_03-12-2012_9_3'!E1628,"AAAAAG/fv7U=")</f>
        <v>#VALUE!</v>
      </c>
      <c r="GA102" t="e">
        <f>AND('Planilla_General_03-12-2012_9_3'!F1628,"AAAAAG/fv7Y=")</f>
        <v>#VALUE!</v>
      </c>
      <c r="GB102" t="e">
        <f>AND('Planilla_General_03-12-2012_9_3'!G1628,"AAAAAG/fv7c=")</f>
        <v>#VALUE!</v>
      </c>
      <c r="GC102" t="e">
        <f>AND('Planilla_General_03-12-2012_9_3'!H1628,"AAAAAG/fv7g=")</f>
        <v>#VALUE!</v>
      </c>
      <c r="GD102" t="e">
        <f>AND('Planilla_General_03-12-2012_9_3'!I1628,"AAAAAG/fv7k=")</f>
        <v>#VALUE!</v>
      </c>
      <c r="GE102" t="e">
        <f>AND('Planilla_General_03-12-2012_9_3'!J1628,"AAAAAG/fv7o=")</f>
        <v>#VALUE!</v>
      </c>
      <c r="GF102" t="e">
        <f>AND('Planilla_General_03-12-2012_9_3'!K1628,"AAAAAG/fv7s=")</f>
        <v>#VALUE!</v>
      </c>
      <c r="GG102" t="e">
        <f>AND('Planilla_General_03-12-2012_9_3'!L1628,"AAAAAG/fv7w=")</f>
        <v>#VALUE!</v>
      </c>
      <c r="GH102" t="e">
        <f>AND('Planilla_General_03-12-2012_9_3'!M1628,"AAAAAG/fv70=")</f>
        <v>#VALUE!</v>
      </c>
      <c r="GI102" t="e">
        <f>AND('Planilla_General_03-12-2012_9_3'!N1628,"AAAAAG/fv74=")</f>
        <v>#VALUE!</v>
      </c>
      <c r="GJ102" t="e">
        <f>AND('Planilla_General_03-12-2012_9_3'!O1628,"AAAAAG/fv78=")</f>
        <v>#VALUE!</v>
      </c>
      <c r="GK102">
        <f>IF('Planilla_General_03-12-2012_9_3'!1629:1629,"AAAAAG/fv8A=",0)</f>
        <v>0</v>
      </c>
      <c r="GL102" t="e">
        <f>AND('Planilla_General_03-12-2012_9_3'!A1629,"AAAAAG/fv8E=")</f>
        <v>#VALUE!</v>
      </c>
      <c r="GM102" t="e">
        <f>AND('Planilla_General_03-12-2012_9_3'!B1629,"AAAAAG/fv8I=")</f>
        <v>#VALUE!</v>
      </c>
      <c r="GN102" t="e">
        <f>AND('Planilla_General_03-12-2012_9_3'!C1629,"AAAAAG/fv8M=")</f>
        <v>#VALUE!</v>
      </c>
      <c r="GO102" t="e">
        <f>AND('Planilla_General_03-12-2012_9_3'!D1629,"AAAAAG/fv8Q=")</f>
        <v>#VALUE!</v>
      </c>
      <c r="GP102" t="e">
        <f>AND('Planilla_General_03-12-2012_9_3'!E1629,"AAAAAG/fv8U=")</f>
        <v>#VALUE!</v>
      </c>
      <c r="GQ102" t="e">
        <f>AND('Planilla_General_03-12-2012_9_3'!F1629,"AAAAAG/fv8Y=")</f>
        <v>#VALUE!</v>
      </c>
      <c r="GR102" t="e">
        <f>AND('Planilla_General_03-12-2012_9_3'!G1629,"AAAAAG/fv8c=")</f>
        <v>#VALUE!</v>
      </c>
      <c r="GS102" t="e">
        <f>AND('Planilla_General_03-12-2012_9_3'!H1629,"AAAAAG/fv8g=")</f>
        <v>#VALUE!</v>
      </c>
      <c r="GT102" t="e">
        <f>AND('Planilla_General_03-12-2012_9_3'!I1629,"AAAAAG/fv8k=")</f>
        <v>#VALUE!</v>
      </c>
      <c r="GU102" t="e">
        <f>AND('Planilla_General_03-12-2012_9_3'!J1629,"AAAAAG/fv8o=")</f>
        <v>#VALUE!</v>
      </c>
      <c r="GV102" t="e">
        <f>AND('Planilla_General_03-12-2012_9_3'!K1629,"AAAAAG/fv8s=")</f>
        <v>#VALUE!</v>
      </c>
      <c r="GW102" t="e">
        <f>AND('Planilla_General_03-12-2012_9_3'!L1629,"AAAAAG/fv8w=")</f>
        <v>#VALUE!</v>
      </c>
      <c r="GX102" t="e">
        <f>AND('Planilla_General_03-12-2012_9_3'!M1629,"AAAAAG/fv80=")</f>
        <v>#VALUE!</v>
      </c>
      <c r="GY102" t="e">
        <f>AND('Planilla_General_03-12-2012_9_3'!N1629,"AAAAAG/fv84=")</f>
        <v>#VALUE!</v>
      </c>
      <c r="GZ102" t="e">
        <f>AND('Planilla_General_03-12-2012_9_3'!O1629,"AAAAAG/fv88=")</f>
        <v>#VALUE!</v>
      </c>
      <c r="HA102">
        <f>IF('Planilla_General_03-12-2012_9_3'!1630:1630,"AAAAAG/fv9A=",0)</f>
        <v>0</v>
      </c>
      <c r="HB102" t="e">
        <f>AND('Planilla_General_03-12-2012_9_3'!A1630,"AAAAAG/fv9E=")</f>
        <v>#VALUE!</v>
      </c>
      <c r="HC102" t="e">
        <f>AND('Planilla_General_03-12-2012_9_3'!B1630,"AAAAAG/fv9I=")</f>
        <v>#VALUE!</v>
      </c>
      <c r="HD102" t="e">
        <f>AND('Planilla_General_03-12-2012_9_3'!C1630,"AAAAAG/fv9M=")</f>
        <v>#VALUE!</v>
      </c>
      <c r="HE102" t="e">
        <f>AND('Planilla_General_03-12-2012_9_3'!D1630,"AAAAAG/fv9Q=")</f>
        <v>#VALUE!</v>
      </c>
      <c r="HF102" t="e">
        <f>AND('Planilla_General_03-12-2012_9_3'!E1630,"AAAAAG/fv9U=")</f>
        <v>#VALUE!</v>
      </c>
      <c r="HG102" t="e">
        <f>AND('Planilla_General_03-12-2012_9_3'!F1630,"AAAAAG/fv9Y=")</f>
        <v>#VALUE!</v>
      </c>
      <c r="HH102" t="e">
        <f>AND('Planilla_General_03-12-2012_9_3'!G1630,"AAAAAG/fv9c=")</f>
        <v>#VALUE!</v>
      </c>
      <c r="HI102" t="e">
        <f>AND('Planilla_General_03-12-2012_9_3'!H1630,"AAAAAG/fv9g=")</f>
        <v>#VALUE!</v>
      </c>
      <c r="HJ102" t="e">
        <f>AND('Planilla_General_03-12-2012_9_3'!I1630,"AAAAAG/fv9k=")</f>
        <v>#VALUE!</v>
      </c>
      <c r="HK102" t="e">
        <f>AND('Planilla_General_03-12-2012_9_3'!J1630,"AAAAAG/fv9o=")</f>
        <v>#VALUE!</v>
      </c>
      <c r="HL102" t="e">
        <f>AND('Planilla_General_03-12-2012_9_3'!K1630,"AAAAAG/fv9s=")</f>
        <v>#VALUE!</v>
      </c>
      <c r="HM102" t="e">
        <f>AND('Planilla_General_03-12-2012_9_3'!L1630,"AAAAAG/fv9w=")</f>
        <v>#VALUE!</v>
      </c>
      <c r="HN102" t="e">
        <f>AND('Planilla_General_03-12-2012_9_3'!M1630,"AAAAAG/fv90=")</f>
        <v>#VALUE!</v>
      </c>
      <c r="HO102" t="e">
        <f>AND('Planilla_General_03-12-2012_9_3'!N1630,"AAAAAG/fv94=")</f>
        <v>#VALUE!</v>
      </c>
      <c r="HP102" t="e">
        <f>AND('Planilla_General_03-12-2012_9_3'!O1630,"AAAAAG/fv98=")</f>
        <v>#VALUE!</v>
      </c>
      <c r="HQ102">
        <f>IF('Planilla_General_03-12-2012_9_3'!1631:1631,"AAAAAG/fv+A=",0)</f>
        <v>0</v>
      </c>
      <c r="HR102" t="e">
        <f>AND('Planilla_General_03-12-2012_9_3'!A1631,"AAAAAG/fv+E=")</f>
        <v>#VALUE!</v>
      </c>
      <c r="HS102" t="e">
        <f>AND('Planilla_General_03-12-2012_9_3'!B1631,"AAAAAG/fv+I=")</f>
        <v>#VALUE!</v>
      </c>
      <c r="HT102" t="e">
        <f>AND('Planilla_General_03-12-2012_9_3'!C1631,"AAAAAG/fv+M=")</f>
        <v>#VALUE!</v>
      </c>
      <c r="HU102" t="e">
        <f>AND('Planilla_General_03-12-2012_9_3'!D1631,"AAAAAG/fv+Q=")</f>
        <v>#VALUE!</v>
      </c>
      <c r="HV102" t="e">
        <f>AND('Planilla_General_03-12-2012_9_3'!E1631,"AAAAAG/fv+U=")</f>
        <v>#VALUE!</v>
      </c>
      <c r="HW102" t="e">
        <f>AND('Planilla_General_03-12-2012_9_3'!F1631,"AAAAAG/fv+Y=")</f>
        <v>#VALUE!</v>
      </c>
      <c r="HX102" t="e">
        <f>AND('Planilla_General_03-12-2012_9_3'!G1631,"AAAAAG/fv+c=")</f>
        <v>#VALUE!</v>
      </c>
      <c r="HY102" t="e">
        <f>AND('Planilla_General_03-12-2012_9_3'!H1631,"AAAAAG/fv+g=")</f>
        <v>#VALUE!</v>
      </c>
      <c r="HZ102" t="e">
        <f>AND('Planilla_General_03-12-2012_9_3'!I1631,"AAAAAG/fv+k=")</f>
        <v>#VALUE!</v>
      </c>
      <c r="IA102" t="e">
        <f>AND('Planilla_General_03-12-2012_9_3'!J1631,"AAAAAG/fv+o=")</f>
        <v>#VALUE!</v>
      </c>
      <c r="IB102" t="e">
        <f>AND('Planilla_General_03-12-2012_9_3'!K1631,"AAAAAG/fv+s=")</f>
        <v>#VALUE!</v>
      </c>
      <c r="IC102" t="e">
        <f>AND('Planilla_General_03-12-2012_9_3'!L1631,"AAAAAG/fv+w=")</f>
        <v>#VALUE!</v>
      </c>
      <c r="ID102" t="e">
        <f>AND('Planilla_General_03-12-2012_9_3'!M1631,"AAAAAG/fv+0=")</f>
        <v>#VALUE!</v>
      </c>
      <c r="IE102" t="e">
        <f>AND('Planilla_General_03-12-2012_9_3'!N1631,"AAAAAG/fv+4=")</f>
        <v>#VALUE!</v>
      </c>
      <c r="IF102" t="e">
        <f>AND('Planilla_General_03-12-2012_9_3'!O1631,"AAAAAG/fv+8=")</f>
        <v>#VALUE!</v>
      </c>
      <c r="IG102">
        <f>IF('Planilla_General_03-12-2012_9_3'!1632:1632,"AAAAAG/fv/A=",0)</f>
        <v>0</v>
      </c>
      <c r="IH102" t="e">
        <f>AND('Planilla_General_03-12-2012_9_3'!A1632,"AAAAAG/fv/E=")</f>
        <v>#VALUE!</v>
      </c>
      <c r="II102" t="e">
        <f>AND('Planilla_General_03-12-2012_9_3'!B1632,"AAAAAG/fv/I=")</f>
        <v>#VALUE!</v>
      </c>
      <c r="IJ102" t="e">
        <f>AND('Planilla_General_03-12-2012_9_3'!C1632,"AAAAAG/fv/M=")</f>
        <v>#VALUE!</v>
      </c>
      <c r="IK102" t="e">
        <f>AND('Planilla_General_03-12-2012_9_3'!D1632,"AAAAAG/fv/Q=")</f>
        <v>#VALUE!</v>
      </c>
      <c r="IL102" t="e">
        <f>AND('Planilla_General_03-12-2012_9_3'!E1632,"AAAAAG/fv/U=")</f>
        <v>#VALUE!</v>
      </c>
      <c r="IM102" t="e">
        <f>AND('Planilla_General_03-12-2012_9_3'!F1632,"AAAAAG/fv/Y=")</f>
        <v>#VALUE!</v>
      </c>
      <c r="IN102" t="e">
        <f>AND('Planilla_General_03-12-2012_9_3'!G1632,"AAAAAG/fv/c=")</f>
        <v>#VALUE!</v>
      </c>
      <c r="IO102" t="e">
        <f>AND('Planilla_General_03-12-2012_9_3'!H1632,"AAAAAG/fv/g=")</f>
        <v>#VALUE!</v>
      </c>
      <c r="IP102" t="e">
        <f>AND('Planilla_General_03-12-2012_9_3'!I1632,"AAAAAG/fv/k=")</f>
        <v>#VALUE!</v>
      </c>
      <c r="IQ102" t="e">
        <f>AND('Planilla_General_03-12-2012_9_3'!J1632,"AAAAAG/fv/o=")</f>
        <v>#VALUE!</v>
      </c>
      <c r="IR102" t="e">
        <f>AND('Planilla_General_03-12-2012_9_3'!K1632,"AAAAAG/fv/s=")</f>
        <v>#VALUE!</v>
      </c>
      <c r="IS102" t="e">
        <f>AND('Planilla_General_03-12-2012_9_3'!L1632,"AAAAAG/fv/w=")</f>
        <v>#VALUE!</v>
      </c>
      <c r="IT102" t="e">
        <f>AND('Planilla_General_03-12-2012_9_3'!M1632,"AAAAAG/fv/0=")</f>
        <v>#VALUE!</v>
      </c>
      <c r="IU102" t="e">
        <f>AND('Planilla_General_03-12-2012_9_3'!N1632,"AAAAAG/fv/4=")</f>
        <v>#VALUE!</v>
      </c>
      <c r="IV102" t="e">
        <f>AND('Planilla_General_03-12-2012_9_3'!O1632,"AAAAAG/fv/8=")</f>
        <v>#VALUE!</v>
      </c>
    </row>
    <row r="103" spans="1:256" x14ac:dyDescent="0.25">
      <c r="A103" t="e">
        <f>IF('Planilla_General_03-12-2012_9_3'!1633:1633,"AAAAAH39bwA=",0)</f>
        <v>#VALUE!</v>
      </c>
      <c r="B103" t="e">
        <f>AND('Planilla_General_03-12-2012_9_3'!A1633,"AAAAAH39bwE=")</f>
        <v>#VALUE!</v>
      </c>
      <c r="C103" t="e">
        <f>AND('Planilla_General_03-12-2012_9_3'!B1633,"AAAAAH39bwI=")</f>
        <v>#VALUE!</v>
      </c>
      <c r="D103" t="e">
        <f>AND('Planilla_General_03-12-2012_9_3'!C1633,"AAAAAH39bwM=")</f>
        <v>#VALUE!</v>
      </c>
      <c r="E103" t="e">
        <f>AND('Planilla_General_03-12-2012_9_3'!D1633,"AAAAAH39bwQ=")</f>
        <v>#VALUE!</v>
      </c>
      <c r="F103" t="e">
        <f>AND('Planilla_General_03-12-2012_9_3'!E1633,"AAAAAH39bwU=")</f>
        <v>#VALUE!</v>
      </c>
      <c r="G103" t="e">
        <f>AND('Planilla_General_03-12-2012_9_3'!F1633,"AAAAAH39bwY=")</f>
        <v>#VALUE!</v>
      </c>
      <c r="H103" t="e">
        <f>AND('Planilla_General_03-12-2012_9_3'!G1633,"AAAAAH39bwc=")</f>
        <v>#VALUE!</v>
      </c>
      <c r="I103" t="e">
        <f>AND('Planilla_General_03-12-2012_9_3'!H1633,"AAAAAH39bwg=")</f>
        <v>#VALUE!</v>
      </c>
      <c r="J103" t="e">
        <f>AND('Planilla_General_03-12-2012_9_3'!I1633,"AAAAAH39bwk=")</f>
        <v>#VALUE!</v>
      </c>
      <c r="K103" t="e">
        <f>AND('Planilla_General_03-12-2012_9_3'!J1633,"AAAAAH39bwo=")</f>
        <v>#VALUE!</v>
      </c>
      <c r="L103" t="e">
        <f>AND('Planilla_General_03-12-2012_9_3'!K1633,"AAAAAH39bws=")</f>
        <v>#VALUE!</v>
      </c>
      <c r="M103" t="e">
        <f>AND('Planilla_General_03-12-2012_9_3'!L1633,"AAAAAH39bww=")</f>
        <v>#VALUE!</v>
      </c>
      <c r="N103" t="e">
        <f>AND('Planilla_General_03-12-2012_9_3'!M1633,"AAAAAH39bw0=")</f>
        <v>#VALUE!</v>
      </c>
      <c r="O103" t="e">
        <f>AND('Planilla_General_03-12-2012_9_3'!N1633,"AAAAAH39bw4=")</f>
        <v>#VALUE!</v>
      </c>
      <c r="P103" t="e">
        <f>AND('Planilla_General_03-12-2012_9_3'!O1633,"AAAAAH39bw8=")</f>
        <v>#VALUE!</v>
      </c>
      <c r="Q103">
        <f>IF('Planilla_General_03-12-2012_9_3'!1634:1634,"AAAAAH39bxA=",0)</f>
        <v>0</v>
      </c>
      <c r="R103" t="e">
        <f>AND('Planilla_General_03-12-2012_9_3'!A1634,"AAAAAH39bxE=")</f>
        <v>#VALUE!</v>
      </c>
      <c r="S103" t="e">
        <f>AND('Planilla_General_03-12-2012_9_3'!B1634,"AAAAAH39bxI=")</f>
        <v>#VALUE!</v>
      </c>
      <c r="T103" t="e">
        <f>AND('Planilla_General_03-12-2012_9_3'!C1634,"AAAAAH39bxM=")</f>
        <v>#VALUE!</v>
      </c>
      <c r="U103" t="e">
        <f>AND('Planilla_General_03-12-2012_9_3'!D1634,"AAAAAH39bxQ=")</f>
        <v>#VALUE!</v>
      </c>
      <c r="V103" t="e">
        <f>AND('Planilla_General_03-12-2012_9_3'!E1634,"AAAAAH39bxU=")</f>
        <v>#VALUE!</v>
      </c>
      <c r="W103" t="e">
        <f>AND('Planilla_General_03-12-2012_9_3'!F1634,"AAAAAH39bxY=")</f>
        <v>#VALUE!</v>
      </c>
      <c r="X103" t="e">
        <f>AND('Planilla_General_03-12-2012_9_3'!G1634,"AAAAAH39bxc=")</f>
        <v>#VALUE!</v>
      </c>
      <c r="Y103" t="e">
        <f>AND('Planilla_General_03-12-2012_9_3'!H1634,"AAAAAH39bxg=")</f>
        <v>#VALUE!</v>
      </c>
      <c r="Z103" t="e">
        <f>AND('Planilla_General_03-12-2012_9_3'!I1634,"AAAAAH39bxk=")</f>
        <v>#VALUE!</v>
      </c>
      <c r="AA103" t="e">
        <f>AND('Planilla_General_03-12-2012_9_3'!J1634,"AAAAAH39bxo=")</f>
        <v>#VALUE!</v>
      </c>
      <c r="AB103" t="e">
        <f>AND('Planilla_General_03-12-2012_9_3'!K1634,"AAAAAH39bxs=")</f>
        <v>#VALUE!</v>
      </c>
      <c r="AC103" t="e">
        <f>AND('Planilla_General_03-12-2012_9_3'!L1634,"AAAAAH39bxw=")</f>
        <v>#VALUE!</v>
      </c>
      <c r="AD103" t="e">
        <f>AND('Planilla_General_03-12-2012_9_3'!M1634,"AAAAAH39bx0=")</f>
        <v>#VALUE!</v>
      </c>
      <c r="AE103" t="e">
        <f>AND('Planilla_General_03-12-2012_9_3'!N1634,"AAAAAH39bx4=")</f>
        <v>#VALUE!</v>
      </c>
      <c r="AF103" t="e">
        <f>AND('Planilla_General_03-12-2012_9_3'!O1634,"AAAAAH39bx8=")</f>
        <v>#VALUE!</v>
      </c>
      <c r="AG103">
        <f>IF('Planilla_General_03-12-2012_9_3'!1635:1635,"AAAAAH39byA=",0)</f>
        <v>0</v>
      </c>
      <c r="AH103" t="e">
        <f>AND('Planilla_General_03-12-2012_9_3'!A1635,"AAAAAH39byE=")</f>
        <v>#VALUE!</v>
      </c>
      <c r="AI103" t="e">
        <f>AND('Planilla_General_03-12-2012_9_3'!B1635,"AAAAAH39byI=")</f>
        <v>#VALUE!</v>
      </c>
      <c r="AJ103" t="e">
        <f>AND('Planilla_General_03-12-2012_9_3'!C1635,"AAAAAH39byM=")</f>
        <v>#VALUE!</v>
      </c>
      <c r="AK103" t="e">
        <f>AND('Planilla_General_03-12-2012_9_3'!D1635,"AAAAAH39byQ=")</f>
        <v>#VALUE!</v>
      </c>
      <c r="AL103" t="e">
        <f>AND('Planilla_General_03-12-2012_9_3'!E1635,"AAAAAH39byU=")</f>
        <v>#VALUE!</v>
      </c>
      <c r="AM103" t="e">
        <f>AND('Planilla_General_03-12-2012_9_3'!F1635,"AAAAAH39byY=")</f>
        <v>#VALUE!</v>
      </c>
      <c r="AN103" t="e">
        <f>AND('Planilla_General_03-12-2012_9_3'!G1635,"AAAAAH39byc=")</f>
        <v>#VALUE!</v>
      </c>
      <c r="AO103" t="e">
        <f>AND('Planilla_General_03-12-2012_9_3'!H1635,"AAAAAH39byg=")</f>
        <v>#VALUE!</v>
      </c>
      <c r="AP103" t="e">
        <f>AND('Planilla_General_03-12-2012_9_3'!I1635,"AAAAAH39byk=")</f>
        <v>#VALUE!</v>
      </c>
      <c r="AQ103" t="e">
        <f>AND('Planilla_General_03-12-2012_9_3'!J1635,"AAAAAH39byo=")</f>
        <v>#VALUE!</v>
      </c>
      <c r="AR103" t="e">
        <f>AND('Planilla_General_03-12-2012_9_3'!K1635,"AAAAAH39bys=")</f>
        <v>#VALUE!</v>
      </c>
      <c r="AS103" t="e">
        <f>AND('Planilla_General_03-12-2012_9_3'!L1635,"AAAAAH39byw=")</f>
        <v>#VALUE!</v>
      </c>
      <c r="AT103" t="e">
        <f>AND('Planilla_General_03-12-2012_9_3'!M1635,"AAAAAH39by0=")</f>
        <v>#VALUE!</v>
      </c>
      <c r="AU103" t="e">
        <f>AND('Planilla_General_03-12-2012_9_3'!N1635,"AAAAAH39by4=")</f>
        <v>#VALUE!</v>
      </c>
      <c r="AV103" t="e">
        <f>AND('Planilla_General_03-12-2012_9_3'!O1635,"AAAAAH39by8=")</f>
        <v>#VALUE!</v>
      </c>
      <c r="AW103">
        <f>IF('Planilla_General_03-12-2012_9_3'!1636:1636,"AAAAAH39bzA=",0)</f>
        <v>0</v>
      </c>
      <c r="AX103" t="e">
        <f>AND('Planilla_General_03-12-2012_9_3'!A1636,"AAAAAH39bzE=")</f>
        <v>#VALUE!</v>
      </c>
      <c r="AY103" t="e">
        <f>AND('Planilla_General_03-12-2012_9_3'!B1636,"AAAAAH39bzI=")</f>
        <v>#VALUE!</v>
      </c>
      <c r="AZ103" t="e">
        <f>AND('Planilla_General_03-12-2012_9_3'!C1636,"AAAAAH39bzM=")</f>
        <v>#VALUE!</v>
      </c>
      <c r="BA103" t="e">
        <f>AND('Planilla_General_03-12-2012_9_3'!D1636,"AAAAAH39bzQ=")</f>
        <v>#VALUE!</v>
      </c>
      <c r="BB103" t="e">
        <f>AND('Planilla_General_03-12-2012_9_3'!E1636,"AAAAAH39bzU=")</f>
        <v>#VALUE!</v>
      </c>
      <c r="BC103" t="e">
        <f>AND('Planilla_General_03-12-2012_9_3'!F1636,"AAAAAH39bzY=")</f>
        <v>#VALUE!</v>
      </c>
      <c r="BD103" t="e">
        <f>AND('Planilla_General_03-12-2012_9_3'!G1636,"AAAAAH39bzc=")</f>
        <v>#VALUE!</v>
      </c>
      <c r="BE103" t="e">
        <f>AND('Planilla_General_03-12-2012_9_3'!H1636,"AAAAAH39bzg=")</f>
        <v>#VALUE!</v>
      </c>
      <c r="BF103" t="e">
        <f>AND('Planilla_General_03-12-2012_9_3'!I1636,"AAAAAH39bzk=")</f>
        <v>#VALUE!</v>
      </c>
      <c r="BG103" t="e">
        <f>AND('Planilla_General_03-12-2012_9_3'!J1636,"AAAAAH39bzo=")</f>
        <v>#VALUE!</v>
      </c>
      <c r="BH103" t="e">
        <f>AND('Planilla_General_03-12-2012_9_3'!K1636,"AAAAAH39bzs=")</f>
        <v>#VALUE!</v>
      </c>
      <c r="BI103" t="e">
        <f>AND('Planilla_General_03-12-2012_9_3'!L1636,"AAAAAH39bzw=")</f>
        <v>#VALUE!</v>
      </c>
      <c r="BJ103" t="e">
        <f>AND('Planilla_General_03-12-2012_9_3'!M1636,"AAAAAH39bz0=")</f>
        <v>#VALUE!</v>
      </c>
      <c r="BK103" t="e">
        <f>AND('Planilla_General_03-12-2012_9_3'!N1636,"AAAAAH39bz4=")</f>
        <v>#VALUE!</v>
      </c>
      <c r="BL103" t="e">
        <f>AND('Planilla_General_03-12-2012_9_3'!O1636,"AAAAAH39bz8=")</f>
        <v>#VALUE!</v>
      </c>
      <c r="BM103">
        <f>IF('Planilla_General_03-12-2012_9_3'!1637:1637,"AAAAAH39b0A=",0)</f>
        <v>0</v>
      </c>
      <c r="BN103" t="e">
        <f>AND('Planilla_General_03-12-2012_9_3'!A1637,"AAAAAH39b0E=")</f>
        <v>#VALUE!</v>
      </c>
      <c r="BO103" t="e">
        <f>AND('Planilla_General_03-12-2012_9_3'!B1637,"AAAAAH39b0I=")</f>
        <v>#VALUE!</v>
      </c>
      <c r="BP103" t="e">
        <f>AND('Planilla_General_03-12-2012_9_3'!C1637,"AAAAAH39b0M=")</f>
        <v>#VALUE!</v>
      </c>
      <c r="BQ103" t="e">
        <f>AND('Planilla_General_03-12-2012_9_3'!D1637,"AAAAAH39b0Q=")</f>
        <v>#VALUE!</v>
      </c>
      <c r="BR103" t="e">
        <f>AND('Planilla_General_03-12-2012_9_3'!E1637,"AAAAAH39b0U=")</f>
        <v>#VALUE!</v>
      </c>
      <c r="BS103" t="e">
        <f>AND('Planilla_General_03-12-2012_9_3'!F1637,"AAAAAH39b0Y=")</f>
        <v>#VALUE!</v>
      </c>
      <c r="BT103" t="e">
        <f>AND('Planilla_General_03-12-2012_9_3'!G1637,"AAAAAH39b0c=")</f>
        <v>#VALUE!</v>
      </c>
      <c r="BU103" t="e">
        <f>AND('Planilla_General_03-12-2012_9_3'!H1637,"AAAAAH39b0g=")</f>
        <v>#VALUE!</v>
      </c>
      <c r="BV103" t="e">
        <f>AND('Planilla_General_03-12-2012_9_3'!I1637,"AAAAAH39b0k=")</f>
        <v>#VALUE!</v>
      </c>
      <c r="BW103" t="e">
        <f>AND('Planilla_General_03-12-2012_9_3'!J1637,"AAAAAH39b0o=")</f>
        <v>#VALUE!</v>
      </c>
      <c r="BX103" t="e">
        <f>AND('Planilla_General_03-12-2012_9_3'!K1637,"AAAAAH39b0s=")</f>
        <v>#VALUE!</v>
      </c>
      <c r="BY103" t="e">
        <f>AND('Planilla_General_03-12-2012_9_3'!L1637,"AAAAAH39b0w=")</f>
        <v>#VALUE!</v>
      </c>
      <c r="BZ103" t="e">
        <f>AND('Planilla_General_03-12-2012_9_3'!M1637,"AAAAAH39b00=")</f>
        <v>#VALUE!</v>
      </c>
      <c r="CA103" t="e">
        <f>AND('Planilla_General_03-12-2012_9_3'!N1637,"AAAAAH39b04=")</f>
        <v>#VALUE!</v>
      </c>
      <c r="CB103" t="e">
        <f>AND('Planilla_General_03-12-2012_9_3'!O1637,"AAAAAH39b08=")</f>
        <v>#VALUE!</v>
      </c>
      <c r="CC103">
        <f>IF('Planilla_General_03-12-2012_9_3'!1638:1638,"AAAAAH39b1A=",0)</f>
        <v>0</v>
      </c>
      <c r="CD103" t="e">
        <f>AND('Planilla_General_03-12-2012_9_3'!A1638,"AAAAAH39b1E=")</f>
        <v>#VALUE!</v>
      </c>
      <c r="CE103" t="e">
        <f>AND('Planilla_General_03-12-2012_9_3'!B1638,"AAAAAH39b1I=")</f>
        <v>#VALUE!</v>
      </c>
      <c r="CF103" t="e">
        <f>AND('Planilla_General_03-12-2012_9_3'!C1638,"AAAAAH39b1M=")</f>
        <v>#VALUE!</v>
      </c>
      <c r="CG103" t="e">
        <f>AND('Planilla_General_03-12-2012_9_3'!D1638,"AAAAAH39b1Q=")</f>
        <v>#VALUE!</v>
      </c>
      <c r="CH103" t="e">
        <f>AND('Planilla_General_03-12-2012_9_3'!E1638,"AAAAAH39b1U=")</f>
        <v>#VALUE!</v>
      </c>
      <c r="CI103" t="e">
        <f>AND('Planilla_General_03-12-2012_9_3'!F1638,"AAAAAH39b1Y=")</f>
        <v>#VALUE!</v>
      </c>
      <c r="CJ103" t="e">
        <f>AND('Planilla_General_03-12-2012_9_3'!G1638,"AAAAAH39b1c=")</f>
        <v>#VALUE!</v>
      </c>
      <c r="CK103" t="e">
        <f>AND('Planilla_General_03-12-2012_9_3'!H1638,"AAAAAH39b1g=")</f>
        <v>#VALUE!</v>
      </c>
      <c r="CL103" t="e">
        <f>AND('Planilla_General_03-12-2012_9_3'!I1638,"AAAAAH39b1k=")</f>
        <v>#VALUE!</v>
      </c>
      <c r="CM103" t="e">
        <f>AND('Planilla_General_03-12-2012_9_3'!J1638,"AAAAAH39b1o=")</f>
        <v>#VALUE!</v>
      </c>
      <c r="CN103" t="e">
        <f>AND('Planilla_General_03-12-2012_9_3'!K1638,"AAAAAH39b1s=")</f>
        <v>#VALUE!</v>
      </c>
      <c r="CO103" t="e">
        <f>AND('Planilla_General_03-12-2012_9_3'!L1638,"AAAAAH39b1w=")</f>
        <v>#VALUE!</v>
      </c>
      <c r="CP103" t="e">
        <f>AND('Planilla_General_03-12-2012_9_3'!M1638,"AAAAAH39b10=")</f>
        <v>#VALUE!</v>
      </c>
      <c r="CQ103" t="e">
        <f>AND('Planilla_General_03-12-2012_9_3'!N1638,"AAAAAH39b14=")</f>
        <v>#VALUE!</v>
      </c>
      <c r="CR103" t="e">
        <f>AND('Planilla_General_03-12-2012_9_3'!O1638,"AAAAAH39b18=")</f>
        <v>#VALUE!</v>
      </c>
      <c r="CS103">
        <f>IF('Planilla_General_03-12-2012_9_3'!1639:1639,"AAAAAH39b2A=",0)</f>
        <v>0</v>
      </c>
      <c r="CT103" t="e">
        <f>AND('Planilla_General_03-12-2012_9_3'!A1639,"AAAAAH39b2E=")</f>
        <v>#VALUE!</v>
      </c>
      <c r="CU103" t="e">
        <f>AND('Planilla_General_03-12-2012_9_3'!B1639,"AAAAAH39b2I=")</f>
        <v>#VALUE!</v>
      </c>
      <c r="CV103" t="e">
        <f>AND('Planilla_General_03-12-2012_9_3'!C1639,"AAAAAH39b2M=")</f>
        <v>#VALUE!</v>
      </c>
      <c r="CW103" t="e">
        <f>AND('Planilla_General_03-12-2012_9_3'!D1639,"AAAAAH39b2Q=")</f>
        <v>#VALUE!</v>
      </c>
      <c r="CX103" t="e">
        <f>AND('Planilla_General_03-12-2012_9_3'!E1639,"AAAAAH39b2U=")</f>
        <v>#VALUE!</v>
      </c>
      <c r="CY103" t="e">
        <f>AND('Planilla_General_03-12-2012_9_3'!F1639,"AAAAAH39b2Y=")</f>
        <v>#VALUE!</v>
      </c>
      <c r="CZ103" t="e">
        <f>AND('Planilla_General_03-12-2012_9_3'!G1639,"AAAAAH39b2c=")</f>
        <v>#VALUE!</v>
      </c>
      <c r="DA103" t="e">
        <f>AND('Planilla_General_03-12-2012_9_3'!H1639,"AAAAAH39b2g=")</f>
        <v>#VALUE!</v>
      </c>
      <c r="DB103" t="e">
        <f>AND('Planilla_General_03-12-2012_9_3'!I1639,"AAAAAH39b2k=")</f>
        <v>#VALUE!</v>
      </c>
      <c r="DC103" t="e">
        <f>AND('Planilla_General_03-12-2012_9_3'!J1639,"AAAAAH39b2o=")</f>
        <v>#VALUE!</v>
      </c>
      <c r="DD103" t="e">
        <f>AND('Planilla_General_03-12-2012_9_3'!K1639,"AAAAAH39b2s=")</f>
        <v>#VALUE!</v>
      </c>
      <c r="DE103" t="e">
        <f>AND('Planilla_General_03-12-2012_9_3'!L1639,"AAAAAH39b2w=")</f>
        <v>#VALUE!</v>
      </c>
      <c r="DF103" t="e">
        <f>AND('Planilla_General_03-12-2012_9_3'!M1639,"AAAAAH39b20=")</f>
        <v>#VALUE!</v>
      </c>
      <c r="DG103" t="e">
        <f>AND('Planilla_General_03-12-2012_9_3'!N1639,"AAAAAH39b24=")</f>
        <v>#VALUE!</v>
      </c>
      <c r="DH103" t="e">
        <f>AND('Planilla_General_03-12-2012_9_3'!O1639,"AAAAAH39b28=")</f>
        <v>#VALUE!</v>
      </c>
      <c r="DI103">
        <f>IF('Planilla_General_03-12-2012_9_3'!1640:1640,"AAAAAH39b3A=",0)</f>
        <v>0</v>
      </c>
      <c r="DJ103" t="e">
        <f>AND('Planilla_General_03-12-2012_9_3'!A1640,"AAAAAH39b3E=")</f>
        <v>#VALUE!</v>
      </c>
      <c r="DK103" t="e">
        <f>AND('Planilla_General_03-12-2012_9_3'!B1640,"AAAAAH39b3I=")</f>
        <v>#VALUE!</v>
      </c>
      <c r="DL103" t="e">
        <f>AND('Planilla_General_03-12-2012_9_3'!C1640,"AAAAAH39b3M=")</f>
        <v>#VALUE!</v>
      </c>
      <c r="DM103" t="e">
        <f>AND('Planilla_General_03-12-2012_9_3'!D1640,"AAAAAH39b3Q=")</f>
        <v>#VALUE!</v>
      </c>
      <c r="DN103" t="e">
        <f>AND('Planilla_General_03-12-2012_9_3'!E1640,"AAAAAH39b3U=")</f>
        <v>#VALUE!</v>
      </c>
      <c r="DO103" t="e">
        <f>AND('Planilla_General_03-12-2012_9_3'!F1640,"AAAAAH39b3Y=")</f>
        <v>#VALUE!</v>
      </c>
      <c r="DP103" t="e">
        <f>AND('Planilla_General_03-12-2012_9_3'!G1640,"AAAAAH39b3c=")</f>
        <v>#VALUE!</v>
      </c>
      <c r="DQ103" t="e">
        <f>AND('Planilla_General_03-12-2012_9_3'!H1640,"AAAAAH39b3g=")</f>
        <v>#VALUE!</v>
      </c>
      <c r="DR103" t="e">
        <f>AND('Planilla_General_03-12-2012_9_3'!I1640,"AAAAAH39b3k=")</f>
        <v>#VALUE!</v>
      </c>
      <c r="DS103" t="e">
        <f>AND('Planilla_General_03-12-2012_9_3'!J1640,"AAAAAH39b3o=")</f>
        <v>#VALUE!</v>
      </c>
      <c r="DT103" t="e">
        <f>AND('Planilla_General_03-12-2012_9_3'!K1640,"AAAAAH39b3s=")</f>
        <v>#VALUE!</v>
      </c>
      <c r="DU103" t="e">
        <f>AND('Planilla_General_03-12-2012_9_3'!L1640,"AAAAAH39b3w=")</f>
        <v>#VALUE!</v>
      </c>
      <c r="DV103" t="e">
        <f>AND('Planilla_General_03-12-2012_9_3'!M1640,"AAAAAH39b30=")</f>
        <v>#VALUE!</v>
      </c>
      <c r="DW103" t="e">
        <f>AND('Planilla_General_03-12-2012_9_3'!N1640,"AAAAAH39b34=")</f>
        <v>#VALUE!</v>
      </c>
      <c r="DX103" t="e">
        <f>AND('Planilla_General_03-12-2012_9_3'!O1640,"AAAAAH39b38=")</f>
        <v>#VALUE!</v>
      </c>
      <c r="DY103">
        <f>IF('Planilla_General_03-12-2012_9_3'!1641:1641,"AAAAAH39b4A=",0)</f>
        <v>0</v>
      </c>
      <c r="DZ103" t="e">
        <f>AND('Planilla_General_03-12-2012_9_3'!A1641,"AAAAAH39b4E=")</f>
        <v>#VALUE!</v>
      </c>
      <c r="EA103" t="e">
        <f>AND('Planilla_General_03-12-2012_9_3'!B1641,"AAAAAH39b4I=")</f>
        <v>#VALUE!</v>
      </c>
      <c r="EB103" t="e">
        <f>AND('Planilla_General_03-12-2012_9_3'!C1641,"AAAAAH39b4M=")</f>
        <v>#VALUE!</v>
      </c>
      <c r="EC103" t="e">
        <f>AND('Planilla_General_03-12-2012_9_3'!D1641,"AAAAAH39b4Q=")</f>
        <v>#VALUE!</v>
      </c>
      <c r="ED103" t="e">
        <f>AND('Planilla_General_03-12-2012_9_3'!E1641,"AAAAAH39b4U=")</f>
        <v>#VALUE!</v>
      </c>
      <c r="EE103" t="e">
        <f>AND('Planilla_General_03-12-2012_9_3'!F1641,"AAAAAH39b4Y=")</f>
        <v>#VALUE!</v>
      </c>
      <c r="EF103" t="e">
        <f>AND('Planilla_General_03-12-2012_9_3'!G1641,"AAAAAH39b4c=")</f>
        <v>#VALUE!</v>
      </c>
      <c r="EG103" t="e">
        <f>AND('Planilla_General_03-12-2012_9_3'!H1641,"AAAAAH39b4g=")</f>
        <v>#VALUE!</v>
      </c>
      <c r="EH103" t="e">
        <f>AND('Planilla_General_03-12-2012_9_3'!I1641,"AAAAAH39b4k=")</f>
        <v>#VALUE!</v>
      </c>
      <c r="EI103" t="e">
        <f>AND('Planilla_General_03-12-2012_9_3'!J1641,"AAAAAH39b4o=")</f>
        <v>#VALUE!</v>
      </c>
      <c r="EJ103" t="e">
        <f>AND('Planilla_General_03-12-2012_9_3'!K1641,"AAAAAH39b4s=")</f>
        <v>#VALUE!</v>
      </c>
      <c r="EK103" t="e">
        <f>AND('Planilla_General_03-12-2012_9_3'!L1641,"AAAAAH39b4w=")</f>
        <v>#VALUE!</v>
      </c>
      <c r="EL103" t="e">
        <f>AND('Planilla_General_03-12-2012_9_3'!M1641,"AAAAAH39b40=")</f>
        <v>#VALUE!</v>
      </c>
      <c r="EM103" t="e">
        <f>AND('Planilla_General_03-12-2012_9_3'!N1641,"AAAAAH39b44=")</f>
        <v>#VALUE!</v>
      </c>
      <c r="EN103" t="e">
        <f>AND('Planilla_General_03-12-2012_9_3'!O1641,"AAAAAH39b48=")</f>
        <v>#VALUE!</v>
      </c>
      <c r="EO103">
        <f>IF('Planilla_General_03-12-2012_9_3'!1642:1642,"AAAAAH39b5A=",0)</f>
        <v>0</v>
      </c>
      <c r="EP103" t="e">
        <f>AND('Planilla_General_03-12-2012_9_3'!A1642,"AAAAAH39b5E=")</f>
        <v>#VALUE!</v>
      </c>
      <c r="EQ103" t="e">
        <f>AND('Planilla_General_03-12-2012_9_3'!B1642,"AAAAAH39b5I=")</f>
        <v>#VALUE!</v>
      </c>
      <c r="ER103" t="e">
        <f>AND('Planilla_General_03-12-2012_9_3'!C1642,"AAAAAH39b5M=")</f>
        <v>#VALUE!</v>
      </c>
      <c r="ES103" t="e">
        <f>AND('Planilla_General_03-12-2012_9_3'!D1642,"AAAAAH39b5Q=")</f>
        <v>#VALUE!</v>
      </c>
      <c r="ET103" t="e">
        <f>AND('Planilla_General_03-12-2012_9_3'!E1642,"AAAAAH39b5U=")</f>
        <v>#VALUE!</v>
      </c>
      <c r="EU103" t="e">
        <f>AND('Planilla_General_03-12-2012_9_3'!F1642,"AAAAAH39b5Y=")</f>
        <v>#VALUE!</v>
      </c>
      <c r="EV103" t="e">
        <f>AND('Planilla_General_03-12-2012_9_3'!G1642,"AAAAAH39b5c=")</f>
        <v>#VALUE!</v>
      </c>
      <c r="EW103" t="e">
        <f>AND('Planilla_General_03-12-2012_9_3'!H1642,"AAAAAH39b5g=")</f>
        <v>#VALUE!</v>
      </c>
      <c r="EX103" t="e">
        <f>AND('Planilla_General_03-12-2012_9_3'!I1642,"AAAAAH39b5k=")</f>
        <v>#VALUE!</v>
      </c>
      <c r="EY103" t="e">
        <f>AND('Planilla_General_03-12-2012_9_3'!J1642,"AAAAAH39b5o=")</f>
        <v>#VALUE!</v>
      </c>
      <c r="EZ103" t="e">
        <f>AND('Planilla_General_03-12-2012_9_3'!K1642,"AAAAAH39b5s=")</f>
        <v>#VALUE!</v>
      </c>
      <c r="FA103" t="e">
        <f>AND('Planilla_General_03-12-2012_9_3'!L1642,"AAAAAH39b5w=")</f>
        <v>#VALUE!</v>
      </c>
      <c r="FB103" t="e">
        <f>AND('Planilla_General_03-12-2012_9_3'!M1642,"AAAAAH39b50=")</f>
        <v>#VALUE!</v>
      </c>
      <c r="FC103" t="e">
        <f>AND('Planilla_General_03-12-2012_9_3'!N1642,"AAAAAH39b54=")</f>
        <v>#VALUE!</v>
      </c>
      <c r="FD103" t="e">
        <f>AND('Planilla_General_03-12-2012_9_3'!O1642,"AAAAAH39b58=")</f>
        <v>#VALUE!</v>
      </c>
      <c r="FE103">
        <f>IF('Planilla_General_03-12-2012_9_3'!1643:1643,"AAAAAH39b6A=",0)</f>
        <v>0</v>
      </c>
      <c r="FF103" t="e">
        <f>AND('Planilla_General_03-12-2012_9_3'!A1643,"AAAAAH39b6E=")</f>
        <v>#VALUE!</v>
      </c>
      <c r="FG103" t="e">
        <f>AND('Planilla_General_03-12-2012_9_3'!B1643,"AAAAAH39b6I=")</f>
        <v>#VALUE!</v>
      </c>
      <c r="FH103" t="e">
        <f>AND('Planilla_General_03-12-2012_9_3'!C1643,"AAAAAH39b6M=")</f>
        <v>#VALUE!</v>
      </c>
      <c r="FI103" t="e">
        <f>AND('Planilla_General_03-12-2012_9_3'!D1643,"AAAAAH39b6Q=")</f>
        <v>#VALUE!</v>
      </c>
      <c r="FJ103" t="e">
        <f>AND('Planilla_General_03-12-2012_9_3'!E1643,"AAAAAH39b6U=")</f>
        <v>#VALUE!</v>
      </c>
      <c r="FK103" t="e">
        <f>AND('Planilla_General_03-12-2012_9_3'!F1643,"AAAAAH39b6Y=")</f>
        <v>#VALUE!</v>
      </c>
      <c r="FL103" t="e">
        <f>AND('Planilla_General_03-12-2012_9_3'!G1643,"AAAAAH39b6c=")</f>
        <v>#VALUE!</v>
      </c>
      <c r="FM103" t="e">
        <f>AND('Planilla_General_03-12-2012_9_3'!H1643,"AAAAAH39b6g=")</f>
        <v>#VALUE!</v>
      </c>
      <c r="FN103" t="e">
        <f>AND('Planilla_General_03-12-2012_9_3'!I1643,"AAAAAH39b6k=")</f>
        <v>#VALUE!</v>
      </c>
      <c r="FO103" t="e">
        <f>AND('Planilla_General_03-12-2012_9_3'!J1643,"AAAAAH39b6o=")</f>
        <v>#VALUE!</v>
      </c>
      <c r="FP103" t="e">
        <f>AND('Planilla_General_03-12-2012_9_3'!K1643,"AAAAAH39b6s=")</f>
        <v>#VALUE!</v>
      </c>
      <c r="FQ103" t="e">
        <f>AND('Planilla_General_03-12-2012_9_3'!L1643,"AAAAAH39b6w=")</f>
        <v>#VALUE!</v>
      </c>
      <c r="FR103" t="e">
        <f>AND('Planilla_General_03-12-2012_9_3'!M1643,"AAAAAH39b60=")</f>
        <v>#VALUE!</v>
      </c>
      <c r="FS103" t="e">
        <f>AND('Planilla_General_03-12-2012_9_3'!N1643,"AAAAAH39b64=")</f>
        <v>#VALUE!</v>
      </c>
      <c r="FT103" t="e">
        <f>AND('Planilla_General_03-12-2012_9_3'!O1643,"AAAAAH39b68=")</f>
        <v>#VALUE!</v>
      </c>
      <c r="FU103">
        <f>IF('Planilla_General_03-12-2012_9_3'!1644:1644,"AAAAAH39b7A=",0)</f>
        <v>0</v>
      </c>
      <c r="FV103" t="e">
        <f>AND('Planilla_General_03-12-2012_9_3'!A1644,"AAAAAH39b7E=")</f>
        <v>#VALUE!</v>
      </c>
      <c r="FW103" t="e">
        <f>AND('Planilla_General_03-12-2012_9_3'!B1644,"AAAAAH39b7I=")</f>
        <v>#VALUE!</v>
      </c>
      <c r="FX103" t="e">
        <f>AND('Planilla_General_03-12-2012_9_3'!C1644,"AAAAAH39b7M=")</f>
        <v>#VALUE!</v>
      </c>
      <c r="FY103" t="e">
        <f>AND('Planilla_General_03-12-2012_9_3'!D1644,"AAAAAH39b7Q=")</f>
        <v>#VALUE!</v>
      </c>
      <c r="FZ103" t="e">
        <f>AND('Planilla_General_03-12-2012_9_3'!E1644,"AAAAAH39b7U=")</f>
        <v>#VALUE!</v>
      </c>
      <c r="GA103" t="e">
        <f>AND('Planilla_General_03-12-2012_9_3'!F1644,"AAAAAH39b7Y=")</f>
        <v>#VALUE!</v>
      </c>
      <c r="GB103" t="e">
        <f>AND('Planilla_General_03-12-2012_9_3'!G1644,"AAAAAH39b7c=")</f>
        <v>#VALUE!</v>
      </c>
      <c r="GC103" t="e">
        <f>AND('Planilla_General_03-12-2012_9_3'!H1644,"AAAAAH39b7g=")</f>
        <v>#VALUE!</v>
      </c>
      <c r="GD103" t="e">
        <f>AND('Planilla_General_03-12-2012_9_3'!I1644,"AAAAAH39b7k=")</f>
        <v>#VALUE!</v>
      </c>
      <c r="GE103" t="e">
        <f>AND('Planilla_General_03-12-2012_9_3'!J1644,"AAAAAH39b7o=")</f>
        <v>#VALUE!</v>
      </c>
      <c r="GF103" t="e">
        <f>AND('Planilla_General_03-12-2012_9_3'!K1644,"AAAAAH39b7s=")</f>
        <v>#VALUE!</v>
      </c>
      <c r="GG103" t="e">
        <f>AND('Planilla_General_03-12-2012_9_3'!L1644,"AAAAAH39b7w=")</f>
        <v>#VALUE!</v>
      </c>
      <c r="GH103" t="e">
        <f>AND('Planilla_General_03-12-2012_9_3'!M1644,"AAAAAH39b70=")</f>
        <v>#VALUE!</v>
      </c>
      <c r="GI103" t="e">
        <f>AND('Planilla_General_03-12-2012_9_3'!N1644,"AAAAAH39b74=")</f>
        <v>#VALUE!</v>
      </c>
      <c r="GJ103" t="e">
        <f>AND('Planilla_General_03-12-2012_9_3'!O1644,"AAAAAH39b78=")</f>
        <v>#VALUE!</v>
      </c>
      <c r="GK103">
        <f>IF('Planilla_General_03-12-2012_9_3'!1645:1645,"AAAAAH39b8A=",0)</f>
        <v>0</v>
      </c>
      <c r="GL103" t="e">
        <f>AND('Planilla_General_03-12-2012_9_3'!A1645,"AAAAAH39b8E=")</f>
        <v>#VALUE!</v>
      </c>
      <c r="GM103" t="e">
        <f>AND('Planilla_General_03-12-2012_9_3'!B1645,"AAAAAH39b8I=")</f>
        <v>#VALUE!</v>
      </c>
      <c r="GN103" t="e">
        <f>AND('Planilla_General_03-12-2012_9_3'!C1645,"AAAAAH39b8M=")</f>
        <v>#VALUE!</v>
      </c>
      <c r="GO103" t="e">
        <f>AND('Planilla_General_03-12-2012_9_3'!D1645,"AAAAAH39b8Q=")</f>
        <v>#VALUE!</v>
      </c>
      <c r="GP103" t="e">
        <f>AND('Planilla_General_03-12-2012_9_3'!E1645,"AAAAAH39b8U=")</f>
        <v>#VALUE!</v>
      </c>
      <c r="GQ103" t="e">
        <f>AND('Planilla_General_03-12-2012_9_3'!F1645,"AAAAAH39b8Y=")</f>
        <v>#VALUE!</v>
      </c>
      <c r="GR103" t="e">
        <f>AND('Planilla_General_03-12-2012_9_3'!G1645,"AAAAAH39b8c=")</f>
        <v>#VALUE!</v>
      </c>
      <c r="GS103" t="e">
        <f>AND('Planilla_General_03-12-2012_9_3'!H1645,"AAAAAH39b8g=")</f>
        <v>#VALUE!</v>
      </c>
      <c r="GT103" t="e">
        <f>AND('Planilla_General_03-12-2012_9_3'!I1645,"AAAAAH39b8k=")</f>
        <v>#VALUE!</v>
      </c>
      <c r="GU103" t="e">
        <f>AND('Planilla_General_03-12-2012_9_3'!J1645,"AAAAAH39b8o=")</f>
        <v>#VALUE!</v>
      </c>
      <c r="GV103" t="e">
        <f>AND('Planilla_General_03-12-2012_9_3'!K1645,"AAAAAH39b8s=")</f>
        <v>#VALUE!</v>
      </c>
      <c r="GW103" t="e">
        <f>AND('Planilla_General_03-12-2012_9_3'!L1645,"AAAAAH39b8w=")</f>
        <v>#VALUE!</v>
      </c>
      <c r="GX103" t="e">
        <f>AND('Planilla_General_03-12-2012_9_3'!M1645,"AAAAAH39b80=")</f>
        <v>#VALUE!</v>
      </c>
      <c r="GY103" t="e">
        <f>AND('Planilla_General_03-12-2012_9_3'!N1645,"AAAAAH39b84=")</f>
        <v>#VALUE!</v>
      </c>
      <c r="GZ103" t="e">
        <f>AND('Planilla_General_03-12-2012_9_3'!O1645,"AAAAAH39b88=")</f>
        <v>#VALUE!</v>
      </c>
      <c r="HA103">
        <f>IF('Planilla_General_03-12-2012_9_3'!1646:1646,"AAAAAH39b9A=",0)</f>
        <v>0</v>
      </c>
      <c r="HB103" t="e">
        <f>AND('Planilla_General_03-12-2012_9_3'!A1646,"AAAAAH39b9E=")</f>
        <v>#VALUE!</v>
      </c>
      <c r="HC103" t="e">
        <f>AND('Planilla_General_03-12-2012_9_3'!B1646,"AAAAAH39b9I=")</f>
        <v>#VALUE!</v>
      </c>
      <c r="HD103" t="e">
        <f>AND('Planilla_General_03-12-2012_9_3'!C1646,"AAAAAH39b9M=")</f>
        <v>#VALUE!</v>
      </c>
      <c r="HE103" t="e">
        <f>AND('Planilla_General_03-12-2012_9_3'!D1646,"AAAAAH39b9Q=")</f>
        <v>#VALUE!</v>
      </c>
      <c r="HF103" t="e">
        <f>AND('Planilla_General_03-12-2012_9_3'!E1646,"AAAAAH39b9U=")</f>
        <v>#VALUE!</v>
      </c>
      <c r="HG103" t="e">
        <f>AND('Planilla_General_03-12-2012_9_3'!F1646,"AAAAAH39b9Y=")</f>
        <v>#VALUE!</v>
      </c>
      <c r="HH103" t="e">
        <f>AND('Planilla_General_03-12-2012_9_3'!G1646,"AAAAAH39b9c=")</f>
        <v>#VALUE!</v>
      </c>
      <c r="HI103" t="e">
        <f>AND('Planilla_General_03-12-2012_9_3'!H1646,"AAAAAH39b9g=")</f>
        <v>#VALUE!</v>
      </c>
      <c r="HJ103" t="e">
        <f>AND('Planilla_General_03-12-2012_9_3'!I1646,"AAAAAH39b9k=")</f>
        <v>#VALUE!</v>
      </c>
      <c r="HK103" t="e">
        <f>AND('Planilla_General_03-12-2012_9_3'!J1646,"AAAAAH39b9o=")</f>
        <v>#VALUE!</v>
      </c>
      <c r="HL103" t="e">
        <f>AND('Planilla_General_03-12-2012_9_3'!K1646,"AAAAAH39b9s=")</f>
        <v>#VALUE!</v>
      </c>
      <c r="HM103" t="e">
        <f>AND('Planilla_General_03-12-2012_9_3'!L1646,"AAAAAH39b9w=")</f>
        <v>#VALUE!</v>
      </c>
      <c r="HN103" t="e">
        <f>AND('Planilla_General_03-12-2012_9_3'!M1646,"AAAAAH39b90=")</f>
        <v>#VALUE!</v>
      </c>
      <c r="HO103" t="e">
        <f>AND('Planilla_General_03-12-2012_9_3'!N1646,"AAAAAH39b94=")</f>
        <v>#VALUE!</v>
      </c>
      <c r="HP103" t="e">
        <f>AND('Planilla_General_03-12-2012_9_3'!O1646,"AAAAAH39b98=")</f>
        <v>#VALUE!</v>
      </c>
      <c r="HQ103">
        <f>IF('Planilla_General_03-12-2012_9_3'!1647:1647,"AAAAAH39b+A=",0)</f>
        <v>0</v>
      </c>
      <c r="HR103" t="e">
        <f>AND('Planilla_General_03-12-2012_9_3'!A1647,"AAAAAH39b+E=")</f>
        <v>#VALUE!</v>
      </c>
      <c r="HS103" t="e">
        <f>AND('Planilla_General_03-12-2012_9_3'!B1647,"AAAAAH39b+I=")</f>
        <v>#VALUE!</v>
      </c>
      <c r="HT103" t="e">
        <f>AND('Planilla_General_03-12-2012_9_3'!C1647,"AAAAAH39b+M=")</f>
        <v>#VALUE!</v>
      </c>
      <c r="HU103" t="e">
        <f>AND('Planilla_General_03-12-2012_9_3'!D1647,"AAAAAH39b+Q=")</f>
        <v>#VALUE!</v>
      </c>
      <c r="HV103" t="e">
        <f>AND('Planilla_General_03-12-2012_9_3'!E1647,"AAAAAH39b+U=")</f>
        <v>#VALUE!</v>
      </c>
      <c r="HW103" t="e">
        <f>AND('Planilla_General_03-12-2012_9_3'!F1647,"AAAAAH39b+Y=")</f>
        <v>#VALUE!</v>
      </c>
      <c r="HX103" t="e">
        <f>AND('Planilla_General_03-12-2012_9_3'!G1647,"AAAAAH39b+c=")</f>
        <v>#VALUE!</v>
      </c>
      <c r="HY103" t="e">
        <f>AND('Planilla_General_03-12-2012_9_3'!H1647,"AAAAAH39b+g=")</f>
        <v>#VALUE!</v>
      </c>
      <c r="HZ103" t="e">
        <f>AND('Planilla_General_03-12-2012_9_3'!I1647,"AAAAAH39b+k=")</f>
        <v>#VALUE!</v>
      </c>
      <c r="IA103" t="e">
        <f>AND('Planilla_General_03-12-2012_9_3'!J1647,"AAAAAH39b+o=")</f>
        <v>#VALUE!</v>
      </c>
      <c r="IB103" t="e">
        <f>AND('Planilla_General_03-12-2012_9_3'!K1647,"AAAAAH39b+s=")</f>
        <v>#VALUE!</v>
      </c>
      <c r="IC103" t="e">
        <f>AND('Planilla_General_03-12-2012_9_3'!L1647,"AAAAAH39b+w=")</f>
        <v>#VALUE!</v>
      </c>
      <c r="ID103" t="e">
        <f>AND('Planilla_General_03-12-2012_9_3'!M1647,"AAAAAH39b+0=")</f>
        <v>#VALUE!</v>
      </c>
      <c r="IE103" t="e">
        <f>AND('Planilla_General_03-12-2012_9_3'!N1647,"AAAAAH39b+4=")</f>
        <v>#VALUE!</v>
      </c>
      <c r="IF103" t="e">
        <f>AND('Planilla_General_03-12-2012_9_3'!O1647,"AAAAAH39b+8=")</f>
        <v>#VALUE!</v>
      </c>
      <c r="IG103">
        <f>IF('Planilla_General_03-12-2012_9_3'!1648:1648,"AAAAAH39b/A=",0)</f>
        <v>0</v>
      </c>
      <c r="IH103" t="e">
        <f>AND('Planilla_General_03-12-2012_9_3'!A1648,"AAAAAH39b/E=")</f>
        <v>#VALUE!</v>
      </c>
      <c r="II103" t="e">
        <f>AND('Planilla_General_03-12-2012_9_3'!B1648,"AAAAAH39b/I=")</f>
        <v>#VALUE!</v>
      </c>
      <c r="IJ103" t="e">
        <f>AND('Planilla_General_03-12-2012_9_3'!C1648,"AAAAAH39b/M=")</f>
        <v>#VALUE!</v>
      </c>
      <c r="IK103" t="e">
        <f>AND('Planilla_General_03-12-2012_9_3'!D1648,"AAAAAH39b/Q=")</f>
        <v>#VALUE!</v>
      </c>
      <c r="IL103" t="e">
        <f>AND('Planilla_General_03-12-2012_9_3'!E1648,"AAAAAH39b/U=")</f>
        <v>#VALUE!</v>
      </c>
      <c r="IM103" t="e">
        <f>AND('Planilla_General_03-12-2012_9_3'!F1648,"AAAAAH39b/Y=")</f>
        <v>#VALUE!</v>
      </c>
      <c r="IN103" t="e">
        <f>AND('Planilla_General_03-12-2012_9_3'!G1648,"AAAAAH39b/c=")</f>
        <v>#VALUE!</v>
      </c>
      <c r="IO103" t="e">
        <f>AND('Planilla_General_03-12-2012_9_3'!H1648,"AAAAAH39b/g=")</f>
        <v>#VALUE!</v>
      </c>
      <c r="IP103" t="e">
        <f>AND('Planilla_General_03-12-2012_9_3'!I1648,"AAAAAH39b/k=")</f>
        <v>#VALUE!</v>
      </c>
      <c r="IQ103" t="e">
        <f>AND('Planilla_General_03-12-2012_9_3'!J1648,"AAAAAH39b/o=")</f>
        <v>#VALUE!</v>
      </c>
      <c r="IR103" t="e">
        <f>AND('Planilla_General_03-12-2012_9_3'!K1648,"AAAAAH39b/s=")</f>
        <v>#VALUE!</v>
      </c>
      <c r="IS103" t="e">
        <f>AND('Planilla_General_03-12-2012_9_3'!L1648,"AAAAAH39b/w=")</f>
        <v>#VALUE!</v>
      </c>
      <c r="IT103" t="e">
        <f>AND('Planilla_General_03-12-2012_9_3'!M1648,"AAAAAH39b/0=")</f>
        <v>#VALUE!</v>
      </c>
      <c r="IU103" t="e">
        <f>AND('Planilla_General_03-12-2012_9_3'!N1648,"AAAAAH39b/4=")</f>
        <v>#VALUE!</v>
      </c>
      <c r="IV103" t="e">
        <f>AND('Planilla_General_03-12-2012_9_3'!O1648,"AAAAAH39b/8=")</f>
        <v>#VALUE!</v>
      </c>
    </row>
    <row r="104" spans="1:256" x14ac:dyDescent="0.25">
      <c r="A104" t="e">
        <f>IF('Planilla_General_03-12-2012_9_3'!1649:1649,"AAAAABW//wA=",0)</f>
        <v>#VALUE!</v>
      </c>
      <c r="B104" t="e">
        <f>AND('Planilla_General_03-12-2012_9_3'!A1649,"AAAAABW//wE=")</f>
        <v>#VALUE!</v>
      </c>
      <c r="C104" t="e">
        <f>AND('Planilla_General_03-12-2012_9_3'!B1649,"AAAAABW//wI=")</f>
        <v>#VALUE!</v>
      </c>
      <c r="D104" t="e">
        <f>AND('Planilla_General_03-12-2012_9_3'!C1649,"AAAAABW//wM=")</f>
        <v>#VALUE!</v>
      </c>
      <c r="E104" t="e">
        <f>AND('Planilla_General_03-12-2012_9_3'!D1649,"AAAAABW//wQ=")</f>
        <v>#VALUE!</v>
      </c>
      <c r="F104" t="e">
        <f>AND('Planilla_General_03-12-2012_9_3'!E1649,"AAAAABW//wU=")</f>
        <v>#VALUE!</v>
      </c>
      <c r="G104" t="e">
        <f>AND('Planilla_General_03-12-2012_9_3'!F1649,"AAAAABW//wY=")</f>
        <v>#VALUE!</v>
      </c>
      <c r="H104" t="e">
        <f>AND('Planilla_General_03-12-2012_9_3'!G1649,"AAAAABW//wc=")</f>
        <v>#VALUE!</v>
      </c>
      <c r="I104" t="e">
        <f>AND('Planilla_General_03-12-2012_9_3'!H1649,"AAAAABW//wg=")</f>
        <v>#VALUE!</v>
      </c>
      <c r="J104" t="e">
        <f>AND('Planilla_General_03-12-2012_9_3'!I1649,"AAAAABW//wk=")</f>
        <v>#VALUE!</v>
      </c>
      <c r="K104" t="e">
        <f>AND('Planilla_General_03-12-2012_9_3'!J1649,"AAAAABW//wo=")</f>
        <v>#VALUE!</v>
      </c>
      <c r="L104" t="e">
        <f>AND('Planilla_General_03-12-2012_9_3'!K1649,"AAAAABW//ws=")</f>
        <v>#VALUE!</v>
      </c>
      <c r="M104" t="e">
        <f>AND('Planilla_General_03-12-2012_9_3'!L1649,"AAAAABW//ww=")</f>
        <v>#VALUE!</v>
      </c>
      <c r="N104" t="e">
        <f>AND('Planilla_General_03-12-2012_9_3'!M1649,"AAAAABW//w0=")</f>
        <v>#VALUE!</v>
      </c>
      <c r="O104" t="e">
        <f>AND('Planilla_General_03-12-2012_9_3'!N1649,"AAAAABW//w4=")</f>
        <v>#VALUE!</v>
      </c>
      <c r="P104" t="e">
        <f>AND('Planilla_General_03-12-2012_9_3'!O1649,"AAAAABW//w8=")</f>
        <v>#VALUE!</v>
      </c>
      <c r="Q104">
        <f>IF('Planilla_General_03-12-2012_9_3'!1650:1650,"AAAAABW//xA=",0)</f>
        <v>0</v>
      </c>
      <c r="R104" t="e">
        <f>AND('Planilla_General_03-12-2012_9_3'!A1650,"AAAAABW//xE=")</f>
        <v>#VALUE!</v>
      </c>
      <c r="S104" t="e">
        <f>AND('Planilla_General_03-12-2012_9_3'!B1650,"AAAAABW//xI=")</f>
        <v>#VALUE!</v>
      </c>
      <c r="T104" t="e">
        <f>AND('Planilla_General_03-12-2012_9_3'!C1650,"AAAAABW//xM=")</f>
        <v>#VALUE!</v>
      </c>
      <c r="U104" t="e">
        <f>AND('Planilla_General_03-12-2012_9_3'!D1650,"AAAAABW//xQ=")</f>
        <v>#VALUE!</v>
      </c>
      <c r="V104" t="e">
        <f>AND('Planilla_General_03-12-2012_9_3'!E1650,"AAAAABW//xU=")</f>
        <v>#VALUE!</v>
      </c>
      <c r="W104" t="e">
        <f>AND('Planilla_General_03-12-2012_9_3'!F1650,"AAAAABW//xY=")</f>
        <v>#VALUE!</v>
      </c>
      <c r="X104" t="e">
        <f>AND('Planilla_General_03-12-2012_9_3'!G1650,"AAAAABW//xc=")</f>
        <v>#VALUE!</v>
      </c>
      <c r="Y104" t="e">
        <f>AND('Planilla_General_03-12-2012_9_3'!H1650,"AAAAABW//xg=")</f>
        <v>#VALUE!</v>
      </c>
      <c r="Z104" t="e">
        <f>AND('Planilla_General_03-12-2012_9_3'!I1650,"AAAAABW//xk=")</f>
        <v>#VALUE!</v>
      </c>
      <c r="AA104" t="e">
        <f>AND('Planilla_General_03-12-2012_9_3'!J1650,"AAAAABW//xo=")</f>
        <v>#VALUE!</v>
      </c>
      <c r="AB104" t="e">
        <f>AND('Planilla_General_03-12-2012_9_3'!K1650,"AAAAABW//xs=")</f>
        <v>#VALUE!</v>
      </c>
      <c r="AC104" t="e">
        <f>AND('Planilla_General_03-12-2012_9_3'!L1650,"AAAAABW//xw=")</f>
        <v>#VALUE!</v>
      </c>
      <c r="AD104" t="e">
        <f>AND('Planilla_General_03-12-2012_9_3'!M1650,"AAAAABW//x0=")</f>
        <v>#VALUE!</v>
      </c>
      <c r="AE104" t="e">
        <f>AND('Planilla_General_03-12-2012_9_3'!N1650,"AAAAABW//x4=")</f>
        <v>#VALUE!</v>
      </c>
      <c r="AF104" t="e">
        <f>AND('Planilla_General_03-12-2012_9_3'!O1650,"AAAAABW//x8=")</f>
        <v>#VALUE!</v>
      </c>
      <c r="AG104">
        <f>IF('Planilla_General_03-12-2012_9_3'!1651:1651,"AAAAABW//yA=",0)</f>
        <v>0</v>
      </c>
      <c r="AH104" t="e">
        <f>AND('Planilla_General_03-12-2012_9_3'!A1651,"AAAAABW//yE=")</f>
        <v>#VALUE!</v>
      </c>
      <c r="AI104" t="e">
        <f>AND('Planilla_General_03-12-2012_9_3'!B1651,"AAAAABW//yI=")</f>
        <v>#VALUE!</v>
      </c>
      <c r="AJ104" t="e">
        <f>AND('Planilla_General_03-12-2012_9_3'!C1651,"AAAAABW//yM=")</f>
        <v>#VALUE!</v>
      </c>
      <c r="AK104" t="e">
        <f>AND('Planilla_General_03-12-2012_9_3'!D1651,"AAAAABW//yQ=")</f>
        <v>#VALUE!</v>
      </c>
      <c r="AL104" t="e">
        <f>AND('Planilla_General_03-12-2012_9_3'!E1651,"AAAAABW//yU=")</f>
        <v>#VALUE!</v>
      </c>
      <c r="AM104" t="e">
        <f>AND('Planilla_General_03-12-2012_9_3'!F1651,"AAAAABW//yY=")</f>
        <v>#VALUE!</v>
      </c>
      <c r="AN104" t="e">
        <f>AND('Planilla_General_03-12-2012_9_3'!G1651,"AAAAABW//yc=")</f>
        <v>#VALUE!</v>
      </c>
      <c r="AO104" t="e">
        <f>AND('Planilla_General_03-12-2012_9_3'!H1651,"AAAAABW//yg=")</f>
        <v>#VALUE!</v>
      </c>
      <c r="AP104" t="e">
        <f>AND('Planilla_General_03-12-2012_9_3'!I1651,"AAAAABW//yk=")</f>
        <v>#VALUE!</v>
      </c>
      <c r="AQ104" t="e">
        <f>AND('Planilla_General_03-12-2012_9_3'!J1651,"AAAAABW//yo=")</f>
        <v>#VALUE!</v>
      </c>
      <c r="AR104" t="e">
        <f>AND('Planilla_General_03-12-2012_9_3'!K1651,"AAAAABW//ys=")</f>
        <v>#VALUE!</v>
      </c>
      <c r="AS104" t="e">
        <f>AND('Planilla_General_03-12-2012_9_3'!L1651,"AAAAABW//yw=")</f>
        <v>#VALUE!</v>
      </c>
      <c r="AT104" t="e">
        <f>AND('Planilla_General_03-12-2012_9_3'!M1651,"AAAAABW//y0=")</f>
        <v>#VALUE!</v>
      </c>
      <c r="AU104" t="e">
        <f>AND('Planilla_General_03-12-2012_9_3'!N1651,"AAAAABW//y4=")</f>
        <v>#VALUE!</v>
      </c>
      <c r="AV104" t="e">
        <f>AND('Planilla_General_03-12-2012_9_3'!O1651,"AAAAABW//y8=")</f>
        <v>#VALUE!</v>
      </c>
      <c r="AW104">
        <f>IF('Planilla_General_03-12-2012_9_3'!1652:1652,"AAAAABW//zA=",0)</f>
        <v>0</v>
      </c>
      <c r="AX104" t="e">
        <f>AND('Planilla_General_03-12-2012_9_3'!A1652,"AAAAABW//zE=")</f>
        <v>#VALUE!</v>
      </c>
      <c r="AY104" t="e">
        <f>AND('Planilla_General_03-12-2012_9_3'!B1652,"AAAAABW//zI=")</f>
        <v>#VALUE!</v>
      </c>
      <c r="AZ104" t="e">
        <f>AND('Planilla_General_03-12-2012_9_3'!C1652,"AAAAABW//zM=")</f>
        <v>#VALUE!</v>
      </c>
      <c r="BA104" t="e">
        <f>AND('Planilla_General_03-12-2012_9_3'!D1652,"AAAAABW//zQ=")</f>
        <v>#VALUE!</v>
      </c>
      <c r="BB104" t="e">
        <f>AND('Planilla_General_03-12-2012_9_3'!E1652,"AAAAABW//zU=")</f>
        <v>#VALUE!</v>
      </c>
      <c r="BC104" t="e">
        <f>AND('Planilla_General_03-12-2012_9_3'!F1652,"AAAAABW//zY=")</f>
        <v>#VALUE!</v>
      </c>
      <c r="BD104" t="e">
        <f>AND('Planilla_General_03-12-2012_9_3'!G1652,"AAAAABW//zc=")</f>
        <v>#VALUE!</v>
      </c>
      <c r="BE104" t="e">
        <f>AND('Planilla_General_03-12-2012_9_3'!H1652,"AAAAABW//zg=")</f>
        <v>#VALUE!</v>
      </c>
      <c r="BF104" t="e">
        <f>AND('Planilla_General_03-12-2012_9_3'!I1652,"AAAAABW//zk=")</f>
        <v>#VALUE!</v>
      </c>
      <c r="BG104" t="e">
        <f>AND('Planilla_General_03-12-2012_9_3'!J1652,"AAAAABW//zo=")</f>
        <v>#VALUE!</v>
      </c>
      <c r="BH104" t="e">
        <f>AND('Planilla_General_03-12-2012_9_3'!K1652,"AAAAABW//zs=")</f>
        <v>#VALUE!</v>
      </c>
      <c r="BI104" t="e">
        <f>AND('Planilla_General_03-12-2012_9_3'!L1652,"AAAAABW//zw=")</f>
        <v>#VALUE!</v>
      </c>
      <c r="BJ104" t="e">
        <f>AND('Planilla_General_03-12-2012_9_3'!M1652,"AAAAABW//z0=")</f>
        <v>#VALUE!</v>
      </c>
      <c r="BK104" t="e">
        <f>AND('Planilla_General_03-12-2012_9_3'!N1652,"AAAAABW//z4=")</f>
        <v>#VALUE!</v>
      </c>
      <c r="BL104" t="e">
        <f>AND('Planilla_General_03-12-2012_9_3'!O1652,"AAAAABW//z8=")</f>
        <v>#VALUE!</v>
      </c>
      <c r="BM104">
        <f>IF('Planilla_General_03-12-2012_9_3'!1653:1653,"AAAAABW//0A=",0)</f>
        <v>0</v>
      </c>
      <c r="BN104" t="e">
        <f>AND('Planilla_General_03-12-2012_9_3'!A1653,"AAAAABW//0E=")</f>
        <v>#VALUE!</v>
      </c>
      <c r="BO104" t="e">
        <f>AND('Planilla_General_03-12-2012_9_3'!B1653,"AAAAABW//0I=")</f>
        <v>#VALUE!</v>
      </c>
      <c r="BP104" t="e">
        <f>AND('Planilla_General_03-12-2012_9_3'!C1653,"AAAAABW//0M=")</f>
        <v>#VALUE!</v>
      </c>
      <c r="BQ104" t="e">
        <f>AND('Planilla_General_03-12-2012_9_3'!D1653,"AAAAABW//0Q=")</f>
        <v>#VALUE!</v>
      </c>
      <c r="BR104" t="e">
        <f>AND('Planilla_General_03-12-2012_9_3'!E1653,"AAAAABW//0U=")</f>
        <v>#VALUE!</v>
      </c>
      <c r="BS104" t="e">
        <f>AND('Planilla_General_03-12-2012_9_3'!F1653,"AAAAABW//0Y=")</f>
        <v>#VALUE!</v>
      </c>
      <c r="BT104" t="e">
        <f>AND('Planilla_General_03-12-2012_9_3'!G1653,"AAAAABW//0c=")</f>
        <v>#VALUE!</v>
      </c>
      <c r="BU104" t="e">
        <f>AND('Planilla_General_03-12-2012_9_3'!H1653,"AAAAABW//0g=")</f>
        <v>#VALUE!</v>
      </c>
      <c r="BV104" t="e">
        <f>AND('Planilla_General_03-12-2012_9_3'!I1653,"AAAAABW//0k=")</f>
        <v>#VALUE!</v>
      </c>
      <c r="BW104" t="e">
        <f>AND('Planilla_General_03-12-2012_9_3'!J1653,"AAAAABW//0o=")</f>
        <v>#VALUE!</v>
      </c>
      <c r="BX104" t="e">
        <f>AND('Planilla_General_03-12-2012_9_3'!K1653,"AAAAABW//0s=")</f>
        <v>#VALUE!</v>
      </c>
      <c r="BY104" t="e">
        <f>AND('Planilla_General_03-12-2012_9_3'!L1653,"AAAAABW//0w=")</f>
        <v>#VALUE!</v>
      </c>
      <c r="BZ104" t="e">
        <f>AND('Planilla_General_03-12-2012_9_3'!M1653,"AAAAABW//00=")</f>
        <v>#VALUE!</v>
      </c>
      <c r="CA104" t="e">
        <f>AND('Planilla_General_03-12-2012_9_3'!N1653,"AAAAABW//04=")</f>
        <v>#VALUE!</v>
      </c>
      <c r="CB104" t="e">
        <f>AND('Planilla_General_03-12-2012_9_3'!O1653,"AAAAABW//08=")</f>
        <v>#VALUE!</v>
      </c>
      <c r="CC104">
        <f>IF('Planilla_General_03-12-2012_9_3'!1654:1654,"AAAAABW//1A=",0)</f>
        <v>0</v>
      </c>
      <c r="CD104" t="e">
        <f>AND('Planilla_General_03-12-2012_9_3'!A1654,"AAAAABW//1E=")</f>
        <v>#VALUE!</v>
      </c>
      <c r="CE104" t="e">
        <f>AND('Planilla_General_03-12-2012_9_3'!B1654,"AAAAABW//1I=")</f>
        <v>#VALUE!</v>
      </c>
      <c r="CF104" t="e">
        <f>AND('Planilla_General_03-12-2012_9_3'!C1654,"AAAAABW//1M=")</f>
        <v>#VALUE!</v>
      </c>
      <c r="CG104" t="e">
        <f>AND('Planilla_General_03-12-2012_9_3'!D1654,"AAAAABW//1Q=")</f>
        <v>#VALUE!</v>
      </c>
      <c r="CH104" t="e">
        <f>AND('Planilla_General_03-12-2012_9_3'!E1654,"AAAAABW//1U=")</f>
        <v>#VALUE!</v>
      </c>
      <c r="CI104" t="e">
        <f>AND('Planilla_General_03-12-2012_9_3'!F1654,"AAAAABW//1Y=")</f>
        <v>#VALUE!</v>
      </c>
      <c r="CJ104" t="e">
        <f>AND('Planilla_General_03-12-2012_9_3'!G1654,"AAAAABW//1c=")</f>
        <v>#VALUE!</v>
      </c>
      <c r="CK104" t="e">
        <f>AND('Planilla_General_03-12-2012_9_3'!H1654,"AAAAABW//1g=")</f>
        <v>#VALUE!</v>
      </c>
      <c r="CL104" t="e">
        <f>AND('Planilla_General_03-12-2012_9_3'!I1654,"AAAAABW//1k=")</f>
        <v>#VALUE!</v>
      </c>
      <c r="CM104" t="e">
        <f>AND('Planilla_General_03-12-2012_9_3'!J1654,"AAAAABW//1o=")</f>
        <v>#VALUE!</v>
      </c>
      <c r="CN104" t="e">
        <f>AND('Planilla_General_03-12-2012_9_3'!K1654,"AAAAABW//1s=")</f>
        <v>#VALUE!</v>
      </c>
      <c r="CO104" t="e">
        <f>AND('Planilla_General_03-12-2012_9_3'!L1654,"AAAAABW//1w=")</f>
        <v>#VALUE!</v>
      </c>
      <c r="CP104" t="e">
        <f>AND('Planilla_General_03-12-2012_9_3'!M1654,"AAAAABW//10=")</f>
        <v>#VALUE!</v>
      </c>
      <c r="CQ104" t="e">
        <f>AND('Planilla_General_03-12-2012_9_3'!N1654,"AAAAABW//14=")</f>
        <v>#VALUE!</v>
      </c>
      <c r="CR104" t="e">
        <f>AND('Planilla_General_03-12-2012_9_3'!O1654,"AAAAABW//18=")</f>
        <v>#VALUE!</v>
      </c>
      <c r="CS104">
        <f>IF('Planilla_General_03-12-2012_9_3'!1655:1655,"AAAAABW//2A=",0)</f>
        <v>0</v>
      </c>
      <c r="CT104" t="e">
        <f>AND('Planilla_General_03-12-2012_9_3'!A1655,"AAAAABW//2E=")</f>
        <v>#VALUE!</v>
      </c>
      <c r="CU104" t="e">
        <f>AND('Planilla_General_03-12-2012_9_3'!B1655,"AAAAABW//2I=")</f>
        <v>#VALUE!</v>
      </c>
      <c r="CV104" t="e">
        <f>AND('Planilla_General_03-12-2012_9_3'!C1655,"AAAAABW//2M=")</f>
        <v>#VALUE!</v>
      </c>
      <c r="CW104" t="e">
        <f>AND('Planilla_General_03-12-2012_9_3'!D1655,"AAAAABW//2Q=")</f>
        <v>#VALUE!</v>
      </c>
      <c r="CX104" t="e">
        <f>AND('Planilla_General_03-12-2012_9_3'!E1655,"AAAAABW//2U=")</f>
        <v>#VALUE!</v>
      </c>
      <c r="CY104" t="e">
        <f>AND('Planilla_General_03-12-2012_9_3'!F1655,"AAAAABW//2Y=")</f>
        <v>#VALUE!</v>
      </c>
      <c r="CZ104" t="e">
        <f>AND('Planilla_General_03-12-2012_9_3'!G1655,"AAAAABW//2c=")</f>
        <v>#VALUE!</v>
      </c>
      <c r="DA104" t="e">
        <f>AND('Planilla_General_03-12-2012_9_3'!H1655,"AAAAABW//2g=")</f>
        <v>#VALUE!</v>
      </c>
      <c r="DB104" t="e">
        <f>AND('Planilla_General_03-12-2012_9_3'!I1655,"AAAAABW//2k=")</f>
        <v>#VALUE!</v>
      </c>
      <c r="DC104" t="e">
        <f>AND('Planilla_General_03-12-2012_9_3'!J1655,"AAAAABW//2o=")</f>
        <v>#VALUE!</v>
      </c>
      <c r="DD104" t="e">
        <f>AND('Planilla_General_03-12-2012_9_3'!K1655,"AAAAABW//2s=")</f>
        <v>#VALUE!</v>
      </c>
      <c r="DE104" t="e">
        <f>AND('Planilla_General_03-12-2012_9_3'!L1655,"AAAAABW//2w=")</f>
        <v>#VALUE!</v>
      </c>
      <c r="DF104" t="e">
        <f>AND('Planilla_General_03-12-2012_9_3'!M1655,"AAAAABW//20=")</f>
        <v>#VALUE!</v>
      </c>
      <c r="DG104" t="e">
        <f>AND('Planilla_General_03-12-2012_9_3'!N1655,"AAAAABW//24=")</f>
        <v>#VALUE!</v>
      </c>
      <c r="DH104" t="e">
        <f>AND('Planilla_General_03-12-2012_9_3'!O1655,"AAAAABW//28=")</f>
        <v>#VALUE!</v>
      </c>
      <c r="DI104">
        <f>IF('Planilla_General_03-12-2012_9_3'!1656:1656,"AAAAABW//3A=",0)</f>
        <v>0</v>
      </c>
      <c r="DJ104" t="e">
        <f>AND('Planilla_General_03-12-2012_9_3'!A1656,"AAAAABW//3E=")</f>
        <v>#VALUE!</v>
      </c>
      <c r="DK104" t="e">
        <f>AND('Planilla_General_03-12-2012_9_3'!B1656,"AAAAABW//3I=")</f>
        <v>#VALUE!</v>
      </c>
      <c r="DL104" t="e">
        <f>AND('Planilla_General_03-12-2012_9_3'!C1656,"AAAAABW//3M=")</f>
        <v>#VALUE!</v>
      </c>
      <c r="DM104" t="e">
        <f>AND('Planilla_General_03-12-2012_9_3'!D1656,"AAAAABW//3Q=")</f>
        <v>#VALUE!</v>
      </c>
      <c r="DN104" t="e">
        <f>AND('Planilla_General_03-12-2012_9_3'!E1656,"AAAAABW//3U=")</f>
        <v>#VALUE!</v>
      </c>
      <c r="DO104" t="e">
        <f>AND('Planilla_General_03-12-2012_9_3'!F1656,"AAAAABW//3Y=")</f>
        <v>#VALUE!</v>
      </c>
      <c r="DP104" t="e">
        <f>AND('Planilla_General_03-12-2012_9_3'!G1656,"AAAAABW//3c=")</f>
        <v>#VALUE!</v>
      </c>
      <c r="DQ104" t="e">
        <f>AND('Planilla_General_03-12-2012_9_3'!H1656,"AAAAABW//3g=")</f>
        <v>#VALUE!</v>
      </c>
      <c r="DR104" t="e">
        <f>AND('Planilla_General_03-12-2012_9_3'!I1656,"AAAAABW//3k=")</f>
        <v>#VALUE!</v>
      </c>
      <c r="DS104" t="e">
        <f>AND('Planilla_General_03-12-2012_9_3'!J1656,"AAAAABW//3o=")</f>
        <v>#VALUE!</v>
      </c>
      <c r="DT104" t="e">
        <f>AND('Planilla_General_03-12-2012_9_3'!K1656,"AAAAABW//3s=")</f>
        <v>#VALUE!</v>
      </c>
      <c r="DU104" t="e">
        <f>AND('Planilla_General_03-12-2012_9_3'!L1656,"AAAAABW//3w=")</f>
        <v>#VALUE!</v>
      </c>
      <c r="DV104" t="e">
        <f>AND('Planilla_General_03-12-2012_9_3'!M1656,"AAAAABW//30=")</f>
        <v>#VALUE!</v>
      </c>
      <c r="DW104" t="e">
        <f>AND('Planilla_General_03-12-2012_9_3'!N1656,"AAAAABW//34=")</f>
        <v>#VALUE!</v>
      </c>
      <c r="DX104" t="e">
        <f>AND('Planilla_General_03-12-2012_9_3'!O1656,"AAAAABW//38=")</f>
        <v>#VALUE!</v>
      </c>
      <c r="DY104">
        <f>IF('Planilla_General_03-12-2012_9_3'!1657:1657,"AAAAABW//4A=",0)</f>
        <v>0</v>
      </c>
      <c r="DZ104" t="e">
        <f>AND('Planilla_General_03-12-2012_9_3'!A1657,"AAAAABW//4E=")</f>
        <v>#VALUE!</v>
      </c>
      <c r="EA104" t="e">
        <f>AND('Planilla_General_03-12-2012_9_3'!B1657,"AAAAABW//4I=")</f>
        <v>#VALUE!</v>
      </c>
      <c r="EB104" t="e">
        <f>AND('Planilla_General_03-12-2012_9_3'!C1657,"AAAAABW//4M=")</f>
        <v>#VALUE!</v>
      </c>
      <c r="EC104" t="e">
        <f>AND('Planilla_General_03-12-2012_9_3'!D1657,"AAAAABW//4Q=")</f>
        <v>#VALUE!</v>
      </c>
      <c r="ED104" t="e">
        <f>AND('Planilla_General_03-12-2012_9_3'!E1657,"AAAAABW//4U=")</f>
        <v>#VALUE!</v>
      </c>
      <c r="EE104" t="e">
        <f>AND('Planilla_General_03-12-2012_9_3'!F1657,"AAAAABW//4Y=")</f>
        <v>#VALUE!</v>
      </c>
      <c r="EF104" t="e">
        <f>AND('Planilla_General_03-12-2012_9_3'!G1657,"AAAAABW//4c=")</f>
        <v>#VALUE!</v>
      </c>
      <c r="EG104" t="e">
        <f>AND('Planilla_General_03-12-2012_9_3'!H1657,"AAAAABW//4g=")</f>
        <v>#VALUE!</v>
      </c>
      <c r="EH104" t="e">
        <f>AND('Planilla_General_03-12-2012_9_3'!I1657,"AAAAABW//4k=")</f>
        <v>#VALUE!</v>
      </c>
      <c r="EI104" t="e">
        <f>AND('Planilla_General_03-12-2012_9_3'!J1657,"AAAAABW//4o=")</f>
        <v>#VALUE!</v>
      </c>
      <c r="EJ104" t="e">
        <f>AND('Planilla_General_03-12-2012_9_3'!K1657,"AAAAABW//4s=")</f>
        <v>#VALUE!</v>
      </c>
      <c r="EK104" t="e">
        <f>AND('Planilla_General_03-12-2012_9_3'!L1657,"AAAAABW//4w=")</f>
        <v>#VALUE!</v>
      </c>
      <c r="EL104" t="e">
        <f>AND('Planilla_General_03-12-2012_9_3'!M1657,"AAAAABW//40=")</f>
        <v>#VALUE!</v>
      </c>
      <c r="EM104" t="e">
        <f>AND('Planilla_General_03-12-2012_9_3'!N1657,"AAAAABW//44=")</f>
        <v>#VALUE!</v>
      </c>
      <c r="EN104" t="e">
        <f>AND('Planilla_General_03-12-2012_9_3'!O1657,"AAAAABW//48=")</f>
        <v>#VALUE!</v>
      </c>
      <c r="EO104">
        <f>IF('Planilla_General_03-12-2012_9_3'!1658:1658,"AAAAABW//5A=",0)</f>
        <v>0</v>
      </c>
      <c r="EP104" t="e">
        <f>AND('Planilla_General_03-12-2012_9_3'!A1658,"AAAAABW//5E=")</f>
        <v>#VALUE!</v>
      </c>
      <c r="EQ104" t="e">
        <f>AND('Planilla_General_03-12-2012_9_3'!B1658,"AAAAABW//5I=")</f>
        <v>#VALUE!</v>
      </c>
      <c r="ER104" t="e">
        <f>AND('Planilla_General_03-12-2012_9_3'!C1658,"AAAAABW//5M=")</f>
        <v>#VALUE!</v>
      </c>
      <c r="ES104" t="e">
        <f>AND('Planilla_General_03-12-2012_9_3'!D1658,"AAAAABW//5Q=")</f>
        <v>#VALUE!</v>
      </c>
      <c r="ET104" t="e">
        <f>AND('Planilla_General_03-12-2012_9_3'!E1658,"AAAAABW//5U=")</f>
        <v>#VALUE!</v>
      </c>
      <c r="EU104" t="e">
        <f>AND('Planilla_General_03-12-2012_9_3'!F1658,"AAAAABW//5Y=")</f>
        <v>#VALUE!</v>
      </c>
      <c r="EV104" t="e">
        <f>AND('Planilla_General_03-12-2012_9_3'!G1658,"AAAAABW//5c=")</f>
        <v>#VALUE!</v>
      </c>
      <c r="EW104" t="e">
        <f>AND('Planilla_General_03-12-2012_9_3'!H1658,"AAAAABW//5g=")</f>
        <v>#VALUE!</v>
      </c>
      <c r="EX104" t="e">
        <f>AND('Planilla_General_03-12-2012_9_3'!I1658,"AAAAABW//5k=")</f>
        <v>#VALUE!</v>
      </c>
      <c r="EY104" t="e">
        <f>AND('Planilla_General_03-12-2012_9_3'!J1658,"AAAAABW//5o=")</f>
        <v>#VALUE!</v>
      </c>
      <c r="EZ104" t="e">
        <f>AND('Planilla_General_03-12-2012_9_3'!K1658,"AAAAABW//5s=")</f>
        <v>#VALUE!</v>
      </c>
      <c r="FA104" t="e">
        <f>AND('Planilla_General_03-12-2012_9_3'!L1658,"AAAAABW//5w=")</f>
        <v>#VALUE!</v>
      </c>
      <c r="FB104" t="e">
        <f>AND('Planilla_General_03-12-2012_9_3'!M1658,"AAAAABW//50=")</f>
        <v>#VALUE!</v>
      </c>
      <c r="FC104" t="e">
        <f>AND('Planilla_General_03-12-2012_9_3'!N1658,"AAAAABW//54=")</f>
        <v>#VALUE!</v>
      </c>
      <c r="FD104" t="e">
        <f>AND('Planilla_General_03-12-2012_9_3'!O1658,"AAAAABW//58=")</f>
        <v>#VALUE!</v>
      </c>
      <c r="FE104">
        <f>IF('Planilla_General_03-12-2012_9_3'!1659:1659,"AAAAABW//6A=",0)</f>
        <v>0</v>
      </c>
      <c r="FF104" t="e">
        <f>AND('Planilla_General_03-12-2012_9_3'!A1659,"AAAAABW//6E=")</f>
        <v>#VALUE!</v>
      </c>
      <c r="FG104" t="e">
        <f>AND('Planilla_General_03-12-2012_9_3'!B1659,"AAAAABW//6I=")</f>
        <v>#VALUE!</v>
      </c>
      <c r="FH104" t="e">
        <f>AND('Planilla_General_03-12-2012_9_3'!C1659,"AAAAABW//6M=")</f>
        <v>#VALUE!</v>
      </c>
      <c r="FI104" t="e">
        <f>AND('Planilla_General_03-12-2012_9_3'!D1659,"AAAAABW//6Q=")</f>
        <v>#VALUE!</v>
      </c>
      <c r="FJ104" t="e">
        <f>AND('Planilla_General_03-12-2012_9_3'!E1659,"AAAAABW//6U=")</f>
        <v>#VALUE!</v>
      </c>
      <c r="FK104" t="e">
        <f>AND('Planilla_General_03-12-2012_9_3'!F1659,"AAAAABW//6Y=")</f>
        <v>#VALUE!</v>
      </c>
      <c r="FL104" t="e">
        <f>AND('Planilla_General_03-12-2012_9_3'!G1659,"AAAAABW//6c=")</f>
        <v>#VALUE!</v>
      </c>
      <c r="FM104" t="e">
        <f>AND('Planilla_General_03-12-2012_9_3'!H1659,"AAAAABW//6g=")</f>
        <v>#VALUE!</v>
      </c>
      <c r="FN104" t="e">
        <f>AND('Planilla_General_03-12-2012_9_3'!I1659,"AAAAABW//6k=")</f>
        <v>#VALUE!</v>
      </c>
      <c r="FO104" t="e">
        <f>AND('Planilla_General_03-12-2012_9_3'!J1659,"AAAAABW//6o=")</f>
        <v>#VALUE!</v>
      </c>
      <c r="FP104" t="e">
        <f>AND('Planilla_General_03-12-2012_9_3'!K1659,"AAAAABW//6s=")</f>
        <v>#VALUE!</v>
      </c>
      <c r="FQ104" t="e">
        <f>AND('Planilla_General_03-12-2012_9_3'!L1659,"AAAAABW//6w=")</f>
        <v>#VALUE!</v>
      </c>
      <c r="FR104" t="e">
        <f>AND('Planilla_General_03-12-2012_9_3'!M1659,"AAAAABW//60=")</f>
        <v>#VALUE!</v>
      </c>
      <c r="FS104" t="e">
        <f>AND('Planilla_General_03-12-2012_9_3'!N1659,"AAAAABW//64=")</f>
        <v>#VALUE!</v>
      </c>
      <c r="FT104" t="e">
        <f>AND('Planilla_General_03-12-2012_9_3'!O1659,"AAAAABW//68=")</f>
        <v>#VALUE!</v>
      </c>
      <c r="FU104">
        <f>IF('Planilla_General_03-12-2012_9_3'!1660:1660,"AAAAABW//7A=",0)</f>
        <v>0</v>
      </c>
      <c r="FV104" t="e">
        <f>AND('Planilla_General_03-12-2012_9_3'!A1660,"AAAAABW//7E=")</f>
        <v>#VALUE!</v>
      </c>
      <c r="FW104" t="e">
        <f>AND('Planilla_General_03-12-2012_9_3'!B1660,"AAAAABW//7I=")</f>
        <v>#VALUE!</v>
      </c>
      <c r="FX104" t="e">
        <f>AND('Planilla_General_03-12-2012_9_3'!C1660,"AAAAABW//7M=")</f>
        <v>#VALUE!</v>
      </c>
      <c r="FY104" t="e">
        <f>AND('Planilla_General_03-12-2012_9_3'!D1660,"AAAAABW//7Q=")</f>
        <v>#VALUE!</v>
      </c>
      <c r="FZ104" t="e">
        <f>AND('Planilla_General_03-12-2012_9_3'!E1660,"AAAAABW//7U=")</f>
        <v>#VALUE!</v>
      </c>
      <c r="GA104" t="e">
        <f>AND('Planilla_General_03-12-2012_9_3'!F1660,"AAAAABW//7Y=")</f>
        <v>#VALUE!</v>
      </c>
      <c r="GB104" t="e">
        <f>AND('Planilla_General_03-12-2012_9_3'!G1660,"AAAAABW//7c=")</f>
        <v>#VALUE!</v>
      </c>
      <c r="GC104" t="e">
        <f>AND('Planilla_General_03-12-2012_9_3'!H1660,"AAAAABW//7g=")</f>
        <v>#VALUE!</v>
      </c>
      <c r="GD104" t="e">
        <f>AND('Planilla_General_03-12-2012_9_3'!I1660,"AAAAABW//7k=")</f>
        <v>#VALUE!</v>
      </c>
      <c r="GE104" t="e">
        <f>AND('Planilla_General_03-12-2012_9_3'!J1660,"AAAAABW//7o=")</f>
        <v>#VALUE!</v>
      </c>
      <c r="GF104" t="e">
        <f>AND('Planilla_General_03-12-2012_9_3'!K1660,"AAAAABW//7s=")</f>
        <v>#VALUE!</v>
      </c>
      <c r="GG104" t="e">
        <f>AND('Planilla_General_03-12-2012_9_3'!L1660,"AAAAABW//7w=")</f>
        <v>#VALUE!</v>
      </c>
      <c r="GH104" t="e">
        <f>AND('Planilla_General_03-12-2012_9_3'!M1660,"AAAAABW//70=")</f>
        <v>#VALUE!</v>
      </c>
      <c r="GI104" t="e">
        <f>AND('Planilla_General_03-12-2012_9_3'!N1660,"AAAAABW//74=")</f>
        <v>#VALUE!</v>
      </c>
      <c r="GJ104" t="e">
        <f>AND('Planilla_General_03-12-2012_9_3'!O1660,"AAAAABW//78=")</f>
        <v>#VALUE!</v>
      </c>
      <c r="GK104">
        <f>IF('Planilla_General_03-12-2012_9_3'!1661:1661,"AAAAABW//8A=",0)</f>
        <v>0</v>
      </c>
      <c r="GL104" t="e">
        <f>AND('Planilla_General_03-12-2012_9_3'!A1661,"AAAAABW//8E=")</f>
        <v>#VALUE!</v>
      </c>
      <c r="GM104" t="e">
        <f>AND('Planilla_General_03-12-2012_9_3'!B1661,"AAAAABW//8I=")</f>
        <v>#VALUE!</v>
      </c>
      <c r="GN104" t="e">
        <f>AND('Planilla_General_03-12-2012_9_3'!C1661,"AAAAABW//8M=")</f>
        <v>#VALUE!</v>
      </c>
      <c r="GO104" t="e">
        <f>AND('Planilla_General_03-12-2012_9_3'!D1661,"AAAAABW//8Q=")</f>
        <v>#VALUE!</v>
      </c>
      <c r="GP104" t="e">
        <f>AND('Planilla_General_03-12-2012_9_3'!E1661,"AAAAABW//8U=")</f>
        <v>#VALUE!</v>
      </c>
      <c r="GQ104" t="e">
        <f>AND('Planilla_General_03-12-2012_9_3'!F1661,"AAAAABW//8Y=")</f>
        <v>#VALUE!</v>
      </c>
      <c r="GR104" t="e">
        <f>AND('Planilla_General_03-12-2012_9_3'!G1661,"AAAAABW//8c=")</f>
        <v>#VALUE!</v>
      </c>
      <c r="GS104" t="e">
        <f>AND('Planilla_General_03-12-2012_9_3'!H1661,"AAAAABW//8g=")</f>
        <v>#VALUE!</v>
      </c>
      <c r="GT104" t="e">
        <f>AND('Planilla_General_03-12-2012_9_3'!I1661,"AAAAABW//8k=")</f>
        <v>#VALUE!</v>
      </c>
      <c r="GU104" t="e">
        <f>AND('Planilla_General_03-12-2012_9_3'!J1661,"AAAAABW//8o=")</f>
        <v>#VALUE!</v>
      </c>
      <c r="GV104" t="e">
        <f>AND('Planilla_General_03-12-2012_9_3'!K1661,"AAAAABW//8s=")</f>
        <v>#VALUE!</v>
      </c>
      <c r="GW104" t="e">
        <f>AND('Planilla_General_03-12-2012_9_3'!L1661,"AAAAABW//8w=")</f>
        <v>#VALUE!</v>
      </c>
      <c r="GX104" t="e">
        <f>AND('Planilla_General_03-12-2012_9_3'!M1661,"AAAAABW//80=")</f>
        <v>#VALUE!</v>
      </c>
      <c r="GY104" t="e">
        <f>AND('Planilla_General_03-12-2012_9_3'!N1661,"AAAAABW//84=")</f>
        <v>#VALUE!</v>
      </c>
      <c r="GZ104" t="e">
        <f>AND('Planilla_General_03-12-2012_9_3'!O1661,"AAAAABW//88=")</f>
        <v>#VALUE!</v>
      </c>
      <c r="HA104">
        <f>IF('Planilla_General_03-12-2012_9_3'!1662:1662,"AAAAABW//9A=",0)</f>
        <v>0</v>
      </c>
      <c r="HB104" t="e">
        <f>AND('Planilla_General_03-12-2012_9_3'!A1662,"AAAAABW//9E=")</f>
        <v>#VALUE!</v>
      </c>
      <c r="HC104" t="e">
        <f>AND('Planilla_General_03-12-2012_9_3'!B1662,"AAAAABW//9I=")</f>
        <v>#VALUE!</v>
      </c>
      <c r="HD104" t="e">
        <f>AND('Planilla_General_03-12-2012_9_3'!C1662,"AAAAABW//9M=")</f>
        <v>#VALUE!</v>
      </c>
      <c r="HE104" t="e">
        <f>AND('Planilla_General_03-12-2012_9_3'!D1662,"AAAAABW//9Q=")</f>
        <v>#VALUE!</v>
      </c>
      <c r="HF104" t="e">
        <f>AND('Planilla_General_03-12-2012_9_3'!E1662,"AAAAABW//9U=")</f>
        <v>#VALUE!</v>
      </c>
      <c r="HG104" t="e">
        <f>AND('Planilla_General_03-12-2012_9_3'!F1662,"AAAAABW//9Y=")</f>
        <v>#VALUE!</v>
      </c>
      <c r="HH104" t="e">
        <f>AND('Planilla_General_03-12-2012_9_3'!G1662,"AAAAABW//9c=")</f>
        <v>#VALUE!</v>
      </c>
      <c r="HI104" t="e">
        <f>AND('Planilla_General_03-12-2012_9_3'!H1662,"AAAAABW//9g=")</f>
        <v>#VALUE!</v>
      </c>
      <c r="HJ104" t="e">
        <f>AND('Planilla_General_03-12-2012_9_3'!I1662,"AAAAABW//9k=")</f>
        <v>#VALUE!</v>
      </c>
      <c r="HK104" t="e">
        <f>AND('Planilla_General_03-12-2012_9_3'!J1662,"AAAAABW//9o=")</f>
        <v>#VALUE!</v>
      </c>
      <c r="HL104" t="e">
        <f>AND('Planilla_General_03-12-2012_9_3'!K1662,"AAAAABW//9s=")</f>
        <v>#VALUE!</v>
      </c>
      <c r="HM104" t="e">
        <f>AND('Planilla_General_03-12-2012_9_3'!L1662,"AAAAABW//9w=")</f>
        <v>#VALUE!</v>
      </c>
      <c r="HN104" t="e">
        <f>AND('Planilla_General_03-12-2012_9_3'!M1662,"AAAAABW//90=")</f>
        <v>#VALUE!</v>
      </c>
      <c r="HO104" t="e">
        <f>AND('Planilla_General_03-12-2012_9_3'!N1662,"AAAAABW//94=")</f>
        <v>#VALUE!</v>
      </c>
      <c r="HP104" t="e">
        <f>AND('Planilla_General_03-12-2012_9_3'!O1662,"AAAAABW//98=")</f>
        <v>#VALUE!</v>
      </c>
      <c r="HQ104">
        <f>IF('Planilla_General_03-12-2012_9_3'!1663:1663,"AAAAABW//+A=",0)</f>
        <v>0</v>
      </c>
      <c r="HR104" t="e">
        <f>AND('Planilla_General_03-12-2012_9_3'!A1663,"AAAAABW//+E=")</f>
        <v>#VALUE!</v>
      </c>
      <c r="HS104" t="e">
        <f>AND('Planilla_General_03-12-2012_9_3'!B1663,"AAAAABW//+I=")</f>
        <v>#VALUE!</v>
      </c>
      <c r="HT104" t="e">
        <f>AND('Planilla_General_03-12-2012_9_3'!C1663,"AAAAABW//+M=")</f>
        <v>#VALUE!</v>
      </c>
      <c r="HU104" t="e">
        <f>AND('Planilla_General_03-12-2012_9_3'!D1663,"AAAAABW//+Q=")</f>
        <v>#VALUE!</v>
      </c>
      <c r="HV104" t="e">
        <f>AND('Planilla_General_03-12-2012_9_3'!E1663,"AAAAABW//+U=")</f>
        <v>#VALUE!</v>
      </c>
      <c r="HW104" t="e">
        <f>AND('Planilla_General_03-12-2012_9_3'!F1663,"AAAAABW//+Y=")</f>
        <v>#VALUE!</v>
      </c>
      <c r="HX104" t="e">
        <f>AND('Planilla_General_03-12-2012_9_3'!G1663,"AAAAABW//+c=")</f>
        <v>#VALUE!</v>
      </c>
      <c r="HY104" t="e">
        <f>AND('Planilla_General_03-12-2012_9_3'!H1663,"AAAAABW//+g=")</f>
        <v>#VALUE!</v>
      </c>
      <c r="HZ104" t="e">
        <f>AND('Planilla_General_03-12-2012_9_3'!I1663,"AAAAABW//+k=")</f>
        <v>#VALUE!</v>
      </c>
      <c r="IA104" t="e">
        <f>AND('Planilla_General_03-12-2012_9_3'!J1663,"AAAAABW//+o=")</f>
        <v>#VALUE!</v>
      </c>
      <c r="IB104" t="e">
        <f>AND('Planilla_General_03-12-2012_9_3'!K1663,"AAAAABW//+s=")</f>
        <v>#VALUE!</v>
      </c>
      <c r="IC104" t="e">
        <f>AND('Planilla_General_03-12-2012_9_3'!L1663,"AAAAABW//+w=")</f>
        <v>#VALUE!</v>
      </c>
      <c r="ID104" t="e">
        <f>AND('Planilla_General_03-12-2012_9_3'!M1663,"AAAAABW//+0=")</f>
        <v>#VALUE!</v>
      </c>
      <c r="IE104" t="e">
        <f>AND('Planilla_General_03-12-2012_9_3'!N1663,"AAAAABW//+4=")</f>
        <v>#VALUE!</v>
      </c>
      <c r="IF104" t="e">
        <f>AND('Planilla_General_03-12-2012_9_3'!O1663,"AAAAABW//+8=")</f>
        <v>#VALUE!</v>
      </c>
      <c r="IG104">
        <f>IF('Planilla_General_03-12-2012_9_3'!1664:1664,"AAAAABW///A=",0)</f>
        <v>0</v>
      </c>
      <c r="IH104" t="e">
        <f>AND('Planilla_General_03-12-2012_9_3'!A1664,"AAAAABW///E=")</f>
        <v>#VALUE!</v>
      </c>
      <c r="II104" t="e">
        <f>AND('Planilla_General_03-12-2012_9_3'!B1664,"AAAAABW///I=")</f>
        <v>#VALUE!</v>
      </c>
      <c r="IJ104" t="e">
        <f>AND('Planilla_General_03-12-2012_9_3'!C1664,"AAAAABW///M=")</f>
        <v>#VALUE!</v>
      </c>
      <c r="IK104" t="e">
        <f>AND('Planilla_General_03-12-2012_9_3'!D1664,"AAAAABW///Q=")</f>
        <v>#VALUE!</v>
      </c>
      <c r="IL104" t="e">
        <f>AND('Planilla_General_03-12-2012_9_3'!E1664,"AAAAABW///U=")</f>
        <v>#VALUE!</v>
      </c>
      <c r="IM104" t="e">
        <f>AND('Planilla_General_03-12-2012_9_3'!F1664,"AAAAABW///Y=")</f>
        <v>#VALUE!</v>
      </c>
      <c r="IN104" t="e">
        <f>AND('Planilla_General_03-12-2012_9_3'!G1664,"AAAAABW///c=")</f>
        <v>#VALUE!</v>
      </c>
      <c r="IO104" t="e">
        <f>AND('Planilla_General_03-12-2012_9_3'!H1664,"AAAAABW///g=")</f>
        <v>#VALUE!</v>
      </c>
      <c r="IP104" t="e">
        <f>AND('Planilla_General_03-12-2012_9_3'!I1664,"AAAAABW///k=")</f>
        <v>#VALUE!</v>
      </c>
      <c r="IQ104" t="e">
        <f>AND('Planilla_General_03-12-2012_9_3'!J1664,"AAAAABW///o=")</f>
        <v>#VALUE!</v>
      </c>
      <c r="IR104" t="e">
        <f>AND('Planilla_General_03-12-2012_9_3'!K1664,"AAAAABW///s=")</f>
        <v>#VALUE!</v>
      </c>
      <c r="IS104" t="e">
        <f>AND('Planilla_General_03-12-2012_9_3'!L1664,"AAAAABW///w=")</f>
        <v>#VALUE!</v>
      </c>
      <c r="IT104" t="e">
        <f>AND('Planilla_General_03-12-2012_9_3'!M1664,"AAAAABW///0=")</f>
        <v>#VALUE!</v>
      </c>
      <c r="IU104" t="e">
        <f>AND('Planilla_General_03-12-2012_9_3'!N1664,"AAAAABW///4=")</f>
        <v>#VALUE!</v>
      </c>
      <c r="IV104" t="e">
        <f>AND('Planilla_General_03-12-2012_9_3'!O1664,"AAAAABW///8=")</f>
        <v>#VALUE!</v>
      </c>
    </row>
    <row r="105" spans="1:256" x14ac:dyDescent="0.25">
      <c r="A105" t="e">
        <f>IF('Planilla_General_03-12-2012_9_3'!1665:1665,"AAAAAFnfzwA=",0)</f>
        <v>#VALUE!</v>
      </c>
      <c r="B105" t="e">
        <f>AND('Planilla_General_03-12-2012_9_3'!A1665,"AAAAAFnfzwE=")</f>
        <v>#VALUE!</v>
      </c>
      <c r="C105" t="e">
        <f>AND('Planilla_General_03-12-2012_9_3'!B1665,"AAAAAFnfzwI=")</f>
        <v>#VALUE!</v>
      </c>
      <c r="D105" t="e">
        <f>AND('Planilla_General_03-12-2012_9_3'!C1665,"AAAAAFnfzwM=")</f>
        <v>#VALUE!</v>
      </c>
      <c r="E105" t="e">
        <f>AND('Planilla_General_03-12-2012_9_3'!D1665,"AAAAAFnfzwQ=")</f>
        <v>#VALUE!</v>
      </c>
      <c r="F105" t="e">
        <f>AND('Planilla_General_03-12-2012_9_3'!E1665,"AAAAAFnfzwU=")</f>
        <v>#VALUE!</v>
      </c>
      <c r="G105" t="e">
        <f>AND('Planilla_General_03-12-2012_9_3'!F1665,"AAAAAFnfzwY=")</f>
        <v>#VALUE!</v>
      </c>
      <c r="H105" t="e">
        <f>AND('Planilla_General_03-12-2012_9_3'!G1665,"AAAAAFnfzwc=")</f>
        <v>#VALUE!</v>
      </c>
      <c r="I105" t="e">
        <f>AND('Planilla_General_03-12-2012_9_3'!H1665,"AAAAAFnfzwg=")</f>
        <v>#VALUE!</v>
      </c>
      <c r="J105" t="e">
        <f>AND('Planilla_General_03-12-2012_9_3'!I1665,"AAAAAFnfzwk=")</f>
        <v>#VALUE!</v>
      </c>
      <c r="K105" t="e">
        <f>AND('Planilla_General_03-12-2012_9_3'!J1665,"AAAAAFnfzwo=")</f>
        <v>#VALUE!</v>
      </c>
      <c r="L105" t="e">
        <f>AND('Planilla_General_03-12-2012_9_3'!K1665,"AAAAAFnfzws=")</f>
        <v>#VALUE!</v>
      </c>
      <c r="M105" t="e">
        <f>AND('Planilla_General_03-12-2012_9_3'!L1665,"AAAAAFnfzww=")</f>
        <v>#VALUE!</v>
      </c>
      <c r="N105" t="e">
        <f>AND('Planilla_General_03-12-2012_9_3'!M1665,"AAAAAFnfzw0=")</f>
        <v>#VALUE!</v>
      </c>
      <c r="O105" t="e">
        <f>AND('Planilla_General_03-12-2012_9_3'!N1665,"AAAAAFnfzw4=")</f>
        <v>#VALUE!</v>
      </c>
      <c r="P105" t="e">
        <f>AND('Planilla_General_03-12-2012_9_3'!O1665,"AAAAAFnfzw8=")</f>
        <v>#VALUE!</v>
      </c>
      <c r="Q105">
        <f>IF('Planilla_General_03-12-2012_9_3'!1666:1666,"AAAAAFnfzxA=",0)</f>
        <v>0</v>
      </c>
      <c r="R105" t="e">
        <f>AND('Planilla_General_03-12-2012_9_3'!A1666,"AAAAAFnfzxE=")</f>
        <v>#VALUE!</v>
      </c>
      <c r="S105" t="e">
        <f>AND('Planilla_General_03-12-2012_9_3'!B1666,"AAAAAFnfzxI=")</f>
        <v>#VALUE!</v>
      </c>
      <c r="T105" t="e">
        <f>AND('Planilla_General_03-12-2012_9_3'!C1666,"AAAAAFnfzxM=")</f>
        <v>#VALUE!</v>
      </c>
      <c r="U105" t="e">
        <f>AND('Planilla_General_03-12-2012_9_3'!D1666,"AAAAAFnfzxQ=")</f>
        <v>#VALUE!</v>
      </c>
      <c r="V105" t="e">
        <f>AND('Planilla_General_03-12-2012_9_3'!E1666,"AAAAAFnfzxU=")</f>
        <v>#VALUE!</v>
      </c>
      <c r="W105" t="e">
        <f>AND('Planilla_General_03-12-2012_9_3'!F1666,"AAAAAFnfzxY=")</f>
        <v>#VALUE!</v>
      </c>
      <c r="X105" t="e">
        <f>AND('Planilla_General_03-12-2012_9_3'!G1666,"AAAAAFnfzxc=")</f>
        <v>#VALUE!</v>
      </c>
      <c r="Y105" t="e">
        <f>AND('Planilla_General_03-12-2012_9_3'!H1666,"AAAAAFnfzxg=")</f>
        <v>#VALUE!</v>
      </c>
      <c r="Z105" t="e">
        <f>AND('Planilla_General_03-12-2012_9_3'!I1666,"AAAAAFnfzxk=")</f>
        <v>#VALUE!</v>
      </c>
      <c r="AA105" t="e">
        <f>AND('Planilla_General_03-12-2012_9_3'!J1666,"AAAAAFnfzxo=")</f>
        <v>#VALUE!</v>
      </c>
      <c r="AB105" t="e">
        <f>AND('Planilla_General_03-12-2012_9_3'!K1666,"AAAAAFnfzxs=")</f>
        <v>#VALUE!</v>
      </c>
      <c r="AC105" t="e">
        <f>AND('Planilla_General_03-12-2012_9_3'!L1666,"AAAAAFnfzxw=")</f>
        <v>#VALUE!</v>
      </c>
      <c r="AD105" t="e">
        <f>AND('Planilla_General_03-12-2012_9_3'!M1666,"AAAAAFnfzx0=")</f>
        <v>#VALUE!</v>
      </c>
      <c r="AE105" t="e">
        <f>AND('Planilla_General_03-12-2012_9_3'!N1666,"AAAAAFnfzx4=")</f>
        <v>#VALUE!</v>
      </c>
      <c r="AF105" t="e">
        <f>AND('Planilla_General_03-12-2012_9_3'!O1666,"AAAAAFnfzx8=")</f>
        <v>#VALUE!</v>
      </c>
      <c r="AG105">
        <f>IF('Planilla_General_03-12-2012_9_3'!1667:1667,"AAAAAFnfzyA=",0)</f>
        <v>0</v>
      </c>
      <c r="AH105" t="e">
        <f>AND('Planilla_General_03-12-2012_9_3'!A1667,"AAAAAFnfzyE=")</f>
        <v>#VALUE!</v>
      </c>
      <c r="AI105" t="e">
        <f>AND('Planilla_General_03-12-2012_9_3'!B1667,"AAAAAFnfzyI=")</f>
        <v>#VALUE!</v>
      </c>
      <c r="AJ105" t="e">
        <f>AND('Planilla_General_03-12-2012_9_3'!C1667,"AAAAAFnfzyM=")</f>
        <v>#VALUE!</v>
      </c>
      <c r="AK105" t="e">
        <f>AND('Planilla_General_03-12-2012_9_3'!D1667,"AAAAAFnfzyQ=")</f>
        <v>#VALUE!</v>
      </c>
      <c r="AL105" t="e">
        <f>AND('Planilla_General_03-12-2012_9_3'!E1667,"AAAAAFnfzyU=")</f>
        <v>#VALUE!</v>
      </c>
      <c r="AM105" t="e">
        <f>AND('Planilla_General_03-12-2012_9_3'!F1667,"AAAAAFnfzyY=")</f>
        <v>#VALUE!</v>
      </c>
      <c r="AN105" t="e">
        <f>AND('Planilla_General_03-12-2012_9_3'!G1667,"AAAAAFnfzyc=")</f>
        <v>#VALUE!</v>
      </c>
      <c r="AO105" t="e">
        <f>AND('Planilla_General_03-12-2012_9_3'!H1667,"AAAAAFnfzyg=")</f>
        <v>#VALUE!</v>
      </c>
      <c r="AP105" t="e">
        <f>AND('Planilla_General_03-12-2012_9_3'!I1667,"AAAAAFnfzyk=")</f>
        <v>#VALUE!</v>
      </c>
      <c r="AQ105" t="e">
        <f>AND('Planilla_General_03-12-2012_9_3'!J1667,"AAAAAFnfzyo=")</f>
        <v>#VALUE!</v>
      </c>
      <c r="AR105" t="e">
        <f>AND('Planilla_General_03-12-2012_9_3'!K1667,"AAAAAFnfzys=")</f>
        <v>#VALUE!</v>
      </c>
      <c r="AS105" t="e">
        <f>AND('Planilla_General_03-12-2012_9_3'!L1667,"AAAAAFnfzyw=")</f>
        <v>#VALUE!</v>
      </c>
      <c r="AT105" t="e">
        <f>AND('Planilla_General_03-12-2012_9_3'!M1667,"AAAAAFnfzy0=")</f>
        <v>#VALUE!</v>
      </c>
      <c r="AU105" t="e">
        <f>AND('Planilla_General_03-12-2012_9_3'!N1667,"AAAAAFnfzy4=")</f>
        <v>#VALUE!</v>
      </c>
      <c r="AV105" t="e">
        <f>AND('Planilla_General_03-12-2012_9_3'!O1667,"AAAAAFnfzy8=")</f>
        <v>#VALUE!</v>
      </c>
      <c r="AW105">
        <f>IF('Planilla_General_03-12-2012_9_3'!1668:1668,"AAAAAFnfzzA=",0)</f>
        <v>0</v>
      </c>
      <c r="AX105" t="e">
        <f>AND('Planilla_General_03-12-2012_9_3'!A1668,"AAAAAFnfzzE=")</f>
        <v>#VALUE!</v>
      </c>
      <c r="AY105" t="e">
        <f>AND('Planilla_General_03-12-2012_9_3'!B1668,"AAAAAFnfzzI=")</f>
        <v>#VALUE!</v>
      </c>
      <c r="AZ105" t="e">
        <f>AND('Planilla_General_03-12-2012_9_3'!C1668,"AAAAAFnfzzM=")</f>
        <v>#VALUE!</v>
      </c>
      <c r="BA105" t="e">
        <f>AND('Planilla_General_03-12-2012_9_3'!D1668,"AAAAAFnfzzQ=")</f>
        <v>#VALUE!</v>
      </c>
      <c r="BB105" t="e">
        <f>AND('Planilla_General_03-12-2012_9_3'!E1668,"AAAAAFnfzzU=")</f>
        <v>#VALUE!</v>
      </c>
      <c r="BC105" t="e">
        <f>AND('Planilla_General_03-12-2012_9_3'!F1668,"AAAAAFnfzzY=")</f>
        <v>#VALUE!</v>
      </c>
      <c r="BD105" t="e">
        <f>AND('Planilla_General_03-12-2012_9_3'!G1668,"AAAAAFnfzzc=")</f>
        <v>#VALUE!</v>
      </c>
      <c r="BE105" t="e">
        <f>AND('Planilla_General_03-12-2012_9_3'!H1668,"AAAAAFnfzzg=")</f>
        <v>#VALUE!</v>
      </c>
      <c r="BF105" t="e">
        <f>AND('Planilla_General_03-12-2012_9_3'!I1668,"AAAAAFnfzzk=")</f>
        <v>#VALUE!</v>
      </c>
      <c r="BG105" t="e">
        <f>AND('Planilla_General_03-12-2012_9_3'!J1668,"AAAAAFnfzzo=")</f>
        <v>#VALUE!</v>
      </c>
      <c r="BH105" t="e">
        <f>AND('Planilla_General_03-12-2012_9_3'!K1668,"AAAAAFnfzzs=")</f>
        <v>#VALUE!</v>
      </c>
      <c r="BI105" t="e">
        <f>AND('Planilla_General_03-12-2012_9_3'!L1668,"AAAAAFnfzzw=")</f>
        <v>#VALUE!</v>
      </c>
      <c r="BJ105" t="e">
        <f>AND('Planilla_General_03-12-2012_9_3'!M1668,"AAAAAFnfzz0=")</f>
        <v>#VALUE!</v>
      </c>
      <c r="BK105" t="e">
        <f>AND('Planilla_General_03-12-2012_9_3'!N1668,"AAAAAFnfzz4=")</f>
        <v>#VALUE!</v>
      </c>
      <c r="BL105" t="e">
        <f>AND('Planilla_General_03-12-2012_9_3'!O1668,"AAAAAFnfzz8=")</f>
        <v>#VALUE!</v>
      </c>
      <c r="BM105">
        <f>IF('Planilla_General_03-12-2012_9_3'!1669:1669,"AAAAAFnfz0A=",0)</f>
        <v>0</v>
      </c>
      <c r="BN105" t="e">
        <f>AND('Planilla_General_03-12-2012_9_3'!A1669,"AAAAAFnfz0E=")</f>
        <v>#VALUE!</v>
      </c>
      <c r="BO105" t="e">
        <f>AND('Planilla_General_03-12-2012_9_3'!B1669,"AAAAAFnfz0I=")</f>
        <v>#VALUE!</v>
      </c>
      <c r="BP105" t="e">
        <f>AND('Planilla_General_03-12-2012_9_3'!C1669,"AAAAAFnfz0M=")</f>
        <v>#VALUE!</v>
      </c>
      <c r="BQ105" t="e">
        <f>AND('Planilla_General_03-12-2012_9_3'!D1669,"AAAAAFnfz0Q=")</f>
        <v>#VALUE!</v>
      </c>
      <c r="BR105" t="e">
        <f>AND('Planilla_General_03-12-2012_9_3'!E1669,"AAAAAFnfz0U=")</f>
        <v>#VALUE!</v>
      </c>
      <c r="BS105" t="e">
        <f>AND('Planilla_General_03-12-2012_9_3'!F1669,"AAAAAFnfz0Y=")</f>
        <v>#VALUE!</v>
      </c>
      <c r="BT105" t="e">
        <f>AND('Planilla_General_03-12-2012_9_3'!G1669,"AAAAAFnfz0c=")</f>
        <v>#VALUE!</v>
      </c>
      <c r="BU105" t="e">
        <f>AND('Planilla_General_03-12-2012_9_3'!H1669,"AAAAAFnfz0g=")</f>
        <v>#VALUE!</v>
      </c>
      <c r="BV105" t="e">
        <f>AND('Planilla_General_03-12-2012_9_3'!I1669,"AAAAAFnfz0k=")</f>
        <v>#VALUE!</v>
      </c>
      <c r="BW105" t="e">
        <f>AND('Planilla_General_03-12-2012_9_3'!J1669,"AAAAAFnfz0o=")</f>
        <v>#VALUE!</v>
      </c>
      <c r="BX105" t="e">
        <f>AND('Planilla_General_03-12-2012_9_3'!K1669,"AAAAAFnfz0s=")</f>
        <v>#VALUE!</v>
      </c>
      <c r="BY105" t="e">
        <f>AND('Planilla_General_03-12-2012_9_3'!L1669,"AAAAAFnfz0w=")</f>
        <v>#VALUE!</v>
      </c>
      <c r="BZ105" t="e">
        <f>AND('Planilla_General_03-12-2012_9_3'!M1669,"AAAAAFnfz00=")</f>
        <v>#VALUE!</v>
      </c>
      <c r="CA105" t="e">
        <f>AND('Planilla_General_03-12-2012_9_3'!N1669,"AAAAAFnfz04=")</f>
        <v>#VALUE!</v>
      </c>
      <c r="CB105" t="e">
        <f>AND('Planilla_General_03-12-2012_9_3'!O1669,"AAAAAFnfz08=")</f>
        <v>#VALUE!</v>
      </c>
      <c r="CC105">
        <f>IF('Planilla_General_03-12-2012_9_3'!1670:1670,"AAAAAFnfz1A=",0)</f>
        <v>0</v>
      </c>
      <c r="CD105" t="e">
        <f>AND('Planilla_General_03-12-2012_9_3'!A1670,"AAAAAFnfz1E=")</f>
        <v>#VALUE!</v>
      </c>
      <c r="CE105" t="e">
        <f>AND('Planilla_General_03-12-2012_9_3'!B1670,"AAAAAFnfz1I=")</f>
        <v>#VALUE!</v>
      </c>
      <c r="CF105" t="e">
        <f>AND('Planilla_General_03-12-2012_9_3'!C1670,"AAAAAFnfz1M=")</f>
        <v>#VALUE!</v>
      </c>
      <c r="CG105" t="e">
        <f>AND('Planilla_General_03-12-2012_9_3'!D1670,"AAAAAFnfz1Q=")</f>
        <v>#VALUE!</v>
      </c>
      <c r="CH105" t="e">
        <f>AND('Planilla_General_03-12-2012_9_3'!E1670,"AAAAAFnfz1U=")</f>
        <v>#VALUE!</v>
      </c>
      <c r="CI105" t="e">
        <f>AND('Planilla_General_03-12-2012_9_3'!F1670,"AAAAAFnfz1Y=")</f>
        <v>#VALUE!</v>
      </c>
      <c r="CJ105" t="e">
        <f>AND('Planilla_General_03-12-2012_9_3'!G1670,"AAAAAFnfz1c=")</f>
        <v>#VALUE!</v>
      </c>
      <c r="CK105" t="e">
        <f>AND('Planilla_General_03-12-2012_9_3'!H1670,"AAAAAFnfz1g=")</f>
        <v>#VALUE!</v>
      </c>
      <c r="CL105" t="e">
        <f>AND('Planilla_General_03-12-2012_9_3'!I1670,"AAAAAFnfz1k=")</f>
        <v>#VALUE!</v>
      </c>
      <c r="CM105" t="e">
        <f>AND('Planilla_General_03-12-2012_9_3'!J1670,"AAAAAFnfz1o=")</f>
        <v>#VALUE!</v>
      </c>
      <c r="CN105" t="e">
        <f>AND('Planilla_General_03-12-2012_9_3'!K1670,"AAAAAFnfz1s=")</f>
        <v>#VALUE!</v>
      </c>
      <c r="CO105" t="e">
        <f>AND('Planilla_General_03-12-2012_9_3'!L1670,"AAAAAFnfz1w=")</f>
        <v>#VALUE!</v>
      </c>
      <c r="CP105" t="e">
        <f>AND('Planilla_General_03-12-2012_9_3'!M1670,"AAAAAFnfz10=")</f>
        <v>#VALUE!</v>
      </c>
      <c r="CQ105" t="e">
        <f>AND('Planilla_General_03-12-2012_9_3'!N1670,"AAAAAFnfz14=")</f>
        <v>#VALUE!</v>
      </c>
      <c r="CR105" t="e">
        <f>AND('Planilla_General_03-12-2012_9_3'!O1670,"AAAAAFnfz18=")</f>
        <v>#VALUE!</v>
      </c>
      <c r="CS105">
        <f>IF('Planilla_General_03-12-2012_9_3'!1671:1671,"AAAAAFnfz2A=",0)</f>
        <v>0</v>
      </c>
      <c r="CT105" t="e">
        <f>AND('Planilla_General_03-12-2012_9_3'!A1671,"AAAAAFnfz2E=")</f>
        <v>#VALUE!</v>
      </c>
      <c r="CU105" t="e">
        <f>AND('Planilla_General_03-12-2012_9_3'!B1671,"AAAAAFnfz2I=")</f>
        <v>#VALUE!</v>
      </c>
      <c r="CV105" t="e">
        <f>AND('Planilla_General_03-12-2012_9_3'!C1671,"AAAAAFnfz2M=")</f>
        <v>#VALUE!</v>
      </c>
      <c r="CW105" t="e">
        <f>AND('Planilla_General_03-12-2012_9_3'!D1671,"AAAAAFnfz2Q=")</f>
        <v>#VALUE!</v>
      </c>
      <c r="CX105" t="e">
        <f>AND('Planilla_General_03-12-2012_9_3'!E1671,"AAAAAFnfz2U=")</f>
        <v>#VALUE!</v>
      </c>
      <c r="CY105" t="e">
        <f>AND('Planilla_General_03-12-2012_9_3'!F1671,"AAAAAFnfz2Y=")</f>
        <v>#VALUE!</v>
      </c>
      <c r="CZ105" t="e">
        <f>AND('Planilla_General_03-12-2012_9_3'!G1671,"AAAAAFnfz2c=")</f>
        <v>#VALUE!</v>
      </c>
      <c r="DA105" t="e">
        <f>AND('Planilla_General_03-12-2012_9_3'!H1671,"AAAAAFnfz2g=")</f>
        <v>#VALUE!</v>
      </c>
      <c r="DB105" t="e">
        <f>AND('Planilla_General_03-12-2012_9_3'!I1671,"AAAAAFnfz2k=")</f>
        <v>#VALUE!</v>
      </c>
      <c r="DC105" t="e">
        <f>AND('Planilla_General_03-12-2012_9_3'!J1671,"AAAAAFnfz2o=")</f>
        <v>#VALUE!</v>
      </c>
      <c r="DD105" t="e">
        <f>AND('Planilla_General_03-12-2012_9_3'!K1671,"AAAAAFnfz2s=")</f>
        <v>#VALUE!</v>
      </c>
      <c r="DE105" t="e">
        <f>AND('Planilla_General_03-12-2012_9_3'!L1671,"AAAAAFnfz2w=")</f>
        <v>#VALUE!</v>
      </c>
      <c r="DF105" t="e">
        <f>AND('Planilla_General_03-12-2012_9_3'!M1671,"AAAAAFnfz20=")</f>
        <v>#VALUE!</v>
      </c>
      <c r="DG105" t="e">
        <f>AND('Planilla_General_03-12-2012_9_3'!N1671,"AAAAAFnfz24=")</f>
        <v>#VALUE!</v>
      </c>
      <c r="DH105" t="e">
        <f>AND('Planilla_General_03-12-2012_9_3'!O1671,"AAAAAFnfz28=")</f>
        <v>#VALUE!</v>
      </c>
      <c r="DI105">
        <f>IF('Planilla_General_03-12-2012_9_3'!1672:1672,"AAAAAFnfz3A=",0)</f>
        <v>0</v>
      </c>
      <c r="DJ105" t="e">
        <f>AND('Planilla_General_03-12-2012_9_3'!A1672,"AAAAAFnfz3E=")</f>
        <v>#VALUE!</v>
      </c>
      <c r="DK105" t="e">
        <f>AND('Planilla_General_03-12-2012_9_3'!B1672,"AAAAAFnfz3I=")</f>
        <v>#VALUE!</v>
      </c>
      <c r="DL105" t="e">
        <f>AND('Planilla_General_03-12-2012_9_3'!C1672,"AAAAAFnfz3M=")</f>
        <v>#VALUE!</v>
      </c>
      <c r="DM105" t="e">
        <f>AND('Planilla_General_03-12-2012_9_3'!D1672,"AAAAAFnfz3Q=")</f>
        <v>#VALUE!</v>
      </c>
      <c r="DN105" t="e">
        <f>AND('Planilla_General_03-12-2012_9_3'!E1672,"AAAAAFnfz3U=")</f>
        <v>#VALUE!</v>
      </c>
      <c r="DO105" t="e">
        <f>AND('Planilla_General_03-12-2012_9_3'!F1672,"AAAAAFnfz3Y=")</f>
        <v>#VALUE!</v>
      </c>
      <c r="DP105" t="e">
        <f>AND('Planilla_General_03-12-2012_9_3'!G1672,"AAAAAFnfz3c=")</f>
        <v>#VALUE!</v>
      </c>
      <c r="DQ105" t="e">
        <f>AND('Planilla_General_03-12-2012_9_3'!H1672,"AAAAAFnfz3g=")</f>
        <v>#VALUE!</v>
      </c>
      <c r="DR105" t="e">
        <f>AND('Planilla_General_03-12-2012_9_3'!I1672,"AAAAAFnfz3k=")</f>
        <v>#VALUE!</v>
      </c>
      <c r="DS105" t="e">
        <f>AND('Planilla_General_03-12-2012_9_3'!J1672,"AAAAAFnfz3o=")</f>
        <v>#VALUE!</v>
      </c>
      <c r="DT105" t="e">
        <f>AND('Planilla_General_03-12-2012_9_3'!K1672,"AAAAAFnfz3s=")</f>
        <v>#VALUE!</v>
      </c>
      <c r="DU105" t="e">
        <f>AND('Planilla_General_03-12-2012_9_3'!L1672,"AAAAAFnfz3w=")</f>
        <v>#VALUE!</v>
      </c>
      <c r="DV105" t="e">
        <f>AND('Planilla_General_03-12-2012_9_3'!M1672,"AAAAAFnfz30=")</f>
        <v>#VALUE!</v>
      </c>
      <c r="DW105" t="e">
        <f>AND('Planilla_General_03-12-2012_9_3'!N1672,"AAAAAFnfz34=")</f>
        <v>#VALUE!</v>
      </c>
      <c r="DX105" t="e">
        <f>AND('Planilla_General_03-12-2012_9_3'!O1672,"AAAAAFnfz38=")</f>
        <v>#VALUE!</v>
      </c>
      <c r="DY105">
        <f>IF('Planilla_General_03-12-2012_9_3'!1673:1673,"AAAAAFnfz4A=",0)</f>
        <v>0</v>
      </c>
      <c r="DZ105" t="e">
        <f>AND('Planilla_General_03-12-2012_9_3'!A1673,"AAAAAFnfz4E=")</f>
        <v>#VALUE!</v>
      </c>
      <c r="EA105" t="e">
        <f>AND('Planilla_General_03-12-2012_9_3'!B1673,"AAAAAFnfz4I=")</f>
        <v>#VALUE!</v>
      </c>
      <c r="EB105" t="e">
        <f>AND('Planilla_General_03-12-2012_9_3'!C1673,"AAAAAFnfz4M=")</f>
        <v>#VALUE!</v>
      </c>
      <c r="EC105" t="e">
        <f>AND('Planilla_General_03-12-2012_9_3'!D1673,"AAAAAFnfz4Q=")</f>
        <v>#VALUE!</v>
      </c>
      <c r="ED105" t="e">
        <f>AND('Planilla_General_03-12-2012_9_3'!E1673,"AAAAAFnfz4U=")</f>
        <v>#VALUE!</v>
      </c>
      <c r="EE105" t="e">
        <f>AND('Planilla_General_03-12-2012_9_3'!F1673,"AAAAAFnfz4Y=")</f>
        <v>#VALUE!</v>
      </c>
      <c r="EF105" t="e">
        <f>AND('Planilla_General_03-12-2012_9_3'!G1673,"AAAAAFnfz4c=")</f>
        <v>#VALUE!</v>
      </c>
      <c r="EG105" t="e">
        <f>AND('Planilla_General_03-12-2012_9_3'!H1673,"AAAAAFnfz4g=")</f>
        <v>#VALUE!</v>
      </c>
      <c r="EH105" t="e">
        <f>AND('Planilla_General_03-12-2012_9_3'!I1673,"AAAAAFnfz4k=")</f>
        <v>#VALUE!</v>
      </c>
      <c r="EI105" t="e">
        <f>AND('Planilla_General_03-12-2012_9_3'!J1673,"AAAAAFnfz4o=")</f>
        <v>#VALUE!</v>
      </c>
      <c r="EJ105" t="e">
        <f>AND('Planilla_General_03-12-2012_9_3'!K1673,"AAAAAFnfz4s=")</f>
        <v>#VALUE!</v>
      </c>
      <c r="EK105" t="e">
        <f>AND('Planilla_General_03-12-2012_9_3'!L1673,"AAAAAFnfz4w=")</f>
        <v>#VALUE!</v>
      </c>
      <c r="EL105" t="e">
        <f>AND('Planilla_General_03-12-2012_9_3'!M1673,"AAAAAFnfz40=")</f>
        <v>#VALUE!</v>
      </c>
      <c r="EM105" t="e">
        <f>AND('Planilla_General_03-12-2012_9_3'!N1673,"AAAAAFnfz44=")</f>
        <v>#VALUE!</v>
      </c>
      <c r="EN105" t="e">
        <f>AND('Planilla_General_03-12-2012_9_3'!O1673,"AAAAAFnfz48=")</f>
        <v>#VALUE!</v>
      </c>
      <c r="EO105">
        <f>IF('Planilla_General_03-12-2012_9_3'!1674:1674,"AAAAAFnfz5A=",0)</f>
        <v>0</v>
      </c>
      <c r="EP105" t="e">
        <f>AND('Planilla_General_03-12-2012_9_3'!A1674,"AAAAAFnfz5E=")</f>
        <v>#VALUE!</v>
      </c>
      <c r="EQ105" t="e">
        <f>AND('Planilla_General_03-12-2012_9_3'!B1674,"AAAAAFnfz5I=")</f>
        <v>#VALUE!</v>
      </c>
      <c r="ER105" t="e">
        <f>AND('Planilla_General_03-12-2012_9_3'!C1674,"AAAAAFnfz5M=")</f>
        <v>#VALUE!</v>
      </c>
      <c r="ES105" t="e">
        <f>AND('Planilla_General_03-12-2012_9_3'!D1674,"AAAAAFnfz5Q=")</f>
        <v>#VALUE!</v>
      </c>
      <c r="ET105" t="e">
        <f>AND('Planilla_General_03-12-2012_9_3'!E1674,"AAAAAFnfz5U=")</f>
        <v>#VALUE!</v>
      </c>
      <c r="EU105" t="e">
        <f>AND('Planilla_General_03-12-2012_9_3'!F1674,"AAAAAFnfz5Y=")</f>
        <v>#VALUE!</v>
      </c>
      <c r="EV105" t="e">
        <f>AND('Planilla_General_03-12-2012_9_3'!G1674,"AAAAAFnfz5c=")</f>
        <v>#VALUE!</v>
      </c>
      <c r="EW105" t="e">
        <f>AND('Planilla_General_03-12-2012_9_3'!H1674,"AAAAAFnfz5g=")</f>
        <v>#VALUE!</v>
      </c>
      <c r="EX105" t="e">
        <f>AND('Planilla_General_03-12-2012_9_3'!I1674,"AAAAAFnfz5k=")</f>
        <v>#VALUE!</v>
      </c>
      <c r="EY105" t="e">
        <f>AND('Planilla_General_03-12-2012_9_3'!J1674,"AAAAAFnfz5o=")</f>
        <v>#VALUE!</v>
      </c>
      <c r="EZ105" t="e">
        <f>AND('Planilla_General_03-12-2012_9_3'!K1674,"AAAAAFnfz5s=")</f>
        <v>#VALUE!</v>
      </c>
      <c r="FA105" t="e">
        <f>AND('Planilla_General_03-12-2012_9_3'!L1674,"AAAAAFnfz5w=")</f>
        <v>#VALUE!</v>
      </c>
      <c r="FB105" t="e">
        <f>AND('Planilla_General_03-12-2012_9_3'!M1674,"AAAAAFnfz50=")</f>
        <v>#VALUE!</v>
      </c>
      <c r="FC105" t="e">
        <f>AND('Planilla_General_03-12-2012_9_3'!N1674,"AAAAAFnfz54=")</f>
        <v>#VALUE!</v>
      </c>
      <c r="FD105" t="e">
        <f>AND('Planilla_General_03-12-2012_9_3'!O1674,"AAAAAFnfz58=")</f>
        <v>#VALUE!</v>
      </c>
      <c r="FE105">
        <f>IF('Planilla_General_03-12-2012_9_3'!1675:1675,"AAAAAFnfz6A=",0)</f>
        <v>0</v>
      </c>
      <c r="FF105" t="e">
        <f>AND('Planilla_General_03-12-2012_9_3'!A1675,"AAAAAFnfz6E=")</f>
        <v>#VALUE!</v>
      </c>
      <c r="FG105" t="e">
        <f>AND('Planilla_General_03-12-2012_9_3'!B1675,"AAAAAFnfz6I=")</f>
        <v>#VALUE!</v>
      </c>
      <c r="FH105" t="e">
        <f>AND('Planilla_General_03-12-2012_9_3'!C1675,"AAAAAFnfz6M=")</f>
        <v>#VALUE!</v>
      </c>
      <c r="FI105" t="e">
        <f>AND('Planilla_General_03-12-2012_9_3'!D1675,"AAAAAFnfz6Q=")</f>
        <v>#VALUE!</v>
      </c>
      <c r="FJ105" t="e">
        <f>AND('Planilla_General_03-12-2012_9_3'!E1675,"AAAAAFnfz6U=")</f>
        <v>#VALUE!</v>
      </c>
      <c r="FK105" t="e">
        <f>AND('Planilla_General_03-12-2012_9_3'!F1675,"AAAAAFnfz6Y=")</f>
        <v>#VALUE!</v>
      </c>
      <c r="FL105" t="e">
        <f>AND('Planilla_General_03-12-2012_9_3'!G1675,"AAAAAFnfz6c=")</f>
        <v>#VALUE!</v>
      </c>
      <c r="FM105" t="e">
        <f>AND('Planilla_General_03-12-2012_9_3'!H1675,"AAAAAFnfz6g=")</f>
        <v>#VALUE!</v>
      </c>
      <c r="FN105" t="e">
        <f>AND('Planilla_General_03-12-2012_9_3'!I1675,"AAAAAFnfz6k=")</f>
        <v>#VALUE!</v>
      </c>
      <c r="FO105" t="e">
        <f>AND('Planilla_General_03-12-2012_9_3'!J1675,"AAAAAFnfz6o=")</f>
        <v>#VALUE!</v>
      </c>
      <c r="FP105" t="e">
        <f>AND('Planilla_General_03-12-2012_9_3'!K1675,"AAAAAFnfz6s=")</f>
        <v>#VALUE!</v>
      </c>
      <c r="FQ105" t="e">
        <f>AND('Planilla_General_03-12-2012_9_3'!L1675,"AAAAAFnfz6w=")</f>
        <v>#VALUE!</v>
      </c>
      <c r="FR105" t="e">
        <f>AND('Planilla_General_03-12-2012_9_3'!M1675,"AAAAAFnfz60=")</f>
        <v>#VALUE!</v>
      </c>
      <c r="FS105" t="e">
        <f>AND('Planilla_General_03-12-2012_9_3'!N1675,"AAAAAFnfz64=")</f>
        <v>#VALUE!</v>
      </c>
      <c r="FT105" t="e">
        <f>AND('Planilla_General_03-12-2012_9_3'!O1675,"AAAAAFnfz68=")</f>
        <v>#VALUE!</v>
      </c>
      <c r="FU105">
        <f>IF('Planilla_General_03-12-2012_9_3'!1676:1676,"AAAAAFnfz7A=",0)</f>
        <v>0</v>
      </c>
      <c r="FV105" t="e">
        <f>AND('Planilla_General_03-12-2012_9_3'!A1676,"AAAAAFnfz7E=")</f>
        <v>#VALUE!</v>
      </c>
      <c r="FW105" t="e">
        <f>AND('Planilla_General_03-12-2012_9_3'!B1676,"AAAAAFnfz7I=")</f>
        <v>#VALUE!</v>
      </c>
      <c r="FX105" t="e">
        <f>AND('Planilla_General_03-12-2012_9_3'!C1676,"AAAAAFnfz7M=")</f>
        <v>#VALUE!</v>
      </c>
      <c r="FY105" t="e">
        <f>AND('Planilla_General_03-12-2012_9_3'!D1676,"AAAAAFnfz7Q=")</f>
        <v>#VALUE!</v>
      </c>
      <c r="FZ105" t="e">
        <f>AND('Planilla_General_03-12-2012_9_3'!E1676,"AAAAAFnfz7U=")</f>
        <v>#VALUE!</v>
      </c>
      <c r="GA105" t="e">
        <f>AND('Planilla_General_03-12-2012_9_3'!F1676,"AAAAAFnfz7Y=")</f>
        <v>#VALUE!</v>
      </c>
      <c r="GB105" t="e">
        <f>AND('Planilla_General_03-12-2012_9_3'!G1676,"AAAAAFnfz7c=")</f>
        <v>#VALUE!</v>
      </c>
      <c r="GC105" t="e">
        <f>AND('Planilla_General_03-12-2012_9_3'!H1676,"AAAAAFnfz7g=")</f>
        <v>#VALUE!</v>
      </c>
      <c r="GD105" t="e">
        <f>AND('Planilla_General_03-12-2012_9_3'!I1676,"AAAAAFnfz7k=")</f>
        <v>#VALUE!</v>
      </c>
      <c r="GE105" t="e">
        <f>AND('Planilla_General_03-12-2012_9_3'!J1676,"AAAAAFnfz7o=")</f>
        <v>#VALUE!</v>
      </c>
      <c r="GF105" t="e">
        <f>AND('Planilla_General_03-12-2012_9_3'!K1676,"AAAAAFnfz7s=")</f>
        <v>#VALUE!</v>
      </c>
      <c r="GG105" t="e">
        <f>AND('Planilla_General_03-12-2012_9_3'!L1676,"AAAAAFnfz7w=")</f>
        <v>#VALUE!</v>
      </c>
      <c r="GH105" t="e">
        <f>AND('Planilla_General_03-12-2012_9_3'!M1676,"AAAAAFnfz70=")</f>
        <v>#VALUE!</v>
      </c>
      <c r="GI105" t="e">
        <f>AND('Planilla_General_03-12-2012_9_3'!N1676,"AAAAAFnfz74=")</f>
        <v>#VALUE!</v>
      </c>
      <c r="GJ105" t="e">
        <f>AND('Planilla_General_03-12-2012_9_3'!O1676,"AAAAAFnfz78=")</f>
        <v>#VALUE!</v>
      </c>
      <c r="GK105">
        <f>IF('Planilla_General_03-12-2012_9_3'!1677:1677,"AAAAAFnfz8A=",0)</f>
        <v>0</v>
      </c>
      <c r="GL105" t="e">
        <f>AND('Planilla_General_03-12-2012_9_3'!A1677,"AAAAAFnfz8E=")</f>
        <v>#VALUE!</v>
      </c>
      <c r="GM105" t="e">
        <f>AND('Planilla_General_03-12-2012_9_3'!B1677,"AAAAAFnfz8I=")</f>
        <v>#VALUE!</v>
      </c>
      <c r="GN105" t="e">
        <f>AND('Planilla_General_03-12-2012_9_3'!C1677,"AAAAAFnfz8M=")</f>
        <v>#VALUE!</v>
      </c>
      <c r="GO105" t="e">
        <f>AND('Planilla_General_03-12-2012_9_3'!D1677,"AAAAAFnfz8Q=")</f>
        <v>#VALUE!</v>
      </c>
      <c r="GP105" t="e">
        <f>AND('Planilla_General_03-12-2012_9_3'!E1677,"AAAAAFnfz8U=")</f>
        <v>#VALUE!</v>
      </c>
      <c r="GQ105" t="e">
        <f>AND('Planilla_General_03-12-2012_9_3'!F1677,"AAAAAFnfz8Y=")</f>
        <v>#VALUE!</v>
      </c>
      <c r="GR105" t="e">
        <f>AND('Planilla_General_03-12-2012_9_3'!G1677,"AAAAAFnfz8c=")</f>
        <v>#VALUE!</v>
      </c>
      <c r="GS105" t="e">
        <f>AND('Planilla_General_03-12-2012_9_3'!H1677,"AAAAAFnfz8g=")</f>
        <v>#VALUE!</v>
      </c>
      <c r="GT105" t="e">
        <f>AND('Planilla_General_03-12-2012_9_3'!I1677,"AAAAAFnfz8k=")</f>
        <v>#VALUE!</v>
      </c>
      <c r="GU105" t="e">
        <f>AND('Planilla_General_03-12-2012_9_3'!J1677,"AAAAAFnfz8o=")</f>
        <v>#VALUE!</v>
      </c>
      <c r="GV105" t="e">
        <f>AND('Planilla_General_03-12-2012_9_3'!K1677,"AAAAAFnfz8s=")</f>
        <v>#VALUE!</v>
      </c>
      <c r="GW105" t="e">
        <f>AND('Planilla_General_03-12-2012_9_3'!L1677,"AAAAAFnfz8w=")</f>
        <v>#VALUE!</v>
      </c>
      <c r="GX105" t="e">
        <f>AND('Planilla_General_03-12-2012_9_3'!M1677,"AAAAAFnfz80=")</f>
        <v>#VALUE!</v>
      </c>
      <c r="GY105" t="e">
        <f>AND('Planilla_General_03-12-2012_9_3'!N1677,"AAAAAFnfz84=")</f>
        <v>#VALUE!</v>
      </c>
      <c r="GZ105" t="e">
        <f>AND('Planilla_General_03-12-2012_9_3'!O1677,"AAAAAFnfz88=")</f>
        <v>#VALUE!</v>
      </c>
      <c r="HA105">
        <f>IF('Planilla_General_03-12-2012_9_3'!1678:1678,"AAAAAFnfz9A=",0)</f>
        <v>0</v>
      </c>
      <c r="HB105" t="e">
        <f>AND('Planilla_General_03-12-2012_9_3'!A1678,"AAAAAFnfz9E=")</f>
        <v>#VALUE!</v>
      </c>
      <c r="HC105" t="e">
        <f>AND('Planilla_General_03-12-2012_9_3'!B1678,"AAAAAFnfz9I=")</f>
        <v>#VALUE!</v>
      </c>
      <c r="HD105" t="e">
        <f>AND('Planilla_General_03-12-2012_9_3'!C1678,"AAAAAFnfz9M=")</f>
        <v>#VALUE!</v>
      </c>
      <c r="HE105" t="e">
        <f>AND('Planilla_General_03-12-2012_9_3'!D1678,"AAAAAFnfz9Q=")</f>
        <v>#VALUE!</v>
      </c>
      <c r="HF105" t="e">
        <f>AND('Planilla_General_03-12-2012_9_3'!E1678,"AAAAAFnfz9U=")</f>
        <v>#VALUE!</v>
      </c>
      <c r="HG105" t="e">
        <f>AND('Planilla_General_03-12-2012_9_3'!F1678,"AAAAAFnfz9Y=")</f>
        <v>#VALUE!</v>
      </c>
      <c r="HH105" t="e">
        <f>AND('Planilla_General_03-12-2012_9_3'!G1678,"AAAAAFnfz9c=")</f>
        <v>#VALUE!</v>
      </c>
      <c r="HI105" t="e">
        <f>AND('Planilla_General_03-12-2012_9_3'!H1678,"AAAAAFnfz9g=")</f>
        <v>#VALUE!</v>
      </c>
      <c r="HJ105" t="e">
        <f>AND('Planilla_General_03-12-2012_9_3'!I1678,"AAAAAFnfz9k=")</f>
        <v>#VALUE!</v>
      </c>
      <c r="HK105" t="e">
        <f>AND('Planilla_General_03-12-2012_9_3'!J1678,"AAAAAFnfz9o=")</f>
        <v>#VALUE!</v>
      </c>
      <c r="HL105" t="e">
        <f>AND('Planilla_General_03-12-2012_9_3'!K1678,"AAAAAFnfz9s=")</f>
        <v>#VALUE!</v>
      </c>
      <c r="HM105" t="e">
        <f>AND('Planilla_General_03-12-2012_9_3'!L1678,"AAAAAFnfz9w=")</f>
        <v>#VALUE!</v>
      </c>
      <c r="HN105" t="e">
        <f>AND('Planilla_General_03-12-2012_9_3'!M1678,"AAAAAFnfz90=")</f>
        <v>#VALUE!</v>
      </c>
      <c r="HO105" t="e">
        <f>AND('Planilla_General_03-12-2012_9_3'!N1678,"AAAAAFnfz94=")</f>
        <v>#VALUE!</v>
      </c>
      <c r="HP105" t="e">
        <f>AND('Planilla_General_03-12-2012_9_3'!O1678,"AAAAAFnfz98=")</f>
        <v>#VALUE!</v>
      </c>
      <c r="HQ105">
        <f>IF('Planilla_General_03-12-2012_9_3'!1679:1679,"AAAAAFnfz+A=",0)</f>
        <v>0</v>
      </c>
      <c r="HR105" t="e">
        <f>AND('Planilla_General_03-12-2012_9_3'!A1679,"AAAAAFnfz+E=")</f>
        <v>#VALUE!</v>
      </c>
      <c r="HS105" t="e">
        <f>AND('Planilla_General_03-12-2012_9_3'!B1679,"AAAAAFnfz+I=")</f>
        <v>#VALUE!</v>
      </c>
      <c r="HT105" t="e">
        <f>AND('Planilla_General_03-12-2012_9_3'!C1679,"AAAAAFnfz+M=")</f>
        <v>#VALUE!</v>
      </c>
      <c r="HU105" t="e">
        <f>AND('Planilla_General_03-12-2012_9_3'!D1679,"AAAAAFnfz+Q=")</f>
        <v>#VALUE!</v>
      </c>
      <c r="HV105" t="e">
        <f>AND('Planilla_General_03-12-2012_9_3'!E1679,"AAAAAFnfz+U=")</f>
        <v>#VALUE!</v>
      </c>
      <c r="HW105" t="e">
        <f>AND('Planilla_General_03-12-2012_9_3'!F1679,"AAAAAFnfz+Y=")</f>
        <v>#VALUE!</v>
      </c>
      <c r="HX105" t="e">
        <f>AND('Planilla_General_03-12-2012_9_3'!G1679,"AAAAAFnfz+c=")</f>
        <v>#VALUE!</v>
      </c>
      <c r="HY105" t="e">
        <f>AND('Planilla_General_03-12-2012_9_3'!H1679,"AAAAAFnfz+g=")</f>
        <v>#VALUE!</v>
      </c>
      <c r="HZ105" t="e">
        <f>AND('Planilla_General_03-12-2012_9_3'!I1679,"AAAAAFnfz+k=")</f>
        <v>#VALUE!</v>
      </c>
      <c r="IA105" t="e">
        <f>AND('Planilla_General_03-12-2012_9_3'!J1679,"AAAAAFnfz+o=")</f>
        <v>#VALUE!</v>
      </c>
      <c r="IB105" t="e">
        <f>AND('Planilla_General_03-12-2012_9_3'!K1679,"AAAAAFnfz+s=")</f>
        <v>#VALUE!</v>
      </c>
      <c r="IC105" t="e">
        <f>AND('Planilla_General_03-12-2012_9_3'!L1679,"AAAAAFnfz+w=")</f>
        <v>#VALUE!</v>
      </c>
      <c r="ID105" t="e">
        <f>AND('Planilla_General_03-12-2012_9_3'!M1679,"AAAAAFnfz+0=")</f>
        <v>#VALUE!</v>
      </c>
      <c r="IE105" t="e">
        <f>AND('Planilla_General_03-12-2012_9_3'!N1679,"AAAAAFnfz+4=")</f>
        <v>#VALUE!</v>
      </c>
      <c r="IF105" t="e">
        <f>AND('Planilla_General_03-12-2012_9_3'!O1679,"AAAAAFnfz+8=")</f>
        <v>#VALUE!</v>
      </c>
      <c r="IG105">
        <f>IF('Planilla_General_03-12-2012_9_3'!1680:1680,"AAAAAFnfz/A=",0)</f>
        <v>0</v>
      </c>
      <c r="IH105" t="e">
        <f>AND('Planilla_General_03-12-2012_9_3'!A1680,"AAAAAFnfz/E=")</f>
        <v>#VALUE!</v>
      </c>
      <c r="II105" t="e">
        <f>AND('Planilla_General_03-12-2012_9_3'!B1680,"AAAAAFnfz/I=")</f>
        <v>#VALUE!</v>
      </c>
      <c r="IJ105" t="e">
        <f>AND('Planilla_General_03-12-2012_9_3'!C1680,"AAAAAFnfz/M=")</f>
        <v>#VALUE!</v>
      </c>
      <c r="IK105" t="e">
        <f>AND('Planilla_General_03-12-2012_9_3'!D1680,"AAAAAFnfz/Q=")</f>
        <v>#VALUE!</v>
      </c>
      <c r="IL105" t="e">
        <f>AND('Planilla_General_03-12-2012_9_3'!E1680,"AAAAAFnfz/U=")</f>
        <v>#VALUE!</v>
      </c>
      <c r="IM105" t="e">
        <f>AND('Planilla_General_03-12-2012_9_3'!F1680,"AAAAAFnfz/Y=")</f>
        <v>#VALUE!</v>
      </c>
      <c r="IN105" t="e">
        <f>AND('Planilla_General_03-12-2012_9_3'!G1680,"AAAAAFnfz/c=")</f>
        <v>#VALUE!</v>
      </c>
      <c r="IO105" t="e">
        <f>AND('Planilla_General_03-12-2012_9_3'!H1680,"AAAAAFnfz/g=")</f>
        <v>#VALUE!</v>
      </c>
      <c r="IP105" t="e">
        <f>AND('Planilla_General_03-12-2012_9_3'!I1680,"AAAAAFnfz/k=")</f>
        <v>#VALUE!</v>
      </c>
      <c r="IQ105" t="e">
        <f>AND('Planilla_General_03-12-2012_9_3'!J1680,"AAAAAFnfz/o=")</f>
        <v>#VALUE!</v>
      </c>
      <c r="IR105" t="e">
        <f>AND('Planilla_General_03-12-2012_9_3'!K1680,"AAAAAFnfz/s=")</f>
        <v>#VALUE!</v>
      </c>
      <c r="IS105" t="e">
        <f>AND('Planilla_General_03-12-2012_9_3'!L1680,"AAAAAFnfz/w=")</f>
        <v>#VALUE!</v>
      </c>
      <c r="IT105" t="e">
        <f>AND('Planilla_General_03-12-2012_9_3'!M1680,"AAAAAFnfz/0=")</f>
        <v>#VALUE!</v>
      </c>
      <c r="IU105" t="e">
        <f>AND('Planilla_General_03-12-2012_9_3'!N1680,"AAAAAFnfz/4=")</f>
        <v>#VALUE!</v>
      </c>
      <c r="IV105" t="e">
        <f>AND('Planilla_General_03-12-2012_9_3'!O1680,"AAAAAFnfz/8=")</f>
        <v>#VALUE!</v>
      </c>
    </row>
    <row r="106" spans="1:256" x14ac:dyDescent="0.25">
      <c r="A106" t="e">
        <f>IF('Planilla_General_03-12-2012_9_3'!1681:1681,"AAAAAH7HdwA=",0)</f>
        <v>#VALUE!</v>
      </c>
      <c r="B106" t="e">
        <f>AND('Planilla_General_03-12-2012_9_3'!A1681,"AAAAAH7HdwE=")</f>
        <v>#VALUE!</v>
      </c>
      <c r="C106" t="e">
        <f>AND('Planilla_General_03-12-2012_9_3'!B1681,"AAAAAH7HdwI=")</f>
        <v>#VALUE!</v>
      </c>
      <c r="D106" t="e">
        <f>AND('Planilla_General_03-12-2012_9_3'!C1681,"AAAAAH7HdwM=")</f>
        <v>#VALUE!</v>
      </c>
      <c r="E106" t="e">
        <f>AND('Planilla_General_03-12-2012_9_3'!D1681,"AAAAAH7HdwQ=")</f>
        <v>#VALUE!</v>
      </c>
      <c r="F106" t="e">
        <f>AND('Planilla_General_03-12-2012_9_3'!E1681,"AAAAAH7HdwU=")</f>
        <v>#VALUE!</v>
      </c>
      <c r="G106" t="e">
        <f>AND('Planilla_General_03-12-2012_9_3'!F1681,"AAAAAH7HdwY=")</f>
        <v>#VALUE!</v>
      </c>
      <c r="H106" t="e">
        <f>AND('Planilla_General_03-12-2012_9_3'!G1681,"AAAAAH7Hdwc=")</f>
        <v>#VALUE!</v>
      </c>
      <c r="I106" t="e">
        <f>AND('Planilla_General_03-12-2012_9_3'!H1681,"AAAAAH7Hdwg=")</f>
        <v>#VALUE!</v>
      </c>
      <c r="J106" t="e">
        <f>AND('Planilla_General_03-12-2012_9_3'!I1681,"AAAAAH7Hdwk=")</f>
        <v>#VALUE!</v>
      </c>
      <c r="K106" t="e">
        <f>AND('Planilla_General_03-12-2012_9_3'!J1681,"AAAAAH7Hdwo=")</f>
        <v>#VALUE!</v>
      </c>
      <c r="L106" t="e">
        <f>AND('Planilla_General_03-12-2012_9_3'!K1681,"AAAAAH7Hdws=")</f>
        <v>#VALUE!</v>
      </c>
      <c r="M106" t="e">
        <f>AND('Planilla_General_03-12-2012_9_3'!L1681,"AAAAAH7Hdww=")</f>
        <v>#VALUE!</v>
      </c>
      <c r="N106" t="e">
        <f>AND('Planilla_General_03-12-2012_9_3'!M1681,"AAAAAH7Hdw0=")</f>
        <v>#VALUE!</v>
      </c>
      <c r="O106" t="e">
        <f>AND('Planilla_General_03-12-2012_9_3'!N1681,"AAAAAH7Hdw4=")</f>
        <v>#VALUE!</v>
      </c>
      <c r="P106" t="e">
        <f>AND('Planilla_General_03-12-2012_9_3'!O1681,"AAAAAH7Hdw8=")</f>
        <v>#VALUE!</v>
      </c>
      <c r="Q106">
        <f>IF('Planilla_General_03-12-2012_9_3'!1682:1682,"AAAAAH7HdxA=",0)</f>
        <v>0</v>
      </c>
      <c r="R106" t="e">
        <f>AND('Planilla_General_03-12-2012_9_3'!A1682,"AAAAAH7HdxE=")</f>
        <v>#VALUE!</v>
      </c>
      <c r="S106" t="e">
        <f>AND('Planilla_General_03-12-2012_9_3'!B1682,"AAAAAH7HdxI=")</f>
        <v>#VALUE!</v>
      </c>
      <c r="T106" t="e">
        <f>AND('Planilla_General_03-12-2012_9_3'!C1682,"AAAAAH7HdxM=")</f>
        <v>#VALUE!</v>
      </c>
      <c r="U106" t="e">
        <f>AND('Planilla_General_03-12-2012_9_3'!D1682,"AAAAAH7HdxQ=")</f>
        <v>#VALUE!</v>
      </c>
      <c r="V106" t="e">
        <f>AND('Planilla_General_03-12-2012_9_3'!E1682,"AAAAAH7HdxU=")</f>
        <v>#VALUE!</v>
      </c>
      <c r="W106" t="e">
        <f>AND('Planilla_General_03-12-2012_9_3'!F1682,"AAAAAH7HdxY=")</f>
        <v>#VALUE!</v>
      </c>
      <c r="X106" t="e">
        <f>AND('Planilla_General_03-12-2012_9_3'!G1682,"AAAAAH7Hdxc=")</f>
        <v>#VALUE!</v>
      </c>
      <c r="Y106" t="e">
        <f>AND('Planilla_General_03-12-2012_9_3'!H1682,"AAAAAH7Hdxg=")</f>
        <v>#VALUE!</v>
      </c>
      <c r="Z106" t="e">
        <f>AND('Planilla_General_03-12-2012_9_3'!I1682,"AAAAAH7Hdxk=")</f>
        <v>#VALUE!</v>
      </c>
      <c r="AA106" t="e">
        <f>AND('Planilla_General_03-12-2012_9_3'!J1682,"AAAAAH7Hdxo=")</f>
        <v>#VALUE!</v>
      </c>
      <c r="AB106" t="e">
        <f>AND('Planilla_General_03-12-2012_9_3'!K1682,"AAAAAH7Hdxs=")</f>
        <v>#VALUE!</v>
      </c>
      <c r="AC106" t="e">
        <f>AND('Planilla_General_03-12-2012_9_3'!L1682,"AAAAAH7Hdxw=")</f>
        <v>#VALUE!</v>
      </c>
      <c r="AD106" t="e">
        <f>AND('Planilla_General_03-12-2012_9_3'!M1682,"AAAAAH7Hdx0=")</f>
        <v>#VALUE!</v>
      </c>
      <c r="AE106" t="e">
        <f>AND('Planilla_General_03-12-2012_9_3'!N1682,"AAAAAH7Hdx4=")</f>
        <v>#VALUE!</v>
      </c>
      <c r="AF106" t="e">
        <f>AND('Planilla_General_03-12-2012_9_3'!O1682,"AAAAAH7Hdx8=")</f>
        <v>#VALUE!</v>
      </c>
      <c r="AG106">
        <f>IF('Planilla_General_03-12-2012_9_3'!1683:1683,"AAAAAH7HdyA=",0)</f>
        <v>0</v>
      </c>
      <c r="AH106" t="e">
        <f>AND('Planilla_General_03-12-2012_9_3'!A1683,"AAAAAH7HdyE=")</f>
        <v>#VALUE!</v>
      </c>
      <c r="AI106" t="e">
        <f>AND('Planilla_General_03-12-2012_9_3'!B1683,"AAAAAH7HdyI=")</f>
        <v>#VALUE!</v>
      </c>
      <c r="AJ106" t="e">
        <f>AND('Planilla_General_03-12-2012_9_3'!C1683,"AAAAAH7HdyM=")</f>
        <v>#VALUE!</v>
      </c>
      <c r="AK106" t="e">
        <f>AND('Planilla_General_03-12-2012_9_3'!D1683,"AAAAAH7HdyQ=")</f>
        <v>#VALUE!</v>
      </c>
      <c r="AL106" t="e">
        <f>AND('Planilla_General_03-12-2012_9_3'!E1683,"AAAAAH7HdyU=")</f>
        <v>#VALUE!</v>
      </c>
      <c r="AM106" t="e">
        <f>AND('Planilla_General_03-12-2012_9_3'!F1683,"AAAAAH7HdyY=")</f>
        <v>#VALUE!</v>
      </c>
      <c r="AN106" t="e">
        <f>AND('Planilla_General_03-12-2012_9_3'!G1683,"AAAAAH7Hdyc=")</f>
        <v>#VALUE!</v>
      </c>
      <c r="AO106" t="e">
        <f>AND('Planilla_General_03-12-2012_9_3'!H1683,"AAAAAH7Hdyg=")</f>
        <v>#VALUE!</v>
      </c>
      <c r="AP106" t="e">
        <f>AND('Planilla_General_03-12-2012_9_3'!I1683,"AAAAAH7Hdyk=")</f>
        <v>#VALUE!</v>
      </c>
      <c r="AQ106" t="e">
        <f>AND('Planilla_General_03-12-2012_9_3'!J1683,"AAAAAH7Hdyo=")</f>
        <v>#VALUE!</v>
      </c>
      <c r="AR106" t="e">
        <f>AND('Planilla_General_03-12-2012_9_3'!K1683,"AAAAAH7Hdys=")</f>
        <v>#VALUE!</v>
      </c>
      <c r="AS106" t="e">
        <f>AND('Planilla_General_03-12-2012_9_3'!L1683,"AAAAAH7Hdyw=")</f>
        <v>#VALUE!</v>
      </c>
      <c r="AT106" t="e">
        <f>AND('Planilla_General_03-12-2012_9_3'!M1683,"AAAAAH7Hdy0=")</f>
        <v>#VALUE!</v>
      </c>
      <c r="AU106" t="e">
        <f>AND('Planilla_General_03-12-2012_9_3'!N1683,"AAAAAH7Hdy4=")</f>
        <v>#VALUE!</v>
      </c>
      <c r="AV106" t="e">
        <f>AND('Planilla_General_03-12-2012_9_3'!O1683,"AAAAAH7Hdy8=")</f>
        <v>#VALUE!</v>
      </c>
      <c r="AW106">
        <f>IF('Planilla_General_03-12-2012_9_3'!1684:1684,"AAAAAH7HdzA=",0)</f>
        <v>0</v>
      </c>
      <c r="AX106" t="e">
        <f>AND('Planilla_General_03-12-2012_9_3'!A1684,"AAAAAH7HdzE=")</f>
        <v>#VALUE!</v>
      </c>
      <c r="AY106" t="e">
        <f>AND('Planilla_General_03-12-2012_9_3'!B1684,"AAAAAH7HdzI=")</f>
        <v>#VALUE!</v>
      </c>
      <c r="AZ106" t="e">
        <f>AND('Planilla_General_03-12-2012_9_3'!C1684,"AAAAAH7HdzM=")</f>
        <v>#VALUE!</v>
      </c>
      <c r="BA106" t="e">
        <f>AND('Planilla_General_03-12-2012_9_3'!D1684,"AAAAAH7HdzQ=")</f>
        <v>#VALUE!</v>
      </c>
      <c r="BB106" t="e">
        <f>AND('Planilla_General_03-12-2012_9_3'!E1684,"AAAAAH7HdzU=")</f>
        <v>#VALUE!</v>
      </c>
      <c r="BC106" t="e">
        <f>AND('Planilla_General_03-12-2012_9_3'!F1684,"AAAAAH7HdzY=")</f>
        <v>#VALUE!</v>
      </c>
      <c r="BD106" t="e">
        <f>AND('Planilla_General_03-12-2012_9_3'!G1684,"AAAAAH7Hdzc=")</f>
        <v>#VALUE!</v>
      </c>
      <c r="BE106" t="e">
        <f>AND('Planilla_General_03-12-2012_9_3'!H1684,"AAAAAH7Hdzg=")</f>
        <v>#VALUE!</v>
      </c>
      <c r="BF106" t="e">
        <f>AND('Planilla_General_03-12-2012_9_3'!I1684,"AAAAAH7Hdzk=")</f>
        <v>#VALUE!</v>
      </c>
      <c r="BG106" t="e">
        <f>AND('Planilla_General_03-12-2012_9_3'!J1684,"AAAAAH7Hdzo=")</f>
        <v>#VALUE!</v>
      </c>
      <c r="BH106" t="e">
        <f>AND('Planilla_General_03-12-2012_9_3'!K1684,"AAAAAH7Hdzs=")</f>
        <v>#VALUE!</v>
      </c>
      <c r="BI106" t="e">
        <f>AND('Planilla_General_03-12-2012_9_3'!L1684,"AAAAAH7Hdzw=")</f>
        <v>#VALUE!</v>
      </c>
      <c r="BJ106" t="e">
        <f>AND('Planilla_General_03-12-2012_9_3'!M1684,"AAAAAH7Hdz0=")</f>
        <v>#VALUE!</v>
      </c>
      <c r="BK106" t="e">
        <f>AND('Planilla_General_03-12-2012_9_3'!N1684,"AAAAAH7Hdz4=")</f>
        <v>#VALUE!</v>
      </c>
      <c r="BL106" t="e">
        <f>AND('Planilla_General_03-12-2012_9_3'!O1684,"AAAAAH7Hdz8=")</f>
        <v>#VALUE!</v>
      </c>
      <c r="BM106">
        <f>IF('Planilla_General_03-12-2012_9_3'!1685:1685,"AAAAAH7Hd0A=",0)</f>
        <v>0</v>
      </c>
      <c r="BN106" t="e">
        <f>AND('Planilla_General_03-12-2012_9_3'!A1685,"AAAAAH7Hd0E=")</f>
        <v>#VALUE!</v>
      </c>
      <c r="BO106" t="e">
        <f>AND('Planilla_General_03-12-2012_9_3'!B1685,"AAAAAH7Hd0I=")</f>
        <v>#VALUE!</v>
      </c>
      <c r="BP106" t="e">
        <f>AND('Planilla_General_03-12-2012_9_3'!C1685,"AAAAAH7Hd0M=")</f>
        <v>#VALUE!</v>
      </c>
      <c r="BQ106" t="e">
        <f>AND('Planilla_General_03-12-2012_9_3'!D1685,"AAAAAH7Hd0Q=")</f>
        <v>#VALUE!</v>
      </c>
      <c r="BR106" t="e">
        <f>AND('Planilla_General_03-12-2012_9_3'!E1685,"AAAAAH7Hd0U=")</f>
        <v>#VALUE!</v>
      </c>
      <c r="BS106" t="e">
        <f>AND('Planilla_General_03-12-2012_9_3'!F1685,"AAAAAH7Hd0Y=")</f>
        <v>#VALUE!</v>
      </c>
      <c r="BT106" t="e">
        <f>AND('Planilla_General_03-12-2012_9_3'!G1685,"AAAAAH7Hd0c=")</f>
        <v>#VALUE!</v>
      </c>
      <c r="BU106" t="e">
        <f>AND('Planilla_General_03-12-2012_9_3'!H1685,"AAAAAH7Hd0g=")</f>
        <v>#VALUE!</v>
      </c>
      <c r="BV106" t="e">
        <f>AND('Planilla_General_03-12-2012_9_3'!I1685,"AAAAAH7Hd0k=")</f>
        <v>#VALUE!</v>
      </c>
      <c r="BW106" t="e">
        <f>AND('Planilla_General_03-12-2012_9_3'!J1685,"AAAAAH7Hd0o=")</f>
        <v>#VALUE!</v>
      </c>
      <c r="BX106" t="e">
        <f>AND('Planilla_General_03-12-2012_9_3'!K1685,"AAAAAH7Hd0s=")</f>
        <v>#VALUE!</v>
      </c>
      <c r="BY106" t="e">
        <f>AND('Planilla_General_03-12-2012_9_3'!L1685,"AAAAAH7Hd0w=")</f>
        <v>#VALUE!</v>
      </c>
      <c r="BZ106" t="e">
        <f>AND('Planilla_General_03-12-2012_9_3'!M1685,"AAAAAH7Hd00=")</f>
        <v>#VALUE!</v>
      </c>
      <c r="CA106" t="e">
        <f>AND('Planilla_General_03-12-2012_9_3'!N1685,"AAAAAH7Hd04=")</f>
        <v>#VALUE!</v>
      </c>
      <c r="CB106" t="e">
        <f>AND('Planilla_General_03-12-2012_9_3'!O1685,"AAAAAH7Hd08=")</f>
        <v>#VALUE!</v>
      </c>
      <c r="CC106">
        <f>IF('Planilla_General_03-12-2012_9_3'!1686:1686,"AAAAAH7Hd1A=",0)</f>
        <v>0</v>
      </c>
      <c r="CD106" t="e">
        <f>AND('Planilla_General_03-12-2012_9_3'!A1686,"AAAAAH7Hd1E=")</f>
        <v>#VALUE!</v>
      </c>
      <c r="CE106" t="e">
        <f>AND('Planilla_General_03-12-2012_9_3'!B1686,"AAAAAH7Hd1I=")</f>
        <v>#VALUE!</v>
      </c>
      <c r="CF106" t="e">
        <f>AND('Planilla_General_03-12-2012_9_3'!C1686,"AAAAAH7Hd1M=")</f>
        <v>#VALUE!</v>
      </c>
      <c r="CG106" t="e">
        <f>AND('Planilla_General_03-12-2012_9_3'!D1686,"AAAAAH7Hd1Q=")</f>
        <v>#VALUE!</v>
      </c>
      <c r="CH106" t="e">
        <f>AND('Planilla_General_03-12-2012_9_3'!E1686,"AAAAAH7Hd1U=")</f>
        <v>#VALUE!</v>
      </c>
      <c r="CI106" t="e">
        <f>AND('Planilla_General_03-12-2012_9_3'!F1686,"AAAAAH7Hd1Y=")</f>
        <v>#VALUE!</v>
      </c>
      <c r="CJ106" t="e">
        <f>AND('Planilla_General_03-12-2012_9_3'!G1686,"AAAAAH7Hd1c=")</f>
        <v>#VALUE!</v>
      </c>
      <c r="CK106" t="e">
        <f>AND('Planilla_General_03-12-2012_9_3'!H1686,"AAAAAH7Hd1g=")</f>
        <v>#VALUE!</v>
      </c>
      <c r="CL106" t="e">
        <f>AND('Planilla_General_03-12-2012_9_3'!I1686,"AAAAAH7Hd1k=")</f>
        <v>#VALUE!</v>
      </c>
      <c r="CM106" t="e">
        <f>AND('Planilla_General_03-12-2012_9_3'!J1686,"AAAAAH7Hd1o=")</f>
        <v>#VALUE!</v>
      </c>
      <c r="CN106" t="e">
        <f>AND('Planilla_General_03-12-2012_9_3'!K1686,"AAAAAH7Hd1s=")</f>
        <v>#VALUE!</v>
      </c>
      <c r="CO106" t="e">
        <f>AND('Planilla_General_03-12-2012_9_3'!L1686,"AAAAAH7Hd1w=")</f>
        <v>#VALUE!</v>
      </c>
      <c r="CP106" t="e">
        <f>AND('Planilla_General_03-12-2012_9_3'!M1686,"AAAAAH7Hd10=")</f>
        <v>#VALUE!</v>
      </c>
      <c r="CQ106" t="e">
        <f>AND('Planilla_General_03-12-2012_9_3'!N1686,"AAAAAH7Hd14=")</f>
        <v>#VALUE!</v>
      </c>
      <c r="CR106" t="e">
        <f>AND('Planilla_General_03-12-2012_9_3'!O1686,"AAAAAH7Hd18=")</f>
        <v>#VALUE!</v>
      </c>
      <c r="CS106">
        <f>IF('Planilla_General_03-12-2012_9_3'!1687:1687,"AAAAAH7Hd2A=",0)</f>
        <v>0</v>
      </c>
      <c r="CT106" t="e">
        <f>AND('Planilla_General_03-12-2012_9_3'!A1687,"AAAAAH7Hd2E=")</f>
        <v>#VALUE!</v>
      </c>
      <c r="CU106" t="e">
        <f>AND('Planilla_General_03-12-2012_9_3'!B1687,"AAAAAH7Hd2I=")</f>
        <v>#VALUE!</v>
      </c>
      <c r="CV106" t="e">
        <f>AND('Planilla_General_03-12-2012_9_3'!C1687,"AAAAAH7Hd2M=")</f>
        <v>#VALUE!</v>
      </c>
      <c r="CW106" t="e">
        <f>AND('Planilla_General_03-12-2012_9_3'!D1687,"AAAAAH7Hd2Q=")</f>
        <v>#VALUE!</v>
      </c>
      <c r="CX106" t="e">
        <f>AND('Planilla_General_03-12-2012_9_3'!E1687,"AAAAAH7Hd2U=")</f>
        <v>#VALUE!</v>
      </c>
      <c r="CY106" t="e">
        <f>AND('Planilla_General_03-12-2012_9_3'!F1687,"AAAAAH7Hd2Y=")</f>
        <v>#VALUE!</v>
      </c>
      <c r="CZ106" t="e">
        <f>AND('Planilla_General_03-12-2012_9_3'!G1687,"AAAAAH7Hd2c=")</f>
        <v>#VALUE!</v>
      </c>
      <c r="DA106" t="e">
        <f>AND('Planilla_General_03-12-2012_9_3'!H1687,"AAAAAH7Hd2g=")</f>
        <v>#VALUE!</v>
      </c>
      <c r="DB106" t="e">
        <f>AND('Planilla_General_03-12-2012_9_3'!I1687,"AAAAAH7Hd2k=")</f>
        <v>#VALUE!</v>
      </c>
      <c r="DC106" t="e">
        <f>AND('Planilla_General_03-12-2012_9_3'!J1687,"AAAAAH7Hd2o=")</f>
        <v>#VALUE!</v>
      </c>
      <c r="DD106" t="e">
        <f>AND('Planilla_General_03-12-2012_9_3'!K1687,"AAAAAH7Hd2s=")</f>
        <v>#VALUE!</v>
      </c>
      <c r="DE106" t="e">
        <f>AND('Planilla_General_03-12-2012_9_3'!L1687,"AAAAAH7Hd2w=")</f>
        <v>#VALUE!</v>
      </c>
      <c r="DF106" t="e">
        <f>AND('Planilla_General_03-12-2012_9_3'!M1687,"AAAAAH7Hd20=")</f>
        <v>#VALUE!</v>
      </c>
      <c r="DG106" t="e">
        <f>AND('Planilla_General_03-12-2012_9_3'!N1687,"AAAAAH7Hd24=")</f>
        <v>#VALUE!</v>
      </c>
      <c r="DH106" t="e">
        <f>AND('Planilla_General_03-12-2012_9_3'!O1687,"AAAAAH7Hd28=")</f>
        <v>#VALUE!</v>
      </c>
      <c r="DI106">
        <f>IF('Planilla_General_03-12-2012_9_3'!1688:1688,"AAAAAH7Hd3A=",0)</f>
        <v>0</v>
      </c>
      <c r="DJ106" t="e">
        <f>AND('Planilla_General_03-12-2012_9_3'!A1688,"AAAAAH7Hd3E=")</f>
        <v>#VALUE!</v>
      </c>
      <c r="DK106" t="e">
        <f>AND('Planilla_General_03-12-2012_9_3'!B1688,"AAAAAH7Hd3I=")</f>
        <v>#VALUE!</v>
      </c>
      <c r="DL106" t="e">
        <f>AND('Planilla_General_03-12-2012_9_3'!C1688,"AAAAAH7Hd3M=")</f>
        <v>#VALUE!</v>
      </c>
      <c r="DM106" t="e">
        <f>AND('Planilla_General_03-12-2012_9_3'!D1688,"AAAAAH7Hd3Q=")</f>
        <v>#VALUE!</v>
      </c>
      <c r="DN106" t="e">
        <f>AND('Planilla_General_03-12-2012_9_3'!E1688,"AAAAAH7Hd3U=")</f>
        <v>#VALUE!</v>
      </c>
      <c r="DO106" t="e">
        <f>AND('Planilla_General_03-12-2012_9_3'!F1688,"AAAAAH7Hd3Y=")</f>
        <v>#VALUE!</v>
      </c>
      <c r="DP106" t="e">
        <f>AND('Planilla_General_03-12-2012_9_3'!G1688,"AAAAAH7Hd3c=")</f>
        <v>#VALUE!</v>
      </c>
      <c r="DQ106" t="e">
        <f>AND('Planilla_General_03-12-2012_9_3'!H1688,"AAAAAH7Hd3g=")</f>
        <v>#VALUE!</v>
      </c>
      <c r="DR106" t="e">
        <f>AND('Planilla_General_03-12-2012_9_3'!I1688,"AAAAAH7Hd3k=")</f>
        <v>#VALUE!</v>
      </c>
      <c r="DS106" t="e">
        <f>AND('Planilla_General_03-12-2012_9_3'!J1688,"AAAAAH7Hd3o=")</f>
        <v>#VALUE!</v>
      </c>
      <c r="DT106" t="e">
        <f>AND('Planilla_General_03-12-2012_9_3'!K1688,"AAAAAH7Hd3s=")</f>
        <v>#VALUE!</v>
      </c>
      <c r="DU106" t="e">
        <f>AND('Planilla_General_03-12-2012_9_3'!L1688,"AAAAAH7Hd3w=")</f>
        <v>#VALUE!</v>
      </c>
      <c r="DV106" t="e">
        <f>AND('Planilla_General_03-12-2012_9_3'!M1688,"AAAAAH7Hd30=")</f>
        <v>#VALUE!</v>
      </c>
      <c r="DW106" t="e">
        <f>AND('Planilla_General_03-12-2012_9_3'!N1688,"AAAAAH7Hd34=")</f>
        <v>#VALUE!</v>
      </c>
      <c r="DX106" t="e">
        <f>AND('Planilla_General_03-12-2012_9_3'!O1688,"AAAAAH7Hd38=")</f>
        <v>#VALUE!</v>
      </c>
      <c r="DY106">
        <f>IF('Planilla_General_03-12-2012_9_3'!1689:1689,"AAAAAH7Hd4A=",0)</f>
        <v>0</v>
      </c>
      <c r="DZ106" t="e">
        <f>AND('Planilla_General_03-12-2012_9_3'!A1689,"AAAAAH7Hd4E=")</f>
        <v>#VALUE!</v>
      </c>
      <c r="EA106" t="e">
        <f>AND('Planilla_General_03-12-2012_9_3'!B1689,"AAAAAH7Hd4I=")</f>
        <v>#VALUE!</v>
      </c>
      <c r="EB106" t="e">
        <f>AND('Planilla_General_03-12-2012_9_3'!C1689,"AAAAAH7Hd4M=")</f>
        <v>#VALUE!</v>
      </c>
      <c r="EC106" t="e">
        <f>AND('Planilla_General_03-12-2012_9_3'!D1689,"AAAAAH7Hd4Q=")</f>
        <v>#VALUE!</v>
      </c>
      <c r="ED106" t="e">
        <f>AND('Planilla_General_03-12-2012_9_3'!E1689,"AAAAAH7Hd4U=")</f>
        <v>#VALUE!</v>
      </c>
      <c r="EE106" t="e">
        <f>AND('Planilla_General_03-12-2012_9_3'!F1689,"AAAAAH7Hd4Y=")</f>
        <v>#VALUE!</v>
      </c>
      <c r="EF106" t="e">
        <f>AND('Planilla_General_03-12-2012_9_3'!G1689,"AAAAAH7Hd4c=")</f>
        <v>#VALUE!</v>
      </c>
      <c r="EG106" t="e">
        <f>AND('Planilla_General_03-12-2012_9_3'!H1689,"AAAAAH7Hd4g=")</f>
        <v>#VALUE!</v>
      </c>
      <c r="EH106" t="e">
        <f>AND('Planilla_General_03-12-2012_9_3'!I1689,"AAAAAH7Hd4k=")</f>
        <v>#VALUE!</v>
      </c>
      <c r="EI106" t="e">
        <f>AND('Planilla_General_03-12-2012_9_3'!J1689,"AAAAAH7Hd4o=")</f>
        <v>#VALUE!</v>
      </c>
      <c r="EJ106" t="e">
        <f>AND('Planilla_General_03-12-2012_9_3'!K1689,"AAAAAH7Hd4s=")</f>
        <v>#VALUE!</v>
      </c>
      <c r="EK106" t="e">
        <f>AND('Planilla_General_03-12-2012_9_3'!L1689,"AAAAAH7Hd4w=")</f>
        <v>#VALUE!</v>
      </c>
      <c r="EL106" t="e">
        <f>AND('Planilla_General_03-12-2012_9_3'!M1689,"AAAAAH7Hd40=")</f>
        <v>#VALUE!</v>
      </c>
      <c r="EM106" t="e">
        <f>AND('Planilla_General_03-12-2012_9_3'!N1689,"AAAAAH7Hd44=")</f>
        <v>#VALUE!</v>
      </c>
      <c r="EN106" t="e">
        <f>AND('Planilla_General_03-12-2012_9_3'!O1689,"AAAAAH7Hd48=")</f>
        <v>#VALUE!</v>
      </c>
      <c r="EO106">
        <f>IF('Planilla_General_03-12-2012_9_3'!1690:1690,"AAAAAH7Hd5A=",0)</f>
        <v>0</v>
      </c>
      <c r="EP106" t="e">
        <f>AND('Planilla_General_03-12-2012_9_3'!A1690,"AAAAAH7Hd5E=")</f>
        <v>#VALUE!</v>
      </c>
      <c r="EQ106" t="e">
        <f>AND('Planilla_General_03-12-2012_9_3'!B1690,"AAAAAH7Hd5I=")</f>
        <v>#VALUE!</v>
      </c>
      <c r="ER106" t="e">
        <f>AND('Planilla_General_03-12-2012_9_3'!C1690,"AAAAAH7Hd5M=")</f>
        <v>#VALUE!</v>
      </c>
      <c r="ES106" t="e">
        <f>AND('Planilla_General_03-12-2012_9_3'!D1690,"AAAAAH7Hd5Q=")</f>
        <v>#VALUE!</v>
      </c>
      <c r="ET106" t="e">
        <f>AND('Planilla_General_03-12-2012_9_3'!E1690,"AAAAAH7Hd5U=")</f>
        <v>#VALUE!</v>
      </c>
      <c r="EU106" t="e">
        <f>AND('Planilla_General_03-12-2012_9_3'!F1690,"AAAAAH7Hd5Y=")</f>
        <v>#VALUE!</v>
      </c>
      <c r="EV106" t="e">
        <f>AND('Planilla_General_03-12-2012_9_3'!G1690,"AAAAAH7Hd5c=")</f>
        <v>#VALUE!</v>
      </c>
      <c r="EW106" t="e">
        <f>AND('Planilla_General_03-12-2012_9_3'!H1690,"AAAAAH7Hd5g=")</f>
        <v>#VALUE!</v>
      </c>
      <c r="EX106" t="e">
        <f>AND('Planilla_General_03-12-2012_9_3'!I1690,"AAAAAH7Hd5k=")</f>
        <v>#VALUE!</v>
      </c>
      <c r="EY106" t="e">
        <f>AND('Planilla_General_03-12-2012_9_3'!J1690,"AAAAAH7Hd5o=")</f>
        <v>#VALUE!</v>
      </c>
      <c r="EZ106" t="e">
        <f>AND('Planilla_General_03-12-2012_9_3'!K1690,"AAAAAH7Hd5s=")</f>
        <v>#VALUE!</v>
      </c>
      <c r="FA106" t="e">
        <f>AND('Planilla_General_03-12-2012_9_3'!L1690,"AAAAAH7Hd5w=")</f>
        <v>#VALUE!</v>
      </c>
      <c r="FB106" t="e">
        <f>AND('Planilla_General_03-12-2012_9_3'!M1690,"AAAAAH7Hd50=")</f>
        <v>#VALUE!</v>
      </c>
      <c r="FC106" t="e">
        <f>AND('Planilla_General_03-12-2012_9_3'!N1690,"AAAAAH7Hd54=")</f>
        <v>#VALUE!</v>
      </c>
      <c r="FD106" t="e">
        <f>AND('Planilla_General_03-12-2012_9_3'!O1690,"AAAAAH7Hd58=")</f>
        <v>#VALUE!</v>
      </c>
      <c r="FE106">
        <f>IF('Planilla_General_03-12-2012_9_3'!1691:1691,"AAAAAH7Hd6A=",0)</f>
        <v>0</v>
      </c>
      <c r="FF106" t="e">
        <f>AND('Planilla_General_03-12-2012_9_3'!A1691,"AAAAAH7Hd6E=")</f>
        <v>#VALUE!</v>
      </c>
      <c r="FG106" t="e">
        <f>AND('Planilla_General_03-12-2012_9_3'!B1691,"AAAAAH7Hd6I=")</f>
        <v>#VALUE!</v>
      </c>
      <c r="FH106" t="e">
        <f>AND('Planilla_General_03-12-2012_9_3'!C1691,"AAAAAH7Hd6M=")</f>
        <v>#VALUE!</v>
      </c>
      <c r="FI106" t="e">
        <f>AND('Planilla_General_03-12-2012_9_3'!D1691,"AAAAAH7Hd6Q=")</f>
        <v>#VALUE!</v>
      </c>
      <c r="FJ106" t="e">
        <f>AND('Planilla_General_03-12-2012_9_3'!E1691,"AAAAAH7Hd6U=")</f>
        <v>#VALUE!</v>
      </c>
      <c r="FK106" t="e">
        <f>AND('Planilla_General_03-12-2012_9_3'!F1691,"AAAAAH7Hd6Y=")</f>
        <v>#VALUE!</v>
      </c>
      <c r="FL106" t="e">
        <f>AND('Planilla_General_03-12-2012_9_3'!G1691,"AAAAAH7Hd6c=")</f>
        <v>#VALUE!</v>
      </c>
      <c r="FM106" t="e">
        <f>AND('Planilla_General_03-12-2012_9_3'!H1691,"AAAAAH7Hd6g=")</f>
        <v>#VALUE!</v>
      </c>
      <c r="FN106" t="e">
        <f>AND('Planilla_General_03-12-2012_9_3'!I1691,"AAAAAH7Hd6k=")</f>
        <v>#VALUE!</v>
      </c>
      <c r="FO106" t="e">
        <f>AND('Planilla_General_03-12-2012_9_3'!J1691,"AAAAAH7Hd6o=")</f>
        <v>#VALUE!</v>
      </c>
      <c r="FP106" t="e">
        <f>AND('Planilla_General_03-12-2012_9_3'!K1691,"AAAAAH7Hd6s=")</f>
        <v>#VALUE!</v>
      </c>
      <c r="FQ106" t="e">
        <f>AND('Planilla_General_03-12-2012_9_3'!L1691,"AAAAAH7Hd6w=")</f>
        <v>#VALUE!</v>
      </c>
      <c r="FR106" t="e">
        <f>AND('Planilla_General_03-12-2012_9_3'!M1691,"AAAAAH7Hd60=")</f>
        <v>#VALUE!</v>
      </c>
      <c r="FS106" t="e">
        <f>AND('Planilla_General_03-12-2012_9_3'!N1691,"AAAAAH7Hd64=")</f>
        <v>#VALUE!</v>
      </c>
      <c r="FT106" t="e">
        <f>AND('Planilla_General_03-12-2012_9_3'!O1691,"AAAAAH7Hd68=")</f>
        <v>#VALUE!</v>
      </c>
      <c r="FU106">
        <f>IF('Planilla_General_03-12-2012_9_3'!1692:1692,"AAAAAH7Hd7A=",0)</f>
        <v>0</v>
      </c>
      <c r="FV106" t="e">
        <f>AND('Planilla_General_03-12-2012_9_3'!A1692,"AAAAAH7Hd7E=")</f>
        <v>#VALUE!</v>
      </c>
      <c r="FW106" t="e">
        <f>AND('Planilla_General_03-12-2012_9_3'!B1692,"AAAAAH7Hd7I=")</f>
        <v>#VALUE!</v>
      </c>
      <c r="FX106" t="e">
        <f>AND('Planilla_General_03-12-2012_9_3'!C1692,"AAAAAH7Hd7M=")</f>
        <v>#VALUE!</v>
      </c>
      <c r="FY106" t="e">
        <f>AND('Planilla_General_03-12-2012_9_3'!D1692,"AAAAAH7Hd7Q=")</f>
        <v>#VALUE!</v>
      </c>
      <c r="FZ106" t="e">
        <f>AND('Planilla_General_03-12-2012_9_3'!E1692,"AAAAAH7Hd7U=")</f>
        <v>#VALUE!</v>
      </c>
      <c r="GA106" t="e">
        <f>AND('Planilla_General_03-12-2012_9_3'!F1692,"AAAAAH7Hd7Y=")</f>
        <v>#VALUE!</v>
      </c>
      <c r="GB106" t="e">
        <f>AND('Planilla_General_03-12-2012_9_3'!G1692,"AAAAAH7Hd7c=")</f>
        <v>#VALUE!</v>
      </c>
      <c r="GC106" t="e">
        <f>AND('Planilla_General_03-12-2012_9_3'!H1692,"AAAAAH7Hd7g=")</f>
        <v>#VALUE!</v>
      </c>
      <c r="GD106" t="e">
        <f>AND('Planilla_General_03-12-2012_9_3'!I1692,"AAAAAH7Hd7k=")</f>
        <v>#VALUE!</v>
      </c>
      <c r="GE106" t="e">
        <f>AND('Planilla_General_03-12-2012_9_3'!J1692,"AAAAAH7Hd7o=")</f>
        <v>#VALUE!</v>
      </c>
      <c r="GF106" t="e">
        <f>AND('Planilla_General_03-12-2012_9_3'!K1692,"AAAAAH7Hd7s=")</f>
        <v>#VALUE!</v>
      </c>
      <c r="GG106" t="e">
        <f>AND('Planilla_General_03-12-2012_9_3'!L1692,"AAAAAH7Hd7w=")</f>
        <v>#VALUE!</v>
      </c>
      <c r="GH106" t="e">
        <f>AND('Planilla_General_03-12-2012_9_3'!M1692,"AAAAAH7Hd70=")</f>
        <v>#VALUE!</v>
      </c>
      <c r="GI106" t="e">
        <f>AND('Planilla_General_03-12-2012_9_3'!N1692,"AAAAAH7Hd74=")</f>
        <v>#VALUE!</v>
      </c>
      <c r="GJ106" t="e">
        <f>AND('Planilla_General_03-12-2012_9_3'!O1692,"AAAAAH7Hd78=")</f>
        <v>#VALUE!</v>
      </c>
      <c r="GK106">
        <f>IF('Planilla_General_03-12-2012_9_3'!1693:1693,"AAAAAH7Hd8A=",0)</f>
        <v>0</v>
      </c>
      <c r="GL106" t="e">
        <f>AND('Planilla_General_03-12-2012_9_3'!A1693,"AAAAAH7Hd8E=")</f>
        <v>#VALUE!</v>
      </c>
      <c r="GM106" t="e">
        <f>AND('Planilla_General_03-12-2012_9_3'!B1693,"AAAAAH7Hd8I=")</f>
        <v>#VALUE!</v>
      </c>
      <c r="GN106" t="e">
        <f>AND('Planilla_General_03-12-2012_9_3'!C1693,"AAAAAH7Hd8M=")</f>
        <v>#VALUE!</v>
      </c>
      <c r="GO106" t="e">
        <f>AND('Planilla_General_03-12-2012_9_3'!D1693,"AAAAAH7Hd8Q=")</f>
        <v>#VALUE!</v>
      </c>
      <c r="GP106" t="e">
        <f>AND('Planilla_General_03-12-2012_9_3'!E1693,"AAAAAH7Hd8U=")</f>
        <v>#VALUE!</v>
      </c>
      <c r="GQ106" t="e">
        <f>AND('Planilla_General_03-12-2012_9_3'!F1693,"AAAAAH7Hd8Y=")</f>
        <v>#VALUE!</v>
      </c>
      <c r="GR106" t="e">
        <f>AND('Planilla_General_03-12-2012_9_3'!G1693,"AAAAAH7Hd8c=")</f>
        <v>#VALUE!</v>
      </c>
      <c r="GS106" t="e">
        <f>AND('Planilla_General_03-12-2012_9_3'!H1693,"AAAAAH7Hd8g=")</f>
        <v>#VALUE!</v>
      </c>
      <c r="GT106" t="e">
        <f>AND('Planilla_General_03-12-2012_9_3'!I1693,"AAAAAH7Hd8k=")</f>
        <v>#VALUE!</v>
      </c>
      <c r="GU106" t="e">
        <f>AND('Planilla_General_03-12-2012_9_3'!J1693,"AAAAAH7Hd8o=")</f>
        <v>#VALUE!</v>
      </c>
      <c r="GV106" t="e">
        <f>AND('Planilla_General_03-12-2012_9_3'!K1693,"AAAAAH7Hd8s=")</f>
        <v>#VALUE!</v>
      </c>
      <c r="GW106" t="e">
        <f>AND('Planilla_General_03-12-2012_9_3'!L1693,"AAAAAH7Hd8w=")</f>
        <v>#VALUE!</v>
      </c>
      <c r="GX106" t="e">
        <f>AND('Planilla_General_03-12-2012_9_3'!M1693,"AAAAAH7Hd80=")</f>
        <v>#VALUE!</v>
      </c>
      <c r="GY106" t="e">
        <f>AND('Planilla_General_03-12-2012_9_3'!N1693,"AAAAAH7Hd84=")</f>
        <v>#VALUE!</v>
      </c>
      <c r="GZ106" t="e">
        <f>AND('Planilla_General_03-12-2012_9_3'!O1693,"AAAAAH7Hd88=")</f>
        <v>#VALUE!</v>
      </c>
      <c r="HA106">
        <f>IF('Planilla_General_03-12-2012_9_3'!1694:1694,"AAAAAH7Hd9A=",0)</f>
        <v>0</v>
      </c>
      <c r="HB106" t="e">
        <f>AND('Planilla_General_03-12-2012_9_3'!A1694,"AAAAAH7Hd9E=")</f>
        <v>#VALUE!</v>
      </c>
      <c r="HC106" t="e">
        <f>AND('Planilla_General_03-12-2012_9_3'!B1694,"AAAAAH7Hd9I=")</f>
        <v>#VALUE!</v>
      </c>
      <c r="HD106" t="e">
        <f>AND('Planilla_General_03-12-2012_9_3'!C1694,"AAAAAH7Hd9M=")</f>
        <v>#VALUE!</v>
      </c>
      <c r="HE106" t="e">
        <f>AND('Planilla_General_03-12-2012_9_3'!D1694,"AAAAAH7Hd9Q=")</f>
        <v>#VALUE!</v>
      </c>
      <c r="HF106" t="e">
        <f>AND('Planilla_General_03-12-2012_9_3'!E1694,"AAAAAH7Hd9U=")</f>
        <v>#VALUE!</v>
      </c>
      <c r="HG106" t="e">
        <f>AND('Planilla_General_03-12-2012_9_3'!F1694,"AAAAAH7Hd9Y=")</f>
        <v>#VALUE!</v>
      </c>
      <c r="HH106" t="e">
        <f>AND('Planilla_General_03-12-2012_9_3'!G1694,"AAAAAH7Hd9c=")</f>
        <v>#VALUE!</v>
      </c>
      <c r="HI106" t="e">
        <f>AND('Planilla_General_03-12-2012_9_3'!H1694,"AAAAAH7Hd9g=")</f>
        <v>#VALUE!</v>
      </c>
      <c r="HJ106" t="e">
        <f>AND('Planilla_General_03-12-2012_9_3'!I1694,"AAAAAH7Hd9k=")</f>
        <v>#VALUE!</v>
      </c>
      <c r="HK106" t="e">
        <f>AND('Planilla_General_03-12-2012_9_3'!J1694,"AAAAAH7Hd9o=")</f>
        <v>#VALUE!</v>
      </c>
      <c r="HL106" t="e">
        <f>AND('Planilla_General_03-12-2012_9_3'!K1694,"AAAAAH7Hd9s=")</f>
        <v>#VALUE!</v>
      </c>
      <c r="HM106" t="e">
        <f>AND('Planilla_General_03-12-2012_9_3'!L1694,"AAAAAH7Hd9w=")</f>
        <v>#VALUE!</v>
      </c>
      <c r="HN106" t="e">
        <f>AND('Planilla_General_03-12-2012_9_3'!M1694,"AAAAAH7Hd90=")</f>
        <v>#VALUE!</v>
      </c>
      <c r="HO106" t="e">
        <f>AND('Planilla_General_03-12-2012_9_3'!N1694,"AAAAAH7Hd94=")</f>
        <v>#VALUE!</v>
      </c>
      <c r="HP106" t="e">
        <f>AND('Planilla_General_03-12-2012_9_3'!O1694,"AAAAAH7Hd98=")</f>
        <v>#VALUE!</v>
      </c>
      <c r="HQ106">
        <f>IF('Planilla_General_03-12-2012_9_3'!1695:1695,"AAAAAH7Hd+A=",0)</f>
        <v>0</v>
      </c>
      <c r="HR106" t="e">
        <f>AND('Planilla_General_03-12-2012_9_3'!A1695,"AAAAAH7Hd+E=")</f>
        <v>#VALUE!</v>
      </c>
      <c r="HS106" t="e">
        <f>AND('Planilla_General_03-12-2012_9_3'!B1695,"AAAAAH7Hd+I=")</f>
        <v>#VALUE!</v>
      </c>
      <c r="HT106" t="e">
        <f>AND('Planilla_General_03-12-2012_9_3'!C1695,"AAAAAH7Hd+M=")</f>
        <v>#VALUE!</v>
      </c>
      <c r="HU106" t="e">
        <f>AND('Planilla_General_03-12-2012_9_3'!D1695,"AAAAAH7Hd+Q=")</f>
        <v>#VALUE!</v>
      </c>
      <c r="HV106" t="e">
        <f>AND('Planilla_General_03-12-2012_9_3'!E1695,"AAAAAH7Hd+U=")</f>
        <v>#VALUE!</v>
      </c>
      <c r="HW106" t="e">
        <f>AND('Planilla_General_03-12-2012_9_3'!F1695,"AAAAAH7Hd+Y=")</f>
        <v>#VALUE!</v>
      </c>
      <c r="HX106" t="e">
        <f>AND('Planilla_General_03-12-2012_9_3'!G1695,"AAAAAH7Hd+c=")</f>
        <v>#VALUE!</v>
      </c>
      <c r="HY106" t="e">
        <f>AND('Planilla_General_03-12-2012_9_3'!H1695,"AAAAAH7Hd+g=")</f>
        <v>#VALUE!</v>
      </c>
      <c r="HZ106" t="e">
        <f>AND('Planilla_General_03-12-2012_9_3'!I1695,"AAAAAH7Hd+k=")</f>
        <v>#VALUE!</v>
      </c>
      <c r="IA106" t="e">
        <f>AND('Planilla_General_03-12-2012_9_3'!J1695,"AAAAAH7Hd+o=")</f>
        <v>#VALUE!</v>
      </c>
      <c r="IB106" t="e">
        <f>AND('Planilla_General_03-12-2012_9_3'!K1695,"AAAAAH7Hd+s=")</f>
        <v>#VALUE!</v>
      </c>
      <c r="IC106" t="e">
        <f>AND('Planilla_General_03-12-2012_9_3'!L1695,"AAAAAH7Hd+w=")</f>
        <v>#VALUE!</v>
      </c>
      <c r="ID106" t="e">
        <f>AND('Planilla_General_03-12-2012_9_3'!M1695,"AAAAAH7Hd+0=")</f>
        <v>#VALUE!</v>
      </c>
      <c r="IE106" t="e">
        <f>AND('Planilla_General_03-12-2012_9_3'!N1695,"AAAAAH7Hd+4=")</f>
        <v>#VALUE!</v>
      </c>
      <c r="IF106" t="e">
        <f>AND('Planilla_General_03-12-2012_9_3'!O1695,"AAAAAH7Hd+8=")</f>
        <v>#VALUE!</v>
      </c>
      <c r="IG106">
        <f>IF('Planilla_General_03-12-2012_9_3'!1696:1696,"AAAAAH7Hd/A=",0)</f>
        <v>0</v>
      </c>
      <c r="IH106" t="e">
        <f>AND('Planilla_General_03-12-2012_9_3'!A1696,"AAAAAH7Hd/E=")</f>
        <v>#VALUE!</v>
      </c>
      <c r="II106" t="e">
        <f>AND('Planilla_General_03-12-2012_9_3'!B1696,"AAAAAH7Hd/I=")</f>
        <v>#VALUE!</v>
      </c>
      <c r="IJ106" t="e">
        <f>AND('Planilla_General_03-12-2012_9_3'!C1696,"AAAAAH7Hd/M=")</f>
        <v>#VALUE!</v>
      </c>
      <c r="IK106" t="e">
        <f>AND('Planilla_General_03-12-2012_9_3'!D1696,"AAAAAH7Hd/Q=")</f>
        <v>#VALUE!</v>
      </c>
      <c r="IL106" t="e">
        <f>AND('Planilla_General_03-12-2012_9_3'!E1696,"AAAAAH7Hd/U=")</f>
        <v>#VALUE!</v>
      </c>
      <c r="IM106" t="e">
        <f>AND('Planilla_General_03-12-2012_9_3'!F1696,"AAAAAH7Hd/Y=")</f>
        <v>#VALUE!</v>
      </c>
      <c r="IN106" t="e">
        <f>AND('Planilla_General_03-12-2012_9_3'!G1696,"AAAAAH7Hd/c=")</f>
        <v>#VALUE!</v>
      </c>
      <c r="IO106" t="e">
        <f>AND('Planilla_General_03-12-2012_9_3'!H1696,"AAAAAH7Hd/g=")</f>
        <v>#VALUE!</v>
      </c>
      <c r="IP106" t="e">
        <f>AND('Planilla_General_03-12-2012_9_3'!I1696,"AAAAAH7Hd/k=")</f>
        <v>#VALUE!</v>
      </c>
      <c r="IQ106" t="e">
        <f>AND('Planilla_General_03-12-2012_9_3'!J1696,"AAAAAH7Hd/o=")</f>
        <v>#VALUE!</v>
      </c>
      <c r="IR106" t="e">
        <f>AND('Planilla_General_03-12-2012_9_3'!K1696,"AAAAAH7Hd/s=")</f>
        <v>#VALUE!</v>
      </c>
      <c r="IS106" t="e">
        <f>AND('Planilla_General_03-12-2012_9_3'!L1696,"AAAAAH7Hd/w=")</f>
        <v>#VALUE!</v>
      </c>
      <c r="IT106" t="e">
        <f>AND('Planilla_General_03-12-2012_9_3'!M1696,"AAAAAH7Hd/0=")</f>
        <v>#VALUE!</v>
      </c>
      <c r="IU106" t="e">
        <f>AND('Planilla_General_03-12-2012_9_3'!N1696,"AAAAAH7Hd/4=")</f>
        <v>#VALUE!</v>
      </c>
      <c r="IV106" t="e">
        <f>AND('Planilla_General_03-12-2012_9_3'!O1696,"AAAAAH7Hd/8=")</f>
        <v>#VALUE!</v>
      </c>
    </row>
    <row r="107" spans="1:256" x14ac:dyDescent="0.25">
      <c r="A107" t="e">
        <f>IF('Planilla_General_03-12-2012_9_3'!1697:1697,"AAAAACS7TwA=",0)</f>
        <v>#VALUE!</v>
      </c>
      <c r="B107" t="e">
        <f>AND('Planilla_General_03-12-2012_9_3'!A1697,"AAAAACS7TwE=")</f>
        <v>#VALUE!</v>
      </c>
      <c r="C107" t="e">
        <f>AND('Planilla_General_03-12-2012_9_3'!B1697,"AAAAACS7TwI=")</f>
        <v>#VALUE!</v>
      </c>
      <c r="D107" t="e">
        <f>AND('Planilla_General_03-12-2012_9_3'!C1697,"AAAAACS7TwM=")</f>
        <v>#VALUE!</v>
      </c>
      <c r="E107" t="e">
        <f>AND('Planilla_General_03-12-2012_9_3'!D1697,"AAAAACS7TwQ=")</f>
        <v>#VALUE!</v>
      </c>
      <c r="F107" t="e">
        <f>AND('Planilla_General_03-12-2012_9_3'!E1697,"AAAAACS7TwU=")</f>
        <v>#VALUE!</v>
      </c>
      <c r="G107" t="e">
        <f>AND('Planilla_General_03-12-2012_9_3'!F1697,"AAAAACS7TwY=")</f>
        <v>#VALUE!</v>
      </c>
      <c r="H107" t="e">
        <f>AND('Planilla_General_03-12-2012_9_3'!G1697,"AAAAACS7Twc=")</f>
        <v>#VALUE!</v>
      </c>
      <c r="I107" t="e">
        <f>AND('Planilla_General_03-12-2012_9_3'!H1697,"AAAAACS7Twg=")</f>
        <v>#VALUE!</v>
      </c>
      <c r="J107" t="e">
        <f>AND('Planilla_General_03-12-2012_9_3'!I1697,"AAAAACS7Twk=")</f>
        <v>#VALUE!</v>
      </c>
      <c r="K107" t="e">
        <f>AND('Planilla_General_03-12-2012_9_3'!J1697,"AAAAACS7Two=")</f>
        <v>#VALUE!</v>
      </c>
      <c r="L107" t="e">
        <f>AND('Planilla_General_03-12-2012_9_3'!K1697,"AAAAACS7Tws=")</f>
        <v>#VALUE!</v>
      </c>
      <c r="M107" t="e">
        <f>AND('Planilla_General_03-12-2012_9_3'!L1697,"AAAAACS7Tww=")</f>
        <v>#VALUE!</v>
      </c>
      <c r="N107" t="e">
        <f>AND('Planilla_General_03-12-2012_9_3'!M1697,"AAAAACS7Tw0=")</f>
        <v>#VALUE!</v>
      </c>
      <c r="O107" t="e">
        <f>AND('Planilla_General_03-12-2012_9_3'!N1697,"AAAAACS7Tw4=")</f>
        <v>#VALUE!</v>
      </c>
      <c r="P107" t="e">
        <f>AND('Planilla_General_03-12-2012_9_3'!O1697,"AAAAACS7Tw8=")</f>
        <v>#VALUE!</v>
      </c>
      <c r="Q107">
        <f>IF('Planilla_General_03-12-2012_9_3'!1698:1698,"AAAAACS7TxA=",0)</f>
        <v>0</v>
      </c>
      <c r="R107" t="e">
        <f>AND('Planilla_General_03-12-2012_9_3'!A1698,"AAAAACS7TxE=")</f>
        <v>#VALUE!</v>
      </c>
      <c r="S107" t="e">
        <f>AND('Planilla_General_03-12-2012_9_3'!B1698,"AAAAACS7TxI=")</f>
        <v>#VALUE!</v>
      </c>
      <c r="T107" t="e">
        <f>AND('Planilla_General_03-12-2012_9_3'!C1698,"AAAAACS7TxM=")</f>
        <v>#VALUE!</v>
      </c>
      <c r="U107" t="e">
        <f>AND('Planilla_General_03-12-2012_9_3'!D1698,"AAAAACS7TxQ=")</f>
        <v>#VALUE!</v>
      </c>
      <c r="V107" t="e">
        <f>AND('Planilla_General_03-12-2012_9_3'!E1698,"AAAAACS7TxU=")</f>
        <v>#VALUE!</v>
      </c>
      <c r="W107" t="e">
        <f>AND('Planilla_General_03-12-2012_9_3'!F1698,"AAAAACS7TxY=")</f>
        <v>#VALUE!</v>
      </c>
      <c r="X107" t="e">
        <f>AND('Planilla_General_03-12-2012_9_3'!G1698,"AAAAACS7Txc=")</f>
        <v>#VALUE!</v>
      </c>
      <c r="Y107" t="e">
        <f>AND('Planilla_General_03-12-2012_9_3'!H1698,"AAAAACS7Txg=")</f>
        <v>#VALUE!</v>
      </c>
      <c r="Z107" t="e">
        <f>AND('Planilla_General_03-12-2012_9_3'!I1698,"AAAAACS7Txk=")</f>
        <v>#VALUE!</v>
      </c>
      <c r="AA107" t="e">
        <f>AND('Planilla_General_03-12-2012_9_3'!J1698,"AAAAACS7Txo=")</f>
        <v>#VALUE!</v>
      </c>
      <c r="AB107" t="e">
        <f>AND('Planilla_General_03-12-2012_9_3'!K1698,"AAAAACS7Txs=")</f>
        <v>#VALUE!</v>
      </c>
      <c r="AC107" t="e">
        <f>AND('Planilla_General_03-12-2012_9_3'!L1698,"AAAAACS7Txw=")</f>
        <v>#VALUE!</v>
      </c>
      <c r="AD107" t="e">
        <f>AND('Planilla_General_03-12-2012_9_3'!M1698,"AAAAACS7Tx0=")</f>
        <v>#VALUE!</v>
      </c>
      <c r="AE107" t="e">
        <f>AND('Planilla_General_03-12-2012_9_3'!N1698,"AAAAACS7Tx4=")</f>
        <v>#VALUE!</v>
      </c>
      <c r="AF107" t="e">
        <f>AND('Planilla_General_03-12-2012_9_3'!O1698,"AAAAACS7Tx8=")</f>
        <v>#VALUE!</v>
      </c>
      <c r="AG107">
        <f>IF('Planilla_General_03-12-2012_9_3'!1699:1699,"AAAAACS7TyA=",0)</f>
        <v>0</v>
      </c>
      <c r="AH107" t="e">
        <f>AND('Planilla_General_03-12-2012_9_3'!A1699,"AAAAACS7TyE=")</f>
        <v>#VALUE!</v>
      </c>
      <c r="AI107" t="e">
        <f>AND('Planilla_General_03-12-2012_9_3'!B1699,"AAAAACS7TyI=")</f>
        <v>#VALUE!</v>
      </c>
      <c r="AJ107" t="e">
        <f>AND('Planilla_General_03-12-2012_9_3'!C1699,"AAAAACS7TyM=")</f>
        <v>#VALUE!</v>
      </c>
      <c r="AK107" t="e">
        <f>AND('Planilla_General_03-12-2012_9_3'!D1699,"AAAAACS7TyQ=")</f>
        <v>#VALUE!</v>
      </c>
      <c r="AL107" t="e">
        <f>AND('Planilla_General_03-12-2012_9_3'!E1699,"AAAAACS7TyU=")</f>
        <v>#VALUE!</v>
      </c>
      <c r="AM107" t="e">
        <f>AND('Planilla_General_03-12-2012_9_3'!F1699,"AAAAACS7TyY=")</f>
        <v>#VALUE!</v>
      </c>
      <c r="AN107" t="e">
        <f>AND('Planilla_General_03-12-2012_9_3'!G1699,"AAAAACS7Tyc=")</f>
        <v>#VALUE!</v>
      </c>
      <c r="AO107" t="e">
        <f>AND('Planilla_General_03-12-2012_9_3'!H1699,"AAAAACS7Tyg=")</f>
        <v>#VALUE!</v>
      </c>
      <c r="AP107" t="e">
        <f>AND('Planilla_General_03-12-2012_9_3'!I1699,"AAAAACS7Tyk=")</f>
        <v>#VALUE!</v>
      </c>
      <c r="AQ107" t="e">
        <f>AND('Planilla_General_03-12-2012_9_3'!J1699,"AAAAACS7Tyo=")</f>
        <v>#VALUE!</v>
      </c>
      <c r="AR107" t="e">
        <f>AND('Planilla_General_03-12-2012_9_3'!K1699,"AAAAACS7Tys=")</f>
        <v>#VALUE!</v>
      </c>
      <c r="AS107" t="e">
        <f>AND('Planilla_General_03-12-2012_9_3'!L1699,"AAAAACS7Tyw=")</f>
        <v>#VALUE!</v>
      </c>
      <c r="AT107" t="e">
        <f>AND('Planilla_General_03-12-2012_9_3'!M1699,"AAAAACS7Ty0=")</f>
        <v>#VALUE!</v>
      </c>
      <c r="AU107" t="e">
        <f>AND('Planilla_General_03-12-2012_9_3'!N1699,"AAAAACS7Ty4=")</f>
        <v>#VALUE!</v>
      </c>
      <c r="AV107" t="e">
        <f>AND('Planilla_General_03-12-2012_9_3'!O1699,"AAAAACS7Ty8=")</f>
        <v>#VALUE!</v>
      </c>
      <c r="AW107">
        <f>IF('Planilla_General_03-12-2012_9_3'!1700:1700,"AAAAACS7TzA=",0)</f>
        <v>0</v>
      </c>
      <c r="AX107" t="e">
        <f>AND('Planilla_General_03-12-2012_9_3'!A1700,"AAAAACS7TzE=")</f>
        <v>#VALUE!</v>
      </c>
      <c r="AY107" t="e">
        <f>AND('Planilla_General_03-12-2012_9_3'!B1700,"AAAAACS7TzI=")</f>
        <v>#VALUE!</v>
      </c>
      <c r="AZ107" t="e">
        <f>AND('Planilla_General_03-12-2012_9_3'!C1700,"AAAAACS7TzM=")</f>
        <v>#VALUE!</v>
      </c>
      <c r="BA107" t="e">
        <f>AND('Planilla_General_03-12-2012_9_3'!D1700,"AAAAACS7TzQ=")</f>
        <v>#VALUE!</v>
      </c>
      <c r="BB107" t="e">
        <f>AND('Planilla_General_03-12-2012_9_3'!E1700,"AAAAACS7TzU=")</f>
        <v>#VALUE!</v>
      </c>
      <c r="BC107" t="e">
        <f>AND('Planilla_General_03-12-2012_9_3'!F1700,"AAAAACS7TzY=")</f>
        <v>#VALUE!</v>
      </c>
      <c r="BD107" t="e">
        <f>AND('Planilla_General_03-12-2012_9_3'!G1700,"AAAAACS7Tzc=")</f>
        <v>#VALUE!</v>
      </c>
      <c r="BE107" t="e">
        <f>AND('Planilla_General_03-12-2012_9_3'!H1700,"AAAAACS7Tzg=")</f>
        <v>#VALUE!</v>
      </c>
      <c r="BF107" t="e">
        <f>AND('Planilla_General_03-12-2012_9_3'!I1700,"AAAAACS7Tzk=")</f>
        <v>#VALUE!</v>
      </c>
      <c r="BG107" t="e">
        <f>AND('Planilla_General_03-12-2012_9_3'!J1700,"AAAAACS7Tzo=")</f>
        <v>#VALUE!</v>
      </c>
      <c r="BH107" t="e">
        <f>AND('Planilla_General_03-12-2012_9_3'!K1700,"AAAAACS7Tzs=")</f>
        <v>#VALUE!</v>
      </c>
      <c r="BI107" t="e">
        <f>AND('Planilla_General_03-12-2012_9_3'!L1700,"AAAAACS7Tzw=")</f>
        <v>#VALUE!</v>
      </c>
      <c r="BJ107" t="e">
        <f>AND('Planilla_General_03-12-2012_9_3'!M1700,"AAAAACS7Tz0=")</f>
        <v>#VALUE!</v>
      </c>
      <c r="BK107" t="e">
        <f>AND('Planilla_General_03-12-2012_9_3'!N1700,"AAAAACS7Tz4=")</f>
        <v>#VALUE!</v>
      </c>
      <c r="BL107" t="e">
        <f>AND('Planilla_General_03-12-2012_9_3'!O1700,"AAAAACS7Tz8=")</f>
        <v>#VALUE!</v>
      </c>
      <c r="BM107">
        <f>IF('Planilla_General_03-12-2012_9_3'!1701:1701,"AAAAACS7T0A=",0)</f>
        <v>0</v>
      </c>
      <c r="BN107" t="e">
        <f>AND('Planilla_General_03-12-2012_9_3'!A1701,"AAAAACS7T0E=")</f>
        <v>#VALUE!</v>
      </c>
      <c r="BO107" t="e">
        <f>AND('Planilla_General_03-12-2012_9_3'!B1701,"AAAAACS7T0I=")</f>
        <v>#VALUE!</v>
      </c>
      <c r="BP107" t="e">
        <f>AND('Planilla_General_03-12-2012_9_3'!C1701,"AAAAACS7T0M=")</f>
        <v>#VALUE!</v>
      </c>
      <c r="BQ107" t="e">
        <f>AND('Planilla_General_03-12-2012_9_3'!D1701,"AAAAACS7T0Q=")</f>
        <v>#VALUE!</v>
      </c>
      <c r="BR107" t="e">
        <f>AND('Planilla_General_03-12-2012_9_3'!E1701,"AAAAACS7T0U=")</f>
        <v>#VALUE!</v>
      </c>
      <c r="BS107" t="e">
        <f>AND('Planilla_General_03-12-2012_9_3'!F1701,"AAAAACS7T0Y=")</f>
        <v>#VALUE!</v>
      </c>
      <c r="BT107" t="e">
        <f>AND('Planilla_General_03-12-2012_9_3'!G1701,"AAAAACS7T0c=")</f>
        <v>#VALUE!</v>
      </c>
      <c r="BU107" t="e">
        <f>AND('Planilla_General_03-12-2012_9_3'!H1701,"AAAAACS7T0g=")</f>
        <v>#VALUE!</v>
      </c>
      <c r="BV107" t="e">
        <f>AND('Planilla_General_03-12-2012_9_3'!I1701,"AAAAACS7T0k=")</f>
        <v>#VALUE!</v>
      </c>
      <c r="BW107" t="e">
        <f>AND('Planilla_General_03-12-2012_9_3'!J1701,"AAAAACS7T0o=")</f>
        <v>#VALUE!</v>
      </c>
      <c r="BX107" t="e">
        <f>AND('Planilla_General_03-12-2012_9_3'!K1701,"AAAAACS7T0s=")</f>
        <v>#VALUE!</v>
      </c>
      <c r="BY107" t="e">
        <f>AND('Planilla_General_03-12-2012_9_3'!L1701,"AAAAACS7T0w=")</f>
        <v>#VALUE!</v>
      </c>
      <c r="BZ107" t="e">
        <f>AND('Planilla_General_03-12-2012_9_3'!M1701,"AAAAACS7T00=")</f>
        <v>#VALUE!</v>
      </c>
      <c r="CA107" t="e">
        <f>AND('Planilla_General_03-12-2012_9_3'!N1701,"AAAAACS7T04=")</f>
        <v>#VALUE!</v>
      </c>
      <c r="CB107" t="e">
        <f>AND('Planilla_General_03-12-2012_9_3'!O1701,"AAAAACS7T08=")</f>
        <v>#VALUE!</v>
      </c>
      <c r="CC107">
        <f>IF('Planilla_General_03-12-2012_9_3'!1702:1702,"AAAAACS7T1A=",0)</f>
        <v>0</v>
      </c>
      <c r="CD107" t="e">
        <f>AND('Planilla_General_03-12-2012_9_3'!A1702,"AAAAACS7T1E=")</f>
        <v>#VALUE!</v>
      </c>
      <c r="CE107" t="e">
        <f>AND('Planilla_General_03-12-2012_9_3'!B1702,"AAAAACS7T1I=")</f>
        <v>#VALUE!</v>
      </c>
      <c r="CF107" t="e">
        <f>AND('Planilla_General_03-12-2012_9_3'!C1702,"AAAAACS7T1M=")</f>
        <v>#VALUE!</v>
      </c>
      <c r="CG107" t="e">
        <f>AND('Planilla_General_03-12-2012_9_3'!D1702,"AAAAACS7T1Q=")</f>
        <v>#VALUE!</v>
      </c>
      <c r="CH107" t="e">
        <f>AND('Planilla_General_03-12-2012_9_3'!E1702,"AAAAACS7T1U=")</f>
        <v>#VALUE!</v>
      </c>
      <c r="CI107" t="e">
        <f>AND('Planilla_General_03-12-2012_9_3'!F1702,"AAAAACS7T1Y=")</f>
        <v>#VALUE!</v>
      </c>
      <c r="CJ107" t="e">
        <f>AND('Planilla_General_03-12-2012_9_3'!G1702,"AAAAACS7T1c=")</f>
        <v>#VALUE!</v>
      </c>
      <c r="CK107" t="e">
        <f>AND('Planilla_General_03-12-2012_9_3'!H1702,"AAAAACS7T1g=")</f>
        <v>#VALUE!</v>
      </c>
      <c r="CL107" t="e">
        <f>AND('Planilla_General_03-12-2012_9_3'!I1702,"AAAAACS7T1k=")</f>
        <v>#VALUE!</v>
      </c>
      <c r="CM107" t="e">
        <f>AND('Planilla_General_03-12-2012_9_3'!J1702,"AAAAACS7T1o=")</f>
        <v>#VALUE!</v>
      </c>
      <c r="CN107" t="e">
        <f>AND('Planilla_General_03-12-2012_9_3'!K1702,"AAAAACS7T1s=")</f>
        <v>#VALUE!</v>
      </c>
      <c r="CO107" t="e">
        <f>AND('Planilla_General_03-12-2012_9_3'!L1702,"AAAAACS7T1w=")</f>
        <v>#VALUE!</v>
      </c>
      <c r="CP107" t="e">
        <f>AND('Planilla_General_03-12-2012_9_3'!M1702,"AAAAACS7T10=")</f>
        <v>#VALUE!</v>
      </c>
      <c r="CQ107" t="e">
        <f>AND('Planilla_General_03-12-2012_9_3'!N1702,"AAAAACS7T14=")</f>
        <v>#VALUE!</v>
      </c>
      <c r="CR107" t="e">
        <f>AND('Planilla_General_03-12-2012_9_3'!O1702,"AAAAACS7T18=")</f>
        <v>#VALUE!</v>
      </c>
      <c r="CS107">
        <f>IF('Planilla_General_03-12-2012_9_3'!1703:1703,"AAAAACS7T2A=",0)</f>
        <v>0</v>
      </c>
      <c r="CT107" t="e">
        <f>AND('Planilla_General_03-12-2012_9_3'!A1703,"AAAAACS7T2E=")</f>
        <v>#VALUE!</v>
      </c>
      <c r="CU107" t="e">
        <f>AND('Planilla_General_03-12-2012_9_3'!B1703,"AAAAACS7T2I=")</f>
        <v>#VALUE!</v>
      </c>
      <c r="CV107" t="e">
        <f>AND('Planilla_General_03-12-2012_9_3'!C1703,"AAAAACS7T2M=")</f>
        <v>#VALUE!</v>
      </c>
      <c r="CW107" t="e">
        <f>AND('Planilla_General_03-12-2012_9_3'!D1703,"AAAAACS7T2Q=")</f>
        <v>#VALUE!</v>
      </c>
      <c r="CX107" t="e">
        <f>AND('Planilla_General_03-12-2012_9_3'!E1703,"AAAAACS7T2U=")</f>
        <v>#VALUE!</v>
      </c>
      <c r="CY107" t="e">
        <f>AND('Planilla_General_03-12-2012_9_3'!F1703,"AAAAACS7T2Y=")</f>
        <v>#VALUE!</v>
      </c>
      <c r="CZ107" t="e">
        <f>AND('Planilla_General_03-12-2012_9_3'!G1703,"AAAAACS7T2c=")</f>
        <v>#VALUE!</v>
      </c>
      <c r="DA107" t="e">
        <f>AND('Planilla_General_03-12-2012_9_3'!H1703,"AAAAACS7T2g=")</f>
        <v>#VALUE!</v>
      </c>
      <c r="DB107" t="e">
        <f>AND('Planilla_General_03-12-2012_9_3'!I1703,"AAAAACS7T2k=")</f>
        <v>#VALUE!</v>
      </c>
      <c r="DC107" t="e">
        <f>AND('Planilla_General_03-12-2012_9_3'!J1703,"AAAAACS7T2o=")</f>
        <v>#VALUE!</v>
      </c>
      <c r="DD107" t="e">
        <f>AND('Planilla_General_03-12-2012_9_3'!K1703,"AAAAACS7T2s=")</f>
        <v>#VALUE!</v>
      </c>
      <c r="DE107" t="e">
        <f>AND('Planilla_General_03-12-2012_9_3'!L1703,"AAAAACS7T2w=")</f>
        <v>#VALUE!</v>
      </c>
      <c r="DF107" t="e">
        <f>AND('Planilla_General_03-12-2012_9_3'!M1703,"AAAAACS7T20=")</f>
        <v>#VALUE!</v>
      </c>
      <c r="DG107" t="e">
        <f>AND('Planilla_General_03-12-2012_9_3'!N1703,"AAAAACS7T24=")</f>
        <v>#VALUE!</v>
      </c>
      <c r="DH107" t="e">
        <f>AND('Planilla_General_03-12-2012_9_3'!O1703,"AAAAACS7T28=")</f>
        <v>#VALUE!</v>
      </c>
      <c r="DI107">
        <f>IF('Planilla_General_03-12-2012_9_3'!1704:1704,"AAAAACS7T3A=",0)</f>
        <v>0</v>
      </c>
      <c r="DJ107" t="e">
        <f>AND('Planilla_General_03-12-2012_9_3'!A1704,"AAAAACS7T3E=")</f>
        <v>#VALUE!</v>
      </c>
      <c r="DK107" t="e">
        <f>AND('Planilla_General_03-12-2012_9_3'!B1704,"AAAAACS7T3I=")</f>
        <v>#VALUE!</v>
      </c>
      <c r="DL107" t="e">
        <f>AND('Planilla_General_03-12-2012_9_3'!C1704,"AAAAACS7T3M=")</f>
        <v>#VALUE!</v>
      </c>
      <c r="DM107" t="e">
        <f>AND('Planilla_General_03-12-2012_9_3'!D1704,"AAAAACS7T3Q=")</f>
        <v>#VALUE!</v>
      </c>
      <c r="DN107" t="e">
        <f>AND('Planilla_General_03-12-2012_9_3'!E1704,"AAAAACS7T3U=")</f>
        <v>#VALUE!</v>
      </c>
      <c r="DO107" t="e">
        <f>AND('Planilla_General_03-12-2012_9_3'!F1704,"AAAAACS7T3Y=")</f>
        <v>#VALUE!</v>
      </c>
      <c r="DP107" t="e">
        <f>AND('Planilla_General_03-12-2012_9_3'!G1704,"AAAAACS7T3c=")</f>
        <v>#VALUE!</v>
      </c>
      <c r="DQ107" t="e">
        <f>AND('Planilla_General_03-12-2012_9_3'!H1704,"AAAAACS7T3g=")</f>
        <v>#VALUE!</v>
      </c>
      <c r="DR107" t="e">
        <f>AND('Planilla_General_03-12-2012_9_3'!I1704,"AAAAACS7T3k=")</f>
        <v>#VALUE!</v>
      </c>
      <c r="DS107" t="e">
        <f>AND('Planilla_General_03-12-2012_9_3'!J1704,"AAAAACS7T3o=")</f>
        <v>#VALUE!</v>
      </c>
      <c r="DT107" t="e">
        <f>AND('Planilla_General_03-12-2012_9_3'!K1704,"AAAAACS7T3s=")</f>
        <v>#VALUE!</v>
      </c>
      <c r="DU107" t="e">
        <f>AND('Planilla_General_03-12-2012_9_3'!L1704,"AAAAACS7T3w=")</f>
        <v>#VALUE!</v>
      </c>
      <c r="DV107" t="e">
        <f>AND('Planilla_General_03-12-2012_9_3'!M1704,"AAAAACS7T30=")</f>
        <v>#VALUE!</v>
      </c>
      <c r="DW107" t="e">
        <f>AND('Planilla_General_03-12-2012_9_3'!N1704,"AAAAACS7T34=")</f>
        <v>#VALUE!</v>
      </c>
      <c r="DX107" t="e">
        <f>AND('Planilla_General_03-12-2012_9_3'!O1704,"AAAAACS7T38=")</f>
        <v>#VALUE!</v>
      </c>
      <c r="DY107">
        <f>IF('Planilla_General_03-12-2012_9_3'!1705:1705,"AAAAACS7T4A=",0)</f>
        <v>0</v>
      </c>
      <c r="DZ107" t="e">
        <f>AND('Planilla_General_03-12-2012_9_3'!A1705,"AAAAACS7T4E=")</f>
        <v>#VALUE!</v>
      </c>
      <c r="EA107" t="e">
        <f>AND('Planilla_General_03-12-2012_9_3'!B1705,"AAAAACS7T4I=")</f>
        <v>#VALUE!</v>
      </c>
      <c r="EB107" t="e">
        <f>AND('Planilla_General_03-12-2012_9_3'!C1705,"AAAAACS7T4M=")</f>
        <v>#VALUE!</v>
      </c>
      <c r="EC107" t="e">
        <f>AND('Planilla_General_03-12-2012_9_3'!D1705,"AAAAACS7T4Q=")</f>
        <v>#VALUE!</v>
      </c>
      <c r="ED107" t="e">
        <f>AND('Planilla_General_03-12-2012_9_3'!E1705,"AAAAACS7T4U=")</f>
        <v>#VALUE!</v>
      </c>
      <c r="EE107" t="e">
        <f>AND('Planilla_General_03-12-2012_9_3'!F1705,"AAAAACS7T4Y=")</f>
        <v>#VALUE!</v>
      </c>
      <c r="EF107" t="e">
        <f>AND('Planilla_General_03-12-2012_9_3'!G1705,"AAAAACS7T4c=")</f>
        <v>#VALUE!</v>
      </c>
      <c r="EG107" t="e">
        <f>AND('Planilla_General_03-12-2012_9_3'!H1705,"AAAAACS7T4g=")</f>
        <v>#VALUE!</v>
      </c>
      <c r="EH107" t="e">
        <f>AND('Planilla_General_03-12-2012_9_3'!I1705,"AAAAACS7T4k=")</f>
        <v>#VALUE!</v>
      </c>
      <c r="EI107" t="e">
        <f>AND('Planilla_General_03-12-2012_9_3'!J1705,"AAAAACS7T4o=")</f>
        <v>#VALUE!</v>
      </c>
      <c r="EJ107" t="e">
        <f>AND('Planilla_General_03-12-2012_9_3'!K1705,"AAAAACS7T4s=")</f>
        <v>#VALUE!</v>
      </c>
      <c r="EK107" t="e">
        <f>AND('Planilla_General_03-12-2012_9_3'!L1705,"AAAAACS7T4w=")</f>
        <v>#VALUE!</v>
      </c>
      <c r="EL107" t="e">
        <f>AND('Planilla_General_03-12-2012_9_3'!M1705,"AAAAACS7T40=")</f>
        <v>#VALUE!</v>
      </c>
      <c r="EM107" t="e">
        <f>AND('Planilla_General_03-12-2012_9_3'!N1705,"AAAAACS7T44=")</f>
        <v>#VALUE!</v>
      </c>
      <c r="EN107" t="e">
        <f>AND('Planilla_General_03-12-2012_9_3'!O1705,"AAAAACS7T48=")</f>
        <v>#VALUE!</v>
      </c>
      <c r="EO107">
        <f>IF('Planilla_General_03-12-2012_9_3'!1706:1706,"AAAAACS7T5A=",0)</f>
        <v>0</v>
      </c>
      <c r="EP107" t="e">
        <f>AND('Planilla_General_03-12-2012_9_3'!A1706,"AAAAACS7T5E=")</f>
        <v>#VALUE!</v>
      </c>
      <c r="EQ107" t="e">
        <f>AND('Planilla_General_03-12-2012_9_3'!B1706,"AAAAACS7T5I=")</f>
        <v>#VALUE!</v>
      </c>
      <c r="ER107" t="e">
        <f>AND('Planilla_General_03-12-2012_9_3'!C1706,"AAAAACS7T5M=")</f>
        <v>#VALUE!</v>
      </c>
      <c r="ES107" t="e">
        <f>AND('Planilla_General_03-12-2012_9_3'!D1706,"AAAAACS7T5Q=")</f>
        <v>#VALUE!</v>
      </c>
      <c r="ET107" t="e">
        <f>AND('Planilla_General_03-12-2012_9_3'!E1706,"AAAAACS7T5U=")</f>
        <v>#VALUE!</v>
      </c>
      <c r="EU107" t="e">
        <f>AND('Planilla_General_03-12-2012_9_3'!F1706,"AAAAACS7T5Y=")</f>
        <v>#VALUE!</v>
      </c>
      <c r="EV107" t="e">
        <f>AND('Planilla_General_03-12-2012_9_3'!G1706,"AAAAACS7T5c=")</f>
        <v>#VALUE!</v>
      </c>
      <c r="EW107" t="e">
        <f>AND('Planilla_General_03-12-2012_9_3'!H1706,"AAAAACS7T5g=")</f>
        <v>#VALUE!</v>
      </c>
      <c r="EX107" t="e">
        <f>AND('Planilla_General_03-12-2012_9_3'!I1706,"AAAAACS7T5k=")</f>
        <v>#VALUE!</v>
      </c>
      <c r="EY107" t="e">
        <f>AND('Planilla_General_03-12-2012_9_3'!J1706,"AAAAACS7T5o=")</f>
        <v>#VALUE!</v>
      </c>
      <c r="EZ107" t="e">
        <f>AND('Planilla_General_03-12-2012_9_3'!K1706,"AAAAACS7T5s=")</f>
        <v>#VALUE!</v>
      </c>
      <c r="FA107" t="e">
        <f>AND('Planilla_General_03-12-2012_9_3'!L1706,"AAAAACS7T5w=")</f>
        <v>#VALUE!</v>
      </c>
      <c r="FB107" t="e">
        <f>AND('Planilla_General_03-12-2012_9_3'!M1706,"AAAAACS7T50=")</f>
        <v>#VALUE!</v>
      </c>
      <c r="FC107" t="e">
        <f>AND('Planilla_General_03-12-2012_9_3'!N1706,"AAAAACS7T54=")</f>
        <v>#VALUE!</v>
      </c>
      <c r="FD107" t="e">
        <f>AND('Planilla_General_03-12-2012_9_3'!O1706,"AAAAACS7T58=")</f>
        <v>#VALUE!</v>
      </c>
      <c r="FE107">
        <f>IF('Planilla_General_03-12-2012_9_3'!1707:1707,"AAAAACS7T6A=",0)</f>
        <v>0</v>
      </c>
      <c r="FF107" t="e">
        <f>AND('Planilla_General_03-12-2012_9_3'!A1707,"AAAAACS7T6E=")</f>
        <v>#VALUE!</v>
      </c>
      <c r="FG107" t="e">
        <f>AND('Planilla_General_03-12-2012_9_3'!B1707,"AAAAACS7T6I=")</f>
        <v>#VALUE!</v>
      </c>
      <c r="FH107" t="e">
        <f>AND('Planilla_General_03-12-2012_9_3'!C1707,"AAAAACS7T6M=")</f>
        <v>#VALUE!</v>
      </c>
      <c r="FI107" t="e">
        <f>AND('Planilla_General_03-12-2012_9_3'!D1707,"AAAAACS7T6Q=")</f>
        <v>#VALUE!</v>
      </c>
      <c r="FJ107" t="e">
        <f>AND('Planilla_General_03-12-2012_9_3'!E1707,"AAAAACS7T6U=")</f>
        <v>#VALUE!</v>
      </c>
      <c r="FK107" t="e">
        <f>AND('Planilla_General_03-12-2012_9_3'!F1707,"AAAAACS7T6Y=")</f>
        <v>#VALUE!</v>
      </c>
      <c r="FL107" t="e">
        <f>AND('Planilla_General_03-12-2012_9_3'!G1707,"AAAAACS7T6c=")</f>
        <v>#VALUE!</v>
      </c>
      <c r="FM107" t="e">
        <f>AND('Planilla_General_03-12-2012_9_3'!H1707,"AAAAACS7T6g=")</f>
        <v>#VALUE!</v>
      </c>
      <c r="FN107" t="e">
        <f>AND('Planilla_General_03-12-2012_9_3'!I1707,"AAAAACS7T6k=")</f>
        <v>#VALUE!</v>
      </c>
      <c r="FO107" t="e">
        <f>AND('Planilla_General_03-12-2012_9_3'!J1707,"AAAAACS7T6o=")</f>
        <v>#VALUE!</v>
      </c>
      <c r="FP107" t="e">
        <f>AND('Planilla_General_03-12-2012_9_3'!K1707,"AAAAACS7T6s=")</f>
        <v>#VALUE!</v>
      </c>
      <c r="FQ107" t="e">
        <f>AND('Planilla_General_03-12-2012_9_3'!L1707,"AAAAACS7T6w=")</f>
        <v>#VALUE!</v>
      </c>
      <c r="FR107" t="e">
        <f>AND('Planilla_General_03-12-2012_9_3'!M1707,"AAAAACS7T60=")</f>
        <v>#VALUE!</v>
      </c>
      <c r="FS107" t="e">
        <f>AND('Planilla_General_03-12-2012_9_3'!N1707,"AAAAACS7T64=")</f>
        <v>#VALUE!</v>
      </c>
      <c r="FT107" t="e">
        <f>AND('Planilla_General_03-12-2012_9_3'!O1707,"AAAAACS7T68=")</f>
        <v>#VALUE!</v>
      </c>
      <c r="FU107">
        <f>IF('Planilla_General_03-12-2012_9_3'!1708:1708,"AAAAACS7T7A=",0)</f>
        <v>0</v>
      </c>
      <c r="FV107" t="e">
        <f>AND('Planilla_General_03-12-2012_9_3'!A1708,"AAAAACS7T7E=")</f>
        <v>#VALUE!</v>
      </c>
      <c r="FW107" t="e">
        <f>AND('Planilla_General_03-12-2012_9_3'!B1708,"AAAAACS7T7I=")</f>
        <v>#VALUE!</v>
      </c>
      <c r="FX107" t="e">
        <f>AND('Planilla_General_03-12-2012_9_3'!C1708,"AAAAACS7T7M=")</f>
        <v>#VALUE!</v>
      </c>
      <c r="FY107" t="e">
        <f>AND('Planilla_General_03-12-2012_9_3'!D1708,"AAAAACS7T7Q=")</f>
        <v>#VALUE!</v>
      </c>
      <c r="FZ107" t="e">
        <f>AND('Planilla_General_03-12-2012_9_3'!E1708,"AAAAACS7T7U=")</f>
        <v>#VALUE!</v>
      </c>
      <c r="GA107" t="e">
        <f>AND('Planilla_General_03-12-2012_9_3'!F1708,"AAAAACS7T7Y=")</f>
        <v>#VALUE!</v>
      </c>
      <c r="GB107" t="e">
        <f>AND('Planilla_General_03-12-2012_9_3'!G1708,"AAAAACS7T7c=")</f>
        <v>#VALUE!</v>
      </c>
      <c r="GC107" t="e">
        <f>AND('Planilla_General_03-12-2012_9_3'!H1708,"AAAAACS7T7g=")</f>
        <v>#VALUE!</v>
      </c>
      <c r="GD107" t="e">
        <f>AND('Planilla_General_03-12-2012_9_3'!I1708,"AAAAACS7T7k=")</f>
        <v>#VALUE!</v>
      </c>
      <c r="GE107" t="e">
        <f>AND('Planilla_General_03-12-2012_9_3'!J1708,"AAAAACS7T7o=")</f>
        <v>#VALUE!</v>
      </c>
      <c r="GF107" t="e">
        <f>AND('Planilla_General_03-12-2012_9_3'!K1708,"AAAAACS7T7s=")</f>
        <v>#VALUE!</v>
      </c>
      <c r="GG107" t="e">
        <f>AND('Planilla_General_03-12-2012_9_3'!L1708,"AAAAACS7T7w=")</f>
        <v>#VALUE!</v>
      </c>
      <c r="GH107" t="e">
        <f>AND('Planilla_General_03-12-2012_9_3'!M1708,"AAAAACS7T70=")</f>
        <v>#VALUE!</v>
      </c>
      <c r="GI107" t="e">
        <f>AND('Planilla_General_03-12-2012_9_3'!N1708,"AAAAACS7T74=")</f>
        <v>#VALUE!</v>
      </c>
      <c r="GJ107" t="e">
        <f>AND('Planilla_General_03-12-2012_9_3'!O1708,"AAAAACS7T78=")</f>
        <v>#VALUE!</v>
      </c>
      <c r="GK107">
        <f>IF('Planilla_General_03-12-2012_9_3'!1709:1709,"AAAAACS7T8A=",0)</f>
        <v>0</v>
      </c>
      <c r="GL107" t="e">
        <f>AND('Planilla_General_03-12-2012_9_3'!A1709,"AAAAACS7T8E=")</f>
        <v>#VALUE!</v>
      </c>
      <c r="GM107" t="e">
        <f>AND('Planilla_General_03-12-2012_9_3'!B1709,"AAAAACS7T8I=")</f>
        <v>#VALUE!</v>
      </c>
      <c r="GN107" t="e">
        <f>AND('Planilla_General_03-12-2012_9_3'!C1709,"AAAAACS7T8M=")</f>
        <v>#VALUE!</v>
      </c>
      <c r="GO107" t="e">
        <f>AND('Planilla_General_03-12-2012_9_3'!D1709,"AAAAACS7T8Q=")</f>
        <v>#VALUE!</v>
      </c>
      <c r="GP107" t="e">
        <f>AND('Planilla_General_03-12-2012_9_3'!E1709,"AAAAACS7T8U=")</f>
        <v>#VALUE!</v>
      </c>
      <c r="GQ107" t="e">
        <f>AND('Planilla_General_03-12-2012_9_3'!F1709,"AAAAACS7T8Y=")</f>
        <v>#VALUE!</v>
      </c>
      <c r="GR107" t="e">
        <f>AND('Planilla_General_03-12-2012_9_3'!G1709,"AAAAACS7T8c=")</f>
        <v>#VALUE!</v>
      </c>
      <c r="GS107" t="e">
        <f>AND('Planilla_General_03-12-2012_9_3'!H1709,"AAAAACS7T8g=")</f>
        <v>#VALUE!</v>
      </c>
      <c r="GT107" t="e">
        <f>AND('Planilla_General_03-12-2012_9_3'!I1709,"AAAAACS7T8k=")</f>
        <v>#VALUE!</v>
      </c>
      <c r="GU107" t="e">
        <f>AND('Planilla_General_03-12-2012_9_3'!J1709,"AAAAACS7T8o=")</f>
        <v>#VALUE!</v>
      </c>
      <c r="GV107" t="e">
        <f>AND('Planilla_General_03-12-2012_9_3'!K1709,"AAAAACS7T8s=")</f>
        <v>#VALUE!</v>
      </c>
      <c r="GW107" t="e">
        <f>AND('Planilla_General_03-12-2012_9_3'!L1709,"AAAAACS7T8w=")</f>
        <v>#VALUE!</v>
      </c>
      <c r="GX107" t="e">
        <f>AND('Planilla_General_03-12-2012_9_3'!M1709,"AAAAACS7T80=")</f>
        <v>#VALUE!</v>
      </c>
      <c r="GY107" t="e">
        <f>AND('Planilla_General_03-12-2012_9_3'!N1709,"AAAAACS7T84=")</f>
        <v>#VALUE!</v>
      </c>
      <c r="GZ107" t="e">
        <f>AND('Planilla_General_03-12-2012_9_3'!O1709,"AAAAACS7T88=")</f>
        <v>#VALUE!</v>
      </c>
      <c r="HA107">
        <f>IF('Planilla_General_03-12-2012_9_3'!1710:1710,"AAAAACS7T9A=",0)</f>
        <v>0</v>
      </c>
      <c r="HB107" t="e">
        <f>AND('Planilla_General_03-12-2012_9_3'!A1710,"AAAAACS7T9E=")</f>
        <v>#VALUE!</v>
      </c>
      <c r="HC107" t="e">
        <f>AND('Planilla_General_03-12-2012_9_3'!B1710,"AAAAACS7T9I=")</f>
        <v>#VALUE!</v>
      </c>
      <c r="HD107" t="e">
        <f>AND('Planilla_General_03-12-2012_9_3'!C1710,"AAAAACS7T9M=")</f>
        <v>#VALUE!</v>
      </c>
      <c r="HE107" t="e">
        <f>AND('Planilla_General_03-12-2012_9_3'!D1710,"AAAAACS7T9Q=")</f>
        <v>#VALUE!</v>
      </c>
      <c r="HF107" t="e">
        <f>AND('Planilla_General_03-12-2012_9_3'!E1710,"AAAAACS7T9U=")</f>
        <v>#VALUE!</v>
      </c>
      <c r="HG107" t="e">
        <f>AND('Planilla_General_03-12-2012_9_3'!F1710,"AAAAACS7T9Y=")</f>
        <v>#VALUE!</v>
      </c>
      <c r="HH107" t="e">
        <f>AND('Planilla_General_03-12-2012_9_3'!G1710,"AAAAACS7T9c=")</f>
        <v>#VALUE!</v>
      </c>
      <c r="HI107" t="e">
        <f>AND('Planilla_General_03-12-2012_9_3'!H1710,"AAAAACS7T9g=")</f>
        <v>#VALUE!</v>
      </c>
      <c r="HJ107" t="e">
        <f>AND('Planilla_General_03-12-2012_9_3'!I1710,"AAAAACS7T9k=")</f>
        <v>#VALUE!</v>
      </c>
      <c r="HK107" t="e">
        <f>AND('Planilla_General_03-12-2012_9_3'!J1710,"AAAAACS7T9o=")</f>
        <v>#VALUE!</v>
      </c>
      <c r="HL107" t="e">
        <f>AND('Planilla_General_03-12-2012_9_3'!K1710,"AAAAACS7T9s=")</f>
        <v>#VALUE!</v>
      </c>
      <c r="HM107" t="e">
        <f>AND('Planilla_General_03-12-2012_9_3'!L1710,"AAAAACS7T9w=")</f>
        <v>#VALUE!</v>
      </c>
      <c r="HN107" t="e">
        <f>AND('Planilla_General_03-12-2012_9_3'!M1710,"AAAAACS7T90=")</f>
        <v>#VALUE!</v>
      </c>
      <c r="HO107" t="e">
        <f>AND('Planilla_General_03-12-2012_9_3'!N1710,"AAAAACS7T94=")</f>
        <v>#VALUE!</v>
      </c>
      <c r="HP107" t="e">
        <f>AND('Planilla_General_03-12-2012_9_3'!O1710,"AAAAACS7T98=")</f>
        <v>#VALUE!</v>
      </c>
      <c r="HQ107">
        <f>IF('Planilla_General_03-12-2012_9_3'!1711:1711,"AAAAACS7T+A=",0)</f>
        <v>0</v>
      </c>
      <c r="HR107" t="e">
        <f>AND('Planilla_General_03-12-2012_9_3'!A1711,"AAAAACS7T+E=")</f>
        <v>#VALUE!</v>
      </c>
      <c r="HS107" t="e">
        <f>AND('Planilla_General_03-12-2012_9_3'!B1711,"AAAAACS7T+I=")</f>
        <v>#VALUE!</v>
      </c>
      <c r="HT107" t="e">
        <f>AND('Planilla_General_03-12-2012_9_3'!C1711,"AAAAACS7T+M=")</f>
        <v>#VALUE!</v>
      </c>
      <c r="HU107" t="e">
        <f>AND('Planilla_General_03-12-2012_9_3'!D1711,"AAAAACS7T+Q=")</f>
        <v>#VALUE!</v>
      </c>
      <c r="HV107" t="e">
        <f>AND('Planilla_General_03-12-2012_9_3'!E1711,"AAAAACS7T+U=")</f>
        <v>#VALUE!</v>
      </c>
      <c r="HW107" t="e">
        <f>AND('Planilla_General_03-12-2012_9_3'!F1711,"AAAAACS7T+Y=")</f>
        <v>#VALUE!</v>
      </c>
      <c r="HX107" t="e">
        <f>AND('Planilla_General_03-12-2012_9_3'!G1711,"AAAAACS7T+c=")</f>
        <v>#VALUE!</v>
      </c>
      <c r="HY107" t="e">
        <f>AND('Planilla_General_03-12-2012_9_3'!H1711,"AAAAACS7T+g=")</f>
        <v>#VALUE!</v>
      </c>
      <c r="HZ107" t="e">
        <f>AND('Planilla_General_03-12-2012_9_3'!I1711,"AAAAACS7T+k=")</f>
        <v>#VALUE!</v>
      </c>
      <c r="IA107" t="e">
        <f>AND('Planilla_General_03-12-2012_9_3'!J1711,"AAAAACS7T+o=")</f>
        <v>#VALUE!</v>
      </c>
      <c r="IB107" t="e">
        <f>AND('Planilla_General_03-12-2012_9_3'!K1711,"AAAAACS7T+s=")</f>
        <v>#VALUE!</v>
      </c>
      <c r="IC107" t="e">
        <f>AND('Planilla_General_03-12-2012_9_3'!L1711,"AAAAACS7T+w=")</f>
        <v>#VALUE!</v>
      </c>
      <c r="ID107" t="e">
        <f>AND('Planilla_General_03-12-2012_9_3'!M1711,"AAAAACS7T+0=")</f>
        <v>#VALUE!</v>
      </c>
      <c r="IE107" t="e">
        <f>AND('Planilla_General_03-12-2012_9_3'!N1711,"AAAAACS7T+4=")</f>
        <v>#VALUE!</v>
      </c>
      <c r="IF107" t="e">
        <f>AND('Planilla_General_03-12-2012_9_3'!O1711,"AAAAACS7T+8=")</f>
        <v>#VALUE!</v>
      </c>
      <c r="IG107">
        <f>IF('Planilla_General_03-12-2012_9_3'!1712:1712,"AAAAACS7T/A=",0)</f>
        <v>0</v>
      </c>
      <c r="IH107" t="e">
        <f>AND('Planilla_General_03-12-2012_9_3'!A1712,"AAAAACS7T/E=")</f>
        <v>#VALUE!</v>
      </c>
      <c r="II107" t="e">
        <f>AND('Planilla_General_03-12-2012_9_3'!B1712,"AAAAACS7T/I=")</f>
        <v>#VALUE!</v>
      </c>
      <c r="IJ107" t="e">
        <f>AND('Planilla_General_03-12-2012_9_3'!C1712,"AAAAACS7T/M=")</f>
        <v>#VALUE!</v>
      </c>
      <c r="IK107" t="e">
        <f>AND('Planilla_General_03-12-2012_9_3'!D1712,"AAAAACS7T/Q=")</f>
        <v>#VALUE!</v>
      </c>
      <c r="IL107" t="e">
        <f>AND('Planilla_General_03-12-2012_9_3'!E1712,"AAAAACS7T/U=")</f>
        <v>#VALUE!</v>
      </c>
      <c r="IM107" t="e">
        <f>AND('Planilla_General_03-12-2012_9_3'!F1712,"AAAAACS7T/Y=")</f>
        <v>#VALUE!</v>
      </c>
      <c r="IN107" t="e">
        <f>AND('Planilla_General_03-12-2012_9_3'!G1712,"AAAAACS7T/c=")</f>
        <v>#VALUE!</v>
      </c>
      <c r="IO107" t="e">
        <f>AND('Planilla_General_03-12-2012_9_3'!H1712,"AAAAACS7T/g=")</f>
        <v>#VALUE!</v>
      </c>
      <c r="IP107" t="e">
        <f>AND('Planilla_General_03-12-2012_9_3'!I1712,"AAAAACS7T/k=")</f>
        <v>#VALUE!</v>
      </c>
      <c r="IQ107" t="e">
        <f>AND('Planilla_General_03-12-2012_9_3'!J1712,"AAAAACS7T/o=")</f>
        <v>#VALUE!</v>
      </c>
      <c r="IR107" t="e">
        <f>AND('Planilla_General_03-12-2012_9_3'!K1712,"AAAAACS7T/s=")</f>
        <v>#VALUE!</v>
      </c>
      <c r="IS107" t="e">
        <f>AND('Planilla_General_03-12-2012_9_3'!L1712,"AAAAACS7T/w=")</f>
        <v>#VALUE!</v>
      </c>
      <c r="IT107" t="e">
        <f>AND('Planilla_General_03-12-2012_9_3'!M1712,"AAAAACS7T/0=")</f>
        <v>#VALUE!</v>
      </c>
      <c r="IU107" t="e">
        <f>AND('Planilla_General_03-12-2012_9_3'!N1712,"AAAAACS7T/4=")</f>
        <v>#VALUE!</v>
      </c>
      <c r="IV107" t="e">
        <f>AND('Planilla_General_03-12-2012_9_3'!O1712,"AAAAACS7T/8=")</f>
        <v>#VALUE!</v>
      </c>
    </row>
    <row r="108" spans="1:256" x14ac:dyDescent="0.25">
      <c r="A108" t="e">
        <f>IF('Planilla_General_03-12-2012_9_3'!1713:1713,"AAAAAGtjdgA=",0)</f>
        <v>#VALUE!</v>
      </c>
      <c r="B108" t="e">
        <f>AND('Planilla_General_03-12-2012_9_3'!A1713,"AAAAAGtjdgE=")</f>
        <v>#VALUE!</v>
      </c>
      <c r="C108" t="e">
        <f>AND('Planilla_General_03-12-2012_9_3'!B1713,"AAAAAGtjdgI=")</f>
        <v>#VALUE!</v>
      </c>
      <c r="D108" t="e">
        <f>AND('Planilla_General_03-12-2012_9_3'!C1713,"AAAAAGtjdgM=")</f>
        <v>#VALUE!</v>
      </c>
      <c r="E108" t="e">
        <f>AND('Planilla_General_03-12-2012_9_3'!D1713,"AAAAAGtjdgQ=")</f>
        <v>#VALUE!</v>
      </c>
      <c r="F108" t="e">
        <f>AND('Planilla_General_03-12-2012_9_3'!E1713,"AAAAAGtjdgU=")</f>
        <v>#VALUE!</v>
      </c>
      <c r="G108" t="e">
        <f>AND('Planilla_General_03-12-2012_9_3'!F1713,"AAAAAGtjdgY=")</f>
        <v>#VALUE!</v>
      </c>
      <c r="H108" t="e">
        <f>AND('Planilla_General_03-12-2012_9_3'!G1713,"AAAAAGtjdgc=")</f>
        <v>#VALUE!</v>
      </c>
      <c r="I108" t="e">
        <f>AND('Planilla_General_03-12-2012_9_3'!H1713,"AAAAAGtjdgg=")</f>
        <v>#VALUE!</v>
      </c>
      <c r="J108" t="e">
        <f>AND('Planilla_General_03-12-2012_9_3'!I1713,"AAAAAGtjdgk=")</f>
        <v>#VALUE!</v>
      </c>
      <c r="K108" t="e">
        <f>AND('Planilla_General_03-12-2012_9_3'!J1713,"AAAAAGtjdgo=")</f>
        <v>#VALUE!</v>
      </c>
      <c r="L108" t="e">
        <f>AND('Planilla_General_03-12-2012_9_3'!K1713,"AAAAAGtjdgs=")</f>
        <v>#VALUE!</v>
      </c>
      <c r="M108" t="e">
        <f>AND('Planilla_General_03-12-2012_9_3'!L1713,"AAAAAGtjdgw=")</f>
        <v>#VALUE!</v>
      </c>
      <c r="N108" t="e">
        <f>AND('Planilla_General_03-12-2012_9_3'!M1713,"AAAAAGtjdg0=")</f>
        <v>#VALUE!</v>
      </c>
      <c r="O108" t="e">
        <f>AND('Planilla_General_03-12-2012_9_3'!N1713,"AAAAAGtjdg4=")</f>
        <v>#VALUE!</v>
      </c>
      <c r="P108" t="e">
        <f>AND('Planilla_General_03-12-2012_9_3'!O1713,"AAAAAGtjdg8=")</f>
        <v>#VALUE!</v>
      </c>
      <c r="Q108">
        <f>IF('Planilla_General_03-12-2012_9_3'!1714:1714,"AAAAAGtjdhA=",0)</f>
        <v>0</v>
      </c>
      <c r="R108" t="e">
        <f>AND('Planilla_General_03-12-2012_9_3'!A1714,"AAAAAGtjdhE=")</f>
        <v>#VALUE!</v>
      </c>
      <c r="S108" t="e">
        <f>AND('Planilla_General_03-12-2012_9_3'!B1714,"AAAAAGtjdhI=")</f>
        <v>#VALUE!</v>
      </c>
      <c r="T108" t="e">
        <f>AND('Planilla_General_03-12-2012_9_3'!C1714,"AAAAAGtjdhM=")</f>
        <v>#VALUE!</v>
      </c>
      <c r="U108" t="e">
        <f>AND('Planilla_General_03-12-2012_9_3'!D1714,"AAAAAGtjdhQ=")</f>
        <v>#VALUE!</v>
      </c>
      <c r="V108" t="e">
        <f>AND('Planilla_General_03-12-2012_9_3'!E1714,"AAAAAGtjdhU=")</f>
        <v>#VALUE!</v>
      </c>
      <c r="W108" t="e">
        <f>AND('Planilla_General_03-12-2012_9_3'!F1714,"AAAAAGtjdhY=")</f>
        <v>#VALUE!</v>
      </c>
      <c r="X108" t="e">
        <f>AND('Planilla_General_03-12-2012_9_3'!G1714,"AAAAAGtjdhc=")</f>
        <v>#VALUE!</v>
      </c>
      <c r="Y108" t="e">
        <f>AND('Planilla_General_03-12-2012_9_3'!H1714,"AAAAAGtjdhg=")</f>
        <v>#VALUE!</v>
      </c>
      <c r="Z108" t="e">
        <f>AND('Planilla_General_03-12-2012_9_3'!I1714,"AAAAAGtjdhk=")</f>
        <v>#VALUE!</v>
      </c>
      <c r="AA108" t="e">
        <f>AND('Planilla_General_03-12-2012_9_3'!J1714,"AAAAAGtjdho=")</f>
        <v>#VALUE!</v>
      </c>
      <c r="AB108" t="e">
        <f>AND('Planilla_General_03-12-2012_9_3'!K1714,"AAAAAGtjdhs=")</f>
        <v>#VALUE!</v>
      </c>
      <c r="AC108" t="e">
        <f>AND('Planilla_General_03-12-2012_9_3'!L1714,"AAAAAGtjdhw=")</f>
        <v>#VALUE!</v>
      </c>
      <c r="AD108" t="e">
        <f>AND('Planilla_General_03-12-2012_9_3'!M1714,"AAAAAGtjdh0=")</f>
        <v>#VALUE!</v>
      </c>
      <c r="AE108" t="e">
        <f>AND('Planilla_General_03-12-2012_9_3'!N1714,"AAAAAGtjdh4=")</f>
        <v>#VALUE!</v>
      </c>
      <c r="AF108" t="e">
        <f>AND('Planilla_General_03-12-2012_9_3'!O1714,"AAAAAGtjdh8=")</f>
        <v>#VALUE!</v>
      </c>
      <c r="AG108">
        <f>IF('Planilla_General_03-12-2012_9_3'!1715:1715,"AAAAAGtjdiA=",0)</f>
        <v>0</v>
      </c>
      <c r="AH108" t="e">
        <f>AND('Planilla_General_03-12-2012_9_3'!A1715,"AAAAAGtjdiE=")</f>
        <v>#VALUE!</v>
      </c>
      <c r="AI108" t="e">
        <f>AND('Planilla_General_03-12-2012_9_3'!B1715,"AAAAAGtjdiI=")</f>
        <v>#VALUE!</v>
      </c>
      <c r="AJ108" t="e">
        <f>AND('Planilla_General_03-12-2012_9_3'!C1715,"AAAAAGtjdiM=")</f>
        <v>#VALUE!</v>
      </c>
      <c r="AK108" t="e">
        <f>AND('Planilla_General_03-12-2012_9_3'!D1715,"AAAAAGtjdiQ=")</f>
        <v>#VALUE!</v>
      </c>
      <c r="AL108" t="e">
        <f>AND('Planilla_General_03-12-2012_9_3'!E1715,"AAAAAGtjdiU=")</f>
        <v>#VALUE!</v>
      </c>
      <c r="AM108" t="e">
        <f>AND('Planilla_General_03-12-2012_9_3'!F1715,"AAAAAGtjdiY=")</f>
        <v>#VALUE!</v>
      </c>
      <c r="AN108" t="e">
        <f>AND('Planilla_General_03-12-2012_9_3'!G1715,"AAAAAGtjdic=")</f>
        <v>#VALUE!</v>
      </c>
      <c r="AO108" t="e">
        <f>AND('Planilla_General_03-12-2012_9_3'!H1715,"AAAAAGtjdig=")</f>
        <v>#VALUE!</v>
      </c>
      <c r="AP108" t="e">
        <f>AND('Planilla_General_03-12-2012_9_3'!I1715,"AAAAAGtjdik=")</f>
        <v>#VALUE!</v>
      </c>
      <c r="AQ108" t="e">
        <f>AND('Planilla_General_03-12-2012_9_3'!J1715,"AAAAAGtjdio=")</f>
        <v>#VALUE!</v>
      </c>
      <c r="AR108" t="e">
        <f>AND('Planilla_General_03-12-2012_9_3'!K1715,"AAAAAGtjdis=")</f>
        <v>#VALUE!</v>
      </c>
      <c r="AS108" t="e">
        <f>AND('Planilla_General_03-12-2012_9_3'!L1715,"AAAAAGtjdiw=")</f>
        <v>#VALUE!</v>
      </c>
      <c r="AT108" t="e">
        <f>AND('Planilla_General_03-12-2012_9_3'!M1715,"AAAAAGtjdi0=")</f>
        <v>#VALUE!</v>
      </c>
      <c r="AU108" t="e">
        <f>AND('Planilla_General_03-12-2012_9_3'!N1715,"AAAAAGtjdi4=")</f>
        <v>#VALUE!</v>
      </c>
      <c r="AV108" t="e">
        <f>AND('Planilla_General_03-12-2012_9_3'!O1715,"AAAAAGtjdi8=")</f>
        <v>#VALUE!</v>
      </c>
      <c r="AW108">
        <f>IF('Planilla_General_03-12-2012_9_3'!1716:1716,"AAAAAGtjdjA=",0)</f>
        <v>0</v>
      </c>
      <c r="AX108" t="e">
        <f>AND('Planilla_General_03-12-2012_9_3'!A1716,"AAAAAGtjdjE=")</f>
        <v>#VALUE!</v>
      </c>
      <c r="AY108" t="e">
        <f>AND('Planilla_General_03-12-2012_9_3'!B1716,"AAAAAGtjdjI=")</f>
        <v>#VALUE!</v>
      </c>
      <c r="AZ108" t="e">
        <f>AND('Planilla_General_03-12-2012_9_3'!C1716,"AAAAAGtjdjM=")</f>
        <v>#VALUE!</v>
      </c>
      <c r="BA108" t="e">
        <f>AND('Planilla_General_03-12-2012_9_3'!D1716,"AAAAAGtjdjQ=")</f>
        <v>#VALUE!</v>
      </c>
      <c r="BB108" t="e">
        <f>AND('Planilla_General_03-12-2012_9_3'!E1716,"AAAAAGtjdjU=")</f>
        <v>#VALUE!</v>
      </c>
      <c r="BC108" t="e">
        <f>AND('Planilla_General_03-12-2012_9_3'!F1716,"AAAAAGtjdjY=")</f>
        <v>#VALUE!</v>
      </c>
      <c r="BD108" t="e">
        <f>AND('Planilla_General_03-12-2012_9_3'!G1716,"AAAAAGtjdjc=")</f>
        <v>#VALUE!</v>
      </c>
      <c r="BE108" t="e">
        <f>AND('Planilla_General_03-12-2012_9_3'!H1716,"AAAAAGtjdjg=")</f>
        <v>#VALUE!</v>
      </c>
      <c r="BF108" t="e">
        <f>AND('Planilla_General_03-12-2012_9_3'!I1716,"AAAAAGtjdjk=")</f>
        <v>#VALUE!</v>
      </c>
      <c r="BG108" t="e">
        <f>AND('Planilla_General_03-12-2012_9_3'!J1716,"AAAAAGtjdjo=")</f>
        <v>#VALUE!</v>
      </c>
      <c r="BH108" t="e">
        <f>AND('Planilla_General_03-12-2012_9_3'!K1716,"AAAAAGtjdjs=")</f>
        <v>#VALUE!</v>
      </c>
      <c r="BI108" t="e">
        <f>AND('Planilla_General_03-12-2012_9_3'!L1716,"AAAAAGtjdjw=")</f>
        <v>#VALUE!</v>
      </c>
      <c r="BJ108" t="e">
        <f>AND('Planilla_General_03-12-2012_9_3'!M1716,"AAAAAGtjdj0=")</f>
        <v>#VALUE!</v>
      </c>
      <c r="BK108" t="e">
        <f>AND('Planilla_General_03-12-2012_9_3'!N1716,"AAAAAGtjdj4=")</f>
        <v>#VALUE!</v>
      </c>
      <c r="BL108" t="e">
        <f>AND('Planilla_General_03-12-2012_9_3'!O1716,"AAAAAGtjdj8=")</f>
        <v>#VALUE!</v>
      </c>
      <c r="BM108">
        <f>IF('Planilla_General_03-12-2012_9_3'!1717:1717,"AAAAAGtjdkA=",0)</f>
        <v>0</v>
      </c>
      <c r="BN108" t="e">
        <f>AND('Planilla_General_03-12-2012_9_3'!A1717,"AAAAAGtjdkE=")</f>
        <v>#VALUE!</v>
      </c>
      <c r="BO108" t="e">
        <f>AND('Planilla_General_03-12-2012_9_3'!B1717,"AAAAAGtjdkI=")</f>
        <v>#VALUE!</v>
      </c>
      <c r="BP108" t="e">
        <f>AND('Planilla_General_03-12-2012_9_3'!C1717,"AAAAAGtjdkM=")</f>
        <v>#VALUE!</v>
      </c>
      <c r="BQ108" t="e">
        <f>AND('Planilla_General_03-12-2012_9_3'!D1717,"AAAAAGtjdkQ=")</f>
        <v>#VALUE!</v>
      </c>
      <c r="BR108" t="e">
        <f>AND('Planilla_General_03-12-2012_9_3'!E1717,"AAAAAGtjdkU=")</f>
        <v>#VALUE!</v>
      </c>
      <c r="BS108" t="e">
        <f>AND('Planilla_General_03-12-2012_9_3'!F1717,"AAAAAGtjdkY=")</f>
        <v>#VALUE!</v>
      </c>
      <c r="BT108" t="e">
        <f>AND('Planilla_General_03-12-2012_9_3'!G1717,"AAAAAGtjdkc=")</f>
        <v>#VALUE!</v>
      </c>
      <c r="BU108" t="e">
        <f>AND('Planilla_General_03-12-2012_9_3'!H1717,"AAAAAGtjdkg=")</f>
        <v>#VALUE!</v>
      </c>
      <c r="BV108" t="e">
        <f>AND('Planilla_General_03-12-2012_9_3'!I1717,"AAAAAGtjdkk=")</f>
        <v>#VALUE!</v>
      </c>
      <c r="BW108" t="e">
        <f>AND('Planilla_General_03-12-2012_9_3'!J1717,"AAAAAGtjdko=")</f>
        <v>#VALUE!</v>
      </c>
      <c r="BX108" t="e">
        <f>AND('Planilla_General_03-12-2012_9_3'!K1717,"AAAAAGtjdks=")</f>
        <v>#VALUE!</v>
      </c>
      <c r="BY108" t="e">
        <f>AND('Planilla_General_03-12-2012_9_3'!L1717,"AAAAAGtjdkw=")</f>
        <v>#VALUE!</v>
      </c>
      <c r="BZ108" t="e">
        <f>AND('Planilla_General_03-12-2012_9_3'!M1717,"AAAAAGtjdk0=")</f>
        <v>#VALUE!</v>
      </c>
      <c r="CA108" t="e">
        <f>AND('Planilla_General_03-12-2012_9_3'!N1717,"AAAAAGtjdk4=")</f>
        <v>#VALUE!</v>
      </c>
      <c r="CB108" t="e">
        <f>AND('Planilla_General_03-12-2012_9_3'!O1717,"AAAAAGtjdk8=")</f>
        <v>#VALUE!</v>
      </c>
      <c r="CC108">
        <f>IF('Planilla_General_03-12-2012_9_3'!1718:1718,"AAAAAGtjdlA=",0)</f>
        <v>0</v>
      </c>
      <c r="CD108" t="e">
        <f>AND('Planilla_General_03-12-2012_9_3'!A1718,"AAAAAGtjdlE=")</f>
        <v>#VALUE!</v>
      </c>
      <c r="CE108" t="e">
        <f>AND('Planilla_General_03-12-2012_9_3'!B1718,"AAAAAGtjdlI=")</f>
        <v>#VALUE!</v>
      </c>
      <c r="CF108" t="e">
        <f>AND('Planilla_General_03-12-2012_9_3'!C1718,"AAAAAGtjdlM=")</f>
        <v>#VALUE!</v>
      </c>
      <c r="CG108" t="e">
        <f>AND('Planilla_General_03-12-2012_9_3'!D1718,"AAAAAGtjdlQ=")</f>
        <v>#VALUE!</v>
      </c>
      <c r="CH108" t="e">
        <f>AND('Planilla_General_03-12-2012_9_3'!E1718,"AAAAAGtjdlU=")</f>
        <v>#VALUE!</v>
      </c>
      <c r="CI108" t="e">
        <f>AND('Planilla_General_03-12-2012_9_3'!F1718,"AAAAAGtjdlY=")</f>
        <v>#VALUE!</v>
      </c>
      <c r="CJ108" t="e">
        <f>AND('Planilla_General_03-12-2012_9_3'!G1718,"AAAAAGtjdlc=")</f>
        <v>#VALUE!</v>
      </c>
      <c r="CK108" t="e">
        <f>AND('Planilla_General_03-12-2012_9_3'!H1718,"AAAAAGtjdlg=")</f>
        <v>#VALUE!</v>
      </c>
      <c r="CL108" t="e">
        <f>AND('Planilla_General_03-12-2012_9_3'!I1718,"AAAAAGtjdlk=")</f>
        <v>#VALUE!</v>
      </c>
      <c r="CM108" t="e">
        <f>AND('Planilla_General_03-12-2012_9_3'!J1718,"AAAAAGtjdlo=")</f>
        <v>#VALUE!</v>
      </c>
      <c r="CN108" t="e">
        <f>AND('Planilla_General_03-12-2012_9_3'!K1718,"AAAAAGtjdls=")</f>
        <v>#VALUE!</v>
      </c>
      <c r="CO108" t="e">
        <f>AND('Planilla_General_03-12-2012_9_3'!L1718,"AAAAAGtjdlw=")</f>
        <v>#VALUE!</v>
      </c>
      <c r="CP108" t="e">
        <f>AND('Planilla_General_03-12-2012_9_3'!M1718,"AAAAAGtjdl0=")</f>
        <v>#VALUE!</v>
      </c>
      <c r="CQ108" t="e">
        <f>AND('Planilla_General_03-12-2012_9_3'!N1718,"AAAAAGtjdl4=")</f>
        <v>#VALUE!</v>
      </c>
      <c r="CR108" t="e">
        <f>AND('Planilla_General_03-12-2012_9_3'!O1718,"AAAAAGtjdl8=")</f>
        <v>#VALUE!</v>
      </c>
      <c r="CS108">
        <f>IF('Planilla_General_03-12-2012_9_3'!1719:1719,"AAAAAGtjdmA=",0)</f>
        <v>0</v>
      </c>
      <c r="CT108" t="e">
        <f>AND('Planilla_General_03-12-2012_9_3'!A1719,"AAAAAGtjdmE=")</f>
        <v>#VALUE!</v>
      </c>
      <c r="CU108" t="e">
        <f>AND('Planilla_General_03-12-2012_9_3'!B1719,"AAAAAGtjdmI=")</f>
        <v>#VALUE!</v>
      </c>
      <c r="CV108" t="e">
        <f>AND('Planilla_General_03-12-2012_9_3'!C1719,"AAAAAGtjdmM=")</f>
        <v>#VALUE!</v>
      </c>
      <c r="CW108" t="e">
        <f>AND('Planilla_General_03-12-2012_9_3'!D1719,"AAAAAGtjdmQ=")</f>
        <v>#VALUE!</v>
      </c>
      <c r="CX108" t="e">
        <f>AND('Planilla_General_03-12-2012_9_3'!E1719,"AAAAAGtjdmU=")</f>
        <v>#VALUE!</v>
      </c>
      <c r="CY108" t="e">
        <f>AND('Planilla_General_03-12-2012_9_3'!F1719,"AAAAAGtjdmY=")</f>
        <v>#VALUE!</v>
      </c>
      <c r="CZ108" t="e">
        <f>AND('Planilla_General_03-12-2012_9_3'!G1719,"AAAAAGtjdmc=")</f>
        <v>#VALUE!</v>
      </c>
      <c r="DA108" t="e">
        <f>AND('Planilla_General_03-12-2012_9_3'!H1719,"AAAAAGtjdmg=")</f>
        <v>#VALUE!</v>
      </c>
      <c r="DB108" t="e">
        <f>AND('Planilla_General_03-12-2012_9_3'!I1719,"AAAAAGtjdmk=")</f>
        <v>#VALUE!</v>
      </c>
      <c r="DC108" t="e">
        <f>AND('Planilla_General_03-12-2012_9_3'!J1719,"AAAAAGtjdmo=")</f>
        <v>#VALUE!</v>
      </c>
      <c r="DD108" t="e">
        <f>AND('Planilla_General_03-12-2012_9_3'!K1719,"AAAAAGtjdms=")</f>
        <v>#VALUE!</v>
      </c>
      <c r="DE108" t="e">
        <f>AND('Planilla_General_03-12-2012_9_3'!L1719,"AAAAAGtjdmw=")</f>
        <v>#VALUE!</v>
      </c>
      <c r="DF108" t="e">
        <f>AND('Planilla_General_03-12-2012_9_3'!M1719,"AAAAAGtjdm0=")</f>
        <v>#VALUE!</v>
      </c>
      <c r="DG108" t="e">
        <f>AND('Planilla_General_03-12-2012_9_3'!N1719,"AAAAAGtjdm4=")</f>
        <v>#VALUE!</v>
      </c>
      <c r="DH108" t="e">
        <f>AND('Planilla_General_03-12-2012_9_3'!O1719,"AAAAAGtjdm8=")</f>
        <v>#VALUE!</v>
      </c>
      <c r="DI108">
        <f>IF('Planilla_General_03-12-2012_9_3'!1720:1720,"AAAAAGtjdnA=",0)</f>
        <v>0</v>
      </c>
      <c r="DJ108" t="e">
        <f>AND('Planilla_General_03-12-2012_9_3'!A1720,"AAAAAGtjdnE=")</f>
        <v>#VALUE!</v>
      </c>
      <c r="DK108" t="e">
        <f>AND('Planilla_General_03-12-2012_9_3'!B1720,"AAAAAGtjdnI=")</f>
        <v>#VALUE!</v>
      </c>
      <c r="DL108" t="e">
        <f>AND('Planilla_General_03-12-2012_9_3'!C1720,"AAAAAGtjdnM=")</f>
        <v>#VALUE!</v>
      </c>
      <c r="DM108" t="e">
        <f>AND('Planilla_General_03-12-2012_9_3'!D1720,"AAAAAGtjdnQ=")</f>
        <v>#VALUE!</v>
      </c>
      <c r="DN108" t="e">
        <f>AND('Planilla_General_03-12-2012_9_3'!E1720,"AAAAAGtjdnU=")</f>
        <v>#VALUE!</v>
      </c>
      <c r="DO108" t="e">
        <f>AND('Planilla_General_03-12-2012_9_3'!F1720,"AAAAAGtjdnY=")</f>
        <v>#VALUE!</v>
      </c>
      <c r="DP108" t="e">
        <f>AND('Planilla_General_03-12-2012_9_3'!G1720,"AAAAAGtjdnc=")</f>
        <v>#VALUE!</v>
      </c>
      <c r="DQ108" t="e">
        <f>AND('Planilla_General_03-12-2012_9_3'!H1720,"AAAAAGtjdng=")</f>
        <v>#VALUE!</v>
      </c>
      <c r="DR108" t="e">
        <f>AND('Planilla_General_03-12-2012_9_3'!I1720,"AAAAAGtjdnk=")</f>
        <v>#VALUE!</v>
      </c>
      <c r="DS108" t="e">
        <f>AND('Planilla_General_03-12-2012_9_3'!J1720,"AAAAAGtjdno=")</f>
        <v>#VALUE!</v>
      </c>
      <c r="DT108" t="e">
        <f>AND('Planilla_General_03-12-2012_9_3'!K1720,"AAAAAGtjdns=")</f>
        <v>#VALUE!</v>
      </c>
      <c r="DU108" t="e">
        <f>AND('Planilla_General_03-12-2012_9_3'!L1720,"AAAAAGtjdnw=")</f>
        <v>#VALUE!</v>
      </c>
      <c r="DV108" t="e">
        <f>AND('Planilla_General_03-12-2012_9_3'!M1720,"AAAAAGtjdn0=")</f>
        <v>#VALUE!</v>
      </c>
      <c r="DW108" t="e">
        <f>AND('Planilla_General_03-12-2012_9_3'!N1720,"AAAAAGtjdn4=")</f>
        <v>#VALUE!</v>
      </c>
      <c r="DX108" t="e">
        <f>AND('Planilla_General_03-12-2012_9_3'!O1720,"AAAAAGtjdn8=")</f>
        <v>#VALUE!</v>
      </c>
      <c r="DY108">
        <f>IF('Planilla_General_03-12-2012_9_3'!1721:1721,"AAAAAGtjdoA=",0)</f>
        <v>0</v>
      </c>
      <c r="DZ108" t="e">
        <f>AND('Planilla_General_03-12-2012_9_3'!A1721,"AAAAAGtjdoE=")</f>
        <v>#VALUE!</v>
      </c>
      <c r="EA108" t="e">
        <f>AND('Planilla_General_03-12-2012_9_3'!B1721,"AAAAAGtjdoI=")</f>
        <v>#VALUE!</v>
      </c>
      <c r="EB108" t="e">
        <f>AND('Planilla_General_03-12-2012_9_3'!C1721,"AAAAAGtjdoM=")</f>
        <v>#VALUE!</v>
      </c>
      <c r="EC108" t="e">
        <f>AND('Planilla_General_03-12-2012_9_3'!D1721,"AAAAAGtjdoQ=")</f>
        <v>#VALUE!</v>
      </c>
      <c r="ED108" t="e">
        <f>AND('Planilla_General_03-12-2012_9_3'!E1721,"AAAAAGtjdoU=")</f>
        <v>#VALUE!</v>
      </c>
      <c r="EE108" t="e">
        <f>AND('Planilla_General_03-12-2012_9_3'!F1721,"AAAAAGtjdoY=")</f>
        <v>#VALUE!</v>
      </c>
      <c r="EF108" t="e">
        <f>AND('Planilla_General_03-12-2012_9_3'!G1721,"AAAAAGtjdoc=")</f>
        <v>#VALUE!</v>
      </c>
      <c r="EG108" t="e">
        <f>AND('Planilla_General_03-12-2012_9_3'!H1721,"AAAAAGtjdog=")</f>
        <v>#VALUE!</v>
      </c>
      <c r="EH108" t="e">
        <f>AND('Planilla_General_03-12-2012_9_3'!I1721,"AAAAAGtjdok=")</f>
        <v>#VALUE!</v>
      </c>
      <c r="EI108" t="e">
        <f>AND('Planilla_General_03-12-2012_9_3'!J1721,"AAAAAGtjdoo=")</f>
        <v>#VALUE!</v>
      </c>
      <c r="EJ108" t="e">
        <f>AND('Planilla_General_03-12-2012_9_3'!K1721,"AAAAAGtjdos=")</f>
        <v>#VALUE!</v>
      </c>
      <c r="EK108" t="e">
        <f>AND('Planilla_General_03-12-2012_9_3'!L1721,"AAAAAGtjdow=")</f>
        <v>#VALUE!</v>
      </c>
      <c r="EL108" t="e">
        <f>AND('Planilla_General_03-12-2012_9_3'!M1721,"AAAAAGtjdo0=")</f>
        <v>#VALUE!</v>
      </c>
      <c r="EM108" t="e">
        <f>AND('Planilla_General_03-12-2012_9_3'!N1721,"AAAAAGtjdo4=")</f>
        <v>#VALUE!</v>
      </c>
      <c r="EN108" t="e">
        <f>AND('Planilla_General_03-12-2012_9_3'!O1721,"AAAAAGtjdo8=")</f>
        <v>#VALUE!</v>
      </c>
      <c r="EO108">
        <f>IF('Planilla_General_03-12-2012_9_3'!1722:1722,"AAAAAGtjdpA=",0)</f>
        <v>0</v>
      </c>
      <c r="EP108" t="e">
        <f>AND('Planilla_General_03-12-2012_9_3'!A1722,"AAAAAGtjdpE=")</f>
        <v>#VALUE!</v>
      </c>
      <c r="EQ108" t="e">
        <f>AND('Planilla_General_03-12-2012_9_3'!B1722,"AAAAAGtjdpI=")</f>
        <v>#VALUE!</v>
      </c>
      <c r="ER108" t="e">
        <f>AND('Planilla_General_03-12-2012_9_3'!C1722,"AAAAAGtjdpM=")</f>
        <v>#VALUE!</v>
      </c>
      <c r="ES108" t="e">
        <f>AND('Planilla_General_03-12-2012_9_3'!D1722,"AAAAAGtjdpQ=")</f>
        <v>#VALUE!</v>
      </c>
      <c r="ET108" t="e">
        <f>AND('Planilla_General_03-12-2012_9_3'!E1722,"AAAAAGtjdpU=")</f>
        <v>#VALUE!</v>
      </c>
      <c r="EU108" t="e">
        <f>AND('Planilla_General_03-12-2012_9_3'!F1722,"AAAAAGtjdpY=")</f>
        <v>#VALUE!</v>
      </c>
      <c r="EV108" t="e">
        <f>AND('Planilla_General_03-12-2012_9_3'!G1722,"AAAAAGtjdpc=")</f>
        <v>#VALUE!</v>
      </c>
      <c r="EW108" t="e">
        <f>AND('Planilla_General_03-12-2012_9_3'!H1722,"AAAAAGtjdpg=")</f>
        <v>#VALUE!</v>
      </c>
      <c r="EX108" t="e">
        <f>AND('Planilla_General_03-12-2012_9_3'!I1722,"AAAAAGtjdpk=")</f>
        <v>#VALUE!</v>
      </c>
      <c r="EY108" t="e">
        <f>AND('Planilla_General_03-12-2012_9_3'!J1722,"AAAAAGtjdpo=")</f>
        <v>#VALUE!</v>
      </c>
      <c r="EZ108" t="e">
        <f>AND('Planilla_General_03-12-2012_9_3'!K1722,"AAAAAGtjdps=")</f>
        <v>#VALUE!</v>
      </c>
      <c r="FA108" t="e">
        <f>AND('Planilla_General_03-12-2012_9_3'!L1722,"AAAAAGtjdpw=")</f>
        <v>#VALUE!</v>
      </c>
      <c r="FB108" t="e">
        <f>AND('Planilla_General_03-12-2012_9_3'!M1722,"AAAAAGtjdp0=")</f>
        <v>#VALUE!</v>
      </c>
      <c r="FC108" t="e">
        <f>AND('Planilla_General_03-12-2012_9_3'!N1722,"AAAAAGtjdp4=")</f>
        <v>#VALUE!</v>
      </c>
      <c r="FD108" t="e">
        <f>AND('Planilla_General_03-12-2012_9_3'!O1722,"AAAAAGtjdp8=")</f>
        <v>#VALUE!</v>
      </c>
      <c r="FE108">
        <f>IF('Planilla_General_03-12-2012_9_3'!1723:1723,"AAAAAGtjdqA=",0)</f>
        <v>0</v>
      </c>
      <c r="FF108" t="e">
        <f>AND('Planilla_General_03-12-2012_9_3'!A1723,"AAAAAGtjdqE=")</f>
        <v>#VALUE!</v>
      </c>
      <c r="FG108" t="e">
        <f>AND('Planilla_General_03-12-2012_9_3'!B1723,"AAAAAGtjdqI=")</f>
        <v>#VALUE!</v>
      </c>
      <c r="FH108" t="e">
        <f>AND('Planilla_General_03-12-2012_9_3'!C1723,"AAAAAGtjdqM=")</f>
        <v>#VALUE!</v>
      </c>
      <c r="FI108" t="e">
        <f>AND('Planilla_General_03-12-2012_9_3'!D1723,"AAAAAGtjdqQ=")</f>
        <v>#VALUE!</v>
      </c>
      <c r="FJ108" t="e">
        <f>AND('Planilla_General_03-12-2012_9_3'!E1723,"AAAAAGtjdqU=")</f>
        <v>#VALUE!</v>
      </c>
      <c r="FK108" t="e">
        <f>AND('Planilla_General_03-12-2012_9_3'!F1723,"AAAAAGtjdqY=")</f>
        <v>#VALUE!</v>
      </c>
      <c r="FL108" t="e">
        <f>AND('Planilla_General_03-12-2012_9_3'!G1723,"AAAAAGtjdqc=")</f>
        <v>#VALUE!</v>
      </c>
      <c r="FM108" t="e">
        <f>AND('Planilla_General_03-12-2012_9_3'!H1723,"AAAAAGtjdqg=")</f>
        <v>#VALUE!</v>
      </c>
      <c r="FN108" t="e">
        <f>AND('Planilla_General_03-12-2012_9_3'!I1723,"AAAAAGtjdqk=")</f>
        <v>#VALUE!</v>
      </c>
      <c r="FO108" t="e">
        <f>AND('Planilla_General_03-12-2012_9_3'!J1723,"AAAAAGtjdqo=")</f>
        <v>#VALUE!</v>
      </c>
      <c r="FP108" t="e">
        <f>AND('Planilla_General_03-12-2012_9_3'!K1723,"AAAAAGtjdqs=")</f>
        <v>#VALUE!</v>
      </c>
      <c r="FQ108" t="e">
        <f>AND('Planilla_General_03-12-2012_9_3'!L1723,"AAAAAGtjdqw=")</f>
        <v>#VALUE!</v>
      </c>
      <c r="FR108" t="e">
        <f>AND('Planilla_General_03-12-2012_9_3'!M1723,"AAAAAGtjdq0=")</f>
        <v>#VALUE!</v>
      </c>
      <c r="FS108" t="e">
        <f>AND('Planilla_General_03-12-2012_9_3'!N1723,"AAAAAGtjdq4=")</f>
        <v>#VALUE!</v>
      </c>
      <c r="FT108" t="e">
        <f>AND('Planilla_General_03-12-2012_9_3'!O1723,"AAAAAGtjdq8=")</f>
        <v>#VALUE!</v>
      </c>
      <c r="FU108">
        <f>IF('Planilla_General_03-12-2012_9_3'!1724:1724,"AAAAAGtjdrA=",0)</f>
        <v>0</v>
      </c>
      <c r="FV108" t="e">
        <f>AND('Planilla_General_03-12-2012_9_3'!A1724,"AAAAAGtjdrE=")</f>
        <v>#VALUE!</v>
      </c>
      <c r="FW108" t="e">
        <f>AND('Planilla_General_03-12-2012_9_3'!B1724,"AAAAAGtjdrI=")</f>
        <v>#VALUE!</v>
      </c>
      <c r="FX108" t="e">
        <f>AND('Planilla_General_03-12-2012_9_3'!C1724,"AAAAAGtjdrM=")</f>
        <v>#VALUE!</v>
      </c>
      <c r="FY108" t="e">
        <f>AND('Planilla_General_03-12-2012_9_3'!D1724,"AAAAAGtjdrQ=")</f>
        <v>#VALUE!</v>
      </c>
      <c r="FZ108" t="e">
        <f>AND('Planilla_General_03-12-2012_9_3'!E1724,"AAAAAGtjdrU=")</f>
        <v>#VALUE!</v>
      </c>
      <c r="GA108" t="e">
        <f>AND('Planilla_General_03-12-2012_9_3'!F1724,"AAAAAGtjdrY=")</f>
        <v>#VALUE!</v>
      </c>
      <c r="GB108" t="e">
        <f>AND('Planilla_General_03-12-2012_9_3'!G1724,"AAAAAGtjdrc=")</f>
        <v>#VALUE!</v>
      </c>
      <c r="GC108" t="e">
        <f>AND('Planilla_General_03-12-2012_9_3'!H1724,"AAAAAGtjdrg=")</f>
        <v>#VALUE!</v>
      </c>
      <c r="GD108" t="e">
        <f>AND('Planilla_General_03-12-2012_9_3'!I1724,"AAAAAGtjdrk=")</f>
        <v>#VALUE!</v>
      </c>
      <c r="GE108" t="e">
        <f>AND('Planilla_General_03-12-2012_9_3'!J1724,"AAAAAGtjdro=")</f>
        <v>#VALUE!</v>
      </c>
      <c r="GF108" t="e">
        <f>AND('Planilla_General_03-12-2012_9_3'!K1724,"AAAAAGtjdrs=")</f>
        <v>#VALUE!</v>
      </c>
      <c r="GG108" t="e">
        <f>AND('Planilla_General_03-12-2012_9_3'!L1724,"AAAAAGtjdrw=")</f>
        <v>#VALUE!</v>
      </c>
      <c r="GH108" t="e">
        <f>AND('Planilla_General_03-12-2012_9_3'!M1724,"AAAAAGtjdr0=")</f>
        <v>#VALUE!</v>
      </c>
      <c r="GI108" t="e">
        <f>AND('Planilla_General_03-12-2012_9_3'!N1724,"AAAAAGtjdr4=")</f>
        <v>#VALUE!</v>
      </c>
      <c r="GJ108" t="e">
        <f>AND('Planilla_General_03-12-2012_9_3'!O1724,"AAAAAGtjdr8=")</f>
        <v>#VALUE!</v>
      </c>
      <c r="GK108">
        <f>IF('Planilla_General_03-12-2012_9_3'!1725:1725,"AAAAAGtjdsA=",0)</f>
        <v>0</v>
      </c>
      <c r="GL108" t="e">
        <f>AND('Planilla_General_03-12-2012_9_3'!A1725,"AAAAAGtjdsE=")</f>
        <v>#VALUE!</v>
      </c>
      <c r="GM108" t="e">
        <f>AND('Planilla_General_03-12-2012_9_3'!B1725,"AAAAAGtjdsI=")</f>
        <v>#VALUE!</v>
      </c>
      <c r="GN108" t="e">
        <f>AND('Planilla_General_03-12-2012_9_3'!C1725,"AAAAAGtjdsM=")</f>
        <v>#VALUE!</v>
      </c>
      <c r="GO108" t="e">
        <f>AND('Planilla_General_03-12-2012_9_3'!D1725,"AAAAAGtjdsQ=")</f>
        <v>#VALUE!</v>
      </c>
      <c r="GP108" t="e">
        <f>AND('Planilla_General_03-12-2012_9_3'!E1725,"AAAAAGtjdsU=")</f>
        <v>#VALUE!</v>
      </c>
      <c r="GQ108" t="e">
        <f>AND('Planilla_General_03-12-2012_9_3'!F1725,"AAAAAGtjdsY=")</f>
        <v>#VALUE!</v>
      </c>
      <c r="GR108" t="e">
        <f>AND('Planilla_General_03-12-2012_9_3'!G1725,"AAAAAGtjdsc=")</f>
        <v>#VALUE!</v>
      </c>
      <c r="GS108" t="e">
        <f>AND('Planilla_General_03-12-2012_9_3'!H1725,"AAAAAGtjdsg=")</f>
        <v>#VALUE!</v>
      </c>
      <c r="GT108" t="e">
        <f>AND('Planilla_General_03-12-2012_9_3'!I1725,"AAAAAGtjdsk=")</f>
        <v>#VALUE!</v>
      </c>
      <c r="GU108" t="e">
        <f>AND('Planilla_General_03-12-2012_9_3'!J1725,"AAAAAGtjdso=")</f>
        <v>#VALUE!</v>
      </c>
      <c r="GV108" t="e">
        <f>AND('Planilla_General_03-12-2012_9_3'!K1725,"AAAAAGtjdss=")</f>
        <v>#VALUE!</v>
      </c>
      <c r="GW108" t="e">
        <f>AND('Planilla_General_03-12-2012_9_3'!L1725,"AAAAAGtjdsw=")</f>
        <v>#VALUE!</v>
      </c>
      <c r="GX108" t="e">
        <f>AND('Planilla_General_03-12-2012_9_3'!M1725,"AAAAAGtjds0=")</f>
        <v>#VALUE!</v>
      </c>
      <c r="GY108" t="e">
        <f>AND('Planilla_General_03-12-2012_9_3'!N1725,"AAAAAGtjds4=")</f>
        <v>#VALUE!</v>
      </c>
      <c r="GZ108" t="e">
        <f>AND('Planilla_General_03-12-2012_9_3'!O1725,"AAAAAGtjds8=")</f>
        <v>#VALUE!</v>
      </c>
      <c r="HA108">
        <f>IF('Planilla_General_03-12-2012_9_3'!1726:1726,"AAAAAGtjdtA=",0)</f>
        <v>0</v>
      </c>
      <c r="HB108" t="e">
        <f>AND('Planilla_General_03-12-2012_9_3'!A1726,"AAAAAGtjdtE=")</f>
        <v>#VALUE!</v>
      </c>
      <c r="HC108" t="e">
        <f>AND('Planilla_General_03-12-2012_9_3'!B1726,"AAAAAGtjdtI=")</f>
        <v>#VALUE!</v>
      </c>
      <c r="HD108" t="e">
        <f>AND('Planilla_General_03-12-2012_9_3'!C1726,"AAAAAGtjdtM=")</f>
        <v>#VALUE!</v>
      </c>
      <c r="HE108" t="e">
        <f>AND('Planilla_General_03-12-2012_9_3'!D1726,"AAAAAGtjdtQ=")</f>
        <v>#VALUE!</v>
      </c>
      <c r="HF108" t="e">
        <f>AND('Planilla_General_03-12-2012_9_3'!E1726,"AAAAAGtjdtU=")</f>
        <v>#VALUE!</v>
      </c>
      <c r="HG108" t="e">
        <f>AND('Planilla_General_03-12-2012_9_3'!F1726,"AAAAAGtjdtY=")</f>
        <v>#VALUE!</v>
      </c>
      <c r="HH108" t="e">
        <f>AND('Planilla_General_03-12-2012_9_3'!G1726,"AAAAAGtjdtc=")</f>
        <v>#VALUE!</v>
      </c>
      <c r="HI108" t="e">
        <f>AND('Planilla_General_03-12-2012_9_3'!H1726,"AAAAAGtjdtg=")</f>
        <v>#VALUE!</v>
      </c>
      <c r="HJ108" t="e">
        <f>AND('Planilla_General_03-12-2012_9_3'!I1726,"AAAAAGtjdtk=")</f>
        <v>#VALUE!</v>
      </c>
      <c r="HK108" t="e">
        <f>AND('Planilla_General_03-12-2012_9_3'!J1726,"AAAAAGtjdto=")</f>
        <v>#VALUE!</v>
      </c>
      <c r="HL108" t="e">
        <f>AND('Planilla_General_03-12-2012_9_3'!K1726,"AAAAAGtjdts=")</f>
        <v>#VALUE!</v>
      </c>
      <c r="HM108" t="e">
        <f>AND('Planilla_General_03-12-2012_9_3'!L1726,"AAAAAGtjdtw=")</f>
        <v>#VALUE!</v>
      </c>
      <c r="HN108" t="e">
        <f>AND('Planilla_General_03-12-2012_9_3'!M1726,"AAAAAGtjdt0=")</f>
        <v>#VALUE!</v>
      </c>
      <c r="HO108" t="e">
        <f>AND('Planilla_General_03-12-2012_9_3'!N1726,"AAAAAGtjdt4=")</f>
        <v>#VALUE!</v>
      </c>
      <c r="HP108" t="e">
        <f>AND('Planilla_General_03-12-2012_9_3'!O1726,"AAAAAGtjdt8=")</f>
        <v>#VALUE!</v>
      </c>
      <c r="HQ108">
        <f>IF('Planilla_General_03-12-2012_9_3'!1727:1727,"AAAAAGtjduA=",0)</f>
        <v>0</v>
      </c>
      <c r="HR108" t="e">
        <f>AND('Planilla_General_03-12-2012_9_3'!A1727,"AAAAAGtjduE=")</f>
        <v>#VALUE!</v>
      </c>
      <c r="HS108" t="e">
        <f>AND('Planilla_General_03-12-2012_9_3'!B1727,"AAAAAGtjduI=")</f>
        <v>#VALUE!</v>
      </c>
      <c r="HT108" t="e">
        <f>AND('Planilla_General_03-12-2012_9_3'!C1727,"AAAAAGtjduM=")</f>
        <v>#VALUE!</v>
      </c>
      <c r="HU108" t="e">
        <f>AND('Planilla_General_03-12-2012_9_3'!D1727,"AAAAAGtjduQ=")</f>
        <v>#VALUE!</v>
      </c>
      <c r="HV108" t="e">
        <f>AND('Planilla_General_03-12-2012_9_3'!E1727,"AAAAAGtjduU=")</f>
        <v>#VALUE!</v>
      </c>
      <c r="HW108" t="e">
        <f>AND('Planilla_General_03-12-2012_9_3'!F1727,"AAAAAGtjduY=")</f>
        <v>#VALUE!</v>
      </c>
      <c r="HX108" t="e">
        <f>AND('Planilla_General_03-12-2012_9_3'!G1727,"AAAAAGtjduc=")</f>
        <v>#VALUE!</v>
      </c>
      <c r="HY108" t="e">
        <f>AND('Planilla_General_03-12-2012_9_3'!H1727,"AAAAAGtjdug=")</f>
        <v>#VALUE!</v>
      </c>
      <c r="HZ108" t="e">
        <f>AND('Planilla_General_03-12-2012_9_3'!I1727,"AAAAAGtjduk=")</f>
        <v>#VALUE!</v>
      </c>
      <c r="IA108" t="e">
        <f>AND('Planilla_General_03-12-2012_9_3'!J1727,"AAAAAGtjduo=")</f>
        <v>#VALUE!</v>
      </c>
      <c r="IB108" t="e">
        <f>AND('Planilla_General_03-12-2012_9_3'!K1727,"AAAAAGtjdus=")</f>
        <v>#VALUE!</v>
      </c>
      <c r="IC108" t="e">
        <f>AND('Planilla_General_03-12-2012_9_3'!L1727,"AAAAAGtjduw=")</f>
        <v>#VALUE!</v>
      </c>
      <c r="ID108" t="e">
        <f>AND('Planilla_General_03-12-2012_9_3'!M1727,"AAAAAGtjdu0=")</f>
        <v>#VALUE!</v>
      </c>
      <c r="IE108" t="e">
        <f>AND('Planilla_General_03-12-2012_9_3'!N1727,"AAAAAGtjdu4=")</f>
        <v>#VALUE!</v>
      </c>
      <c r="IF108" t="e">
        <f>AND('Planilla_General_03-12-2012_9_3'!O1727,"AAAAAGtjdu8=")</f>
        <v>#VALUE!</v>
      </c>
      <c r="IG108">
        <f>IF('Planilla_General_03-12-2012_9_3'!1728:1728,"AAAAAGtjdvA=",0)</f>
        <v>0</v>
      </c>
      <c r="IH108" t="e">
        <f>AND('Planilla_General_03-12-2012_9_3'!A1728,"AAAAAGtjdvE=")</f>
        <v>#VALUE!</v>
      </c>
      <c r="II108" t="e">
        <f>AND('Planilla_General_03-12-2012_9_3'!B1728,"AAAAAGtjdvI=")</f>
        <v>#VALUE!</v>
      </c>
      <c r="IJ108" t="e">
        <f>AND('Planilla_General_03-12-2012_9_3'!C1728,"AAAAAGtjdvM=")</f>
        <v>#VALUE!</v>
      </c>
      <c r="IK108" t="e">
        <f>AND('Planilla_General_03-12-2012_9_3'!D1728,"AAAAAGtjdvQ=")</f>
        <v>#VALUE!</v>
      </c>
      <c r="IL108" t="e">
        <f>AND('Planilla_General_03-12-2012_9_3'!E1728,"AAAAAGtjdvU=")</f>
        <v>#VALUE!</v>
      </c>
      <c r="IM108" t="e">
        <f>AND('Planilla_General_03-12-2012_9_3'!F1728,"AAAAAGtjdvY=")</f>
        <v>#VALUE!</v>
      </c>
      <c r="IN108" t="e">
        <f>AND('Planilla_General_03-12-2012_9_3'!G1728,"AAAAAGtjdvc=")</f>
        <v>#VALUE!</v>
      </c>
      <c r="IO108" t="e">
        <f>AND('Planilla_General_03-12-2012_9_3'!H1728,"AAAAAGtjdvg=")</f>
        <v>#VALUE!</v>
      </c>
      <c r="IP108" t="e">
        <f>AND('Planilla_General_03-12-2012_9_3'!I1728,"AAAAAGtjdvk=")</f>
        <v>#VALUE!</v>
      </c>
      <c r="IQ108" t="e">
        <f>AND('Planilla_General_03-12-2012_9_3'!J1728,"AAAAAGtjdvo=")</f>
        <v>#VALUE!</v>
      </c>
      <c r="IR108" t="e">
        <f>AND('Planilla_General_03-12-2012_9_3'!K1728,"AAAAAGtjdvs=")</f>
        <v>#VALUE!</v>
      </c>
      <c r="IS108" t="e">
        <f>AND('Planilla_General_03-12-2012_9_3'!L1728,"AAAAAGtjdvw=")</f>
        <v>#VALUE!</v>
      </c>
      <c r="IT108" t="e">
        <f>AND('Planilla_General_03-12-2012_9_3'!M1728,"AAAAAGtjdv0=")</f>
        <v>#VALUE!</v>
      </c>
      <c r="IU108" t="e">
        <f>AND('Planilla_General_03-12-2012_9_3'!N1728,"AAAAAGtjdv4=")</f>
        <v>#VALUE!</v>
      </c>
      <c r="IV108" t="e">
        <f>AND('Planilla_General_03-12-2012_9_3'!O1728,"AAAAAGtjdv8=")</f>
        <v>#VALUE!</v>
      </c>
    </row>
    <row r="109" spans="1:256" x14ac:dyDescent="0.25">
      <c r="A109" t="e">
        <f>IF('Planilla_General_03-12-2012_9_3'!1729:1729,"AAAAAD5/fwA=",0)</f>
        <v>#VALUE!</v>
      </c>
      <c r="B109" t="e">
        <f>AND('Planilla_General_03-12-2012_9_3'!A1729,"AAAAAD5/fwE=")</f>
        <v>#VALUE!</v>
      </c>
      <c r="C109" t="e">
        <f>AND('Planilla_General_03-12-2012_9_3'!B1729,"AAAAAD5/fwI=")</f>
        <v>#VALUE!</v>
      </c>
      <c r="D109" t="e">
        <f>AND('Planilla_General_03-12-2012_9_3'!C1729,"AAAAAD5/fwM=")</f>
        <v>#VALUE!</v>
      </c>
      <c r="E109" t="e">
        <f>AND('Planilla_General_03-12-2012_9_3'!D1729,"AAAAAD5/fwQ=")</f>
        <v>#VALUE!</v>
      </c>
      <c r="F109" t="e">
        <f>AND('Planilla_General_03-12-2012_9_3'!E1729,"AAAAAD5/fwU=")</f>
        <v>#VALUE!</v>
      </c>
      <c r="G109" t="e">
        <f>AND('Planilla_General_03-12-2012_9_3'!F1729,"AAAAAD5/fwY=")</f>
        <v>#VALUE!</v>
      </c>
      <c r="H109" t="e">
        <f>AND('Planilla_General_03-12-2012_9_3'!G1729,"AAAAAD5/fwc=")</f>
        <v>#VALUE!</v>
      </c>
      <c r="I109" t="e">
        <f>AND('Planilla_General_03-12-2012_9_3'!H1729,"AAAAAD5/fwg=")</f>
        <v>#VALUE!</v>
      </c>
      <c r="J109" t="e">
        <f>AND('Planilla_General_03-12-2012_9_3'!I1729,"AAAAAD5/fwk=")</f>
        <v>#VALUE!</v>
      </c>
      <c r="K109" t="e">
        <f>AND('Planilla_General_03-12-2012_9_3'!J1729,"AAAAAD5/fwo=")</f>
        <v>#VALUE!</v>
      </c>
      <c r="L109" t="e">
        <f>AND('Planilla_General_03-12-2012_9_3'!K1729,"AAAAAD5/fws=")</f>
        <v>#VALUE!</v>
      </c>
      <c r="M109" t="e">
        <f>AND('Planilla_General_03-12-2012_9_3'!L1729,"AAAAAD5/fww=")</f>
        <v>#VALUE!</v>
      </c>
      <c r="N109" t="e">
        <f>AND('Planilla_General_03-12-2012_9_3'!M1729,"AAAAAD5/fw0=")</f>
        <v>#VALUE!</v>
      </c>
      <c r="O109" t="e">
        <f>AND('Planilla_General_03-12-2012_9_3'!N1729,"AAAAAD5/fw4=")</f>
        <v>#VALUE!</v>
      </c>
      <c r="P109" t="e">
        <f>AND('Planilla_General_03-12-2012_9_3'!O1729,"AAAAAD5/fw8=")</f>
        <v>#VALUE!</v>
      </c>
      <c r="Q109">
        <f>IF('Planilla_General_03-12-2012_9_3'!1730:1730,"AAAAAD5/fxA=",0)</f>
        <v>0</v>
      </c>
      <c r="R109" t="e">
        <f>AND('Planilla_General_03-12-2012_9_3'!A1730,"AAAAAD5/fxE=")</f>
        <v>#VALUE!</v>
      </c>
      <c r="S109" t="e">
        <f>AND('Planilla_General_03-12-2012_9_3'!B1730,"AAAAAD5/fxI=")</f>
        <v>#VALUE!</v>
      </c>
      <c r="T109" t="e">
        <f>AND('Planilla_General_03-12-2012_9_3'!C1730,"AAAAAD5/fxM=")</f>
        <v>#VALUE!</v>
      </c>
      <c r="U109" t="e">
        <f>AND('Planilla_General_03-12-2012_9_3'!D1730,"AAAAAD5/fxQ=")</f>
        <v>#VALUE!</v>
      </c>
      <c r="V109" t="e">
        <f>AND('Planilla_General_03-12-2012_9_3'!E1730,"AAAAAD5/fxU=")</f>
        <v>#VALUE!</v>
      </c>
      <c r="W109" t="e">
        <f>AND('Planilla_General_03-12-2012_9_3'!F1730,"AAAAAD5/fxY=")</f>
        <v>#VALUE!</v>
      </c>
      <c r="X109" t="e">
        <f>AND('Planilla_General_03-12-2012_9_3'!G1730,"AAAAAD5/fxc=")</f>
        <v>#VALUE!</v>
      </c>
      <c r="Y109" t="e">
        <f>AND('Planilla_General_03-12-2012_9_3'!H1730,"AAAAAD5/fxg=")</f>
        <v>#VALUE!</v>
      </c>
      <c r="Z109" t="e">
        <f>AND('Planilla_General_03-12-2012_9_3'!I1730,"AAAAAD5/fxk=")</f>
        <v>#VALUE!</v>
      </c>
      <c r="AA109" t="e">
        <f>AND('Planilla_General_03-12-2012_9_3'!J1730,"AAAAAD5/fxo=")</f>
        <v>#VALUE!</v>
      </c>
      <c r="AB109" t="e">
        <f>AND('Planilla_General_03-12-2012_9_3'!K1730,"AAAAAD5/fxs=")</f>
        <v>#VALUE!</v>
      </c>
      <c r="AC109" t="e">
        <f>AND('Planilla_General_03-12-2012_9_3'!L1730,"AAAAAD5/fxw=")</f>
        <v>#VALUE!</v>
      </c>
      <c r="AD109" t="e">
        <f>AND('Planilla_General_03-12-2012_9_3'!M1730,"AAAAAD5/fx0=")</f>
        <v>#VALUE!</v>
      </c>
      <c r="AE109" t="e">
        <f>AND('Planilla_General_03-12-2012_9_3'!N1730,"AAAAAD5/fx4=")</f>
        <v>#VALUE!</v>
      </c>
      <c r="AF109" t="e">
        <f>AND('Planilla_General_03-12-2012_9_3'!O1730,"AAAAAD5/fx8=")</f>
        <v>#VALUE!</v>
      </c>
      <c r="AG109">
        <f>IF('Planilla_General_03-12-2012_9_3'!1731:1731,"AAAAAD5/fyA=",0)</f>
        <v>0</v>
      </c>
      <c r="AH109" t="e">
        <f>AND('Planilla_General_03-12-2012_9_3'!A1731,"AAAAAD5/fyE=")</f>
        <v>#VALUE!</v>
      </c>
      <c r="AI109" t="e">
        <f>AND('Planilla_General_03-12-2012_9_3'!B1731,"AAAAAD5/fyI=")</f>
        <v>#VALUE!</v>
      </c>
      <c r="AJ109" t="e">
        <f>AND('Planilla_General_03-12-2012_9_3'!C1731,"AAAAAD5/fyM=")</f>
        <v>#VALUE!</v>
      </c>
      <c r="AK109" t="e">
        <f>AND('Planilla_General_03-12-2012_9_3'!D1731,"AAAAAD5/fyQ=")</f>
        <v>#VALUE!</v>
      </c>
      <c r="AL109" t="e">
        <f>AND('Planilla_General_03-12-2012_9_3'!E1731,"AAAAAD5/fyU=")</f>
        <v>#VALUE!</v>
      </c>
      <c r="AM109" t="e">
        <f>AND('Planilla_General_03-12-2012_9_3'!F1731,"AAAAAD5/fyY=")</f>
        <v>#VALUE!</v>
      </c>
      <c r="AN109" t="e">
        <f>AND('Planilla_General_03-12-2012_9_3'!G1731,"AAAAAD5/fyc=")</f>
        <v>#VALUE!</v>
      </c>
      <c r="AO109" t="e">
        <f>AND('Planilla_General_03-12-2012_9_3'!H1731,"AAAAAD5/fyg=")</f>
        <v>#VALUE!</v>
      </c>
      <c r="AP109" t="e">
        <f>AND('Planilla_General_03-12-2012_9_3'!I1731,"AAAAAD5/fyk=")</f>
        <v>#VALUE!</v>
      </c>
      <c r="AQ109" t="e">
        <f>AND('Planilla_General_03-12-2012_9_3'!J1731,"AAAAAD5/fyo=")</f>
        <v>#VALUE!</v>
      </c>
      <c r="AR109" t="e">
        <f>AND('Planilla_General_03-12-2012_9_3'!K1731,"AAAAAD5/fys=")</f>
        <v>#VALUE!</v>
      </c>
      <c r="AS109" t="e">
        <f>AND('Planilla_General_03-12-2012_9_3'!L1731,"AAAAAD5/fyw=")</f>
        <v>#VALUE!</v>
      </c>
      <c r="AT109" t="e">
        <f>AND('Planilla_General_03-12-2012_9_3'!M1731,"AAAAAD5/fy0=")</f>
        <v>#VALUE!</v>
      </c>
      <c r="AU109" t="e">
        <f>AND('Planilla_General_03-12-2012_9_3'!N1731,"AAAAAD5/fy4=")</f>
        <v>#VALUE!</v>
      </c>
      <c r="AV109" t="e">
        <f>AND('Planilla_General_03-12-2012_9_3'!O1731,"AAAAAD5/fy8=")</f>
        <v>#VALUE!</v>
      </c>
      <c r="AW109">
        <f>IF('Planilla_General_03-12-2012_9_3'!1732:1732,"AAAAAD5/fzA=",0)</f>
        <v>0</v>
      </c>
      <c r="AX109" t="e">
        <f>AND('Planilla_General_03-12-2012_9_3'!A1732,"AAAAAD5/fzE=")</f>
        <v>#VALUE!</v>
      </c>
      <c r="AY109" t="e">
        <f>AND('Planilla_General_03-12-2012_9_3'!B1732,"AAAAAD5/fzI=")</f>
        <v>#VALUE!</v>
      </c>
      <c r="AZ109" t="e">
        <f>AND('Planilla_General_03-12-2012_9_3'!C1732,"AAAAAD5/fzM=")</f>
        <v>#VALUE!</v>
      </c>
      <c r="BA109" t="e">
        <f>AND('Planilla_General_03-12-2012_9_3'!D1732,"AAAAAD5/fzQ=")</f>
        <v>#VALUE!</v>
      </c>
      <c r="BB109" t="e">
        <f>AND('Planilla_General_03-12-2012_9_3'!E1732,"AAAAAD5/fzU=")</f>
        <v>#VALUE!</v>
      </c>
      <c r="BC109" t="e">
        <f>AND('Planilla_General_03-12-2012_9_3'!F1732,"AAAAAD5/fzY=")</f>
        <v>#VALUE!</v>
      </c>
      <c r="BD109" t="e">
        <f>AND('Planilla_General_03-12-2012_9_3'!G1732,"AAAAAD5/fzc=")</f>
        <v>#VALUE!</v>
      </c>
      <c r="BE109" t="e">
        <f>AND('Planilla_General_03-12-2012_9_3'!H1732,"AAAAAD5/fzg=")</f>
        <v>#VALUE!</v>
      </c>
      <c r="BF109" t="e">
        <f>AND('Planilla_General_03-12-2012_9_3'!I1732,"AAAAAD5/fzk=")</f>
        <v>#VALUE!</v>
      </c>
      <c r="BG109" t="e">
        <f>AND('Planilla_General_03-12-2012_9_3'!J1732,"AAAAAD5/fzo=")</f>
        <v>#VALUE!</v>
      </c>
      <c r="BH109" t="e">
        <f>AND('Planilla_General_03-12-2012_9_3'!K1732,"AAAAAD5/fzs=")</f>
        <v>#VALUE!</v>
      </c>
      <c r="BI109" t="e">
        <f>AND('Planilla_General_03-12-2012_9_3'!L1732,"AAAAAD5/fzw=")</f>
        <v>#VALUE!</v>
      </c>
      <c r="BJ109" t="e">
        <f>AND('Planilla_General_03-12-2012_9_3'!M1732,"AAAAAD5/fz0=")</f>
        <v>#VALUE!</v>
      </c>
      <c r="BK109" t="e">
        <f>AND('Planilla_General_03-12-2012_9_3'!N1732,"AAAAAD5/fz4=")</f>
        <v>#VALUE!</v>
      </c>
      <c r="BL109" t="e">
        <f>AND('Planilla_General_03-12-2012_9_3'!O1732,"AAAAAD5/fz8=")</f>
        <v>#VALUE!</v>
      </c>
      <c r="BM109">
        <f>IF('Planilla_General_03-12-2012_9_3'!1733:1733,"AAAAAD5/f0A=",0)</f>
        <v>0</v>
      </c>
      <c r="BN109" t="e">
        <f>AND('Planilla_General_03-12-2012_9_3'!A1733,"AAAAAD5/f0E=")</f>
        <v>#VALUE!</v>
      </c>
      <c r="BO109" t="e">
        <f>AND('Planilla_General_03-12-2012_9_3'!B1733,"AAAAAD5/f0I=")</f>
        <v>#VALUE!</v>
      </c>
      <c r="BP109" t="e">
        <f>AND('Planilla_General_03-12-2012_9_3'!C1733,"AAAAAD5/f0M=")</f>
        <v>#VALUE!</v>
      </c>
      <c r="BQ109" t="e">
        <f>AND('Planilla_General_03-12-2012_9_3'!D1733,"AAAAAD5/f0Q=")</f>
        <v>#VALUE!</v>
      </c>
      <c r="BR109" t="e">
        <f>AND('Planilla_General_03-12-2012_9_3'!E1733,"AAAAAD5/f0U=")</f>
        <v>#VALUE!</v>
      </c>
      <c r="BS109" t="e">
        <f>AND('Planilla_General_03-12-2012_9_3'!F1733,"AAAAAD5/f0Y=")</f>
        <v>#VALUE!</v>
      </c>
      <c r="BT109" t="e">
        <f>AND('Planilla_General_03-12-2012_9_3'!G1733,"AAAAAD5/f0c=")</f>
        <v>#VALUE!</v>
      </c>
      <c r="BU109" t="e">
        <f>AND('Planilla_General_03-12-2012_9_3'!H1733,"AAAAAD5/f0g=")</f>
        <v>#VALUE!</v>
      </c>
      <c r="BV109" t="e">
        <f>AND('Planilla_General_03-12-2012_9_3'!I1733,"AAAAAD5/f0k=")</f>
        <v>#VALUE!</v>
      </c>
      <c r="BW109" t="e">
        <f>AND('Planilla_General_03-12-2012_9_3'!J1733,"AAAAAD5/f0o=")</f>
        <v>#VALUE!</v>
      </c>
      <c r="BX109" t="e">
        <f>AND('Planilla_General_03-12-2012_9_3'!K1733,"AAAAAD5/f0s=")</f>
        <v>#VALUE!</v>
      </c>
      <c r="BY109" t="e">
        <f>AND('Planilla_General_03-12-2012_9_3'!L1733,"AAAAAD5/f0w=")</f>
        <v>#VALUE!</v>
      </c>
      <c r="BZ109" t="e">
        <f>AND('Planilla_General_03-12-2012_9_3'!M1733,"AAAAAD5/f00=")</f>
        <v>#VALUE!</v>
      </c>
      <c r="CA109" t="e">
        <f>AND('Planilla_General_03-12-2012_9_3'!N1733,"AAAAAD5/f04=")</f>
        <v>#VALUE!</v>
      </c>
      <c r="CB109" t="e">
        <f>AND('Planilla_General_03-12-2012_9_3'!O1733,"AAAAAD5/f08=")</f>
        <v>#VALUE!</v>
      </c>
      <c r="CC109">
        <f>IF('Planilla_General_03-12-2012_9_3'!1734:1734,"AAAAAD5/f1A=",0)</f>
        <v>0</v>
      </c>
      <c r="CD109" t="e">
        <f>AND('Planilla_General_03-12-2012_9_3'!A1734,"AAAAAD5/f1E=")</f>
        <v>#VALUE!</v>
      </c>
      <c r="CE109" t="e">
        <f>AND('Planilla_General_03-12-2012_9_3'!B1734,"AAAAAD5/f1I=")</f>
        <v>#VALUE!</v>
      </c>
      <c r="CF109" t="e">
        <f>AND('Planilla_General_03-12-2012_9_3'!C1734,"AAAAAD5/f1M=")</f>
        <v>#VALUE!</v>
      </c>
      <c r="CG109" t="e">
        <f>AND('Planilla_General_03-12-2012_9_3'!D1734,"AAAAAD5/f1Q=")</f>
        <v>#VALUE!</v>
      </c>
      <c r="CH109" t="e">
        <f>AND('Planilla_General_03-12-2012_9_3'!E1734,"AAAAAD5/f1U=")</f>
        <v>#VALUE!</v>
      </c>
      <c r="CI109" t="e">
        <f>AND('Planilla_General_03-12-2012_9_3'!F1734,"AAAAAD5/f1Y=")</f>
        <v>#VALUE!</v>
      </c>
      <c r="CJ109" t="e">
        <f>AND('Planilla_General_03-12-2012_9_3'!G1734,"AAAAAD5/f1c=")</f>
        <v>#VALUE!</v>
      </c>
      <c r="CK109" t="e">
        <f>AND('Planilla_General_03-12-2012_9_3'!H1734,"AAAAAD5/f1g=")</f>
        <v>#VALUE!</v>
      </c>
      <c r="CL109" t="e">
        <f>AND('Planilla_General_03-12-2012_9_3'!I1734,"AAAAAD5/f1k=")</f>
        <v>#VALUE!</v>
      </c>
      <c r="CM109" t="e">
        <f>AND('Planilla_General_03-12-2012_9_3'!J1734,"AAAAAD5/f1o=")</f>
        <v>#VALUE!</v>
      </c>
      <c r="CN109" t="e">
        <f>AND('Planilla_General_03-12-2012_9_3'!K1734,"AAAAAD5/f1s=")</f>
        <v>#VALUE!</v>
      </c>
      <c r="CO109" t="e">
        <f>AND('Planilla_General_03-12-2012_9_3'!L1734,"AAAAAD5/f1w=")</f>
        <v>#VALUE!</v>
      </c>
      <c r="CP109" t="e">
        <f>AND('Planilla_General_03-12-2012_9_3'!M1734,"AAAAAD5/f10=")</f>
        <v>#VALUE!</v>
      </c>
      <c r="CQ109" t="e">
        <f>AND('Planilla_General_03-12-2012_9_3'!N1734,"AAAAAD5/f14=")</f>
        <v>#VALUE!</v>
      </c>
      <c r="CR109" t="e">
        <f>AND('Planilla_General_03-12-2012_9_3'!O1734,"AAAAAD5/f18=")</f>
        <v>#VALUE!</v>
      </c>
      <c r="CS109">
        <f>IF('Planilla_General_03-12-2012_9_3'!1735:1735,"AAAAAD5/f2A=",0)</f>
        <v>0</v>
      </c>
      <c r="CT109" t="e">
        <f>AND('Planilla_General_03-12-2012_9_3'!A1735,"AAAAAD5/f2E=")</f>
        <v>#VALUE!</v>
      </c>
      <c r="CU109" t="e">
        <f>AND('Planilla_General_03-12-2012_9_3'!B1735,"AAAAAD5/f2I=")</f>
        <v>#VALUE!</v>
      </c>
      <c r="CV109" t="e">
        <f>AND('Planilla_General_03-12-2012_9_3'!C1735,"AAAAAD5/f2M=")</f>
        <v>#VALUE!</v>
      </c>
      <c r="CW109" t="e">
        <f>AND('Planilla_General_03-12-2012_9_3'!D1735,"AAAAAD5/f2Q=")</f>
        <v>#VALUE!</v>
      </c>
      <c r="CX109" t="e">
        <f>AND('Planilla_General_03-12-2012_9_3'!E1735,"AAAAAD5/f2U=")</f>
        <v>#VALUE!</v>
      </c>
      <c r="CY109" t="e">
        <f>AND('Planilla_General_03-12-2012_9_3'!F1735,"AAAAAD5/f2Y=")</f>
        <v>#VALUE!</v>
      </c>
      <c r="CZ109" t="e">
        <f>AND('Planilla_General_03-12-2012_9_3'!G1735,"AAAAAD5/f2c=")</f>
        <v>#VALUE!</v>
      </c>
      <c r="DA109" t="e">
        <f>AND('Planilla_General_03-12-2012_9_3'!H1735,"AAAAAD5/f2g=")</f>
        <v>#VALUE!</v>
      </c>
      <c r="DB109" t="e">
        <f>AND('Planilla_General_03-12-2012_9_3'!I1735,"AAAAAD5/f2k=")</f>
        <v>#VALUE!</v>
      </c>
      <c r="DC109" t="e">
        <f>AND('Planilla_General_03-12-2012_9_3'!J1735,"AAAAAD5/f2o=")</f>
        <v>#VALUE!</v>
      </c>
      <c r="DD109" t="e">
        <f>AND('Planilla_General_03-12-2012_9_3'!K1735,"AAAAAD5/f2s=")</f>
        <v>#VALUE!</v>
      </c>
      <c r="DE109" t="e">
        <f>AND('Planilla_General_03-12-2012_9_3'!L1735,"AAAAAD5/f2w=")</f>
        <v>#VALUE!</v>
      </c>
      <c r="DF109" t="e">
        <f>AND('Planilla_General_03-12-2012_9_3'!M1735,"AAAAAD5/f20=")</f>
        <v>#VALUE!</v>
      </c>
      <c r="DG109" t="e">
        <f>AND('Planilla_General_03-12-2012_9_3'!N1735,"AAAAAD5/f24=")</f>
        <v>#VALUE!</v>
      </c>
      <c r="DH109" t="e">
        <f>AND('Planilla_General_03-12-2012_9_3'!O1735,"AAAAAD5/f28=")</f>
        <v>#VALUE!</v>
      </c>
      <c r="DI109">
        <f>IF('Planilla_General_03-12-2012_9_3'!1736:1736,"AAAAAD5/f3A=",0)</f>
        <v>0</v>
      </c>
      <c r="DJ109" t="e">
        <f>AND('Planilla_General_03-12-2012_9_3'!A1736,"AAAAAD5/f3E=")</f>
        <v>#VALUE!</v>
      </c>
      <c r="DK109" t="e">
        <f>AND('Planilla_General_03-12-2012_9_3'!B1736,"AAAAAD5/f3I=")</f>
        <v>#VALUE!</v>
      </c>
      <c r="DL109" t="e">
        <f>AND('Planilla_General_03-12-2012_9_3'!C1736,"AAAAAD5/f3M=")</f>
        <v>#VALUE!</v>
      </c>
      <c r="DM109" t="e">
        <f>AND('Planilla_General_03-12-2012_9_3'!D1736,"AAAAAD5/f3Q=")</f>
        <v>#VALUE!</v>
      </c>
      <c r="DN109" t="e">
        <f>AND('Planilla_General_03-12-2012_9_3'!E1736,"AAAAAD5/f3U=")</f>
        <v>#VALUE!</v>
      </c>
      <c r="DO109" t="e">
        <f>AND('Planilla_General_03-12-2012_9_3'!F1736,"AAAAAD5/f3Y=")</f>
        <v>#VALUE!</v>
      </c>
      <c r="DP109" t="e">
        <f>AND('Planilla_General_03-12-2012_9_3'!G1736,"AAAAAD5/f3c=")</f>
        <v>#VALUE!</v>
      </c>
      <c r="DQ109" t="e">
        <f>AND('Planilla_General_03-12-2012_9_3'!H1736,"AAAAAD5/f3g=")</f>
        <v>#VALUE!</v>
      </c>
      <c r="DR109" t="e">
        <f>AND('Planilla_General_03-12-2012_9_3'!I1736,"AAAAAD5/f3k=")</f>
        <v>#VALUE!</v>
      </c>
      <c r="DS109" t="e">
        <f>AND('Planilla_General_03-12-2012_9_3'!J1736,"AAAAAD5/f3o=")</f>
        <v>#VALUE!</v>
      </c>
      <c r="DT109" t="e">
        <f>AND('Planilla_General_03-12-2012_9_3'!K1736,"AAAAAD5/f3s=")</f>
        <v>#VALUE!</v>
      </c>
      <c r="DU109" t="e">
        <f>AND('Planilla_General_03-12-2012_9_3'!L1736,"AAAAAD5/f3w=")</f>
        <v>#VALUE!</v>
      </c>
      <c r="DV109" t="e">
        <f>AND('Planilla_General_03-12-2012_9_3'!M1736,"AAAAAD5/f30=")</f>
        <v>#VALUE!</v>
      </c>
      <c r="DW109" t="e">
        <f>AND('Planilla_General_03-12-2012_9_3'!N1736,"AAAAAD5/f34=")</f>
        <v>#VALUE!</v>
      </c>
      <c r="DX109" t="e">
        <f>AND('Planilla_General_03-12-2012_9_3'!O1736,"AAAAAD5/f38=")</f>
        <v>#VALUE!</v>
      </c>
      <c r="DY109">
        <f>IF('Planilla_General_03-12-2012_9_3'!1737:1737,"AAAAAD5/f4A=",0)</f>
        <v>0</v>
      </c>
      <c r="DZ109" t="e">
        <f>AND('Planilla_General_03-12-2012_9_3'!A1737,"AAAAAD5/f4E=")</f>
        <v>#VALUE!</v>
      </c>
      <c r="EA109" t="e">
        <f>AND('Planilla_General_03-12-2012_9_3'!B1737,"AAAAAD5/f4I=")</f>
        <v>#VALUE!</v>
      </c>
      <c r="EB109" t="e">
        <f>AND('Planilla_General_03-12-2012_9_3'!C1737,"AAAAAD5/f4M=")</f>
        <v>#VALUE!</v>
      </c>
      <c r="EC109" t="e">
        <f>AND('Planilla_General_03-12-2012_9_3'!D1737,"AAAAAD5/f4Q=")</f>
        <v>#VALUE!</v>
      </c>
      <c r="ED109" t="e">
        <f>AND('Planilla_General_03-12-2012_9_3'!E1737,"AAAAAD5/f4U=")</f>
        <v>#VALUE!</v>
      </c>
      <c r="EE109" t="e">
        <f>AND('Planilla_General_03-12-2012_9_3'!F1737,"AAAAAD5/f4Y=")</f>
        <v>#VALUE!</v>
      </c>
      <c r="EF109" t="e">
        <f>AND('Planilla_General_03-12-2012_9_3'!G1737,"AAAAAD5/f4c=")</f>
        <v>#VALUE!</v>
      </c>
      <c r="EG109" t="e">
        <f>AND('Planilla_General_03-12-2012_9_3'!H1737,"AAAAAD5/f4g=")</f>
        <v>#VALUE!</v>
      </c>
      <c r="EH109" t="e">
        <f>AND('Planilla_General_03-12-2012_9_3'!I1737,"AAAAAD5/f4k=")</f>
        <v>#VALUE!</v>
      </c>
      <c r="EI109" t="e">
        <f>AND('Planilla_General_03-12-2012_9_3'!J1737,"AAAAAD5/f4o=")</f>
        <v>#VALUE!</v>
      </c>
      <c r="EJ109" t="e">
        <f>AND('Planilla_General_03-12-2012_9_3'!K1737,"AAAAAD5/f4s=")</f>
        <v>#VALUE!</v>
      </c>
      <c r="EK109" t="e">
        <f>AND('Planilla_General_03-12-2012_9_3'!L1737,"AAAAAD5/f4w=")</f>
        <v>#VALUE!</v>
      </c>
      <c r="EL109" t="e">
        <f>AND('Planilla_General_03-12-2012_9_3'!M1737,"AAAAAD5/f40=")</f>
        <v>#VALUE!</v>
      </c>
      <c r="EM109" t="e">
        <f>AND('Planilla_General_03-12-2012_9_3'!N1737,"AAAAAD5/f44=")</f>
        <v>#VALUE!</v>
      </c>
      <c r="EN109" t="e">
        <f>AND('Planilla_General_03-12-2012_9_3'!O1737,"AAAAAD5/f48=")</f>
        <v>#VALUE!</v>
      </c>
      <c r="EO109">
        <f>IF('Planilla_General_03-12-2012_9_3'!1738:1738,"AAAAAD5/f5A=",0)</f>
        <v>0</v>
      </c>
      <c r="EP109" t="e">
        <f>AND('Planilla_General_03-12-2012_9_3'!A1738,"AAAAAD5/f5E=")</f>
        <v>#VALUE!</v>
      </c>
      <c r="EQ109" t="e">
        <f>AND('Planilla_General_03-12-2012_9_3'!B1738,"AAAAAD5/f5I=")</f>
        <v>#VALUE!</v>
      </c>
      <c r="ER109" t="e">
        <f>AND('Planilla_General_03-12-2012_9_3'!C1738,"AAAAAD5/f5M=")</f>
        <v>#VALUE!</v>
      </c>
      <c r="ES109" t="e">
        <f>AND('Planilla_General_03-12-2012_9_3'!D1738,"AAAAAD5/f5Q=")</f>
        <v>#VALUE!</v>
      </c>
      <c r="ET109" t="e">
        <f>AND('Planilla_General_03-12-2012_9_3'!E1738,"AAAAAD5/f5U=")</f>
        <v>#VALUE!</v>
      </c>
      <c r="EU109" t="e">
        <f>AND('Planilla_General_03-12-2012_9_3'!F1738,"AAAAAD5/f5Y=")</f>
        <v>#VALUE!</v>
      </c>
      <c r="EV109" t="e">
        <f>AND('Planilla_General_03-12-2012_9_3'!G1738,"AAAAAD5/f5c=")</f>
        <v>#VALUE!</v>
      </c>
      <c r="EW109" t="e">
        <f>AND('Planilla_General_03-12-2012_9_3'!H1738,"AAAAAD5/f5g=")</f>
        <v>#VALUE!</v>
      </c>
      <c r="EX109" t="e">
        <f>AND('Planilla_General_03-12-2012_9_3'!I1738,"AAAAAD5/f5k=")</f>
        <v>#VALUE!</v>
      </c>
      <c r="EY109" t="e">
        <f>AND('Planilla_General_03-12-2012_9_3'!J1738,"AAAAAD5/f5o=")</f>
        <v>#VALUE!</v>
      </c>
      <c r="EZ109" t="e">
        <f>AND('Planilla_General_03-12-2012_9_3'!K1738,"AAAAAD5/f5s=")</f>
        <v>#VALUE!</v>
      </c>
      <c r="FA109" t="e">
        <f>AND('Planilla_General_03-12-2012_9_3'!L1738,"AAAAAD5/f5w=")</f>
        <v>#VALUE!</v>
      </c>
      <c r="FB109" t="e">
        <f>AND('Planilla_General_03-12-2012_9_3'!M1738,"AAAAAD5/f50=")</f>
        <v>#VALUE!</v>
      </c>
      <c r="FC109" t="e">
        <f>AND('Planilla_General_03-12-2012_9_3'!N1738,"AAAAAD5/f54=")</f>
        <v>#VALUE!</v>
      </c>
      <c r="FD109" t="e">
        <f>AND('Planilla_General_03-12-2012_9_3'!O1738,"AAAAAD5/f58=")</f>
        <v>#VALUE!</v>
      </c>
      <c r="FE109">
        <f>IF('Planilla_General_03-12-2012_9_3'!1739:1739,"AAAAAD5/f6A=",0)</f>
        <v>0</v>
      </c>
      <c r="FF109" t="e">
        <f>AND('Planilla_General_03-12-2012_9_3'!A1739,"AAAAAD5/f6E=")</f>
        <v>#VALUE!</v>
      </c>
      <c r="FG109" t="e">
        <f>AND('Planilla_General_03-12-2012_9_3'!B1739,"AAAAAD5/f6I=")</f>
        <v>#VALUE!</v>
      </c>
      <c r="FH109" t="e">
        <f>AND('Planilla_General_03-12-2012_9_3'!C1739,"AAAAAD5/f6M=")</f>
        <v>#VALUE!</v>
      </c>
      <c r="FI109" t="e">
        <f>AND('Planilla_General_03-12-2012_9_3'!D1739,"AAAAAD5/f6Q=")</f>
        <v>#VALUE!</v>
      </c>
      <c r="FJ109" t="e">
        <f>AND('Planilla_General_03-12-2012_9_3'!E1739,"AAAAAD5/f6U=")</f>
        <v>#VALUE!</v>
      </c>
      <c r="FK109" t="e">
        <f>AND('Planilla_General_03-12-2012_9_3'!F1739,"AAAAAD5/f6Y=")</f>
        <v>#VALUE!</v>
      </c>
      <c r="FL109" t="e">
        <f>AND('Planilla_General_03-12-2012_9_3'!G1739,"AAAAAD5/f6c=")</f>
        <v>#VALUE!</v>
      </c>
      <c r="FM109" t="e">
        <f>AND('Planilla_General_03-12-2012_9_3'!H1739,"AAAAAD5/f6g=")</f>
        <v>#VALUE!</v>
      </c>
      <c r="FN109" t="e">
        <f>AND('Planilla_General_03-12-2012_9_3'!I1739,"AAAAAD5/f6k=")</f>
        <v>#VALUE!</v>
      </c>
      <c r="FO109" t="e">
        <f>AND('Planilla_General_03-12-2012_9_3'!J1739,"AAAAAD5/f6o=")</f>
        <v>#VALUE!</v>
      </c>
      <c r="FP109" t="e">
        <f>AND('Planilla_General_03-12-2012_9_3'!K1739,"AAAAAD5/f6s=")</f>
        <v>#VALUE!</v>
      </c>
      <c r="FQ109" t="e">
        <f>AND('Planilla_General_03-12-2012_9_3'!L1739,"AAAAAD5/f6w=")</f>
        <v>#VALUE!</v>
      </c>
      <c r="FR109" t="e">
        <f>AND('Planilla_General_03-12-2012_9_3'!M1739,"AAAAAD5/f60=")</f>
        <v>#VALUE!</v>
      </c>
      <c r="FS109" t="e">
        <f>AND('Planilla_General_03-12-2012_9_3'!N1739,"AAAAAD5/f64=")</f>
        <v>#VALUE!</v>
      </c>
      <c r="FT109" t="e">
        <f>AND('Planilla_General_03-12-2012_9_3'!O1739,"AAAAAD5/f68=")</f>
        <v>#VALUE!</v>
      </c>
      <c r="FU109">
        <f>IF('Planilla_General_03-12-2012_9_3'!1740:1740,"AAAAAD5/f7A=",0)</f>
        <v>0</v>
      </c>
      <c r="FV109" t="e">
        <f>AND('Planilla_General_03-12-2012_9_3'!A1740,"AAAAAD5/f7E=")</f>
        <v>#VALUE!</v>
      </c>
      <c r="FW109" t="e">
        <f>AND('Planilla_General_03-12-2012_9_3'!B1740,"AAAAAD5/f7I=")</f>
        <v>#VALUE!</v>
      </c>
      <c r="FX109" t="e">
        <f>AND('Planilla_General_03-12-2012_9_3'!C1740,"AAAAAD5/f7M=")</f>
        <v>#VALUE!</v>
      </c>
      <c r="FY109" t="e">
        <f>AND('Planilla_General_03-12-2012_9_3'!D1740,"AAAAAD5/f7Q=")</f>
        <v>#VALUE!</v>
      </c>
      <c r="FZ109" t="e">
        <f>AND('Planilla_General_03-12-2012_9_3'!E1740,"AAAAAD5/f7U=")</f>
        <v>#VALUE!</v>
      </c>
      <c r="GA109" t="e">
        <f>AND('Planilla_General_03-12-2012_9_3'!F1740,"AAAAAD5/f7Y=")</f>
        <v>#VALUE!</v>
      </c>
      <c r="GB109" t="e">
        <f>AND('Planilla_General_03-12-2012_9_3'!G1740,"AAAAAD5/f7c=")</f>
        <v>#VALUE!</v>
      </c>
      <c r="GC109" t="e">
        <f>AND('Planilla_General_03-12-2012_9_3'!H1740,"AAAAAD5/f7g=")</f>
        <v>#VALUE!</v>
      </c>
      <c r="GD109" t="e">
        <f>AND('Planilla_General_03-12-2012_9_3'!I1740,"AAAAAD5/f7k=")</f>
        <v>#VALUE!</v>
      </c>
      <c r="GE109" t="e">
        <f>AND('Planilla_General_03-12-2012_9_3'!J1740,"AAAAAD5/f7o=")</f>
        <v>#VALUE!</v>
      </c>
      <c r="GF109" t="e">
        <f>AND('Planilla_General_03-12-2012_9_3'!K1740,"AAAAAD5/f7s=")</f>
        <v>#VALUE!</v>
      </c>
      <c r="GG109" t="e">
        <f>AND('Planilla_General_03-12-2012_9_3'!L1740,"AAAAAD5/f7w=")</f>
        <v>#VALUE!</v>
      </c>
      <c r="GH109" t="e">
        <f>AND('Planilla_General_03-12-2012_9_3'!M1740,"AAAAAD5/f70=")</f>
        <v>#VALUE!</v>
      </c>
      <c r="GI109" t="e">
        <f>AND('Planilla_General_03-12-2012_9_3'!N1740,"AAAAAD5/f74=")</f>
        <v>#VALUE!</v>
      </c>
      <c r="GJ109" t="e">
        <f>AND('Planilla_General_03-12-2012_9_3'!O1740,"AAAAAD5/f78=")</f>
        <v>#VALUE!</v>
      </c>
      <c r="GK109">
        <f>IF('Planilla_General_03-12-2012_9_3'!1741:1741,"AAAAAD5/f8A=",0)</f>
        <v>0</v>
      </c>
      <c r="GL109" t="e">
        <f>AND('Planilla_General_03-12-2012_9_3'!A1741,"AAAAAD5/f8E=")</f>
        <v>#VALUE!</v>
      </c>
      <c r="GM109" t="e">
        <f>AND('Planilla_General_03-12-2012_9_3'!B1741,"AAAAAD5/f8I=")</f>
        <v>#VALUE!</v>
      </c>
      <c r="GN109" t="e">
        <f>AND('Planilla_General_03-12-2012_9_3'!C1741,"AAAAAD5/f8M=")</f>
        <v>#VALUE!</v>
      </c>
      <c r="GO109" t="e">
        <f>AND('Planilla_General_03-12-2012_9_3'!D1741,"AAAAAD5/f8Q=")</f>
        <v>#VALUE!</v>
      </c>
      <c r="GP109" t="e">
        <f>AND('Planilla_General_03-12-2012_9_3'!E1741,"AAAAAD5/f8U=")</f>
        <v>#VALUE!</v>
      </c>
      <c r="GQ109" t="e">
        <f>AND('Planilla_General_03-12-2012_9_3'!F1741,"AAAAAD5/f8Y=")</f>
        <v>#VALUE!</v>
      </c>
      <c r="GR109" t="e">
        <f>AND('Planilla_General_03-12-2012_9_3'!G1741,"AAAAAD5/f8c=")</f>
        <v>#VALUE!</v>
      </c>
      <c r="GS109" t="e">
        <f>AND('Planilla_General_03-12-2012_9_3'!H1741,"AAAAAD5/f8g=")</f>
        <v>#VALUE!</v>
      </c>
      <c r="GT109" t="e">
        <f>AND('Planilla_General_03-12-2012_9_3'!I1741,"AAAAAD5/f8k=")</f>
        <v>#VALUE!</v>
      </c>
      <c r="GU109" t="e">
        <f>AND('Planilla_General_03-12-2012_9_3'!J1741,"AAAAAD5/f8o=")</f>
        <v>#VALUE!</v>
      </c>
      <c r="GV109" t="e">
        <f>AND('Planilla_General_03-12-2012_9_3'!K1741,"AAAAAD5/f8s=")</f>
        <v>#VALUE!</v>
      </c>
      <c r="GW109" t="e">
        <f>AND('Planilla_General_03-12-2012_9_3'!L1741,"AAAAAD5/f8w=")</f>
        <v>#VALUE!</v>
      </c>
      <c r="GX109" t="e">
        <f>AND('Planilla_General_03-12-2012_9_3'!M1741,"AAAAAD5/f80=")</f>
        <v>#VALUE!</v>
      </c>
      <c r="GY109" t="e">
        <f>AND('Planilla_General_03-12-2012_9_3'!N1741,"AAAAAD5/f84=")</f>
        <v>#VALUE!</v>
      </c>
      <c r="GZ109" t="e">
        <f>AND('Planilla_General_03-12-2012_9_3'!O1741,"AAAAAD5/f88=")</f>
        <v>#VALUE!</v>
      </c>
      <c r="HA109">
        <f>IF('Planilla_General_03-12-2012_9_3'!1742:1742,"AAAAAD5/f9A=",0)</f>
        <v>0</v>
      </c>
      <c r="HB109" t="e">
        <f>AND('Planilla_General_03-12-2012_9_3'!A1742,"AAAAAD5/f9E=")</f>
        <v>#VALUE!</v>
      </c>
      <c r="HC109" t="e">
        <f>AND('Planilla_General_03-12-2012_9_3'!B1742,"AAAAAD5/f9I=")</f>
        <v>#VALUE!</v>
      </c>
      <c r="HD109" t="e">
        <f>AND('Planilla_General_03-12-2012_9_3'!C1742,"AAAAAD5/f9M=")</f>
        <v>#VALUE!</v>
      </c>
      <c r="HE109" t="e">
        <f>AND('Planilla_General_03-12-2012_9_3'!D1742,"AAAAAD5/f9Q=")</f>
        <v>#VALUE!</v>
      </c>
      <c r="HF109" t="e">
        <f>AND('Planilla_General_03-12-2012_9_3'!E1742,"AAAAAD5/f9U=")</f>
        <v>#VALUE!</v>
      </c>
      <c r="HG109" t="e">
        <f>AND('Planilla_General_03-12-2012_9_3'!F1742,"AAAAAD5/f9Y=")</f>
        <v>#VALUE!</v>
      </c>
      <c r="HH109" t="e">
        <f>AND('Planilla_General_03-12-2012_9_3'!G1742,"AAAAAD5/f9c=")</f>
        <v>#VALUE!</v>
      </c>
      <c r="HI109" t="e">
        <f>AND('Planilla_General_03-12-2012_9_3'!H1742,"AAAAAD5/f9g=")</f>
        <v>#VALUE!</v>
      </c>
      <c r="HJ109" t="e">
        <f>AND('Planilla_General_03-12-2012_9_3'!I1742,"AAAAAD5/f9k=")</f>
        <v>#VALUE!</v>
      </c>
      <c r="HK109" t="e">
        <f>AND('Planilla_General_03-12-2012_9_3'!J1742,"AAAAAD5/f9o=")</f>
        <v>#VALUE!</v>
      </c>
      <c r="HL109" t="e">
        <f>AND('Planilla_General_03-12-2012_9_3'!K1742,"AAAAAD5/f9s=")</f>
        <v>#VALUE!</v>
      </c>
      <c r="HM109" t="e">
        <f>AND('Planilla_General_03-12-2012_9_3'!L1742,"AAAAAD5/f9w=")</f>
        <v>#VALUE!</v>
      </c>
      <c r="HN109" t="e">
        <f>AND('Planilla_General_03-12-2012_9_3'!M1742,"AAAAAD5/f90=")</f>
        <v>#VALUE!</v>
      </c>
      <c r="HO109" t="e">
        <f>AND('Planilla_General_03-12-2012_9_3'!N1742,"AAAAAD5/f94=")</f>
        <v>#VALUE!</v>
      </c>
      <c r="HP109" t="e">
        <f>AND('Planilla_General_03-12-2012_9_3'!O1742,"AAAAAD5/f98=")</f>
        <v>#VALUE!</v>
      </c>
      <c r="HQ109">
        <f>IF('Planilla_General_03-12-2012_9_3'!1743:1743,"AAAAAD5/f+A=",0)</f>
        <v>0</v>
      </c>
      <c r="HR109" t="e">
        <f>AND('Planilla_General_03-12-2012_9_3'!A1743,"AAAAAD5/f+E=")</f>
        <v>#VALUE!</v>
      </c>
      <c r="HS109" t="e">
        <f>AND('Planilla_General_03-12-2012_9_3'!B1743,"AAAAAD5/f+I=")</f>
        <v>#VALUE!</v>
      </c>
      <c r="HT109" t="e">
        <f>AND('Planilla_General_03-12-2012_9_3'!C1743,"AAAAAD5/f+M=")</f>
        <v>#VALUE!</v>
      </c>
      <c r="HU109" t="e">
        <f>AND('Planilla_General_03-12-2012_9_3'!D1743,"AAAAAD5/f+Q=")</f>
        <v>#VALUE!</v>
      </c>
      <c r="HV109" t="e">
        <f>AND('Planilla_General_03-12-2012_9_3'!E1743,"AAAAAD5/f+U=")</f>
        <v>#VALUE!</v>
      </c>
      <c r="HW109" t="e">
        <f>AND('Planilla_General_03-12-2012_9_3'!F1743,"AAAAAD5/f+Y=")</f>
        <v>#VALUE!</v>
      </c>
      <c r="HX109" t="e">
        <f>AND('Planilla_General_03-12-2012_9_3'!G1743,"AAAAAD5/f+c=")</f>
        <v>#VALUE!</v>
      </c>
      <c r="HY109" t="e">
        <f>AND('Planilla_General_03-12-2012_9_3'!H1743,"AAAAAD5/f+g=")</f>
        <v>#VALUE!</v>
      </c>
      <c r="HZ109" t="e">
        <f>AND('Planilla_General_03-12-2012_9_3'!I1743,"AAAAAD5/f+k=")</f>
        <v>#VALUE!</v>
      </c>
      <c r="IA109" t="e">
        <f>AND('Planilla_General_03-12-2012_9_3'!J1743,"AAAAAD5/f+o=")</f>
        <v>#VALUE!</v>
      </c>
      <c r="IB109" t="e">
        <f>AND('Planilla_General_03-12-2012_9_3'!K1743,"AAAAAD5/f+s=")</f>
        <v>#VALUE!</v>
      </c>
      <c r="IC109" t="e">
        <f>AND('Planilla_General_03-12-2012_9_3'!L1743,"AAAAAD5/f+w=")</f>
        <v>#VALUE!</v>
      </c>
      <c r="ID109" t="e">
        <f>AND('Planilla_General_03-12-2012_9_3'!M1743,"AAAAAD5/f+0=")</f>
        <v>#VALUE!</v>
      </c>
      <c r="IE109" t="e">
        <f>AND('Planilla_General_03-12-2012_9_3'!N1743,"AAAAAD5/f+4=")</f>
        <v>#VALUE!</v>
      </c>
      <c r="IF109" t="e">
        <f>AND('Planilla_General_03-12-2012_9_3'!O1743,"AAAAAD5/f+8=")</f>
        <v>#VALUE!</v>
      </c>
      <c r="IG109">
        <f>IF('Planilla_General_03-12-2012_9_3'!1744:1744,"AAAAAD5/f/A=",0)</f>
        <v>0</v>
      </c>
      <c r="IH109" t="e">
        <f>AND('Planilla_General_03-12-2012_9_3'!A1744,"AAAAAD5/f/E=")</f>
        <v>#VALUE!</v>
      </c>
      <c r="II109" t="e">
        <f>AND('Planilla_General_03-12-2012_9_3'!B1744,"AAAAAD5/f/I=")</f>
        <v>#VALUE!</v>
      </c>
      <c r="IJ109" t="e">
        <f>AND('Planilla_General_03-12-2012_9_3'!C1744,"AAAAAD5/f/M=")</f>
        <v>#VALUE!</v>
      </c>
      <c r="IK109" t="e">
        <f>AND('Planilla_General_03-12-2012_9_3'!D1744,"AAAAAD5/f/Q=")</f>
        <v>#VALUE!</v>
      </c>
      <c r="IL109" t="e">
        <f>AND('Planilla_General_03-12-2012_9_3'!E1744,"AAAAAD5/f/U=")</f>
        <v>#VALUE!</v>
      </c>
      <c r="IM109" t="e">
        <f>AND('Planilla_General_03-12-2012_9_3'!F1744,"AAAAAD5/f/Y=")</f>
        <v>#VALUE!</v>
      </c>
      <c r="IN109" t="e">
        <f>AND('Planilla_General_03-12-2012_9_3'!G1744,"AAAAAD5/f/c=")</f>
        <v>#VALUE!</v>
      </c>
      <c r="IO109" t="e">
        <f>AND('Planilla_General_03-12-2012_9_3'!H1744,"AAAAAD5/f/g=")</f>
        <v>#VALUE!</v>
      </c>
      <c r="IP109" t="e">
        <f>AND('Planilla_General_03-12-2012_9_3'!I1744,"AAAAAD5/f/k=")</f>
        <v>#VALUE!</v>
      </c>
      <c r="IQ109" t="e">
        <f>AND('Planilla_General_03-12-2012_9_3'!J1744,"AAAAAD5/f/o=")</f>
        <v>#VALUE!</v>
      </c>
      <c r="IR109" t="e">
        <f>AND('Planilla_General_03-12-2012_9_3'!K1744,"AAAAAD5/f/s=")</f>
        <v>#VALUE!</v>
      </c>
      <c r="IS109" t="e">
        <f>AND('Planilla_General_03-12-2012_9_3'!L1744,"AAAAAD5/f/w=")</f>
        <v>#VALUE!</v>
      </c>
      <c r="IT109" t="e">
        <f>AND('Planilla_General_03-12-2012_9_3'!M1744,"AAAAAD5/f/0=")</f>
        <v>#VALUE!</v>
      </c>
      <c r="IU109" t="e">
        <f>AND('Planilla_General_03-12-2012_9_3'!N1744,"AAAAAD5/f/4=")</f>
        <v>#VALUE!</v>
      </c>
      <c r="IV109" t="e">
        <f>AND('Planilla_General_03-12-2012_9_3'!O1744,"AAAAAD5/f/8=")</f>
        <v>#VALUE!</v>
      </c>
    </row>
    <row r="110" spans="1:256" x14ac:dyDescent="0.25">
      <c r="A110" t="e">
        <f>IF('Planilla_General_03-12-2012_9_3'!1745:1745,"AAAAAH569wA=",0)</f>
        <v>#VALUE!</v>
      </c>
      <c r="B110" t="e">
        <f>AND('Planilla_General_03-12-2012_9_3'!A1745,"AAAAAH569wE=")</f>
        <v>#VALUE!</v>
      </c>
      <c r="C110" t="e">
        <f>AND('Planilla_General_03-12-2012_9_3'!B1745,"AAAAAH569wI=")</f>
        <v>#VALUE!</v>
      </c>
      <c r="D110" t="e">
        <f>AND('Planilla_General_03-12-2012_9_3'!C1745,"AAAAAH569wM=")</f>
        <v>#VALUE!</v>
      </c>
      <c r="E110" t="e">
        <f>AND('Planilla_General_03-12-2012_9_3'!D1745,"AAAAAH569wQ=")</f>
        <v>#VALUE!</v>
      </c>
      <c r="F110" t="e">
        <f>AND('Planilla_General_03-12-2012_9_3'!E1745,"AAAAAH569wU=")</f>
        <v>#VALUE!</v>
      </c>
      <c r="G110" t="e">
        <f>AND('Planilla_General_03-12-2012_9_3'!F1745,"AAAAAH569wY=")</f>
        <v>#VALUE!</v>
      </c>
      <c r="H110" t="e">
        <f>AND('Planilla_General_03-12-2012_9_3'!G1745,"AAAAAH569wc=")</f>
        <v>#VALUE!</v>
      </c>
      <c r="I110" t="e">
        <f>AND('Planilla_General_03-12-2012_9_3'!H1745,"AAAAAH569wg=")</f>
        <v>#VALUE!</v>
      </c>
      <c r="J110" t="e">
        <f>AND('Planilla_General_03-12-2012_9_3'!I1745,"AAAAAH569wk=")</f>
        <v>#VALUE!</v>
      </c>
      <c r="K110" t="e">
        <f>AND('Planilla_General_03-12-2012_9_3'!J1745,"AAAAAH569wo=")</f>
        <v>#VALUE!</v>
      </c>
      <c r="L110" t="e">
        <f>AND('Planilla_General_03-12-2012_9_3'!K1745,"AAAAAH569ws=")</f>
        <v>#VALUE!</v>
      </c>
      <c r="M110" t="e">
        <f>AND('Planilla_General_03-12-2012_9_3'!L1745,"AAAAAH569ww=")</f>
        <v>#VALUE!</v>
      </c>
      <c r="N110" t="e">
        <f>AND('Planilla_General_03-12-2012_9_3'!M1745,"AAAAAH569w0=")</f>
        <v>#VALUE!</v>
      </c>
      <c r="O110" t="e">
        <f>AND('Planilla_General_03-12-2012_9_3'!N1745,"AAAAAH569w4=")</f>
        <v>#VALUE!</v>
      </c>
      <c r="P110" t="e">
        <f>AND('Planilla_General_03-12-2012_9_3'!O1745,"AAAAAH569w8=")</f>
        <v>#VALUE!</v>
      </c>
      <c r="Q110">
        <f>IF('Planilla_General_03-12-2012_9_3'!1746:1746,"AAAAAH569xA=",0)</f>
        <v>0</v>
      </c>
      <c r="R110" t="e">
        <f>AND('Planilla_General_03-12-2012_9_3'!A1746,"AAAAAH569xE=")</f>
        <v>#VALUE!</v>
      </c>
      <c r="S110" t="e">
        <f>AND('Planilla_General_03-12-2012_9_3'!B1746,"AAAAAH569xI=")</f>
        <v>#VALUE!</v>
      </c>
      <c r="T110" t="e">
        <f>AND('Planilla_General_03-12-2012_9_3'!C1746,"AAAAAH569xM=")</f>
        <v>#VALUE!</v>
      </c>
      <c r="U110" t="e">
        <f>AND('Planilla_General_03-12-2012_9_3'!D1746,"AAAAAH569xQ=")</f>
        <v>#VALUE!</v>
      </c>
      <c r="V110" t="e">
        <f>AND('Planilla_General_03-12-2012_9_3'!E1746,"AAAAAH569xU=")</f>
        <v>#VALUE!</v>
      </c>
      <c r="W110" t="e">
        <f>AND('Planilla_General_03-12-2012_9_3'!F1746,"AAAAAH569xY=")</f>
        <v>#VALUE!</v>
      </c>
      <c r="X110" t="e">
        <f>AND('Planilla_General_03-12-2012_9_3'!G1746,"AAAAAH569xc=")</f>
        <v>#VALUE!</v>
      </c>
      <c r="Y110" t="e">
        <f>AND('Planilla_General_03-12-2012_9_3'!H1746,"AAAAAH569xg=")</f>
        <v>#VALUE!</v>
      </c>
      <c r="Z110" t="e">
        <f>AND('Planilla_General_03-12-2012_9_3'!I1746,"AAAAAH569xk=")</f>
        <v>#VALUE!</v>
      </c>
      <c r="AA110" t="e">
        <f>AND('Planilla_General_03-12-2012_9_3'!J1746,"AAAAAH569xo=")</f>
        <v>#VALUE!</v>
      </c>
      <c r="AB110" t="e">
        <f>AND('Planilla_General_03-12-2012_9_3'!K1746,"AAAAAH569xs=")</f>
        <v>#VALUE!</v>
      </c>
      <c r="AC110" t="e">
        <f>AND('Planilla_General_03-12-2012_9_3'!L1746,"AAAAAH569xw=")</f>
        <v>#VALUE!</v>
      </c>
      <c r="AD110" t="e">
        <f>AND('Planilla_General_03-12-2012_9_3'!M1746,"AAAAAH569x0=")</f>
        <v>#VALUE!</v>
      </c>
      <c r="AE110" t="e">
        <f>AND('Planilla_General_03-12-2012_9_3'!N1746,"AAAAAH569x4=")</f>
        <v>#VALUE!</v>
      </c>
      <c r="AF110" t="e">
        <f>AND('Planilla_General_03-12-2012_9_3'!O1746,"AAAAAH569x8=")</f>
        <v>#VALUE!</v>
      </c>
      <c r="AG110">
        <f>IF('Planilla_General_03-12-2012_9_3'!1747:1747,"AAAAAH569yA=",0)</f>
        <v>0</v>
      </c>
      <c r="AH110" t="e">
        <f>AND('Planilla_General_03-12-2012_9_3'!A1747,"AAAAAH569yE=")</f>
        <v>#VALUE!</v>
      </c>
      <c r="AI110" t="e">
        <f>AND('Planilla_General_03-12-2012_9_3'!B1747,"AAAAAH569yI=")</f>
        <v>#VALUE!</v>
      </c>
      <c r="AJ110" t="e">
        <f>AND('Planilla_General_03-12-2012_9_3'!C1747,"AAAAAH569yM=")</f>
        <v>#VALUE!</v>
      </c>
      <c r="AK110" t="e">
        <f>AND('Planilla_General_03-12-2012_9_3'!D1747,"AAAAAH569yQ=")</f>
        <v>#VALUE!</v>
      </c>
      <c r="AL110" t="e">
        <f>AND('Planilla_General_03-12-2012_9_3'!E1747,"AAAAAH569yU=")</f>
        <v>#VALUE!</v>
      </c>
      <c r="AM110" t="e">
        <f>AND('Planilla_General_03-12-2012_9_3'!F1747,"AAAAAH569yY=")</f>
        <v>#VALUE!</v>
      </c>
      <c r="AN110" t="e">
        <f>AND('Planilla_General_03-12-2012_9_3'!G1747,"AAAAAH569yc=")</f>
        <v>#VALUE!</v>
      </c>
      <c r="AO110" t="e">
        <f>AND('Planilla_General_03-12-2012_9_3'!H1747,"AAAAAH569yg=")</f>
        <v>#VALUE!</v>
      </c>
      <c r="AP110" t="e">
        <f>AND('Planilla_General_03-12-2012_9_3'!I1747,"AAAAAH569yk=")</f>
        <v>#VALUE!</v>
      </c>
      <c r="AQ110" t="e">
        <f>AND('Planilla_General_03-12-2012_9_3'!J1747,"AAAAAH569yo=")</f>
        <v>#VALUE!</v>
      </c>
      <c r="AR110" t="e">
        <f>AND('Planilla_General_03-12-2012_9_3'!K1747,"AAAAAH569ys=")</f>
        <v>#VALUE!</v>
      </c>
      <c r="AS110" t="e">
        <f>AND('Planilla_General_03-12-2012_9_3'!L1747,"AAAAAH569yw=")</f>
        <v>#VALUE!</v>
      </c>
      <c r="AT110" t="e">
        <f>AND('Planilla_General_03-12-2012_9_3'!M1747,"AAAAAH569y0=")</f>
        <v>#VALUE!</v>
      </c>
      <c r="AU110" t="e">
        <f>AND('Planilla_General_03-12-2012_9_3'!N1747,"AAAAAH569y4=")</f>
        <v>#VALUE!</v>
      </c>
      <c r="AV110" t="e">
        <f>AND('Planilla_General_03-12-2012_9_3'!O1747,"AAAAAH569y8=")</f>
        <v>#VALUE!</v>
      </c>
      <c r="AW110">
        <f>IF('Planilla_General_03-12-2012_9_3'!1748:1748,"AAAAAH569zA=",0)</f>
        <v>0</v>
      </c>
      <c r="AX110" t="e">
        <f>AND('Planilla_General_03-12-2012_9_3'!A1748,"AAAAAH569zE=")</f>
        <v>#VALUE!</v>
      </c>
      <c r="AY110" t="e">
        <f>AND('Planilla_General_03-12-2012_9_3'!B1748,"AAAAAH569zI=")</f>
        <v>#VALUE!</v>
      </c>
      <c r="AZ110" t="e">
        <f>AND('Planilla_General_03-12-2012_9_3'!C1748,"AAAAAH569zM=")</f>
        <v>#VALUE!</v>
      </c>
      <c r="BA110" t="e">
        <f>AND('Planilla_General_03-12-2012_9_3'!D1748,"AAAAAH569zQ=")</f>
        <v>#VALUE!</v>
      </c>
      <c r="BB110" t="e">
        <f>AND('Planilla_General_03-12-2012_9_3'!E1748,"AAAAAH569zU=")</f>
        <v>#VALUE!</v>
      </c>
      <c r="BC110" t="e">
        <f>AND('Planilla_General_03-12-2012_9_3'!F1748,"AAAAAH569zY=")</f>
        <v>#VALUE!</v>
      </c>
      <c r="BD110" t="e">
        <f>AND('Planilla_General_03-12-2012_9_3'!G1748,"AAAAAH569zc=")</f>
        <v>#VALUE!</v>
      </c>
      <c r="BE110" t="e">
        <f>AND('Planilla_General_03-12-2012_9_3'!H1748,"AAAAAH569zg=")</f>
        <v>#VALUE!</v>
      </c>
      <c r="BF110" t="e">
        <f>AND('Planilla_General_03-12-2012_9_3'!I1748,"AAAAAH569zk=")</f>
        <v>#VALUE!</v>
      </c>
      <c r="BG110" t="e">
        <f>AND('Planilla_General_03-12-2012_9_3'!J1748,"AAAAAH569zo=")</f>
        <v>#VALUE!</v>
      </c>
      <c r="BH110" t="e">
        <f>AND('Planilla_General_03-12-2012_9_3'!K1748,"AAAAAH569zs=")</f>
        <v>#VALUE!</v>
      </c>
      <c r="BI110" t="e">
        <f>AND('Planilla_General_03-12-2012_9_3'!L1748,"AAAAAH569zw=")</f>
        <v>#VALUE!</v>
      </c>
      <c r="BJ110" t="e">
        <f>AND('Planilla_General_03-12-2012_9_3'!M1748,"AAAAAH569z0=")</f>
        <v>#VALUE!</v>
      </c>
      <c r="BK110" t="e">
        <f>AND('Planilla_General_03-12-2012_9_3'!N1748,"AAAAAH569z4=")</f>
        <v>#VALUE!</v>
      </c>
      <c r="BL110" t="e">
        <f>AND('Planilla_General_03-12-2012_9_3'!O1748,"AAAAAH569z8=")</f>
        <v>#VALUE!</v>
      </c>
      <c r="BM110">
        <f>IF('Planilla_General_03-12-2012_9_3'!1749:1749,"AAAAAH5690A=",0)</f>
        <v>0</v>
      </c>
      <c r="BN110" t="e">
        <f>AND('Planilla_General_03-12-2012_9_3'!A1749,"AAAAAH5690E=")</f>
        <v>#VALUE!</v>
      </c>
      <c r="BO110" t="e">
        <f>AND('Planilla_General_03-12-2012_9_3'!B1749,"AAAAAH5690I=")</f>
        <v>#VALUE!</v>
      </c>
      <c r="BP110" t="e">
        <f>AND('Planilla_General_03-12-2012_9_3'!C1749,"AAAAAH5690M=")</f>
        <v>#VALUE!</v>
      </c>
      <c r="BQ110" t="e">
        <f>AND('Planilla_General_03-12-2012_9_3'!D1749,"AAAAAH5690Q=")</f>
        <v>#VALUE!</v>
      </c>
      <c r="BR110" t="e">
        <f>AND('Planilla_General_03-12-2012_9_3'!E1749,"AAAAAH5690U=")</f>
        <v>#VALUE!</v>
      </c>
      <c r="BS110" t="e">
        <f>AND('Planilla_General_03-12-2012_9_3'!F1749,"AAAAAH5690Y=")</f>
        <v>#VALUE!</v>
      </c>
      <c r="BT110" t="e">
        <f>AND('Planilla_General_03-12-2012_9_3'!G1749,"AAAAAH5690c=")</f>
        <v>#VALUE!</v>
      </c>
      <c r="BU110" t="e">
        <f>AND('Planilla_General_03-12-2012_9_3'!H1749,"AAAAAH5690g=")</f>
        <v>#VALUE!</v>
      </c>
      <c r="BV110" t="e">
        <f>AND('Planilla_General_03-12-2012_9_3'!I1749,"AAAAAH5690k=")</f>
        <v>#VALUE!</v>
      </c>
      <c r="BW110" t="e">
        <f>AND('Planilla_General_03-12-2012_9_3'!J1749,"AAAAAH5690o=")</f>
        <v>#VALUE!</v>
      </c>
      <c r="BX110" t="e">
        <f>AND('Planilla_General_03-12-2012_9_3'!K1749,"AAAAAH5690s=")</f>
        <v>#VALUE!</v>
      </c>
      <c r="BY110" t="e">
        <f>AND('Planilla_General_03-12-2012_9_3'!L1749,"AAAAAH5690w=")</f>
        <v>#VALUE!</v>
      </c>
      <c r="BZ110" t="e">
        <f>AND('Planilla_General_03-12-2012_9_3'!M1749,"AAAAAH56900=")</f>
        <v>#VALUE!</v>
      </c>
      <c r="CA110" t="e">
        <f>AND('Planilla_General_03-12-2012_9_3'!N1749,"AAAAAH56904=")</f>
        <v>#VALUE!</v>
      </c>
      <c r="CB110" t="e">
        <f>AND('Planilla_General_03-12-2012_9_3'!O1749,"AAAAAH56908=")</f>
        <v>#VALUE!</v>
      </c>
      <c r="CC110">
        <f>IF('Planilla_General_03-12-2012_9_3'!1750:1750,"AAAAAH5691A=",0)</f>
        <v>0</v>
      </c>
      <c r="CD110" t="e">
        <f>AND('Planilla_General_03-12-2012_9_3'!A1750,"AAAAAH5691E=")</f>
        <v>#VALUE!</v>
      </c>
      <c r="CE110" t="e">
        <f>AND('Planilla_General_03-12-2012_9_3'!B1750,"AAAAAH5691I=")</f>
        <v>#VALUE!</v>
      </c>
      <c r="CF110" t="e">
        <f>AND('Planilla_General_03-12-2012_9_3'!C1750,"AAAAAH5691M=")</f>
        <v>#VALUE!</v>
      </c>
      <c r="CG110" t="e">
        <f>AND('Planilla_General_03-12-2012_9_3'!D1750,"AAAAAH5691Q=")</f>
        <v>#VALUE!</v>
      </c>
      <c r="CH110" t="e">
        <f>AND('Planilla_General_03-12-2012_9_3'!E1750,"AAAAAH5691U=")</f>
        <v>#VALUE!</v>
      </c>
      <c r="CI110" t="e">
        <f>AND('Planilla_General_03-12-2012_9_3'!F1750,"AAAAAH5691Y=")</f>
        <v>#VALUE!</v>
      </c>
      <c r="CJ110" t="e">
        <f>AND('Planilla_General_03-12-2012_9_3'!G1750,"AAAAAH5691c=")</f>
        <v>#VALUE!</v>
      </c>
      <c r="CK110" t="e">
        <f>AND('Planilla_General_03-12-2012_9_3'!H1750,"AAAAAH5691g=")</f>
        <v>#VALUE!</v>
      </c>
      <c r="CL110" t="e">
        <f>AND('Planilla_General_03-12-2012_9_3'!I1750,"AAAAAH5691k=")</f>
        <v>#VALUE!</v>
      </c>
      <c r="CM110" t="e">
        <f>AND('Planilla_General_03-12-2012_9_3'!J1750,"AAAAAH5691o=")</f>
        <v>#VALUE!</v>
      </c>
      <c r="CN110" t="e">
        <f>AND('Planilla_General_03-12-2012_9_3'!K1750,"AAAAAH5691s=")</f>
        <v>#VALUE!</v>
      </c>
      <c r="CO110" t="e">
        <f>AND('Planilla_General_03-12-2012_9_3'!L1750,"AAAAAH5691w=")</f>
        <v>#VALUE!</v>
      </c>
      <c r="CP110" t="e">
        <f>AND('Planilla_General_03-12-2012_9_3'!M1750,"AAAAAH56910=")</f>
        <v>#VALUE!</v>
      </c>
      <c r="CQ110" t="e">
        <f>AND('Planilla_General_03-12-2012_9_3'!N1750,"AAAAAH56914=")</f>
        <v>#VALUE!</v>
      </c>
      <c r="CR110" t="e">
        <f>AND('Planilla_General_03-12-2012_9_3'!O1750,"AAAAAH56918=")</f>
        <v>#VALUE!</v>
      </c>
      <c r="CS110">
        <f>IF('Planilla_General_03-12-2012_9_3'!1751:1751,"AAAAAH5692A=",0)</f>
        <v>0</v>
      </c>
      <c r="CT110" t="e">
        <f>AND('Planilla_General_03-12-2012_9_3'!A1751,"AAAAAH5692E=")</f>
        <v>#VALUE!</v>
      </c>
      <c r="CU110" t="e">
        <f>AND('Planilla_General_03-12-2012_9_3'!B1751,"AAAAAH5692I=")</f>
        <v>#VALUE!</v>
      </c>
      <c r="CV110" t="e">
        <f>AND('Planilla_General_03-12-2012_9_3'!C1751,"AAAAAH5692M=")</f>
        <v>#VALUE!</v>
      </c>
      <c r="CW110" t="e">
        <f>AND('Planilla_General_03-12-2012_9_3'!D1751,"AAAAAH5692Q=")</f>
        <v>#VALUE!</v>
      </c>
      <c r="CX110" t="e">
        <f>AND('Planilla_General_03-12-2012_9_3'!E1751,"AAAAAH5692U=")</f>
        <v>#VALUE!</v>
      </c>
      <c r="CY110" t="e">
        <f>AND('Planilla_General_03-12-2012_9_3'!F1751,"AAAAAH5692Y=")</f>
        <v>#VALUE!</v>
      </c>
      <c r="CZ110" t="e">
        <f>AND('Planilla_General_03-12-2012_9_3'!G1751,"AAAAAH5692c=")</f>
        <v>#VALUE!</v>
      </c>
      <c r="DA110" t="e">
        <f>AND('Planilla_General_03-12-2012_9_3'!H1751,"AAAAAH5692g=")</f>
        <v>#VALUE!</v>
      </c>
      <c r="DB110" t="e">
        <f>AND('Planilla_General_03-12-2012_9_3'!I1751,"AAAAAH5692k=")</f>
        <v>#VALUE!</v>
      </c>
      <c r="DC110" t="e">
        <f>AND('Planilla_General_03-12-2012_9_3'!J1751,"AAAAAH5692o=")</f>
        <v>#VALUE!</v>
      </c>
      <c r="DD110" t="e">
        <f>AND('Planilla_General_03-12-2012_9_3'!K1751,"AAAAAH5692s=")</f>
        <v>#VALUE!</v>
      </c>
      <c r="DE110" t="e">
        <f>AND('Planilla_General_03-12-2012_9_3'!L1751,"AAAAAH5692w=")</f>
        <v>#VALUE!</v>
      </c>
      <c r="DF110" t="e">
        <f>AND('Planilla_General_03-12-2012_9_3'!M1751,"AAAAAH56920=")</f>
        <v>#VALUE!</v>
      </c>
      <c r="DG110" t="e">
        <f>AND('Planilla_General_03-12-2012_9_3'!N1751,"AAAAAH56924=")</f>
        <v>#VALUE!</v>
      </c>
      <c r="DH110" t="e">
        <f>AND('Planilla_General_03-12-2012_9_3'!O1751,"AAAAAH56928=")</f>
        <v>#VALUE!</v>
      </c>
      <c r="DI110">
        <f>IF('Planilla_General_03-12-2012_9_3'!1752:1752,"AAAAAH5693A=",0)</f>
        <v>0</v>
      </c>
      <c r="DJ110" t="e">
        <f>AND('Planilla_General_03-12-2012_9_3'!A1752,"AAAAAH5693E=")</f>
        <v>#VALUE!</v>
      </c>
      <c r="DK110" t="e">
        <f>AND('Planilla_General_03-12-2012_9_3'!B1752,"AAAAAH5693I=")</f>
        <v>#VALUE!</v>
      </c>
      <c r="DL110" t="e">
        <f>AND('Planilla_General_03-12-2012_9_3'!C1752,"AAAAAH5693M=")</f>
        <v>#VALUE!</v>
      </c>
      <c r="DM110" t="e">
        <f>AND('Planilla_General_03-12-2012_9_3'!D1752,"AAAAAH5693Q=")</f>
        <v>#VALUE!</v>
      </c>
      <c r="DN110" t="e">
        <f>AND('Planilla_General_03-12-2012_9_3'!E1752,"AAAAAH5693U=")</f>
        <v>#VALUE!</v>
      </c>
      <c r="DO110" t="e">
        <f>AND('Planilla_General_03-12-2012_9_3'!F1752,"AAAAAH5693Y=")</f>
        <v>#VALUE!</v>
      </c>
      <c r="DP110" t="e">
        <f>AND('Planilla_General_03-12-2012_9_3'!G1752,"AAAAAH5693c=")</f>
        <v>#VALUE!</v>
      </c>
      <c r="DQ110" t="e">
        <f>AND('Planilla_General_03-12-2012_9_3'!H1752,"AAAAAH5693g=")</f>
        <v>#VALUE!</v>
      </c>
      <c r="DR110" t="e">
        <f>AND('Planilla_General_03-12-2012_9_3'!I1752,"AAAAAH5693k=")</f>
        <v>#VALUE!</v>
      </c>
      <c r="DS110" t="e">
        <f>AND('Planilla_General_03-12-2012_9_3'!J1752,"AAAAAH5693o=")</f>
        <v>#VALUE!</v>
      </c>
      <c r="DT110" t="e">
        <f>AND('Planilla_General_03-12-2012_9_3'!K1752,"AAAAAH5693s=")</f>
        <v>#VALUE!</v>
      </c>
      <c r="DU110" t="e">
        <f>AND('Planilla_General_03-12-2012_9_3'!L1752,"AAAAAH5693w=")</f>
        <v>#VALUE!</v>
      </c>
      <c r="DV110" t="e">
        <f>AND('Planilla_General_03-12-2012_9_3'!M1752,"AAAAAH56930=")</f>
        <v>#VALUE!</v>
      </c>
      <c r="DW110" t="e">
        <f>AND('Planilla_General_03-12-2012_9_3'!N1752,"AAAAAH56934=")</f>
        <v>#VALUE!</v>
      </c>
      <c r="DX110" t="e">
        <f>AND('Planilla_General_03-12-2012_9_3'!O1752,"AAAAAH56938=")</f>
        <v>#VALUE!</v>
      </c>
      <c r="DY110">
        <f>IF('Planilla_General_03-12-2012_9_3'!1753:1753,"AAAAAH5694A=",0)</f>
        <v>0</v>
      </c>
      <c r="DZ110" t="e">
        <f>AND('Planilla_General_03-12-2012_9_3'!A1753,"AAAAAH5694E=")</f>
        <v>#VALUE!</v>
      </c>
      <c r="EA110" t="e">
        <f>AND('Planilla_General_03-12-2012_9_3'!B1753,"AAAAAH5694I=")</f>
        <v>#VALUE!</v>
      </c>
      <c r="EB110" t="e">
        <f>AND('Planilla_General_03-12-2012_9_3'!C1753,"AAAAAH5694M=")</f>
        <v>#VALUE!</v>
      </c>
      <c r="EC110" t="e">
        <f>AND('Planilla_General_03-12-2012_9_3'!D1753,"AAAAAH5694Q=")</f>
        <v>#VALUE!</v>
      </c>
      <c r="ED110" t="e">
        <f>AND('Planilla_General_03-12-2012_9_3'!E1753,"AAAAAH5694U=")</f>
        <v>#VALUE!</v>
      </c>
      <c r="EE110" t="e">
        <f>AND('Planilla_General_03-12-2012_9_3'!F1753,"AAAAAH5694Y=")</f>
        <v>#VALUE!</v>
      </c>
      <c r="EF110" t="e">
        <f>AND('Planilla_General_03-12-2012_9_3'!G1753,"AAAAAH5694c=")</f>
        <v>#VALUE!</v>
      </c>
      <c r="EG110" t="e">
        <f>AND('Planilla_General_03-12-2012_9_3'!H1753,"AAAAAH5694g=")</f>
        <v>#VALUE!</v>
      </c>
      <c r="EH110" t="e">
        <f>AND('Planilla_General_03-12-2012_9_3'!I1753,"AAAAAH5694k=")</f>
        <v>#VALUE!</v>
      </c>
      <c r="EI110" t="e">
        <f>AND('Planilla_General_03-12-2012_9_3'!J1753,"AAAAAH5694o=")</f>
        <v>#VALUE!</v>
      </c>
      <c r="EJ110" t="e">
        <f>AND('Planilla_General_03-12-2012_9_3'!K1753,"AAAAAH5694s=")</f>
        <v>#VALUE!</v>
      </c>
      <c r="EK110" t="e">
        <f>AND('Planilla_General_03-12-2012_9_3'!L1753,"AAAAAH5694w=")</f>
        <v>#VALUE!</v>
      </c>
      <c r="EL110" t="e">
        <f>AND('Planilla_General_03-12-2012_9_3'!M1753,"AAAAAH56940=")</f>
        <v>#VALUE!</v>
      </c>
      <c r="EM110" t="e">
        <f>AND('Planilla_General_03-12-2012_9_3'!N1753,"AAAAAH56944=")</f>
        <v>#VALUE!</v>
      </c>
      <c r="EN110" t="e">
        <f>AND('Planilla_General_03-12-2012_9_3'!O1753,"AAAAAH56948=")</f>
        <v>#VALUE!</v>
      </c>
      <c r="EO110">
        <f>IF('Planilla_General_03-12-2012_9_3'!1754:1754,"AAAAAH5695A=",0)</f>
        <v>0</v>
      </c>
      <c r="EP110" t="e">
        <f>AND('Planilla_General_03-12-2012_9_3'!A1754,"AAAAAH5695E=")</f>
        <v>#VALUE!</v>
      </c>
      <c r="EQ110" t="e">
        <f>AND('Planilla_General_03-12-2012_9_3'!B1754,"AAAAAH5695I=")</f>
        <v>#VALUE!</v>
      </c>
      <c r="ER110" t="e">
        <f>AND('Planilla_General_03-12-2012_9_3'!C1754,"AAAAAH5695M=")</f>
        <v>#VALUE!</v>
      </c>
      <c r="ES110" t="e">
        <f>AND('Planilla_General_03-12-2012_9_3'!D1754,"AAAAAH5695Q=")</f>
        <v>#VALUE!</v>
      </c>
      <c r="ET110" t="e">
        <f>AND('Planilla_General_03-12-2012_9_3'!E1754,"AAAAAH5695U=")</f>
        <v>#VALUE!</v>
      </c>
      <c r="EU110" t="e">
        <f>AND('Planilla_General_03-12-2012_9_3'!F1754,"AAAAAH5695Y=")</f>
        <v>#VALUE!</v>
      </c>
      <c r="EV110" t="e">
        <f>AND('Planilla_General_03-12-2012_9_3'!G1754,"AAAAAH5695c=")</f>
        <v>#VALUE!</v>
      </c>
      <c r="EW110" t="e">
        <f>AND('Planilla_General_03-12-2012_9_3'!H1754,"AAAAAH5695g=")</f>
        <v>#VALUE!</v>
      </c>
      <c r="EX110" t="e">
        <f>AND('Planilla_General_03-12-2012_9_3'!I1754,"AAAAAH5695k=")</f>
        <v>#VALUE!</v>
      </c>
      <c r="EY110" t="e">
        <f>AND('Planilla_General_03-12-2012_9_3'!J1754,"AAAAAH5695o=")</f>
        <v>#VALUE!</v>
      </c>
      <c r="EZ110" t="e">
        <f>AND('Planilla_General_03-12-2012_9_3'!K1754,"AAAAAH5695s=")</f>
        <v>#VALUE!</v>
      </c>
      <c r="FA110" t="e">
        <f>AND('Planilla_General_03-12-2012_9_3'!L1754,"AAAAAH5695w=")</f>
        <v>#VALUE!</v>
      </c>
      <c r="FB110" t="e">
        <f>AND('Planilla_General_03-12-2012_9_3'!M1754,"AAAAAH56950=")</f>
        <v>#VALUE!</v>
      </c>
      <c r="FC110" t="e">
        <f>AND('Planilla_General_03-12-2012_9_3'!N1754,"AAAAAH56954=")</f>
        <v>#VALUE!</v>
      </c>
      <c r="FD110" t="e">
        <f>AND('Planilla_General_03-12-2012_9_3'!O1754,"AAAAAH56958=")</f>
        <v>#VALUE!</v>
      </c>
      <c r="FE110">
        <f>IF('Planilla_General_03-12-2012_9_3'!1755:1755,"AAAAAH5696A=",0)</f>
        <v>0</v>
      </c>
      <c r="FF110" t="e">
        <f>AND('Planilla_General_03-12-2012_9_3'!A1755,"AAAAAH5696E=")</f>
        <v>#VALUE!</v>
      </c>
      <c r="FG110" t="e">
        <f>AND('Planilla_General_03-12-2012_9_3'!B1755,"AAAAAH5696I=")</f>
        <v>#VALUE!</v>
      </c>
      <c r="FH110" t="e">
        <f>AND('Planilla_General_03-12-2012_9_3'!C1755,"AAAAAH5696M=")</f>
        <v>#VALUE!</v>
      </c>
      <c r="FI110" t="e">
        <f>AND('Planilla_General_03-12-2012_9_3'!D1755,"AAAAAH5696Q=")</f>
        <v>#VALUE!</v>
      </c>
      <c r="FJ110" t="e">
        <f>AND('Planilla_General_03-12-2012_9_3'!E1755,"AAAAAH5696U=")</f>
        <v>#VALUE!</v>
      </c>
      <c r="FK110" t="e">
        <f>AND('Planilla_General_03-12-2012_9_3'!F1755,"AAAAAH5696Y=")</f>
        <v>#VALUE!</v>
      </c>
      <c r="FL110" t="e">
        <f>AND('Planilla_General_03-12-2012_9_3'!G1755,"AAAAAH5696c=")</f>
        <v>#VALUE!</v>
      </c>
      <c r="FM110" t="e">
        <f>AND('Planilla_General_03-12-2012_9_3'!H1755,"AAAAAH5696g=")</f>
        <v>#VALUE!</v>
      </c>
      <c r="FN110" t="e">
        <f>AND('Planilla_General_03-12-2012_9_3'!I1755,"AAAAAH5696k=")</f>
        <v>#VALUE!</v>
      </c>
      <c r="FO110" t="e">
        <f>AND('Planilla_General_03-12-2012_9_3'!J1755,"AAAAAH5696o=")</f>
        <v>#VALUE!</v>
      </c>
      <c r="FP110" t="e">
        <f>AND('Planilla_General_03-12-2012_9_3'!K1755,"AAAAAH5696s=")</f>
        <v>#VALUE!</v>
      </c>
      <c r="FQ110" t="e">
        <f>AND('Planilla_General_03-12-2012_9_3'!L1755,"AAAAAH5696w=")</f>
        <v>#VALUE!</v>
      </c>
      <c r="FR110" t="e">
        <f>AND('Planilla_General_03-12-2012_9_3'!M1755,"AAAAAH56960=")</f>
        <v>#VALUE!</v>
      </c>
      <c r="FS110" t="e">
        <f>AND('Planilla_General_03-12-2012_9_3'!N1755,"AAAAAH56964=")</f>
        <v>#VALUE!</v>
      </c>
      <c r="FT110" t="e">
        <f>AND('Planilla_General_03-12-2012_9_3'!O1755,"AAAAAH56968=")</f>
        <v>#VALUE!</v>
      </c>
      <c r="FU110">
        <f>IF('Planilla_General_03-12-2012_9_3'!1756:1756,"AAAAAH5697A=",0)</f>
        <v>0</v>
      </c>
      <c r="FV110" t="e">
        <f>AND('Planilla_General_03-12-2012_9_3'!A1756,"AAAAAH5697E=")</f>
        <v>#VALUE!</v>
      </c>
      <c r="FW110" t="e">
        <f>AND('Planilla_General_03-12-2012_9_3'!B1756,"AAAAAH5697I=")</f>
        <v>#VALUE!</v>
      </c>
      <c r="FX110" t="e">
        <f>AND('Planilla_General_03-12-2012_9_3'!C1756,"AAAAAH5697M=")</f>
        <v>#VALUE!</v>
      </c>
      <c r="FY110" t="e">
        <f>AND('Planilla_General_03-12-2012_9_3'!D1756,"AAAAAH5697Q=")</f>
        <v>#VALUE!</v>
      </c>
      <c r="FZ110" t="e">
        <f>AND('Planilla_General_03-12-2012_9_3'!E1756,"AAAAAH5697U=")</f>
        <v>#VALUE!</v>
      </c>
      <c r="GA110" t="e">
        <f>AND('Planilla_General_03-12-2012_9_3'!F1756,"AAAAAH5697Y=")</f>
        <v>#VALUE!</v>
      </c>
      <c r="GB110" t="e">
        <f>AND('Planilla_General_03-12-2012_9_3'!G1756,"AAAAAH5697c=")</f>
        <v>#VALUE!</v>
      </c>
      <c r="GC110" t="e">
        <f>AND('Planilla_General_03-12-2012_9_3'!H1756,"AAAAAH5697g=")</f>
        <v>#VALUE!</v>
      </c>
      <c r="GD110" t="e">
        <f>AND('Planilla_General_03-12-2012_9_3'!I1756,"AAAAAH5697k=")</f>
        <v>#VALUE!</v>
      </c>
      <c r="GE110" t="e">
        <f>AND('Planilla_General_03-12-2012_9_3'!J1756,"AAAAAH5697o=")</f>
        <v>#VALUE!</v>
      </c>
      <c r="GF110" t="e">
        <f>AND('Planilla_General_03-12-2012_9_3'!K1756,"AAAAAH5697s=")</f>
        <v>#VALUE!</v>
      </c>
      <c r="GG110" t="e">
        <f>AND('Planilla_General_03-12-2012_9_3'!L1756,"AAAAAH5697w=")</f>
        <v>#VALUE!</v>
      </c>
      <c r="GH110" t="e">
        <f>AND('Planilla_General_03-12-2012_9_3'!M1756,"AAAAAH56970=")</f>
        <v>#VALUE!</v>
      </c>
      <c r="GI110" t="e">
        <f>AND('Planilla_General_03-12-2012_9_3'!N1756,"AAAAAH56974=")</f>
        <v>#VALUE!</v>
      </c>
      <c r="GJ110" t="e">
        <f>AND('Planilla_General_03-12-2012_9_3'!O1756,"AAAAAH56978=")</f>
        <v>#VALUE!</v>
      </c>
      <c r="GK110">
        <f>IF('Planilla_General_03-12-2012_9_3'!1757:1757,"AAAAAH5698A=",0)</f>
        <v>0</v>
      </c>
      <c r="GL110" t="e">
        <f>AND('Planilla_General_03-12-2012_9_3'!A1757,"AAAAAH5698E=")</f>
        <v>#VALUE!</v>
      </c>
      <c r="GM110" t="e">
        <f>AND('Planilla_General_03-12-2012_9_3'!B1757,"AAAAAH5698I=")</f>
        <v>#VALUE!</v>
      </c>
      <c r="GN110" t="e">
        <f>AND('Planilla_General_03-12-2012_9_3'!C1757,"AAAAAH5698M=")</f>
        <v>#VALUE!</v>
      </c>
      <c r="GO110" t="e">
        <f>AND('Planilla_General_03-12-2012_9_3'!D1757,"AAAAAH5698Q=")</f>
        <v>#VALUE!</v>
      </c>
      <c r="GP110" t="e">
        <f>AND('Planilla_General_03-12-2012_9_3'!E1757,"AAAAAH5698U=")</f>
        <v>#VALUE!</v>
      </c>
      <c r="GQ110" t="e">
        <f>AND('Planilla_General_03-12-2012_9_3'!F1757,"AAAAAH5698Y=")</f>
        <v>#VALUE!</v>
      </c>
      <c r="GR110" t="e">
        <f>AND('Planilla_General_03-12-2012_9_3'!G1757,"AAAAAH5698c=")</f>
        <v>#VALUE!</v>
      </c>
      <c r="GS110" t="e">
        <f>AND('Planilla_General_03-12-2012_9_3'!H1757,"AAAAAH5698g=")</f>
        <v>#VALUE!</v>
      </c>
      <c r="GT110" t="e">
        <f>AND('Planilla_General_03-12-2012_9_3'!I1757,"AAAAAH5698k=")</f>
        <v>#VALUE!</v>
      </c>
      <c r="GU110" t="e">
        <f>AND('Planilla_General_03-12-2012_9_3'!J1757,"AAAAAH5698o=")</f>
        <v>#VALUE!</v>
      </c>
      <c r="GV110" t="e">
        <f>AND('Planilla_General_03-12-2012_9_3'!K1757,"AAAAAH5698s=")</f>
        <v>#VALUE!</v>
      </c>
      <c r="GW110" t="e">
        <f>AND('Planilla_General_03-12-2012_9_3'!L1757,"AAAAAH5698w=")</f>
        <v>#VALUE!</v>
      </c>
      <c r="GX110" t="e">
        <f>AND('Planilla_General_03-12-2012_9_3'!M1757,"AAAAAH56980=")</f>
        <v>#VALUE!</v>
      </c>
      <c r="GY110" t="e">
        <f>AND('Planilla_General_03-12-2012_9_3'!N1757,"AAAAAH56984=")</f>
        <v>#VALUE!</v>
      </c>
      <c r="GZ110" t="e">
        <f>AND('Planilla_General_03-12-2012_9_3'!O1757,"AAAAAH56988=")</f>
        <v>#VALUE!</v>
      </c>
      <c r="HA110">
        <f>IF('Planilla_General_03-12-2012_9_3'!1758:1758,"AAAAAH5699A=",0)</f>
        <v>0</v>
      </c>
      <c r="HB110" t="e">
        <f>AND('Planilla_General_03-12-2012_9_3'!A1758,"AAAAAH5699E=")</f>
        <v>#VALUE!</v>
      </c>
      <c r="HC110" t="e">
        <f>AND('Planilla_General_03-12-2012_9_3'!B1758,"AAAAAH5699I=")</f>
        <v>#VALUE!</v>
      </c>
      <c r="HD110" t="e">
        <f>AND('Planilla_General_03-12-2012_9_3'!C1758,"AAAAAH5699M=")</f>
        <v>#VALUE!</v>
      </c>
      <c r="HE110" t="e">
        <f>AND('Planilla_General_03-12-2012_9_3'!D1758,"AAAAAH5699Q=")</f>
        <v>#VALUE!</v>
      </c>
      <c r="HF110" t="e">
        <f>AND('Planilla_General_03-12-2012_9_3'!E1758,"AAAAAH5699U=")</f>
        <v>#VALUE!</v>
      </c>
      <c r="HG110" t="e">
        <f>AND('Planilla_General_03-12-2012_9_3'!F1758,"AAAAAH5699Y=")</f>
        <v>#VALUE!</v>
      </c>
      <c r="HH110" t="e">
        <f>AND('Planilla_General_03-12-2012_9_3'!G1758,"AAAAAH5699c=")</f>
        <v>#VALUE!</v>
      </c>
      <c r="HI110" t="e">
        <f>AND('Planilla_General_03-12-2012_9_3'!H1758,"AAAAAH5699g=")</f>
        <v>#VALUE!</v>
      </c>
      <c r="HJ110" t="e">
        <f>AND('Planilla_General_03-12-2012_9_3'!I1758,"AAAAAH5699k=")</f>
        <v>#VALUE!</v>
      </c>
      <c r="HK110" t="e">
        <f>AND('Planilla_General_03-12-2012_9_3'!J1758,"AAAAAH5699o=")</f>
        <v>#VALUE!</v>
      </c>
      <c r="HL110" t="e">
        <f>AND('Planilla_General_03-12-2012_9_3'!K1758,"AAAAAH5699s=")</f>
        <v>#VALUE!</v>
      </c>
      <c r="HM110" t="e">
        <f>AND('Planilla_General_03-12-2012_9_3'!L1758,"AAAAAH5699w=")</f>
        <v>#VALUE!</v>
      </c>
      <c r="HN110" t="e">
        <f>AND('Planilla_General_03-12-2012_9_3'!M1758,"AAAAAH56990=")</f>
        <v>#VALUE!</v>
      </c>
      <c r="HO110" t="e">
        <f>AND('Planilla_General_03-12-2012_9_3'!N1758,"AAAAAH56994=")</f>
        <v>#VALUE!</v>
      </c>
      <c r="HP110" t="e">
        <f>AND('Planilla_General_03-12-2012_9_3'!O1758,"AAAAAH56998=")</f>
        <v>#VALUE!</v>
      </c>
      <c r="HQ110">
        <f>IF('Planilla_General_03-12-2012_9_3'!1759:1759,"AAAAAH569+A=",0)</f>
        <v>0</v>
      </c>
      <c r="HR110" t="e">
        <f>AND('Planilla_General_03-12-2012_9_3'!A1759,"AAAAAH569+E=")</f>
        <v>#VALUE!</v>
      </c>
      <c r="HS110" t="e">
        <f>AND('Planilla_General_03-12-2012_9_3'!B1759,"AAAAAH569+I=")</f>
        <v>#VALUE!</v>
      </c>
      <c r="HT110" t="e">
        <f>AND('Planilla_General_03-12-2012_9_3'!C1759,"AAAAAH569+M=")</f>
        <v>#VALUE!</v>
      </c>
      <c r="HU110" t="e">
        <f>AND('Planilla_General_03-12-2012_9_3'!D1759,"AAAAAH569+Q=")</f>
        <v>#VALUE!</v>
      </c>
      <c r="HV110" t="e">
        <f>AND('Planilla_General_03-12-2012_9_3'!E1759,"AAAAAH569+U=")</f>
        <v>#VALUE!</v>
      </c>
      <c r="HW110" t="e">
        <f>AND('Planilla_General_03-12-2012_9_3'!F1759,"AAAAAH569+Y=")</f>
        <v>#VALUE!</v>
      </c>
      <c r="HX110" t="e">
        <f>AND('Planilla_General_03-12-2012_9_3'!G1759,"AAAAAH569+c=")</f>
        <v>#VALUE!</v>
      </c>
      <c r="HY110" t="e">
        <f>AND('Planilla_General_03-12-2012_9_3'!H1759,"AAAAAH569+g=")</f>
        <v>#VALUE!</v>
      </c>
      <c r="HZ110" t="e">
        <f>AND('Planilla_General_03-12-2012_9_3'!I1759,"AAAAAH569+k=")</f>
        <v>#VALUE!</v>
      </c>
      <c r="IA110" t="e">
        <f>AND('Planilla_General_03-12-2012_9_3'!J1759,"AAAAAH569+o=")</f>
        <v>#VALUE!</v>
      </c>
      <c r="IB110" t="e">
        <f>AND('Planilla_General_03-12-2012_9_3'!K1759,"AAAAAH569+s=")</f>
        <v>#VALUE!</v>
      </c>
      <c r="IC110" t="e">
        <f>AND('Planilla_General_03-12-2012_9_3'!L1759,"AAAAAH569+w=")</f>
        <v>#VALUE!</v>
      </c>
      <c r="ID110" t="e">
        <f>AND('Planilla_General_03-12-2012_9_3'!M1759,"AAAAAH569+0=")</f>
        <v>#VALUE!</v>
      </c>
      <c r="IE110" t="e">
        <f>AND('Planilla_General_03-12-2012_9_3'!N1759,"AAAAAH569+4=")</f>
        <v>#VALUE!</v>
      </c>
      <c r="IF110" t="e">
        <f>AND('Planilla_General_03-12-2012_9_3'!O1759,"AAAAAH569+8=")</f>
        <v>#VALUE!</v>
      </c>
      <c r="IG110">
        <f>IF('Planilla_General_03-12-2012_9_3'!1760:1760,"AAAAAH569/A=",0)</f>
        <v>0</v>
      </c>
      <c r="IH110" t="e">
        <f>AND('Planilla_General_03-12-2012_9_3'!A1760,"AAAAAH569/E=")</f>
        <v>#VALUE!</v>
      </c>
      <c r="II110" t="e">
        <f>AND('Planilla_General_03-12-2012_9_3'!B1760,"AAAAAH569/I=")</f>
        <v>#VALUE!</v>
      </c>
      <c r="IJ110" t="e">
        <f>AND('Planilla_General_03-12-2012_9_3'!C1760,"AAAAAH569/M=")</f>
        <v>#VALUE!</v>
      </c>
      <c r="IK110" t="e">
        <f>AND('Planilla_General_03-12-2012_9_3'!D1760,"AAAAAH569/Q=")</f>
        <v>#VALUE!</v>
      </c>
      <c r="IL110" t="e">
        <f>AND('Planilla_General_03-12-2012_9_3'!E1760,"AAAAAH569/U=")</f>
        <v>#VALUE!</v>
      </c>
      <c r="IM110" t="e">
        <f>AND('Planilla_General_03-12-2012_9_3'!F1760,"AAAAAH569/Y=")</f>
        <v>#VALUE!</v>
      </c>
      <c r="IN110" t="e">
        <f>AND('Planilla_General_03-12-2012_9_3'!G1760,"AAAAAH569/c=")</f>
        <v>#VALUE!</v>
      </c>
      <c r="IO110" t="e">
        <f>AND('Planilla_General_03-12-2012_9_3'!H1760,"AAAAAH569/g=")</f>
        <v>#VALUE!</v>
      </c>
      <c r="IP110" t="e">
        <f>AND('Planilla_General_03-12-2012_9_3'!I1760,"AAAAAH569/k=")</f>
        <v>#VALUE!</v>
      </c>
      <c r="IQ110" t="e">
        <f>AND('Planilla_General_03-12-2012_9_3'!J1760,"AAAAAH569/o=")</f>
        <v>#VALUE!</v>
      </c>
      <c r="IR110" t="e">
        <f>AND('Planilla_General_03-12-2012_9_3'!K1760,"AAAAAH569/s=")</f>
        <v>#VALUE!</v>
      </c>
      <c r="IS110" t="e">
        <f>AND('Planilla_General_03-12-2012_9_3'!L1760,"AAAAAH569/w=")</f>
        <v>#VALUE!</v>
      </c>
      <c r="IT110" t="e">
        <f>AND('Planilla_General_03-12-2012_9_3'!M1760,"AAAAAH569/0=")</f>
        <v>#VALUE!</v>
      </c>
      <c r="IU110" t="e">
        <f>AND('Planilla_General_03-12-2012_9_3'!N1760,"AAAAAH569/4=")</f>
        <v>#VALUE!</v>
      </c>
      <c r="IV110" t="e">
        <f>AND('Planilla_General_03-12-2012_9_3'!O1760,"AAAAAH569/8=")</f>
        <v>#VALUE!</v>
      </c>
    </row>
    <row r="111" spans="1:256" x14ac:dyDescent="0.25">
      <c r="A111" t="e">
        <f>IF('Planilla_General_03-12-2012_9_3'!1761:1761,"AAAAAHfrdgA=",0)</f>
        <v>#VALUE!</v>
      </c>
      <c r="B111" t="e">
        <f>AND('Planilla_General_03-12-2012_9_3'!A1761,"AAAAAHfrdgE=")</f>
        <v>#VALUE!</v>
      </c>
      <c r="C111" t="e">
        <f>AND('Planilla_General_03-12-2012_9_3'!B1761,"AAAAAHfrdgI=")</f>
        <v>#VALUE!</v>
      </c>
      <c r="D111" t="e">
        <f>AND('Planilla_General_03-12-2012_9_3'!C1761,"AAAAAHfrdgM=")</f>
        <v>#VALUE!</v>
      </c>
      <c r="E111" t="e">
        <f>AND('Planilla_General_03-12-2012_9_3'!D1761,"AAAAAHfrdgQ=")</f>
        <v>#VALUE!</v>
      </c>
      <c r="F111" t="e">
        <f>AND('Planilla_General_03-12-2012_9_3'!E1761,"AAAAAHfrdgU=")</f>
        <v>#VALUE!</v>
      </c>
      <c r="G111" t="e">
        <f>AND('Planilla_General_03-12-2012_9_3'!F1761,"AAAAAHfrdgY=")</f>
        <v>#VALUE!</v>
      </c>
      <c r="H111" t="e">
        <f>AND('Planilla_General_03-12-2012_9_3'!G1761,"AAAAAHfrdgc=")</f>
        <v>#VALUE!</v>
      </c>
      <c r="I111" t="e">
        <f>AND('Planilla_General_03-12-2012_9_3'!H1761,"AAAAAHfrdgg=")</f>
        <v>#VALUE!</v>
      </c>
      <c r="J111" t="e">
        <f>AND('Planilla_General_03-12-2012_9_3'!I1761,"AAAAAHfrdgk=")</f>
        <v>#VALUE!</v>
      </c>
      <c r="K111" t="e">
        <f>AND('Planilla_General_03-12-2012_9_3'!J1761,"AAAAAHfrdgo=")</f>
        <v>#VALUE!</v>
      </c>
      <c r="L111" t="e">
        <f>AND('Planilla_General_03-12-2012_9_3'!K1761,"AAAAAHfrdgs=")</f>
        <v>#VALUE!</v>
      </c>
      <c r="M111" t="e">
        <f>AND('Planilla_General_03-12-2012_9_3'!L1761,"AAAAAHfrdgw=")</f>
        <v>#VALUE!</v>
      </c>
      <c r="N111" t="e">
        <f>AND('Planilla_General_03-12-2012_9_3'!M1761,"AAAAAHfrdg0=")</f>
        <v>#VALUE!</v>
      </c>
      <c r="O111" t="e">
        <f>AND('Planilla_General_03-12-2012_9_3'!N1761,"AAAAAHfrdg4=")</f>
        <v>#VALUE!</v>
      </c>
      <c r="P111" t="e">
        <f>AND('Planilla_General_03-12-2012_9_3'!O1761,"AAAAAHfrdg8=")</f>
        <v>#VALUE!</v>
      </c>
      <c r="Q111">
        <f>IF('Planilla_General_03-12-2012_9_3'!1762:1762,"AAAAAHfrdhA=",0)</f>
        <v>0</v>
      </c>
      <c r="R111" t="e">
        <f>AND('Planilla_General_03-12-2012_9_3'!A1762,"AAAAAHfrdhE=")</f>
        <v>#VALUE!</v>
      </c>
      <c r="S111" t="e">
        <f>AND('Planilla_General_03-12-2012_9_3'!B1762,"AAAAAHfrdhI=")</f>
        <v>#VALUE!</v>
      </c>
      <c r="T111" t="e">
        <f>AND('Planilla_General_03-12-2012_9_3'!C1762,"AAAAAHfrdhM=")</f>
        <v>#VALUE!</v>
      </c>
      <c r="U111" t="e">
        <f>AND('Planilla_General_03-12-2012_9_3'!D1762,"AAAAAHfrdhQ=")</f>
        <v>#VALUE!</v>
      </c>
      <c r="V111" t="e">
        <f>AND('Planilla_General_03-12-2012_9_3'!E1762,"AAAAAHfrdhU=")</f>
        <v>#VALUE!</v>
      </c>
      <c r="W111" t="e">
        <f>AND('Planilla_General_03-12-2012_9_3'!F1762,"AAAAAHfrdhY=")</f>
        <v>#VALUE!</v>
      </c>
      <c r="X111" t="e">
        <f>AND('Planilla_General_03-12-2012_9_3'!G1762,"AAAAAHfrdhc=")</f>
        <v>#VALUE!</v>
      </c>
      <c r="Y111" t="e">
        <f>AND('Planilla_General_03-12-2012_9_3'!H1762,"AAAAAHfrdhg=")</f>
        <v>#VALUE!</v>
      </c>
      <c r="Z111" t="e">
        <f>AND('Planilla_General_03-12-2012_9_3'!I1762,"AAAAAHfrdhk=")</f>
        <v>#VALUE!</v>
      </c>
      <c r="AA111" t="e">
        <f>AND('Planilla_General_03-12-2012_9_3'!J1762,"AAAAAHfrdho=")</f>
        <v>#VALUE!</v>
      </c>
      <c r="AB111" t="e">
        <f>AND('Planilla_General_03-12-2012_9_3'!K1762,"AAAAAHfrdhs=")</f>
        <v>#VALUE!</v>
      </c>
      <c r="AC111" t="e">
        <f>AND('Planilla_General_03-12-2012_9_3'!L1762,"AAAAAHfrdhw=")</f>
        <v>#VALUE!</v>
      </c>
      <c r="AD111" t="e">
        <f>AND('Planilla_General_03-12-2012_9_3'!M1762,"AAAAAHfrdh0=")</f>
        <v>#VALUE!</v>
      </c>
      <c r="AE111" t="e">
        <f>AND('Planilla_General_03-12-2012_9_3'!N1762,"AAAAAHfrdh4=")</f>
        <v>#VALUE!</v>
      </c>
      <c r="AF111" t="e">
        <f>AND('Planilla_General_03-12-2012_9_3'!O1762,"AAAAAHfrdh8=")</f>
        <v>#VALUE!</v>
      </c>
      <c r="AG111">
        <f>IF('Planilla_General_03-12-2012_9_3'!1763:1763,"AAAAAHfrdiA=",0)</f>
        <v>0</v>
      </c>
      <c r="AH111" t="e">
        <f>AND('Planilla_General_03-12-2012_9_3'!A1763,"AAAAAHfrdiE=")</f>
        <v>#VALUE!</v>
      </c>
      <c r="AI111" t="e">
        <f>AND('Planilla_General_03-12-2012_9_3'!B1763,"AAAAAHfrdiI=")</f>
        <v>#VALUE!</v>
      </c>
      <c r="AJ111" t="e">
        <f>AND('Planilla_General_03-12-2012_9_3'!C1763,"AAAAAHfrdiM=")</f>
        <v>#VALUE!</v>
      </c>
      <c r="AK111" t="e">
        <f>AND('Planilla_General_03-12-2012_9_3'!D1763,"AAAAAHfrdiQ=")</f>
        <v>#VALUE!</v>
      </c>
      <c r="AL111" t="e">
        <f>AND('Planilla_General_03-12-2012_9_3'!E1763,"AAAAAHfrdiU=")</f>
        <v>#VALUE!</v>
      </c>
      <c r="AM111" t="e">
        <f>AND('Planilla_General_03-12-2012_9_3'!F1763,"AAAAAHfrdiY=")</f>
        <v>#VALUE!</v>
      </c>
      <c r="AN111" t="e">
        <f>AND('Planilla_General_03-12-2012_9_3'!G1763,"AAAAAHfrdic=")</f>
        <v>#VALUE!</v>
      </c>
      <c r="AO111" t="e">
        <f>AND('Planilla_General_03-12-2012_9_3'!H1763,"AAAAAHfrdig=")</f>
        <v>#VALUE!</v>
      </c>
      <c r="AP111" t="e">
        <f>AND('Planilla_General_03-12-2012_9_3'!I1763,"AAAAAHfrdik=")</f>
        <v>#VALUE!</v>
      </c>
      <c r="AQ111" t="e">
        <f>AND('Planilla_General_03-12-2012_9_3'!J1763,"AAAAAHfrdio=")</f>
        <v>#VALUE!</v>
      </c>
      <c r="AR111" t="e">
        <f>AND('Planilla_General_03-12-2012_9_3'!K1763,"AAAAAHfrdis=")</f>
        <v>#VALUE!</v>
      </c>
      <c r="AS111" t="e">
        <f>AND('Planilla_General_03-12-2012_9_3'!L1763,"AAAAAHfrdiw=")</f>
        <v>#VALUE!</v>
      </c>
      <c r="AT111" t="e">
        <f>AND('Planilla_General_03-12-2012_9_3'!M1763,"AAAAAHfrdi0=")</f>
        <v>#VALUE!</v>
      </c>
      <c r="AU111" t="e">
        <f>AND('Planilla_General_03-12-2012_9_3'!N1763,"AAAAAHfrdi4=")</f>
        <v>#VALUE!</v>
      </c>
      <c r="AV111" t="e">
        <f>AND('Planilla_General_03-12-2012_9_3'!O1763,"AAAAAHfrdi8=")</f>
        <v>#VALUE!</v>
      </c>
      <c r="AW111">
        <f>IF('Planilla_General_03-12-2012_9_3'!1764:1764,"AAAAAHfrdjA=",0)</f>
        <v>0</v>
      </c>
      <c r="AX111" t="e">
        <f>AND('Planilla_General_03-12-2012_9_3'!A1764,"AAAAAHfrdjE=")</f>
        <v>#VALUE!</v>
      </c>
      <c r="AY111" t="e">
        <f>AND('Planilla_General_03-12-2012_9_3'!B1764,"AAAAAHfrdjI=")</f>
        <v>#VALUE!</v>
      </c>
      <c r="AZ111" t="e">
        <f>AND('Planilla_General_03-12-2012_9_3'!C1764,"AAAAAHfrdjM=")</f>
        <v>#VALUE!</v>
      </c>
      <c r="BA111" t="e">
        <f>AND('Planilla_General_03-12-2012_9_3'!D1764,"AAAAAHfrdjQ=")</f>
        <v>#VALUE!</v>
      </c>
      <c r="BB111" t="e">
        <f>AND('Planilla_General_03-12-2012_9_3'!E1764,"AAAAAHfrdjU=")</f>
        <v>#VALUE!</v>
      </c>
      <c r="BC111" t="e">
        <f>AND('Planilla_General_03-12-2012_9_3'!F1764,"AAAAAHfrdjY=")</f>
        <v>#VALUE!</v>
      </c>
      <c r="BD111" t="e">
        <f>AND('Planilla_General_03-12-2012_9_3'!G1764,"AAAAAHfrdjc=")</f>
        <v>#VALUE!</v>
      </c>
      <c r="BE111" t="e">
        <f>AND('Planilla_General_03-12-2012_9_3'!H1764,"AAAAAHfrdjg=")</f>
        <v>#VALUE!</v>
      </c>
      <c r="BF111" t="e">
        <f>AND('Planilla_General_03-12-2012_9_3'!I1764,"AAAAAHfrdjk=")</f>
        <v>#VALUE!</v>
      </c>
      <c r="BG111" t="e">
        <f>AND('Planilla_General_03-12-2012_9_3'!J1764,"AAAAAHfrdjo=")</f>
        <v>#VALUE!</v>
      </c>
      <c r="BH111" t="e">
        <f>AND('Planilla_General_03-12-2012_9_3'!K1764,"AAAAAHfrdjs=")</f>
        <v>#VALUE!</v>
      </c>
      <c r="BI111" t="e">
        <f>AND('Planilla_General_03-12-2012_9_3'!L1764,"AAAAAHfrdjw=")</f>
        <v>#VALUE!</v>
      </c>
      <c r="BJ111" t="e">
        <f>AND('Planilla_General_03-12-2012_9_3'!M1764,"AAAAAHfrdj0=")</f>
        <v>#VALUE!</v>
      </c>
      <c r="BK111" t="e">
        <f>AND('Planilla_General_03-12-2012_9_3'!N1764,"AAAAAHfrdj4=")</f>
        <v>#VALUE!</v>
      </c>
      <c r="BL111" t="e">
        <f>AND('Planilla_General_03-12-2012_9_3'!O1764,"AAAAAHfrdj8=")</f>
        <v>#VALUE!</v>
      </c>
      <c r="BM111">
        <f>IF('Planilla_General_03-12-2012_9_3'!1765:1765,"AAAAAHfrdkA=",0)</f>
        <v>0</v>
      </c>
      <c r="BN111" t="e">
        <f>AND('Planilla_General_03-12-2012_9_3'!A1765,"AAAAAHfrdkE=")</f>
        <v>#VALUE!</v>
      </c>
      <c r="BO111" t="e">
        <f>AND('Planilla_General_03-12-2012_9_3'!B1765,"AAAAAHfrdkI=")</f>
        <v>#VALUE!</v>
      </c>
      <c r="BP111" t="e">
        <f>AND('Planilla_General_03-12-2012_9_3'!C1765,"AAAAAHfrdkM=")</f>
        <v>#VALUE!</v>
      </c>
      <c r="BQ111" t="e">
        <f>AND('Planilla_General_03-12-2012_9_3'!D1765,"AAAAAHfrdkQ=")</f>
        <v>#VALUE!</v>
      </c>
      <c r="BR111" t="e">
        <f>AND('Planilla_General_03-12-2012_9_3'!E1765,"AAAAAHfrdkU=")</f>
        <v>#VALUE!</v>
      </c>
      <c r="BS111" t="e">
        <f>AND('Planilla_General_03-12-2012_9_3'!F1765,"AAAAAHfrdkY=")</f>
        <v>#VALUE!</v>
      </c>
      <c r="BT111" t="e">
        <f>AND('Planilla_General_03-12-2012_9_3'!G1765,"AAAAAHfrdkc=")</f>
        <v>#VALUE!</v>
      </c>
      <c r="BU111" t="e">
        <f>AND('Planilla_General_03-12-2012_9_3'!H1765,"AAAAAHfrdkg=")</f>
        <v>#VALUE!</v>
      </c>
      <c r="BV111" t="e">
        <f>AND('Planilla_General_03-12-2012_9_3'!I1765,"AAAAAHfrdkk=")</f>
        <v>#VALUE!</v>
      </c>
      <c r="BW111" t="e">
        <f>AND('Planilla_General_03-12-2012_9_3'!J1765,"AAAAAHfrdko=")</f>
        <v>#VALUE!</v>
      </c>
      <c r="BX111" t="e">
        <f>AND('Planilla_General_03-12-2012_9_3'!K1765,"AAAAAHfrdks=")</f>
        <v>#VALUE!</v>
      </c>
      <c r="BY111" t="e">
        <f>AND('Planilla_General_03-12-2012_9_3'!L1765,"AAAAAHfrdkw=")</f>
        <v>#VALUE!</v>
      </c>
      <c r="BZ111" t="e">
        <f>AND('Planilla_General_03-12-2012_9_3'!M1765,"AAAAAHfrdk0=")</f>
        <v>#VALUE!</v>
      </c>
      <c r="CA111" t="e">
        <f>AND('Planilla_General_03-12-2012_9_3'!N1765,"AAAAAHfrdk4=")</f>
        <v>#VALUE!</v>
      </c>
      <c r="CB111" t="e">
        <f>AND('Planilla_General_03-12-2012_9_3'!O1765,"AAAAAHfrdk8=")</f>
        <v>#VALUE!</v>
      </c>
      <c r="CC111">
        <f>IF('Planilla_General_03-12-2012_9_3'!1766:1766,"AAAAAHfrdlA=",0)</f>
        <v>0</v>
      </c>
      <c r="CD111" t="e">
        <f>AND('Planilla_General_03-12-2012_9_3'!A1766,"AAAAAHfrdlE=")</f>
        <v>#VALUE!</v>
      </c>
      <c r="CE111" t="e">
        <f>AND('Planilla_General_03-12-2012_9_3'!B1766,"AAAAAHfrdlI=")</f>
        <v>#VALUE!</v>
      </c>
      <c r="CF111" t="e">
        <f>AND('Planilla_General_03-12-2012_9_3'!C1766,"AAAAAHfrdlM=")</f>
        <v>#VALUE!</v>
      </c>
      <c r="CG111" t="e">
        <f>AND('Planilla_General_03-12-2012_9_3'!D1766,"AAAAAHfrdlQ=")</f>
        <v>#VALUE!</v>
      </c>
      <c r="CH111" t="e">
        <f>AND('Planilla_General_03-12-2012_9_3'!E1766,"AAAAAHfrdlU=")</f>
        <v>#VALUE!</v>
      </c>
      <c r="CI111" t="e">
        <f>AND('Planilla_General_03-12-2012_9_3'!F1766,"AAAAAHfrdlY=")</f>
        <v>#VALUE!</v>
      </c>
      <c r="CJ111" t="e">
        <f>AND('Planilla_General_03-12-2012_9_3'!G1766,"AAAAAHfrdlc=")</f>
        <v>#VALUE!</v>
      </c>
      <c r="CK111" t="e">
        <f>AND('Planilla_General_03-12-2012_9_3'!H1766,"AAAAAHfrdlg=")</f>
        <v>#VALUE!</v>
      </c>
      <c r="CL111" t="e">
        <f>AND('Planilla_General_03-12-2012_9_3'!I1766,"AAAAAHfrdlk=")</f>
        <v>#VALUE!</v>
      </c>
      <c r="CM111" t="e">
        <f>AND('Planilla_General_03-12-2012_9_3'!J1766,"AAAAAHfrdlo=")</f>
        <v>#VALUE!</v>
      </c>
      <c r="CN111" t="e">
        <f>AND('Planilla_General_03-12-2012_9_3'!K1766,"AAAAAHfrdls=")</f>
        <v>#VALUE!</v>
      </c>
      <c r="CO111" t="e">
        <f>AND('Planilla_General_03-12-2012_9_3'!L1766,"AAAAAHfrdlw=")</f>
        <v>#VALUE!</v>
      </c>
      <c r="CP111" t="e">
        <f>AND('Planilla_General_03-12-2012_9_3'!M1766,"AAAAAHfrdl0=")</f>
        <v>#VALUE!</v>
      </c>
      <c r="CQ111" t="e">
        <f>AND('Planilla_General_03-12-2012_9_3'!N1766,"AAAAAHfrdl4=")</f>
        <v>#VALUE!</v>
      </c>
      <c r="CR111" t="e">
        <f>AND('Planilla_General_03-12-2012_9_3'!O1766,"AAAAAHfrdl8=")</f>
        <v>#VALUE!</v>
      </c>
      <c r="CS111">
        <f>IF('Planilla_General_03-12-2012_9_3'!1767:1767,"AAAAAHfrdmA=",0)</f>
        <v>0</v>
      </c>
      <c r="CT111" t="e">
        <f>AND('Planilla_General_03-12-2012_9_3'!A1767,"AAAAAHfrdmE=")</f>
        <v>#VALUE!</v>
      </c>
      <c r="CU111" t="e">
        <f>AND('Planilla_General_03-12-2012_9_3'!B1767,"AAAAAHfrdmI=")</f>
        <v>#VALUE!</v>
      </c>
      <c r="CV111" t="e">
        <f>AND('Planilla_General_03-12-2012_9_3'!C1767,"AAAAAHfrdmM=")</f>
        <v>#VALUE!</v>
      </c>
      <c r="CW111" t="e">
        <f>AND('Planilla_General_03-12-2012_9_3'!D1767,"AAAAAHfrdmQ=")</f>
        <v>#VALUE!</v>
      </c>
      <c r="CX111" t="e">
        <f>AND('Planilla_General_03-12-2012_9_3'!E1767,"AAAAAHfrdmU=")</f>
        <v>#VALUE!</v>
      </c>
      <c r="CY111" t="e">
        <f>AND('Planilla_General_03-12-2012_9_3'!F1767,"AAAAAHfrdmY=")</f>
        <v>#VALUE!</v>
      </c>
      <c r="CZ111" t="e">
        <f>AND('Planilla_General_03-12-2012_9_3'!G1767,"AAAAAHfrdmc=")</f>
        <v>#VALUE!</v>
      </c>
      <c r="DA111" t="e">
        <f>AND('Planilla_General_03-12-2012_9_3'!H1767,"AAAAAHfrdmg=")</f>
        <v>#VALUE!</v>
      </c>
      <c r="DB111" t="e">
        <f>AND('Planilla_General_03-12-2012_9_3'!I1767,"AAAAAHfrdmk=")</f>
        <v>#VALUE!</v>
      </c>
      <c r="DC111" t="e">
        <f>AND('Planilla_General_03-12-2012_9_3'!J1767,"AAAAAHfrdmo=")</f>
        <v>#VALUE!</v>
      </c>
      <c r="DD111" t="e">
        <f>AND('Planilla_General_03-12-2012_9_3'!K1767,"AAAAAHfrdms=")</f>
        <v>#VALUE!</v>
      </c>
      <c r="DE111" t="e">
        <f>AND('Planilla_General_03-12-2012_9_3'!L1767,"AAAAAHfrdmw=")</f>
        <v>#VALUE!</v>
      </c>
      <c r="DF111" t="e">
        <f>AND('Planilla_General_03-12-2012_9_3'!M1767,"AAAAAHfrdm0=")</f>
        <v>#VALUE!</v>
      </c>
      <c r="DG111" t="e">
        <f>AND('Planilla_General_03-12-2012_9_3'!N1767,"AAAAAHfrdm4=")</f>
        <v>#VALUE!</v>
      </c>
      <c r="DH111" t="e">
        <f>AND('Planilla_General_03-12-2012_9_3'!O1767,"AAAAAHfrdm8=")</f>
        <v>#VALUE!</v>
      </c>
      <c r="DI111">
        <f>IF('Planilla_General_03-12-2012_9_3'!1768:1768,"AAAAAHfrdnA=",0)</f>
        <v>0</v>
      </c>
      <c r="DJ111" t="e">
        <f>AND('Planilla_General_03-12-2012_9_3'!A1768,"AAAAAHfrdnE=")</f>
        <v>#VALUE!</v>
      </c>
      <c r="DK111" t="e">
        <f>AND('Planilla_General_03-12-2012_9_3'!B1768,"AAAAAHfrdnI=")</f>
        <v>#VALUE!</v>
      </c>
      <c r="DL111" t="e">
        <f>AND('Planilla_General_03-12-2012_9_3'!C1768,"AAAAAHfrdnM=")</f>
        <v>#VALUE!</v>
      </c>
      <c r="DM111" t="e">
        <f>AND('Planilla_General_03-12-2012_9_3'!D1768,"AAAAAHfrdnQ=")</f>
        <v>#VALUE!</v>
      </c>
      <c r="DN111" t="e">
        <f>AND('Planilla_General_03-12-2012_9_3'!E1768,"AAAAAHfrdnU=")</f>
        <v>#VALUE!</v>
      </c>
      <c r="DO111" t="e">
        <f>AND('Planilla_General_03-12-2012_9_3'!F1768,"AAAAAHfrdnY=")</f>
        <v>#VALUE!</v>
      </c>
      <c r="DP111" t="e">
        <f>AND('Planilla_General_03-12-2012_9_3'!G1768,"AAAAAHfrdnc=")</f>
        <v>#VALUE!</v>
      </c>
      <c r="DQ111" t="e">
        <f>AND('Planilla_General_03-12-2012_9_3'!H1768,"AAAAAHfrdng=")</f>
        <v>#VALUE!</v>
      </c>
      <c r="DR111" t="e">
        <f>AND('Planilla_General_03-12-2012_9_3'!I1768,"AAAAAHfrdnk=")</f>
        <v>#VALUE!</v>
      </c>
      <c r="DS111" t="e">
        <f>AND('Planilla_General_03-12-2012_9_3'!J1768,"AAAAAHfrdno=")</f>
        <v>#VALUE!</v>
      </c>
      <c r="DT111" t="e">
        <f>AND('Planilla_General_03-12-2012_9_3'!K1768,"AAAAAHfrdns=")</f>
        <v>#VALUE!</v>
      </c>
      <c r="DU111" t="e">
        <f>AND('Planilla_General_03-12-2012_9_3'!L1768,"AAAAAHfrdnw=")</f>
        <v>#VALUE!</v>
      </c>
      <c r="DV111" t="e">
        <f>AND('Planilla_General_03-12-2012_9_3'!M1768,"AAAAAHfrdn0=")</f>
        <v>#VALUE!</v>
      </c>
      <c r="DW111" t="e">
        <f>AND('Planilla_General_03-12-2012_9_3'!N1768,"AAAAAHfrdn4=")</f>
        <v>#VALUE!</v>
      </c>
      <c r="DX111" t="e">
        <f>AND('Planilla_General_03-12-2012_9_3'!O1768,"AAAAAHfrdn8=")</f>
        <v>#VALUE!</v>
      </c>
      <c r="DY111">
        <f>IF('Planilla_General_03-12-2012_9_3'!1769:1769,"AAAAAHfrdoA=",0)</f>
        <v>0</v>
      </c>
      <c r="DZ111" t="e">
        <f>AND('Planilla_General_03-12-2012_9_3'!A1769,"AAAAAHfrdoE=")</f>
        <v>#VALUE!</v>
      </c>
      <c r="EA111" t="e">
        <f>AND('Planilla_General_03-12-2012_9_3'!B1769,"AAAAAHfrdoI=")</f>
        <v>#VALUE!</v>
      </c>
      <c r="EB111" t="e">
        <f>AND('Planilla_General_03-12-2012_9_3'!C1769,"AAAAAHfrdoM=")</f>
        <v>#VALUE!</v>
      </c>
      <c r="EC111" t="e">
        <f>AND('Planilla_General_03-12-2012_9_3'!D1769,"AAAAAHfrdoQ=")</f>
        <v>#VALUE!</v>
      </c>
      <c r="ED111" t="e">
        <f>AND('Planilla_General_03-12-2012_9_3'!E1769,"AAAAAHfrdoU=")</f>
        <v>#VALUE!</v>
      </c>
      <c r="EE111" t="e">
        <f>AND('Planilla_General_03-12-2012_9_3'!F1769,"AAAAAHfrdoY=")</f>
        <v>#VALUE!</v>
      </c>
      <c r="EF111" t="e">
        <f>AND('Planilla_General_03-12-2012_9_3'!G1769,"AAAAAHfrdoc=")</f>
        <v>#VALUE!</v>
      </c>
      <c r="EG111" t="e">
        <f>AND('Planilla_General_03-12-2012_9_3'!H1769,"AAAAAHfrdog=")</f>
        <v>#VALUE!</v>
      </c>
      <c r="EH111" t="e">
        <f>AND('Planilla_General_03-12-2012_9_3'!I1769,"AAAAAHfrdok=")</f>
        <v>#VALUE!</v>
      </c>
      <c r="EI111" t="e">
        <f>AND('Planilla_General_03-12-2012_9_3'!J1769,"AAAAAHfrdoo=")</f>
        <v>#VALUE!</v>
      </c>
      <c r="EJ111" t="e">
        <f>AND('Planilla_General_03-12-2012_9_3'!K1769,"AAAAAHfrdos=")</f>
        <v>#VALUE!</v>
      </c>
      <c r="EK111" t="e">
        <f>AND('Planilla_General_03-12-2012_9_3'!L1769,"AAAAAHfrdow=")</f>
        <v>#VALUE!</v>
      </c>
      <c r="EL111" t="e">
        <f>AND('Planilla_General_03-12-2012_9_3'!M1769,"AAAAAHfrdo0=")</f>
        <v>#VALUE!</v>
      </c>
      <c r="EM111" t="e">
        <f>AND('Planilla_General_03-12-2012_9_3'!N1769,"AAAAAHfrdo4=")</f>
        <v>#VALUE!</v>
      </c>
      <c r="EN111" t="e">
        <f>AND('Planilla_General_03-12-2012_9_3'!O1769,"AAAAAHfrdo8=")</f>
        <v>#VALUE!</v>
      </c>
      <c r="EO111">
        <f>IF('Planilla_General_03-12-2012_9_3'!1770:1770,"AAAAAHfrdpA=",0)</f>
        <v>0</v>
      </c>
      <c r="EP111" t="e">
        <f>AND('Planilla_General_03-12-2012_9_3'!A1770,"AAAAAHfrdpE=")</f>
        <v>#VALUE!</v>
      </c>
      <c r="EQ111" t="e">
        <f>AND('Planilla_General_03-12-2012_9_3'!B1770,"AAAAAHfrdpI=")</f>
        <v>#VALUE!</v>
      </c>
      <c r="ER111" t="e">
        <f>AND('Planilla_General_03-12-2012_9_3'!C1770,"AAAAAHfrdpM=")</f>
        <v>#VALUE!</v>
      </c>
      <c r="ES111" t="e">
        <f>AND('Planilla_General_03-12-2012_9_3'!D1770,"AAAAAHfrdpQ=")</f>
        <v>#VALUE!</v>
      </c>
      <c r="ET111" t="e">
        <f>AND('Planilla_General_03-12-2012_9_3'!E1770,"AAAAAHfrdpU=")</f>
        <v>#VALUE!</v>
      </c>
      <c r="EU111" t="e">
        <f>AND('Planilla_General_03-12-2012_9_3'!F1770,"AAAAAHfrdpY=")</f>
        <v>#VALUE!</v>
      </c>
      <c r="EV111" t="e">
        <f>AND('Planilla_General_03-12-2012_9_3'!G1770,"AAAAAHfrdpc=")</f>
        <v>#VALUE!</v>
      </c>
      <c r="EW111" t="e">
        <f>AND('Planilla_General_03-12-2012_9_3'!H1770,"AAAAAHfrdpg=")</f>
        <v>#VALUE!</v>
      </c>
      <c r="EX111" t="e">
        <f>AND('Planilla_General_03-12-2012_9_3'!I1770,"AAAAAHfrdpk=")</f>
        <v>#VALUE!</v>
      </c>
      <c r="EY111" t="e">
        <f>AND('Planilla_General_03-12-2012_9_3'!J1770,"AAAAAHfrdpo=")</f>
        <v>#VALUE!</v>
      </c>
      <c r="EZ111" t="e">
        <f>AND('Planilla_General_03-12-2012_9_3'!K1770,"AAAAAHfrdps=")</f>
        <v>#VALUE!</v>
      </c>
      <c r="FA111" t="e">
        <f>AND('Planilla_General_03-12-2012_9_3'!L1770,"AAAAAHfrdpw=")</f>
        <v>#VALUE!</v>
      </c>
      <c r="FB111" t="e">
        <f>AND('Planilla_General_03-12-2012_9_3'!M1770,"AAAAAHfrdp0=")</f>
        <v>#VALUE!</v>
      </c>
      <c r="FC111" t="e">
        <f>AND('Planilla_General_03-12-2012_9_3'!N1770,"AAAAAHfrdp4=")</f>
        <v>#VALUE!</v>
      </c>
      <c r="FD111" t="e">
        <f>AND('Planilla_General_03-12-2012_9_3'!O1770,"AAAAAHfrdp8=")</f>
        <v>#VALUE!</v>
      </c>
      <c r="FE111">
        <f>IF('Planilla_General_03-12-2012_9_3'!1771:1771,"AAAAAHfrdqA=",0)</f>
        <v>0</v>
      </c>
      <c r="FF111" t="e">
        <f>AND('Planilla_General_03-12-2012_9_3'!A1771,"AAAAAHfrdqE=")</f>
        <v>#VALUE!</v>
      </c>
      <c r="FG111" t="e">
        <f>AND('Planilla_General_03-12-2012_9_3'!B1771,"AAAAAHfrdqI=")</f>
        <v>#VALUE!</v>
      </c>
      <c r="FH111" t="e">
        <f>AND('Planilla_General_03-12-2012_9_3'!C1771,"AAAAAHfrdqM=")</f>
        <v>#VALUE!</v>
      </c>
      <c r="FI111" t="e">
        <f>AND('Planilla_General_03-12-2012_9_3'!D1771,"AAAAAHfrdqQ=")</f>
        <v>#VALUE!</v>
      </c>
      <c r="FJ111" t="e">
        <f>AND('Planilla_General_03-12-2012_9_3'!E1771,"AAAAAHfrdqU=")</f>
        <v>#VALUE!</v>
      </c>
      <c r="FK111" t="e">
        <f>AND('Planilla_General_03-12-2012_9_3'!F1771,"AAAAAHfrdqY=")</f>
        <v>#VALUE!</v>
      </c>
      <c r="FL111" t="e">
        <f>AND('Planilla_General_03-12-2012_9_3'!G1771,"AAAAAHfrdqc=")</f>
        <v>#VALUE!</v>
      </c>
      <c r="FM111" t="e">
        <f>AND('Planilla_General_03-12-2012_9_3'!H1771,"AAAAAHfrdqg=")</f>
        <v>#VALUE!</v>
      </c>
      <c r="FN111" t="e">
        <f>AND('Planilla_General_03-12-2012_9_3'!I1771,"AAAAAHfrdqk=")</f>
        <v>#VALUE!</v>
      </c>
      <c r="FO111" t="e">
        <f>AND('Planilla_General_03-12-2012_9_3'!J1771,"AAAAAHfrdqo=")</f>
        <v>#VALUE!</v>
      </c>
      <c r="FP111" t="e">
        <f>AND('Planilla_General_03-12-2012_9_3'!K1771,"AAAAAHfrdqs=")</f>
        <v>#VALUE!</v>
      </c>
      <c r="FQ111" t="e">
        <f>AND('Planilla_General_03-12-2012_9_3'!L1771,"AAAAAHfrdqw=")</f>
        <v>#VALUE!</v>
      </c>
      <c r="FR111" t="e">
        <f>AND('Planilla_General_03-12-2012_9_3'!M1771,"AAAAAHfrdq0=")</f>
        <v>#VALUE!</v>
      </c>
      <c r="FS111" t="e">
        <f>AND('Planilla_General_03-12-2012_9_3'!N1771,"AAAAAHfrdq4=")</f>
        <v>#VALUE!</v>
      </c>
      <c r="FT111" t="e">
        <f>AND('Planilla_General_03-12-2012_9_3'!O1771,"AAAAAHfrdq8=")</f>
        <v>#VALUE!</v>
      </c>
      <c r="FU111">
        <f>IF('Planilla_General_03-12-2012_9_3'!1772:1772,"AAAAAHfrdrA=",0)</f>
        <v>0</v>
      </c>
      <c r="FV111" t="e">
        <f>AND('Planilla_General_03-12-2012_9_3'!A1772,"AAAAAHfrdrE=")</f>
        <v>#VALUE!</v>
      </c>
      <c r="FW111" t="e">
        <f>AND('Planilla_General_03-12-2012_9_3'!B1772,"AAAAAHfrdrI=")</f>
        <v>#VALUE!</v>
      </c>
      <c r="FX111" t="e">
        <f>AND('Planilla_General_03-12-2012_9_3'!C1772,"AAAAAHfrdrM=")</f>
        <v>#VALUE!</v>
      </c>
      <c r="FY111" t="e">
        <f>AND('Planilla_General_03-12-2012_9_3'!D1772,"AAAAAHfrdrQ=")</f>
        <v>#VALUE!</v>
      </c>
      <c r="FZ111" t="e">
        <f>AND('Planilla_General_03-12-2012_9_3'!E1772,"AAAAAHfrdrU=")</f>
        <v>#VALUE!</v>
      </c>
      <c r="GA111" t="e">
        <f>AND('Planilla_General_03-12-2012_9_3'!F1772,"AAAAAHfrdrY=")</f>
        <v>#VALUE!</v>
      </c>
      <c r="GB111" t="e">
        <f>AND('Planilla_General_03-12-2012_9_3'!G1772,"AAAAAHfrdrc=")</f>
        <v>#VALUE!</v>
      </c>
      <c r="GC111" t="e">
        <f>AND('Planilla_General_03-12-2012_9_3'!H1772,"AAAAAHfrdrg=")</f>
        <v>#VALUE!</v>
      </c>
      <c r="GD111" t="e">
        <f>AND('Planilla_General_03-12-2012_9_3'!I1772,"AAAAAHfrdrk=")</f>
        <v>#VALUE!</v>
      </c>
      <c r="GE111" t="e">
        <f>AND('Planilla_General_03-12-2012_9_3'!J1772,"AAAAAHfrdro=")</f>
        <v>#VALUE!</v>
      </c>
      <c r="GF111" t="e">
        <f>AND('Planilla_General_03-12-2012_9_3'!K1772,"AAAAAHfrdrs=")</f>
        <v>#VALUE!</v>
      </c>
      <c r="GG111" t="e">
        <f>AND('Planilla_General_03-12-2012_9_3'!L1772,"AAAAAHfrdrw=")</f>
        <v>#VALUE!</v>
      </c>
      <c r="GH111" t="e">
        <f>AND('Planilla_General_03-12-2012_9_3'!M1772,"AAAAAHfrdr0=")</f>
        <v>#VALUE!</v>
      </c>
      <c r="GI111" t="e">
        <f>AND('Planilla_General_03-12-2012_9_3'!N1772,"AAAAAHfrdr4=")</f>
        <v>#VALUE!</v>
      </c>
      <c r="GJ111" t="e">
        <f>AND('Planilla_General_03-12-2012_9_3'!O1772,"AAAAAHfrdr8=")</f>
        <v>#VALUE!</v>
      </c>
      <c r="GK111">
        <f>IF('Planilla_General_03-12-2012_9_3'!1773:1773,"AAAAAHfrdsA=",0)</f>
        <v>0</v>
      </c>
      <c r="GL111" t="e">
        <f>AND('Planilla_General_03-12-2012_9_3'!A1773,"AAAAAHfrdsE=")</f>
        <v>#VALUE!</v>
      </c>
      <c r="GM111" t="e">
        <f>AND('Planilla_General_03-12-2012_9_3'!B1773,"AAAAAHfrdsI=")</f>
        <v>#VALUE!</v>
      </c>
      <c r="GN111" t="e">
        <f>AND('Planilla_General_03-12-2012_9_3'!C1773,"AAAAAHfrdsM=")</f>
        <v>#VALUE!</v>
      </c>
      <c r="GO111" t="e">
        <f>AND('Planilla_General_03-12-2012_9_3'!D1773,"AAAAAHfrdsQ=")</f>
        <v>#VALUE!</v>
      </c>
      <c r="GP111" t="e">
        <f>AND('Planilla_General_03-12-2012_9_3'!E1773,"AAAAAHfrdsU=")</f>
        <v>#VALUE!</v>
      </c>
      <c r="GQ111" t="e">
        <f>AND('Planilla_General_03-12-2012_9_3'!F1773,"AAAAAHfrdsY=")</f>
        <v>#VALUE!</v>
      </c>
      <c r="GR111" t="e">
        <f>AND('Planilla_General_03-12-2012_9_3'!G1773,"AAAAAHfrdsc=")</f>
        <v>#VALUE!</v>
      </c>
      <c r="GS111" t="e">
        <f>AND('Planilla_General_03-12-2012_9_3'!H1773,"AAAAAHfrdsg=")</f>
        <v>#VALUE!</v>
      </c>
      <c r="GT111" t="e">
        <f>AND('Planilla_General_03-12-2012_9_3'!I1773,"AAAAAHfrdsk=")</f>
        <v>#VALUE!</v>
      </c>
      <c r="GU111" t="e">
        <f>AND('Planilla_General_03-12-2012_9_3'!J1773,"AAAAAHfrdso=")</f>
        <v>#VALUE!</v>
      </c>
      <c r="GV111" t="e">
        <f>AND('Planilla_General_03-12-2012_9_3'!K1773,"AAAAAHfrdss=")</f>
        <v>#VALUE!</v>
      </c>
      <c r="GW111" t="e">
        <f>AND('Planilla_General_03-12-2012_9_3'!L1773,"AAAAAHfrdsw=")</f>
        <v>#VALUE!</v>
      </c>
      <c r="GX111" t="e">
        <f>AND('Planilla_General_03-12-2012_9_3'!M1773,"AAAAAHfrds0=")</f>
        <v>#VALUE!</v>
      </c>
      <c r="GY111" t="e">
        <f>AND('Planilla_General_03-12-2012_9_3'!N1773,"AAAAAHfrds4=")</f>
        <v>#VALUE!</v>
      </c>
      <c r="GZ111" t="e">
        <f>AND('Planilla_General_03-12-2012_9_3'!O1773,"AAAAAHfrds8=")</f>
        <v>#VALUE!</v>
      </c>
      <c r="HA111">
        <f>IF('Planilla_General_03-12-2012_9_3'!1774:1774,"AAAAAHfrdtA=",0)</f>
        <v>0</v>
      </c>
      <c r="HB111" t="e">
        <f>AND('Planilla_General_03-12-2012_9_3'!A1774,"AAAAAHfrdtE=")</f>
        <v>#VALUE!</v>
      </c>
      <c r="HC111" t="e">
        <f>AND('Planilla_General_03-12-2012_9_3'!B1774,"AAAAAHfrdtI=")</f>
        <v>#VALUE!</v>
      </c>
      <c r="HD111" t="e">
        <f>AND('Planilla_General_03-12-2012_9_3'!C1774,"AAAAAHfrdtM=")</f>
        <v>#VALUE!</v>
      </c>
      <c r="HE111" t="e">
        <f>AND('Planilla_General_03-12-2012_9_3'!D1774,"AAAAAHfrdtQ=")</f>
        <v>#VALUE!</v>
      </c>
      <c r="HF111" t="e">
        <f>AND('Planilla_General_03-12-2012_9_3'!E1774,"AAAAAHfrdtU=")</f>
        <v>#VALUE!</v>
      </c>
      <c r="HG111" t="e">
        <f>AND('Planilla_General_03-12-2012_9_3'!F1774,"AAAAAHfrdtY=")</f>
        <v>#VALUE!</v>
      </c>
      <c r="HH111" t="e">
        <f>AND('Planilla_General_03-12-2012_9_3'!G1774,"AAAAAHfrdtc=")</f>
        <v>#VALUE!</v>
      </c>
      <c r="HI111" t="e">
        <f>AND('Planilla_General_03-12-2012_9_3'!H1774,"AAAAAHfrdtg=")</f>
        <v>#VALUE!</v>
      </c>
      <c r="HJ111" t="e">
        <f>AND('Planilla_General_03-12-2012_9_3'!I1774,"AAAAAHfrdtk=")</f>
        <v>#VALUE!</v>
      </c>
      <c r="HK111" t="e">
        <f>AND('Planilla_General_03-12-2012_9_3'!J1774,"AAAAAHfrdto=")</f>
        <v>#VALUE!</v>
      </c>
      <c r="HL111" t="e">
        <f>AND('Planilla_General_03-12-2012_9_3'!K1774,"AAAAAHfrdts=")</f>
        <v>#VALUE!</v>
      </c>
      <c r="HM111" t="e">
        <f>AND('Planilla_General_03-12-2012_9_3'!L1774,"AAAAAHfrdtw=")</f>
        <v>#VALUE!</v>
      </c>
      <c r="HN111" t="e">
        <f>AND('Planilla_General_03-12-2012_9_3'!M1774,"AAAAAHfrdt0=")</f>
        <v>#VALUE!</v>
      </c>
      <c r="HO111" t="e">
        <f>AND('Planilla_General_03-12-2012_9_3'!N1774,"AAAAAHfrdt4=")</f>
        <v>#VALUE!</v>
      </c>
      <c r="HP111" t="e">
        <f>AND('Planilla_General_03-12-2012_9_3'!O1774,"AAAAAHfrdt8=")</f>
        <v>#VALUE!</v>
      </c>
      <c r="HQ111">
        <f>IF('Planilla_General_03-12-2012_9_3'!1775:1775,"AAAAAHfrduA=",0)</f>
        <v>0</v>
      </c>
      <c r="HR111" t="e">
        <f>AND('Planilla_General_03-12-2012_9_3'!A1775,"AAAAAHfrduE=")</f>
        <v>#VALUE!</v>
      </c>
      <c r="HS111" t="e">
        <f>AND('Planilla_General_03-12-2012_9_3'!B1775,"AAAAAHfrduI=")</f>
        <v>#VALUE!</v>
      </c>
      <c r="HT111" t="e">
        <f>AND('Planilla_General_03-12-2012_9_3'!C1775,"AAAAAHfrduM=")</f>
        <v>#VALUE!</v>
      </c>
      <c r="HU111" t="e">
        <f>AND('Planilla_General_03-12-2012_9_3'!D1775,"AAAAAHfrduQ=")</f>
        <v>#VALUE!</v>
      </c>
      <c r="HV111" t="e">
        <f>AND('Planilla_General_03-12-2012_9_3'!E1775,"AAAAAHfrduU=")</f>
        <v>#VALUE!</v>
      </c>
      <c r="HW111" t="e">
        <f>AND('Planilla_General_03-12-2012_9_3'!F1775,"AAAAAHfrduY=")</f>
        <v>#VALUE!</v>
      </c>
      <c r="HX111" t="e">
        <f>AND('Planilla_General_03-12-2012_9_3'!G1775,"AAAAAHfrduc=")</f>
        <v>#VALUE!</v>
      </c>
      <c r="HY111" t="e">
        <f>AND('Planilla_General_03-12-2012_9_3'!H1775,"AAAAAHfrdug=")</f>
        <v>#VALUE!</v>
      </c>
      <c r="HZ111" t="e">
        <f>AND('Planilla_General_03-12-2012_9_3'!I1775,"AAAAAHfrduk=")</f>
        <v>#VALUE!</v>
      </c>
      <c r="IA111" t="e">
        <f>AND('Planilla_General_03-12-2012_9_3'!J1775,"AAAAAHfrduo=")</f>
        <v>#VALUE!</v>
      </c>
      <c r="IB111" t="e">
        <f>AND('Planilla_General_03-12-2012_9_3'!K1775,"AAAAAHfrdus=")</f>
        <v>#VALUE!</v>
      </c>
      <c r="IC111" t="e">
        <f>AND('Planilla_General_03-12-2012_9_3'!L1775,"AAAAAHfrduw=")</f>
        <v>#VALUE!</v>
      </c>
      <c r="ID111" t="e">
        <f>AND('Planilla_General_03-12-2012_9_3'!M1775,"AAAAAHfrdu0=")</f>
        <v>#VALUE!</v>
      </c>
      <c r="IE111" t="e">
        <f>AND('Planilla_General_03-12-2012_9_3'!N1775,"AAAAAHfrdu4=")</f>
        <v>#VALUE!</v>
      </c>
      <c r="IF111" t="e">
        <f>AND('Planilla_General_03-12-2012_9_3'!O1775,"AAAAAHfrdu8=")</f>
        <v>#VALUE!</v>
      </c>
      <c r="IG111">
        <f>IF('Planilla_General_03-12-2012_9_3'!1776:1776,"AAAAAHfrdvA=",0)</f>
        <v>0</v>
      </c>
      <c r="IH111" t="e">
        <f>AND('Planilla_General_03-12-2012_9_3'!A1776,"AAAAAHfrdvE=")</f>
        <v>#VALUE!</v>
      </c>
      <c r="II111" t="e">
        <f>AND('Planilla_General_03-12-2012_9_3'!B1776,"AAAAAHfrdvI=")</f>
        <v>#VALUE!</v>
      </c>
      <c r="IJ111" t="e">
        <f>AND('Planilla_General_03-12-2012_9_3'!C1776,"AAAAAHfrdvM=")</f>
        <v>#VALUE!</v>
      </c>
      <c r="IK111" t="e">
        <f>AND('Planilla_General_03-12-2012_9_3'!D1776,"AAAAAHfrdvQ=")</f>
        <v>#VALUE!</v>
      </c>
      <c r="IL111" t="e">
        <f>AND('Planilla_General_03-12-2012_9_3'!E1776,"AAAAAHfrdvU=")</f>
        <v>#VALUE!</v>
      </c>
      <c r="IM111" t="e">
        <f>AND('Planilla_General_03-12-2012_9_3'!F1776,"AAAAAHfrdvY=")</f>
        <v>#VALUE!</v>
      </c>
      <c r="IN111" t="e">
        <f>AND('Planilla_General_03-12-2012_9_3'!G1776,"AAAAAHfrdvc=")</f>
        <v>#VALUE!</v>
      </c>
      <c r="IO111" t="e">
        <f>AND('Planilla_General_03-12-2012_9_3'!H1776,"AAAAAHfrdvg=")</f>
        <v>#VALUE!</v>
      </c>
      <c r="IP111" t="e">
        <f>AND('Planilla_General_03-12-2012_9_3'!I1776,"AAAAAHfrdvk=")</f>
        <v>#VALUE!</v>
      </c>
      <c r="IQ111" t="e">
        <f>AND('Planilla_General_03-12-2012_9_3'!J1776,"AAAAAHfrdvo=")</f>
        <v>#VALUE!</v>
      </c>
      <c r="IR111" t="e">
        <f>AND('Planilla_General_03-12-2012_9_3'!K1776,"AAAAAHfrdvs=")</f>
        <v>#VALUE!</v>
      </c>
      <c r="IS111" t="e">
        <f>AND('Planilla_General_03-12-2012_9_3'!L1776,"AAAAAHfrdvw=")</f>
        <v>#VALUE!</v>
      </c>
      <c r="IT111" t="e">
        <f>AND('Planilla_General_03-12-2012_9_3'!M1776,"AAAAAHfrdv0=")</f>
        <v>#VALUE!</v>
      </c>
      <c r="IU111" t="e">
        <f>AND('Planilla_General_03-12-2012_9_3'!N1776,"AAAAAHfrdv4=")</f>
        <v>#VALUE!</v>
      </c>
      <c r="IV111" t="e">
        <f>AND('Planilla_General_03-12-2012_9_3'!O1776,"AAAAAHfrdv8=")</f>
        <v>#VALUE!</v>
      </c>
    </row>
    <row r="112" spans="1:256" x14ac:dyDescent="0.25">
      <c r="A112" t="e">
        <f>IF('Planilla_General_03-12-2012_9_3'!1777:1777,"AAAAAG1f/wA=",0)</f>
        <v>#VALUE!</v>
      </c>
      <c r="B112" t="e">
        <f>AND('Planilla_General_03-12-2012_9_3'!A1777,"AAAAAG1f/wE=")</f>
        <v>#VALUE!</v>
      </c>
      <c r="C112" t="e">
        <f>AND('Planilla_General_03-12-2012_9_3'!B1777,"AAAAAG1f/wI=")</f>
        <v>#VALUE!</v>
      </c>
      <c r="D112" t="e">
        <f>AND('Planilla_General_03-12-2012_9_3'!C1777,"AAAAAG1f/wM=")</f>
        <v>#VALUE!</v>
      </c>
      <c r="E112" t="e">
        <f>AND('Planilla_General_03-12-2012_9_3'!D1777,"AAAAAG1f/wQ=")</f>
        <v>#VALUE!</v>
      </c>
      <c r="F112" t="e">
        <f>AND('Planilla_General_03-12-2012_9_3'!E1777,"AAAAAG1f/wU=")</f>
        <v>#VALUE!</v>
      </c>
      <c r="G112" t="e">
        <f>AND('Planilla_General_03-12-2012_9_3'!F1777,"AAAAAG1f/wY=")</f>
        <v>#VALUE!</v>
      </c>
      <c r="H112" t="e">
        <f>AND('Planilla_General_03-12-2012_9_3'!G1777,"AAAAAG1f/wc=")</f>
        <v>#VALUE!</v>
      </c>
      <c r="I112" t="e">
        <f>AND('Planilla_General_03-12-2012_9_3'!H1777,"AAAAAG1f/wg=")</f>
        <v>#VALUE!</v>
      </c>
      <c r="J112" t="e">
        <f>AND('Planilla_General_03-12-2012_9_3'!I1777,"AAAAAG1f/wk=")</f>
        <v>#VALUE!</v>
      </c>
      <c r="K112" t="e">
        <f>AND('Planilla_General_03-12-2012_9_3'!J1777,"AAAAAG1f/wo=")</f>
        <v>#VALUE!</v>
      </c>
      <c r="L112" t="e">
        <f>AND('Planilla_General_03-12-2012_9_3'!K1777,"AAAAAG1f/ws=")</f>
        <v>#VALUE!</v>
      </c>
      <c r="M112" t="e">
        <f>AND('Planilla_General_03-12-2012_9_3'!L1777,"AAAAAG1f/ww=")</f>
        <v>#VALUE!</v>
      </c>
      <c r="N112" t="e">
        <f>AND('Planilla_General_03-12-2012_9_3'!M1777,"AAAAAG1f/w0=")</f>
        <v>#VALUE!</v>
      </c>
      <c r="O112" t="e">
        <f>AND('Planilla_General_03-12-2012_9_3'!N1777,"AAAAAG1f/w4=")</f>
        <v>#VALUE!</v>
      </c>
      <c r="P112" t="e">
        <f>AND('Planilla_General_03-12-2012_9_3'!O1777,"AAAAAG1f/w8=")</f>
        <v>#VALUE!</v>
      </c>
      <c r="Q112">
        <f>IF('Planilla_General_03-12-2012_9_3'!1778:1778,"AAAAAG1f/xA=",0)</f>
        <v>0</v>
      </c>
      <c r="R112" t="e">
        <f>AND('Planilla_General_03-12-2012_9_3'!A1778,"AAAAAG1f/xE=")</f>
        <v>#VALUE!</v>
      </c>
      <c r="S112" t="e">
        <f>AND('Planilla_General_03-12-2012_9_3'!B1778,"AAAAAG1f/xI=")</f>
        <v>#VALUE!</v>
      </c>
      <c r="T112" t="e">
        <f>AND('Planilla_General_03-12-2012_9_3'!C1778,"AAAAAG1f/xM=")</f>
        <v>#VALUE!</v>
      </c>
      <c r="U112" t="e">
        <f>AND('Planilla_General_03-12-2012_9_3'!D1778,"AAAAAG1f/xQ=")</f>
        <v>#VALUE!</v>
      </c>
      <c r="V112" t="e">
        <f>AND('Planilla_General_03-12-2012_9_3'!E1778,"AAAAAG1f/xU=")</f>
        <v>#VALUE!</v>
      </c>
      <c r="W112" t="e">
        <f>AND('Planilla_General_03-12-2012_9_3'!F1778,"AAAAAG1f/xY=")</f>
        <v>#VALUE!</v>
      </c>
      <c r="X112" t="e">
        <f>AND('Planilla_General_03-12-2012_9_3'!G1778,"AAAAAG1f/xc=")</f>
        <v>#VALUE!</v>
      </c>
      <c r="Y112" t="e">
        <f>AND('Planilla_General_03-12-2012_9_3'!H1778,"AAAAAG1f/xg=")</f>
        <v>#VALUE!</v>
      </c>
      <c r="Z112" t="e">
        <f>AND('Planilla_General_03-12-2012_9_3'!I1778,"AAAAAG1f/xk=")</f>
        <v>#VALUE!</v>
      </c>
      <c r="AA112" t="e">
        <f>AND('Planilla_General_03-12-2012_9_3'!J1778,"AAAAAG1f/xo=")</f>
        <v>#VALUE!</v>
      </c>
      <c r="AB112" t="e">
        <f>AND('Planilla_General_03-12-2012_9_3'!K1778,"AAAAAG1f/xs=")</f>
        <v>#VALUE!</v>
      </c>
      <c r="AC112" t="e">
        <f>AND('Planilla_General_03-12-2012_9_3'!L1778,"AAAAAG1f/xw=")</f>
        <v>#VALUE!</v>
      </c>
      <c r="AD112" t="e">
        <f>AND('Planilla_General_03-12-2012_9_3'!M1778,"AAAAAG1f/x0=")</f>
        <v>#VALUE!</v>
      </c>
      <c r="AE112" t="e">
        <f>AND('Planilla_General_03-12-2012_9_3'!N1778,"AAAAAG1f/x4=")</f>
        <v>#VALUE!</v>
      </c>
      <c r="AF112" t="e">
        <f>AND('Planilla_General_03-12-2012_9_3'!O1778,"AAAAAG1f/x8=")</f>
        <v>#VALUE!</v>
      </c>
      <c r="AG112">
        <f>IF('Planilla_General_03-12-2012_9_3'!1779:1779,"AAAAAG1f/yA=",0)</f>
        <v>0</v>
      </c>
      <c r="AH112" t="e">
        <f>AND('Planilla_General_03-12-2012_9_3'!A1779,"AAAAAG1f/yE=")</f>
        <v>#VALUE!</v>
      </c>
      <c r="AI112" t="e">
        <f>AND('Planilla_General_03-12-2012_9_3'!B1779,"AAAAAG1f/yI=")</f>
        <v>#VALUE!</v>
      </c>
      <c r="AJ112" t="e">
        <f>AND('Planilla_General_03-12-2012_9_3'!C1779,"AAAAAG1f/yM=")</f>
        <v>#VALUE!</v>
      </c>
      <c r="AK112" t="e">
        <f>AND('Planilla_General_03-12-2012_9_3'!D1779,"AAAAAG1f/yQ=")</f>
        <v>#VALUE!</v>
      </c>
      <c r="AL112" t="e">
        <f>AND('Planilla_General_03-12-2012_9_3'!E1779,"AAAAAG1f/yU=")</f>
        <v>#VALUE!</v>
      </c>
      <c r="AM112" t="e">
        <f>AND('Planilla_General_03-12-2012_9_3'!F1779,"AAAAAG1f/yY=")</f>
        <v>#VALUE!</v>
      </c>
      <c r="AN112" t="e">
        <f>AND('Planilla_General_03-12-2012_9_3'!G1779,"AAAAAG1f/yc=")</f>
        <v>#VALUE!</v>
      </c>
      <c r="AO112" t="e">
        <f>AND('Planilla_General_03-12-2012_9_3'!H1779,"AAAAAG1f/yg=")</f>
        <v>#VALUE!</v>
      </c>
      <c r="AP112" t="e">
        <f>AND('Planilla_General_03-12-2012_9_3'!I1779,"AAAAAG1f/yk=")</f>
        <v>#VALUE!</v>
      </c>
      <c r="AQ112" t="e">
        <f>AND('Planilla_General_03-12-2012_9_3'!J1779,"AAAAAG1f/yo=")</f>
        <v>#VALUE!</v>
      </c>
      <c r="AR112" t="e">
        <f>AND('Planilla_General_03-12-2012_9_3'!K1779,"AAAAAG1f/ys=")</f>
        <v>#VALUE!</v>
      </c>
      <c r="AS112" t="e">
        <f>AND('Planilla_General_03-12-2012_9_3'!L1779,"AAAAAG1f/yw=")</f>
        <v>#VALUE!</v>
      </c>
      <c r="AT112" t="e">
        <f>AND('Planilla_General_03-12-2012_9_3'!M1779,"AAAAAG1f/y0=")</f>
        <v>#VALUE!</v>
      </c>
      <c r="AU112" t="e">
        <f>AND('Planilla_General_03-12-2012_9_3'!N1779,"AAAAAG1f/y4=")</f>
        <v>#VALUE!</v>
      </c>
      <c r="AV112" t="e">
        <f>AND('Planilla_General_03-12-2012_9_3'!O1779,"AAAAAG1f/y8=")</f>
        <v>#VALUE!</v>
      </c>
      <c r="AW112">
        <f>IF('Planilla_General_03-12-2012_9_3'!1780:1780,"AAAAAG1f/zA=",0)</f>
        <v>0</v>
      </c>
      <c r="AX112" t="e">
        <f>AND('Planilla_General_03-12-2012_9_3'!A1780,"AAAAAG1f/zE=")</f>
        <v>#VALUE!</v>
      </c>
      <c r="AY112" t="e">
        <f>AND('Planilla_General_03-12-2012_9_3'!B1780,"AAAAAG1f/zI=")</f>
        <v>#VALUE!</v>
      </c>
      <c r="AZ112" t="e">
        <f>AND('Planilla_General_03-12-2012_9_3'!C1780,"AAAAAG1f/zM=")</f>
        <v>#VALUE!</v>
      </c>
      <c r="BA112" t="e">
        <f>AND('Planilla_General_03-12-2012_9_3'!D1780,"AAAAAG1f/zQ=")</f>
        <v>#VALUE!</v>
      </c>
      <c r="BB112" t="e">
        <f>AND('Planilla_General_03-12-2012_9_3'!E1780,"AAAAAG1f/zU=")</f>
        <v>#VALUE!</v>
      </c>
      <c r="BC112" t="e">
        <f>AND('Planilla_General_03-12-2012_9_3'!F1780,"AAAAAG1f/zY=")</f>
        <v>#VALUE!</v>
      </c>
      <c r="BD112" t="e">
        <f>AND('Planilla_General_03-12-2012_9_3'!G1780,"AAAAAG1f/zc=")</f>
        <v>#VALUE!</v>
      </c>
      <c r="BE112" t="e">
        <f>AND('Planilla_General_03-12-2012_9_3'!H1780,"AAAAAG1f/zg=")</f>
        <v>#VALUE!</v>
      </c>
      <c r="BF112" t="e">
        <f>AND('Planilla_General_03-12-2012_9_3'!I1780,"AAAAAG1f/zk=")</f>
        <v>#VALUE!</v>
      </c>
      <c r="BG112" t="e">
        <f>AND('Planilla_General_03-12-2012_9_3'!J1780,"AAAAAG1f/zo=")</f>
        <v>#VALUE!</v>
      </c>
      <c r="BH112" t="e">
        <f>AND('Planilla_General_03-12-2012_9_3'!K1780,"AAAAAG1f/zs=")</f>
        <v>#VALUE!</v>
      </c>
      <c r="BI112" t="e">
        <f>AND('Planilla_General_03-12-2012_9_3'!L1780,"AAAAAG1f/zw=")</f>
        <v>#VALUE!</v>
      </c>
      <c r="BJ112" t="e">
        <f>AND('Planilla_General_03-12-2012_9_3'!M1780,"AAAAAG1f/z0=")</f>
        <v>#VALUE!</v>
      </c>
      <c r="BK112" t="e">
        <f>AND('Planilla_General_03-12-2012_9_3'!N1780,"AAAAAG1f/z4=")</f>
        <v>#VALUE!</v>
      </c>
      <c r="BL112" t="e">
        <f>AND('Planilla_General_03-12-2012_9_3'!O1780,"AAAAAG1f/z8=")</f>
        <v>#VALUE!</v>
      </c>
      <c r="BM112">
        <f>IF('Planilla_General_03-12-2012_9_3'!1781:1781,"AAAAAG1f/0A=",0)</f>
        <v>0</v>
      </c>
      <c r="BN112" t="e">
        <f>AND('Planilla_General_03-12-2012_9_3'!A1781,"AAAAAG1f/0E=")</f>
        <v>#VALUE!</v>
      </c>
      <c r="BO112" t="e">
        <f>AND('Planilla_General_03-12-2012_9_3'!B1781,"AAAAAG1f/0I=")</f>
        <v>#VALUE!</v>
      </c>
      <c r="BP112" t="e">
        <f>AND('Planilla_General_03-12-2012_9_3'!C1781,"AAAAAG1f/0M=")</f>
        <v>#VALUE!</v>
      </c>
      <c r="BQ112" t="e">
        <f>AND('Planilla_General_03-12-2012_9_3'!D1781,"AAAAAG1f/0Q=")</f>
        <v>#VALUE!</v>
      </c>
      <c r="BR112" t="e">
        <f>AND('Planilla_General_03-12-2012_9_3'!E1781,"AAAAAG1f/0U=")</f>
        <v>#VALUE!</v>
      </c>
      <c r="BS112" t="e">
        <f>AND('Planilla_General_03-12-2012_9_3'!F1781,"AAAAAG1f/0Y=")</f>
        <v>#VALUE!</v>
      </c>
      <c r="BT112" t="e">
        <f>AND('Planilla_General_03-12-2012_9_3'!G1781,"AAAAAG1f/0c=")</f>
        <v>#VALUE!</v>
      </c>
      <c r="BU112" t="e">
        <f>AND('Planilla_General_03-12-2012_9_3'!H1781,"AAAAAG1f/0g=")</f>
        <v>#VALUE!</v>
      </c>
      <c r="BV112" t="e">
        <f>AND('Planilla_General_03-12-2012_9_3'!I1781,"AAAAAG1f/0k=")</f>
        <v>#VALUE!</v>
      </c>
      <c r="BW112" t="e">
        <f>AND('Planilla_General_03-12-2012_9_3'!J1781,"AAAAAG1f/0o=")</f>
        <v>#VALUE!</v>
      </c>
      <c r="BX112" t="e">
        <f>AND('Planilla_General_03-12-2012_9_3'!K1781,"AAAAAG1f/0s=")</f>
        <v>#VALUE!</v>
      </c>
      <c r="BY112" t="e">
        <f>AND('Planilla_General_03-12-2012_9_3'!L1781,"AAAAAG1f/0w=")</f>
        <v>#VALUE!</v>
      </c>
      <c r="BZ112" t="e">
        <f>AND('Planilla_General_03-12-2012_9_3'!M1781,"AAAAAG1f/00=")</f>
        <v>#VALUE!</v>
      </c>
      <c r="CA112" t="e">
        <f>AND('Planilla_General_03-12-2012_9_3'!N1781,"AAAAAG1f/04=")</f>
        <v>#VALUE!</v>
      </c>
      <c r="CB112" t="e">
        <f>AND('Planilla_General_03-12-2012_9_3'!O1781,"AAAAAG1f/08=")</f>
        <v>#VALUE!</v>
      </c>
      <c r="CC112">
        <f>IF('Planilla_General_03-12-2012_9_3'!1782:1782,"AAAAAG1f/1A=",0)</f>
        <v>0</v>
      </c>
      <c r="CD112" t="e">
        <f>AND('Planilla_General_03-12-2012_9_3'!A1782,"AAAAAG1f/1E=")</f>
        <v>#VALUE!</v>
      </c>
      <c r="CE112" t="e">
        <f>AND('Planilla_General_03-12-2012_9_3'!B1782,"AAAAAG1f/1I=")</f>
        <v>#VALUE!</v>
      </c>
      <c r="CF112" t="e">
        <f>AND('Planilla_General_03-12-2012_9_3'!C1782,"AAAAAG1f/1M=")</f>
        <v>#VALUE!</v>
      </c>
      <c r="CG112" t="e">
        <f>AND('Planilla_General_03-12-2012_9_3'!D1782,"AAAAAG1f/1Q=")</f>
        <v>#VALUE!</v>
      </c>
      <c r="CH112" t="e">
        <f>AND('Planilla_General_03-12-2012_9_3'!E1782,"AAAAAG1f/1U=")</f>
        <v>#VALUE!</v>
      </c>
      <c r="CI112" t="e">
        <f>AND('Planilla_General_03-12-2012_9_3'!F1782,"AAAAAG1f/1Y=")</f>
        <v>#VALUE!</v>
      </c>
      <c r="CJ112" t="e">
        <f>AND('Planilla_General_03-12-2012_9_3'!G1782,"AAAAAG1f/1c=")</f>
        <v>#VALUE!</v>
      </c>
      <c r="CK112" t="e">
        <f>AND('Planilla_General_03-12-2012_9_3'!H1782,"AAAAAG1f/1g=")</f>
        <v>#VALUE!</v>
      </c>
      <c r="CL112" t="e">
        <f>AND('Planilla_General_03-12-2012_9_3'!I1782,"AAAAAG1f/1k=")</f>
        <v>#VALUE!</v>
      </c>
      <c r="CM112" t="e">
        <f>AND('Planilla_General_03-12-2012_9_3'!J1782,"AAAAAG1f/1o=")</f>
        <v>#VALUE!</v>
      </c>
      <c r="CN112" t="e">
        <f>AND('Planilla_General_03-12-2012_9_3'!K1782,"AAAAAG1f/1s=")</f>
        <v>#VALUE!</v>
      </c>
      <c r="CO112" t="e">
        <f>AND('Planilla_General_03-12-2012_9_3'!L1782,"AAAAAG1f/1w=")</f>
        <v>#VALUE!</v>
      </c>
      <c r="CP112" t="e">
        <f>AND('Planilla_General_03-12-2012_9_3'!M1782,"AAAAAG1f/10=")</f>
        <v>#VALUE!</v>
      </c>
      <c r="CQ112" t="e">
        <f>AND('Planilla_General_03-12-2012_9_3'!N1782,"AAAAAG1f/14=")</f>
        <v>#VALUE!</v>
      </c>
      <c r="CR112" t="e">
        <f>AND('Planilla_General_03-12-2012_9_3'!O1782,"AAAAAG1f/18=")</f>
        <v>#VALUE!</v>
      </c>
      <c r="CS112">
        <f>IF('Planilla_General_03-12-2012_9_3'!1783:1783,"AAAAAG1f/2A=",0)</f>
        <v>0</v>
      </c>
      <c r="CT112" t="e">
        <f>AND('Planilla_General_03-12-2012_9_3'!A1783,"AAAAAG1f/2E=")</f>
        <v>#VALUE!</v>
      </c>
      <c r="CU112" t="e">
        <f>AND('Planilla_General_03-12-2012_9_3'!B1783,"AAAAAG1f/2I=")</f>
        <v>#VALUE!</v>
      </c>
      <c r="CV112" t="e">
        <f>AND('Planilla_General_03-12-2012_9_3'!C1783,"AAAAAG1f/2M=")</f>
        <v>#VALUE!</v>
      </c>
      <c r="CW112" t="e">
        <f>AND('Planilla_General_03-12-2012_9_3'!D1783,"AAAAAG1f/2Q=")</f>
        <v>#VALUE!</v>
      </c>
      <c r="CX112" t="e">
        <f>AND('Planilla_General_03-12-2012_9_3'!E1783,"AAAAAG1f/2U=")</f>
        <v>#VALUE!</v>
      </c>
      <c r="CY112" t="e">
        <f>AND('Planilla_General_03-12-2012_9_3'!F1783,"AAAAAG1f/2Y=")</f>
        <v>#VALUE!</v>
      </c>
      <c r="CZ112" t="e">
        <f>AND('Planilla_General_03-12-2012_9_3'!G1783,"AAAAAG1f/2c=")</f>
        <v>#VALUE!</v>
      </c>
      <c r="DA112" t="e">
        <f>AND('Planilla_General_03-12-2012_9_3'!H1783,"AAAAAG1f/2g=")</f>
        <v>#VALUE!</v>
      </c>
      <c r="DB112" t="e">
        <f>AND('Planilla_General_03-12-2012_9_3'!I1783,"AAAAAG1f/2k=")</f>
        <v>#VALUE!</v>
      </c>
      <c r="DC112" t="e">
        <f>AND('Planilla_General_03-12-2012_9_3'!J1783,"AAAAAG1f/2o=")</f>
        <v>#VALUE!</v>
      </c>
      <c r="DD112" t="e">
        <f>AND('Planilla_General_03-12-2012_9_3'!K1783,"AAAAAG1f/2s=")</f>
        <v>#VALUE!</v>
      </c>
      <c r="DE112" t="e">
        <f>AND('Planilla_General_03-12-2012_9_3'!L1783,"AAAAAG1f/2w=")</f>
        <v>#VALUE!</v>
      </c>
      <c r="DF112" t="e">
        <f>AND('Planilla_General_03-12-2012_9_3'!M1783,"AAAAAG1f/20=")</f>
        <v>#VALUE!</v>
      </c>
      <c r="DG112" t="e">
        <f>AND('Planilla_General_03-12-2012_9_3'!N1783,"AAAAAG1f/24=")</f>
        <v>#VALUE!</v>
      </c>
      <c r="DH112" t="e">
        <f>AND('Planilla_General_03-12-2012_9_3'!O1783,"AAAAAG1f/28=")</f>
        <v>#VALUE!</v>
      </c>
      <c r="DI112">
        <f>IF('Planilla_General_03-12-2012_9_3'!1784:1784,"AAAAAG1f/3A=",0)</f>
        <v>0</v>
      </c>
      <c r="DJ112" t="e">
        <f>AND('Planilla_General_03-12-2012_9_3'!A1784,"AAAAAG1f/3E=")</f>
        <v>#VALUE!</v>
      </c>
      <c r="DK112" t="e">
        <f>AND('Planilla_General_03-12-2012_9_3'!B1784,"AAAAAG1f/3I=")</f>
        <v>#VALUE!</v>
      </c>
      <c r="DL112" t="e">
        <f>AND('Planilla_General_03-12-2012_9_3'!C1784,"AAAAAG1f/3M=")</f>
        <v>#VALUE!</v>
      </c>
      <c r="DM112" t="e">
        <f>AND('Planilla_General_03-12-2012_9_3'!D1784,"AAAAAG1f/3Q=")</f>
        <v>#VALUE!</v>
      </c>
      <c r="DN112" t="e">
        <f>AND('Planilla_General_03-12-2012_9_3'!E1784,"AAAAAG1f/3U=")</f>
        <v>#VALUE!</v>
      </c>
      <c r="DO112" t="e">
        <f>AND('Planilla_General_03-12-2012_9_3'!F1784,"AAAAAG1f/3Y=")</f>
        <v>#VALUE!</v>
      </c>
      <c r="DP112" t="e">
        <f>AND('Planilla_General_03-12-2012_9_3'!G1784,"AAAAAG1f/3c=")</f>
        <v>#VALUE!</v>
      </c>
      <c r="DQ112" t="e">
        <f>AND('Planilla_General_03-12-2012_9_3'!H1784,"AAAAAG1f/3g=")</f>
        <v>#VALUE!</v>
      </c>
      <c r="DR112" t="e">
        <f>AND('Planilla_General_03-12-2012_9_3'!I1784,"AAAAAG1f/3k=")</f>
        <v>#VALUE!</v>
      </c>
      <c r="DS112" t="e">
        <f>AND('Planilla_General_03-12-2012_9_3'!J1784,"AAAAAG1f/3o=")</f>
        <v>#VALUE!</v>
      </c>
      <c r="DT112" t="e">
        <f>AND('Planilla_General_03-12-2012_9_3'!K1784,"AAAAAG1f/3s=")</f>
        <v>#VALUE!</v>
      </c>
      <c r="DU112" t="e">
        <f>AND('Planilla_General_03-12-2012_9_3'!L1784,"AAAAAG1f/3w=")</f>
        <v>#VALUE!</v>
      </c>
      <c r="DV112" t="e">
        <f>AND('Planilla_General_03-12-2012_9_3'!M1784,"AAAAAG1f/30=")</f>
        <v>#VALUE!</v>
      </c>
      <c r="DW112" t="e">
        <f>AND('Planilla_General_03-12-2012_9_3'!N1784,"AAAAAG1f/34=")</f>
        <v>#VALUE!</v>
      </c>
      <c r="DX112" t="e">
        <f>AND('Planilla_General_03-12-2012_9_3'!O1784,"AAAAAG1f/38=")</f>
        <v>#VALUE!</v>
      </c>
      <c r="DY112">
        <f>IF('Planilla_General_03-12-2012_9_3'!1785:1785,"AAAAAG1f/4A=",0)</f>
        <v>0</v>
      </c>
      <c r="DZ112" t="e">
        <f>AND('Planilla_General_03-12-2012_9_3'!A1785,"AAAAAG1f/4E=")</f>
        <v>#VALUE!</v>
      </c>
      <c r="EA112" t="e">
        <f>AND('Planilla_General_03-12-2012_9_3'!B1785,"AAAAAG1f/4I=")</f>
        <v>#VALUE!</v>
      </c>
      <c r="EB112" t="e">
        <f>AND('Planilla_General_03-12-2012_9_3'!C1785,"AAAAAG1f/4M=")</f>
        <v>#VALUE!</v>
      </c>
      <c r="EC112" t="e">
        <f>AND('Planilla_General_03-12-2012_9_3'!D1785,"AAAAAG1f/4Q=")</f>
        <v>#VALUE!</v>
      </c>
      <c r="ED112" t="e">
        <f>AND('Planilla_General_03-12-2012_9_3'!E1785,"AAAAAG1f/4U=")</f>
        <v>#VALUE!</v>
      </c>
      <c r="EE112" t="e">
        <f>AND('Planilla_General_03-12-2012_9_3'!F1785,"AAAAAG1f/4Y=")</f>
        <v>#VALUE!</v>
      </c>
      <c r="EF112" t="e">
        <f>AND('Planilla_General_03-12-2012_9_3'!G1785,"AAAAAG1f/4c=")</f>
        <v>#VALUE!</v>
      </c>
      <c r="EG112" t="e">
        <f>AND('Planilla_General_03-12-2012_9_3'!H1785,"AAAAAG1f/4g=")</f>
        <v>#VALUE!</v>
      </c>
      <c r="EH112" t="e">
        <f>AND('Planilla_General_03-12-2012_9_3'!I1785,"AAAAAG1f/4k=")</f>
        <v>#VALUE!</v>
      </c>
      <c r="EI112" t="e">
        <f>AND('Planilla_General_03-12-2012_9_3'!J1785,"AAAAAG1f/4o=")</f>
        <v>#VALUE!</v>
      </c>
      <c r="EJ112" t="e">
        <f>AND('Planilla_General_03-12-2012_9_3'!K1785,"AAAAAG1f/4s=")</f>
        <v>#VALUE!</v>
      </c>
      <c r="EK112" t="e">
        <f>AND('Planilla_General_03-12-2012_9_3'!L1785,"AAAAAG1f/4w=")</f>
        <v>#VALUE!</v>
      </c>
      <c r="EL112" t="e">
        <f>AND('Planilla_General_03-12-2012_9_3'!M1785,"AAAAAG1f/40=")</f>
        <v>#VALUE!</v>
      </c>
      <c r="EM112" t="e">
        <f>AND('Planilla_General_03-12-2012_9_3'!N1785,"AAAAAG1f/44=")</f>
        <v>#VALUE!</v>
      </c>
      <c r="EN112" t="e">
        <f>AND('Planilla_General_03-12-2012_9_3'!O1785,"AAAAAG1f/48=")</f>
        <v>#VALUE!</v>
      </c>
      <c r="EO112">
        <f>IF('Planilla_General_03-12-2012_9_3'!1786:1786,"AAAAAG1f/5A=",0)</f>
        <v>0</v>
      </c>
      <c r="EP112" t="e">
        <f>AND('Planilla_General_03-12-2012_9_3'!A1786,"AAAAAG1f/5E=")</f>
        <v>#VALUE!</v>
      </c>
      <c r="EQ112" t="e">
        <f>AND('Planilla_General_03-12-2012_9_3'!B1786,"AAAAAG1f/5I=")</f>
        <v>#VALUE!</v>
      </c>
      <c r="ER112" t="e">
        <f>AND('Planilla_General_03-12-2012_9_3'!C1786,"AAAAAG1f/5M=")</f>
        <v>#VALUE!</v>
      </c>
      <c r="ES112" t="e">
        <f>AND('Planilla_General_03-12-2012_9_3'!D1786,"AAAAAG1f/5Q=")</f>
        <v>#VALUE!</v>
      </c>
      <c r="ET112" t="e">
        <f>AND('Planilla_General_03-12-2012_9_3'!E1786,"AAAAAG1f/5U=")</f>
        <v>#VALUE!</v>
      </c>
      <c r="EU112" t="e">
        <f>AND('Planilla_General_03-12-2012_9_3'!F1786,"AAAAAG1f/5Y=")</f>
        <v>#VALUE!</v>
      </c>
      <c r="EV112" t="e">
        <f>AND('Planilla_General_03-12-2012_9_3'!G1786,"AAAAAG1f/5c=")</f>
        <v>#VALUE!</v>
      </c>
      <c r="EW112" t="e">
        <f>AND('Planilla_General_03-12-2012_9_3'!H1786,"AAAAAG1f/5g=")</f>
        <v>#VALUE!</v>
      </c>
      <c r="EX112" t="e">
        <f>AND('Planilla_General_03-12-2012_9_3'!I1786,"AAAAAG1f/5k=")</f>
        <v>#VALUE!</v>
      </c>
      <c r="EY112" t="e">
        <f>AND('Planilla_General_03-12-2012_9_3'!J1786,"AAAAAG1f/5o=")</f>
        <v>#VALUE!</v>
      </c>
      <c r="EZ112" t="e">
        <f>AND('Planilla_General_03-12-2012_9_3'!K1786,"AAAAAG1f/5s=")</f>
        <v>#VALUE!</v>
      </c>
      <c r="FA112" t="e">
        <f>AND('Planilla_General_03-12-2012_9_3'!L1786,"AAAAAG1f/5w=")</f>
        <v>#VALUE!</v>
      </c>
      <c r="FB112" t="e">
        <f>AND('Planilla_General_03-12-2012_9_3'!M1786,"AAAAAG1f/50=")</f>
        <v>#VALUE!</v>
      </c>
      <c r="FC112" t="e">
        <f>AND('Planilla_General_03-12-2012_9_3'!N1786,"AAAAAG1f/54=")</f>
        <v>#VALUE!</v>
      </c>
      <c r="FD112" t="e">
        <f>AND('Planilla_General_03-12-2012_9_3'!O1786,"AAAAAG1f/58=")</f>
        <v>#VALUE!</v>
      </c>
      <c r="FE112">
        <f>IF('Planilla_General_03-12-2012_9_3'!1787:1787,"AAAAAG1f/6A=",0)</f>
        <v>0</v>
      </c>
      <c r="FF112" t="e">
        <f>AND('Planilla_General_03-12-2012_9_3'!A1787,"AAAAAG1f/6E=")</f>
        <v>#VALUE!</v>
      </c>
      <c r="FG112" t="e">
        <f>AND('Planilla_General_03-12-2012_9_3'!B1787,"AAAAAG1f/6I=")</f>
        <v>#VALUE!</v>
      </c>
      <c r="FH112" t="e">
        <f>AND('Planilla_General_03-12-2012_9_3'!C1787,"AAAAAG1f/6M=")</f>
        <v>#VALUE!</v>
      </c>
      <c r="FI112" t="e">
        <f>AND('Planilla_General_03-12-2012_9_3'!D1787,"AAAAAG1f/6Q=")</f>
        <v>#VALUE!</v>
      </c>
      <c r="FJ112" t="e">
        <f>AND('Planilla_General_03-12-2012_9_3'!E1787,"AAAAAG1f/6U=")</f>
        <v>#VALUE!</v>
      </c>
      <c r="FK112" t="e">
        <f>AND('Planilla_General_03-12-2012_9_3'!F1787,"AAAAAG1f/6Y=")</f>
        <v>#VALUE!</v>
      </c>
      <c r="FL112" t="e">
        <f>AND('Planilla_General_03-12-2012_9_3'!G1787,"AAAAAG1f/6c=")</f>
        <v>#VALUE!</v>
      </c>
      <c r="FM112" t="e">
        <f>AND('Planilla_General_03-12-2012_9_3'!H1787,"AAAAAG1f/6g=")</f>
        <v>#VALUE!</v>
      </c>
      <c r="FN112" t="e">
        <f>AND('Planilla_General_03-12-2012_9_3'!I1787,"AAAAAG1f/6k=")</f>
        <v>#VALUE!</v>
      </c>
      <c r="FO112" t="e">
        <f>AND('Planilla_General_03-12-2012_9_3'!J1787,"AAAAAG1f/6o=")</f>
        <v>#VALUE!</v>
      </c>
      <c r="FP112" t="e">
        <f>AND('Planilla_General_03-12-2012_9_3'!K1787,"AAAAAG1f/6s=")</f>
        <v>#VALUE!</v>
      </c>
      <c r="FQ112" t="e">
        <f>AND('Planilla_General_03-12-2012_9_3'!L1787,"AAAAAG1f/6w=")</f>
        <v>#VALUE!</v>
      </c>
      <c r="FR112" t="e">
        <f>AND('Planilla_General_03-12-2012_9_3'!M1787,"AAAAAG1f/60=")</f>
        <v>#VALUE!</v>
      </c>
      <c r="FS112" t="e">
        <f>AND('Planilla_General_03-12-2012_9_3'!N1787,"AAAAAG1f/64=")</f>
        <v>#VALUE!</v>
      </c>
      <c r="FT112" t="e">
        <f>AND('Planilla_General_03-12-2012_9_3'!O1787,"AAAAAG1f/68=")</f>
        <v>#VALUE!</v>
      </c>
      <c r="FU112">
        <f>IF('Planilla_General_03-12-2012_9_3'!1788:1788,"AAAAAG1f/7A=",0)</f>
        <v>0</v>
      </c>
      <c r="FV112" t="e">
        <f>AND('Planilla_General_03-12-2012_9_3'!A1788,"AAAAAG1f/7E=")</f>
        <v>#VALUE!</v>
      </c>
      <c r="FW112" t="e">
        <f>AND('Planilla_General_03-12-2012_9_3'!B1788,"AAAAAG1f/7I=")</f>
        <v>#VALUE!</v>
      </c>
      <c r="FX112" t="e">
        <f>AND('Planilla_General_03-12-2012_9_3'!C1788,"AAAAAG1f/7M=")</f>
        <v>#VALUE!</v>
      </c>
      <c r="FY112" t="e">
        <f>AND('Planilla_General_03-12-2012_9_3'!D1788,"AAAAAG1f/7Q=")</f>
        <v>#VALUE!</v>
      </c>
      <c r="FZ112" t="e">
        <f>AND('Planilla_General_03-12-2012_9_3'!E1788,"AAAAAG1f/7U=")</f>
        <v>#VALUE!</v>
      </c>
      <c r="GA112" t="e">
        <f>AND('Planilla_General_03-12-2012_9_3'!F1788,"AAAAAG1f/7Y=")</f>
        <v>#VALUE!</v>
      </c>
      <c r="GB112" t="e">
        <f>AND('Planilla_General_03-12-2012_9_3'!G1788,"AAAAAG1f/7c=")</f>
        <v>#VALUE!</v>
      </c>
      <c r="GC112" t="e">
        <f>AND('Planilla_General_03-12-2012_9_3'!H1788,"AAAAAG1f/7g=")</f>
        <v>#VALUE!</v>
      </c>
      <c r="GD112" t="e">
        <f>AND('Planilla_General_03-12-2012_9_3'!I1788,"AAAAAG1f/7k=")</f>
        <v>#VALUE!</v>
      </c>
      <c r="GE112" t="e">
        <f>AND('Planilla_General_03-12-2012_9_3'!J1788,"AAAAAG1f/7o=")</f>
        <v>#VALUE!</v>
      </c>
      <c r="GF112" t="e">
        <f>AND('Planilla_General_03-12-2012_9_3'!K1788,"AAAAAG1f/7s=")</f>
        <v>#VALUE!</v>
      </c>
      <c r="GG112" t="e">
        <f>AND('Planilla_General_03-12-2012_9_3'!L1788,"AAAAAG1f/7w=")</f>
        <v>#VALUE!</v>
      </c>
      <c r="GH112" t="e">
        <f>AND('Planilla_General_03-12-2012_9_3'!M1788,"AAAAAG1f/70=")</f>
        <v>#VALUE!</v>
      </c>
      <c r="GI112" t="e">
        <f>AND('Planilla_General_03-12-2012_9_3'!N1788,"AAAAAG1f/74=")</f>
        <v>#VALUE!</v>
      </c>
      <c r="GJ112" t="e">
        <f>AND('Planilla_General_03-12-2012_9_3'!O1788,"AAAAAG1f/78=")</f>
        <v>#VALUE!</v>
      </c>
      <c r="GK112">
        <f>IF('Planilla_General_03-12-2012_9_3'!1789:1789,"AAAAAG1f/8A=",0)</f>
        <v>0</v>
      </c>
      <c r="GL112" t="e">
        <f>AND('Planilla_General_03-12-2012_9_3'!A1789,"AAAAAG1f/8E=")</f>
        <v>#VALUE!</v>
      </c>
      <c r="GM112" t="e">
        <f>AND('Planilla_General_03-12-2012_9_3'!B1789,"AAAAAG1f/8I=")</f>
        <v>#VALUE!</v>
      </c>
      <c r="GN112" t="e">
        <f>AND('Planilla_General_03-12-2012_9_3'!C1789,"AAAAAG1f/8M=")</f>
        <v>#VALUE!</v>
      </c>
      <c r="GO112" t="e">
        <f>AND('Planilla_General_03-12-2012_9_3'!D1789,"AAAAAG1f/8Q=")</f>
        <v>#VALUE!</v>
      </c>
      <c r="GP112" t="e">
        <f>AND('Planilla_General_03-12-2012_9_3'!E1789,"AAAAAG1f/8U=")</f>
        <v>#VALUE!</v>
      </c>
      <c r="GQ112" t="e">
        <f>AND('Planilla_General_03-12-2012_9_3'!F1789,"AAAAAG1f/8Y=")</f>
        <v>#VALUE!</v>
      </c>
      <c r="GR112" t="e">
        <f>AND('Planilla_General_03-12-2012_9_3'!G1789,"AAAAAG1f/8c=")</f>
        <v>#VALUE!</v>
      </c>
      <c r="GS112" t="e">
        <f>AND('Planilla_General_03-12-2012_9_3'!H1789,"AAAAAG1f/8g=")</f>
        <v>#VALUE!</v>
      </c>
      <c r="GT112" t="e">
        <f>AND('Planilla_General_03-12-2012_9_3'!I1789,"AAAAAG1f/8k=")</f>
        <v>#VALUE!</v>
      </c>
      <c r="GU112" t="e">
        <f>AND('Planilla_General_03-12-2012_9_3'!J1789,"AAAAAG1f/8o=")</f>
        <v>#VALUE!</v>
      </c>
      <c r="GV112" t="e">
        <f>AND('Planilla_General_03-12-2012_9_3'!K1789,"AAAAAG1f/8s=")</f>
        <v>#VALUE!</v>
      </c>
      <c r="GW112" t="e">
        <f>AND('Planilla_General_03-12-2012_9_3'!L1789,"AAAAAG1f/8w=")</f>
        <v>#VALUE!</v>
      </c>
      <c r="GX112" t="e">
        <f>AND('Planilla_General_03-12-2012_9_3'!M1789,"AAAAAG1f/80=")</f>
        <v>#VALUE!</v>
      </c>
      <c r="GY112" t="e">
        <f>AND('Planilla_General_03-12-2012_9_3'!N1789,"AAAAAG1f/84=")</f>
        <v>#VALUE!</v>
      </c>
      <c r="GZ112" t="e">
        <f>AND('Planilla_General_03-12-2012_9_3'!O1789,"AAAAAG1f/88=")</f>
        <v>#VALUE!</v>
      </c>
      <c r="HA112">
        <f>IF('Planilla_General_03-12-2012_9_3'!1790:1790,"AAAAAG1f/9A=",0)</f>
        <v>0</v>
      </c>
      <c r="HB112" t="e">
        <f>AND('Planilla_General_03-12-2012_9_3'!A1790,"AAAAAG1f/9E=")</f>
        <v>#VALUE!</v>
      </c>
      <c r="HC112" t="e">
        <f>AND('Planilla_General_03-12-2012_9_3'!B1790,"AAAAAG1f/9I=")</f>
        <v>#VALUE!</v>
      </c>
      <c r="HD112" t="e">
        <f>AND('Planilla_General_03-12-2012_9_3'!C1790,"AAAAAG1f/9M=")</f>
        <v>#VALUE!</v>
      </c>
      <c r="HE112" t="e">
        <f>AND('Planilla_General_03-12-2012_9_3'!D1790,"AAAAAG1f/9Q=")</f>
        <v>#VALUE!</v>
      </c>
      <c r="HF112" t="e">
        <f>AND('Planilla_General_03-12-2012_9_3'!E1790,"AAAAAG1f/9U=")</f>
        <v>#VALUE!</v>
      </c>
      <c r="HG112" t="e">
        <f>AND('Planilla_General_03-12-2012_9_3'!F1790,"AAAAAG1f/9Y=")</f>
        <v>#VALUE!</v>
      </c>
      <c r="HH112" t="e">
        <f>AND('Planilla_General_03-12-2012_9_3'!G1790,"AAAAAG1f/9c=")</f>
        <v>#VALUE!</v>
      </c>
      <c r="HI112" t="e">
        <f>AND('Planilla_General_03-12-2012_9_3'!H1790,"AAAAAG1f/9g=")</f>
        <v>#VALUE!</v>
      </c>
      <c r="HJ112" t="e">
        <f>AND('Planilla_General_03-12-2012_9_3'!I1790,"AAAAAG1f/9k=")</f>
        <v>#VALUE!</v>
      </c>
      <c r="HK112" t="e">
        <f>AND('Planilla_General_03-12-2012_9_3'!J1790,"AAAAAG1f/9o=")</f>
        <v>#VALUE!</v>
      </c>
      <c r="HL112" t="e">
        <f>AND('Planilla_General_03-12-2012_9_3'!K1790,"AAAAAG1f/9s=")</f>
        <v>#VALUE!</v>
      </c>
      <c r="HM112" t="e">
        <f>AND('Planilla_General_03-12-2012_9_3'!L1790,"AAAAAG1f/9w=")</f>
        <v>#VALUE!</v>
      </c>
      <c r="HN112" t="e">
        <f>AND('Planilla_General_03-12-2012_9_3'!M1790,"AAAAAG1f/90=")</f>
        <v>#VALUE!</v>
      </c>
      <c r="HO112" t="e">
        <f>AND('Planilla_General_03-12-2012_9_3'!N1790,"AAAAAG1f/94=")</f>
        <v>#VALUE!</v>
      </c>
      <c r="HP112" t="e">
        <f>AND('Planilla_General_03-12-2012_9_3'!O1790,"AAAAAG1f/98=")</f>
        <v>#VALUE!</v>
      </c>
      <c r="HQ112">
        <f>IF('Planilla_General_03-12-2012_9_3'!1791:1791,"AAAAAG1f/+A=",0)</f>
        <v>0</v>
      </c>
      <c r="HR112" t="e">
        <f>AND('Planilla_General_03-12-2012_9_3'!A1791,"AAAAAG1f/+E=")</f>
        <v>#VALUE!</v>
      </c>
      <c r="HS112" t="e">
        <f>AND('Planilla_General_03-12-2012_9_3'!B1791,"AAAAAG1f/+I=")</f>
        <v>#VALUE!</v>
      </c>
      <c r="HT112" t="e">
        <f>AND('Planilla_General_03-12-2012_9_3'!C1791,"AAAAAG1f/+M=")</f>
        <v>#VALUE!</v>
      </c>
      <c r="HU112" t="e">
        <f>AND('Planilla_General_03-12-2012_9_3'!D1791,"AAAAAG1f/+Q=")</f>
        <v>#VALUE!</v>
      </c>
      <c r="HV112" t="e">
        <f>AND('Planilla_General_03-12-2012_9_3'!E1791,"AAAAAG1f/+U=")</f>
        <v>#VALUE!</v>
      </c>
      <c r="HW112" t="e">
        <f>AND('Planilla_General_03-12-2012_9_3'!F1791,"AAAAAG1f/+Y=")</f>
        <v>#VALUE!</v>
      </c>
      <c r="HX112" t="e">
        <f>AND('Planilla_General_03-12-2012_9_3'!G1791,"AAAAAG1f/+c=")</f>
        <v>#VALUE!</v>
      </c>
      <c r="HY112" t="e">
        <f>AND('Planilla_General_03-12-2012_9_3'!H1791,"AAAAAG1f/+g=")</f>
        <v>#VALUE!</v>
      </c>
      <c r="HZ112" t="e">
        <f>AND('Planilla_General_03-12-2012_9_3'!I1791,"AAAAAG1f/+k=")</f>
        <v>#VALUE!</v>
      </c>
      <c r="IA112" t="e">
        <f>AND('Planilla_General_03-12-2012_9_3'!J1791,"AAAAAG1f/+o=")</f>
        <v>#VALUE!</v>
      </c>
      <c r="IB112" t="e">
        <f>AND('Planilla_General_03-12-2012_9_3'!K1791,"AAAAAG1f/+s=")</f>
        <v>#VALUE!</v>
      </c>
      <c r="IC112" t="e">
        <f>AND('Planilla_General_03-12-2012_9_3'!L1791,"AAAAAG1f/+w=")</f>
        <v>#VALUE!</v>
      </c>
      <c r="ID112" t="e">
        <f>AND('Planilla_General_03-12-2012_9_3'!M1791,"AAAAAG1f/+0=")</f>
        <v>#VALUE!</v>
      </c>
      <c r="IE112" t="e">
        <f>AND('Planilla_General_03-12-2012_9_3'!N1791,"AAAAAG1f/+4=")</f>
        <v>#VALUE!</v>
      </c>
      <c r="IF112" t="e">
        <f>AND('Planilla_General_03-12-2012_9_3'!O1791,"AAAAAG1f/+8=")</f>
        <v>#VALUE!</v>
      </c>
      <c r="IG112">
        <f>IF('Planilla_General_03-12-2012_9_3'!1792:1792,"AAAAAG1f//A=",0)</f>
        <v>0</v>
      </c>
      <c r="IH112" t="e">
        <f>AND('Planilla_General_03-12-2012_9_3'!A1792,"AAAAAG1f//E=")</f>
        <v>#VALUE!</v>
      </c>
      <c r="II112" t="e">
        <f>AND('Planilla_General_03-12-2012_9_3'!B1792,"AAAAAG1f//I=")</f>
        <v>#VALUE!</v>
      </c>
      <c r="IJ112" t="e">
        <f>AND('Planilla_General_03-12-2012_9_3'!C1792,"AAAAAG1f//M=")</f>
        <v>#VALUE!</v>
      </c>
      <c r="IK112" t="e">
        <f>AND('Planilla_General_03-12-2012_9_3'!D1792,"AAAAAG1f//Q=")</f>
        <v>#VALUE!</v>
      </c>
      <c r="IL112" t="e">
        <f>AND('Planilla_General_03-12-2012_9_3'!E1792,"AAAAAG1f//U=")</f>
        <v>#VALUE!</v>
      </c>
      <c r="IM112" t="e">
        <f>AND('Planilla_General_03-12-2012_9_3'!F1792,"AAAAAG1f//Y=")</f>
        <v>#VALUE!</v>
      </c>
      <c r="IN112" t="e">
        <f>AND('Planilla_General_03-12-2012_9_3'!G1792,"AAAAAG1f//c=")</f>
        <v>#VALUE!</v>
      </c>
      <c r="IO112" t="e">
        <f>AND('Planilla_General_03-12-2012_9_3'!H1792,"AAAAAG1f//g=")</f>
        <v>#VALUE!</v>
      </c>
      <c r="IP112" t="e">
        <f>AND('Planilla_General_03-12-2012_9_3'!I1792,"AAAAAG1f//k=")</f>
        <v>#VALUE!</v>
      </c>
      <c r="IQ112" t="e">
        <f>AND('Planilla_General_03-12-2012_9_3'!J1792,"AAAAAG1f//o=")</f>
        <v>#VALUE!</v>
      </c>
      <c r="IR112" t="e">
        <f>AND('Planilla_General_03-12-2012_9_3'!K1792,"AAAAAG1f//s=")</f>
        <v>#VALUE!</v>
      </c>
      <c r="IS112" t="e">
        <f>AND('Planilla_General_03-12-2012_9_3'!L1792,"AAAAAG1f//w=")</f>
        <v>#VALUE!</v>
      </c>
      <c r="IT112" t="e">
        <f>AND('Planilla_General_03-12-2012_9_3'!M1792,"AAAAAG1f//0=")</f>
        <v>#VALUE!</v>
      </c>
      <c r="IU112" t="e">
        <f>AND('Planilla_General_03-12-2012_9_3'!N1792,"AAAAAG1f//4=")</f>
        <v>#VALUE!</v>
      </c>
      <c r="IV112" t="e">
        <f>AND('Planilla_General_03-12-2012_9_3'!O1792,"AAAAAG1f//8=")</f>
        <v>#VALUE!</v>
      </c>
    </row>
    <row r="113" spans="1:256" x14ac:dyDescent="0.25">
      <c r="A113" t="e">
        <f>IF('Planilla_General_03-12-2012_9_3'!1793:1793,"AAAAAFN71gA=",0)</f>
        <v>#VALUE!</v>
      </c>
      <c r="B113" t="e">
        <f>AND('Planilla_General_03-12-2012_9_3'!A1793,"AAAAAFN71gE=")</f>
        <v>#VALUE!</v>
      </c>
      <c r="C113" t="e">
        <f>AND('Planilla_General_03-12-2012_9_3'!B1793,"AAAAAFN71gI=")</f>
        <v>#VALUE!</v>
      </c>
      <c r="D113" t="e">
        <f>AND('Planilla_General_03-12-2012_9_3'!C1793,"AAAAAFN71gM=")</f>
        <v>#VALUE!</v>
      </c>
      <c r="E113" t="e">
        <f>AND('Planilla_General_03-12-2012_9_3'!D1793,"AAAAAFN71gQ=")</f>
        <v>#VALUE!</v>
      </c>
      <c r="F113" t="e">
        <f>AND('Planilla_General_03-12-2012_9_3'!E1793,"AAAAAFN71gU=")</f>
        <v>#VALUE!</v>
      </c>
      <c r="G113" t="e">
        <f>AND('Planilla_General_03-12-2012_9_3'!F1793,"AAAAAFN71gY=")</f>
        <v>#VALUE!</v>
      </c>
      <c r="H113" t="e">
        <f>AND('Planilla_General_03-12-2012_9_3'!G1793,"AAAAAFN71gc=")</f>
        <v>#VALUE!</v>
      </c>
      <c r="I113" t="e">
        <f>AND('Planilla_General_03-12-2012_9_3'!H1793,"AAAAAFN71gg=")</f>
        <v>#VALUE!</v>
      </c>
      <c r="J113" t="e">
        <f>AND('Planilla_General_03-12-2012_9_3'!I1793,"AAAAAFN71gk=")</f>
        <v>#VALUE!</v>
      </c>
      <c r="K113" t="e">
        <f>AND('Planilla_General_03-12-2012_9_3'!J1793,"AAAAAFN71go=")</f>
        <v>#VALUE!</v>
      </c>
      <c r="L113" t="e">
        <f>AND('Planilla_General_03-12-2012_9_3'!K1793,"AAAAAFN71gs=")</f>
        <v>#VALUE!</v>
      </c>
      <c r="M113" t="e">
        <f>AND('Planilla_General_03-12-2012_9_3'!L1793,"AAAAAFN71gw=")</f>
        <v>#VALUE!</v>
      </c>
      <c r="N113" t="e">
        <f>AND('Planilla_General_03-12-2012_9_3'!M1793,"AAAAAFN71g0=")</f>
        <v>#VALUE!</v>
      </c>
      <c r="O113" t="e">
        <f>AND('Planilla_General_03-12-2012_9_3'!N1793,"AAAAAFN71g4=")</f>
        <v>#VALUE!</v>
      </c>
      <c r="P113" t="e">
        <f>AND('Planilla_General_03-12-2012_9_3'!O1793,"AAAAAFN71g8=")</f>
        <v>#VALUE!</v>
      </c>
      <c r="Q113">
        <f>IF('Planilla_General_03-12-2012_9_3'!1794:1794,"AAAAAFN71hA=",0)</f>
        <v>0</v>
      </c>
      <c r="R113" t="e">
        <f>AND('Planilla_General_03-12-2012_9_3'!A1794,"AAAAAFN71hE=")</f>
        <v>#VALUE!</v>
      </c>
      <c r="S113" t="e">
        <f>AND('Planilla_General_03-12-2012_9_3'!B1794,"AAAAAFN71hI=")</f>
        <v>#VALUE!</v>
      </c>
      <c r="T113" t="e">
        <f>AND('Planilla_General_03-12-2012_9_3'!C1794,"AAAAAFN71hM=")</f>
        <v>#VALUE!</v>
      </c>
      <c r="U113" t="e">
        <f>AND('Planilla_General_03-12-2012_9_3'!D1794,"AAAAAFN71hQ=")</f>
        <v>#VALUE!</v>
      </c>
      <c r="V113" t="e">
        <f>AND('Planilla_General_03-12-2012_9_3'!E1794,"AAAAAFN71hU=")</f>
        <v>#VALUE!</v>
      </c>
      <c r="W113" t="e">
        <f>AND('Planilla_General_03-12-2012_9_3'!F1794,"AAAAAFN71hY=")</f>
        <v>#VALUE!</v>
      </c>
      <c r="X113" t="e">
        <f>AND('Planilla_General_03-12-2012_9_3'!G1794,"AAAAAFN71hc=")</f>
        <v>#VALUE!</v>
      </c>
      <c r="Y113" t="e">
        <f>AND('Planilla_General_03-12-2012_9_3'!H1794,"AAAAAFN71hg=")</f>
        <v>#VALUE!</v>
      </c>
      <c r="Z113" t="e">
        <f>AND('Planilla_General_03-12-2012_9_3'!I1794,"AAAAAFN71hk=")</f>
        <v>#VALUE!</v>
      </c>
      <c r="AA113" t="e">
        <f>AND('Planilla_General_03-12-2012_9_3'!J1794,"AAAAAFN71ho=")</f>
        <v>#VALUE!</v>
      </c>
      <c r="AB113" t="e">
        <f>AND('Planilla_General_03-12-2012_9_3'!K1794,"AAAAAFN71hs=")</f>
        <v>#VALUE!</v>
      </c>
      <c r="AC113" t="e">
        <f>AND('Planilla_General_03-12-2012_9_3'!L1794,"AAAAAFN71hw=")</f>
        <v>#VALUE!</v>
      </c>
      <c r="AD113" t="e">
        <f>AND('Planilla_General_03-12-2012_9_3'!M1794,"AAAAAFN71h0=")</f>
        <v>#VALUE!</v>
      </c>
      <c r="AE113" t="e">
        <f>AND('Planilla_General_03-12-2012_9_3'!N1794,"AAAAAFN71h4=")</f>
        <v>#VALUE!</v>
      </c>
      <c r="AF113" t="e">
        <f>AND('Planilla_General_03-12-2012_9_3'!O1794,"AAAAAFN71h8=")</f>
        <v>#VALUE!</v>
      </c>
      <c r="AG113">
        <f>IF('Planilla_General_03-12-2012_9_3'!1795:1795,"AAAAAFN71iA=",0)</f>
        <v>0</v>
      </c>
      <c r="AH113" t="e">
        <f>AND('Planilla_General_03-12-2012_9_3'!A1795,"AAAAAFN71iE=")</f>
        <v>#VALUE!</v>
      </c>
      <c r="AI113" t="e">
        <f>AND('Planilla_General_03-12-2012_9_3'!B1795,"AAAAAFN71iI=")</f>
        <v>#VALUE!</v>
      </c>
      <c r="AJ113" t="e">
        <f>AND('Planilla_General_03-12-2012_9_3'!C1795,"AAAAAFN71iM=")</f>
        <v>#VALUE!</v>
      </c>
      <c r="AK113" t="e">
        <f>AND('Planilla_General_03-12-2012_9_3'!D1795,"AAAAAFN71iQ=")</f>
        <v>#VALUE!</v>
      </c>
      <c r="AL113" t="e">
        <f>AND('Planilla_General_03-12-2012_9_3'!E1795,"AAAAAFN71iU=")</f>
        <v>#VALUE!</v>
      </c>
      <c r="AM113" t="e">
        <f>AND('Planilla_General_03-12-2012_9_3'!F1795,"AAAAAFN71iY=")</f>
        <v>#VALUE!</v>
      </c>
      <c r="AN113" t="e">
        <f>AND('Planilla_General_03-12-2012_9_3'!G1795,"AAAAAFN71ic=")</f>
        <v>#VALUE!</v>
      </c>
      <c r="AO113" t="e">
        <f>AND('Planilla_General_03-12-2012_9_3'!H1795,"AAAAAFN71ig=")</f>
        <v>#VALUE!</v>
      </c>
      <c r="AP113" t="e">
        <f>AND('Planilla_General_03-12-2012_9_3'!I1795,"AAAAAFN71ik=")</f>
        <v>#VALUE!</v>
      </c>
      <c r="AQ113" t="e">
        <f>AND('Planilla_General_03-12-2012_9_3'!J1795,"AAAAAFN71io=")</f>
        <v>#VALUE!</v>
      </c>
      <c r="AR113" t="e">
        <f>AND('Planilla_General_03-12-2012_9_3'!K1795,"AAAAAFN71is=")</f>
        <v>#VALUE!</v>
      </c>
      <c r="AS113" t="e">
        <f>AND('Planilla_General_03-12-2012_9_3'!L1795,"AAAAAFN71iw=")</f>
        <v>#VALUE!</v>
      </c>
      <c r="AT113" t="e">
        <f>AND('Planilla_General_03-12-2012_9_3'!M1795,"AAAAAFN71i0=")</f>
        <v>#VALUE!</v>
      </c>
      <c r="AU113" t="e">
        <f>AND('Planilla_General_03-12-2012_9_3'!N1795,"AAAAAFN71i4=")</f>
        <v>#VALUE!</v>
      </c>
      <c r="AV113" t="e">
        <f>AND('Planilla_General_03-12-2012_9_3'!O1795,"AAAAAFN71i8=")</f>
        <v>#VALUE!</v>
      </c>
      <c r="AW113">
        <f>IF('Planilla_General_03-12-2012_9_3'!1796:1796,"AAAAAFN71jA=",0)</f>
        <v>0</v>
      </c>
      <c r="AX113" t="e">
        <f>AND('Planilla_General_03-12-2012_9_3'!A1796,"AAAAAFN71jE=")</f>
        <v>#VALUE!</v>
      </c>
      <c r="AY113" t="e">
        <f>AND('Planilla_General_03-12-2012_9_3'!B1796,"AAAAAFN71jI=")</f>
        <v>#VALUE!</v>
      </c>
      <c r="AZ113" t="e">
        <f>AND('Planilla_General_03-12-2012_9_3'!C1796,"AAAAAFN71jM=")</f>
        <v>#VALUE!</v>
      </c>
      <c r="BA113" t="e">
        <f>AND('Planilla_General_03-12-2012_9_3'!D1796,"AAAAAFN71jQ=")</f>
        <v>#VALUE!</v>
      </c>
      <c r="BB113" t="e">
        <f>AND('Planilla_General_03-12-2012_9_3'!E1796,"AAAAAFN71jU=")</f>
        <v>#VALUE!</v>
      </c>
      <c r="BC113" t="e">
        <f>AND('Planilla_General_03-12-2012_9_3'!F1796,"AAAAAFN71jY=")</f>
        <v>#VALUE!</v>
      </c>
      <c r="BD113" t="e">
        <f>AND('Planilla_General_03-12-2012_9_3'!G1796,"AAAAAFN71jc=")</f>
        <v>#VALUE!</v>
      </c>
      <c r="BE113" t="e">
        <f>AND('Planilla_General_03-12-2012_9_3'!H1796,"AAAAAFN71jg=")</f>
        <v>#VALUE!</v>
      </c>
      <c r="BF113" t="e">
        <f>AND('Planilla_General_03-12-2012_9_3'!I1796,"AAAAAFN71jk=")</f>
        <v>#VALUE!</v>
      </c>
      <c r="BG113" t="e">
        <f>AND('Planilla_General_03-12-2012_9_3'!J1796,"AAAAAFN71jo=")</f>
        <v>#VALUE!</v>
      </c>
      <c r="BH113" t="e">
        <f>AND('Planilla_General_03-12-2012_9_3'!K1796,"AAAAAFN71js=")</f>
        <v>#VALUE!</v>
      </c>
      <c r="BI113" t="e">
        <f>AND('Planilla_General_03-12-2012_9_3'!L1796,"AAAAAFN71jw=")</f>
        <v>#VALUE!</v>
      </c>
      <c r="BJ113" t="e">
        <f>AND('Planilla_General_03-12-2012_9_3'!M1796,"AAAAAFN71j0=")</f>
        <v>#VALUE!</v>
      </c>
      <c r="BK113" t="e">
        <f>AND('Planilla_General_03-12-2012_9_3'!N1796,"AAAAAFN71j4=")</f>
        <v>#VALUE!</v>
      </c>
      <c r="BL113" t="e">
        <f>AND('Planilla_General_03-12-2012_9_3'!O1796,"AAAAAFN71j8=")</f>
        <v>#VALUE!</v>
      </c>
      <c r="BM113">
        <f>IF('Planilla_General_03-12-2012_9_3'!1797:1797,"AAAAAFN71kA=",0)</f>
        <v>0</v>
      </c>
      <c r="BN113" t="e">
        <f>AND('Planilla_General_03-12-2012_9_3'!A1797,"AAAAAFN71kE=")</f>
        <v>#VALUE!</v>
      </c>
      <c r="BO113" t="e">
        <f>AND('Planilla_General_03-12-2012_9_3'!B1797,"AAAAAFN71kI=")</f>
        <v>#VALUE!</v>
      </c>
      <c r="BP113" t="e">
        <f>AND('Planilla_General_03-12-2012_9_3'!C1797,"AAAAAFN71kM=")</f>
        <v>#VALUE!</v>
      </c>
      <c r="BQ113" t="e">
        <f>AND('Planilla_General_03-12-2012_9_3'!D1797,"AAAAAFN71kQ=")</f>
        <v>#VALUE!</v>
      </c>
      <c r="BR113" t="e">
        <f>AND('Planilla_General_03-12-2012_9_3'!E1797,"AAAAAFN71kU=")</f>
        <v>#VALUE!</v>
      </c>
      <c r="BS113" t="e">
        <f>AND('Planilla_General_03-12-2012_9_3'!F1797,"AAAAAFN71kY=")</f>
        <v>#VALUE!</v>
      </c>
      <c r="BT113" t="e">
        <f>AND('Planilla_General_03-12-2012_9_3'!G1797,"AAAAAFN71kc=")</f>
        <v>#VALUE!</v>
      </c>
      <c r="BU113" t="e">
        <f>AND('Planilla_General_03-12-2012_9_3'!H1797,"AAAAAFN71kg=")</f>
        <v>#VALUE!</v>
      </c>
      <c r="BV113" t="e">
        <f>AND('Planilla_General_03-12-2012_9_3'!I1797,"AAAAAFN71kk=")</f>
        <v>#VALUE!</v>
      </c>
      <c r="BW113" t="e">
        <f>AND('Planilla_General_03-12-2012_9_3'!J1797,"AAAAAFN71ko=")</f>
        <v>#VALUE!</v>
      </c>
      <c r="BX113" t="e">
        <f>AND('Planilla_General_03-12-2012_9_3'!K1797,"AAAAAFN71ks=")</f>
        <v>#VALUE!</v>
      </c>
      <c r="BY113" t="e">
        <f>AND('Planilla_General_03-12-2012_9_3'!L1797,"AAAAAFN71kw=")</f>
        <v>#VALUE!</v>
      </c>
      <c r="BZ113" t="e">
        <f>AND('Planilla_General_03-12-2012_9_3'!M1797,"AAAAAFN71k0=")</f>
        <v>#VALUE!</v>
      </c>
      <c r="CA113" t="e">
        <f>AND('Planilla_General_03-12-2012_9_3'!N1797,"AAAAAFN71k4=")</f>
        <v>#VALUE!</v>
      </c>
      <c r="CB113" t="e">
        <f>AND('Planilla_General_03-12-2012_9_3'!O1797,"AAAAAFN71k8=")</f>
        <v>#VALUE!</v>
      </c>
      <c r="CC113">
        <f>IF('Planilla_General_03-12-2012_9_3'!1798:1798,"AAAAAFN71lA=",0)</f>
        <v>0</v>
      </c>
      <c r="CD113" t="e">
        <f>AND('Planilla_General_03-12-2012_9_3'!A1798,"AAAAAFN71lE=")</f>
        <v>#VALUE!</v>
      </c>
      <c r="CE113" t="e">
        <f>AND('Planilla_General_03-12-2012_9_3'!B1798,"AAAAAFN71lI=")</f>
        <v>#VALUE!</v>
      </c>
      <c r="CF113" t="e">
        <f>AND('Planilla_General_03-12-2012_9_3'!C1798,"AAAAAFN71lM=")</f>
        <v>#VALUE!</v>
      </c>
      <c r="CG113" t="e">
        <f>AND('Planilla_General_03-12-2012_9_3'!D1798,"AAAAAFN71lQ=")</f>
        <v>#VALUE!</v>
      </c>
      <c r="CH113" t="e">
        <f>AND('Planilla_General_03-12-2012_9_3'!E1798,"AAAAAFN71lU=")</f>
        <v>#VALUE!</v>
      </c>
      <c r="CI113" t="e">
        <f>AND('Planilla_General_03-12-2012_9_3'!F1798,"AAAAAFN71lY=")</f>
        <v>#VALUE!</v>
      </c>
      <c r="CJ113" t="e">
        <f>AND('Planilla_General_03-12-2012_9_3'!G1798,"AAAAAFN71lc=")</f>
        <v>#VALUE!</v>
      </c>
      <c r="CK113" t="e">
        <f>AND('Planilla_General_03-12-2012_9_3'!H1798,"AAAAAFN71lg=")</f>
        <v>#VALUE!</v>
      </c>
      <c r="CL113" t="e">
        <f>AND('Planilla_General_03-12-2012_9_3'!I1798,"AAAAAFN71lk=")</f>
        <v>#VALUE!</v>
      </c>
      <c r="CM113" t="e">
        <f>AND('Planilla_General_03-12-2012_9_3'!J1798,"AAAAAFN71lo=")</f>
        <v>#VALUE!</v>
      </c>
      <c r="CN113" t="e">
        <f>AND('Planilla_General_03-12-2012_9_3'!K1798,"AAAAAFN71ls=")</f>
        <v>#VALUE!</v>
      </c>
      <c r="CO113" t="e">
        <f>AND('Planilla_General_03-12-2012_9_3'!L1798,"AAAAAFN71lw=")</f>
        <v>#VALUE!</v>
      </c>
      <c r="CP113" t="e">
        <f>AND('Planilla_General_03-12-2012_9_3'!M1798,"AAAAAFN71l0=")</f>
        <v>#VALUE!</v>
      </c>
      <c r="CQ113" t="e">
        <f>AND('Planilla_General_03-12-2012_9_3'!N1798,"AAAAAFN71l4=")</f>
        <v>#VALUE!</v>
      </c>
      <c r="CR113" t="e">
        <f>AND('Planilla_General_03-12-2012_9_3'!O1798,"AAAAAFN71l8=")</f>
        <v>#VALUE!</v>
      </c>
      <c r="CS113">
        <f>IF('Planilla_General_03-12-2012_9_3'!1799:1799,"AAAAAFN71mA=",0)</f>
        <v>0</v>
      </c>
      <c r="CT113" t="e">
        <f>AND('Planilla_General_03-12-2012_9_3'!A1799,"AAAAAFN71mE=")</f>
        <v>#VALUE!</v>
      </c>
      <c r="CU113" t="e">
        <f>AND('Planilla_General_03-12-2012_9_3'!B1799,"AAAAAFN71mI=")</f>
        <v>#VALUE!</v>
      </c>
      <c r="CV113" t="e">
        <f>AND('Planilla_General_03-12-2012_9_3'!C1799,"AAAAAFN71mM=")</f>
        <v>#VALUE!</v>
      </c>
      <c r="CW113" t="e">
        <f>AND('Planilla_General_03-12-2012_9_3'!D1799,"AAAAAFN71mQ=")</f>
        <v>#VALUE!</v>
      </c>
      <c r="CX113" t="e">
        <f>AND('Planilla_General_03-12-2012_9_3'!E1799,"AAAAAFN71mU=")</f>
        <v>#VALUE!</v>
      </c>
      <c r="CY113" t="e">
        <f>AND('Planilla_General_03-12-2012_9_3'!F1799,"AAAAAFN71mY=")</f>
        <v>#VALUE!</v>
      </c>
      <c r="CZ113" t="e">
        <f>AND('Planilla_General_03-12-2012_9_3'!G1799,"AAAAAFN71mc=")</f>
        <v>#VALUE!</v>
      </c>
      <c r="DA113" t="e">
        <f>AND('Planilla_General_03-12-2012_9_3'!H1799,"AAAAAFN71mg=")</f>
        <v>#VALUE!</v>
      </c>
      <c r="DB113" t="e">
        <f>AND('Planilla_General_03-12-2012_9_3'!I1799,"AAAAAFN71mk=")</f>
        <v>#VALUE!</v>
      </c>
      <c r="DC113" t="e">
        <f>AND('Planilla_General_03-12-2012_9_3'!J1799,"AAAAAFN71mo=")</f>
        <v>#VALUE!</v>
      </c>
      <c r="DD113" t="e">
        <f>AND('Planilla_General_03-12-2012_9_3'!K1799,"AAAAAFN71ms=")</f>
        <v>#VALUE!</v>
      </c>
      <c r="DE113" t="e">
        <f>AND('Planilla_General_03-12-2012_9_3'!L1799,"AAAAAFN71mw=")</f>
        <v>#VALUE!</v>
      </c>
      <c r="DF113" t="e">
        <f>AND('Planilla_General_03-12-2012_9_3'!M1799,"AAAAAFN71m0=")</f>
        <v>#VALUE!</v>
      </c>
      <c r="DG113" t="e">
        <f>AND('Planilla_General_03-12-2012_9_3'!N1799,"AAAAAFN71m4=")</f>
        <v>#VALUE!</v>
      </c>
      <c r="DH113" t="e">
        <f>AND('Planilla_General_03-12-2012_9_3'!O1799,"AAAAAFN71m8=")</f>
        <v>#VALUE!</v>
      </c>
      <c r="DI113">
        <f>IF('Planilla_General_03-12-2012_9_3'!1800:1800,"AAAAAFN71nA=",0)</f>
        <v>0</v>
      </c>
      <c r="DJ113" t="e">
        <f>AND('Planilla_General_03-12-2012_9_3'!A1800,"AAAAAFN71nE=")</f>
        <v>#VALUE!</v>
      </c>
      <c r="DK113" t="e">
        <f>AND('Planilla_General_03-12-2012_9_3'!B1800,"AAAAAFN71nI=")</f>
        <v>#VALUE!</v>
      </c>
      <c r="DL113" t="e">
        <f>AND('Planilla_General_03-12-2012_9_3'!C1800,"AAAAAFN71nM=")</f>
        <v>#VALUE!</v>
      </c>
      <c r="DM113" t="e">
        <f>AND('Planilla_General_03-12-2012_9_3'!D1800,"AAAAAFN71nQ=")</f>
        <v>#VALUE!</v>
      </c>
      <c r="DN113" t="e">
        <f>AND('Planilla_General_03-12-2012_9_3'!E1800,"AAAAAFN71nU=")</f>
        <v>#VALUE!</v>
      </c>
      <c r="DO113" t="e">
        <f>AND('Planilla_General_03-12-2012_9_3'!F1800,"AAAAAFN71nY=")</f>
        <v>#VALUE!</v>
      </c>
      <c r="DP113" t="e">
        <f>AND('Planilla_General_03-12-2012_9_3'!G1800,"AAAAAFN71nc=")</f>
        <v>#VALUE!</v>
      </c>
      <c r="DQ113" t="e">
        <f>AND('Planilla_General_03-12-2012_9_3'!H1800,"AAAAAFN71ng=")</f>
        <v>#VALUE!</v>
      </c>
      <c r="DR113" t="e">
        <f>AND('Planilla_General_03-12-2012_9_3'!I1800,"AAAAAFN71nk=")</f>
        <v>#VALUE!</v>
      </c>
      <c r="DS113" t="e">
        <f>AND('Planilla_General_03-12-2012_9_3'!J1800,"AAAAAFN71no=")</f>
        <v>#VALUE!</v>
      </c>
      <c r="DT113" t="e">
        <f>AND('Planilla_General_03-12-2012_9_3'!K1800,"AAAAAFN71ns=")</f>
        <v>#VALUE!</v>
      </c>
      <c r="DU113" t="e">
        <f>AND('Planilla_General_03-12-2012_9_3'!L1800,"AAAAAFN71nw=")</f>
        <v>#VALUE!</v>
      </c>
      <c r="DV113" t="e">
        <f>AND('Planilla_General_03-12-2012_9_3'!M1800,"AAAAAFN71n0=")</f>
        <v>#VALUE!</v>
      </c>
      <c r="DW113" t="e">
        <f>AND('Planilla_General_03-12-2012_9_3'!N1800,"AAAAAFN71n4=")</f>
        <v>#VALUE!</v>
      </c>
      <c r="DX113" t="e">
        <f>AND('Planilla_General_03-12-2012_9_3'!O1800,"AAAAAFN71n8=")</f>
        <v>#VALUE!</v>
      </c>
      <c r="DY113">
        <f>IF('Planilla_General_03-12-2012_9_3'!1801:1801,"AAAAAFN71oA=",0)</f>
        <v>0</v>
      </c>
      <c r="DZ113" t="e">
        <f>AND('Planilla_General_03-12-2012_9_3'!A1801,"AAAAAFN71oE=")</f>
        <v>#VALUE!</v>
      </c>
      <c r="EA113" t="e">
        <f>AND('Planilla_General_03-12-2012_9_3'!B1801,"AAAAAFN71oI=")</f>
        <v>#VALUE!</v>
      </c>
      <c r="EB113" t="e">
        <f>AND('Planilla_General_03-12-2012_9_3'!C1801,"AAAAAFN71oM=")</f>
        <v>#VALUE!</v>
      </c>
      <c r="EC113" t="e">
        <f>AND('Planilla_General_03-12-2012_9_3'!D1801,"AAAAAFN71oQ=")</f>
        <v>#VALUE!</v>
      </c>
      <c r="ED113" t="e">
        <f>AND('Planilla_General_03-12-2012_9_3'!E1801,"AAAAAFN71oU=")</f>
        <v>#VALUE!</v>
      </c>
      <c r="EE113" t="e">
        <f>AND('Planilla_General_03-12-2012_9_3'!F1801,"AAAAAFN71oY=")</f>
        <v>#VALUE!</v>
      </c>
      <c r="EF113" t="e">
        <f>AND('Planilla_General_03-12-2012_9_3'!G1801,"AAAAAFN71oc=")</f>
        <v>#VALUE!</v>
      </c>
      <c r="EG113" t="e">
        <f>AND('Planilla_General_03-12-2012_9_3'!H1801,"AAAAAFN71og=")</f>
        <v>#VALUE!</v>
      </c>
      <c r="EH113" t="e">
        <f>AND('Planilla_General_03-12-2012_9_3'!I1801,"AAAAAFN71ok=")</f>
        <v>#VALUE!</v>
      </c>
      <c r="EI113" t="e">
        <f>AND('Planilla_General_03-12-2012_9_3'!J1801,"AAAAAFN71oo=")</f>
        <v>#VALUE!</v>
      </c>
      <c r="EJ113" t="e">
        <f>AND('Planilla_General_03-12-2012_9_3'!K1801,"AAAAAFN71os=")</f>
        <v>#VALUE!</v>
      </c>
      <c r="EK113" t="e">
        <f>AND('Planilla_General_03-12-2012_9_3'!L1801,"AAAAAFN71ow=")</f>
        <v>#VALUE!</v>
      </c>
      <c r="EL113" t="e">
        <f>AND('Planilla_General_03-12-2012_9_3'!M1801,"AAAAAFN71o0=")</f>
        <v>#VALUE!</v>
      </c>
      <c r="EM113" t="e">
        <f>AND('Planilla_General_03-12-2012_9_3'!N1801,"AAAAAFN71o4=")</f>
        <v>#VALUE!</v>
      </c>
      <c r="EN113" t="e">
        <f>AND('Planilla_General_03-12-2012_9_3'!O1801,"AAAAAFN71o8=")</f>
        <v>#VALUE!</v>
      </c>
      <c r="EO113">
        <f>IF('Planilla_General_03-12-2012_9_3'!1802:1802,"AAAAAFN71pA=",0)</f>
        <v>0</v>
      </c>
      <c r="EP113" t="e">
        <f>AND('Planilla_General_03-12-2012_9_3'!A1802,"AAAAAFN71pE=")</f>
        <v>#VALUE!</v>
      </c>
      <c r="EQ113" t="e">
        <f>AND('Planilla_General_03-12-2012_9_3'!B1802,"AAAAAFN71pI=")</f>
        <v>#VALUE!</v>
      </c>
      <c r="ER113" t="e">
        <f>AND('Planilla_General_03-12-2012_9_3'!C1802,"AAAAAFN71pM=")</f>
        <v>#VALUE!</v>
      </c>
      <c r="ES113" t="e">
        <f>AND('Planilla_General_03-12-2012_9_3'!D1802,"AAAAAFN71pQ=")</f>
        <v>#VALUE!</v>
      </c>
      <c r="ET113" t="e">
        <f>AND('Planilla_General_03-12-2012_9_3'!E1802,"AAAAAFN71pU=")</f>
        <v>#VALUE!</v>
      </c>
      <c r="EU113" t="e">
        <f>AND('Planilla_General_03-12-2012_9_3'!F1802,"AAAAAFN71pY=")</f>
        <v>#VALUE!</v>
      </c>
      <c r="EV113" t="e">
        <f>AND('Planilla_General_03-12-2012_9_3'!G1802,"AAAAAFN71pc=")</f>
        <v>#VALUE!</v>
      </c>
      <c r="EW113" t="e">
        <f>AND('Planilla_General_03-12-2012_9_3'!H1802,"AAAAAFN71pg=")</f>
        <v>#VALUE!</v>
      </c>
      <c r="EX113" t="e">
        <f>AND('Planilla_General_03-12-2012_9_3'!I1802,"AAAAAFN71pk=")</f>
        <v>#VALUE!</v>
      </c>
      <c r="EY113" t="e">
        <f>AND('Planilla_General_03-12-2012_9_3'!J1802,"AAAAAFN71po=")</f>
        <v>#VALUE!</v>
      </c>
      <c r="EZ113" t="e">
        <f>AND('Planilla_General_03-12-2012_9_3'!K1802,"AAAAAFN71ps=")</f>
        <v>#VALUE!</v>
      </c>
      <c r="FA113" t="e">
        <f>AND('Planilla_General_03-12-2012_9_3'!L1802,"AAAAAFN71pw=")</f>
        <v>#VALUE!</v>
      </c>
      <c r="FB113" t="e">
        <f>AND('Planilla_General_03-12-2012_9_3'!M1802,"AAAAAFN71p0=")</f>
        <v>#VALUE!</v>
      </c>
      <c r="FC113" t="e">
        <f>AND('Planilla_General_03-12-2012_9_3'!N1802,"AAAAAFN71p4=")</f>
        <v>#VALUE!</v>
      </c>
      <c r="FD113" t="e">
        <f>AND('Planilla_General_03-12-2012_9_3'!O1802,"AAAAAFN71p8=")</f>
        <v>#VALUE!</v>
      </c>
      <c r="FE113">
        <f>IF('Planilla_General_03-12-2012_9_3'!1803:1803,"AAAAAFN71qA=",0)</f>
        <v>0</v>
      </c>
      <c r="FF113" t="e">
        <f>AND('Planilla_General_03-12-2012_9_3'!A1803,"AAAAAFN71qE=")</f>
        <v>#VALUE!</v>
      </c>
      <c r="FG113" t="e">
        <f>AND('Planilla_General_03-12-2012_9_3'!B1803,"AAAAAFN71qI=")</f>
        <v>#VALUE!</v>
      </c>
      <c r="FH113" t="e">
        <f>AND('Planilla_General_03-12-2012_9_3'!C1803,"AAAAAFN71qM=")</f>
        <v>#VALUE!</v>
      </c>
      <c r="FI113" t="e">
        <f>AND('Planilla_General_03-12-2012_9_3'!D1803,"AAAAAFN71qQ=")</f>
        <v>#VALUE!</v>
      </c>
      <c r="FJ113" t="e">
        <f>AND('Planilla_General_03-12-2012_9_3'!E1803,"AAAAAFN71qU=")</f>
        <v>#VALUE!</v>
      </c>
      <c r="FK113" t="e">
        <f>AND('Planilla_General_03-12-2012_9_3'!F1803,"AAAAAFN71qY=")</f>
        <v>#VALUE!</v>
      </c>
      <c r="FL113" t="e">
        <f>AND('Planilla_General_03-12-2012_9_3'!G1803,"AAAAAFN71qc=")</f>
        <v>#VALUE!</v>
      </c>
      <c r="FM113" t="e">
        <f>AND('Planilla_General_03-12-2012_9_3'!H1803,"AAAAAFN71qg=")</f>
        <v>#VALUE!</v>
      </c>
      <c r="FN113" t="e">
        <f>AND('Planilla_General_03-12-2012_9_3'!I1803,"AAAAAFN71qk=")</f>
        <v>#VALUE!</v>
      </c>
      <c r="FO113" t="e">
        <f>AND('Planilla_General_03-12-2012_9_3'!J1803,"AAAAAFN71qo=")</f>
        <v>#VALUE!</v>
      </c>
      <c r="FP113" t="e">
        <f>AND('Planilla_General_03-12-2012_9_3'!K1803,"AAAAAFN71qs=")</f>
        <v>#VALUE!</v>
      </c>
      <c r="FQ113" t="e">
        <f>AND('Planilla_General_03-12-2012_9_3'!L1803,"AAAAAFN71qw=")</f>
        <v>#VALUE!</v>
      </c>
      <c r="FR113" t="e">
        <f>AND('Planilla_General_03-12-2012_9_3'!M1803,"AAAAAFN71q0=")</f>
        <v>#VALUE!</v>
      </c>
      <c r="FS113" t="e">
        <f>AND('Planilla_General_03-12-2012_9_3'!N1803,"AAAAAFN71q4=")</f>
        <v>#VALUE!</v>
      </c>
      <c r="FT113" t="e">
        <f>AND('Planilla_General_03-12-2012_9_3'!O1803,"AAAAAFN71q8=")</f>
        <v>#VALUE!</v>
      </c>
      <c r="FU113">
        <f>IF('Planilla_General_03-12-2012_9_3'!1804:1804,"AAAAAFN71rA=",0)</f>
        <v>0</v>
      </c>
      <c r="FV113" t="e">
        <f>AND('Planilla_General_03-12-2012_9_3'!A1804,"AAAAAFN71rE=")</f>
        <v>#VALUE!</v>
      </c>
      <c r="FW113" t="e">
        <f>AND('Planilla_General_03-12-2012_9_3'!B1804,"AAAAAFN71rI=")</f>
        <v>#VALUE!</v>
      </c>
      <c r="FX113" t="e">
        <f>AND('Planilla_General_03-12-2012_9_3'!C1804,"AAAAAFN71rM=")</f>
        <v>#VALUE!</v>
      </c>
      <c r="FY113" t="e">
        <f>AND('Planilla_General_03-12-2012_9_3'!D1804,"AAAAAFN71rQ=")</f>
        <v>#VALUE!</v>
      </c>
      <c r="FZ113" t="e">
        <f>AND('Planilla_General_03-12-2012_9_3'!E1804,"AAAAAFN71rU=")</f>
        <v>#VALUE!</v>
      </c>
      <c r="GA113" t="e">
        <f>AND('Planilla_General_03-12-2012_9_3'!F1804,"AAAAAFN71rY=")</f>
        <v>#VALUE!</v>
      </c>
      <c r="GB113" t="e">
        <f>AND('Planilla_General_03-12-2012_9_3'!G1804,"AAAAAFN71rc=")</f>
        <v>#VALUE!</v>
      </c>
      <c r="GC113" t="e">
        <f>AND('Planilla_General_03-12-2012_9_3'!H1804,"AAAAAFN71rg=")</f>
        <v>#VALUE!</v>
      </c>
      <c r="GD113" t="e">
        <f>AND('Planilla_General_03-12-2012_9_3'!I1804,"AAAAAFN71rk=")</f>
        <v>#VALUE!</v>
      </c>
      <c r="GE113" t="e">
        <f>AND('Planilla_General_03-12-2012_9_3'!J1804,"AAAAAFN71ro=")</f>
        <v>#VALUE!</v>
      </c>
      <c r="GF113" t="e">
        <f>AND('Planilla_General_03-12-2012_9_3'!K1804,"AAAAAFN71rs=")</f>
        <v>#VALUE!</v>
      </c>
      <c r="GG113" t="e">
        <f>AND('Planilla_General_03-12-2012_9_3'!L1804,"AAAAAFN71rw=")</f>
        <v>#VALUE!</v>
      </c>
      <c r="GH113" t="e">
        <f>AND('Planilla_General_03-12-2012_9_3'!M1804,"AAAAAFN71r0=")</f>
        <v>#VALUE!</v>
      </c>
      <c r="GI113" t="e">
        <f>AND('Planilla_General_03-12-2012_9_3'!N1804,"AAAAAFN71r4=")</f>
        <v>#VALUE!</v>
      </c>
      <c r="GJ113" t="e">
        <f>AND('Planilla_General_03-12-2012_9_3'!O1804,"AAAAAFN71r8=")</f>
        <v>#VALUE!</v>
      </c>
      <c r="GK113">
        <f>IF('Planilla_General_03-12-2012_9_3'!1805:1805,"AAAAAFN71sA=",0)</f>
        <v>0</v>
      </c>
      <c r="GL113" t="e">
        <f>AND('Planilla_General_03-12-2012_9_3'!A1805,"AAAAAFN71sE=")</f>
        <v>#VALUE!</v>
      </c>
      <c r="GM113" t="e">
        <f>AND('Planilla_General_03-12-2012_9_3'!B1805,"AAAAAFN71sI=")</f>
        <v>#VALUE!</v>
      </c>
      <c r="GN113" t="e">
        <f>AND('Planilla_General_03-12-2012_9_3'!C1805,"AAAAAFN71sM=")</f>
        <v>#VALUE!</v>
      </c>
      <c r="GO113" t="e">
        <f>AND('Planilla_General_03-12-2012_9_3'!D1805,"AAAAAFN71sQ=")</f>
        <v>#VALUE!</v>
      </c>
      <c r="GP113" t="e">
        <f>AND('Planilla_General_03-12-2012_9_3'!E1805,"AAAAAFN71sU=")</f>
        <v>#VALUE!</v>
      </c>
      <c r="GQ113" t="e">
        <f>AND('Planilla_General_03-12-2012_9_3'!F1805,"AAAAAFN71sY=")</f>
        <v>#VALUE!</v>
      </c>
      <c r="GR113" t="e">
        <f>AND('Planilla_General_03-12-2012_9_3'!G1805,"AAAAAFN71sc=")</f>
        <v>#VALUE!</v>
      </c>
      <c r="GS113" t="e">
        <f>AND('Planilla_General_03-12-2012_9_3'!H1805,"AAAAAFN71sg=")</f>
        <v>#VALUE!</v>
      </c>
      <c r="GT113" t="e">
        <f>AND('Planilla_General_03-12-2012_9_3'!I1805,"AAAAAFN71sk=")</f>
        <v>#VALUE!</v>
      </c>
      <c r="GU113" t="e">
        <f>AND('Planilla_General_03-12-2012_9_3'!J1805,"AAAAAFN71so=")</f>
        <v>#VALUE!</v>
      </c>
      <c r="GV113" t="e">
        <f>AND('Planilla_General_03-12-2012_9_3'!K1805,"AAAAAFN71ss=")</f>
        <v>#VALUE!</v>
      </c>
      <c r="GW113" t="e">
        <f>AND('Planilla_General_03-12-2012_9_3'!L1805,"AAAAAFN71sw=")</f>
        <v>#VALUE!</v>
      </c>
      <c r="GX113" t="e">
        <f>AND('Planilla_General_03-12-2012_9_3'!M1805,"AAAAAFN71s0=")</f>
        <v>#VALUE!</v>
      </c>
      <c r="GY113" t="e">
        <f>AND('Planilla_General_03-12-2012_9_3'!N1805,"AAAAAFN71s4=")</f>
        <v>#VALUE!</v>
      </c>
      <c r="GZ113" t="e">
        <f>AND('Planilla_General_03-12-2012_9_3'!O1805,"AAAAAFN71s8=")</f>
        <v>#VALUE!</v>
      </c>
      <c r="HA113">
        <f>IF('Planilla_General_03-12-2012_9_3'!1806:1806,"AAAAAFN71tA=",0)</f>
        <v>0</v>
      </c>
      <c r="HB113" t="e">
        <f>AND('Planilla_General_03-12-2012_9_3'!A1806,"AAAAAFN71tE=")</f>
        <v>#VALUE!</v>
      </c>
      <c r="HC113" t="e">
        <f>AND('Planilla_General_03-12-2012_9_3'!B1806,"AAAAAFN71tI=")</f>
        <v>#VALUE!</v>
      </c>
      <c r="HD113" t="e">
        <f>AND('Planilla_General_03-12-2012_9_3'!C1806,"AAAAAFN71tM=")</f>
        <v>#VALUE!</v>
      </c>
      <c r="HE113" t="e">
        <f>AND('Planilla_General_03-12-2012_9_3'!D1806,"AAAAAFN71tQ=")</f>
        <v>#VALUE!</v>
      </c>
      <c r="HF113" t="e">
        <f>AND('Planilla_General_03-12-2012_9_3'!E1806,"AAAAAFN71tU=")</f>
        <v>#VALUE!</v>
      </c>
      <c r="HG113" t="e">
        <f>AND('Planilla_General_03-12-2012_9_3'!F1806,"AAAAAFN71tY=")</f>
        <v>#VALUE!</v>
      </c>
      <c r="HH113" t="e">
        <f>AND('Planilla_General_03-12-2012_9_3'!G1806,"AAAAAFN71tc=")</f>
        <v>#VALUE!</v>
      </c>
      <c r="HI113" t="e">
        <f>AND('Planilla_General_03-12-2012_9_3'!H1806,"AAAAAFN71tg=")</f>
        <v>#VALUE!</v>
      </c>
      <c r="HJ113" t="e">
        <f>AND('Planilla_General_03-12-2012_9_3'!I1806,"AAAAAFN71tk=")</f>
        <v>#VALUE!</v>
      </c>
      <c r="HK113" t="e">
        <f>AND('Planilla_General_03-12-2012_9_3'!J1806,"AAAAAFN71to=")</f>
        <v>#VALUE!</v>
      </c>
      <c r="HL113" t="e">
        <f>AND('Planilla_General_03-12-2012_9_3'!K1806,"AAAAAFN71ts=")</f>
        <v>#VALUE!</v>
      </c>
      <c r="HM113" t="e">
        <f>AND('Planilla_General_03-12-2012_9_3'!L1806,"AAAAAFN71tw=")</f>
        <v>#VALUE!</v>
      </c>
      <c r="HN113" t="e">
        <f>AND('Planilla_General_03-12-2012_9_3'!M1806,"AAAAAFN71t0=")</f>
        <v>#VALUE!</v>
      </c>
      <c r="HO113" t="e">
        <f>AND('Planilla_General_03-12-2012_9_3'!N1806,"AAAAAFN71t4=")</f>
        <v>#VALUE!</v>
      </c>
      <c r="HP113" t="e">
        <f>AND('Planilla_General_03-12-2012_9_3'!O1806,"AAAAAFN71t8=")</f>
        <v>#VALUE!</v>
      </c>
      <c r="HQ113">
        <f>IF('Planilla_General_03-12-2012_9_3'!1807:1807,"AAAAAFN71uA=",0)</f>
        <v>0</v>
      </c>
      <c r="HR113" t="e">
        <f>AND('Planilla_General_03-12-2012_9_3'!A1807,"AAAAAFN71uE=")</f>
        <v>#VALUE!</v>
      </c>
      <c r="HS113" t="e">
        <f>AND('Planilla_General_03-12-2012_9_3'!B1807,"AAAAAFN71uI=")</f>
        <v>#VALUE!</v>
      </c>
      <c r="HT113" t="e">
        <f>AND('Planilla_General_03-12-2012_9_3'!C1807,"AAAAAFN71uM=")</f>
        <v>#VALUE!</v>
      </c>
      <c r="HU113" t="e">
        <f>AND('Planilla_General_03-12-2012_9_3'!D1807,"AAAAAFN71uQ=")</f>
        <v>#VALUE!</v>
      </c>
      <c r="HV113" t="e">
        <f>AND('Planilla_General_03-12-2012_9_3'!E1807,"AAAAAFN71uU=")</f>
        <v>#VALUE!</v>
      </c>
      <c r="HW113" t="e">
        <f>AND('Planilla_General_03-12-2012_9_3'!F1807,"AAAAAFN71uY=")</f>
        <v>#VALUE!</v>
      </c>
      <c r="HX113" t="e">
        <f>AND('Planilla_General_03-12-2012_9_3'!G1807,"AAAAAFN71uc=")</f>
        <v>#VALUE!</v>
      </c>
      <c r="HY113" t="e">
        <f>AND('Planilla_General_03-12-2012_9_3'!H1807,"AAAAAFN71ug=")</f>
        <v>#VALUE!</v>
      </c>
      <c r="HZ113" t="e">
        <f>AND('Planilla_General_03-12-2012_9_3'!I1807,"AAAAAFN71uk=")</f>
        <v>#VALUE!</v>
      </c>
      <c r="IA113" t="e">
        <f>AND('Planilla_General_03-12-2012_9_3'!J1807,"AAAAAFN71uo=")</f>
        <v>#VALUE!</v>
      </c>
      <c r="IB113" t="e">
        <f>AND('Planilla_General_03-12-2012_9_3'!K1807,"AAAAAFN71us=")</f>
        <v>#VALUE!</v>
      </c>
      <c r="IC113" t="e">
        <f>AND('Planilla_General_03-12-2012_9_3'!L1807,"AAAAAFN71uw=")</f>
        <v>#VALUE!</v>
      </c>
      <c r="ID113" t="e">
        <f>AND('Planilla_General_03-12-2012_9_3'!M1807,"AAAAAFN71u0=")</f>
        <v>#VALUE!</v>
      </c>
      <c r="IE113" t="e">
        <f>AND('Planilla_General_03-12-2012_9_3'!N1807,"AAAAAFN71u4=")</f>
        <v>#VALUE!</v>
      </c>
      <c r="IF113" t="e">
        <f>AND('Planilla_General_03-12-2012_9_3'!O1807,"AAAAAFN71u8=")</f>
        <v>#VALUE!</v>
      </c>
      <c r="IG113">
        <f>IF('Planilla_General_03-12-2012_9_3'!1808:1808,"AAAAAFN71vA=",0)</f>
        <v>0</v>
      </c>
      <c r="IH113" t="e">
        <f>AND('Planilla_General_03-12-2012_9_3'!A1808,"AAAAAFN71vE=")</f>
        <v>#VALUE!</v>
      </c>
      <c r="II113" t="e">
        <f>AND('Planilla_General_03-12-2012_9_3'!B1808,"AAAAAFN71vI=")</f>
        <v>#VALUE!</v>
      </c>
      <c r="IJ113" t="e">
        <f>AND('Planilla_General_03-12-2012_9_3'!C1808,"AAAAAFN71vM=")</f>
        <v>#VALUE!</v>
      </c>
      <c r="IK113" t="e">
        <f>AND('Planilla_General_03-12-2012_9_3'!D1808,"AAAAAFN71vQ=")</f>
        <v>#VALUE!</v>
      </c>
      <c r="IL113" t="e">
        <f>AND('Planilla_General_03-12-2012_9_3'!E1808,"AAAAAFN71vU=")</f>
        <v>#VALUE!</v>
      </c>
      <c r="IM113" t="e">
        <f>AND('Planilla_General_03-12-2012_9_3'!F1808,"AAAAAFN71vY=")</f>
        <v>#VALUE!</v>
      </c>
      <c r="IN113" t="e">
        <f>AND('Planilla_General_03-12-2012_9_3'!G1808,"AAAAAFN71vc=")</f>
        <v>#VALUE!</v>
      </c>
      <c r="IO113" t="e">
        <f>AND('Planilla_General_03-12-2012_9_3'!H1808,"AAAAAFN71vg=")</f>
        <v>#VALUE!</v>
      </c>
      <c r="IP113" t="e">
        <f>AND('Planilla_General_03-12-2012_9_3'!I1808,"AAAAAFN71vk=")</f>
        <v>#VALUE!</v>
      </c>
      <c r="IQ113" t="e">
        <f>AND('Planilla_General_03-12-2012_9_3'!J1808,"AAAAAFN71vo=")</f>
        <v>#VALUE!</v>
      </c>
      <c r="IR113" t="e">
        <f>AND('Planilla_General_03-12-2012_9_3'!K1808,"AAAAAFN71vs=")</f>
        <v>#VALUE!</v>
      </c>
      <c r="IS113" t="e">
        <f>AND('Planilla_General_03-12-2012_9_3'!L1808,"AAAAAFN71vw=")</f>
        <v>#VALUE!</v>
      </c>
      <c r="IT113" t="e">
        <f>AND('Planilla_General_03-12-2012_9_3'!M1808,"AAAAAFN71v0=")</f>
        <v>#VALUE!</v>
      </c>
      <c r="IU113" t="e">
        <f>AND('Planilla_General_03-12-2012_9_3'!N1808,"AAAAAFN71v4=")</f>
        <v>#VALUE!</v>
      </c>
      <c r="IV113" t="e">
        <f>AND('Planilla_General_03-12-2012_9_3'!O1808,"AAAAAFN71v8=")</f>
        <v>#VALUE!</v>
      </c>
    </row>
    <row r="114" spans="1:256" x14ac:dyDescent="0.25">
      <c r="A114" t="e">
        <f>IF('Planilla_General_03-12-2012_9_3'!1809:1809,"AAAAAHf6jgA=",0)</f>
        <v>#VALUE!</v>
      </c>
      <c r="B114" t="e">
        <f>AND('Planilla_General_03-12-2012_9_3'!A1809,"AAAAAHf6jgE=")</f>
        <v>#VALUE!</v>
      </c>
      <c r="C114" t="e">
        <f>AND('Planilla_General_03-12-2012_9_3'!B1809,"AAAAAHf6jgI=")</f>
        <v>#VALUE!</v>
      </c>
      <c r="D114" t="e">
        <f>AND('Planilla_General_03-12-2012_9_3'!C1809,"AAAAAHf6jgM=")</f>
        <v>#VALUE!</v>
      </c>
      <c r="E114" t="e">
        <f>AND('Planilla_General_03-12-2012_9_3'!D1809,"AAAAAHf6jgQ=")</f>
        <v>#VALUE!</v>
      </c>
      <c r="F114" t="e">
        <f>AND('Planilla_General_03-12-2012_9_3'!E1809,"AAAAAHf6jgU=")</f>
        <v>#VALUE!</v>
      </c>
      <c r="G114" t="e">
        <f>AND('Planilla_General_03-12-2012_9_3'!F1809,"AAAAAHf6jgY=")</f>
        <v>#VALUE!</v>
      </c>
      <c r="H114" t="e">
        <f>AND('Planilla_General_03-12-2012_9_3'!G1809,"AAAAAHf6jgc=")</f>
        <v>#VALUE!</v>
      </c>
      <c r="I114" t="e">
        <f>AND('Planilla_General_03-12-2012_9_3'!H1809,"AAAAAHf6jgg=")</f>
        <v>#VALUE!</v>
      </c>
      <c r="J114" t="e">
        <f>AND('Planilla_General_03-12-2012_9_3'!I1809,"AAAAAHf6jgk=")</f>
        <v>#VALUE!</v>
      </c>
      <c r="K114" t="e">
        <f>AND('Planilla_General_03-12-2012_9_3'!J1809,"AAAAAHf6jgo=")</f>
        <v>#VALUE!</v>
      </c>
      <c r="L114" t="e">
        <f>AND('Planilla_General_03-12-2012_9_3'!K1809,"AAAAAHf6jgs=")</f>
        <v>#VALUE!</v>
      </c>
      <c r="M114" t="e">
        <f>AND('Planilla_General_03-12-2012_9_3'!L1809,"AAAAAHf6jgw=")</f>
        <v>#VALUE!</v>
      </c>
      <c r="N114" t="e">
        <f>AND('Planilla_General_03-12-2012_9_3'!M1809,"AAAAAHf6jg0=")</f>
        <v>#VALUE!</v>
      </c>
      <c r="O114" t="e">
        <f>AND('Planilla_General_03-12-2012_9_3'!N1809,"AAAAAHf6jg4=")</f>
        <v>#VALUE!</v>
      </c>
      <c r="P114" t="e">
        <f>AND('Planilla_General_03-12-2012_9_3'!O1809,"AAAAAHf6jg8=")</f>
        <v>#VALUE!</v>
      </c>
      <c r="Q114">
        <f>IF('Planilla_General_03-12-2012_9_3'!1810:1810,"AAAAAHf6jhA=",0)</f>
        <v>0</v>
      </c>
      <c r="R114" t="e">
        <f>AND('Planilla_General_03-12-2012_9_3'!A1810,"AAAAAHf6jhE=")</f>
        <v>#VALUE!</v>
      </c>
      <c r="S114" t="e">
        <f>AND('Planilla_General_03-12-2012_9_3'!B1810,"AAAAAHf6jhI=")</f>
        <v>#VALUE!</v>
      </c>
      <c r="T114" t="e">
        <f>AND('Planilla_General_03-12-2012_9_3'!C1810,"AAAAAHf6jhM=")</f>
        <v>#VALUE!</v>
      </c>
      <c r="U114" t="e">
        <f>AND('Planilla_General_03-12-2012_9_3'!D1810,"AAAAAHf6jhQ=")</f>
        <v>#VALUE!</v>
      </c>
      <c r="V114" t="e">
        <f>AND('Planilla_General_03-12-2012_9_3'!E1810,"AAAAAHf6jhU=")</f>
        <v>#VALUE!</v>
      </c>
      <c r="W114" t="e">
        <f>AND('Planilla_General_03-12-2012_9_3'!F1810,"AAAAAHf6jhY=")</f>
        <v>#VALUE!</v>
      </c>
      <c r="X114" t="e">
        <f>AND('Planilla_General_03-12-2012_9_3'!G1810,"AAAAAHf6jhc=")</f>
        <v>#VALUE!</v>
      </c>
      <c r="Y114" t="e">
        <f>AND('Planilla_General_03-12-2012_9_3'!H1810,"AAAAAHf6jhg=")</f>
        <v>#VALUE!</v>
      </c>
      <c r="Z114" t="e">
        <f>AND('Planilla_General_03-12-2012_9_3'!I1810,"AAAAAHf6jhk=")</f>
        <v>#VALUE!</v>
      </c>
      <c r="AA114" t="e">
        <f>AND('Planilla_General_03-12-2012_9_3'!J1810,"AAAAAHf6jho=")</f>
        <v>#VALUE!</v>
      </c>
      <c r="AB114" t="e">
        <f>AND('Planilla_General_03-12-2012_9_3'!K1810,"AAAAAHf6jhs=")</f>
        <v>#VALUE!</v>
      </c>
      <c r="AC114" t="e">
        <f>AND('Planilla_General_03-12-2012_9_3'!L1810,"AAAAAHf6jhw=")</f>
        <v>#VALUE!</v>
      </c>
      <c r="AD114" t="e">
        <f>AND('Planilla_General_03-12-2012_9_3'!M1810,"AAAAAHf6jh0=")</f>
        <v>#VALUE!</v>
      </c>
      <c r="AE114" t="e">
        <f>AND('Planilla_General_03-12-2012_9_3'!N1810,"AAAAAHf6jh4=")</f>
        <v>#VALUE!</v>
      </c>
      <c r="AF114" t="e">
        <f>AND('Planilla_General_03-12-2012_9_3'!O1810,"AAAAAHf6jh8=")</f>
        <v>#VALUE!</v>
      </c>
      <c r="AG114">
        <f>IF('Planilla_General_03-12-2012_9_3'!1811:1811,"AAAAAHf6jiA=",0)</f>
        <v>0</v>
      </c>
      <c r="AH114" t="e">
        <f>AND('Planilla_General_03-12-2012_9_3'!A1811,"AAAAAHf6jiE=")</f>
        <v>#VALUE!</v>
      </c>
      <c r="AI114" t="e">
        <f>AND('Planilla_General_03-12-2012_9_3'!B1811,"AAAAAHf6jiI=")</f>
        <v>#VALUE!</v>
      </c>
      <c r="AJ114" t="e">
        <f>AND('Planilla_General_03-12-2012_9_3'!C1811,"AAAAAHf6jiM=")</f>
        <v>#VALUE!</v>
      </c>
      <c r="AK114" t="e">
        <f>AND('Planilla_General_03-12-2012_9_3'!D1811,"AAAAAHf6jiQ=")</f>
        <v>#VALUE!</v>
      </c>
      <c r="AL114" t="e">
        <f>AND('Planilla_General_03-12-2012_9_3'!E1811,"AAAAAHf6jiU=")</f>
        <v>#VALUE!</v>
      </c>
      <c r="AM114" t="e">
        <f>AND('Planilla_General_03-12-2012_9_3'!F1811,"AAAAAHf6jiY=")</f>
        <v>#VALUE!</v>
      </c>
      <c r="AN114" t="e">
        <f>AND('Planilla_General_03-12-2012_9_3'!G1811,"AAAAAHf6jic=")</f>
        <v>#VALUE!</v>
      </c>
      <c r="AO114" t="e">
        <f>AND('Planilla_General_03-12-2012_9_3'!H1811,"AAAAAHf6jig=")</f>
        <v>#VALUE!</v>
      </c>
      <c r="AP114" t="e">
        <f>AND('Planilla_General_03-12-2012_9_3'!I1811,"AAAAAHf6jik=")</f>
        <v>#VALUE!</v>
      </c>
      <c r="AQ114" t="e">
        <f>AND('Planilla_General_03-12-2012_9_3'!J1811,"AAAAAHf6jio=")</f>
        <v>#VALUE!</v>
      </c>
      <c r="AR114" t="e">
        <f>AND('Planilla_General_03-12-2012_9_3'!K1811,"AAAAAHf6jis=")</f>
        <v>#VALUE!</v>
      </c>
      <c r="AS114" t="e">
        <f>AND('Planilla_General_03-12-2012_9_3'!L1811,"AAAAAHf6jiw=")</f>
        <v>#VALUE!</v>
      </c>
      <c r="AT114" t="e">
        <f>AND('Planilla_General_03-12-2012_9_3'!M1811,"AAAAAHf6ji0=")</f>
        <v>#VALUE!</v>
      </c>
      <c r="AU114" t="e">
        <f>AND('Planilla_General_03-12-2012_9_3'!N1811,"AAAAAHf6ji4=")</f>
        <v>#VALUE!</v>
      </c>
      <c r="AV114" t="e">
        <f>AND('Planilla_General_03-12-2012_9_3'!O1811,"AAAAAHf6ji8=")</f>
        <v>#VALUE!</v>
      </c>
      <c r="AW114">
        <f>IF('Planilla_General_03-12-2012_9_3'!1812:1812,"AAAAAHf6jjA=",0)</f>
        <v>0</v>
      </c>
      <c r="AX114" t="e">
        <f>AND('Planilla_General_03-12-2012_9_3'!A1812,"AAAAAHf6jjE=")</f>
        <v>#VALUE!</v>
      </c>
      <c r="AY114" t="e">
        <f>AND('Planilla_General_03-12-2012_9_3'!B1812,"AAAAAHf6jjI=")</f>
        <v>#VALUE!</v>
      </c>
      <c r="AZ114" t="e">
        <f>AND('Planilla_General_03-12-2012_9_3'!C1812,"AAAAAHf6jjM=")</f>
        <v>#VALUE!</v>
      </c>
      <c r="BA114" t="e">
        <f>AND('Planilla_General_03-12-2012_9_3'!D1812,"AAAAAHf6jjQ=")</f>
        <v>#VALUE!</v>
      </c>
      <c r="BB114" t="e">
        <f>AND('Planilla_General_03-12-2012_9_3'!E1812,"AAAAAHf6jjU=")</f>
        <v>#VALUE!</v>
      </c>
      <c r="BC114" t="e">
        <f>AND('Planilla_General_03-12-2012_9_3'!F1812,"AAAAAHf6jjY=")</f>
        <v>#VALUE!</v>
      </c>
      <c r="BD114" t="e">
        <f>AND('Planilla_General_03-12-2012_9_3'!G1812,"AAAAAHf6jjc=")</f>
        <v>#VALUE!</v>
      </c>
      <c r="BE114" t="e">
        <f>AND('Planilla_General_03-12-2012_9_3'!H1812,"AAAAAHf6jjg=")</f>
        <v>#VALUE!</v>
      </c>
      <c r="BF114" t="e">
        <f>AND('Planilla_General_03-12-2012_9_3'!I1812,"AAAAAHf6jjk=")</f>
        <v>#VALUE!</v>
      </c>
      <c r="BG114" t="e">
        <f>AND('Planilla_General_03-12-2012_9_3'!J1812,"AAAAAHf6jjo=")</f>
        <v>#VALUE!</v>
      </c>
      <c r="BH114" t="e">
        <f>AND('Planilla_General_03-12-2012_9_3'!K1812,"AAAAAHf6jjs=")</f>
        <v>#VALUE!</v>
      </c>
      <c r="BI114" t="e">
        <f>AND('Planilla_General_03-12-2012_9_3'!L1812,"AAAAAHf6jjw=")</f>
        <v>#VALUE!</v>
      </c>
      <c r="BJ114" t="e">
        <f>AND('Planilla_General_03-12-2012_9_3'!M1812,"AAAAAHf6jj0=")</f>
        <v>#VALUE!</v>
      </c>
      <c r="BK114" t="e">
        <f>AND('Planilla_General_03-12-2012_9_3'!N1812,"AAAAAHf6jj4=")</f>
        <v>#VALUE!</v>
      </c>
      <c r="BL114" t="e">
        <f>AND('Planilla_General_03-12-2012_9_3'!O1812,"AAAAAHf6jj8=")</f>
        <v>#VALUE!</v>
      </c>
      <c r="BM114">
        <f>IF('Planilla_General_03-12-2012_9_3'!1813:1813,"AAAAAHf6jkA=",0)</f>
        <v>0</v>
      </c>
      <c r="BN114" t="e">
        <f>AND('Planilla_General_03-12-2012_9_3'!A1813,"AAAAAHf6jkE=")</f>
        <v>#VALUE!</v>
      </c>
      <c r="BO114" t="e">
        <f>AND('Planilla_General_03-12-2012_9_3'!B1813,"AAAAAHf6jkI=")</f>
        <v>#VALUE!</v>
      </c>
      <c r="BP114" t="e">
        <f>AND('Planilla_General_03-12-2012_9_3'!C1813,"AAAAAHf6jkM=")</f>
        <v>#VALUE!</v>
      </c>
      <c r="BQ114" t="e">
        <f>AND('Planilla_General_03-12-2012_9_3'!D1813,"AAAAAHf6jkQ=")</f>
        <v>#VALUE!</v>
      </c>
      <c r="BR114" t="e">
        <f>AND('Planilla_General_03-12-2012_9_3'!E1813,"AAAAAHf6jkU=")</f>
        <v>#VALUE!</v>
      </c>
      <c r="BS114" t="e">
        <f>AND('Planilla_General_03-12-2012_9_3'!F1813,"AAAAAHf6jkY=")</f>
        <v>#VALUE!</v>
      </c>
      <c r="BT114" t="e">
        <f>AND('Planilla_General_03-12-2012_9_3'!G1813,"AAAAAHf6jkc=")</f>
        <v>#VALUE!</v>
      </c>
      <c r="BU114" t="e">
        <f>AND('Planilla_General_03-12-2012_9_3'!H1813,"AAAAAHf6jkg=")</f>
        <v>#VALUE!</v>
      </c>
      <c r="BV114" t="e">
        <f>AND('Planilla_General_03-12-2012_9_3'!I1813,"AAAAAHf6jkk=")</f>
        <v>#VALUE!</v>
      </c>
      <c r="BW114" t="e">
        <f>AND('Planilla_General_03-12-2012_9_3'!J1813,"AAAAAHf6jko=")</f>
        <v>#VALUE!</v>
      </c>
      <c r="BX114" t="e">
        <f>AND('Planilla_General_03-12-2012_9_3'!K1813,"AAAAAHf6jks=")</f>
        <v>#VALUE!</v>
      </c>
      <c r="BY114" t="e">
        <f>AND('Planilla_General_03-12-2012_9_3'!L1813,"AAAAAHf6jkw=")</f>
        <v>#VALUE!</v>
      </c>
      <c r="BZ114" t="e">
        <f>AND('Planilla_General_03-12-2012_9_3'!M1813,"AAAAAHf6jk0=")</f>
        <v>#VALUE!</v>
      </c>
      <c r="CA114" t="e">
        <f>AND('Planilla_General_03-12-2012_9_3'!N1813,"AAAAAHf6jk4=")</f>
        <v>#VALUE!</v>
      </c>
      <c r="CB114" t="e">
        <f>AND('Planilla_General_03-12-2012_9_3'!O1813,"AAAAAHf6jk8=")</f>
        <v>#VALUE!</v>
      </c>
      <c r="CC114">
        <f>IF('Planilla_General_03-12-2012_9_3'!1814:1814,"AAAAAHf6jlA=",0)</f>
        <v>0</v>
      </c>
      <c r="CD114" t="e">
        <f>AND('Planilla_General_03-12-2012_9_3'!A1814,"AAAAAHf6jlE=")</f>
        <v>#VALUE!</v>
      </c>
      <c r="CE114" t="e">
        <f>AND('Planilla_General_03-12-2012_9_3'!B1814,"AAAAAHf6jlI=")</f>
        <v>#VALUE!</v>
      </c>
      <c r="CF114" t="e">
        <f>AND('Planilla_General_03-12-2012_9_3'!C1814,"AAAAAHf6jlM=")</f>
        <v>#VALUE!</v>
      </c>
      <c r="CG114" t="e">
        <f>AND('Planilla_General_03-12-2012_9_3'!D1814,"AAAAAHf6jlQ=")</f>
        <v>#VALUE!</v>
      </c>
      <c r="CH114" t="e">
        <f>AND('Planilla_General_03-12-2012_9_3'!E1814,"AAAAAHf6jlU=")</f>
        <v>#VALUE!</v>
      </c>
      <c r="CI114" t="e">
        <f>AND('Planilla_General_03-12-2012_9_3'!F1814,"AAAAAHf6jlY=")</f>
        <v>#VALUE!</v>
      </c>
      <c r="CJ114" t="e">
        <f>AND('Planilla_General_03-12-2012_9_3'!G1814,"AAAAAHf6jlc=")</f>
        <v>#VALUE!</v>
      </c>
      <c r="CK114" t="e">
        <f>AND('Planilla_General_03-12-2012_9_3'!H1814,"AAAAAHf6jlg=")</f>
        <v>#VALUE!</v>
      </c>
      <c r="CL114" t="e">
        <f>AND('Planilla_General_03-12-2012_9_3'!I1814,"AAAAAHf6jlk=")</f>
        <v>#VALUE!</v>
      </c>
      <c r="CM114" t="e">
        <f>AND('Planilla_General_03-12-2012_9_3'!J1814,"AAAAAHf6jlo=")</f>
        <v>#VALUE!</v>
      </c>
      <c r="CN114" t="e">
        <f>AND('Planilla_General_03-12-2012_9_3'!K1814,"AAAAAHf6jls=")</f>
        <v>#VALUE!</v>
      </c>
      <c r="CO114" t="e">
        <f>AND('Planilla_General_03-12-2012_9_3'!L1814,"AAAAAHf6jlw=")</f>
        <v>#VALUE!</v>
      </c>
      <c r="CP114" t="e">
        <f>AND('Planilla_General_03-12-2012_9_3'!M1814,"AAAAAHf6jl0=")</f>
        <v>#VALUE!</v>
      </c>
      <c r="CQ114" t="e">
        <f>AND('Planilla_General_03-12-2012_9_3'!N1814,"AAAAAHf6jl4=")</f>
        <v>#VALUE!</v>
      </c>
      <c r="CR114" t="e">
        <f>AND('Planilla_General_03-12-2012_9_3'!O1814,"AAAAAHf6jl8=")</f>
        <v>#VALUE!</v>
      </c>
      <c r="CS114">
        <f>IF('Planilla_General_03-12-2012_9_3'!1815:1815,"AAAAAHf6jmA=",0)</f>
        <v>0</v>
      </c>
      <c r="CT114" t="e">
        <f>AND('Planilla_General_03-12-2012_9_3'!A1815,"AAAAAHf6jmE=")</f>
        <v>#VALUE!</v>
      </c>
      <c r="CU114" t="e">
        <f>AND('Planilla_General_03-12-2012_9_3'!B1815,"AAAAAHf6jmI=")</f>
        <v>#VALUE!</v>
      </c>
      <c r="CV114" t="e">
        <f>AND('Planilla_General_03-12-2012_9_3'!C1815,"AAAAAHf6jmM=")</f>
        <v>#VALUE!</v>
      </c>
      <c r="CW114" t="e">
        <f>AND('Planilla_General_03-12-2012_9_3'!D1815,"AAAAAHf6jmQ=")</f>
        <v>#VALUE!</v>
      </c>
      <c r="CX114" t="e">
        <f>AND('Planilla_General_03-12-2012_9_3'!E1815,"AAAAAHf6jmU=")</f>
        <v>#VALUE!</v>
      </c>
      <c r="CY114" t="e">
        <f>AND('Planilla_General_03-12-2012_9_3'!F1815,"AAAAAHf6jmY=")</f>
        <v>#VALUE!</v>
      </c>
      <c r="CZ114" t="e">
        <f>AND('Planilla_General_03-12-2012_9_3'!G1815,"AAAAAHf6jmc=")</f>
        <v>#VALUE!</v>
      </c>
      <c r="DA114" t="e">
        <f>AND('Planilla_General_03-12-2012_9_3'!H1815,"AAAAAHf6jmg=")</f>
        <v>#VALUE!</v>
      </c>
      <c r="DB114" t="e">
        <f>AND('Planilla_General_03-12-2012_9_3'!I1815,"AAAAAHf6jmk=")</f>
        <v>#VALUE!</v>
      </c>
      <c r="DC114" t="e">
        <f>AND('Planilla_General_03-12-2012_9_3'!J1815,"AAAAAHf6jmo=")</f>
        <v>#VALUE!</v>
      </c>
      <c r="DD114" t="e">
        <f>AND('Planilla_General_03-12-2012_9_3'!K1815,"AAAAAHf6jms=")</f>
        <v>#VALUE!</v>
      </c>
      <c r="DE114" t="e">
        <f>AND('Planilla_General_03-12-2012_9_3'!L1815,"AAAAAHf6jmw=")</f>
        <v>#VALUE!</v>
      </c>
      <c r="DF114" t="e">
        <f>AND('Planilla_General_03-12-2012_9_3'!M1815,"AAAAAHf6jm0=")</f>
        <v>#VALUE!</v>
      </c>
      <c r="DG114" t="e">
        <f>AND('Planilla_General_03-12-2012_9_3'!N1815,"AAAAAHf6jm4=")</f>
        <v>#VALUE!</v>
      </c>
      <c r="DH114" t="e">
        <f>AND('Planilla_General_03-12-2012_9_3'!O1815,"AAAAAHf6jm8=")</f>
        <v>#VALUE!</v>
      </c>
      <c r="DI114">
        <f>IF('Planilla_General_03-12-2012_9_3'!1816:1816,"AAAAAHf6jnA=",0)</f>
        <v>0</v>
      </c>
      <c r="DJ114" t="e">
        <f>AND('Planilla_General_03-12-2012_9_3'!A1816,"AAAAAHf6jnE=")</f>
        <v>#VALUE!</v>
      </c>
      <c r="DK114" t="e">
        <f>AND('Planilla_General_03-12-2012_9_3'!B1816,"AAAAAHf6jnI=")</f>
        <v>#VALUE!</v>
      </c>
      <c r="DL114" t="e">
        <f>AND('Planilla_General_03-12-2012_9_3'!C1816,"AAAAAHf6jnM=")</f>
        <v>#VALUE!</v>
      </c>
      <c r="DM114" t="e">
        <f>AND('Planilla_General_03-12-2012_9_3'!D1816,"AAAAAHf6jnQ=")</f>
        <v>#VALUE!</v>
      </c>
      <c r="DN114" t="e">
        <f>AND('Planilla_General_03-12-2012_9_3'!E1816,"AAAAAHf6jnU=")</f>
        <v>#VALUE!</v>
      </c>
      <c r="DO114" t="e">
        <f>AND('Planilla_General_03-12-2012_9_3'!F1816,"AAAAAHf6jnY=")</f>
        <v>#VALUE!</v>
      </c>
      <c r="DP114" t="e">
        <f>AND('Planilla_General_03-12-2012_9_3'!G1816,"AAAAAHf6jnc=")</f>
        <v>#VALUE!</v>
      </c>
      <c r="DQ114" t="e">
        <f>AND('Planilla_General_03-12-2012_9_3'!H1816,"AAAAAHf6jng=")</f>
        <v>#VALUE!</v>
      </c>
      <c r="DR114" t="e">
        <f>AND('Planilla_General_03-12-2012_9_3'!I1816,"AAAAAHf6jnk=")</f>
        <v>#VALUE!</v>
      </c>
      <c r="DS114" t="e">
        <f>AND('Planilla_General_03-12-2012_9_3'!J1816,"AAAAAHf6jno=")</f>
        <v>#VALUE!</v>
      </c>
      <c r="DT114" t="e">
        <f>AND('Planilla_General_03-12-2012_9_3'!K1816,"AAAAAHf6jns=")</f>
        <v>#VALUE!</v>
      </c>
      <c r="DU114" t="e">
        <f>AND('Planilla_General_03-12-2012_9_3'!L1816,"AAAAAHf6jnw=")</f>
        <v>#VALUE!</v>
      </c>
      <c r="DV114" t="e">
        <f>AND('Planilla_General_03-12-2012_9_3'!M1816,"AAAAAHf6jn0=")</f>
        <v>#VALUE!</v>
      </c>
      <c r="DW114" t="e">
        <f>AND('Planilla_General_03-12-2012_9_3'!N1816,"AAAAAHf6jn4=")</f>
        <v>#VALUE!</v>
      </c>
      <c r="DX114" t="e">
        <f>AND('Planilla_General_03-12-2012_9_3'!O1816,"AAAAAHf6jn8=")</f>
        <v>#VALUE!</v>
      </c>
      <c r="DY114">
        <f>IF('Planilla_General_03-12-2012_9_3'!1817:1817,"AAAAAHf6joA=",0)</f>
        <v>0</v>
      </c>
      <c r="DZ114" t="e">
        <f>AND('Planilla_General_03-12-2012_9_3'!A1817,"AAAAAHf6joE=")</f>
        <v>#VALUE!</v>
      </c>
      <c r="EA114" t="e">
        <f>AND('Planilla_General_03-12-2012_9_3'!B1817,"AAAAAHf6joI=")</f>
        <v>#VALUE!</v>
      </c>
      <c r="EB114" t="e">
        <f>AND('Planilla_General_03-12-2012_9_3'!C1817,"AAAAAHf6joM=")</f>
        <v>#VALUE!</v>
      </c>
      <c r="EC114" t="e">
        <f>AND('Planilla_General_03-12-2012_9_3'!D1817,"AAAAAHf6joQ=")</f>
        <v>#VALUE!</v>
      </c>
      <c r="ED114" t="e">
        <f>AND('Planilla_General_03-12-2012_9_3'!E1817,"AAAAAHf6joU=")</f>
        <v>#VALUE!</v>
      </c>
      <c r="EE114" t="e">
        <f>AND('Planilla_General_03-12-2012_9_3'!F1817,"AAAAAHf6joY=")</f>
        <v>#VALUE!</v>
      </c>
      <c r="EF114" t="e">
        <f>AND('Planilla_General_03-12-2012_9_3'!G1817,"AAAAAHf6joc=")</f>
        <v>#VALUE!</v>
      </c>
      <c r="EG114" t="e">
        <f>AND('Planilla_General_03-12-2012_9_3'!H1817,"AAAAAHf6jog=")</f>
        <v>#VALUE!</v>
      </c>
      <c r="EH114" t="e">
        <f>AND('Planilla_General_03-12-2012_9_3'!I1817,"AAAAAHf6jok=")</f>
        <v>#VALUE!</v>
      </c>
      <c r="EI114" t="e">
        <f>AND('Planilla_General_03-12-2012_9_3'!J1817,"AAAAAHf6joo=")</f>
        <v>#VALUE!</v>
      </c>
      <c r="EJ114" t="e">
        <f>AND('Planilla_General_03-12-2012_9_3'!K1817,"AAAAAHf6jos=")</f>
        <v>#VALUE!</v>
      </c>
      <c r="EK114" t="e">
        <f>AND('Planilla_General_03-12-2012_9_3'!L1817,"AAAAAHf6jow=")</f>
        <v>#VALUE!</v>
      </c>
      <c r="EL114" t="e">
        <f>AND('Planilla_General_03-12-2012_9_3'!M1817,"AAAAAHf6jo0=")</f>
        <v>#VALUE!</v>
      </c>
      <c r="EM114" t="e">
        <f>AND('Planilla_General_03-12-2012_9_3'!N1817,"AAAAAHf6jo4=")</f>
        <v>#VALUE!</v>
      </c>
      <c r="EN114" t="e">
        <f>AND('Planilla_General_03-12-2012_9_3'!O1817,"AAAAAHf6jo8=")</f>
        <v>#VALUE!</v>
      </c>
      <c r="EO114">
        <f>IF('Planilla_General_03-12-2012_9_3'!1818:1818,"AAAAAHf6jpA=",0)</f>
        <v>0</v>
      </c>
      <c r="EP114" t="e">
        <f>AND('Planilla_General_03-12-2012_9_3'!A1818,"AAAAAHf6jpE=")</f>
        <v>#VALUE!</v>
      </c>
      <c r="EQ114" t="e">
        <f>AND('Planilla_General_03-12-2012_9_3'!B1818,"AAAAAHf6jpI=")</f>
        <v>#VALUE!</v>
      </c>
      <c r="ER114" t="e">
        <f>AND('Planilla_General_03-12-2012_9_3'!C1818,"AAAAAHf6jpM=")</f>
        <v>#VALUE!</v>
      </c>
      <c r="ES114" t="e">
        <f>AND('Planilla_General_03-12-2012_9_3'!D1818,"AAAAAHf6jpQ=")</f>
        <v>#VALUE!</v>
      </c>
      <c r="ET114" t="e">
        <f>AND('Planilla_General_03-12-2012_9_3'!E1818,"AAAAAHf6jpU=")</f>
        <v>#VALUE!</v>
      </c>
      <c r="EU114" t="e">
        <f>AND('Planilla_General_03-12-2012_9_3'!F1818,"AAAAAHf6jpY=")</f>
        <v>#VALUE!</v>
      </c>
      <c r="EV114" t="e">
        <f>AND('Planilla_General_03-12-2012_9_3'!G1818,"AAAAAHf6jpc=")</f>
        <v>#VALUE!</v>
      </c>
      <c r="EW114" t="e">
        <f>AND('Planilla_General_03-12-2012_9_3'!H1818,"AAAAAHf6jpg=")</f>
        <v>#VALUE!</v>
      </c>
      <c r="EX114" t="e">
        <f>AND('Planilla_General_03-12-2012_9_3'!I1818,"AAAAAHf6jpk=")</f>
        <v>#VALUE!</v>
      </c>
      <c r="EY114" t="e">
        <f>AND('Planilla_General_03-12-2012_9_3'!J1818,"AAAAAHf6jpo=")</f>
        <v>#VALUE!</v>
      </c>
      <c r="EZ114" t="e">
        <f>AND('Planilla_General_03-12-2012_9_3'!K1818,"AAAAAHf6jps=")</f>
        <v>#VALUE!</v>
      </c>
      <c r="FA114" t="e">
        <f>AND('Planilla_General_03-12-2012_9_3'!L1818,"AAAAAHf6jpw=")</f>
        <v>#VALUE!</v>
      </c>
      <c r="FB114" t="e">
        <f>AND('Planilla_General_03-12-2012_9_3'!M1818,"AAAAAHf6jp0=")</f>
        <v>#VALUE!</v>
      </c>
      <c r="FC114" t="e">
        <f>AND('Planilla_General_03-12-2012_9_3'!N1818,"AAAAAHf6jp4=")</f>
        <v>#VALUE!</v>
      </c>
      <c r="FD114" t="e">
        <f>AND('Planilla_General_03-12-2012_9_3'!O1818,"AAAAAHf6jp8=")</f>
        <v>#VALUE!</v>
      </c>
      <c r="FE114">
        <f>IF('Planilla_General_03-12-2012_9_3'!1819:1819,"AAAAAHf6jqA=",0)</f>
        <v>0</v>
      </c>
      <c r="FF114" t="e">
        <f>AND('Planilla_General_03-12-2012_9_3'!A1819,"AAAAAHf6jqE=")</f>
        <v>#VALUE!</v>
      </c>
      <c r="FG114" t="e">
        <f>AND('Planilla_General_03-12-2012_9_3'!B1819,"AAAAAHf6jqI=")</f>
        <v>#VALUE!</v>
      </c>
      <c r="FH114" t="e">
        <f>AND('Planilla_General_03-12-2012_9_3'!C1819,"AAAAAHf6jqM=")</f>
        <v>#VALUE!</v>
      </c>
      <c r="FI114" t="e">
        <f>AND('Planilla_General_03-12-2012_9_3'!D1819,"AAAAAHf6jqQ=")</f>
        <v>#VALUE!</v>
      </c>
      <c r="FJ114" t="e">
        <f>AND('Planilla_General_03-12-2012_9_3'!E1819,"AAAAAHf6jqU=")</f>
        <v>#VALUE!</v>
      </c>
      <c r="FK114" t="e">
        <f>AND('Planilla_General_03-12-2012_9_3'!F1819,"AAAAAHf6jqY=")</f>
        <v>#VALUE!</v>
      </c>
      <c r="FL114" t="e">
        <f>AND('Planilla_General_03-12-2012_9_3'!G1819,"AAAAAHf6jqc=")</f>
        <v>#VALUE!</v>
      </c>
      <c r="FM114" t="e">
        <f>AND('Planilla_General_03-12-2012_9_3'!H1819,"AAAAAHf6jqg=")</f>
        <v>#VALUE!</v>
      </c>
      <c r="FN114" t="e">
        <f>AND('Planilla_General_03-12-2012_9_3'!I1819,"AAAAAHf6jqk=")</f>
        <v>#VALUE!</v>
      </c>
      <c r="FO114" t="e">
        <f>AND('Planilla_General_03-12-2012_9_3'!J1819,"AAAAAHf6jqo=")</f>
        <v>#VALUE!</v>
      </c>
      <c r="FP114" t="e">
        <f>AND('Planilla_General_03-12-2012_9_3'!K1819,"AAAAAHf6jqs=")</f>
        <v>#VALUE!</v>
      </c>
      <c r="FQ114" t="e">
        <f>AND('Planilla_General_03-12-2012_9_3'!L1819,"AAAAAHf6jqw=")</f>
        <v>#VALUE!</v>
      </c>
      <c r="FR114" t="e">
        <f>AND('Planilla_General_03-12-2012_9_3'!M1819,"AAAAAHf6jq0=")</f>
        <v>#VALUE!</v>
      </c>
      <c r="FS114" t="e">
        <f>AND('Planilla_General_03-12-2012_9_3'!N1819,"AAAAAHf6jq4=")</f>
        <v>#VALUE!</v>
      </c>
      <c r="FT114" t="e">
        <f>AND('Planilla_General_03-12-2012_9_3'!O1819,"AAAAAHf6jq8=")</f>
        <v>#VALUE!</v>
      </c>
      <c r="FU114">
        <f>IF('Planilla_General_03-12-2012_9_3'!1820:1820,"AAAAAHf6jrA=",0)</f>
        <v>0</v>
      </c>
      <c r="FV114" t="e">
        <f>AND('Planilla_General_03-12-2012_9_3'!A1820,"AAAAAHf6jrE=")</f>
        <v>#VALUE!</v>
      </c>
      <c r="FW114" t="e">
        <f>AND('Planilla_General_03-12-2012_9_3'!B1820,"AAAAAHf6jrI=")</f>
        <v>#VALUE!</v>
      </c>
      <c r="FX114" t="e">
        <f>AND('Planilla_General_03-12-2012_9_3'!C1820,"AAAAAHf6jrM=")</f>
        <v>#VALUE!</v>
      </c>
      <c r="FY114" t="e">
        <f>AND('Planilla_General_03-12-2012_9_3'!D1820,"AAAAAHf6jrQ=")</f>
        <v>#VALUE!</v>
      </c>
      <c r="FZ114" t="e">
        <f>AND('Planilla_General_03-12-2012_9_3'!E1820,"AAAAAHf6jrU=")</f>
        <v>#VALUE!</v>
      </c>
      <c r="GA114" t="e">
        <f>AND('Planilla_General_03-12-2012_9_3'!F1820,"AAAAAHf6jrY=")</f>
        <v>#VALUE!</v>
      </c>
      <c r="GB114" t="e">
        <f>AND('Planilla_General_03-12-2012_9_3'!G1820,"AAAAAHf6jrc=")</f>
        <v>#VALUE!</v>
      </c>
      <c r="GC114" t="e">
        <f>AND('Planilla_General_03-12-2012_9_3'!H1820,"AAAAAHf6jrg=")</f>
        <v>#VALUE!</v>
      </c>
      <c r="GD114" t="e">
        <f>AND('Planilla_General_03-12-2012_9_3'!I1820,"AAAAAHf6jrk=")</f>
        <v>#VALUE!</v>
      </c>
      <c r="GE114" t="e">
        <f>AND('Planilla_General_03-12-2012_9_3'!J1820,"AAAAAHf6jro=")</f>
        <v>#VALUE!</v>
      </c>
      <c r="GF114" t="e">
        <f>AND('Planilla_General_03-12-2012_9_3'!K1820,"AAAAAHf6jrs=")</f>
        <v>#VALUE!</v>
      </c>
      <c r="GG114" t="e">
        <f>AND('Planilla_General_03-12-2012_9_3'!L1820,"AAAAAHf6jrw=")</f>
        <v>#VALUE!</v>
      </c>
      <c r="GH114" t="e">
        <f>AND('Planilla_General_03-12-2012_9_3'!M1820,"AAAAAHf6jr0=")</f>
        <v>#VALUE!</v>
      </c>
      <c r="GI114" t="e">
        <f>AND('Planilla_General_03-12-2012_9_3'!N1820,"AAAAAHf6jr4=")</f>
        <v>#VALUE!</v>
      </c>
      <c r="GJ114" t="e">
        <f>AND('Planilla_General_03-12-2012_9_3'!O1820,"AAAAAHf6jr8=")</f>
        <v>#VALUE!</v>
      </c>
      <c r="GK114">
        <f>IF('Planilla_General_03-12-2012_9_3'!1821:1821,"AAAAAHf6jsA=",0)</f>
        <v>0</v>
      </c>
      <c r="GL114" t="e">
        <f>AND('Planilla_General_03-12-2012_9_3'!A1821,"AAAAAHf6jsE=")</f>
        <v>#VALUE!</v>
      </c>
      <c r="GM114" t="e">
        <f>AND('Planilla_General_03-12-2012_9_3'!B1821,"AAAAAHf6jsI=")</f>
        <v>#VALUE!</v>
      </c>
      <c r="GN114" t="e">
        <f>AND('Planilla_General_03-12-2012_9_3'!C1821,"AAAAAHf6jsM=")</f>
        <v>#VALUE!</v>
      </c>
      <c r="GO114" t="e">
        <f>AND('Planilla_General_03-12-2012_9_3'!D1821,"AAAAAHf6jsQ=")</f>
        <v>#VALUE!</v>
      </c>
      <c r="GP114" t="e">
        <f>AND('Planilla_General_03-12-2012_9_3'!E1821,"AAAAAHf6jsU=")</f>
        <v>#VALUE!</v>
      </c>
      <c r="GQ114" t="e">
        <f>AND('Planilla_General_03-12-2012_9_3'!F1821,"AAAAAHf6jsY=")</f>
        <v>#VALUE!</v>
      </c>
      <c r="GR114" t="e">
        <f>AND('Planilla_General_03-12-2012_9_3'!G1821,"AAAAAHf6jsc=")</f>
        <v>#VALUE!</v>
      </c>
      <c r="GS114" t="e">
        <f>AND('Planilla_General_03-12-2012_9_3'!H1821,"AAAAAHf6jsg=")</f>
        <v>#VALUE!</v>
      </c>
      <c r="GT114" t="e">
        <f>AND('Planilla_General_03-12-2012_9_3'!I1821,"AAAAAHf6jsk=")</f>
        <v>#VALUE!</v>
      </c>
      <c r="GU114" t="e">
        <f>AND('Planilla_General_03-12-2012_9_3'!J1821,"AAAAAHf6jso=")</f>
        <v>#VALUE!</v>
      </c>
      <c r="GV114" t="e">
        <f>AND('Planilla_General_03-12-2012_9_3'!K1821,"AAAAAHf6jss=")</f>
        <v>#VALUE!</v>
      </c>
      <c r="GW114" t="e">
        <f>AND('Planilla_General_03-12-2012_9_3'!L1821,"AAAAAHf6jsw=")</f>
        <v>#VALUE!</v>
      </c>
      <c r="GX114" t="e">
        <f>AND('Planilla_General_03-12-2012_9_3'!M1821,"AAAAAHf6js0=")</f>
        <v>#VALUE!</v>
      </c>
      <c r="GY114" t="e">
        <f>AND('Planilla_General_03-12-2012_9_3'!N1821,"AAAAAHf6js4=")</f>
        <v>#VALUE!</v>
      </c>
      <c r="GZ114" t="e">
        <f>AND('Planilla_General_03-12-2012_9_3'!O1821,"AAAAAHf6js8=")</f>
        <v>#VALUE!</v>
      </c>
      <c r="HA114">
        <f>IF('Planilla_General_03-12-2012_9_3'!1822:1822,"AAAAAHf6jtA=",0)</f>
        <v>0</v>
      </c>
      <c r="HB114" t="e">
        <f>AND('Planilla_General_03-12-2012_9_3'!A1822,"AAAAAHf6jtE=")</f>
        <v>#VALUE!</v>
      </c>
      <c r="HC114" t="e">
        <f>AND('Planilla_General_03-12-2012_9_3'!B1822,"AAAAAHf6jtI=")</f>
        <v>#VALUE!</v>
      </c>
      <c r="HD114" t="e">
        <f>AND('Planilla_General_03-12-2012_9_3'!C1822,"AAAAAHf6jtM=")</f>
        <v>#VALUE!</v>
      </c>
      <c r="HE114" t="e">
        <f>AND('Planilla_General_03-12-2012_9_3'!D1822,"AAAAAHf6jtQ=")</f>
        <v>#VALUE!</v>
      </c>
      <c r="HF114" t="e">
        <f>AND('Planilla_General_03-12-2012_9_3'!E1822,"AAAAAHf6jtU=")</f>
        <v>#VALUE!</v>
      </c>
      <c r="HG114" t="e">
        <f>AND('Planilla_General_03-12-2012_9_3'!F1822,"AAAAAHf6jtY=")</f>
        <v>#VALUE!</v>
      </c>
      <c r="HH114" t="e">
        <f>AND('Planilla_General_03-12-2012_9_3'!G1822,"AAAAAHf6jtc=")</f>
        <v>#VALUE!</v>
      </c>
      <c r="HI114" t="e">
        <f>AND('Planilla_General_03-12-2012_9_3'!H1822,"AAAAAHf6jtg=")</f>
        <v>#VALUE!</v>
      </c>
      <c r="HJ114" t="e">
        <f>AND('Planilla_General_03-12-2012_9_3'!I1822,"AAAAAHf6jtk=")</f>
        <v>#VALUE!</v>
      </c>
      <c r="HK114" t="e">
        <f>AND('Planilla_General_03-12-2012_9_3'!J1822,"AAAAAHf6jto=")</f>
        <v>#VALUE!</v>
      </c>
      <c r="HL114" t="e">
        <f>AND('Planilla_General_03-12-2012_9_3'!K1822,"AAAAAHf6jts=")</f>
        <v>#VALUE!</v>
      </c>
      <c r="HM114" t="e">
        <f>AND('Planilla_General_03-12-2012_9_3'!L1822,"AAAAAHf6jtw=")</f>
        <v>#VALUE!</v>
      </c>
      <c r="HN114" t="e">
        <f>AND('Planilla_General_03-12-2012_9_3'!M1822,"AAAAAHf6jt0=")</f>
        <v>#VALUE!</v>
      </c>
      <c r="HO114" t="e">
        <f>AND('Planilla_General_03-12-2012_9_3'!N1822,"AAAAAHf6jt4=")</f>
        <v>#VALUE!</v>
      </c>
      <c r="HP114" t="e">
        <f>AND('Planilla_General_03-12-2012_9_3'!O1822,"AAAAAHf6jt8=")</f>
        <v>#VALUE!</v>
      </c>
      <c r="HQ114">
        <f>IF('Planilla_General_03-12-2012_9_3'!1823:1823,"AAAAAHf6juA=",0)</f>
        <v>0</v>
      </c>
      <c r="HR114" t="e">
        <f>AND('Planilla_General_03-12-2012_9_3'!A1823,"AAAAAHf6juE=")</f>
        <v>#VALUE!</v>
      </c>
      <c r="HS114" t="e">
        <f>AND('Planilla_General_03-12-2012_9_3'!B1823,"AAAAAHf6juI=")</f>
        <v>#VALUE!</v>
      </c>
      <c r="HT114" t="e">
        <f>AND('Planilla_General_03-12-2012_9_3'!C1823,"AAAAAHf6juM=")</f>
        <v>#VALUE!</v>
      </c>
      <c r="HU114" t="e">
        <f>AND('Planilla_General_03-12-2012_9_3'!D1823,"AAAAAHf6juQ=")</f>
        <v>#VALUE!</v>
      </c>
      <c r="HV114" t="e">
        <f>AND('Planilla_General_03-12-2012_9_3'!E1823,"AAAAAHf6juU=")</f>
        <v>#VALUE!</v>
      </c>
      <c r="HW114" t="e">
        <f>AND('Planilla_General_03-12-2012_9_3'!F1823,"AAAAAHf6juY=")</f>
        <v>#VALUE!</v>
      </c>
      <c r="HX114" t="e">
        <f>AND('Planilla_General_03-12-2012_9_3'!G1823,"AAAAAHf6juc=")</f>
        <v>#VALUE!</v>
      </c>
      <c r="HY114" t="e">
        <f>AND('Planilla_General_03-12-2012_9_3'!H1823,"AAAAAHf6jug=")</f>
        <v>#VALUE!</v>
      </c>
      <c r="HZ114" t="e">
        <f>AND('Planilla_General_03-12-2012_9_3'!I1823,"AAAAAHf6juk=")</f>
        <v>#VALUE!</v>
      </c>
      <c r="IA114" t="e">
        <f>AND('Planilla_General_03-12-2012_9_3'!J1823,"AAAAAHf6juo=")</f>
        <v>#VALUE!</v>
      </c>
      <c r="IB114" t="e">
        <f>AND('Planilla_General_03-12-2012_9_3'!K1823,"AAAAAHf6jus=")</f>
        <v>#VALUE!</v>
      </c>
      <c r="IC114" t="e">
        <f>AND('Planilla_General_03-12-2012_9_3'!L1823,"AAAAAHf6juw=")</f>
        <v>#VALUE!</v>
      </c>
      <c r="ID114" t="e">
        <f>AND('Planilla_General_03-12-2012_9_3'!M1823,"AAAAAHf6ju0=")</f>
        <v>#VALUE!</v>
      </c>
      <c r="IE114" t="e">
        <f>AND('Planilla_General_03-12-2012_9_3'!N1823,"AAAAAHf6ju4=")</f>
        <v>#VALUE!</v>
      </c>
      <c r="IF114" t="e">
        <f>AND('Planilla_General_03-12-2012_9_3'!O1823,"AAAAAHf6ju8=")</f>
        <v>#VALUE!</v>
      </c>
      <c r="IG114">
        <f>IF('Planilla_General_03-12-2012_9_3'!1824:1824,"AAAAAHf6jvA=",0)</f>
        <v>0</v>
      </c>
      <c r="IH114" t="e">
        <f>AND('Planilla_General_03-12-2012_9_3'!A1824,"AAAAAHf6jvE=")</f>
        <v>#VALUE!</v>
      </c>
      <c r="II114" t="e">
        <f>AND('Planilla_General_03-12-2012_9_3'!B1824,"AAAAAHf6jvI=")</f>
        <v>#VALUE!</v>
      </c>
      <c r="IJ114" t="e">
        <f>AND('Planilla_General_03-12-2012_9_3'!C1824,"AAAAAHf6jvM=")</f>
        <v>#VALUE!</v>
      </c>
      <c r="IK114" t="e">
        <f>AND('Planilla_General_03-12-2012_9_3'!D1824,"AAAAAHf6jvQ=")</f>
        <v>#VALUE!</v>
      </c>
      <c r="IL114" t="e">
        <f>AND('Planilla_General_03-12-2012_9_3'!E1824,"AAAAAHf6jvU=")</f>
        <v>#VALUE!</v>
      </c>
      <c r="IM114" t="e">
        <f>AND('Planilla_General_03-12-2012_9_3'!F1824,"AAAAAHf6jvY=")</f>
        <v>#VALUE!</v>
      </c>
      <c r="IN114" t="e">
        <f>AND('Planilla_General_03-12-2012_9_3'!G1824,"AAAAAHf6jvc=")</f>
        <v>#VALUE!</v>
      </c>
      <c r="IO114" t="e">
        <f>AND('Planilla_General_03-12-2012_9_3'!H1824,"AAAAAHf6jvg=")</f>
        <v>#VALUE!</v>
      </c>
      <c r="IP114" t="e">
        <f>AND('Planilla_General_03-12-2012_9_3'!I1824,"AAAAAHf6jvk=")</f>
        <v>#VALUE!</v>
      </c>
      <c r="IQ114" t="e">
        <f>AND('Planilla_General_03-12-2012_9_3'!J1824,"AAAAAHf6jvo=")</f>
        <v>#VALUE!</v>
      </c>
      <c r="IR114" t="e">
        <f>AND('Planilla_General_03-12-2012_9_3'!K1824,"AAAAAHf6jvs=")</f>
        <v>#VALUE!</v>
      </c>
      <c r="IS114" t="e">
        <f>AND('Planilla_General_03-12-2012_9_3'!L1824,"AAAAAHf6jvw=")</f>
        <v>#VALUE!</v>
      </c>
      <c r="IT114" t="e">
        <f>AND('Planilla_General_03-12-2012_9_3'!M1824,"AAAAAHf6jv0=")</f>
        <v>#VALUE!</v>
      </c>
      <c r="IU114" t="e">
        <f>AND('Planilla_General_03-12-2012_9_3'!N1824,"AAAAAHf6jv4=")</f>
        <v>#VALUE!</v>
      </c>
      <c r="IV114" t="e">
        <f>AND('Planilla_General_03-12-2012_9_3'!O1824,"AAAAAHf6jv8=")</f>
        <v>#VALUE!</v>
      </c>
    </row>
    <row r="115" spans="1:256" x14ac:dyDescent="0.25">
      <c r="A115" t="e">
        <f>IF('Planilla_General_03-12-2012_9_3'!1825:1825,"AAAAAG798QA=",0)</f>
        <v>#VALUE!</v>
      </c>
      <c r="B115" t="e">
        <f>AND('Planilla_General_03-12-2012_9_3'!A1825,"AAAAAG798QE=")</f>
        <v>#VALUE!</v>
      </c>
      <c r="C115" t="e">
        <f>AND('Planilla_General_03-12-2012_9_3'!B1825,"AAAAAG798QI=")</f>
        <v>#VALUE!</v>
      </c>
      <c r="D115" t="e">
        <f>AND('Planilla_General_03-12-2012_9_3'!C1825,"AAAAAG798QM=")</f>
        <v>#VALUE!</v>
      </c>
      <c r="E115" t="e">
        <f>AND('Planilla_General_03-12-2012_9_3'!D1825,"AAAAAG798QQ=")</f>
        <v>#VALUE!</v>
      </c>
      <c r="F115" t="e">
        <f>AND('Planilla_General_03-12-2012_9_3'!E1825,"AAAAAG798QU=")</f>
        <v>#VALUE!</v>
      </c>
      <c r="G115" t="e">
        <f>AND('Planilla_General_03-12-2012_9_3'!F1825,"AAAAAG798QY=")</f>
        <v>#VALUE!</v>
      </c>
      <c r="H115" t="e">
        <f>AND('Planilla_General_03-12-2012_9_3'!G1825,"AAAAAG798Qc=")</f>
        <v>#VALUE!</v>
      </c>
      <c r="I115" t="e">
        <f>AND('Planilla_General_03-12-2012_9_3'!H1825,"AAAAAG798Qg=")</f>
        <v>#VALUE!</v>
      </c>
      <c r="J115" t="e">
        <f>AND('Planilla_General_03-12-2012_9_3'!I1825,"AAAAAG798Qk=")</f>
        <v>#VALUE!</v>
      </c>
      <c r="K115" t="e">
        <f>AND('Planilla_General_03-12-2012_9_3'!J1825,"AAAAAG798Qo=")</f>
        <v>#VALUE!</v>
      </c>
      <c r="L115" t="e">
        <f>AND('Planilla_General_03-12-2012_9_3'!K1825,"AAAAAG798Qs=")</f>
        <v>#VALUE!</v>
      </c>
      <c r="M115" t="e">
        <f>AND('Planilla_General_03-12-2012_9_3'!L1825,"AAAAAG798Qw=")</f>
        <v>#VALUE!</v>
      </c>
      <c r="N115" t="e">
        <f>AND('Planilla_General_03-12-2012_9_3'!M1825,"AAAAAG798Q0=")</f>
        <v>#VALUE!</v>
      </c>
      <c r="O115" t="e">
        <f>AND('Planilla_General_03-12-2012_9_3'!N1825,"AAAAAG798Q4=")</f>
        <v>#VALUE!</v>
      </c>
      <c r="P115" t="e">
        <f>AND('Planilla_General_03-12-2012_9_3'!O1825,"AAAAAG798Q8=")</f>
        <v>#VALUE!</v>
      </c>
      <c r="Q115">
        <f>IF('Planilla_General_03-12-2012_9_3'!1826:1826,"AAAAAG798RA=",0)</f>
        <v>0</v>
      </c>
      <c r="R115" t="e">
        <f>AND('Planilla_General_03-12-2012_9_3'!A1826,"AAAAAG798RE=")</f>
        <v>#VALUE!</v>
      </c>
      <c r="S115" t="e">
        <f>AND('Planilla_General_03-12-2012_9_3'!B1826,"AAAAAG798RI=")</f>
        <v>#VALUE!</v>
      </c>
      <c r="T115" t="e">
        <f>AND('Planilla_General_03-12-2012_9_3'!C1826,"AAAAAG798RM=")</f>
        <v>#VALUE!</v>
      </c>
      <c r="U115" t="e">
        <f>AND('Planilla_General_03-12-2012_9_3'!D1826,"AAAAAG798RQ=")</f>
        <v>#VALUE!</v>
      </c>
      <c r="V115" t="e">
        <f>AND('Planilla_General_03-12-2012_9_3'!E1826,"AAAAAG798RU=")</f>
        <v>#VALUE!</v>
      </c>
      <c r="W115" t="e">
        <f>AND('Planilla_General_03-12-2012_9_3'!F1826,"AAAAAG798RY=")</f>
        <v>#VALUE!</v>
      </c>
      <c r="X115" t="e">
        <f>AND('Planilla_General_03-12-2012_9_3'!G1826,"AAAAAG798Rc=")</f>
        <v>#VALUE!</v>
      </c>
      <c r="Y115" t="e">
        <f>AND('Planilla_General_03-12-2012_9_3'!H1826,"AAAAAG798Rg=")</f>
        <v>#VALUE!</v>
      </c>
      <c r="Z115" t="e">
        <f>AND('Planilla_General_03-12-2012_9_3'!I1826,"AAAAAG798Rk=")</f>
        <v>#VALUE!</v>
      </c>
      <c r="AA115" t="e">
        <f>AND('Planilla_General_03-12-2012_9_3'!J1826,"AAAAAG798Ro=")</f>
        <v>#VALUE!</v>
      </c>
      <c r="AB115" t="e">
        <f>AND('Planilla_General_03-12-2012_9_3'!K1826,"AAAAAG798Rs=")</f>
        <v>#VALUE!</v>
      </c>
      <c r="AC115" t="e">
        <f>AND('Planilla_General_03-12-2012_9_3'!L1826,"AAAAAG798Rw=")</f>
        <v>#VALUE!</v>
      </c>
      <c r="AD115" t="e">
        <f>AND('Planilla_General_03-12-2012_9_3'!M1826,"AAAAAG798R0=")</f>
        <v>#VALUE!</v>
      </c>
      <c r="AE115" t="e">
        <f>AND('Planilla_General_03-12-2012_9_3'!N1826,"AAAAAG798R4=")</f>
        <v>#VALUE!</v>
      </c>
      <c r="AF115" t="e">
        <f>AND('Planilla_General_03-12-2012_9_3'!O1826,"AAAAAG798R8=")</f>
        <v>#VALUE!</v>
      </c>
      <c r="AG115">
        <f>IF('Planilla_General_03-12-2012_9_3'!1827:1827,"AAAAAG798SA=",0)</f>
        <v>0</v>
      </c>
      <c r="AH115" t="e">
        <f>AND('Planilla_General_03-12-2012_9_3'!A1827,"AAAAAG798SE=")</f>
        <v>#VALUE!</v>
      </c>
      <c r="AI115" t="e">
        <f>AND('Planilla_General_03-12-2012_9_3'!B1827,"AAAAAG798SI=")</f>
        <v>#VALUE!</v>
      </c>
      <c r="AJ115" t="e">
        <f>AND('Planilla_General_03-12-2012_9_3'!C1827,"AAAAAG798SM=")</f>
        <v>#VALUE!</v>
      </c>
      <c r="AK115" t="e">
        <f>AND('Planilla_General_03-12-2012_9_3'!D1827,"AAAAAG798SQ=")</f>
        <v>#VALUE!</v>
      </c>
      <c r="AL115" t="e">
        <f>AND('Planilla_General_03-12-2012_9_3'!E1827,"AAAAAG798SU=")</f>
        <v>#VALUE!</v>
      </c>
      <c r="AM115" t="e">
        <f>AND('Planilla_General_03-12-2012_9_3'!F1827,"AAAAAG798SY=")</f>
        <v>#VALUE!</v>
      </c>
      <c r="AN115" t="e">
        <f>AND('Planilla_General_03-12-2012_9_3'!G1827,"AAAAAG798Sc=")</f>
        <v>#VALUE!</v>
      </c>
      <c r="AO115" t="e">
        <f>AND('Planilla_General_03-12-2012_9_3'!H1827,"AAAAAG798Sg=")</f>
        <v>#VALUE!</v>
      </c>
      <c r="AP115" t="e">
        <f>AND('Planilla_General_03-12-2012_9_3'!I1827,"AAAAAG798Sk=")</f>
        <v>#VALUE!</v>
      </c>
      <c r="AQ115" t="e">
        <f>AND('Planilla_General_03-12-2012_9_3'!J1827,"AAAAAG798So=")</f>
        <v>#VALUE!</v>
      </c>
      <c r="AR115" t="e">
        <f>AND('Planilla_General_03-12-2012_9_3'!K1827,"AAAAAG798Ss=")</f>
        <v>#VALUE!</v>
      </c>
      <c r="AS115" t="e">
        <f>AND('Planilla_General_03-12-2012_9_3'!L1827,"AAAAAG798Sw=")</f>
        <v>#VALUE!</v>
      </c>
      <c r="AT115" t="e">
        <f>AND('Planilla_General_03-12-2012_9_3'!M1827,"AAAAAG798S0=")</f>
        <v>#VALUE!</v>
      </c>
      <c r="AU115" t="e">
        <f>AND('Planilla_General_03-12-2012_9_3'!N1827,"AAAAAG798S4=")</f>
        <v>#VALUE!</v>
      </c>
      <c r="AV115" t="e">
        <f>AND('Planilla_General_03-12-2012_9_3'!O1827,"AAAAAG798S8=")</f>
        <v>#VALUE!</v>
      </c>
      <c r="AW115">
        <f>IF('Planilla_General_03-12-2012_9_3'!1828:1828,"AAAAAG798TA=",0)</f>
        <v>0</v>
      </c>
      <c r="AX115" t="e">
        <f>AND('Planilla_General_03-12-2012_9_3'!A1828,"AAAAAG798TE=")</f>
        <v>#VALUE!</v>
      </c>
      <c r="AY115" t="e">
        <f>AND('Planilla_General_03-12-2012_9_3'!B1828,"AAAAAG798TI=")</f>
        <v>#VALUE!</v>
      </c>
      <c r="AZ115" t="e">
        <f>AND('Planilla_General_03-12-2012_9_3'!C1828,"AAAAAG798TM=")</f>
        <v>#VALUE!</v>
      </c>
      <c r="BA115" t="e">
        <f>AND('Planilla_General_03-12-2012_9_3'!D1828,"AAAAAG798TQ=")</f>
        <v>#VALUE!</v>
      </c>
      <c r="BB115" t="e">
        <f>AND('Planilla_General_03-12-2012_9_3'!E1828,"AAAAAG798TU=")</f>
        <v>#VALUE!</v>
      </c>
      <c r="BC115" t="e">
        <f>AND('Planilla_General_03-12-2012_9_3'!F1828,"AAAAAG798TY=")</f>
        <v>#VALUE!</v>
      </c>
      <c r="BD115" t="e">
        <f>AND('Planilla_General_03-12-2012_9_3'!G1828,"AAAAAG798Tc=")</f>
        <v>#VALUE!</v>
      </c>
      <c r="BE115" t="e">
        <f>AND('Planilla_General_03-12-2012_9_3'!H1828,"AAAAAG798Tg=")</f>
        <v>#VALUE!</v>
      </c>
      <c r="BF115" t="e">
        <f>AND('Planilla_General_03-12-2012_9_3'!I1828,"AAAAAG798Tk=")</f>
        <v>#VALUE!</v>
      </c>
      <c r="BG115" t="e">
        <f>AND('Planilla_General_03-12-2012_9_3'!J1828,"AAAAAG798To=")</f>
        <v>#VALUE!</v>
      </c>
      <c r="BH115" t="e">
        <f>AND('Planilla_General_03-12-2012_9_3'!K1828,"AAAAAG798Ts=")</f>
        <v>#VALUE!</v>
      </c>
      <c r="BI115" t="e">
        <f>AND('Planilla_General_03-12-2012_9_3'!L1828,"AAAAAG798Tw=")</f>
        <v>#VALUE!</v>
      </c>
      <c r="BJ115" t="e">
        <f>AND('Planilla_General_03-12-2012_9_3'!M1828,"AAAAAG798T0=")</f>
        <v>#VALUE!</v>
      </c>
      <c r="BK115" t="e">
        <f>AND('Planilla_General_03-12-2012_9_3'!N1828,"AAAAAG798T4=")</f>
        <v>#VALUE!</v>
      </c>
      <c r="BL115" t="e">
        <f>AND('Planilla_General_03-12-2012_9_3'!O1828,"AAAAAG798T8=")</f>
        <v>#VALUE!</v>
      </c>
      <c r="BM115">
        <f>IF('Planilla_General_03-12-2012_9_3'!1829:1829,"AAAAAG798UA=",0)</f>
        <v>0</v>
      </c>
      <c r="BN115" t="e">
        <f>AND('Planilla_General_03-12-2012_9_3'!A1829,"AAAAAG798UE=")</f>
        <v>#VALUE!</v>
      </c>
      <c r="BO115" t="e">
        <f>AND('Planilla_General_03-12-2012_9_3'!B1829,"AAAAAG798UI=")</f>
        <v>#VALUE!</v>
      </c>
      <c r="BP115" t="e">
        <f>AND('Planilla_General_03-12-2012_9_3'!C1829,"AAAAAG798UM=")</f>
        <v>#VALUE!</v>
      </c>
      <c r="BQ115" t="e">
        <f>AND('Planilla_General_03-12-2012_9_3'!D1829,"AAAAAG798UQ=")</f>
        <v>#VALUE!</v>
      </c>
      <c r="BR115" t="e">
        <f>AND('Planilla_General_03-12-2012_9_3'!E1829,"AAAAAG798UU=")</f>
        <v>#VALUE!</v>
      </c>
      <c r="BS115" t="e">
        <f>AND('Planilla_General_03-12-2012_9_3'!F1829,"AAAAAG798UY=")</f>
        <v>#VALUE!</v>
      </c>
      <c r="BT115" t="e">
        <f>AND('Planilla_General_03-12-2012_9_3'!G1829,"AAAAAG798Uc=")</f>
        <v>#VALUE!</v>
      </c>
      <c r="BU115" t="e">
        <f>AND('Planilla_General_03-12-2012_9_3'!H1829,"AAAAAG798Ug=")</f>
        <v>#VALUE!</v>
      </c>
      <c r="BV115" t="e">
        <f>AND('Planilla_General_03-12-2012_9_3'!I1829,"AAAAAG798Uk=")</f>
        <v>#VALUE!</v>
      </c>
      <c r="BW115" t="e">
        <f>AND('Planilla_General_03-12-2012_9_3'!J1829,"AAAAAG798Uo=")</f>
        <v>#VALUE!</v>
      </c>
      <c r="BX115" t="e">
        <f>AND('Planilla_General_03-12-2012_9_3'!K1829,"AAAAAG798Us=")</f>
        <v>#VALUE!</v>
      </c>
      <c r="BY115" t="e">
        <f>AND('Planilla_General_03-12-2012_9_3'!L1829,"AAAAAG798Uw=")</f>
        <v>#VALUE!</v>
      </c>
      <c r="BZ115" t="e">
        <f>AND('Planilla_General_03-12-2012_9_3'!M1829,"AAAAAG798U0=")</f>
        <v>#VALUE!</v>
      </c>
      <c r="CA115" t="e">
        <f>AND('Planilla_General_03-12-2012_9_3'!N1829,"AAAAAG798U4=")</f>
        <v>#VALUE!</v>
      </c>
      <c r="CB115" t="e">
        <f>AND('Planilla_General_03-12-2012_9_3'!O1829,"AAAAAG798U8=")</f>
        <v>#VALUE!</v>
      </c>
      <c r="CC115">
        <f>IF('Planilla_General_03-12-2012_9_3'!1830:1830,"AAAAAG798VA=",0)</f>
        <v>0</v>
      </c>
      <c r="CD115" t="e">
        <f>AND('Planilla_General_03-12-2012_9_3'!A1830,"AAAAAG798VE=")</f>
        <v>#VALUE!</v>
      </c>
      <c r="CE115" t="e">
        <f>AND('Planilla_General_03-12-2012_9_3'!B1830,"AAAAAG798VI=")</f>
        <v>#VALUE!</v>
      </c>
      <c r="CF115" t="e">
        <f>AND('Planilla_General_03-12-2012_9_3'!C1830,"AAAAAG798VM=")</f>
        <v>#VALUE!</v>
      </c>
      <c r="CG115" t="e">
        <f>AND('Planilla_General_03-12-2012_9_3'!D1830,"AAAAAG798VQ=")</f>
        <v>#VALUE!</v>
      </c>
      <c r="CH115" t="e">
        <f>AND('Planilla_General_03-12-2012_9_3'!E1830,"AAAAAG798VU=")</f>
        <v>#VALUE!</v>
      </c>
      <c r="CI115" t="e">
        <f>AND('Planilla_General_03-12-2012_9_3'!F1830,"AAAAAG798VY=")</f>
        <v>#VALUE!</v>
      </c>
      <c r="CJ115" t="e">
        <f>AND('Planilla_General_03-12-2012_9_3'!G1830,"AAAAAG798Vc=")</f>
        <v>#VALUE!</v>
      </c>
      <c r="CK115" t="e">
        <f>AND('Planilla_General_03-12-2012_9_3'!H1830,"AAAAAG798Vg=")</f>
        <v>#VALUE!</v>
      </c>
      <c r="CL115" t="e">
        <f>AND('Planilla_General_03-12-2012_9_3'!I1830,"AAAAAG798Vk=")</f>
        <v>#VALUE!</v>
      </c>
      <c r="CM115" t="e">
        <f>AND('Planilla_General_03-12-2012_9_3'!J1830,"AAAAAG798Vo=")</f>
        <v>#VALUE!</v>
      </c>
      <c r="CN115" t="e">
        <f>AND('Planilla_General_03-12-2012_9_3'!K1830,"AAAAAG798Vs=")</f>
        <v>#VALUE!</v>
      </c>
      <c r="CO115" t="e">
        <f>AND('Planilla_General_03-12-2012_9_3'!L1830,"AAAAAG798Vw=")</f>
        <v>#VALUE!</v>
      </c>
      <c r="CP115" t="e">
        <f>AND('Planilla_General_03-12-2012_9_3'!M1830,"AAAAAG798V0=")</f>
        <v>#VALUE!</v>
      </c>
      <c r="CQ115" t="e">
        <f>AND('Planilla_General_03-12-2012_9_3'!N1830,"AAAAAG798V4=")</f>
        <v>#VALUE!</v>
      </c>
      <c r="CR115" t="e">
        <f>AND('Planilla_General_03-12-2012_9_3'!O1830,"AAAAAG798V8=")</f>
        <v>#VALUE!</v>
      </c>
      <c r="CS115">
        <f>IF('Planilla_General_03-12-2012_9_3'!1831:1831,"AAAAAG798WA=",0)</f>
        <v>0</v>
      </c>
      <c r="CT115" t="e">
        <f>AND('Planilla_General_03-12-2012_9_3'!A1831,"AAAAAG798WE=")</f>
        <v>#VALUE!</v>
      </c>
      <c r="CU115" t="e">
        <f>AND('Planilla_General_03-12-2012_9_3'!B1831,"AAAAAG798WI=")</f>
        <v>#VALUE!</v>
      </c>
      <c r="CV115" t="e">
        <f>AND('Planilla_General_03-12-2012_9_3'!C1831,"AAAAAG798WM=")</f>
        <v>#VALUE!</v>
      </c>
      <c r="CW115" t="e">
        <f>AND('Planilla_General_03-12-2012_9_3'!D1831,"AAAAAG798WQ=")</f>
        <v>#VALUE!</v>
      </c>
      <c r="CX115" t="e">
        <f>AND('Planilla_General_03-12-2012_9_3'!E1831,"AAAAAG798WU=")</f>
        <v>#VALUE!</v>
      </c>
      <c r="CY115" t="e">
        <f>AND('Planilla_General_03-12-2012_9_3'!F1831,"AAAAAG798WY=")</f>
        <v>#VALUE!</v>
      </c>
      <c r="CZ115" t="e">
        <f>AND('Planilla_General_03-12-2012_9_3'!G1831,"AAAAAG798Wc=")</f>
        <v>#VALUE!</v>
      </c>
      <c r="DA115" t="e">
        <f>AND('Planilla_General_03-12-2012_9_3'!H1831,"AAAAAG798Wg=")</f>
        <v>#VALUE!</v>
      </c>
      <c r="DB115" t="e">
        <f>AND('Planilla_General_03-12-2012_9_3'!I1831,"AAAAAG798Wk=")</f>
        <v>#VALUE!</v>
      </c>
      <c r="DC115" t="e">
        <f>AND('Planilla_General_03-12-2012_9_3'!J1831,"AAAAAG798Wo=")</f>
        <v>#VALUE!</v>
      </c>
      <c r="DD115" t="e">
        <f>AND('Planilla_General_03-12-2012_9_3'!K1831,"AAAAAG798Ws=")</f>
        <v>#VALUE!</v>
      </c>
      <c r="DE115" t="e">
        <f>AND('Planilla_General_03-12-2012_9_3'!L1831,"AAAAAG798Ww=")</f>
        <v>#VALUE!</v>
      </c>
      <c r="DF115" t="e">
        <f>AND('Planilla_General_03-12-2012_9_3'!M1831,"AAAAAG798W0=")</f>
        <v>#VALUE!</v>
      </c>
      <c r="DG115" t="e">
        <f>AND('Planilla_General_03-12-2012_9_3'!N1831,"AAAAAG798W4=")</f>
        <v>#VALUE!</v>
      </c>
      <c r="DH115" t="e">
        <f>AND('Planilla_General_03-12-2012_9_3'!O1831,"AAAAAG798W8=")</f>
        <v>#VALUE!</v>
      </c>
      <c r="DI115">
        <f>IF('Planilla_General_03-12-2012_9_3'!1832:1832,"AAAAAG798XA=",0)</f>
        <v>0</v>
      </c>
      <c r="DJ115" t="e">
        <f>AND('Planilla_General_03-12-2012_9_3'!A1832,"AAAAAG798XE=")</f>
        <v>#VALUE!</v>
      </c>
      <c r="DK115" t="e">
        <f>AND('Planilla_General_03-12-2012_9_3'!B1832,"AAAAAG798XI=")</f>
        <v>#VALUE!</v>
      </c>
      <c r="DL115" t="e">
        <f>AND('Planilla_General_03-12-2012_9_3'!C1832,"AAAAAG798XM=")</f>
        <v>#VALUE!</v>
      </c>
      <c r="DM115" t="e">
        <f>AND('Planilla_General_03-12-2012_9_3'!D1832,"AAAAAG798XQ=")</f>
        <v>#VALUE!</v>
      </c>
      <c r="DN115" t="e">
        <f>AND('Planilla_General_03-12-2012_9_3'!E1832,"AAAAAG798XU=")</f>
        <v>#VALUE!</v>
      </c>
      <c r="DO115" t="e">
        <f>AND('Planilla_General_03-12-2012_9_3'!F1832,"AAAAAG798XY=")</f>
        <v>#VALUE!</v>
      </c>
      <c r="DP115" t="e">
        <f>AND('Planilla_General_03-12-2012_9_3'!G1832,"AAAAAG798Xc=")</f>
        <v>#VALUE!</v>
      </c>
      <c r="DQ115" t="e">
        <f>AND('Planilla_General_03-12-2012_9_3'!H1832,"AAAAAG798Xg=")</f>
        <v>#VALUE!</v>
      </c>
      <c r="DR115" t="e">
        <f>AND('Planilla_General_03-12-2012_9_3'!I1832,"AAAAAG798Xk=")</f>
        <v>#VALUE!</v>
      </c>
      <c r="DS115" t="e">
        <f>AND('Planilla_General_03-12-2012_9_3'!J1832,"AAAAAG798Xo=")</f>
        <v>#VALUE!</v>
      </c>
      <c r="DT115" t="e">
        <f>AND('Planilla_General_03-12-2012_9_3'!K1832,"AAAAAG798Xs=")</f>
        <v>#VALUE!</v>
      </c>
      <c r="DU115" t="e">
        <f>AND('Planilla_General_03-12-2012_9_3'!L1832,"AAAAAG798Xw=")</f>
        <v>#VALUE!</v>
      </c>
      <c r="DV115" t="e">
        <f>AND('Planilla_General_03-12-2012_9_3'!M1832,"AAAAAG798X0=")</f>
        <v>#VALUE!</v>
      </c>
      <c r="DW115" t="e">
        <f>AND('Planilla_General_03-12-2012_9_3'!N1832,"AAAAAG798X4=")</f>
        <v>#VALUE!</v>
      </c>
      <c r="DX115" t="e">
        <f>AND('Planilla_General_03-12-2012_9_3'!O1832,"AAAAAG798X8=")</f>
        <v>#VALUE!</v>
      </c>
      <c r="DY115">
        <f>IF('Planilla_General_03-12-2012_9_3'!1833:1833,"AAAAAG798YA=",0)</f>
        <v>0</v>
      </c>
      <c r="DZ115" t="e">
        <f>AND('Planilla_General_03-12-2012_9_3'!A1833,"AAAAAG798YE=")</f>
        <v>#VALUE!</v>
      </c>
      <c r="EA115" t="e">
        <f>AND('Planilla_General_03-12-2012_9_3'!B1833,"AAAAAG798YI=")</f>
        <v>#VALUE!</v>
      </c>
      <c r="EB115" t="e">
        <f>AND('Planilla_General_03-12-2012_9_3'!C1833,"AAAAAG798YM=")</f>
        <v>#VALUE!</v>
      </c>
      <c r="EC115" t="e">
        <f>AND('Planilla_General_03-12-2012_9_3'!D1833,"AAAAAG798YQ=")</f>
        <v>#VALUE!</v>
      </c>
      <c r="ED115" t="e">
        <f>AND('Planilla_General_03-12-2012_9_3'!E1833,"AAAAAG798YU=")</f>
        <v>#VALUE!</v>
      </c>
      <c r="EE115" t="e">
        <f>AND('Planilla_General_03-12-2012_9_3'!F1833,"AAAAAG798YY=")</f>
        <v>#VALUE!</v>
      </c>
      <c r="EF115" t="e">
        <f>AND('Planilla_General_03-12-2012_9_3'!G1833,"AAAAAG798Yc=")</f>
        <v>#VALUE!</v>
      </c>
      <c r="EG115" t="e">
        <f>AND('Planilla_General_03-12-2012_9_3'!H1833,"AAAAAG798Yg=")</f>
        <v>#VALUE!</v>
      </c>
      <c r="EH115" t="e">
        <f>AND('Planilla_General_03-12-2012_9_3'!I1833,"AAAAAG798Yk=")</f>
        <v>#VALUE!</v>
      </c>
      <c r="EI115" t="e">
        <f>AND('Planilla_General_03-12-2012_9_3'!J1833,"AAAAAG798Yo=")</f>
        <v>#VALUE!</v>
      </c>
      <c r="EJ115" t="e">
        <f>AND('Planilla_General_03-12-2012_9_3'!K1833,"AAAAAG798Ys=")</f>
        <v>#VALUE!</v>
      </c>
      <c r="EK115" t="e">
        <f>AND('Planilla_General_03-12-2012_9_3'!L1833,"AAAAAG798Yw=")</f>
        <v>#VALUE!</v>
      </c>
      <c r="EL115" t="e">
        <f>AND('Planilla_General_03-12-2012_9_3'!M1833,"AAAAAG798Y0=")</f>
        <v>#VALUE!</v>
      </c>
      <c r="EM115" t="e">
        <f>AND('Planilla_General_03-12-2012_9_3'!N1833,"AAAAAG798Y4=")</f>
        <v>#VALUE!</v>
      </c>
      <c r="EN115" t="e">
        <f>AND('Planilla_General_03-12-2012_9_3'!O1833,"AAAAAG798Y8=")</f>
        <v>#VALUE!</v>
      </c>
      <c r="EO115">
        <f>IF('Planilla_General_03-12-2012_9_3'!1834:1834,"AAAAAG798ZA=",0)</f>
        <v>0</v>
      </c>
      <c r="EP115" t="e">
        <f>AND('Planilla_General_03-12-2012_9_3'!A1834,"AAAAAG798ZE=")</f>
        <v>#VALUE!</v>
      </c>
      <c r="EQ115" t="e">
        <f>AND('Planilla_General_03-12-2012_9_3'!B1834,"AAAAAG798ZI=")</f>
        <v>#VALUE!</v>
      </c>
      <c r="ER115" t="e">
        <f>AND('Planilla_General_03-12-2012_9_3'!C1834,"AAAAAG798ZM=")</f>
        <v>#VALUE!</v>
      </c>
      <c r="ES115" t="e">
        <f>AND('Planilla_General_03-12-2012_9_3'!D1834,"AAAAAG798ZQ=")</f>
        <v>#VALUE!</v>
      </c>
      <c r="ET115" t="e">
        <f>AND('Planilla_General_03-12-2012_9_3'!E1834,"AAAAAG798ZU=")</f>
        <v>#VALUE!</v>
      </c>
      <c r="EU115" t="e">
        <f>AND('Planilla_General_03-12-2012_9_3'!F1834,"AAAAAG798ZY=")</f>
        <v>#VALUE!</v>
      </c>
      <c r="EV115" t="e">
        <f>AND('Planilla_General_03-12-2012_9_3'!G1834,"AAAAAG798Zc=")</f>
        <v>#VALUE!</v>
      </c>
      <c r="EW115" t="e">
        <f>AND('Planilla_General_03-12-2012_9_3'!H1834,"AAAAAG798Zg=")</f>
        <v>#VALUE!</v>
      </c>
      <c r="EX115" t="e">
        <f>AND('Planilla_General_03-12-2012_9_3'!I1834,"AAAAAG798Zk=")</f>
        <v>#VALUE!</v>
      </c>
      <c r="EY115" t="e">
        <f>AND('Planilla_General_03-12-2012_9_3'!J1834,"AAAAAG798Zo=")</f>
        <v>#VALUE!</v>
      </c>
      <c r="EZ115" t="e">
        <f>AND('Planilla_General_03-12-2012_9_3'!K1834,"AAAAAG798Zs=")</f>
        <v>#VALUE!</v>
      </c>
      <c r="FA115" t="e">
        <f>AND('Planilla_General_03-12-2012_9_3'!L1834,"AAAAAG798Zw=")</f>
        <v>#VALUE!</v>
      </c>
      <c r="FB115" t="e">
        <f>AND('Planilla_General_03-12-2012_9_3'!M1834,"AAAAAG798Z0=")</f>
        <v>#VALUE!</v>
      </c>
      <c r="FC115" t="e">
        <f>AND('Planilla_General_03-12-2012_9_3'!N1834,"AAAAAG798Z4=")</f>
        <v>#VALUE!</v>
      </c>
      <c r="FD115" t="e">
        <f>AND('Planilla_General_03-12-2012_9_3'!O1834,"AAAAAG798Z8=")</f>
        <v>#VALUE!</v>
      </c>
      <c r="FE115">
        <f>IF('Planilla_General_03-12-2012_9_3'!1835:1835,"AAAAAG798aA=",0)</f>
        <v>0</v>
      </c>
      <c r="FF115" t="e">
        <f>AND('Planilla_General_03-12-2012_9_3'!A1835,"AAAAAG798aE=")</f>
        <v>#VALUE!</v>
      </c>
      <c r="FG115" t="e">
        <f>AND('Planilla_General_03-12-2012_9_3'!B1835,"AAAAAG798aI=")</f>
        <v>#VALUE!</v>
      </c>
      <c r="FH115" t="e">
        <f>AND('Planilla_General_03-12-2012_9_3'!C1835,"AAAAAG798aM=")</f>
        <v>#VALUE!</v>
      </c>
      <c r="FI115" t="e">
        <f>AND('Planilla_General_03-12-2012_9_3'!D1835,"AAAAAG798aQ=")</f>
        <v>#VALUE!</v>
      </c>
      <c r="FJ115" t="e">
        <f>AND('Planilla_General_03-12-2012_9_3'!E1835,"AAAAAG798aU=")</f>
        <v>#VALUE!</v>
      </c>
      <c r="FK115" t="e">
        <f>AND('Planilla_General_03-12-2012_9_3'!F1835,"AAAAAG798aY=")</f>
        <v>#VALUE!</v>
      </c>
      <c r="FL115" t="e">
        <f>AND('Planilla_General_03-12-2012_9_3'!G1835,"AAAAAG798ac=")</f>
        <v>#VALUE!</v>
      </c>
      <c r="FM115" t="e">
        <f>AND('Planilla_General_03-12-2012_9_3'!H1835,"AAAAAG798ag=")</f>
        <v>#VALUE!</v>
      </c>
      <c r="FN115" t="e">
        <f>AND('Planilla_General_03-12-2012_9_3'!I1835,"AAAAAG798ak=")</f>
        <v>#VALUE!</v>
      </c>
      <c r="FO115" t="e">
        <f>AND('Planilla_General_03-12-2012_9_3'!J1835,"AAAAAG798ao=")</f>
        <v>#VALUE!</v>
      </c>
      <c r="FP115" t="e">
        <f>AND('Planilla_General_03-12-2012_9_3'!K1835,"AAAAAG798as=")</f>
        <v>#VALUE!</v>
      </c>
      <c r="FQ115" t="e">
        <f>AND('Planilla_General_03-12-2012_9_3'!L1835,"AAAAAG798aw=")</f>
        <v>#VALUE!</v>
      </c>
      <c r="FR115" t="e">
        <f>AND('Planilla_General_03-12-2012_9_3'!M1835,"AAAAAG798a0=")</f>
        <v>#VALUE!</v>
      </c>
      <c r="FS115" t="e">
        <f>AND('Planilla_General_03-12-2012_9_3'!N1835,"AAAAAG798a4=")</f>
        <v>#VALUE!</v>
      </c>
      <c r="FT115" t="e">
        <f>AND('Planilla_General_03-12-2012_9_3'!O1835,"AAAAAG798a8=")</f>
        <v>#VALUE!</v>
      </c>
      <c r="FU115">
        <f>IF('Planilla_General_03-12-2012_9_3'!1836:1836,"AAAAAG798bA=",0)</f>
        <v>0</v>
      </c>
      <c r="FV115" t="e">
        <f>AND('Planilla_General_03-12-2012_9_3'!A1836,"AAAAAG798bE=")</f>
        <v>#VALUE!</v>
      </c>
      <c r="FW115" t="e">
        <f>AND('Planilla_General_03-12-2012_9_3'!B1836,"AAAAAG798bI=")</f>
        <v>#VALUE!</v>
      </c>
      <c r="FX115" t="e">
        <f>AND('Planilla_General_03-12-2012_9_3'!C1836,"AAAAAG798bM=")</f>
        <v>#VALUE!</v>
      </c>
      <c r="FY115" t="e">
        <f>AND('Planilla_General_03-12-2012_9_3'!D1836,"AAAAAG798bQ=")</f>
        <v>#VALUE!</v>
      </c>
      <c r="FZ115" t="e">
        <f>AND('Planilla_General_03-12-2012_9_3'!E1836,"AAAAAG798bU=")</f>
        <v>#VALUE!</v>
      </c>
      <c r="GA115" t="e">
        <f>AND('Planilla_General_03-12-2012_9_3'!F1836,"AAAAAG798bY=")</f>
        <v>#VALUE!</v>
      </c>
      <c r="GB115" t="e">
        <f>AND('Planilla_General_03-12-2012_9_3'!G1836,"AAAAAG798bc=")</f>
        <v>#VALUE!</v>
      </c>
      <c r="GC115" t="e">
        <f>AND('Planilla_General_03-12-2012_9_3'!H1836,"AAAAAG798bg=")</f>
        <v>#VALUE!</v>
      </c>
      <c r="GD115" t="e">
        <f>AND('Planilla_General_03-12-2012_9_3'!I1836,"AAAAAG798bk=")</f>
        <v>#VALUE!</v>
      </c>
      <c r="GE115" t="e">
        <f>AND('Planilla_General_03-12-2012_9_3'!J1836,"AAAAAG798bo=")</f>
        <v>#VALUE!</v>
      </c>
      <c r="GF115" t="e">
        <f>AND('Planilla_General_03-12-2012_9_3'!K1836,"AAAAAG798bs=")</f>
        <v>#VALUE!</v>
      </c>
      <c r="GG115" t="e">
        <f>AND('Planilla_General_03-12-2012_9_3'!L1836,"AAAAAG798bw=")</f>
        <v>#VALUE!</v>
      </c>
      <c r="GH115" t="e">
        <f>AND('Planilla_General_03-12-2012_9_3'!M1836,"AAAAAG798b0=")</f>
        <v>#VALUE!</v>
      </c>
      <c r="GI115" t="e">
        <f>AND('Planilla_General_03-12-2012_9_3'!N1836,"AAAAAG798b4=")</f>
        <v>#VALUE!</v>
      </c>
      <c r="GJ115" t="e">
        <f>AND('Planilla_General_03-12-2012_9_3'!O1836,"AAAAAG798b8=")</f>
        <v>#VALUE!</v>
      </c>
      <c r="GK115">
        <f>IF('Planilla_General_03-12-2012_9_3'!1837:1837,"AAAAAG798cA=",0)</f>
        <v>0</v>
      </c>
      <c r="GL115" t="e">
        <f>AND('Planilla_General_03-12-2012_9_3'!A1837,"AAAAAG798cE=")</f>
        <v>#VALUE!</v>
      </c>
      <c r="GM115" t="e">
        <f>AND('Planilla_General_03-12-2012_9_3'!B1837,"AAAAAG798cI=")</f>
        <v>#VALUE!</v>
      </c>
      <c r="GN115" t="e">
        <f>AND('Planilla_General_03-12-2012_9_3'!C1837,"AAAAAG798cM=")</f>
        <v>#VALUE!</v>
      </c>
      <c r="GO115" t="e">
        <f>AND('Planilla_General_03-12-2012_9_3'!D1837,"AAAAAG798cQ=")</f>
        <v>#VALUE!</v>
      </c>
      <c r="GP115" t="e">
        <f>AND('Planilla_General_03-12-2012_9_3'!E1837,"AAAAAG798cU=")</f>
        <v>#VALUE!</v>
      </c>
      <c r="GQ115" t="e">
        <f>AND('Planilla_General_03-12-2012_9_3'!F1837,"AAAAAG798cY=")</f>
        <v>#VALUE!</v>
      </c>
      <c r="GR115" t="e">
        <f>AND('Planilla_General_03-12-2012_9_3'!G1837,"AAAAAG798cc=")</f>
        <v>#VALUE!</v>
      </c>
      <c r="GS115" t="e">
        <f>AND('Planilla_General_03-12-2012_9_3'!H1837,"AAAAAG798cg=")</f>
        <v>#VALUE!</v>
      </c>
      <c r="GT115" t="e">
        <f>AND('Planilla_General_03-12-2012_9_3'!I1837,"AAAAAG798ck=")</f>
        <v>#VALUE!</v>
      </c>
      <c r="GU115" t="e">
        <f>AND('Planilla_General_03-12-2012_9_3'!J1837,"AAAAAG798co=")</f>
        <v>#VALUE!</v>
      </c>
      <c r="GV115" t="e">
        <f>AND('Planilla_General_03-12-2012_9_3'!K1837,"AAAAAG798cs=")</f>
        <v>#VALUE!</v>
      </c>
      <c r="GW115" t="e">
        <f>AND('Planilla_General_03-12-2012_9_3'!L1837,"AAAAAG798cw=")</f>
        <v>#VALUE!</v>
      </c>
      <c r="GX115" t="e">
        <f>AND('Planilla_General_03-12-2012_9_3'!M1837,"AAAAAG798c0=")</f>
        <v>#VALUE!</v>
      </c>
      <c r="GY115" t="e">
        <f>AND('Planilla_General_03-12-2012_9_3'!N1837,"AAAAAG798c4=")</f>
        <v>#VALUE!</v>
      </c>
      <c r="GZ115" t="e">
        <f>AND('Planilla_General_03-12-2012_9_3'!O1837,"AAAAAG798c8=")</f>
        <v>#VALUE!</v>
      </c>
      <c r="HA115">
        <f>IF('Planilla_General_03-12-2012_9_3'!1838:1838,"AAAAAG798dA=",0)</f>
        <v>0</v>
      </c>
      <c r="HB115" t="e">
        <f>AND('Planilla_General_03-12-2012_9_3'!A1838,"AAAAAG798dE=")</f>
        <v>#VALUE!</v>
      </c>
      <c r="HC115" t="e">
        <f>AND('Planilla_General_03-12-2012_9_3'!B1838,"AAAAAG798dI=")</f>
        <v>#VALUE!</v>
      </c>
      <c r="HD115" t="e">
        <f>AND('Planilla_General_03-12-2012_9_3'!C1838,"AAAAAG798dM=")</f>
        <v>#VALUE!</v>
      </c>
      <c r="HE115" t="e">
        <f>AND('Planilla_General_03-12-2012_9_3'!D1838,"AAAAAG798dQ=")</f>
        <v>#VALUE!</v>
      </c>
      <c r="HF115" t="e">
        <f>AND('Planilla_General_03-12-2012_9_3'!E1838,"AAAAAG798dU=")</f>
        <v>#VALUE!</v>
      </c>
      <c r="HG115" t="e">
        <f>AND('Planilla_General_03-12-2012_9_3'!F1838,"AAAAAG798dY=")</f>
        <v>#VALUE!</v>
      </c>
      <c r="HH115" t="e">
        <f>AND('Planilla_General_03-12-2012_9_3'!G1838,"AAAAAG798dc=")</f>
        <v>#VALUE!</v>
      </c>
      <c r="HI115" t="e">
        <f>AND('Planilla_General_03-12-2012_9_3'!H1838,"AAAAAG798dg=")</f>
        <v>#VALUE!</v>
      </c>
      <c r="HJ115" t="e">
        <f>AND('Planilla_General_03-12-2012_9_3'!I1838,"AAAAAG798dk=")</f>
        <v>#VALUE!</v>
      </c>
      <c r="HK115" t="e">
        <f>AND('Planilla_General_03-12-2012_9_3'!J1838,"AAAAAG798do=")</f>
        <v>#VALUE!</v>
      </c>
      <c r="HL115" t="e">
        <f>AND('Planilla_General_03-12-2012_9_3'!K1838,"AAAAAG798ds=")</f>
        <v>#VALUE!</v>
      </c>
      <c r="HM115" t="e">
        <f>AND('Planilla_General_03-12-2012_9_3'!L1838,"AAAAAG798dw=")</f>
        <v>#VALUE!</v>
      </c>
      <c r="HN115" t="e">
        <f>AND('Planilla_General_03-12-2012_9_3'!M1838,"AAAAAG798d0=")</f>
        <v>#VALUE!</v>
      </c>
      <c r="HO115" t="e">
        <f>AND('Planilla_General_03-12-2012_9_3'!N1838,"AAAAAG798d4=")</f>
        <v>#VALUE!</v>
      </c>
      <c r="HP115" t="e">
        <f>AND('Planilla_General_03-12-2012_9_3'!O1838,"AAAAAG798d8=")</f>
        <v>#VALUE!</v>
      </c>
      <c r="HQ115">
        <f>IF('Planilla_General_03-12-2012_9_3'!1839:1839,"AAAAAG798eA=",0)</f>
        <v>0</v>
      </c>
      <c r="HR115" t="e">
        <f>AND('Planilla_General_03-12-2012_9_3'!A1839,"AAAAAG798eE=")</f>
        <v>#VALUE!</v>
      </c>
      <c r="HS115" t="e">
        <f>AND('Planilla_General_03-12-2012_9_3'!B1839,"AAAAAG798eI=")</f>
        <v>#VALUE!</v>
      </c>
      <c r="HT115" t="e">
        <f>AND('Planilla_General_03-12-2012_9_3'!C1839,"AAAAAG798eM=")</f>
        <v>#VALUE!</v>
      </c>
      <c r="HU115" t="e">
        <f>AND('Planilla_General_03-12-2012_9_3'!D1839,"AAAAAG798eQ=")</f>
        <v>#VALUE!</v>
      </c>
      <c r="HV115" t="e">
        <f>AND('Planilla_General_03-12-2012_9_3'!E1839,"AAAAAG798eU=")</f>
        <v>#VALUE!</v>
      </c>
      <c r="HW115" t="e">
        <f>AND('Planilla_General_03-12-2012_9_3'!F1839,"AAAAAG798eY=")</f>
        <v>#VALUE!</v>
      </c>
      <c r="HX115" t="e">
        <f>AND('Planilla_General_03-12-2012_9_3'!G1839,"AAAAAG798ec=")</f>
        <v>#VALUE!</v>
      </c>
      <c r="HY115" t="e">
        <f>AND('Planilla_General_03-12-2012_9_3'!H1839,"AAAAAG798eg=")</f>
        <v>#VALUE!</v>
      </c>
      <c r="HZ115" t="e">
        <f>AND('Planilla_General_03-12-2012_9_3'!I1839,"AAAAAG798ek=")</f>
        <v>#VALUE!</v>
      </c>
      <c r="IA115" t="e">
        <f>AND('Planilla_General_03-12-2012_9_3'!J1839,"AAAAAG798eo=")</f>
        <v>#VALUE!</v>
      </c>
      <c r="IB115" t="e">
        <f>AND('Planilla_General_03-12-2012_9_3'!K1839,"AAAAAG798es=")</f>
        <v>#VALUE!</v>
      </c>
      <c r="IC115" t="e">
        <f>AND('Planilla_General_03-12-2012_9_3'!L1839,"AAAAAG798ew=")</f>
        <v>#VALUE!</v>
      </c>
      <c r="ID115" t="e">
        <f>AND('Planilla_General_03-12-2012_9_3'!M1839,"AAAAAG798e0=")</f>
        <v>#VALUE!</v>
      </c>
      <c r="IE115" t="e">
        <f>AND('Planilla_General_03-12-2012_9_3'!N1839,"AAAAAG798e4=")</f>
        <v>#VALUE!</v>
      </c>
      <c r="IF115" t="e">
        <f>AND('Planilla_General_03-12-2012_9_3'!O1839,"AAAAAG798e8=")</f>
        <v>#VALUE!</v>
      </c>
      <c r="IG115">
        <f>IF('Planilla_General_03-12-2012_9_3'!1840:1840,"AAAAAG798fA=",0)</f>
        <v>0</v>
      </c>
      <c r="IH115" t="e">
        <f>AND('Planilla_General_03-12-2012_9_3'!A1840,"AAAAAG798fE=")</f>
        <v>#VALUE!</v>
      </c>
      <c r="II115" t="e">
        <f>AND('Planilla_General_03-12-2012_9_3'!B1840,"AAAAAG798fI=")</f>
        <v>#VALUE!</v>
      </c>
      <c r="IJ115" t="e">
        <f>AND('Planilla_General_03-12-2012_9_3'!C1840,"AAAAAG798fM=")</f>
        <v>#VALUE!</v>
      </c>
      <c r="IK115" t="e">
        <f>AND('Planilla_General_03-12-2012_9_3'!D1840,"AAAAAG798fQ=")</f>
        <v>#VALUE!</v>
      </c>
      <c r="IL115" t="e">
        <f>AND('Planilla_General_03-12-2012_9_3'!E1840,"AAAAAG798fU=")</f>
        <v>#VALUE!</v>
      </c>
      <c r="IM115" t="e">
        <f>AND('Planilla_General_03-12-2012_9_3'!F1840,"AAAAAG798fY=")</f>
        <v>#VALUE!</v>
      </c>
      <c r="IN115" t="e">
        <f>AND('Planilla_General_03-12-2012_9_3'!G1840,"AAAAAG798fc=")</f>
        <v>#VALUE!</v>
      </c>
      <c r="IO115" t="e">
        <f>AND('Planilla_General_03-12-2012_9_3'!H1840,"AAAAAG798fg=")</f>
        <v>#VALUE!</v>
      </c>
      <c r="IP115" t="e">
        <f>AND('Planilla_General_03-12-2012_9_3'!I1840,"AAAAAG798fk=")</f>
        <v>#VALUE!</v>
      </c>
      <c r="IQ115" t="e">
        <f>AND('Planilla_General_03-12-2012_9_3'!J1840,"AAAAAG798fo=")</f>
        <v>#VALUE!</v>
      </c>
      <c r="IR115" t="e">
        <f>AND('Planilla_General_03-12-2012_9_3'!K1840,"AAAAAG798fs=")</f>
        <v>#VALUE!</v>
      </c>
      <c r="IS115" t="e">
        <f>AND('Planilla_General_03-12-2012_9_3'!L1840,"AAAAAG798fw=")</f>
        <v>#VALUE!</v>
      </c>
      <c r="IT115" t="e">
        <f>AND('Planilla_General_03-12-2012_9_3'!M1840,"AAAAAG798f0=")</f>
        <v>#VALUE!</v>
      </c>
      <c r="IU115" t="e">
        <f>AND('Planilla_General_03-12-2012_9_3'!N1840,"AAAAAG798f4=")</f>
        <v>#VALUE!</v>
      </c>
      <c r="IV115" t="e">
        <f>AND('Planilla_General_03-12-2012_9_3'!O1840,"AAAAAG798f8=")</f>
        <v>#VALUE!</v>
      </c>
    </row>
    <row r="116" spans="1:256" x14ac:dyDescent="0.25">
      <c r="A116" t="e">
        <f>IF('Planilla_General_03-12-2012_9_3'!1841:1841,"AAAAAH1/fwA=",0)</f>
        <v>#VALUE!</v>
      </c>
      <c r="B116" t="e">
        <f>AND('Planilla_General_03-12-2012_9_3'!A1841,"AAAAAH1/fwE=")</f>
        <v>#VALUE!</v>
      </c>
      <c r="C116" t="e">
        <f>AND('Planilla_General_03-12-2012_9_3'!B1841,"AAAAAH1/fwI=")</f>
        <v>#VALUE!</v>
      </c>
      <c r="D116" t="e">
        <f>AND('Planilla_General_03-12-2012_9_3'!C1841,"AAAAAH1/fwM=")</f>
        <v>#VALUE!</v>
      </c>
      <c r="E116" t="e">
        <f>AND('Planilla_General_03-12-2012_9_3'!D1841,"AAAAAH1/fwQ=")</f>
        <v>#VALUE!</v>
      </c>
      <c r="F116" t="e">
        <f>AND('Planilla_General_03-12-2012_9_3'!E1841,"AAAAAH1/fwU=")</f>
        <v>#VALUE!</v>
      </c>
      <c r="G116" t="e">
        <f>AND('Planilla_General_03-12-2012_9_3'!F1841,"AAAAAH1/fwY=")</f>
        <v>#VALUE!</v>
      </c>
      <c r="H116" t="e">
        <f>AND('Planilla_General_03-12-2012_9_3'!G1841,"AAAAAH1/fwc=")</f>
        <v>#VALUE!</v>
      </c>
      <c r="I116" t="e">
        <f>AND('Planilla_General_03-12-2012_9_3'!H1841,"AAAAAH1/fwg=")</f>
        <v>#VALUE!</v>
      </c>
      <c r="J116" t="e">
        <f>AND('Planilla_General_03-12-2012_9_3'!I1841,"AAAAAH1/fwk=")</f>
        <v>#VALUE!</v>
      </c>
      <c r="K116" t="e">
        <f>AND('Planilla_General_03-12-2012_9_3'!J1841,"AAAAAH1/fwo=")</f>
        <v>#VALUE!</v>
      </c>
      <c r="L116" t="e">
        <f>AND('Planilla_General_03-12-2012_9_3'!K1841,"AAAAAH1/fws=")</f>
        <v>#VALUE!</v>
      </c>
      <c r="M116" t="e">
        <f>AND('Planilla_General_03-12-2012_9_3'!L1841,"AAAAAH1/fww=")</f>
        <v>#VALUE!</v>
      </c>
      <c r="N116" t="e">
        <f>AND('Planilla_General_03-12-2012_9_3'!M1841,"AAAAAH1/fw0=")</f>
        <v>#VALUE!</v>
      </c>
      <c r="O116" t="e">
        <f>AND('Planilla_General_03-12-2012_9_3'!N1841,"AAAAAH1/fw4=")</f>
        <v>#VALUE!</v>
      </c>
      <c r="P116" t="e">
        <f>AND('Planilla_General_03-12-2012_9_3'!O1841,"AAAAAH1/fw8=")</f>
        <v>#VALUE!</v>
      </c>
      <c r="Q116">
        <f>IF('Planilla_General_03-12-2012_9_3'!1842:1842,"AAAAAH1/fxA=",0)</f>
        <v>0</v>
      </c>
      <c r="R116" t="e">
        <f>AND('Planilla_General_03-12-2012_9_3'!A1842,"AAAAAH1/fxE=")</f>
        <v>#VALUE!</v>
      </c>
      <c r="S116" t="e">
        <f>AND('Planilla_General_03-12-2012_9_3'!B1842,"AAAAAH1/fxI=")</f>
        <v>#VALUE!</v>
      </c>
      <c r="T116" t="e">
        <f>AND('Planilla_General_03-12-2012_9_3'!C1842,"AAAAAH1/fxM=")</f>
        <v>#VALUE!</v>
      </c>
      <c r="U116" t="e">
        <f>AND('Planilla_General_03-12-2012_9_3'!D1842,"AAAAAH1/fxQ=")</f>
        <v>#VALUE!</v>
      </c>
      <c r="V116" t="e">
        <f>AND('Planilla_General_03-12-2012_9_3'!E1842,"AAAAAH1/fxU=")</f>
        <v>#VALUE!</v>
      </c>
      <c r="W116" t="e">
        <f>AND('Planilla_General_03-12-2012_9_3'!F1842,"AAAAAH1/fxY=")</f>
        <v>#VALUE!</v>
      </c>
      <c r="X116" t="e">
        <f>AND('Planilla_General_03-12-2012_9_3'!G1842,"AAAAAH1/fxc=")</f>
        <v>#VALUE!</v>
      </c>
      <c r="Y116" t="e">
        <f>AND('Planilla_General_03-12-2012_9_3'!H1842,"AAAAAH1/fxg=")</f>
        <v>#VALUE!</v>
      </c>
      <c r="Z116" t="e">
        <f>AND('Planilla_General_03-12-2012_9_3'!I1842,"AAAAAH1/fxk=")</f>
        <v>#VALUE!</v>
      </c>
      <c r="AA116" t="e">
        <f>AND('Planilla_General_03-12-2012_9_3'!J1842,"AAAAAH1/fxo=")</f>
        <v>#VALUE!</v>
      </c>
      <c r="AB116" t="e">
        <f>AND('Planilla_General_03-12-2012_9_3'!K1842,"AAAAAH1/fxs=")</f>
        <v>#VALUE!</v>
      </c>
      <c r="AC116" t="e">
        <f>AND('Planilla_General_03-12-2012_9_3'!L1842,"AAAAAH1/fxw=")</f>
        <v>#VALUE!</v>
      </c>
      <c r="AD116" t="e">
        <f>AND('Planilla_General_03-12-2012_9_3'!M1842,"AAAAAH1/fx0=")</f>
        <v>#VALUE!</v>
      </c>
      <c r="AE116" t="e">
        <f>AND('Planilla_General_03-12-2012_9_3'!N1842,"AAAAAH1/fx4=")</f>
        <v>#VALUE!</v>
      </c>
      <c r="AF116" t="e">
        <f>AND('Planilla_General_03-12-2012_9_3'!O1842,"AAAAAH1/fx8=")</f>
        <v>#VALUE!</v>
      </c>
      <c r="AG116">
        <f>IF('Planilla_General_03-12-2012_9_3'!1843:1843,"AAAAAH1/fyA=",0)</f>
        <v>0</v>
      </c>
      <c r="AH116" t="e">
        <f>AND('Planilla_General_03-12-2012_9_3'!A1843,"AAAAAH1/fyE=")</f>
        <v>#VALUE!</v>
      </c>
      <c r="AI116" t="e">
        <f>AND('Planilla_General_03-12-2012_9_3'!B1843,"AAAAAH1/fyI=")</f>
        <v>#VALUE!</v>
      </c>
      <c r="AJ116" t="e">
        <f>AND('Planilla_General_03-12-2012_9_3'!C1843,"AAAAAH1/fyM=")</f>
        <v>#VALUE!</v>
      </c>
      <c r="AK116" t="e">
        <f>AND('Planilla_General_03-12-2012_9_3'!D1843,"AAAAAH1/fyQ=")</f>
        <v>#VALUE!</v>
      </c>
      <c r="AL116" t="e">
        <f>AND('Planilla_General_03-12-2012_9_3'!E1843,"AAAAAH1/fyU=")</f>
        <v>#VALUE!</v>
      </c>
      <c r="AM116" t="e">
        <f>AND('Planilla_General_03-12-2012_9_3'!F1843,"AAAAAH1/fyY=")</f>
        <v>#VALUE!</v>
      </c>
      <c r="AN116" t="e">
        <f>AND('Planilla_General_03-12-2012_9_3'!G1843,"AAAAAH1/fyc=")</f>
        <v>#VALUE!</v>
      </c>
      <c r="AO116" t="e">
        <f>AND('Planilla_General_03-12-2012_9_3'!H1843,"AAAAAH1/fyg=")</f>
        <v>#VALUE!</v>
      </c>
      <c r="AP116" t="e">
        <f>AND('Planilla_General_03-12-2012_9_3'!I1843,"AAAAAH1/fyk=")</f>
        <v>#VALUE!</v>
      </c>
      <c r="AQ116" t="e">
        <f>AND('Planilla_General_03-12-2012_9_3'!J1843,"AAAAAH1/fyo=")</f>
        <v>#VALUE!</v>
      </c>
      <c r="AR116" t="e">
        <f>AND('Planilla_General_03-12-2012_9_3'!K1843,"AAAAAH1/fys=")</f>
        <v>#VALUE!</v>
      </c>
      <c r="AS116" t="e">
        <f>AND('Planilla_General_03-12-2012_9_3'!L1843,"AAAAAH1/fyw=")</f>
        <v>#VALUE!</v>
      </c>
      <c r="AT116" t="e">
        <f>AND('Planilla_General_03-12-2012_9_3'!M1843,"AAAAAH1/fy0=")</f>
        <v>#VALUE!</v>
      </c>
      <c r="AU116" t="e">
        <f>AND('Planilla_General_03-12-2012_9_3'!N1843,"AAAAAH1/fy4=")</f>
        <v>#VALUE!</v>
      </c>
      <c r="AV116" t="e">
        <f>AND('Planilla_General_03-12-2012_9_3'!O1843,"AAAAAH1/fy8=")</f>
        <v>#VALUE!</v>
      </c>
      <c r="AW116">
        <f>IF('Planilla_General_03-12-2012_9_3'!1844:1844,"AAAAAH1/fzA=",0)</f>
        <v>0</v>
      </c>
      <c r="AX116" t="e">
        <f>AND('Planilla_General_03-12-2012_9_3'!A1844,"AAAAAH1/fzE=")</f>
        <v>#VALUE!</v>
      </c>
      <c r="AY116" t="e">
        <f>AND('Planilla_General_03-12-2012_9_3'!B1844,"AAAAAH1/fzI=")</f>
        <v>#VALUE!</v>
      </c>
      <c r="AZ116" t="e">
        <f>AND('Planilla_General_03-12-2012_9_3'!C1844,"AAAAAH1/fzM=")</f>
        <v>#VALUE!</v>
      </c>
      <c r="BA116" t="e">
        <f>AND('Planilla_General_03-12-2012_9_3'!D1844,"AAAAAH1/fzQ=")</f>
        <v>#VALUE!</v>
      </c>
      <c r="BB116" t="e">
        <f>AND('Planilla_General_03-12-2012_9_3'!E1844,"AAAAAH1/fzU=")</f>
        <v>#VALUE!</v>
      </c>
      <c r="BC116" t="e">
        <f>AND('Planilla_General_03-12-2012_9_3'!F1844,"AAAAAH1/fzY=")</f>
        <v>#VALUE!</v>
      </c>
      <c r="BD116" t="e">
        <f>AND('Planilla_General_03-12-2012_9_3'!G1844,"AAAAAH1/fzc=")</f>
        <v>#VALUE!</v>
      </c>
      <c r="BE116" t="e">
        <f>AND('Planilla_General_03-12-2012_9_3'!H1844,"AAAAAH1/fzg=")</f>
        <v>#VALUE!</v>
      </c>
      <c r="BF116" t="e">
        <f>AND('Planilla_General_03-12-2012_9_3'!I1844,"AAAAAH1/fzk=")</f>
        <v>#VALUE!</v>
      </c>
      <c r="BG116" t="e">
        <f>AND('Planilla_General_03-12-2012_9_3'!J1844,"AAAAAH1/fzo=")</f>
        <v>#VALUE!</v>
      </c>
      <c r="BH116" t="e">
        <f>AND('Planilla_General_03-12-2012_9_3'!K1844,"AAAAAH1/fzs=")</f>
        <v>#VALUE!</v>
      </c>
      <c r="BI116" t="e">
        <f>AND('Planilla_General_03-12-2012_9_3'!L1844,"AAAAAH1/fzw=")</f>
        <v>#VALUE!</v>
      </c>
      <c r="BJ116" t="e">
        <f>AND('Planilla_General_03-12-2012_9_3'!M1844,"AAAAAH1/fz0=")</f>
        <v>#VALUE!</v>
      </c>
      <c r="BK116" t="e">
        <f>AND('Planilla_General_03-12-2012_9_3'!N1844,"AAAAAH1/fz4=")</f>
        <v>#VALUE!</v>
      </c>
      <c r="BL116" t="e">
        <f>AND('Planilla_General_03-12-2012_9_3'!O1844,"AAAAAH1/fz8=")</f>
        <v>#VALUE!</v>
      </c>
      <c r="BM116">
        <f>IF('Planilla_General_03-12-2012_9_3'!1845:1845,"AAAAAH1/f0A=",0)</f>
        <v>0</v>
      </c>
      <c r="BN116" t="e">
        <f>AND('Planilla_General_03-12-2012_9_3'!A1845,"AAAAAH1/f0E=")</f>
        <v>#VALUE!</v>
      </c>
      <c r="BO116" t="e">
        <f>AND('Planilla_General_03-12-2012_9_3'!B1845,"AAAAAH1/f0I=")</f>
        <v>#VALUE!</v>
      </c>
      <c r="BP116" t="e">
        <f>AND('Planilla_General_03-12-2012_9_3'!C1845,"AAAAAH1/f0M=")</f>
        <v>#VALUE!</v>
      </c>
      <c r="BQ116" t="e">
        <f>AND('Planilla_General_03-12-2012_9_3'!D1845,"AAAAAH1/f0Q=")</f>
        <v>#VALUE!</v>
      </c>
      <c r="BR116" t="e">
        <f>AND('Planilla_General_03-12-2012_9_3'!E1845,"AAAAAH1/f0U=")</f>
        <v>#VALUE!</v>
      </c>
      <c r="BS116" t="e">
        <f>AND('Planilla_General_03-12-2012_9_3'!F1845,"AAAAAH1/f0Y=")</f>
        <v>#VALUE!</v>
      </c>
      <c r="BT116" t="e">
        <f>AND('Planilla_General_03-12-2012_9_3'!G1845,"AAAAAH1/f0c=")</f>
        <v>#VALUE!</v>
      </c>
      <c r="BU116" t="e">
        <f>AND('Planilla_General_03-12-2012_9_3'!H1845,"AAAAAH1/f0g=")</f>
        <v>#VALUE!</v>
      </c>
      <c r="BV116" t="e">
        <f>AND('Planilla_General_03-12-2012_9_3'!I1845,"AAAAAH1/f0k=")</f>
        <v>#VALUE!</v>
      </c>
      <c r="BW116" t="e">
        <f>AND('Planilla_General_03-12-2012_9_3'!J1845,"AAAAAH1/f0o=")</f>
        <v>#VALUE!</v>
      </c>
      <c r="BX116" t="e">
        <f>AND('Planilla_General_03-12-2012_9_3'!K1845,"AAAAAH1/f0s=")</f>
        <v>#VALUE!</v>
      </c>
      <c r="BY116" t="e">
        <f>AND('Planilla_General_03-12-2012_9_3'!L1845,"AAAAAH1/f0w=")</f>
        <v>#VALUE!</v>
      </c>
      <c r="BZ116" t="e">
        <f>AND('Planilla_General_03-12-2012_9_3'!M1845,"AAAAAH1/f00=")</f>
        <v>#VALUE!</v>
      </c>
      <c r="CA116" t="e">
        <f>AND('Planilla_General_03-12-2012_9_3'!N1845,"AAAAAH1/f04=")</f>
        <v>#VALUE!</v>
      </c>
      <c r="CB116" t="e">
        <f>AND('Planilla_General_03-12-2012_9_3'!O1845,"AAAAAH1/f08=")</f>
        <v>#VALUE!</v>
      </c>
      <c r="CC116">
        <f>IF('Planilla_General_03-12-2012_9_3'!1846:1846,"AAAAAH1/f1A=",0)</f>
        <v>0</v>
      </c>
      <c r="CD116" t="e">
        <f>AND('Planilla_General_03-12-2012_9_3'!A1846,"AAAAAH1/f1E=")</f>
        <v>#VALUE!</v>
      </c>
      <c r="CE116" t="e">
        <f>AND('Planilla_General_03-12-2012_9_3'!B1846,"AAAAAH1/f1I=")</f>
        <v>#VALUE!</v>
      </c>
      <c r="CF116" t="e">
        <f>AND('Planilla_General_03-12-2012_9_3'!C1846,"AAAAAH1/f1M=")</f>
        <v>#VALUE!</v>
      </c>
      <c r="CG116" t="e">
        <f>AND('Planilla_General_03-12-2012_9_3'!D1846,"AAAAAH1/f1Q=")</f>
        <v>#VALUE!</v>
      </c>
      <c r="CH116" t="e">
        <f>AND('Planilla_General_03-12-2012_9_3'!E1846,"AAAAAH1/f1U=")</f>
        <v>#VALUE!</v>
      </c>
      <c r="CI116" t="e">
        <f>AND('Planilla_General_03-12-2012_9_3'!F1846,"AAAAAH1/f1Y=")</f>
        <v>#VALUE!</v>
      </c>
      <c r="CJ116" t="e">
        <f>AND('Planilla_General_03-12-2012_9_3'!G1846,"AAAAAH1/f1c=")</f>
        <v>#VALUE!</v>
      </c>
      <c r="CK116" t="e">
        <f>AND('Planilla_General_03-12-2012_9_3'!H1846,"AAAAAH1/f1g=")</f>
        <v>#VALUE!</v>
      </c>
      <c r="CL116" t="e">
        <f>AND('Planilla_General_03-12-2012_9_3'!I1846,"AAAAAH1/f1k=")</f>
        <v>#VALUE!</v>
      </c>
      <c r="CM116" t="e">
        <f>AND('Planilla_General_03-12-2012_9_3'!J1846,"AAAAAH1/f1o=")</f>
        <v>#VALUE!</v>
      </c>
      <c r="CN116" t="e">
        <f>AND('Planilla_General_03-12-2012_9_3'!K1846,"AAAAAH1/f1s=")</f>
        <v>#VALUE!</v>
      </c>
      <c r="CO116" t="e">
        <f>AND('Planilla_General_03-12-2012_9_3'!L1846,"AAAAAH1/f1w=")</f>
        <v>#VALUE!</v>
      </c>
      <c r="CP116" t="e">
        <f>AND('Planilla_General_03-12-2012_9_3'!M1846,"AAAAAH1/f10=")</f>
        <v>#VALUE!</v>
      </c>
      <c r="CQ116" t="e">
        <f>AND('Planilla_General_03-12-2012_9_3'!N1846,"AAAAAH1/f14=")</f>
        <v>#VALUE!</v>
      </c>
      <c r="CR116" t="e">
        <f>AND('Planilla_General_03-12-2012_9_3'!O1846,"AAAAAH1/f18=")</f>
        <v>#VALUE!</v>
      </c>
      <c r="CS116">
        <f>IF('Planilla_General_03-12-2012_9_3'!1847:1847,"AAAAAH1/f2A=",0)</f>
        <v>0</v>
      </c>
      <c r="CT116" t="e">
        <f>AND('Planilla_General_03-12-2012_9_3'!A1847,"AAAAAH1/f2E=")</f>
        <v>#VALUE!</v>
      </c>
      <c r="CU116" t="e">
        <f>AND('Planilla_General_03-12-2012_9_3'!B1847,"AAAAAH1/f2I=")</f>
        <v>#VALUE!</v>
      </c>
      <c r="CV116" t="e">
        <f>AND('Planilla_General_03-12-2012_9_3'!C1847,"AAAAAH1/f2M=")</f>
        <v>#VALUE!</v>
      </c>
      <c r="CW116" t="e">
        <f>AND('Planilla_General_03-12-2012_9_3'!D1847,"AAAAAH1/f2Q=")</f>
        <v>#VALUE!</v>
      </c>
      <c r="CX116" t="e">
        <f>AND('Planilla_General_03-12-2012_9_3'!E1847,"AAAAAH1/f2U=")</f>
        <v>#VALUE!</v>
      </c>
      <c r="CY116" t="e">
        <f>AND('Planilla_General_03-12-2012_9_3'!F1847,"AAAAAH1/f2Y=")</f>
        <v>#VALUE!</v>
      </c>
      <c r="CZ116" t="e">
        <f>AND('Planilla_General_03-12-2012_9_3'!G1847,"AAAAAH1/f2c=")</f>
        <v>#VALUE!</v>
      </c>
      <c r="DA116" t="e">
        <f>AND('Planilla_General_03-12-2012_9_3'!H1847,"AAAAAH1/f2g=")</f>
        <v>#VALUE!</v>
      </c>
      <c r="DB116" t="e">
        <f>AND('Planilla_General_03-12-2012_9_3'!I1847,"AAAAAH1/f2k=")</f>
        <v>#VALUE!</v>
      </c>
      <c r="DC116" t="e">
        <f>AND('Planilla_General_03-12-2012_9_3'!J1847,"AAAAAH1/f2o=")</f>
        <v>#VALUE!</v>
      </c>
      <c r="DD116" t="e">
        <f>AND('Planilla_General_03-12-2012_9_3'!K1847,"AAAAAH1/f2s=")</f>
        <v>#VALUE!</v>
      </c>
      <c r="DE116" t="e">
        <f>AND('Planilla_General_03-12-2012_9_3'!L1847,"AAAAAH1/f2w=")</f>
        <v>#VALUE!</v>
      </c>
      <c r="DF116" t="e">
        <f>AND('Planilla_General_03-12-2012_9_3'!M1847,"AAAAAH1/f20=")</f>
        <v>#VALUE!</v>
      </c>
      <c r="DG116" t="e">
        <f>AND('Planilla_General_03-12-2012_9_3'!N1847,"AAAAAH1/f24=")</f>
        <v>#VALUE!</v>
      </c>
      <c r="DH116" t="e">
        <f>AND('Planilla_General_03-12-2012_9_3'!O1847,"AAAAAH1/f28=")</f>
        <v>#VALUE!</v>
      </c>
      <c r="DI116">
        <f>IF('Planilla_General_03-12-2012_9_3'!1848:1848,"AAAAAH1/f3A=",0)</f>
        <v>0</v>
      </c>
      <c r="DJ116" t="e">
        <f>AND('Planilla_General_03-12-2012_9_3'!A1848,"AAAAAH1/f3E=")</f>
        <v>#VALUE!</v>
      </c>
      <c r="DK116" t="e">
        <f>AND('Planilla_General_03-12-2012_9_3'!B1848,"AAAAAH1/f3I=")</f>
        <v>#VALUE!</v>
      </c>
      <c r="DL116" t="e">
        <f>AND('Planilla_General_03-12-2012_9_3'!C1848,"AAAAAH1/f3M=")</f>
        <v>#VALUE!</v>
      </c>
      <c r="DM116" t="e">
        <f>AND('Planilla_General_03-12-2012_9_3'!D1848,"AAAAAH1/f3Q=")</f>
        <v>#VALUE!</v>
      </c>
      <c r="DN116" t="e">
        <f>AND('Planilla_General_03-12-2012_9_3'!E1848,"AAAAAH1/f3U=")</f>
        <v>#VALUE!</v>
      </c>
      <c r="DO116" t="e">
        <f>AND('Planilla_General_03-12-2012_9_3'!F1848,"AAAAAH1/f3Y=")</f>
        <v>#VALUE!</v>
      </c>
      <c r="DP116" t="e">
        <f>AND('Planilla_General_03-12-2012_9_3'!G1848,"AAAAAH1/f3c=")</f>
        <v>#VALUE!</v>
      </c>
      <c r="DQ116" t="e">
        <f>AND('Planilla_General_03-12-2012_9_3'!H1848,"AAAAAH1/f3g=")</f>
        <v>#VALUE!</v>
      </c>
      <c r="DR116" t="e">
        <f>AND('Planilla_General_03-12-2012_9_3'!I1848,"AAAAAH1/f3k=")</f>
        <v>#VALUE!</v>
      </c>
      <c r="DS116" t="e">
        <f>AND('Planilla_General_03-12-2012_9_3'!J1848,"AAAAAH1/f3o=")</f>
        <v>#VALUE!</v>
      </c>
      <c r="DT116" t="e">
        <f>AND('Planilla_General_03-12-2012_9_3'!K1848,"AAAAAH1/f3s=")</f>
        <v>#VALUE!</v>
      </c>
      <c r="DU116" t="e">
        <f>AND('Planilla_General_03-12-2012_9_3'!L1848,"AAAAAH1/f3w=")</f>
        <v>#VALUE!</v>
      </c>
      <c r="DV116" t="e">
        <f>AND('Planilla_General_03-12-2012_9_3'!M1848,"AAAAAH1/f30=")</f>
        <v>#VALUE!</v>
      </c>
      <c r="DW116" t="e">
        <f>AND('Planilla_General_03-12-2012_9_3'!N1848,"AAAAAH1/f34=")</f>
        <v>#VALUE!</v>
      </c>
      <c r="DX116" t="e">
        <f>AND('Planilla_General_03-12-2012_9_3'!O1848,"AAAAAH1/f38=")</f>
        <v>#VALUE!</v>
      </c>
      <c r="DY116">
        <f>IF('Planilla_General_03-12-2012_9_3'!1849:1849,"AAAAAH1/f4A=",0)</f>
        <v>0</v>
      </c>
      <c r="DZ116" t="e">
        <f>AND('Planilla_General_03-12-2012_9_3'!A1849,"AAAAAH1/f4E=")</f>
        <v>#VALUE!</v>
      </c>
      <c r="EA116" t="e">
        <f>AND('Planilla_General_03-12-2012_9_3'!B1849,"AAAAAH1/f4I=")</f>
        <v>#VALUE!</v>
      </c>
      <c r="EB116" t="e">
        <f>AND('Planilla_General_03-12-2012_9_3'!C1849,"AAAAAH1/f4M=")</f>
        <v>#VALUE!</v>
      </c>
      <c r="EC116" t="e">
        <f>AND('Planilla_General_03-12-2012_9_3'!D1849,"AAAAAH1/f4Q=")</f>
        <v>#VALUE!</v>
      </c>
      <c r="ED116" t="e">
        <f>AND('Planilla_General_03-12-2012_9_3'!E1849,"AAAAAH1/f4U=")</f>
        <v>#VALUE!</v>
      </c>
      <c r="EE116" t="e">
        <f>AND('Planilla_General_03-12-2012_9_3'!F1849,"AAAAAH1/f4Y=")</f>
        <v>#VALUE!</v>
      </c>
      <c r="EF116" t="e">
        <f>AND('Planilla_General_03-12-2012_9_3'!G1849,"AAAAAH1/f4c=")</f>
        <v>#VALUE!</v>
      </c>
      <c r="EG116" t="e">
        <f>AND('Planilla_General_03-12-2012_9_3'!H1849,"AAAAAH1/f4g=")</f>
        <v>#VALUE!</v>
      </c>
      <c r="EH116" t="e">
        <f>AND('Planilla_General_03-12-2012_9_3'!I1849,"AAAAAH1/f4k=")</f>
        <v>#VALUE!</v>
      </c>
      <c r="EI116" t="e">
        <f>AND('Planilla_General_03-12-2012_9_3'!J1849,"AAAAAH1/f4o=")</f>
        <v>#VALUE!</v>
      </c>
      <c r="EJ116" t="e">
        <f>AND('Planilla_General_03-12-2012_9_3'!K1849,"AAAAAH1/f4s=")</f>
        <v>#VALUE!</v>
      </c>
      <c r="EK116" t="e">
        <f>AND('Planilla_General_03-12-2012_9_3'!L1849,"AAAAAH1/f4w=")</f>
        <v>#VALUE!</v>
      </c>
      <c r="EL116" t="e">
        <f>AND('Planilla_General_03-12-2012_9_3'!M1849,"AAAAAH1/f40=")</f>
        <v>#VALUE!</v>
      </c>
      <c r="EM116" t="e">
        <f>AND('Planilla_General_03-12-2012_9_3'!N1849,"AAAAAH1/f44=")</f>
        <v>#VALUE!</v>
      </c>
      <c r="EN116" t="e">
        <f>AND('Planilla_General_03-12-2012_9_3'!O1849,"AAAAAH1/f48=")</f>
        <v>#VALUE!</v>
      </c>
      <c r="EO116">
        <f>IF('Planilla_General_03-12-2012_9_3'!1850:1850,"AAAAAH1/f5A=",0)</f>
        <v>0</v>
      </c>
      <c r="EP116" t="e">
        <f>AND('Planilla_General_03-12-2012_9_3'!A1850,"AAAAAH1/f5E=")</f>
        <v>#VALUE!</v>
      </c>
      <c r="EQ116" t="e">
        <f>AND('Planilla_General_03-12-2012_9_3'!B1850,"AAAAAH1/f5I=")</f>
        <v>#VALUE!</v>
      </c>
      <c r="ER116" t="e">
        <f>AND('Planilla_General_03-12-2012_9_3'!C1850,"AAAAAH1/f5M=")</f>
        <v>#VALUE!</v>
      </c>
      <c r="ES116" t="e">
        <f>AND('Planilla_General_03-12-2012_9_3'!D1850,"AAAAAH1/f5Q=")</f>
        <v>#VALUE!</v>
      </c>
      <c r="ET116" t="e">
        <f>AND('Planilla_General_03-12-2012_9_3'!E1850,"AAAAAH1/f5U=")</f>
        <v>#VALUE!</v>
      </c>
      <c r="EU116" t="e">
        <f>AND('Planilla_General_03-12-2012_9_3'!F1850,"AAAAAH1/f5Y=")</f>
        <v>#VALUE!</v>
      </c>
      <c r="EV116" t="e">
        <f>AND('Planilla_General_03-12-2012_9_3'!G1850,"AAAAAH1/f5c=")</f>
        <v>#VALUE!</v>
      </c>
      <c r="EW116" t="e">
        <f>AND('Planilla_General_03-12-2012_9_3'!H1850,"AAAAAH1/f5g=")</f>
        <v>#VALUE!</v>
      </c>
      <c r="EX116" t="e">
        <f>AND('Planilla_General_03-12-2012_9_3'!I1850,"AAAAAH1/f5k=")</f>
        <v>#VALUE!</v>
      </c>
      <c r="EY116" t="e">
        <f>AND('Planilla_General_03-12-2012_9_3'!J1850,"AAAAAH1/f5o=")</f>
        <v>#VALUE!</v>
      </c>
      <c r="EZ116" t="e">
        <f>AND('Planilla_General_03-12-2012_9_3'!K1850,"AAAAAH1/f5s=")</f>
        <v>#VALUE!</v>
      </c>
      <c r="FA116" t="e">
        <f>AND('Planilla_General_03-12-2012_9_3'!L1850,"AAAAAH1/f5w=")</f>
        <v>#VALUE!</v>
      </c>
      <c r="FB116" t="e">
        <f>AND('Planilla_General_03-12-2012_9_3'!M1850,"AAAAAH1/f50=")</f>
        <v>#VALUE!</v>
      </c>
      <c r="FC116" t="e">
        <f>AND('Planilla_General_03-12-2012_9_3'!N1850,"AAAAAH1/f54=")</f>
        <v>#VALUE!</v>
      </c>
      <c r="FD116" t="e">
        <f>AND('Planilla_General_03-12-2012_9_3'!O1850,"AAAAAH1/f58=")</f>
        <v>#VALUE!</v>
      </c>
      <c r="FE116">
        <f>IF('Planilla_General_03-12-2012_9_3'!1851:1851,"AAAAAH1/f6A=",0)</f>
        <v>0</v>
      </c>
      <c r="FF116" t="e">
        <f>AND('Planilla_General_03-12-2012_9_3'!A1851,"AAAAAH1/f6E=")</f>
        <v>#VALUE!</v>
      </c>
      <c r="FG116" t="e">
        <f>AND('Planilla_General_03-12-2012_9_3'!B1851,"AAAAAH1/f6I=")</f>
        <v>#VALUE!</v>
      </c>
      <c r="FH116" t="e">
        <f>AND('Planilla_General_03-12-2012_9_3'!C1851,"AAAAAH1/f6M=")</f>
        <v>#VALUE!</v>
      </c>
      <c r="FI116" t="e">
        <f>AND('Planilla_General_03-12-2012_9_3'!D1851,"AAAAAH1/f6Q=")</f>
        <v>#VALUE!</v>
      </c>
      <c r="FJ116" t="e">
        <f>AND('Planilla_General_03-12-2012_9_3'!E1851,"AAAAAH1/f6U=")</f>
        <v>#VALUE!</v>
      </c>
      <c r="FK116" t="e">
        <f>AND('Planilla_General_03-12-2012_9_3'!F1851,"AAAAAH1/f6Y=")</f>
        <v>#VALUE!</v>
      </c>
      <c r="FL116" t="e">
        <f>AND('Planilla_General_03-12-2012_9_3'!G1851,"AAAAAH1/f6c=")</f>
        <v>#VALUE!</v>
      </c>
      <c r="FM116" t="e">
        <f>AND('Planilla_General_03-12-2012_9_3'!H1851,"AAAAAH1/f6g=")</f>
        <v>#VALUE!</v>
      </c>
      <c r="FN116" t="e">
        <f>AND('Planilla_General_03-12-2012_9_3'!I1851,"AAAAAH1/f6k=")</f>
        <v>#VALUE!</v>
      </c>
      <c r="FO116" t="e">
        <f>AND('Planilla_General_03-12-2012_9_3'!J1851,"AAAAAH1/f6o=")</f>
        <v>#VALUE!</v>
      </c>
      <c r="FP116" t="e">
        <f>AND('Planilla_General_03-12-2012_9_3'!K1851,"AAAAAH1/f6s=")</f>
        <v>#VALUE!</v>
      </c>
      <c r="FQ116" t="e">
        <f>AND('Planilla_General_03-12-2012_9_3'!L1851,"AAAAAH1/f6w=")</f>
        <v>#VALUE!</v>
      </c>
      <c r="FR116" t="e">
        <f>AND('Planilla_General_03-12-2012_9_3'!M1851,"AAAAAH1/f60=")</f>
        <v>#VALUE!</v>
      </c>
      <c r="FS116" t="e">
        <f>AND('Planilla_General_03-12-2012_9_3'!N1851,"AAAAAH1/f64=")</f>
        <v>#VALUE!</v>
      </c>
      <c r="FT116" t="e">
        <f>AND('Planilla_General_03-12-2012_9_3'!O1851,"AAAAAH1/f68=")</f>
        <v>#VALUE!</v>
      </c>
      <c r="FU116">
        <f>IF('Planilla_General_03-12-2012_9_3'!1852:1852,"AAAAAH1/f7A=",0)</f>
        <v>0</v>
      </c>
      <c r="FV116" t="e">
        <f>AND('Planilla_General_03-12-2012_9_3'!A1852,"AAAAAH1/f7E=")</f>
        <v>#VALUE!</v>
      </c>
      <c r="FW116" t="e">
        <f>AND('Planilla_General_03-12-2012_9_3'!B1852,"AAAAAH1/f7I=")</f>
        <v>#VALUE!</v>
      </c>
      <c r="FX116" t="e">
        <f>AND('Planilla_General_03-12-2012_9_3'!C1852,"AAAAAH1/f7M=")</f>
        <v>#VALUE!</v>
      </c>
      <c r="FY116" t="e">
        <f>AND('Planilla_General_03-12-2012_9_3'!D1852,"AAAAAH1/f7Q=")</f>
        <v>#VALUE!</v>
      </c>
      <c r="FZ116" t="e">
        <f>AND('Planilla_General_03-12-2012_9_3'!E1852,"AAAAAH1/f7U=")</f>
        <v>#VALUE!</v>
      </c>
      <c r="GA116" t="e">
        <f>AND('Planilla_General_03-12-2012_9_3'!F1852,"AAAAAH1/f7Y=")</f>
        <v>#VALUE!</v>
      </c>
      <c r="GB116" t="e">
        <f>AND('Planilla_General_03-12-2012_9_3'!G1852,"AAAAAH1/f7c=")</f>
        <v>#VALUE!</v>
      </c>
      <c r="GC116" t="e">
        <f>AND('Planilla_General_03-12-2012_9_3'!H1852,"AAAAAH1/f7g=")</f>
        <v>#VALUE!</v>
      </c>
      <c r="GD116" t="e">
        <f>AND('Planilla_General_03-12-2012_9_3'!I1852,"AAAAAH1/f7k=")</f>
        <v>#VALUE!</v>
      </c>
      <c r="GE116" t="e">
        <f>AND('Planilla_General_03-12-2012_9_3'!J1852,"AAAAAH1/f7o=")</f>
        <v>#VALUE!</v>
      </c>
      <c r="GF116" t="e">
        <f>AND('Planilla_General_03-12-2012_9_3'!K1852,"AAAAAH1/f7s=")</f>
        <v>#VALUE!</v>
      </c>
      <c r="GG116" t="e">
        <f>AND('Planilla_General_03-12-2012_9_3'!L1852,"AAAAAH1/f7w=")</f>
        <v>#VALUE!</v>
      </c>
      <c r="GH116" t="e">
        <f>AND('Planilla_General_03-12-2012_9_3'!M1852,"AAAAAH1/f70=")</f>
        <v>#VALUE!</v>
      </c>
      <c r="GI116" t="e">
        <f>AND('Planilla_General_03-12-2012_9_3'!N1852,"AAAAAH1/f74=")</f>
        <v>#VALUE!</v>
      </c>
      <c r="GJ116" t="e">
        <f>AND('Planilla_General_03-12-2012_9_3'!O1852,"AAAAAH1/f78=")</f>
        <v>#VALUE!</v>
      </c>
      <c r="GK116">
        <f>IF('Planilla_General_03-12-2012_9_3'!1853:1853,"AAAAAH1/f8A=",0)</f>
        <v>0</v>
      </c>
      <c r="GL116" t="e">
        <f>AND('Planilla_General_03-12-2012_9_3'!A1853,"AAAAAH1/f8E=")</f>
        <v>#VALUE!</v>
      </c>
      <c r="GM116" t="e">
        <f>AND('Planilla_General_03-12-2012_9_3'!B1853,"AAAAAH1/f8I=")</f>
        <v>#VALUE!</v>
      </c>
      <c r="GN116" t="e">
        <f>AND('Planilla_General_03-12-2012_9_3'!C1853,"AAAAAH1/f8M=")</f>
        <v>#VALUE!</v>
      </c>
      <c r="GO116" t="e">
        <f>AND('Planilla_General_03-12-2012_9_3'!D1853,"AAAAAH1/f8Q=")</f>
        <v>#VALUE!</v>
      </c>
      <c r="GP116" t="e">
        <f>AND('Planilla_General_03-12-2012_9_3'!E1853,"AAAAAH1/f8U=")</f>
        <v>#VALUE!</v>
      </c>
      <c r="GQ116" t="e">
        <f>AND('Planilla_General_03-12-2012_9_3'!F1853,"AAAAAH1/f8Y=")</f>
        <v>#VALUE!</v>
      </c>
      <c r="GR116" t="e">
        <f>AND('Planilla_General_03-12-2012_9_3'!G1853,"AAAAAH1/f8c=")</f>
        <v>#VALUE!</v>
      </c>
      <c r="GS116" t="e">
        <f>AND('Planilla_General_03-12-2012_9_3'!H1853,"AAAAAH1/f8g=")</f>
        <v>#VALUE!</v>
      </c>
      <c r="GT116" t="e">
        <f>AND('Planilla_General_03-12-2012_9_3'!I1853,"AAAAAH1/f8k=")</f>
        <v>#VALUE!</v>
      </c>
      <c r="GU116" t="e">
        <f>AND('Planilla_General_03-12-2012_9_3'!J1853,"AAAAAH1/f8o=")</f>
        <v>#VALUE!</v>
      </c>
      <c r="GV116" t="e">
        <f>AND('Planilla_General_03-12-2012_9_3'!K1853,"AAAAAH1/f8s=")</f>
        <v>#VALUE!</v>
      </c>
      <c r="GW116" t="e">
        <f>AND('Planilla_General_03-12-2012_9_3'!L1853,"AAAAAH1/f8w=")</f>
        <v>#VALUE!</v>
      </c>
      <c r="GX116" t="e">
        <f>AND('Planilla_General_03-12-2012_9_3'!M1853,"AAAAAH1/f80=")</f>
        <v>#VALUE!</v>
      </c>
      <c r="GY116" t="e">
        <f>AND('Planilla_General_03-12-2012_9_3'!N1853,"AAAAAH1/f84=")</f>
        <v>#VALUE!</v>
      </c>
      <c r="GZ116" t="e">
        <f>AND('Planilla_General_03-12-2012_9_3'!O1853,"AAAAAH1/f88=")</f>
        <v>#VALUE!</v>
      </c>
      <c r="HA116">
        <f>IF('Planilla_General_03-12-2012_9_3'!1854:1854,"AAAAAH1/f9A=",0)</f>
        <v>0</v>
      </c>
      <c r="HB116" t="e">
        <f>AND('Planilla_General_03-12-2012_9_3'!A1854,"AAAAAH1/f9E=")</f>
        <v>#VALUE!</v>
      </c>
      <c r="HC116" t="e">
        <f>AND('Planilla_General_03-12-2012_9_3'!B1854,"AAAAAH1/f9I=")</f>
        <v>#VALUE!</v>
      </c>
      <c r="HD116" t="e">
        <f>AND('Planilla_General_03-12-2012_9_3'!C1854,"AAAAAH1/f9M=")</f>
        <v>#VALUE!</v>
      </c>
      <c r="HE116" t="e">
        <f>AND('Planilla_General_03-12-2012_9_3'!D1854,"AAAAAH1/f9Q=")</f>
        <v>#VALUE!</v>
      </c>
      <c r="HF116" t="e">
        <f>AND('Planilla_General_03-12-2012_9_3'!E1854,"AAAAAH1/f9U=")</f>
        <v>#VALUE!</v>
      </c>
      <c r="HG116" t="e">
        <f>AND('Planilla_General_03-12-2012_9_3'!F1854,"AAAAAH1/f9Y=")</f>
        <v>#VALUE!</v>
      </c>
      <c r="HH116" t="e">
        <f>AND('Planilla_General_03-12-2012_9_3'!G1854,"AAAAAH1/f9c=")</f>
        <v>#VALUE!</v>
      </c>
      <c r="HI116" t="e">
        <f>AND('Planilla_General_03-12-2012_9_3'!H1854,"AAAAAH1/f9g=")</f>
        <v>#VALUE!</v>
      </c>
      <c r="HJ116" t="e">
        <f>AND('Planilla_General_03-12-2012_9_3'!I1854,"AAAAAH1/f9k=")</f>
        <v>#VALUE!</v>
      </c>
      <c r="HK116" t="e">
        <f>AND('Planilla_General_03-12-2012_9_3'!J1854,"AAAAAH1/f9o=")</f>
        <v>#VALUE!</v>
      </c>
      <c r="HL116" t="e">
        <f>AND('Planilla_General_03-12-2012_9_3'!K1854,"AAAAAH1/f9s=")</f>
        <v>#VALUE!</v>
      </c>
      <c r="HM116" t="e">
        <f>AND('Planilla_General_03-12-2012_9_3'!L1854,"AAAAAH1/f9w=")</f>
        <v>#VALUE!</v>
      </c>
      <c r="HN116" t="e">
        <f>AND('Planilla_General_03-12-2012_9_3'!M1854,"AAAAAH1/f90=")</f>
        <v>#VALUE!</v>
      </c>
      <c r="HO116" t="e">
        <f>AND('Planilla_General_03-12-2012_9_3'!N1854,"AAAAAH1/f94=")</f>
        <v>#VALUE!</v>
      </c>
      <c r="HP116" t="e">
        <f>AND('Planilla_General_03-12-2012_9_3'!O1854,"AAAAAH1/f98=")</f>
        <v>#VALUE!</v>
      </c>
      <c r="HQ116">
        <f>IF('Planilla_General_03-12-2012_9_3'!1855:1855,"AAAAAH1/f+A=",0)</f>
        <v>0</v>
      </c>
      <c r="HR116" t="e">
        <f>AND('Planilla_General_03-12-2012_9_3'!A1855,"AAAAAH1/f+E=")</f>
        <v>#VALUE!</v>
      </c>
      <c r="HS116" t="e">
        <f>AND('Planilla_General_03-12-2012_9_3'!B1855,"AAAAAH1/f+I=")</f>
        <v>#VALUE!</v>
      </c>
      <c r="HT116" t="e">
        <f>AND('Planilla_General_03-12-2012_9_3'!C1855,"AAAAAH1/f+M=")</f>
        <v>#VALUE!</v>
      </c>
      <c r="HU116" t="e">
        <f>AND('Planilla_General_03-12-2012_9_3'!D1855,"AAAAAH1/f+Q=")</f>
        <v>#VALUE!</v>
      </c>
      <c r="HV116" t="e">
        <f>AND('Planilla_General_03-12-2012_9_3'!E1855,"AAAAAH1/f+U=")</f>
        <v>#VALUE!</v>
      </c>
      <c r="HW116" t="e">
        <f>AND('Planilla_General_03-12-2012_9_3'!F1855,"AAAAAH1/f+Y=")</f>
        <v>#VALUE!</v>
      </c>
      <c r="HX116" t="e">
        <f>AND('Planilla_General_03-12-2012_9_3'!G1855,"AAAAAH1/f+c=")</f>
        <v>#VALUE!</v>
      </c>
      <c r="HY116" t="e">
        <f>AND('Planilla_General_03-12-2012_9_3'!H1855,"AAAAAH1/f+g=")</f>
        <v>#VALUE!</v>
      </c>
      <c r="HZ116" t="e">
        <f>AND('Planilla_General_03-12-2012_9_3'!I1855,"AAAAAH1/f+k=")</f>
        <v>#VALUE!</v>
      </c>
      <c r="IA116" t="e">
        <f>AND('Planilla_General_03-12-2012_9_3'!J1855,"AAAAAH1/f+o=")</f>
        <v>#VALUE!</v>
      </c>
      <c r="IB116" t="e">
        <f>AND('Planilla_General_03-12-2012_9_3'!K1855,"AAAAAH1/f+s=")</f>
        <v>#VALUE!</v>
      </c>
      <c r="IC116" t="e">
        <f>AND('Planilla_General_03-12-2012_9_3'!L1855,"AAAAAH1/f+w=")</f>
        <v>#VALUE!</v>
      </c>
      <c r="ID116" t="e">
        <f>AND('Planilla_General_03-12-2012_9_3'!M1855,"AAAAAH1/f+0=")</f>
        <v>#VALUE!</v>
      </c>
      <c r="IE116" t="e">
        <f>AND('Planilla_General_03-12-2012_9_3'!N1855,"AAAAAH1/f+4=")</f>
        <v>#VALUE!</v>
      </c>
      <c r="IF116" t="e">
        <f>AND('Planilla_General_03-12-2012_9_3'!O1855,"AAAAAH1/f+8=")</f>
        <v>#VALUE!</v>
      </c>
      <c r="IG116">
        <f>IF('Planilla_General_03-12-2012_9_3'!1856:1856,"AAAAAH1/f/A=",0)</f>
        <v>0</v>
      </c>
      <c r="IH116" t="e">
        <f>AND('Planilla_General_03-12-2012_9_3'!A1856,"AAAAAH1/f/E=")</f>
        <v>#VALUE!</v>
      </c>
      <c r="II116" t="e">
        <f>AND('Planilla_General_03-12-2012_9_3'!B1856,"AAAAAH1/f/I=")</f>
        <v>#VALUE!</v>
      </c>
      <c r="IJ116" t="e">
        <f>AND('Planilla_General_03-12-2012_9_3'!C1856,"AAAAAH1/f/M=")</f>
        <v>#VALUE!</v>
      </c>
      <c r="IK116" t="e">
        <f>AND('Planilla_General_03-12-2012_9_3'!D1856,"AAAAAH1/f/Q=")</f>
        <v>#VALUE!</v>
      </c>
      <c r="IL116" t="e">
        <f>AND('Planilla_General_03-12-2012_9_3'!E1856,"AAAAAH1/f/U=")</f>
        <v>#VALUE!</v>
      </c>
      <c r="IM116" t="e">
        <f>AND('Planilla_General_03-12-2012_9_3'!F1856,"AAAAAH1/f/Y=")</f>
        <v>#VALUE!</v>
      </c>
      <c r="IN116" t="e">
        <f>AND('Planilla_General_03-12-2012_9_3'!G1856,"AAAAAH1/f/c=")</f>
        <v>#VALUE!</v>
      </c>
      <c r="IO116" t="e">
        <f>AND('Planilla_General_03-12-2012_9_3'!H1856,"AAAAAH1/f/g=")</f>
        <v>#VALUE!</v>
      </c>
      <c r="IP116" t="e">
        <f>AND('Planilla_General_03-12-2012_9_3'!I1856,"AAAAAH1/f/k=")</f>
        <v>#VALUE!</v>
      </c>
      <c r="IQ116" t="e">
        <f>AND('Planilla_General_03-12-2012_9_3'!J1856,"AAAAAH1/f/o=")</f>
        <v>#VALUE!</v>
      </c>
      <c r="IR116" t="e">
        <f>AND('Planilla_General_03-12-2012_9_3'!K1856,"AAAAAH1/f/s=")</f>
        <v>#VALUE!</v>
      </c>
      <c r="IS116" t="e">
        <f>AND('Planilla_General_03-12-2012_9_3'!L1856,"AAAAAH1/f/w=")</f>
        <v>#VALUE!</v>
      </c>
      <c r="IT116" t="e">
        <f>AND('Planilla_General_03-12-2012_9_3'!M1856,"AAAAAH1/f/0=")</f>
        <v>#VALUE!</v>
      </c>
      <c r="IU116" t="e">
        <f>AND('Planilla_General_03-12-2012_9_3'!N1856,"AAAAAH1/f/4=")</f>
        <v>#VALUE!</v>
      </c>
      <c r="IV116" t="e">
        <f>AND('Planilla_General_03-12-2012_9_3'!O1856,"AAAAAH1/f/8=")</f>
        <v>#VALUE!</v>
      </c>
    </row>
    <row r="117" spans="1:256" x14ac:dyDescent="0.25">
      <c r="A117" t="e">
        <f>IF('Planilla_General_03-12-2012_9_3'!1857:1857,"AAAAAD3/ywA=",0)</f>
        <v>#VALUE!</v>
      </c>
      <c r="B117" t="e">
        <f>AND('Planilla_General_03-12-2012_9_3'!A1857,"AAAAAD3/ywE=")</f>
        <v>#VALUE!</v>
      </c>
      <c r="C117" t="e">
        <f>AND('Planilla_General_03-12-2012_9_3'!B1857,"AAAAAD3/ywI=")</f>
        <v>#VALUE!</v>
      </c>
      <c r="D117" t="e">
        <f>AND('Planilla_General_03-12-2012_9_3'!C1857,"AAAAAD3/ywM=")</f>
        <v>#VALUE!</v>
      </c>
      <c r="E117" t="e">
        <f>AND('Planilla_General_03-12-2012_9_3'!D1857,"AAAAAD3/ywQ=")</f>
        <v>#VALUE!</v>
      </c>
      <c r="F117" t="e">
        <f>AND('Planilla_General_03-12-2012_9_3'!E1857,"AAAAAD3/ywU=")</f>
        <v>#VALUE!</v>
      </c>
      <c r="G117" t="e">
        <f>AND('Planilla_General_03-12-2012_9_3'!F1857,"AAAAAD3/ywY=")</f>
        <v>#VALUE!</v>
      </c>
      <c r="H117" t="e">
        <f>AND('Planilla_General_03-12-2012_9_3'!G1857,"AAAAAD3/ywc=")</f>
        <v>#VALUE!</v>
      </c>
      <c r="I117" t="e">
        <f>AND('Planilla_General_03-12-2012_9_3'!H1857,"AAAAAD3/ywg=")</f>
        <v>#VALUE!</v>
      </c>
      <c r="J117" t="e">
        <f>AND('Planilla_General_03-12-2012_9_3'!I1857,"AAAAAD3/ywk=")</f>
        <v>#VALUE!</v>
      </c>
      <c r="K117" t="e">
        <f>AND('Planilla_General_03-12-2012_9_3'!J1857,"AAAAAD3/ywo=")</f>
        <v>#VALUE!</v>
      </c>
      <c r="L117" t="e">
        <f>AND('Planilla_General_03-12-2012_9_3'!K1857,"AAAAAD3/yws=")</f>
        <v>#VALUE!</v>
      </c>
      <c r="M117" t="e">
        <f>AND('Planilla_General_03-12-2012_9_3'!L1857,"AAAAAD3/yww=")</f>
        <v>#VALUE!</v>
      </c>
      <c r="N117" t="e">
        <f>AND('Planilla_General_03-12-2012_9_3'!M1857,"AAAAAD3/yw0=")</f>
        <v>#VALUE!</v>
      </c>
      <c r="O117" t="e">
        <f>AND('Planilla_General_03-12-2012_9_3'!N1857,"AAAAAD3/yw4=")</f>
        <v>#VALUE!</v>
      </c>
      <c r="P117" t="e">
        <f>AND('Planilla_General_03-12-2012_9_3'!O1857,"AAAAAD3/yw8=")</f>
        <v>#VALUE!</v>
      </c>
      <c r="Q117">
        <f>IF('Planilla_General_03-12-2012_9_3'!1858:1858,"AAAAAD3/yxA=",0)</f>
        <v>0</v>
      </c>
      <c r="R117" t="e">
        <f>AND('Planilla_General_03-12-2012_9_3'!A1858,"AAAAAD3/yxE=")</f>
        <v>#VALUE!</v>
      </c>
      <c r="S117" t="e">
        <f>AND('Planilla_General_03-12-2012_9_3'!B1858,"AAAAAD3/yxI=")</f>
        <v>#VALUE!</v>
      </c>
      <c r="T117" t="e">
        <f>AND('Planilla_General_03-12-2012_9_3'!C1858,"AAAAAD3/yxM=")</f>
        <v>#VALUE!</v>
      </c>
      <c r="U117" t="e">
        <f>AND('Planilla_General_03-12-2012_9_3'!D1858,"AAAAAD3/yxQ=")</f>
        <v>#VALUE!</v>
      </c>
      <c r="V117" t="e">
        <f>AND('Planilla_General_03-12-2012_9_3'!E1858,"AAAAAD3/yxU=")</f>
        <v>#VALUE!</v>
      </c>
      <c r="W117" t="e">
        <f>AND('Planilla_General_03-12-2012_9_3'!F1858,"AAAAAD3/yxY=")</f>
        <v>#VALUE!</v>
      </c>
      <c r="X117" t="e">
        <f>AND('Planilla_General_03-12-2012_9_3'!G1858,"AAAAAD3/yxc=")</f>
        <v>#VALUE!</v>
      </c>
      <c r="Y117" t="e">
        <f>AND('Planilla_General_03-12-2012_9_3'!H1858,"AAAAAD3/yxg=")</f>
        <v>#VALUE!</v>
      </c>
      <c r="Z117" t="e">
        <f>AND('Planilla_General_03-12-2012_9_3'!I1858,"AAAAAD3/yxk=")</f>
        <v>#VALUE!</v>
      </c>
      <c r="AA117" t="e">
        <f>AND('Planilla_General_03-12-2012_9_3'!J1858,"AAAAAD3/yxo=")</f>
        <v>#VALUE!</v>
      </c>
      <c r="AB117" t="e">
        <f>AND('Planilla_General_03-12-2012_9_3'!K1858,"AAAAAD3/yxs=")</f>
        <v>#VALUE!</v>
      </c>
      <c r="AC117" t="e">
        <f>AND('Planilla_General_03-12-2012_9_3'!L1858,"AAAAAD3/yxw=")</f>
        <v>#VALUE!</v>
      </c>
      <c r="AD117" t="e">
        <f>AND('Planilla_General_03-12-2012_9_3'!M1858,"AAAAAD3/yx0=")</f>
        <v>#VALUE!</v>
      </c>
      <c r="AE117" t="e">
        <f>AND('Planilla_General_03-12-2012_9_3'!N1858,"AAAAAD3/yx4=")</f>
        <v>#VALUE!</v>
      </c>
      <c r="AF117" t="e">
        <f>AND('Planilla_General_03-12-2012_9_3'!O1858,"AAAAAD3/yx8=")</f>
        <v>#VALUE!</v>
      </c>
      <c r="AG117">
        <f>IF('Planilla_General_03-12-2012_9_3'!1859:1859,"AAAAAD3/yyA=",0)</f>
        <v>0</v>
      </c>
      <c r="AH117" t="e">
        <f>AND('Planilla_General_03-12-2012_9_3'!A1859,"AAAAAD3/yyE=")</f>
        <v>#VALUE!</v>
      </c>
      <c r="AI117" t="e">
        <f>AND('Planilla_General_03-12-2012_9_3'!B1859,"AAAAAD3/yyI=")</f>
        <v>#VALUE!</v>
      </c>
      <c r="AJ117" t="e">
        <f>AND('Planilla_General_03-12-2012_9_3'!C1859,"AAAAAD3/yyM=")</f>
        <v>#VALUE!</v>
      </c>
      <c r="AK117" t="e">
        <f>AND('Planilla_General_03-12-2012_9_3'!D1859,"AAAAAD3/yyQ=")</f>
        <v>#VALUE!</v>
      </c>
      <c r="AL117" t="e">
        <f>AND('Planilla_General_03-12-2012_9_3'!E1859,"AAAAAD3/yyU=")</f>
        <v>#VALUE!</v>
      </c>
      <c r="AM117" t="e">
        <f>AND('Planilla_General_03-12-2012_9_3'!F1859,"AAAAAD3/yyY=")</f>
        <v>#VALUE!</v>
      </c>
      <c r="AN117" t="e">
        <f>AND('Planilla_General_03-12-2012_9_3'!G1859,"AAAAAD3/yyc=")</f>
        <v>#VALUE!</v>
      </c>
      <c r="AO117" t="e">
        <f>AND('Planilla_General_03-12-2012_9_3'!H1859,"AAAAAD3/yyg=")</f>
        <v>#VALUE!</v>
      </c>
      <c r="AP117" t="e">
        <f>AND('Planilla_General_03-12-2012_9_3'!I1859,"AAAAAD3/yyk=")</f>
        <v>#VALUE!</v>
      </c>
      <c r="AQ117" t="e">
        <f>AND('Planilla_General_03-12-2012_9_3'!J1859,"AAAAAD3/yyo=")</f>
        <v>#VALUE!</v>
      </c>
      <c r="AR117" t="e">
        <f>AND('Planilla_General_03-12-2012_9_3'!K1859,"AAAAAD3/yys=")</f>
        <v>#VALUE!</v>
      </c>
      <c r="AS117" t="e">
        <f>AND('Planilla_General_03-12-2012_9_3'!L1859,"AAAAAD3/yyw=")</f>
        <v>#VALUE!</v>
      </c>
      <c r="AT117" t="e">
        <f>AND('Planilla_General_03-12-2012_9_3'!M1859,"AAAAAD3/yy0=")</f>
        <v>#VALUE!</v>
      </c>
      <c r="AU117" t="e">
        <f>AND('Planilla_General_03-12-2012_9_3'!N1859,"AAAAAD3/yy4=")</f>
        <v>#VALUE!</v>
      </c>
      <c r="AV117" t="e">
        <f>AND('Planilla_General_03-12-2012_9_3'!O1859,"AAAAAD3/yy8=")</f>
        <v>#VALUE!</v>
      </c>
      <c r="AW117">
        <f>IF('Planilla_General_03-12-2012_9_3'!1860:1860,"AAAAAD3/yzA=",0)</f>
        <v>0</v>
      </c>
      <c r="AX117" t="e">
        <f>AND('Planilla_General_03-12-2012_9_3'!A1860,"AAAAAD3/yzE=")</f>
        <v>#VALUE!</v>
      </c>
      <c r="AY117" t="e">
        <f>AND('Planilla_General_03-12-2012_9_3'!B1860,"AAAAAD3/yzI=")</f>
        <v>#VALUE!</v>
      </c>
      <c r="AZ117" t="e">
        <f>AND('Planilla_General_03-12-2012_9_3'!C1860,"AAAAAD3/yzM=")</f>
        <v>#VALUE!</v>
      </c>
      <c r="BA117" t="e">
        <f>AND('Planilla_General_03-12-2012_9_3'!D1860,"AAAAAD3/yzQ=")</f>
        <v>#VALUE!</v>
      </c>
      <c r="BB117" t="e">
        <f>AND('Planilla_General_03-12-2012_9_3'!E1860,"AAAAAD3/yzU=")</f>
        <v>#VALUE!</v>
      </c>
      <c r="BC117" t="e">
        <f>AND('Planilla_General_03-12-2012_9_3'!F1860,"AAAAAD3/yzY=")</f>
        <v>#VALUE!</v>
      </c>
      <c r="BD117" t="e">
        <f>AND('Planilla_General_03-12-2012_9_3'!G1860,"AAAAAD3/yzc=")</f>
        <v>#VALUE!</v>
      </c>
      <c r="BE117" t="e">
        <f>AND('Planilla_General_03-12-2012_9_3'!H1860,"AAAAAD3/yzg=")</f>
        <v>#VALUE!</v>
      </c>
      <c r="BF117" t="e">
        <f>AND('Planilla_General_03-12-2012_9_3'!I1860,"AAAAAD3/yzk=")</f>
        <v>#VALUE!</v>
      </c>
      <c r="BG117" t="e">
        <f>AND('Planilla_General_03-12-2012_9_3'!J1860,"AAAAAD3/yzo=")</f>
        <v>#VALUE!</v>
      </c>
      <c r="BH117" t="e">
        <f>AND('Planilla_General_03-12-2012_9_3'!K1860,"AAAAAD3/yzs=")</f>
        <v>#VALUE!</v>
      </c>
      <c r="BI117" t="e">
        <f>AND('Planilla_General_03-12-2012_9_3'!L1860,"AAAAAD3/yzw=")</f>
        <v>#VALUE!</v>
      </c>
      <c r="BJ117" t="e">
        <f>AND('Planilla_General_03-12-2012_9_3'!M1860,"AAAAAD3/yz0=")</f>
        <v>#VALUE!</v>
      </c>
      <c r="BK117" t="e">
        <f>AND('Planilla_General_03-12-2012_9_3'!N1860,"AAAAAD3/yz4=")</f>
        <v>#VALUE!</v>
      </c>
      <c r="BL117" t="e">
        <f>AND('Planilla_General_03-12-2012_9_3'!O1860,"AAAAAD3/yz8=")</f>
        <v>#VALUE!</v>
      </c>
      <c r="BM117">
        <f>IF('Planilla_General_03-12-2012_9_3'!1861:1861,"AAAAAD3/y0A=",0)</f>
        <v>0</v>
      </c>
      <c r="BN117" t="e">
        <f>AND('Planilla_General_03-12-2012_9_3'!A1861,"AAAAAD3/y0E=")</f>
        <v>#VALUE!</v>
      </c>
      <c r="BO117" t="e">
        <f>AND('Planilla_General_03-12-2012_9_3'!B1861,"AAAAAD3/y0I=")</f>
        <v>#VALUE!</v>
      </c>
      <c r="BP117" t="e">
        <f>AND('Planilla_General_03-12-2012_9_3'!C1861,"AAAAAD3/y0M=")</f>
        <v>#VALUE!</v>
      </c>
      <c r="BQ117" t="e">
        <f>AND('Planilla_General_03-12-2012_9_3'!D1861,"AAAAAD3/y0Q=")</f>
        <v>#VALUE!</v>
      </c>
      <c r="BR117" t="e">
        <f>AND('Planilla_General_03-12-2012_9_3'!E1861,"AAAAAD3/y0U=")</f>
        <v>#VALUE!</v>
      </c>
      <c r="BS117" t="e">
        <f>AND('Planilla_General_03-12-2012_9_3'!F1861,"AAAAAD3/y0Y=")</f>
        <v>#VALUE!</v>
      </c>
      <c r="BT117" t="e">
        <f>AND('Planilla_General_03-12-2012_9_3'!G1861,"AAAAAD3/y0c=")</f>
        <v>#VALUE!</v>
      </c>
      <c r="BU117" t="e">
        <f>AND('Planilla_General_03-12-2012_9_3'!H1861,"AAAAAD3/y0g=")</f>
        <v>#VALUE!</v>
      </c>
      <c r="BV117" t="e">
        <f>AND('Planilla_General_03-12-2012_9_3'!I1861,"AAAAAD3/y0k=")</f>
        <v>#VALUE!</v>
      </c>
      <c r="BW117" t="e">
        <f>AND('Planilla_General_03-12-2012_9_3'!J1861,"AAAAAD3/y0o=")</f>
        <v>#VALUE!</v>
      </c>
      <c r="BX117" t="e">
        <f>AND('Planilla_General_03-12-2012_9_3'!K1861,"AAAAAD3/y0s=")</f>
        <v>#VALUE!</v>
      </c>
      <c r="BY117" t="e">
        <f>AND('Planilla_General_03-12-2012_9_3'!L1861,"AAAAAD3/y0w=")</f>
        <v>#VALUE!</v>
      </c>
      <c r="BZ117" t="e">
        <f>AND('Planilla_General_03-12-2012_9_3'!M1861,"AAAAAD3/y00=")</f>
        <v>#VALUE!</v>
      </c>
      <c r="CA117" t="e">
        <f>AND('Planilla_General_03-12-2012_9_3'!N1861,"AAAAAD3/y04=")</f>
        <v>#VALUE!</v>
      </c>
      <c r="CB117" t="e">
        <f>AND('Planilla_General_03-12-2012_9_3'!O1861,"AAAAAD3/y08=")</f>
        <v>#VALUE!</v>
      </c>
      <c r="CC117">
        <f>IF('Planilla_General_03-12-2012_9_3'!1862:1862,"AAAAAD3/y1A=",0)</f>
        <v>0</v>
      </c>
      <c r="CD117" t="e">
        <f>AND('Planilla_General_03-12-2012_9_3'!A1862,"AAAAAD3/y1E=")</f>
        <v>#VALUE!</v>
      </c>
      <c r="CE117" t="e">
        <f>AND('Planilla_General_03-12-2012_9_3'!B1862,"AAAAAD3/y1I=")</f>
        <v>#VALUE!</v>
      </c>
      <c r="CF117" t="e">
        <f>AND('Planilla_General_03-12-2012_9_3'!C1862,"AAAAAD3/y1M=")</f>
        <v>#VALUE!</v>
      </c>
      <c r="CG117" t="e">
        <f>AND('Planilla_General_03-12-2012_9_3'!D1862,"AAAAAD3/y1Q=")</f>
        <v>#VALUE!</v>
      </c>
      <c r="CH117" t="e">
        <f>AND('Planilla_General_03-12-2012_9_3'!E1862,"AAAAAD3/y1U=")</f>
        <v>#VALUE!</v>
      </c>
      <c r="CI117" t="e">
        <f>AND('Planilla_General_03-12-2012_9_3'!F1862,"AAAAAD3/y1Y=")</f>
        <v>#VALUE!</v>
      </c>
      <c r="CJ117" t="e">
        <f>AND('Planilla_General_03-12-2012_9_3'!G1862,"AAAAAD3/y1c=")</f>
        <v>#VALUE!</v>
      </c>
      <c r="CK117" t="e">
        <f>AND('Planilla_General_03-12-2012_9_3'!H1862,"AAAAAD3/y1g=")</f>
        <v>#VALUE!</v>
      </c>
      <c r="CL117" t="e">
        <f>AND('Planilla_General_03-12-2012_9_3'!I1862,"AAAAAD3/y1k=")</f>
        <v>#VALUE!</v>
      </c>
      <c r="CM117" t="e">
        <f>AND('Planilla_General_03-12-2012_9_3'!J1862,"AAAAAD3/y1o=")</f>
        <v>#VALUE!</v>
      </c>
      <c r="CN117" t="e">
        <f>AND('Planilla_General_03-12-2012_9_3'!K1862,"AAAAAD3/y1s=")</f>
        <v>#VALUE!</v>
      </c>
      <c r="CO117" t="e">
        <f>AND('Planilla_General_03-12-2012_9_3'!L1862,"AAAAAD3/y1w=")</f>
        <v>#VALUE!</v>
      </c>
      <c r="CP117" t="e">
        <f>AND('Planilla_General_03-12-2012_9_3'!M1862,"AAAAAD3/y10=")</f>
        <v>#VALUE!</v>
      </c>
      <c r="CQ117" t="e">
        <f>AND('Planilla_General_03-12-2012_9_3'!N1862,"AAAAAD3/y14=")</f>
        <v>#VALUE!</v>
      </c>
      <c r="CR117" t="e">
        <f>AND('Planilla_General_03-12-2012_9_3'!O1862,"AAAAAD3/y18=")</f>
        <v>#VALUE!</v>
      </c>
      <c r="CS117">
        <f>IF('Planilla_General_03-12-2012_9_3'!1863:1863,"AAAAAD3/y2A=",0)</f>
        <v>0</v>
      </c>
      <c r="CT117" t="e">
        <f>AND('Planilla_General_03-12-2012_9_3'!A1863,"AAAAAD3/y2E=")</f>
        <v>#VALUE!</v>
      </c>
      <c r="CU117" t="e">
        <f>AND('Planilla_General_03-12-2012_9_3'!B1863,"AAAAAD3/y2I=")</f>
        <v>#VALUE!</v>
      </c>
      <c r="CV117" t="e">
        <f>AND('Planilla_General_03-12-2012_9_3'!C1863,"AAAAAD3/y2M=")</f>
        <v>#VALUE!</v>
      </c>
      <c r="CW117" t="e">
        <f>AND('Planilla_General_03-12-2012_9_3'!D1863,"AAAAAD3/y2Q=")</f>
        <v>#VALUE!</v>
      </c>
      <c r="CX117" t="e">
        <f>AND('Planilla_General_03-12-2012_9_3'!E1863,"AAAAAD3/y2U=")</f>
        <v>#VALUE!</v>
      </c>
      <c r="CY117" t="e">
        <f>AND('Planilla_General_03-12-2012_9_3'!F1863,"AAAAAD3/y2Y=")</f>
        <v>#VALUE!</v>
      </c>
      <c r="CZ117" t="e">
        <f>AND('Planilla_General_03-12-2012_9_3'!G1863,"AAAAAD3/y2c=")</f>
        <v>#VALUE!</v>
      </c>
      <c r="DA117" t="e">
        <f>AND('Planilla_General_03-12-2012_9_3'!H1863,"AAAAAD3/y2g=")</f>
        <v>#VALUE!</v>
      </c>
      <c r="DB117" t="e">
        <f>AND('Planilla_General_03-12-2012_9_3'!I1863,"AAAAAD3/y2k=")</f>
        <v>#VALUE!</v>
      </c>
      <c r="DC117" t="e">
        <f>AND('Planilla_General_03-12-2012_9_3'!J1863,"AAAAAD3/y2o=")</f>
        <v>#VALUE!</v>
      </c>
      <c r="DD117" t="e">
        <f>AND('Planilla_General_03-12-2012_9_3'!K1863,"AAAAAD3/y2s=")</f>
        <v>#VALUE!</v>
      </c>
      <c r="DE117" t="e">
        <f>AND('Planilla_General_03-12-2012_9_3'!L1863,"AAAAAD3/y2w=")</f>
        <v>#VALUE!</v>
      </c>
      <c r="DF117" t="e">
        <f>AND('Planilla_General_03-12-2012_9_3'!M1863,"AAAAAD3/y20=")</f>
        <v>#VALUE!</v>
      </c>
      <c r="DG117" t="e">
        <f>AND('Planilla_General_03-12-2012_9_3'!N1863,"AAAAAD3/y24=")</f>
        <v>#VALUE!</v>
      </c>
      <c r="DH117" t="e">
        <f>AND('Planilla_General_03-12-2012_9_3'!O1863,"AAAAAD3/y28=")</f>
        <v>#VALUE!</v>
      </c>
      <c r="DI117">
        <f>IF('Planilla_General_03-12-2012_9_3'!1864:1864,"AAAAAD3/y3A=",0)</f>
        <v>0</v>
      </c>
      <c r="DJ117" t="e">
        <f>AND('Planilla_General_03-12-2012_9_3'!A1864,"AAAAAD3/y3E=")</f>
        <v>#VALUE!</v>
      </c>
      <c r="DK117" t="e">
        <f>AND('Planilla_General_03-12-2012_9_3'!B1864,"AAAAAD3/y3I=")</f>
        <v>#VALUE!</v>
      </c>
      <c r="DL117" t="e">
        <f>AND('Planilla_General_03-12-2012_9_3'!C1864,"AAAAAD3/y3M=")</f>
        <v>#VALUE!</v>
      </c>
      <c r="DM117" t="e">
        <f>AND('Planilla_General_03-12-2012_9_3'!D1864,"AAAAAD3/y3Q=")</f>
        <v>#VALUE!</v>
      </c>
      <c r="DN117" t="e">
        <f>AND('Planilla_General_03-12-2012_9_3'!E1864,"AAAAAD3/y3U=")</f>
        <v>#VALUE!</v>
      </c>
      <c r="DO117" t="e">
        <f>AND('Planilla_General_03-12-2012_9_3'!F1864,"AAAAAD3/y3Y=")</f>
        <v>#VALUE!</v>
      </c>
      <c r="DP117" t="e">
        <f>AND('Planilla_General_03-12-2012_9_3'!G1864,"AAAAAD3/y3c=")</f>
        <v>#VALUE!</v>
      </c>
      <c r="DQ117" t="e">
        <f>AND('Planilla_General_03-12-2012_9_3'!H1864,"AAAAAD3/y3g=")</f>
        <v>#VALUE!</v>
      </c>
      <c r="DR117" t="e">
        <f>AND('Planilla_General_03-12-2012_9_3'!I1864,"AAAAAD3/y3k=")</f>
        <v>#VALUE!</v>
      </c>
      <c r="DS117" t="e">
        <f>AND('Planilla_General_03-12-2012_9_3'!J1864,"AAAAAD3/y3o=")</f>
        <v>#VALUE!</v>
      </c>
      <c r="DT117" t="e">
        <f>AND('Planilla_General_03-12-2012_9_3'!K1864,"AAAAAD3/y3s=")</f>
        <v>#VALUE!</v>
      </c>
      <c r="DU117" t="e">
        <f>AND('Planilla_General_03-12-2012_9_3'!L1864,"AAAAAD3/y3w=")</f>
        <v>#VALUE!</v>
      </c>
      <c r="DV117" t="e">
        <f>AND('Planilla_General_03-12-2012_9_3'!M1864,"AAAAAD3/y30=")</f>
        <v>#VALUE!</v>
      </c>
      <c r="DW117" t="e">
        <f>AND('Planilla_General_03-12-2012_9_3'!N1864,"AAAAAD3/y34=")</f>
        <v>#VALUE!</v>
      </c>
      <c r="DX117" t="e">
        <f>AND('Planilla_General_03-12-2012_9_3'!O1864,"AAAAAD3/y38=")</f>
        <v>#VALUE!</v>
      </c>
      <c r="DY117">
        <f>IF('Planilla_General_03-12-2012_9_3'!1865:1865,"AAAAAD3/y4A=",0)</f>
        <v>0</v>
      </c>
      <c r="DZ117" t="e">
        <f>AND('Planilla_General_03-12-2012_9_3'!A1865,"AAAAAD3/y4E=")</f>
        <v>#VALUE!</v>
      </c>
      <c r="EA117" t="e">
        <f>AND('Planilla_General_03-12-2012_9_3'!B1865,"AAAAAD3/y4I=")</f>
        <v>#VALUE!</v>
      </c>
      <c r="EB117" t="e">
        <f>AND('Planilla_General_03-12-2012_9_3'!C1865,"AAAAAD3/y4M=")</f>
        <v>#VALUE!</v>
      </c>
      <c r="EC117" t="e">
        <f>AND('Planilla_General_03-12-2012_9_3'!D1865,"AAAAAD3/y4Q=")</f>
        <v>#VALUE!</v>
      </c>
      <c r="ED117" t="e">
        <f>AND('Planilla_General_03-12-2012_9_3'!E1865,"AAAAAD3/y4U=")</f>
        <v>#VALUE!</v>
      </c>
      <c r="EE117" t="e">
        <f>AND('Planilla_General_03-12-2012_9_3'!F1865,"AAAAAD3/y4Y=")</f>
        <v>#VALUE!</v>
      </c>
      <c r="EF117" t="e">
        <f>AND('Planilla_General_03-12-2012_9_3'!G1865,"AAAAAD3/y4c=")</f>
        <v>#VALUE!</v>
      </c>
      <c r="EG117" t="e">
        <f>AND('Planilla_General_03-12-2012_9_3'!H1865,"AAAAAD3/y4g=")</f>
        <v>#VALUE!</v>
      </c>
      <c r="EH117" t="e">
        <f>AND('Planilla_General_03-12-2012_9_3'!I1865,"AAAAAD3/y4k=")</f>
        <v>#VALUE!</v>
      </c>
      <c r="EI117" t="e">
        <f>AND('Planilla_General_03-12-2012_9_3'!J1865,"AAAAAD3/y4o=")</f>
        <v>#VALUE!</v>
      </c>
      <c r="EJ117" t="e">
        <f>AND('Planilla_General_03-12-2012_9_3'!K1865,"AAAAAD3/y4s=")</f>
        <v>#VALUE!</v>
      </c>
      <c r="EK117" t="e">
        <f>AND('Planilla_General_03-12-2012_9_3'!L1865,"AAAAAD3/y4w=")</f>
        <v>#VALUE!</v>
      </c>
      <c r="EL117" t="e">
        <f>AND('Planilla_General_03-12-2012_9_3'!M1865,"AAAAAD3/y40=")</f>
        <v>#VALUE!</v>
      </c>
      <c r="EM117" t="e">
        <f>AND('Planilla_General_03-12-2012_9_3'!N1865,"AAAAAD3/y44=")</f>
        <v>#VALUE!</v>
      </c>
      <c r="EN117" t="e">
        <f>AND('Planilla_General_03-12-2012_9_3'!O1865,"AAAAAD3/y48=")</f>
        <v>#VALUE!</v>
      </c>
      <c r="EO117">
        <f>IF('Planilla_General_03-12-2012_9_3'!1866:1866,"AAAAAD3/y5A=",0)</f>
        <v>0</v>
      </c>
      <c r="EP117" t="e">
        <f>AND('Planilla_General_03-12-2012_9_3'!A1866,"AAAAAD3/y5E=")</f>
        <v>#VALUE!</v>
      </c>
      <c r="EQ117" t="e">
        <f>AND('Planilla_General_03-12-2012_9_3'!B1866,"AAAAAD3/y5I=")</f>
        <v>#VALUE!</v>
      </c>
      <c r="ER117" t="e">
        <f>AND('Planilla_General_03-12-2012_9_3'!C1866,"AAAAAD3/y5M=")</f>
        <v>#VALUE!</v>
      </c>
      <c r="ES117" t="e">
        <f>AND('Planilla_General_03-12-2012_9_3'!D1866,"AAAAAD3/y5Q=")</f>
        <v>#VALUE!</v>
      </c>
      <c r="ET117" t="e">
        <f>AND('Planilla_General_03-12-2012_9_3'!E1866,"AAAAAD3/y5U=")</f>
        <v>#VALUE!</v>
      </c>
      <c r="EU117" t="e">
        <f>AND('Planilla_General_03-12-2012_9_3'!F1866,"AAAAAD3/y5Y=")</f>
        <v>#VALUE!</v>
      </c>
      <c r="EV117" t="e">
        <f>AND('Planilla_General_03-12-2012_9_3'!G1866,"AAAAAD3/y5c=")</f>
        <v>#VALUE!</v>
      </c>
      <c r="EW117" t="e">
        <f>AND('Planilla_General_03-12-2012_9_3'!H1866,"AAAAAD3/y5g=")</f>
        <v>#VALUE!</v>
      </c>
      <c r="EX117" t="e">
        <f>AND('Planilla_General_03-12-2012_9_3'!I1866,"AAAAAD3/y5k=")</f>
        <v>#VALUE!</v>
      </c>
      <c r="EY117" t="e">
        <f>AND('Planilla_General_03-12-2012_9_3'!J1866,"AAAAAD3/y5o=")</f>
        <v>#VALUE!</v>
      </c>
      <c r="EZ117" t="e">
        <f>AND('Planilla_General_03-12-2012_9_3'!K1866,"AAAAAD3/y5s=")</f>
        <v>#VALUE!</v>
      </c>
      <c r="FA117" t="e">
        <f>AND('Planilla_General_03-12-2012_9_3'!L1866,"AAAAAD3/y5w=")</f>
        <v>#VALUE!</v>
      </c>
      <c r="FB117" t="e">
        <f>AND('Planilla_General_03-12-2012_9_3'!M1866,"AAAAAD3/y50=")</f>
        <v>#VALUE!</v>
      </c>
      <c r="FC117" t="e">
        <f>AND('Planilla_General_03-12-2012_9_3'!N1866,"AAAAAD3/y54=")</f>
        <v>#VALUE!</v>
      </c>
      <c r="FD117" t="e">
        <f>AND('Planilla_General_03-12-2012_9_3'!O1866,"AAAAAD3/y58=")</f>
        <v>#VALUE!</v>
      </c>
      <c r="FE117">
        <f>IF('Planilla_General_03-12-2012_9_3'!1867:1867,"AAAAAD3/y6A=",0)</f>
        <v>0</v>
      </c>
      <c r="FF117" t="e">
        <f>AND('Planilla_General_03-12-2012_9_3'!A1867,"AAAAAD3/y6E=")</f>
        <v>#VALUE!</v>
      </c>
      <c r="FG117" t="e">
        <f>AND('Planilla_General_03-12-2012_9_3'!B1867,"AAAAAD3/y6I=")</f>
        <v>#VALUE!</v>
      </c>
      <c r="FH117" t="e">
        <f>AND('Planilla_General_03-12-2012_9_3'!C1867,"AAAAAD3/y6M=")</f>
        <v>#VALUE!</v>
      </c>
      <c r="FI117" t="e">
        <f>AND('Planilla_General_03-12-2012_9_3'!D1867,"AAAAAD3/y6Q=")</f>
        <v>#VALUE!</v>
      </c>
      <c r="FJ117" t="e">
        <f>AND('Planilla_General_03-12-2012_9_3'!E1867,"AAAAAD3/y6U=")</f>
        <v>#VALUE!</v>
      </c>
      <c r="FK117" t="e">
        <f>AND('Planilla_General_03-12-2012_9_3'!F1867,"AAAAAD3/y6Y=")</f>
        <v>#VALUE!</v>
      </c>
      <c r="FL117" t="e">
        <f>AND('Planilla_General_03-12-2012_9_3'!G1867,"AAAAAD3/y6c=")</f>
        <v>#VALUE!</v>
      </c>
      <c r="FM117" t="e">
        <f>AND('Planilla_General_03-12-2012_9_3'!H1867,"AAAAAD3/y6g=")</f>
        <v>#VALUE!</v>
      </c>
      <c r="FN117" t="e">
        <f>AND('Planilla_General_03-12-2012_9_3'!I1867,"AAAAAD3/y6k=")</f>
        <v>#VALUE!</v>
      </c>
      <c r="FO117" t="e">
        <f>AND('Planilla_General_03-12-2012_9_3'!J1867,"AAAAAD3/y6o=")</f>
        <v>#VALUE!</v>
      </c>
      <c r="FP117" t="e">
        <f>AND('Planilla_General_03-12-2012_9_3'!K1867,"AAAAAD3/y6s=")</f>
        <v>#VALUE!</v>
      </c>
      <c r="FQ117" t="e">
        <f>AND('Planilla_General_03-12-2012_9_3'!L1867,"AAAAAD3/y6w=")</f>
        <v>#VALUE!</v>
      </c>
      <c r="FR117" t="e">
        <f>AND('Planilla_General_03-12-2012_9_3'!M1867,"AAAAAD3/y60=")</f>
        <v>#VALUE!</v>
      </c>
      <c r="FS117" t="e">
        <f>AND('Planilla_General_03-12-2012_9_3'!N1867,"AAAAAD3/y64=")</f>
        <v>#VALUE!</v>
      </c>
      <c r="FT117" t="e">
        <f>AND('Planilla_General_03-12-2012_9_3'!O1867,"AAAAAD3/y68=")</f>
        <v>#VALUE!</v>
      </c>
      <c r="FU117">
        <f>IF('Planilla_General_03-12-2012_9_3'!1868:1868,"AAAAAD3/y7A=",0)</f>
        <v>0</v>
      </c>
      <c r="FV117" t="e">
        <f>AND('Planilla_General_03-12-2012_9_3'!A1868,"AAAAAD3/y7E=")</f>
        <v>#VALUE!</v>
      </c>
      <c r="FW117" t="e">
        <f>AND('Planilla_General_03-12-2012_9_3'!B1868,"AAAAAD3/y7I=")</f>
        <v>#VALUE!</v>
      </c>
      <c r="FX117" t="e">
        <f>AND('Planilla_General_03-12-2012_9_3'!C1868,"AAAAAD3/y7M=")</f>
        <v>#VALUE!</v>
      </c>
      <c r="FY117" t="e">
        <f>AND('Planilla_General_03-12-2012_9_3'!D1868,"AAAAAD3/y7Q=")</f>
        <v>#VALUE!</v>
      </c>
      <c r="FZ117" t="e">
        <f>AND('Planilla_General_03-12-2012_9_3'!E1868,"AAAAAD3/y7U=")</f>
        <v>#VALUE!</v>
      </c>
      <c r="GA117" t="e">
        <f>AND('Planilla_General_03-12-2012_9_3'!F1868,"AAAAAD3/y7Y=")</f>
        <v>#VALUE!</v>
      </c>
      <c r="GB117" t="e">
        <f>AND('Planilla_General_03-12-2012_9_3'!G1868,"AAAAAD3/y7c=")</f>
        <v>#VALUE!</v>
      </c>
      <c r="GC117" t="e">
        <f>AND('Planilla_General_03-12-2012_9_3'!H1868,"AAAAAD3/y7g=")</f>
        <v>#VALUE!</v>
      </c>
      <c r="GD117" t="e">
        <f>AND('Planilla_General_03-12-2012_9_3'!I1868,"AAAAAD3/y7k=")</f>
        <v>#VALUE!</v>
      </c>
      <c r="GE117" t="e">
        <f>AND('Planilla_General_03-12-2012_9_3'!J1868,"AAAAAD3/y7o=")</f>
        <v>#VALUE!</v>
      </c>
      <c r="GF117" t="e">
        <f>AND('Planilla_General_03-12-2012_9_3'!K1868,"AAAAAD3/y7s=")</f>
        <v>#VALUE!</v>
      </c>
      <c r="GG117" t="e">
        <f>AND('Planilla_General_03-12-2012_9_3'!L1868,"AAAAAD3/y7w=")</f>
        <v>#VALUE!</v>
      </c>
      <c r="GH117" t="e">
        <f>AND('Planilla_General_03-12-2012_9_3'!M1868,"AAAAAD3/y70=")</f>
        <v>#VALUE!</v>
      </c>
      <c r="GI117" t="e">
        <f>AND('Planilla_General_03-12-2012_9_3'!N1868,"AAAAAD3/y74=")</f>
        <v>#VALUE!</v>
      </c>
      <c r="GJ117" t="e">
        <f>AND('Planilla_General_03-12-2012_9_3'!O1868,"AAAAAD3/y78=")</f>
        <v>#VALUE!</v>
      </c>
      <c r="GK117">
        <f>IF('Planilla_General_03-12-2012_9_3'!1869:1869,"AAAAAD3/y8A=",0)</f>
        <v>0</v>
      </c>
      <c r="GL117" t="e">
        <f>AND('Planilla_General_03-12-2012_9_3'!A1869,"AAAAAD3/y8E=")</f>
        <v>#VALUE!</v>
      </c>
      <c r="GM117" t="e">
        <f>AND('Planilla_General_03-12-2012_9_3'!B1869,"AAAAAD3/y8I=")</f>
        <v>#VALUE!</v>
      </c>
      <c r="GN117" t="e">
        <f>AND('Planilla_General_03-12-2012_9_3'!C1869,"AAAAAD3/y8M=")</f>
        <v>#VALUE!</v>
      </c>
      <c r="GO117" t="e">
        <f>AND('Planilla_General_03-12-2012_9_3'!D1869,"AAAAAD3/y8Q=")</f>
        <v>#VALUE!</v>
      </c>
      <c r="GP117" t="e">
        <f>AND('Planilla_General_03-12-2012_9_3'!E1869,"AAAAAD3/y8U=")</f>
        <v>#VALUE!</v>
      </c>
      <c r="GQ117" t="e">
        <f>AND('Planilla_General_03-12-2012_9_3'!F1869,"AAAAAD3/y8Y=")</f>
        <v>#VALUE!</v>
      </c>
      <c r="GR117" t="e">
        <f>AND('Planilla_General_03-12-2012_9_3'!G1869,"AAAAAD3/y8c=")</f>
        <v>#VALUE!</v>
      </c>
      <c r="GS117" t="e">
        <f>AND('Planilla_General_03-12-2012_9_3'!H1869,"AAAAAD3/y8g=")</f>
        <v>#VALUE!</v>
      </c>
      <c r="GT117" t="e">
        <f>AND('Planilla_General_03-12-2012_9_3'!I1869,"AAAAAD3/y8k=")</f>
        <v>#VALUE!</v>
      </c>
      <c r="GU117" t="e">
        <f>AND('Planilla_General_03-12-2012_9_3'!J1869,"AAAAAD3/y8o=")</f>
        <v>#VALUE!</v>
      </c>
      <c r="GV117" t="e">
        <f>AND('Planilla_General_03-12-2012_9_3'!K1869,"AAAAAD3/y8s=")</f>
        <v>#VALUE!</v>
      </c>
      <c r="GW117" t="e">
        <f>AND('Planilla_General_03-12-2012_9_3'!L1869,"AAAAAD3/y8w=")</f>
        <v>#VALUE!</v>
      </c>
      <c r="GX117" t="e">
        <f>AND('Planilla_General_03-12-2012_9_3'!M1869,"AAAAAD3/y80=")</f>
        <v>#VALUE!</v>
      </c>
      <c r="GY117" t="e">
        <f>AND('Planilla_General_03-12-2012_9_3'!N1869,"AAAAAD3/y84=")</f>
        <v>#VALUE!</v>
      </c>
      <c r="GZ117" t="e">
        <f>AND('Planilla_General_03-12-2012_9_3'!O1869,"AAAAAD3/y88=")</f>
        <v>#VALUE!</v>
      </c>
      <c r="HA117">
        <f>IF('Planilla_General_03-12-2012_9_3'!1870:1870,"AAAAAD3/y9A=",0)</f>
        <v>0</v>
      </c>
      <c r="HB117" t="e">
        <f>AND('Planilla_General_03-12-2012_9_3'!A1870,"AAAAAD3/y9E=")</f>
        <v>#VALUE!</v>
      </c>
      <c r="HC117" t="e">
        <f>AND('Planilla_General_03-12-2012_9_3'!B1870,"AAAAAD3/y9I=")</f>
        <v>#VALUE!</v>
      </c>
      <c r="HD117" t="e">
        <f>AND('Planilla_General_03-12-2012_9_3'!C1870,"AAAAAD3/y9M=")</f>
        <v>#VALUE!</v>
      </c>
      <c r="HE117" t="e">
        <f>AND('Planilla_General_03-12-2012_9_3'!D1870,"AAAAAD3/y9Q=")</f>
        <v>#VALUE!</v>
      </c>
      <c r="HF117" t="e">
        <f>AND('Planilla_General_03-12-2012_9_3'!E1870,"AAAAAD3/y9U=")</f>
        <v>#VALUE!</v>
      </c>
      <c r="HG117" t="e">
        <f>AND('Planilla_General_03-12-2012_9_3'!F1870,"AAAAAD3/y9Y=")</f>
        <v>#VALUE!</v>
      </c>
      <c r="HH117" t="e">
        <f>AND('Planilla_General_03-12-2012_9_3'!G1870,"AAAAAD3/y9c=")</f>
        <v>#VALUE!</v>
      </c>
      <c r="HI117" t="e">
        <f>AND('Planilla_General_03-12-2012_9_3'!H1870,"AAAAAD3/y9g=")</f>
        <v>#VALUE!</v>
      </c>
      <c r="HJ117" t="e">
        <f>AND('Planilla_General_03-12-2012_9_3'!I1870,"AAAAAD3/y9k=")</f>
        <v>#VALUE!</v>
      </c>
      <c r="HK117" t="e">
        <f>AND('Planilla_General_03-12-2012_9_3'!J1870,"AAAAAD3/y9o=")</f>
        <v>#VALUE!</v>
      </c>
      <c r="HL117" t="e">
        <f>AND('Planilla_General_03-12-2012_9_3'!K1870,"AAAAAD3/y9s=")</f>
        <v>#VALUE!</v>
      </c>
      <c r="HM117" t="e">
        <f>AND('Planilla_General_03-12-2012_9_3'!L1870,"AAAAAD3/y9w=")</f>
        <v>#VALUE!</v>
      </c>
      <c r="HN117" t="e">
        <f>AND('Planilla_General_03-12-2012_9_3'!M1870,"AAAAAD3/y90=")</f>
        <v>#VALUE!</v>
      </c>
      <c r="HO117" t="e">
        <f>AND('Planilla_General_03-12-2012_9_3'!N1870,"AAAAAD3/y94=")</f>
        <v>#VALUE!</v>
      </c>
      <c r="HP117" t="e">
        <f>AND('Planilla_General_03-12-2012_9_3'!O1870,"AAAAAD3/y98=")</f>
        <v>#VALUE!</v>
      </c>
      <c r="HQ117">
        <f>IF('Planilla_General_03-12-2012_9_3'!1871:1871,"AAAAAD3/y+A=",0)</f>
        <v>0</v>
      </c>
      <c r="HR117" t="e">
        <f>AND('Planilla_General_03-12-2012_9_3'!A1871,"AAAAAD3/y+E=")</f>
        <v>#VALUE!</v>
      </c>
      <c r="HS117" t="e">
        <f>AND('Planilla_General_03-12-2012_9_3'!B1871,"AAAAAD3/y+I=")</f>
        <v>#VALUE!</v>
      </c>
      <c r="HT117" t="e">
        <f>AND('Planilla_General_03-12-2012_9_3'!C1871,"AAAAAD3/y+M=")</f>
        <v>#VALUE!</v>
      </c>
      <c r="HU117" t="e">
        <f>AND('Planilla_General_03-12-2012_9_3'!D1871,"AAAAAD3/y+Q=")</f>
        <v>#VALUE!</v>
      </c>
      <c r="HV117" t="e">
        <f>AND('Planilla_General_03-12-2012_9_3'!E1871,"AAAAAD3/y+U=")</f>
        <v>#VALUE!</v>
      </c>
      <c r="HW117" t="e">
        <f>AND('Planilla_General_03-12-2012_9_3'!F1871,"AAAAAD3/y+Y=")</f>
        <v>#VALUE!</v>
      </c>
      <c r="HX117" t="e">
        <f>AND('Planilla_General_03-12-2012_9_3'!G1871,"AAAAAD3/y+c=")</f>
        <v>#VALUE!</v>
      </c>
      <c r="HY117" t="e">
        <f>AND('Planilla_General_03-12-2012_9_3'!H1871,"AAAAAD3/y+g=")</f>
        <v>#VALUE!</v>
      </c>
      <c r="HZ117" t="e">
        <f>AND('Planilla_General_03-12-2012_9_3'!I1871,"AAAAAD3/y+k=")</f>
        <v>#VALUE!</v>
      </c>
      <c r="IA117" t="e">
        <f>AND('Planilla_General_03-12-2012_9_3'!J1871,"AAAAAD3/y+o=")</f>
        <v>#VALUE!</v>
      </c>
      <c r="IB117" t="e">
        <f>AND('Planilla_General_03-12-2012_9_3'!K1871,"AAAAAD3/y+s=")</f>
        <v>#VALUE!</v>
      </c>
      <c r="IC117" t="e">
        <f>AND('Planilla_General_03-12-2012_9_3'!L1871,"AAAAAD3/y+w=")</f>
        <v>#VALUE!</v>
      </c>
      <c r="ID117" t="e">
        <f>AND('Planilla_General_03-12-2012_9_3'!M1871,"AAAAAD3/y+0=")</f>
        <v>#VALUE!</v>
      </c>
      <c r="IE117" t="e">
        <f>AND('Planilla_General_03-12-2012_9_3'!N1871,"AAAAAD3/y+4=")</f>
        <v>#VALUE!</v>
      </c>
      <c r="IF117" t="e">
        <f>AND('Planilla_General_03-12-2012_9_3'!O1871,"AAAAAD3/y+8=")</f>
        <v>#VALUE!</v>
      </c>
      <c r="IG117">
        <f>IF('Planilla_General_03-12-2012_9_3'!1872:1872,"AAAAAD3/y/A=",0)</f>
        <v>0</v>
      </c>
      <c r="IH117" t="e">
        <f>AND('Planilla_General_03-12-2012_9_3'!A1872,"AAAAAD3/y/E=")</f>
        <v>#VALUE!</v>
      </c>
      <c r="II117" t="e">
        <f>AND('Planilla_General_03-12-2012_9_3'!B1872,"AAAAAD3/y/I=")</f>
        <v>#VALUE!</v>
      </c>
      <c r="IJ117" t="e">
        <f>AND('Planilla_General_03-12-2012_9_3'!C1872,"AAAAAD3/y/M=")</f>
        <v>#VALUE!</v>
      </c>
      <c r="IK117" t="e">
        <f>AND('Planilla_General_03-12-2012_9_3'!D1872,"AAAAAD3/y/Q=")</f>
        <v>#VALUE!</v>
      </c>
      <c r="IL117" t="e">
        <f>AND('Planilla_General_03-12-2012_9_3'!E1872,"AAAAAD3/y/U=")</f>
        <v>#VALUE!</v>
      </c>
      <c r="IM117" t="e">
        <f>AND('Planilla_General_03-12-2012_9_3'!F1872,"AAAAAD3/y/Y=")</f>
        <v>#VALUE!</v>
      </c>
      <c r="IN117" t="e">
        <f>AND('Planilla_General_03-12-2012_9_3'!G1872,"AAAAAD3/y/c=")</f>
        <v>#VALUE!</v>
      </c>
      <c r="IO117" t="e">
        <f>AND('Planilla_General_03-12-2012_9_3'!H1872,"AAAAAD3/y/g=")</f>
        <v>#VALUE!</v>
      </c>
      <c r="IP117" t="e">
        <f>AND('Planilla_General_03-12-2012_9_3'!I1872,"AAAAAD3/y/k=")</f>
        <v>#VALUE!</v>
      </c>
      <c r="IQ117" t="e">
        <f>AND('Planilla_General_03-12-2012_9_3'!J1872,"AAAAAD3/y/o=")</f>
        <v>#VALUE!</v>
      </c>
      <c r="IR117" t="e">
        <f>AND('Planilla_General_03-12-2012_9_3'!K1872,"AAAAAD3/y/s=")</f>
        <v>#VALUE!</v>
      </c>
      <c r="IS117" t="e">
        <f>AND('Planilla_General_03-12-2012_9_3'!L1872,"AAAAAD3/y/w=")</f>
        <v>#VALUE!</v>
      </c>
      <c r="IT117" t="e">
        <f>AND('Planilla_General_03-12-2012_9_3'!M1872,"AAAAAD3/y/0=")</f>
        <v>#VALUE!</v>
      </c>
      <c r="IU117" t="e">
        <f>AND('Planilla_General_03-12-2012_9_3'!N1872,"AAAAAD3/y/4=")</f>
        <v>#VALUE!</v>
      </c>
      <c r="IV117" t="e">
        <f>AND('Planilla_General_03-12-2012_9_3'!O1872,"AAAAAD3/y/8=")</f>
        <v>#VALUE!</v>
      </c>
    </row>
    <row r="118" spans="1:256" x14ac:dyDescent="0.25">
      <c r="A118" t="e">
        <f>IF('Planilla_General_03-12-2012_9_3'!1873:1873,"AAAAADW7FwA=",0)</f>
        <v>#VALUE!</v>
      </c>
      <c r="B118" t="e">
        <f>AND('Planilla_General_03-12-2012_9_3'!A1873,"AAAAADW7FwE=")</f>
        <v>#VALUE!</v>
      </c>
      <c r="C118" t="e">
        <f>AND('Planilla_General_03-12-2012_9_3'!B1873,"AAAAADW7FwI=")</f>
        <v>#VALUE!</v>
      </c>
      <c r="D118" t="e">
        <f>AND('Planilla_General_03-12-2012_9_3'!C1873,"AAAAADW7FwM=")</f>
        <v>#VALUE!</v>
      </c>
      <c r="E118" t="e">
        <f>AND('Planilla_General_03-12-2012_9_3'!D1873,"AAAAADW7FwQ=")</f>
        <v>#VALUE!</v>
      </c>
      <c r="F118" t="e">
        <f>AND('Planilla_General_03-12-2012_9_3'!E1873,"AAAAADW7FwU=")</f>
        <v>#VALUE!</v>
      </c>
      <c r="G118" t="e">
        <f>AND('Planilla_General_03-12-2012_9_3'!F1873,"AAAAADW7FwY=")</f>
        <v>#VALUE!</v>
      </c>
      <c r="H118" t="e">
        <f>AND('Planilla_General_03-12-2012_9_3'!G1873,"AAAAADW7Fwc=")</f>
        <v>#VALUE!</v>
      </c>
      <c r="I118" t="e">
        <f>AND('Planilla_General_03-12-2012_9_3'!H1873,"AAAAADW7Fwg=")</f>
        <v>#VALUE!</v>
      </c>
      <c r="J118" t="e">
        <f>AND('Planilla_General_03-12-2012_9_3'!I1873,"AAAAADW7Fwk=")</f>
        <v>#VALUE!</v>
      </c>
      <c r="K118" t="e">
        <f>AND('Planilla_General_03-12-2012_9_3'!J1873,"AAAAADW7Fwo=")</f>
        <v>#VALUE!</v>
      </c>
      <c r="L118" t="e">
        <f>AND('Planilla_General_03-12-2012_9_3'!K1873,"AAAAADW7Fws=")</f>
        <v>#VALUE!</v>
      </c>
      <c r="M118" t="e">
        <f>AND('Planilla_General_03-12-2012_9_3'!L1873,"AAAAADW7Fww=")</f>
        <v>#VALUE!</v>
      </c>
      <c r="N118" t="e">
        <f>AND('Planilla_General_03-12-2012_9_3'!M1873,"AAAAADW7Fw0=")</f>
        <v>#VALUE!</v>
      </c>
      <c r="O118" t="e">
        <f>AND('Planilla_General_03-12-2012_9_3'!N1873,"AAAAADW7Fw4=")</f>
        <v>#VALUE!</v>
      </c>
      <c r="P118" t="e">
        <f>AND('Planilla_General_03-12-2012_9_3'!O1873,"AAAAADW7Fw8=")</f>
        <v>#VALUE!</v>
      </c>
      <c r="Q118">
        <f>IF('Planilla_General_03-12-2012_9_3'!1874:1874,"AAAAADW7FxA=",0)</f>
        <v>0</v>
      </c>
      <c r="R118" t="e">
        <f>AND('Planilla_General_03-12-2012_9_3'!A1874,"AAAAADW7FxE=")</f>
        <v>#VALUE!</v>
      </c>
      <c r="S118" t="e">
        <f>AND('Planilla_General_03-12-2012_9_3'!B1874,"AAAAADW7FxI=")</f>
        <v>#VALUE!</v>
      </c>
      <c r="T118" t="e">
        <f>AND('Planilla_General_03-12-2012_9_3'!C1874,"AAAAADW7FxM=")</f>
        <v>#VALUE!</v>
      </c>
      <c r="U118" t="e">
        <f>AND('Planilla_General_03-12-2012_9_3'!D1874,"AAAAADW7FxQ=")</f>
        <v>#VALUE!</v>
      </c>
      <c r="V118" t="e">
        <f>AND('Planilla_General_03-12-2012_9_3'!E1874,"AAAAADW7FxU=")</f>
        <v>#VALUE!</v>
      </c>
      <c r="W118" t="e">
        <f>AND('Planilla_General_03-12-2012_9_3'!F1874,"AAAAADW7FxY=")</f>
        <v>#VALUE!</v>
      </c>
      <c r="X118" t="e">
        <f>AND('Planilla_General_03-12-2012_9_3'!G1874,"AAAAADW7Fxc=")</f>
        <v>#VALUE!</v>
      </c>
      <c r="Y118" t="e">
        <f>AND('Planilla_General_03-12-2012_9_3'!H1874,"AAAAADW7Fxg=")</f>
        <v>#VALUE!</v>
      </c>
      <c r="Z118" t="e">
        <f>AND('Planilla_General_03-12-2012_9_3'!I1874,"AAAAADW7Fxk=")</f>
        <v>#VALUE!</v>
      </c>
      <c r="AA118" t="e">
        <f>AND('Planilla_General_03-12-2012_9_3'!J1874,"AAAAADW7Fxo=")</f>
        <v>#VALUE!</v>
      </c>
      <c r="AB118" t="e">
        <f>AND('Planilla_General_03-12-2012_9_3'!K1874,"AAAAADW7Fxs=")</f>
        <v>#VALUE!</v>
      </c>
      <c r="AC118" t="e">
        <f>AND('Planilla_General_03-12-2012_9_3'!L1874,"AAAAADW7Fxw=")</f>
        <v>#VALUE!</v>
      </c>
      <c r="AD118" t="e">
        <f>AND('Planilla_General_03-12-2012_9_3'!M1874,"AAAAADW7Fx0=")</f>
        <v>#VALUE!</v>
      </c>
      <c r="AE118" t="e">
        <f>AND('Planilla_General_03-12-2012_9_3'!N1874,"AAAAADW7Fx4=")</f>
        <v>#VALUE!</v>
      </c>
      <c r="AF118" t="e">
        <f>AND('Planilla_General_03-12-2012_9_3'!O1874,"AAAAADW7Fx8=")</f>
        <v>#VALUE!</v>
      </c>
      <c r="AG118">
        <f>IF('Planilla_General_03-12-2012_9_3'!1875:1875,"AAAAADW7FyA=",0)</f>
        <v>0</v>
      </c>
      <c r="AH118" t="e">
        <f>AND('Planilla_General_03-12-2012_9_3'!A1875,"AAAAADW7FyE=")</f>
        <v>#VALUE!</v>
      </c>
      <c r="AI118" t="e">
        <f>AND('Planilla_General_03-12-2012_9_3'!B1875,"AAAAADW7FyI=")</f>
        <v>#VALUE!</v>
      </c>
      <c r="AJ118" t="e">
        <f>AND('Planilla_General_03-12-2012_9_3'!C1875,"AAAAADW7FyM=")</f>
        <v>#VALUE!</v>
      </c>
      <c r="AK118" t="e">
        <f>AND('Planilla_General_03-12-2012_9_3'!D1875,"AAAAADW7FyQ=")</f>
        <v>#VALUE!</v>
      </c>
      <c r="AL118" t="e">
        <f>AND('Planilla_General_03-12-2012_9_3'!E1875,"AAAAADW7FyU=")</f>
        <v>#VALUE!</v>
      </c>
      <c r="AM118" t="e">
        <f>AND('Planilla_General_03-12-2012_9_3'!F1875,"AAAAADW7FyY=")</f>
        <v>#VALUE!</v>
      </c>
      <c r="AN118" t="e">
        <f>AND('Planilla_General_03-12-2012_9_3'!G1875,"AAAAADW7Fyc=")</f>
        <v>#VALUE!</v>
      </c>
      <c r="AO118" t="e">
        <f>AND('Planilla_General_03-12-2012_9_3'!H1875,"AAAAADW7Fyg=")</f>
        <v>#VALUE!</v>
      </c>
      <c r="AP118" t="e">
        <f>AND('Planilla_General_03-12-2012_9_3'!I1875,"AAAAADW7Fyk=")</f>
        <v>#VALUE!</v>
      </c>
      <c r="AQ118" t="e">
        <f>AND('Planilla_General_03-12-2012_9_3'!J1875,"AAAAADW7Fyo=")</f>
        <v>#VALUE!</v>
      </c>
      <c r="AR118" t="e">
        <f>AND('Planilla_General_03-12-2012_9_3'!K1875,"AAAAADW7Fys=")</f>
        <v>#VALUE!</v>
      </c>
      <c r="AS118" t="e">
        <f>AND('Planilla_General_03-12-2012_9_3'!L1875,"AAAAADW7Fyw=")</f>
        <v>#VALUE!</v>
      </c>
      <c r="AT118" t="e">
        <f>AND('Planilla_General_03-12-2012_9_3'!M1875,"AAAAADW7Fy0=")</f>
        <v>#VALUE!</v>
      </c>
      <c r="AU118" t="e">
        <f>AND('Planilla_General_03-12-2012_9_3'!N1875,"AAAAADW7Fy4=")</f>
        <v>#VALUE!</v>
      </c>
      <c r="AV118" t="e">
        <f>AND('Planilla_General_03-12-2012_9_3'!O1875,"AAAAADW7Fy8=")</f>
        <v>#VALUE!</v>
      </c>
      <c r="AW118">
        <f>IF('Planilla_General_03-12-2012_9_3'!1876:1876,"AAAAADW7FzA=",0)</f>
        <v>0</v>
      </c>
      <c r="AX118" t="e">
        <f>AND('Planilla_General_03-12-2012_9_3'!A1876,"AAAAADW7FzE=")</f>
        <v>#VALUE!</v>
      </c>
      <c r="AY118" t="e">
        <f>AND('Planilla_General_03-12-2012_9_3'!B1876,"AAAAADW7FzI=")</f>
        <v>#VALUE!</v>
      </c>
      <c r="AZ118" t="e">
        <f>AND('Planilla_General_03-12-2012_9_3'!C1876,"AAAAADW7FzM=")</f>
        <v>#VALUE!</v>
      </c>
      <c r="BA118" t="e">
        <f>AND('Planilla_General_03-12-2012_9_3'!D1876,"AAAAADW7FzQ=")</f>
        <v>#VALUE!</v>
      </c>
      <c r="BB118" t="e">
        <f>AND('Planilla_General_03-12-2012_9_3'!E1876,"AAAAADW7FzU=")</f>
        <v>#VALUE!</v>
      </c>
      <c r="BC118" t="e">
        <f>AND('Planilla_General_03-12-2012_9_3'!F1876,"AAAAADW7FzY=")</f>
        <v>#VALUE!</v>
      </c>
      <c r="BD118" t="e">
        <f>AND('Planilla_General_03-12-2012_9_3'!G1876,"AAAAADW7Fzc=")</f>
        <v>#VALUE!</v>
      </c>
      <c r="BE118" t="e">
        <f>AND('Planilla_General_03-12-2012_9_3'!H1876,"AAAAADW7Fzg=")</f>
        <v>#VALUE!</v>
      </c>
      <c r="BF118" t="e">
        <f>AND('Planilla_General_03-12-2012_9_3'!I1876,"AAAAADW7Fzk=")</f>
        <v>#VALUE!</v>
      </c>
      <c r="BG118" t="e">
        <f>AND('Planilla_General_03-12-2012_9_3'!J1876,"AAAAADW7Fzo=")</f>
        <v>#VALUE!</v>
      </c>
      <c r="BH118" t="e">
        <f>AND('Planilla_General_03-12-2012_9_3'!K1876,"AAAAADW7Fzs=")</f>
        <v>#VALUE!</v>
      </c>
      <c r="BI118" t="e">
        <f>AND('Planilla_General_03-12-2012_9_3'!L1876,"AAAAADW7Fzw=")</f>
        <v>#VALUE!</v>
      </c>
      <c r="BJ118" t="e">
        <f>AND('Planilla_General_03-12-2012_9_3'!M1876,"AAAAADW7Fz0=")</f>
        <v>#VALUE!</v>
      </c>
      <c r="BK118" t="e">
        <f>AND('Planilla_General_03-12-2012_9_3'!N1876,"AAAAADW7Fz4=")</f>
        <v>#VALUE!</v>
      </c>
      <c r="BL118" t="e">
        <f>AND('Planilla_General_03-12-2012_9_3'!O1876,"AAAAADW7Fz8=")</f>
        <v>#VALUE!</v>
      </c>
      <c r="BM118">
        <f>IF('Planilla_General_03-12-2012_9_3'!1877:1877,"AAAAADW7F0A=",0)</f>
        <v>0</v>
      </c>
      <c r="BN118" t="e">
        <f>AND('Planilla_General_03-12-2012_9_3'!A1877,"AAAAADW7F0E=")</f>
        <v>#VALUE!</v>
      </c>
      <c r="BO118" t="e">
        <f>AND('Planilla_General_03-12-2012_9_3'!B1877,"AAAAADW7F0I=")</f>
        <v>#VALUE!</v>
      </c>
      <c r="BP118" t="e">
        <f>AND('Planilla_General_03-12-2012_9_3'!C1877,"AAAAADW7F0M=")</f>
        <v>#VALUE!</v>
      </c>
      <c r="BQ118" t="e">
        <f>AND('Planilla_General_03-12-2012_9_3'!D1877,"AAAAADW7F0Q=")</f>
        <v>#VALUE!</v>
      </c>
      <c r="BR118" t="e">
        <f>AND('Planilla_General_03-12-2012_9_3'!E1877,"AAAAADW7F0U=")</f>
        <v>#VALUE!</v>
      </c>
      <c r="BS118" t="e">
        <f>AND('Planilla_General_03-12-2012_9_3'!F1877,"AAAAADW7F0Y=")</f>
        <v>#VALUE!</v>
      </c>
      <c r="BT118" t="e">
        <f>AND('Planilla_General_03-12-2012_9_3'!G1877,"AAAAADW7F0c=")</f>
        <v>#VALUE!</v>
      </c>
      <c r="BU118" t="e">
        <f>AND('Planilla_General_03-12-2012_9_3'!H1877,"AAAAADW7F0g=")</f>
        <v>#VALUE!</v>
      </c>
      <c r="BV118" t="e">
        <f>AND('Planilla_General_03-12-2012_9_3'!I1877,"AAAAADW7F0k=")</f>
        <v>#VALUE!</v>
      </c>
      <c r="BW118" t="e">
        <f>AND('Planilla_General_03-12-2012_9_3'!J1877,"AAAAADW7F0o=")</f>
        <v>#VALUE!</v>
      </c>
      <c r="BX118" t="e">
        <f>AND('Planilla_General_03-12-2012_9_3'!K1877,"AAAAADW7F0s=")</f>
        <v>#VALUE!</v>
      </c>
      <c r="BY118" t="e">
        <f>AND('Planilla_General_03-12-2012_9_3'!L1877,"AAAAADW7F0w=")</f>
        <v>#VALUE!</v>
      </c>
      <c r="BZ118" t="e">
        <f>AND('Planilla_General_03-12-2012_9_3'!M1877,"AAAAADW7F00=")</f>
        <v>#VALUE!</v>
      </c>
      <c r="CA118" t="e">
        <f>AND('Planilla_General_03-12-2012_9_3'!N1877,"AAAAADW7F04=")</f>
        <v>#VALUE!</v>
      </c>
      <c r="CB118" t="e">
        <f>AND('Planilla_General_03-12-2012_9_3'!O1877,"AAAAADW7F08=")</f>
        <v>#VALUE!</v>
      </c>
      <c r="CC118">
        <f>IF('Planilla_General_03-12-2012_9_3'!1878:1878,"AAAAADW7F1A=",0)</f>
        <v>0</v>
      </c>
      <c r="CD118" t="e">
        <f>AND('Planilla_General_03-12-2012_9_3'!A1878,"AAAAADW7F1E=")</f>
        <v>#VALUE!</v>
      </c>
      <c r="CE118" t="e">
        <f>AND('Planilla_General_03-12-2012_9_3'!B1878,"AAAAADW7F1I=")</f>
        <v>#VALUE!</v>
      </c>
      <c r="CF118" t="e">
        <f>AND('Planilla_General_03-12-2012_9_3'!C1878,"AAAAADW7F1M=")</f>
        <v>#VALUE!</v>
      </c>
      <c r="CG118" t="e">
        <f>AND('Planilla_General_03-12-2012_9_3'!D1878,"AAAAADW7F1Q=")</f>
        <v>#VALUE!</v>
      </c>
      <c r="CH118" t="e">
        <f>AND('Planilla_General_03-12-2012_9_3'!E1878,"AAAAADW7F1U=")</f>
        <v>#VALUE!</v>
      </c>
      <c r="CI118" t="e">
        <f>AND('Planilla_General_03-12-2012_9_3'!F1878,"AAAAADW7F1Y=")</f>
        <v>#VALUE!</v>
      </c>
      <c r="CJ118" t="e">
        <f>AND('Planilla_General_03-12-2012_9_3'!G1878,"AAAAADW7F1c=")</f>
        <v>#VALUE!</v>
      </c>
      <c r="CK118" t="e">
        <f>AND('Planilla_General_03-12-2012_9_3'!H1878,"AAAAADW7F1g=")</f>
        <v>#VALUE!</v>
      </c>
      <c r="CL118" t="e">
        <f>AND('Planilla_General_03-12-2012_9_3'!I1878,"AAAAADW7F1k=")</f>
        <v>#VALUE!</v>
      </c>
      <c r="CM118" t="e">
        <f>AND('Planilla_General_03-12-2012_9_3'!J1878,"AAAAADW7F1o=")</f>
        <v>#VALUE!</v>
      </c>
      <c r="CN118" t="e">
        <f>AND('Planilla_General_03-12-2012_9_3'!K1878,"AAAAADW7F1s=")</f>
        <v>#VALUE!</v>
      </c>
      <c r="CO118" t="e">
        <f>AND('Planilla_General_03-12-2012_9_3'!L1878,"AAAAADW7F1w=")</f>
        <v>#VALUE!</v>
      </c>
      <c r="CP118" t="e">
        <f>AND('Planilla_General_03-12-2012_9_3'!M1878,"AAAAADW7F10=")</f>
        <v>#VALUE!</v>
      </c>
      <c r="CQ118" t="e">
        <f>AND('Planilla_General_03-12-2012_9_3'!N1878,"AAAAADW7F14=")</f>
        <v>#VALUE!</v>
      </c>
      <c r="CR118" t="e">
        <f>AND('Planilla_General_03-12-2012_9_3'!O1878,"AAAAADW7F18=")</f>
        <v>#VALUE!</v>
      </c>
      <c r="CS118">
        <f>IF('Planilla_General_03-12-2012_9_3'!1879:1879,"AAAAADW7F2A=",0)</f>
        <v>0</v>
      </c>
      <c r="CT118" t="e">
        <f>AND('Planilla_General_03-12-2012_9_3'!A1879,"AAAAADW7F2E=")</f>
        <v>#VALUE!</v>
      </c>
      <c r="CU118" t="e">
        <f>AND('Planilla_General_03-12-2012_9_3'!B1879,"AAAAADW7F2I=")</f>
        <v>#VALUE!</v>
      </c>
      <c r="CV118" t="e">
        <f>AND('Planilla_General_03-12-2012_9_3'!C1879,"AAAAADW7F2M=")</f>
        <v>#VALUE!</v>
      </c>
      <c r="CW118" t="e">
        <f>AND('Planilla_General_03-12-2012_9_3'!D1879,"AAAAADW7F2Q=")</f>
        <v>#VALUE!</v>
      </c>
      <c r="CX118" t="e">
        <f>AND('Planilla_General_03-12-2012_9_3'!E1879,"AAAAADW7F2U=")</f>
        <v>#VALUE!</v>
      </c>
      <c r="CY118" t="e">
        <f>AND('Planilla_General_03-12-2012_9_3'!F1879,"AAAAADW7F2Y=")</f>
        <v>#VALUE!</v>
      </c>
      <c r="CZ118" t="e">
        <f>AND('Planilla_General_03-12-2012_9_3'!G1879,"AAAAADW7F2c=")</f>
        <v>#VALUE!</v>
      </c>
      <c r="DA118" t="e">
        <f>AND('Planilla_General_03-12-2012_9_3'!H1879,"AAAAADW7F2g=")</f>
        <v>#VALUE!</v>
      </c>
      <c r="DB118" t="e">
        <f>AND('Planilla_General_03-12-2012_9_3'!I1879,"AAAAADW7F2k=")</f>
        <v>#VALUE!</v>
      </c>
      <c r="DC118" t="e">
        <f>AND('Planilla_General_03-12-2012_9_3'!J1879,"AAAAADW7F2o=")</f>
        <v>#VALUE!</v>
      </c>
      <c r="DD118" t="e">
        <f>AND('Planilla_General_03-12-2012_9_3'!K1879,"AAAAADW7F2s=")</f>
        <v>#VALUE!</v>
      </c>
      <c r="DE118" t="e">
        <f>AND('Planilla_General_03-12-2012_9_3'!L1879,"AAAAADW7F2w=")</f>
        <v>#VALUE!</v>
      </c>
      <c r="DF118" t="e">
        <f>AND('Planilla_General_03-12-2012_9_3'!M1879,"AAAAADW7F20=")</f>
        <v>#VALUE!</v>
      </c>
      <c r="DG118" t="e">
        <f>AND('Planilla_General_03-12-2012_9_3'!N1879,"AAAAADW7F24=")</f>
        <v>#VALUE!</v>
      </c>
      <c r="DH118" t="e">
        <f>AND('Planilla_General_03-12-2012_9_3'!O1879,"AAAAADW7F28=")</f>
        <v>#VALUE!</v>
      </c>
      <c r="DI118">
        <f>IF('Planilla_General_03-12-2012_9_3'!1880:1880,"AAAAADW7F3A=",0)</f>
        <v>0</v>
      </c>
      <c r="DJ118" t="e">
        <f>AND('Planilla_General_03-12-2012_9_3'!A1880,"AAAAADW7F3E=")</f>
        <v>#VALUE!</v>
      </c>
      <c r="DK118" t="e">
        <f>AND('Planilla_General_03-12-2012_9_3'!B1880,"AAAAADW7F3I=")</f>
        <v>#VALUE!</v>
      </c>
      <c r="DL118" t="e">
        <f>AND('Planilla_General_03-12-2012_9_3'!C1880,"AAAAADW7F3M=")</f>
        <v>#VALUE!</v>
      </c>
      <c r="DM118" t="e">
        <f>AND('Planilla_General_03-12-2012_9_3'!D1880,"AAAAADW7F3Q=")</f>
        <v>#VALUE!</v>
      </c>
      <c r="DN118" t="e">
        <f>AND('Planilla_General_03-12-2012_9_3'!E1880,"AAAAADW7F3U=")</f>
        <v>#VALUE!</v>
      </c>
      <c r="DO118" t="e">
        <f>AND('Planilla_General_03-12-2012_9_3'!F1880,"AAAAADW7F3Y=")</f>
        <v>#VALUE!</v>
      </c>
      <c r="DP118" t="e">
        <f>AND('Planilla_General_03-12-2012_9_3'!G1880,"AAAAADW7F3c=")</f>
        <v>#VALUE!</v>
      </c>
      <c r="DQ118" t="e">
        <f>AND('Planilla_General_03-12-2012_9_3'!H1880,"AAAAADW7F3g=")</f>
        <v>#VALUE!</v>
      </c>
      <c r="DR118" t="e">
        <f>AND('Planilla_General_03-12-2012_9_3'!I1880,"AAAAADW7F3k=")</f>
        <v>#VALUE!</v>
      </c>
      <c r="DS118" t="e">
        <f>AND('Planilla_General_03-12-2012_9_3'!J1880,"AAAAADW7F3o=")</f>
        <v>#VALUE!</v>
      </c>
      <c r="DT118" t="e">
        <f>AND('Planilla_General_03-12-2012_9_3'!K1880,"AAAAADW7F3s=")</f>
        <v>#VALUE!</v>
      </c>
      <c r="DU118" t="e">
        <f>AND('Planilla_General_03-12-2012_9_3'!L1880,"AAAAADW7F3w=")</f>
        <v>#VALUE!</v>
      </c>
      <c r="DV118" t="e">
        <f>AND('Planilla_General_03-12-2012_9_3'!M1880,"AAAAADW7F30=")</f>
        <v>#VALUE!</v>
      </c>
      <c r="DW118" t="e">
        <f>AND('Planilla_General_03-12-2012_9_3'!N1880,"AAAAADW7F34=")</f>
        <v>#VALUE!</v>
      </c>
      <c r="DX118" t="e">
        <f>AND('Planilla_General_03-12-2012_9_3'!O1880,"AAAAADW7F38=")</f>
        <v>#VALUE!</v>
      </c>
      <c r="DY118">
        <f>IF('Planilla_General_03-12-2012_9_3'!1881:1881,"AAAAADW7F4A=",0)</f>
        <v>0</v>
      </c>
      <c r="DZ118" t="e">
        <f>AND('Planilla_General_03-12-2012_9_3'!A1881,"AAAAADW7F4E=")</f>
        <v>#VALUE!</v>
      </c>
      <c r="EA118" t="e">
        <f>AND('Planilla_General_03-12-2012_9_3'!B1881,"AAAAADW7F4I=")</f>
        <v>#VALUE!</v>
      </c>
      <c r="EB118" t="e">
        <f>AND('Planilla_General_03-12-2012_9_3'!C1881,"AAAAADW7F4M=")</f>
        <v>#VALUE!</v>
      </c>
      <c r="EC118" t="e">
        <f>AND('Planilla_General_03-12-2012_9_3'!D1881,"AAAAADW7F4Q=")</f>
        <v>#VALUE!</v>
      </c>
      <c r="ED118" t="e">
        <f>AND('Planilla_General_03-12-2012_9_3'!E1881,"AAAAADW7F4U=")</f>
        <v>#VALUE!</v>
      </c>
      <c r="EE118" t="e">
        <f>AND('Planilla_General_03-12-2012_9_3'!F1881,"AAAAADW7F4Y=")</f>
        <v>#VALUE!</v>
      </c>
      <c r="EF118" t="e">
        <f>AND('Planilla_General_03-12-2012_9_3'!G1881,"AAAAADW7F4c=")</f>
        <v>#VALUE!</v>
      </c>
      <c r="EG118" t="e">
        <f>AND('Planilla_General_03-12-2012_9_3'!H1881,"AAAAADW7F4g=")</f>
        <v>#VALUE!</v>
      </c>
      <c r="EH118" t="e">
        <f>AND('Planilla_General_03-12-2012_9_3'!I1881,"AAAAADW7F4k=")</f>
        <v>#VALUE!</v>
      </c>
      <c r="EI118" t="e">
        <f>AND('Planilla_General_03-12-2012_9_3'!J1881,"AAAAADW7F4o=")</f>
        <v>#VALUE!</v>
      </c>
      <c r="EJ118" t="e">
        <f>AND('Planilla_General_03-12-2012_9_3'!K1881,"AAAAADW7F4s=")</f>
        <v>#VALUE!</v>
      </c>
      <c r="EK118" t="e">
        <f>AND('Planilla_General_03-12-2012_9_3'!L1881,"AAAAADW7F4w=")</f>
        <v>#VALUE!</v>
      </c>
      <c r="EL118" t="e">
        <f>AND('Planilla_General_03-12-2012_9_3'!M1881,"AAAAADW7F40=")</f>
        <v>#VALUE!</v>
      </c>
      <c r="EM118" t="e">
        <f>AND('Planilla_General_03-12-2012_9_3'!N1881,"AAAAADW7F44=")</f>
        <v>#VALUE!</v>
      </c>
      <c r="EN118" t="e">
        <f>AND('Planilla_General_03-12-2012_9_3'!O1881,"AAAAADW7F48=")</f>
        <v>#VALUE!</v>
      </c>
      <c r="EO118">
        <f>IF('Planilla_General_03-12-2012_9_3'!1882:1882,"AAAAADW7F5A=",0)</f>
        <v>0</v>
      </c>
      <c r="EP118" t="e">
        <f>AND('Planilla_General_03-12-2012_9_3'!A1882,"AAAAADW7F5E=")</f>
        <v>#VALUE!</v>
      </c>
      <c r="EQ118" t="e">
        <f>AND('Planilla_General_03-12-2012_9_3'!B1882,"AAAAADW7F5I=")</f>
        <v>#VALUE!</v>
      </c>
      <c r="ER118" t="e">
        <f>AND('Planilla_General_03-12-2012_9_3'!C1882,"AAAAADW7F5M=")</f>
        <v>#VALUE!</v>
      </c>
      <c r="ES118" t="e">
        <f>AND('Planilla_General_03-12-2012_9_3'!D1882,"AAAAADW7F5Q=")</f>
        <v>#VALUE!</v>
      </c>
      <c r="ET118" t="e">
        <f>AND('Planilla_General_03-12-2012_9_3'!E1882,"AAAAADW7F5U=")</f>
        <v>#VALUE!</v>
      </c>
      <c r="EU118" t="e">
        <f>AND('Planilla_General_03-12-2012_9_3'!F1882,"AAAAADW7F5Y=")</f>
        <v>#VALUE!</v>
      </c>
      <c r="EV118" t="e">
        <f>AND('Planilla_General_03-12-2012_9_3'!G1882,"AAAAADW7F5c=")</f>
        <v>#VALUE!</v>
      </c>
      <c r="EW118" t="e">
        <f>AND('Planilla_General_03-12-2012_9_3'!H1882,"AAAAADW7F5g=")</f>
        <v>#VALUE!</v>
      </c>
      <c r="EX118" t="e">
        <f>AND('Planilla_General_03-12-2012_9_3'!I1882,"AAAAADW7F5k=")</f>
        <v>#VALUE!</v>
      </c>
      <c r="EY118" t="e">
        <f>AND('Planilla_General_03-12-2012_9_3'!J1882,"AAAAADW7F5o=")</f>
        <v>#VALUE!</v>
      </c>
      <c r="EZ118" t="e">
        <f>AND('Planilla_General_03-12-2012_9_3'!K1882,"AAAAADW7F5s=")</f>
        <v>#VALUE!</v>
      </c>
      <c r="FA118" t="e">
        <f>AND('Planilla_General_03-12-2012_9_3'!L1882,"AAAAADW7F5w=")</f>
        <v>#VALUE!</v>
      </c>
      <c r="FB118" t="e">
        <f>AND('Planilla_General_03-12-2012_9_3'!M1882,"AAAAADW7F50=")</f>
        <v>#VALUE!</v>
      </c>
      <c r="FC118" t="e">
        <f>AND('Planilla_General_03-12-2012_9_3'!N1882,"AAAAADW7F54=")</f>
        <v>#VALUE!</v>
      </c>
      <c r="FD118" t="e">
        <f>AND('Planilla_General_03-12-2012_9_3'!O1882,"AAAAADW7F58=")</f>
        <v>#VALUE!</v>
      </c>
      <c r="FE118">
        <f>IF('Planilla_General_03-12-2012_9_3'!1883:1883,"AAAAADW7F6A=",0)</f>
        <v>0</v>
      </c>
      <c r="FF118" t="e">
        <f>AND('Planilla_General_03-12-2012_9_3'!A1883,"AAAAADW7F6E=")</f>
        <v>#VALUE!</v>
      </c>
      <c r="FG118" t="e">
        <f>AND('Planilla_General_03-12-2012_9_3'!B1883,"AAAAADW7F6I=")</f>
        <v>#VALUE!</v>
      </c>
      <c r="FH118" t="e">
        <f>AND('Planilla_General_03-12-2012_9_3'!C1883,"AAAAADW7F6M=")</f>
        <v>#VALUE!</v>
      </c>
      <c r="FI118" t="e">
        <f>AND('Planilla_General_03-12-2012_9_3'!D1883,"AAAAADW7F6Q=")</f>
        <v>#VALUE!</v>
      </c>
      <c r="FJ118" t="e">
        <f>AND('Planilla_General_03-12-2012_9_3'!E1883,"AAAAADW7F6U=")</f>
        <v>#VALUE!</v>
      </c>
      <c r="FK118" t="e">
        <f>AND('Planilla_General_03-12-2012_9_3'!F1883,"AAAAADW7F6Y=")</f>
        <v>#VALUE!</v>
      </c>
      <c r="FL118" t="e">
        <f>AND('Planilla_General_03-12-2012_9_3'!G1883,"AAAAADW7F6c=")</f>
        <v>#VALUE!</v>
      </c>
      <c r="FM118" t="e">
        <f>AND('Planilla_General_03-12-2012_9_3'!H1883,"AAAAADW7F6g=")</f>
        <v>#VALUE!</v>
      </c>
      <c r="FN118" t="e">
        <f>AND('Planilla_General_03-12-2012_9_3'!I1883,"AAAAADW7F6k=")</f>
        <v>#VALUE!</v>
      </c>
      <c r="FO118" t="e">
        <f>AND('Planilla_General_03-12-2012_9_3'!J1883,"AAAAADW7F6o=")</f>
        <v>#VALUE!</v>
      </c>
      <c r="FP118" t="e">
        <f>AND('Planilla_General_03-12-2012_9_3'!K1883,"AAAAADW7F6s=")</f>
        <v>#VALUE!</v>
      </c>
      <c r="FQ118" t="e">
        <f>AND('Planilla_General_03-12-2012_9_3'!L1883,"AAAAADW7F6w=")</f>
        <v>#VALUE!</v>
      </c>
      <c r="FR118" t="e">
        <f>AND('Planilla_General_03-12-2012_9_3'!M1883,"AAAAADW7F60=")</f>
        <v>#VALUE!</v>
      </c>
      <c r="FS118" t="e">
        <f>AND('Planilla_General_03-12-2012_9_3'!N1883,"AAAAADW7F64=")</f>
        <v>#VALUE!</v>
      </c>
      <c r="FT118" t="e">
        <f>AND('Planilla_General_03-12-2012_9_3'!O1883,"AAAAADW7F68=")</f>
        <v>#VALUE!</v>
      </c>
      <c r="FU118">
        <f>IF('Planilla_General_03-12-2012_9_3'!1884:1884,"AAAAADW7F7A=",0)</f>
        <v>0</v>
      </c>
      <c r="FV118" t="e">
        <f>AND('Planilla_General_03-12-2012_9_3'!A1884,"AAAAADW7F7E=")</f>
        <v>#VALUE!</v>
      </c>
      <c r="FW118" t="e">
        <f>AND('Planilla_General_03-12-2012_9_3'!B1884,"AAAAADW7F7I=")</f>
        <v>#VALUE!</v>
      </c>
      <c r="FX118" t="e">
        <f>AND('Planilla_General_03-12-2012_9_3'!C1884,"AAAAADW7F7M=")</f>
        <v>#VALUE!</v>
      </c>
      <c r="FY118" t="e">
        <f>AND('Planilla_General_03-12-2012_9_3'!D1884,"AAAAADW7F7Q=")</f>
        <v>#VALUE!</v>
      </c>
      <c r="FZ118" t="e">
        <f>AND('Planilla_General_03-12-2012_9_3'!E1884,"AAAAADW7F7U=")</f>
        <v>#VALUE!</v>
      </c>
      <c r="GA118" t="e">
        <f>AND('Planilla_General_03-12-2012_9_3'!F1884,"AAAAADW7F7Y=")</f>
        <v>#VALUE!</v>
      </c>
      <c r="GB118" t="e">
        <f>AND('Planilla_General_03-12-2012_9_3'!G1884,"AAAAADW7F7c=")</f>
        <v>#VALUE!</v>
      </c>
      <c r="GC118" t="e">
        <f>AND('Planilla_General_03-12-2012_9_3'!H1884,"AAAAADW7F7g=")</f>
        <v>#VALUE!</v>
      </c>
      <c r="GD118" t="e">
        <f>AND('Planilla_General_03-12-2012_9_3'!I1884,"AAAAADW7F7k=")</f>
        <v>#VALUE!</v>
      </c>
      <c r="GE118" t="e">
        <f>AND('Planilla_General_03-12-2012_9_3'!J1884,"AAAAADW7F7o=")</f>
        <v>#VALUE!</v>
      </c>
      <c r="GF118" t="e">
        <f>AND('Planilla_General_03-12-2012_9_3'!K1884,"AAAAADW7F7s=")</f>
        <v>#VALUE!</v>
      </c>
      <c r="GG118" t="e">
        <f>AND('Planilla_General_03-12-2012_9_3'!L1884,"AAAAADW7F7w=")</f>
        <v>#VALUE!</v>
      </c>
      <c r="GH118" t="e">
        <f>AND('Planilla_General_03-12-2012_9_3'!M1884,"AAAAADW7F70=")</f>
        <v>#VALUE!</v>
      </c>
      <c r="GI118" t="e">
        <f>AND('Planilla_General_03-12-2012_9_3'!N1884,"AAAAADW7F74=")</f>
        <v>#VALUE!</v>
      </c>
      <c r="GJ118" t="e">
        <f>AND('Planilla_General_03-12-2012_9_3'!O1884,"AAAAADW7F78=")</f>
        <v>#VALUE!</v>
      </c>
      <c r="GK118">
        <f>IF('Planilla_General_03-12-2012_9_3'!1885:1885,"AAAAADW7F8A=",0)</f>
        <v>0</v>
      </c>
      <c r="GL118" t="e">
        <f>AND('Planilla_General_03-12-2012_9_3'!A1885,"AAAAADW7F8E=")</f>
        <v>#VALUE!</v>
      </c>
      <c r="GM118" t="e">
        <f>AND('Planilla_General_03-12-2012_9_3'!B1885,"AAAAADW7F8I=")</f>
        <v>#VALUE!</v>
      </c>
      <c r="GN118" t="e">
        <f>AND('Planilla_General_03-12-2012_9_3'!C1885,"AAAAADW7F8M=")</f>
        <v>#VALUE!</v>
      </c>
      <c r="GO118" t="e">
        <f>AND('Planilla_General_03-12-2012_9_3'!D1885,"AAAAADW7F8Q=")</f>
        <v>#VALUE!</v>
      </c>
      <c r="GP118" t="e">
        <f>AND('Planilla_General_03-12-2012_9_3'!E1885,"AAAAADW7F8U=")</f>
        <v>#VALUE!</v>
      </c>
      <c r="GQ118" t="e">
        <f>AND('Planilla_General_03-12-2012_9_3'!F1885,"AAAAADW7F8Y=")</f>
        <v>#VALUE!</v>
      </c>
      <c r="GR118" t="e">
        <f>AND('Planilla_General_03-12-2012_9_3'!G1885,"AAAAADW7F8c=")</f>
        <v>#VALUE!</v>
      </c>
      <c r="GS118" t="e">
        <f>AND('Planilla_General_03-12-2012_9_3'!H1885,"AAAAADW7F8g=")</f>
        <v>#VALUE!</v>
      </c>
      <c r="GT118" t="e">
        <f>AND('Planilla_General_03-12-2012_9_3'!I1885,"AAAAADW7F8k=")</f>
        <v>#VALUE!</v>
      </c>
      <c r="GU118" t="e">
        <f>AND('Planilla_General_03-12-2012_9_3'!J1885,"AAAAADW7F8o=")</f>
        <v>#VALUE!</v>
      </c>
      <c r="GV118" t="e">
        <f>AND('Planilla_General_03-12-2012_9_3'!K1885,"AAAAADW7F8s=")</f>
        <v>#VALUE!</v>
      </c>
      <c r="GW118" t="e">
        <f>AND('Planilla_General_03-12-2012_9_3'!L1885,"AAAAADW7F8w=")</f>
        <v>#VALUE!</v>
      </c>
      <c r="GX118" t="e">
        <f>AND('Planilla_General_03-12-2012_9_3'!M1885,"AAAAADW7F80=")</f>
        <v>#VALUE!</v>
      </c>
      <c r="GY118" t="e">
        <f>AND('Planilla_General_03-12-2012_9_3'!N1885,"AAAAADW7F84=")</f>
        <v>#VALUE!</v>
      </c>
      <c r="GZ118" t="e">
        <f>AND('Planilla_General_03-12-2012_9_3'!O1885,"AAAAADW7F88=")</f>
        <v>#VALUE!</v>
      </c>
      <c r="HA118">
        <f>IF('Planilla_General_03-12-2012_9_3'!1886:1886,"AAAAADW7F9A=",0)</f>
        <v>0</v>
      </c>
      <c r="HB118" t="e">
        <f>AND('Planilla_General_03-12-2012_9_3'!A1886,"AAAAADW7F9E=")</f>
        <v>#VALUE!</v>
      </c>
      <c r="HC118" t="e">
        <f>AND('Planilla_General_03-12-2012_9_3'!B1886,"AAAAADW7F9I=")</f>
        <v>#VALUE!</v>
      </c>
      <c r="HD118" t="e">
        <f>AND('Planilla_General_03-12-2012_9_3'!C1886,"AAAAADW7F9M=")</f>
        <v>#VALUE!</v>
      </c>
      <c r="HE118" t="e">
        <f>AND('Planilla_General_03-12-2012_9_3'!D1886,"AAAAADW7F9Q=")</f>
        <v>#VALUE!</v>
      </c>
      <c r="HF118" t="e">
        <f>AND('Planilla_General_03-12-2012_9_3'!E1886,"AAAAADW7F9U=")</f>
        <v>#VALUE!</v>
      </c>
      <c r="HG118" t="e">
        <f>AND('Planilla_General_03-12-2012_9_3'!F1886,"AAAAADW7F9Y=")</f>
        <v>#VALUE!</v>
      </c>
      <c r="HH118" t="e">
        <f>AND('Planilla_General_03-12-2012_9_3'!G1886,"AAAAADW7F9c=")</f>
        <v>#VALUE!</v>
      </c>
      <c r="HI118" t="e">
        <f>AND('Planilla_General_03-12-2012_9_3'!H1886,"AAAAADW7F9g=")</f>
        <v>#VALUE!</v>
      </c>
      <c r="HJ118" t="e">
        <f>AND('Planilla_General_03-12-2012_9_3'!I1886,"AAAAADW7F9k=")</f>
        <v>#VALUE!</v>
      </c>
      <c r="HK118" t="e">
        <f>AND('Planilla_General_03-12-2012_9_3'!J1886,"AAAAADW7F9o=")</f>
        <v>#VALUE!</v>
      </c>
      <c r="HL118" t="e">
        <f>AND('Planilla_General_03-12-2012_9_3'!K1886,"AAAAADW7F9s=")</f>
        <v>#VALUE!</v>
      </c>
      <c r="HM118" t="e">
        <f>AND('Planilla_General_03-12-2012_9_3'!L1886,"AAAAADW7F9w=")</f>
        <v>#VALUE!</v>
      </c>
      <c r="HN118" t="e">
        <f>AND('Planilla_General_03-12-2012_9_3'!M1886,"AAAAADW7F90=")</f>
        <v>#VALUE!</v>
      </c>
      <c r="HO118" t="e">
        <f>AND('Planilla_General_03-12-2012_9_3'!N1886,"AAAAADW7F94=")</f>
        <v>#VALUE!</v>
      </c>
      <c r="HP118" t="e">
        <f>AND('Planilla_General_03-12-2012_9_3'!O1886,"AAAAADW7F98=")</f>
        <v>#VALUE!</v>
      </c>
      <c r="HQ118">
        <f>IF('Planilla_General_03-12-2012_9_3'!1887:1887,"AAAAADW7F+A=",0)</f>
        <v>0</v>
      </c>
      <c r="HR118" t="e">
        <f>AND('Planilla_General_03-12-2012_9_3'!A1887,"AAAAADW7F+E=")</f>
        <v>#VALUE!</v>
      </c>
      <c r="HS118" t="e">
        <f>AND('Planilla_General_03-12-2012_9_3'!B1887,"AAAAADW7F+I=")</f>
        <v>#VALUE!</v>
      </c>
      <c r="HT118" t="e">
        <f>AND('Planilla_General_03-12-2012_9_3'!C1887,"AAAAADW7F+M=")</f>
        <v>#VALUE!</v>
      </c>
      <c r="HU118" t="e">
        <f>AND('Planilla_General_03-12-2012_9_3'!D1887,"AAAAADW7F+Q=")</f>
        <v>#VALUE!</v>
      </c>
      <c r="HV118" t="e">
        <f>AND('Planilla_General_03-12-2012_9_3'!E1887,"AAAAADW7F+U=")</f>
        <v>#VALUE!</v>
      </c>
      <c r="HW118" t="e">
        <f>AND('Planilla_General_03-12-2012_9_3'!F1887,"AAAAADW7F+Y=")</f>
        <v>#VALUE!</v>
      </c>
      <c r="HX118" t="e">
        <f>AND('Planilla_General_03-12-2012_9_3'!G1887,"AAAAADW7F+c=")</f>
        <v>#VALUE!</v>
      </c>
      <c r="HY118" t="e">
        <f>AND('Planilla_General_03-12-2012_9_3'!H1887,"AAAAADW7F+g=")</f>
        <v>#VALUE!</v>
      </c>
      <c r="HZ118" t="e">
        <f>AND('Planilla_General_03-12-2012_9_3'!I1887,"AAAAADW7F+k=")</f>
        <v>#VALUE!</v>
      </c>
      <c r="IA118" t="e">
        <f>AND('Planilla_General_03-12-2012_9_3'!J1887,"AAAAADW7F+o=")</f>
        <v>#VALUE!</v>
      </c>
      <c r="IB118" t="e">
        <f>AND('Planilla_General_03-12-2012_9_3'!K1887,"AAAAADW7F+s=")</f>
        <v>#VALUE!</v>
      </c>
      <c r="IC118" t="e">
        <f>AND('Planilla_General_03-12-2012_9_3'!L1887,"AAAAADW7F+w=")</f>
        <v>#VALUE!</v>
      </c>
      <c r="ID118" t="e">
        <f>AND('Planilla_General_03-12-2012_9_3'!M1887,"AAAAADW7F+0=")</f>
        <v>#VALUE!</v>
      </c>
      <c r="IE118" t="e">
        <f>AND('Planilla_General_03-12-2012_9_3'!N1887,"AAAAADW7F+4=")</f>
        <v>#VALUE!</v>
      </c>
      <c r="IF118" t="e">
        <f>AND('Planilla_General_03-12-2012_9_3'!O1887,"AAAAADW7F+8=")</f>
        <v>#VALUE!</v>
      </c>
      <c r="IG118">
        <f>IF('Planilla_General_03-12-2012_9_3'!1888:1888,"AAAAADW7F/A=",0)</f>
        <v>0</v>
      </c>
      <c r="IH118" t="e">
        <f>AND('Planilla_General_03-12-2012_9_3'!A1888,"AAAAADW7F/E=")</f>
        <v>#VALUE!</v>
      </c>
      <c r="II118" t="e">
        <f>AND('Planilla_General_03-12-2012_9_3'!B1888,"AAAAADW7F/I=")</f>
        <v>#VALUE!</v>
      </c>
      <c r="IJ118" t="e">
        <f>AND('Planilla_General_03-12-2012_9_3'!C1888,"AAAAADW7F/M=")</f>
        <v>#VALUE!</v>
      </c>
      <c r="IK118" t="e">
        <f>AND('Planilla_General_03-12-2012_9_3'!D1888,"AAAAADW7F/Q=")</f>
        <v>#VALUE!</v>
      </c>
      <c r="IL118" t="e">
        <f>AND('Planilla_General_03-12-2012_9_3'!E1888,"AAAAADW7F/U=")</f>
        <v>#VALUE!</v>
      </c>
      <c r="IM118" t="e">
        <f>AND('Planilla_General_03-12-2012_9_3'!F1888,"AAAAADW7F/Y=")</f>
        <v>#VALUE!</v>
      </c>
      <c r="IN118" t="e">
        <f>AND('Planilla_General_03-12-2012_9_3'!G1888,"AAAAADW7F/c=")</f>
        <v>#VALUE!</v>
      </c>
      <c r="IO118" t="e">
        <f>AND('Planilla_General_03-12-2012_9_3'!H1888,"AAAAADW7F/g=")</f>
        <v>#VALUE!</v>
      </c>
      <c r="IP118" t="e">
        <f>AND('Planilla_General_03-12-2012_9_3'!I1888,"AAAAADW7F/k=")</f>
        <v>#VALUE!</v>
      </c>
      <c r="IQ118" t="e">
        <f>AND('Planilla_General_03-12-2012_9_3'!J1888,"AAAAADW7F/o=")</f>
        <v>#VALUE!</v>
      </c>
      <c r="IR118" t="e">
        <f>AND('Planilla_General_03-12-2012_9_3'!K1888,"AAAAADW7F/s=")</f>
        <v>#VALUE!</v>
      </c>
      <c r="IS118" t="e">
        <f>AND('Planilla_General_03-12-2012_9_3'!L1888,"AAAAADW7F/w=")</f>
        <v>#VALUE!</v>
      </c>
      <c r="IT118" t="e">
        <f>AND('Planilla_General_03-12-2012_9_3'!M1888,"AAAAADW7F/0=")</f>
        <v>#VALUE!</v>
      </c>
      <c r="IU118" t="e">
        <f>AND('Planilla_General_03-12-2012_9_3'!N1888,"AAAAADW7F/4=")</f>
        <v>#VALUE!</v>
      </c>
      <c r="IV118" t="e">
        <f>AND('Planilla_General_03-12-2012_9_3'!O1888,"AAAAADW7F/8=")</f>
        <v>#VALUE!</v>
      </c>
    </row>
    <row r="119" spans="1:256" x14ac:dyDescent="0.25">
      <c r="A119" t="e">
        <f>IF('Planilla_General_03-12-2012_9_3'!1889:1889,"AAAAAD1f9wA=",0)</f>
        <v>#VALUE!</v>
      </c>
      <c r="B119" t="e">
        <f>AND('Planilla_General_03-12-2012_9_3'!A1889,"AAAAAD1f9wE=")</f>
        <v>#VALUE!</v>
      </c>
      <c r="C119" t="e">
        <f>AND('Planilla_General_03-12-2012_9_3'!B1889,"AAAAAD1f9wI=")</f>
        <v>#VALUE!</v>
      </c>
      <c r="D119" t="e">
        <f>AND('Planilla_General_03-12-2012_9_3'!C1889,"AAAAAD1f9wM=")</f>
        <v>#VALUE!</v>
      </c>
      <c r="E119" t="e">
        <f>AND('Planilla_General_03-12-2012_9_3'!D1889,"AAAAAD1f9wQ=")</f>
        <v>#VALUE!</v>
      </c>
      <c r="F119" t="e">
        <f>AND('Planilla_General_03-12-2012_9_3'!E1889,"AAAAAD1f9wU=")</f>
        <v>#VALUE!</v>
      </c>
      <c r="G119" t="e">
        <f>AND('Planilla_General_03-12-2012_9_3'!F1889,"AAAAAD1f9wY=")</f>
        <v>#VALUE!</v>
      </c>
      <c r="H119" t="e">
        <f>AND('Planilla_General_03-12-2012_9_3'!G1889,"AAAAAD1f9wc=")</f>
        <v>#VALUE!</v>
      </c>
      <c r="I119" t="e">
        <f>AND('Planilla_General_03-12-2012_9_3'!H1889,"AAAAAD1f9wg=")</f>
        <v>#VALUE!</v>
      </c>
      <c r="J119" t="e">
        <f>AND('Planilla_General_03-12-2012_9_3'!I1889,"AAAAAD1f9wk=")</f>
        <v>#VALUE!</v>
      </c>
      <c r="K119" t="e">
        <f>AND('Planilla_General_03-12-2012_9_3'!J1889,"AAAAAD1f9wo=")</f>
        <v>#VALUE!</v>
      </c>
      <c r="L119" t="e">
        <f>AND('Planilla_General_03-12-2012_9_3'!K1889,"AAAAAD1f9ws=")</f>
        <v>#VALUE!</v>
      </c>
      <c r="M119" t="e">
        <f>AND('Planilla_General_03-12-2012_9_3'!L1889,"AAAAAD1f9ww=")</f>
        <v>#VALUE!</v>
      </c>
      <c r="N119" t="e">
        <f>AND('Planilla_General_03-12-2012_9_3'!M1889,"AAAAAD1f9w0=")</f>
        <v>#VALUE!</v>
      </c>
      <c r="O119" t="e">
        <f>AND('Planilla_General_03-12-2012_9_3'!N1889,"AAAAAD1f9w4=")</f>
        <v>#VALUE!</v>
      </c>
      <c r="P119" t="e">
        <f>AND('Planilla_General_03-12-2012_9_3'!O1889,"AAAAAD1f9w8=")</f>
        <v>#VALUE!</v>
      </c>
      <c r="Q119">
        <f>IF('Planilla_General_03-12-2012_9_3'!1890:1890,"AAAAAD1f9xA=",0)</f>
        <v>0</v>
      </c>
      <c r="R119" t="e">
        <f>AND('Planilla_General_03-12-2012_9_3'!A1890,"AAAAAD1f9xE=")</f>
        <v>#VALUE!</v>
      </c>
      <c r="S119" t="e">
        <f>AND('Planilla_General_03-12-2012_9_3'!B1890,"AAAAAD1f9xI=")</f>
        <v>#VALUE!</v>
      </c>
      <c r="T119" t="e">
        <f>AND('Planilla_General_03-12-2012_9_3'!C1890,"AAAAAD1f9xM=")</f>
        <v>#VALUE!</v>
      </c>
      <c r="U119" t="e">
        <f>AND('Planilla_General_03-12-2012_9_3'!D1890,"AAAAAD1f9xQ=")</f>
        <v>#VALUE!</v>
      </c>
      <c r="V119" t="e">
        <f>AND('Planilla_General_03-12-2012_9_3'!E1890,"AAAAAD1f9xU=")</f>
        <v>#VALUE!</v>
      </c>
      <c r="W119" t="e">
        <f>AND('Planilla_General_03-12-2012_9_3'!F1890,"AAAAAD1f9xY=")</f>
        <v>#VALUE!</v>
      </c>
      <c r="X119" t="e">
        <f>AND('Planilla_General_03-12-2012_9_3'!G1890,"AAAAAD1f9xc=")</f>
        <v>#VALUE!</v>
      </c>
      <c r="Y119" t="e">
        <f>AND('Planilla_General_03-12-2012_9_3'!H1890,"AAAAAD1f9xg=")</f>
        <v>#VALUE!</v>
      </c>
      <c r="Z119" t="e">
        <f>AND('Planilla_General_03-12-2012_9_3'!I1890,"AAAAAD1f9xk=")</f>
        <v>#VALUE!</v>
      </c>
      <c r="AA119" t="e">
        <f>AND('Planilla_General_03-12-2012_9_3'!J1890,"AAAAAD1f9xo=")</f>
        <v>#VALUE!</v>
      </c>
      <c r="AB119" t="e">
        <f>AND('Planilla_General_03-12-2012_9_3'!K1890,"AAAAAD1f9xs=")</f>
        <v>#VALUE!</v>
      </c>
      <c r="AC119" t="e">
        <f>AND('Planilla_General_03-12-2012_9_3'!L1890,"AAAAAD1f9xw=")</f>
        <v>#VALUE!</v>
      </c>
      <c r="AD119" t="e">
        <f>AND('Planilla_General_03-12-2012_9_3'!M1890,"AAAAAD1f9x0=")</f>
        <v>#VALUE!</v>
      </c>
      <c r="AE119" t="e">
        <f>AND('Planilla_General_03-12-2012_9_3'!N1890,"AAAAAD1f9x4=")</f>
        <v>#VALUE!</v>
      </c>
      <c r="AF119" t="e">
        <f>AND('Planilla_General_03-12-2012_9_3'!O1890,"AAAAAD1f9x8=")</f>
        <v>#VALUE!</v>
      </c>
      <c r="AG119">
        <f>IF('Planilla_General_03-12-2012_9_3'!1891:1891,"AAAAAD1f9yA=",0)</f>
        <v>0</v>
      </c>
      <c r="AH119" t="e">
        <f>AND('Planilla_General_03-12-2012_9_3'!A1891,"AAAAAD1f9yE=")</f>
        <v>#VALUE!</v>
      </c>
      <c r="AI119" t="e">
        <f>AND('Planilla_General_03-12-2012_9_3'!B1891,"AAAAAD1f9yI=")</f>
        <v>#VALUE!</v>
      </c>
      <c r="AJ119" t="e">
        <f>AND('Planilla_General_03-12-2012_9_3'!C1891,"AAAAAD1f9yM=")</f>
        <v>#VALUE!</v>
      </c>
      <c r="AK119" t="e">
        <f>AND('Planilla_General_03-12-2012_9_3'!D1891,"AAAAAD1f9yQ=")</f>
        <v>#VALUE!</v>
      </c>
      <c r="AL119" t="e">
        <f>AND('Planilla_General_03-12-2012_9_3'!E1891,"AAAAAD1f9yU=")</f>
        <v>#VALUE!</v>
      </c>
      <c r="AM119" t="e">
        <f>AND('Planilla_General_03-12-2012_9_3'!F1891,"AAAAAD1f9yY=")</f>
        <v>#VALUE!</v>
      </c>
      <c r="AN119" t="e">
        <f>AND('Planilla_General_03-12-2012_9_3'!G1891,"AAAAAD1f9yc=")</f>
        <v>#VALUE!</v>
      </c>
      <c r="AO119" t="e">
        <f>AND('Planilla_General_03-12-2012_9_3'!H1891,"AAAAAD1f9yg=")</f>
        <v>#VALUE!</v>
      </c>
      <c r="AP119" t="e">
        <f>AND('Planilla_General_03-12-2012_9_3'!I1891,"AAAAAD1f9yk=")</f>
        <v>#VALUE!</v>
      </c>
      <c r="AQ119" t="e">
        <f>AND('Planilla_General_03-12-2012_9_3'!J1891,"AAAAAD1f9yo=")</f>
        <v>#VALUE!</v>
      </c>
      <c r="AR119" t="e">
        <f>AND('Planilla_General_03-12-2012_9_3'!K1891,"AAAAAD1f9ys=")</f>
        <v>#VALUE!</v>
      </c>
      <c r="AS119" t="e">
        <f>AND('Planilla_General_03-12-2012_9_3'!L1891,"AAAAAD1f9yw=")</f>
        <v>#VALUE!</v>
      </c>
      <c r="AT119" t="e">
        <f>AND('Planilla_General_03-12-2012_9_3'!M1891,"AAAAAD1f9y0=")</f>
        <v>#VALUE!</v>
      </c>
      <c r="AU119" t="e">
        <f>AND('Planilla_General_03-12-2012_9_3'!N1891,"AAAAAD1f9y4=")</f>
        <v>#VALUE!</v>
      </c>
      <c r="AV119" t="e">
        <f>AND('Planilla_General_03-12-2012_9_3'!O1891,"AAAAAD1f9y8=")</f>
        <v>#VALUE!</v>
      </c>
      <c r="AW119">
        <f>IF('Planilla_General_03-12-2012_9_3'!1892:1892,"AAAAAD1f9zA=",0)</f>
        <v>0</v>
      </c>
      <c r="AX119" t="e">
        <f>AND('Planilla_General_03-12-2012_9_3'!A1892,"AAAAAD1f9zE=")</f>
        <v>#VALUE!</v>
      </c>
      <c r="AY119" t="e">
        <f>AND('Planilla_General_03-12-2012_9_3'!B1892,"AAAAAD1f9zI=")</f>
        <v>#VALUE!</v>
      </c>
      <c r="AZ119" t="e">
        <f>AND('Planilla_General_03-12-2012_9_3'!C1892,"AAAAAD1f9zM=")</f>
        <v>#VALUE!</v>
      </c>
      <c r="BA119" t="e">
        <f>AND('Planilla_General_03-12-2012_9_3'!D1892,"AAAAAD1f9zQ=")</f>
        <v>#VALUE!</v>
      </c>
      <c r="BB119" t="e">
        <f>AND('Planilla_General_03-12-2012_9_3'!E1892,"AAAAAD1f9zU=")</f>
        <v>#VALUE!</v>
      </c>
      <c r="BC119" t="e">
        <f>AND('Planilla_General_03-12-2012_9_3'!F1892,"AAAAAD1f9zY=")</f>
        <v>#VALUE!</v>
      </c>
      <c r="BD119" t="e">
        <f>AND('Planilla_General_03-12-2012_9_3'!G1892,"AAAAAD1f9zc=")</f>
        <v>#VALUE!</v>
      </c>
      <c r="BE119" t="e">
        <f>AND('Planilla_General_03-12-2012_9_3'!H1892,"AAAAAD1f9zg=")</f>
        <v>#VALUE!</v>
      </c>
      <c r="BF119" t="e">
        <f>AND('Planilla_General_03-12-2012_9_3'!I1892,"AAAAAD1f9zk=")</f>
        <v>#VALUE!</v>
      </c>
      <c r="BG119" t="e">
        <f>AND('Planilla_General_03-12-2012_9_3'!J1892,"AAAAAD1f9zo=")</f>
        <v>#VALUE!</v>
      </c>
      <c r="BH119" t="e">
        <f>AND('Planilla_General_03-12-2012_9_3'!K1892,"AAAAAD1f9zs=")</f>
        <v>#VALUE!</v>
      </c>
      <c r="BI119" t="e">
        <f>AND('Planilla_General_03-12-2012_9_3'!L1892,"AAAAAD1f9zw=")</f>
        <v>#VALUE!</v>
      </c>
      <c r="BJ119" t="e">
        <f>AND('Planilla_General_03-12-2012_9_3'!M1892,"AAAAAD1f9z0=")</f>
        <v>#VALUE!</v>
      </c>
      <c r="BK119" t="e">
        <f>AND('Planilla_General_03-12-2012_9_3'!N1892,"AAAAAD1f9z4=")</f>
        <v>#VALUE!</v>
      </c>
      <c r="BL119" t="e">
        <f>AND('Planilla_General_03-12-2012_9_3'!O1892,"AAAAAD1f9z8=")</f>
        <v>#VALUE!</v>
      </c>
      <c r="BM119">
        <f>IF('Planilla_General_03-12-2012_9_3'!1893:1893,"AAAAAD1f90A=",0)</f>
        <v>0</v>
      </c>
      <c r="BN119" t="e">
        <f>AND('Planilla_General_03-12-2012_9_3'!A1893,"AAAAAD1f90E=")</f>
        <v>#VALUE!</v>
      </c>
      <c r="BO119" t="e">
        <f>AND('Planilla_General_03-12-2012_9_3'!B1893,"AAAAAD1f90I=")</f>
        <v>#VALUE!</v>
      </c>
      <c r="BP119" t="e">
        <f>AND('Planilla_General_03-12-2012_9_3'!C1893,"AAAAAD1f90M=")</f>
        <v>#VALUE!</v>
      </c>
      <c r="BQ119" t="e">
        <f>AND('Planilla_General_03-12-2012_9_3'!D1893,"AAAAAD1f90Q=")</f>
        <v>#VALUE!</v>
      </c>
      <c r="BR119" t="e">
        <f>AND('Planilla_General_03-12-2012_9_3'!E1893,"AAAAAD1f90U=")</f>
        <v>#VALUE!</v>
      </c>
      <c r="BS119" t="e">
        <f>AND('Planilla_General_03-12-2012_9_3'!F1893,"AAAAAD1f90Y=")</f>
        <v>#VALUE!</v>
      </c>
      <c r="BT119" t="e">
        <f>AND('Planilla_General_03-12-2012_9_3'!G1893,"AAAAAD1f90c=")</f>
        <v>#VALUE!</v>
      </c>
      <c r="BU119" t="e">
        <f>AND('Planilla_General_03-12-2012_9_3'!H1893,"AAAAAD1f90g=")</f>
        <v>#VALUE!</v>
      </c>
      <c r="BV119" t="e">
        <f>AND('Planilla_General_03-12-2012_9_3'!I1893,"AAAAAD1f90k=")</f>
        <v>#VALUE!</v>
      </c>
      <c r="BW119" t="e">
        <f>AND('Planilla_General_03-12-2012_9_3'!J1893,"AAAAAD1f90o=")</f>
        <v>#VALUE!</v>
      </c>
      <c r="BX119" t="e">
        <f>AND('Planilla_General_03-12-2012_9_3'!K1893,"AAAAAD1f90s=")</f>
        <v>#VALUE!</v>
      </c>
      <c r="BY119" t="e">
        <f>AND('Planilla_General_03-12-2012_9_3'!L1893,"AAAAAD1f90w=")</f>
        <v>#VALUE!</v>
      </c>
      <c r="BZ119" t="e">
        <f>AND('Planilla_General_03-12-2012_9_3'!M1893,"AAAAAD1f900=")</f>
        <v>#VALUE!</v>
      </c>
      <c r="CA119" t="e">
        <f>AND('Planilla_General_03-12-2012_9_3'!N1893,"AAAAAD1f904=")</f>
        <v>#VALUE!</v>
      </c>
      <c r="CB119" t="e">
        <f>AND('Planilla_General_03-12-2012_9_3'!O1893,"AAAAAD1f908=")</f>
        <v>#VALUE!</v>
      </c>
      <c r="CC119">
        <f>IF('Planilla_General_03-12-2012_9_3'!1894:1894,"AAAAAD1f91A=",0)</f>
        <v>0</v>
      </c>
      <c r="CD119" t="e">
        <f>AND('Planilla_General_03-12-2012_9_3'!A1894,"AAAAAD1f91E=")</f>
        <v>#VALUE!</v>
      </c>
      <c r="CE119" t="e">
        <f>AND('Planilla_General_03-12-2012_9_3'!B1894,"AAAAAD1f91I=")</f>
        <v>#VALUE!</v>
      </c>
      <c r="CF119" t="e">
        <f>AND('Planilla_General_03-12-2012_9_3'!C1894,"AAAAAD1f91M=")</f>
        <v>#VALUE!</v>
      </c>
      <c r="CG119" t="e">
        <f>AND('Planilla_General_03-12-2012_9_3'!D1894,"AAAAAD1f91Q=")</f>
        <v>#VALUE!</v>
      </c>
      <c r="CH119" t="e">
        <f>AND('Planilla_General_03-12-2012_9_3'!E1894,"AAAAAD1f91U=")</f>
        <v>#VALUE!</v>
      </c>
      <c r="CI119" t="e">
        <f>AND('Planilla_General_03-12-2012_9_3'!F1894,"AAAAAD1f91Y=")</f>
        <v>#VALUE!</v>
      </c>
      <c r="CJ119" t="e">
        <f>AND('Planilla_General_03-12-2012_9_3'!G1894,"AAAAAD1f91c=")</f>
        <v>#VALUE!</v>
      </c>
      <c r="CK119" t="e">
        <f>AND('Planilla_General_03-12-2012_9_3'!H1894,"AAAAAD1f91g=")</f>
        <v>#VALUE!</v>
      </c>
      <c r="CL119" t="e">
        <f>AND('Planilla_General_03-12-2012_9_3'!I1894,"AAAAAD1f91k=")</f>
        <v>#VALUE!</v>
      </c>
      <c r="CM119" t="e">
        <f>AND('Planilla_General_03-12-2012_9_3'!J1894,"AAAAAD1f91o=")</f>
        <v>#VALUE!</v>
      </c>
      <c r="CN119" t="e">
        <f>AND('Planilla_General_03-12-2012_9_3'!K1894,"AAAAAD1f91s=")</f>
        <v>#VALUE!</v>
      </c>
      <c r="CO119" t="e">
        <f>AND('Planilla_General_03-12-2012_9_3'!L1894,"AAAAAD1f91w=")</f>
        <v>#VALUE!</v>
      </c>
      <c r="CP119" t="e">
        <f>AND('Planilla_General_03-12-2012_9_3'!M1894,"AAAAAD1f910=")</f>
        <v>#VALUE!</v>
      </c>
      <c r="CQ119" t="e">
        <f>AND('Planilla_General_03-12-2012_9_3'!N1894,"AAAAAD1f914=")</f>
        <v>#VALUE!</v>
      </c>
      <c r="CR119" t="e">
        <f>AND('Planilla_General_03-12-2012_9_3'!O1894,"AAAAAD1f918=")</f>
        <v>#VALUE!</v>
      </c>
      <c r="CS119">
        <f>IF('Planilla_General_03-12-2012_9_3'!1895:1895,"AAAAAD1f92A=",0)</f>
        <v>0</v>
      </c>
      <c r="CT119" t="e">
        <f>AND('Planilla_General_03-12-2012_9_3'!A1895,"AAAAAD1f92E=")</f>
        <v>#VALUE!</v>
      </c>
      <c r="CU119" t="e">
        <f>AND('Planilla_General_03-12-2012_9_3'!B1895,"AAAAAD1f92I=")</f>
        <v>#VALUE!</v>
      </c>
      <c r="CV119" t="e">
        <f>AND('Planilla_General_03-12-2012_9_3'!C1895,"AAAAAD1f92M=")</f>
        <v>#VALUE!</v>
      </c>
      <c r="CW119" t="e">
        <f>AND('Planilla_General_03-12-2012_9_3'!D1895,"AAAAAD1f92Q=")</f>
        <v>#VALUE!</v>
      </c>
      <c r="CX119" t="e">
        <f>AND('Planilla_General_03-12-2012_9_3'!E1895,"AAAAAD1f92U=")</f>
        <v>#VALUE!</v>
      </c>
      <c r="CY119" t="e">
        <f>AND('Planilla_General_03-12-2012_9_3'!F1895,"AAAAAD1f92Y=")</f>
        <v>#VALUE!</v>
      </c>
      <c r="CZ119" t="e">
        <f>AND('Planilla_General_03-12-2012_9_3'!G1895,"AAAAAD1f92c=")</f>
        <v>#VALUE!</v>
      </c>
      <c r="DA119" t="e">
        <f>AND('Planilla_General_03-12-2012_9_3'!H1895,"AAAAAD1f92g=")</f>
        <v>#VALUE!</v>
      </c>
      <c r="DB119" t="e">
        <f>AND('Planilla_General_03-12-2012_9_3'!I1895,"AAAAAD1f92k=")</f>
        <v>#VALUE!</v>
      </c>
      <c r="DC119" t="e">
        <f>AND('Planilla_General_03-12-2012_9_3'!J1895,"AAAAAD1f92o=")</f>
        <v>#VALUE!</v>
      </c>
      <c r="DD119" t="e">
        <f>AND('Planilla_General_03-12-2012_9_3'!K1895,"AAAAAD1f92s=")</f>
        <v>#VALUE!</v>
      </c>
      <c r="DE119" t="e">
        <f>AND('Planilla_General_03-12-2012_9_3'!L1895,"AAAAAD1f92w=")</f>
        <v>#VALUE!</v>
      </c>
      <c r="DF119" t="e">
        <f>AND('Planilla_General_03-12-2012_9_3'!M1895,"AAAAAD1f920=")</f>
        <v>#VALUE!</v>
      </c>
      <c r="DG119" t="e">
        <f>AND('Planilla_General_03-12-2012_9_3'!N1895,"AAAAAD1f924=")</f>
        <v>#VALUE!</v>
      </c>
      <c r="DH119" t="e">
        <f>AND('Planilla_General_03-12-2012_9_3'!O1895,"AAAAAD1f928=")</f>
        <v>#VALUE!</v>
      </c>
      <c r="DI119">
        <f>IF('Planilla_General_03-12-2012_9_3'!1896:1896,"AAAAAD1f93A=",0)</f>
        <v>0</v>
      </c>
      <c r="DJ119" t="e">
        <f>AND('Planilla_General_03-12-2012_9_3'!A1896,"AAAAAD1f93E=")</f>
        <v>#VALUE!</v>
      </c>
      <c r="DK119" t="e">
        <f>AND('Planilla_General_03-12-2012_9_3'!B1896,"AAAAAD1f93I=")</f>
        <v>#VALUE!</v>
      </c>
      <c r="DL119" t="e">
        <f>AND('Planilla_General_03-12-2012_9_3'!C1896,"AAAAAD1f93M=")</f>
        <v>#VALUE!</v>
      </c>
      <c r="DM119" t="e">
        <f>AND('Planilla_General_03-12-2012_9_3'!D1896,"AAAAAD1f93Q=")</f>
        <v>#VALUE!</v>
      </c>
      <c r="DN119" t="e">
        <f>AND('Planilla_General_03-12-2012_9_3'!E1896,"AAAAAD1f93U=")</f>
        <v>#VALUE!</v>
      </c>
      <c r="DO119" t="e">
        <f>AND('Planilla_General_03-12-2012_9_3'!F1896,"AAAAAD1f93Y=")</f>
        <v>#VALUE!</v>
      </c>
      <c r="DP119" t="e">
        <f>AND('Planilla_General_03-12-2012_9_3'!G1896,"AAAAAD1f93c=")</f>
        <v>#VALUE!</v>
      </c>
      <c r="DQ119" t="e">
        <f>AND('Planilla_General_03-12-2012_9_3'!H1896,"AAAAAD1f93g=")</f>
        <v>#VALUE!</v>
      </c>
      <c r="DR119" t="e">
        <f>AND('Planilla_General_03-12-2012_9_3'!I1896,"AAAAAD1f93k=")</f>
        <v>#VALUE!</v>
      </c>
      <c r="DS119" t="e">
        <f>AND('Planilla_General_03-12-2012_9_3'!J1896,"AAAAAD1f93o=")</f>
        <v>#VALUE!</v>
      </c>
      <c r="DT119" t="e">
        <f>AND('Planilla_General_03-12-2012_9_3'!K1896,"AAAAAD1f93s=")</f>
        <v>#VALUE!</v>
      </c>
      <c r="DU119" t="e">
        <f>AND('Planilla_General_03-12-2012_9_3'!L1896,"AAAAAD1f93w=")</f>
        <v>#VALUE!</v>
      </c>
      <c r="DV119" t="e">
        <f>AND('Planilla_General_03-12-2012_9_3'!M1896,"AAAAAD1f930=")</f>
        <v>#VALUE!</v>
      </c>
      <c r="DW119" t="e">
        <f>AND('Planilla_General_03-12-2012_9_3'!N1896,"AAAAAD1f934=")</f>
        <v>#VALUE!</v>
      </c>
      <c r="DX119" t="e">
        <f>AND('Planilla_General_03-12-2012_9_3'!O1896,"AAAAAD1f938=")</f>
        <v>#VALUE!</v>
      </c>
      <c r="DY119">
        <f>IF('Planilla_General_03-12-2012_9_3'!1897:1897,"AAAAAD1f94A=",0)</f>
        <v>0</v>
      </c>
      <c r="DZ119" t="e">
        <f>AND('Planilla_General_03-12-2012_9_3'!A1897,"AAAAAD1f94E=")</f>
        <v>#VALUE!</v>
      </c>
      <c r="EA119" t="e">
        <f>AND('Planilla_General_03-12-2012_9_3'!B1897,"AAAAAD1f94I=")</f>
        <v>#VALUE!</v>
      </c>
      <c r="EB119" t="e">
        <f>AND('Planilla_General_03-12-2012_9_3'!C1897,"AAAAAD1f94M=")</f>
        <v>#VALUE!</v>
      </c>
      <c r="EC119" t="e">
        <f>AND('Planilla_General_03-12-2012_9_3'!D1897,"AAAAAD1f94Q=")</f>
        <v>#VALUE!</v>
      </c>
      <c r="ED119" t="e">
        <f>AND('Planilla_General_03-12-2012_9_3'!E1897,"AAAAAD1f94U=")</f>
        <v>#VALUE!</v>
      </c>
      <c r="EE119" t="e">
        <f>AND('Planilla_General_03-12-2012_9_3'!F1897,"AAAAAD1f94Y=")</f>
        <v>#VALUE!</v>
      </c>
      <c r="EF119" t="e">
        <f>AND('Planilla_General_03-12-2012_9_3'!G1897,"AAAAAD1f94c=")</f>
        <v>#VALUE!</v>
      </c>
      <c r="EG119" t="e">
        <f>AND('Planilla_General_03-12-2012_9_3'!H1897,"AAAAAD1f94g=")</f>
        <v>#VALUE!</v>
      </c>
      <c r="EH119" t="e">
        <f>AND('Planilla_General_03-12-2012_9_3'!I1897,"AAAAAD1f94k=")</f>
        <v>#VALUE!</v>
      </c>
      <c r="EI119" t="e">
        <f>AND('Planilla_General_03-12-2012_9_3'!J1897,"AAAAAD1f94o=")</f>
        <v>#VALUE!</v>
      </c>
      <c r="EJ119" t="e">
        <f>AND('Planilla_General_03-12-2012_9_3'!K1897,"AAAAAD1f94s=")</f>
        <v>#VALUE!</v>
      </c>
      <c r="EK119" t="e">
        <f>AND('Planilla_General_03-12-2012_9_3'!L1897,"AAAAAD1f94w=")</f>
        <v>#VALUE!</v>
      </c>
      <c r="EL119" t="e">
        <f>AND('Planilla_General_03-12-2012_9_3'!M1897,"AAAAAD1f940=")</f>
        <v>#VALUE!</v>
      </c>
      <c r="EM119" t="e">
        <f>AND('Planilla_General_03-12-2012_9_3'!N1897,"AAAAAD1f944=")</f>
        <v>#VALUE!</v>
      </c>
      <c r="EN119" t="e">
        <f>AND('Planilla_General_03-12-2012_9_3'!O1897,"AAAAAD1f948=")</f>
        <v>#VALUE!</v>
      </c>
      <c r="EO119">
        <f>IF('Planilla_General_03-12-2012_9_3'!1898:1898,"AAAAAD1f95A=",0)</f>
        <v>0</v>
      </c>
      <c r="EP119" t="e">
        <f>AND('Planilla_General_03-12-2012_9_3'!A1898,"AAAAAD1f95E=")</f>
        <v>#VALUE!</v>
      </c>
      <c r="EQ119" t="e">
        <f>AND('Planilla_General_03-12-2012_9_3'!B1898,"AAAAAD1f95I=")</f>
        <v>#VALUE!</v>
      </c>
      <c r="ER119" t="e">
        <f>AND('Planilla_General_03-12-2012_9_3'!C1898,"AAAAAD1f95M=")</f>
        <v>#VALUE!</v>
      </c>
      <c r="ES119" t="e">
        <f>AND('Planilla_General_03-12-2012_9_3'!D1898,"AAAAAD1f95Q=")</f>
        <v>#VALUE!</v>
      </c>
      <c r="ET119" t="e">
        <f>AND('Planilla_General_03-12-2012_9_3'!E1898,"AAAAAD1f95U=")</f>
        <v>#VALUE!</v>
      </c>
      <c r="EU119" t="e">
        <f>AND('Planilla_General_03-12-2012_9_3'!F1898,"AAAAAD1f95Y=")</f>
        <v>#VALUE!</v>
      </c>
      <c r="EV119" t="e">
        <f>AND('Planilla_General_03-12-2012_9_3'!G1898,"AAAAAD1f95c=")</f>
        <v>#VALUE!</v>
      </c>
      <c r="EW119" t="e">
        <f>AND('Planilla_General_03-12-2012_9_3'!H1898,"AAAAAD1f95g=")</f>
        <v>#VALUE!</v>
      </c>
      <c r="EX119" t="e">
        <f>AND('Planilla_General_03-12-2012_9_3'!I1898,"AAAAAD1f95k=")</f>
        <v>#VALUE!</v>
      </c>
      <c r="EY119" t="e">
        <f>AND('Planilla_General_03-12-2012_9_3'!J1898,"AAAAAD1f95o=")</f>
        <v>#VALUE!</v>
      </c>
      <c r="EZ119" t="e">
        <f>AND('Planilla_General_03-12-2012_9_3'!K1898,"AAAAAD1f95s=")</f>
        <v>#VALUE!</v>
      </c>
      <c r="FA119" t="e">
        <f>AND('Planilla_General_03-12-2012_9_3'!L1898,"AAAAAD1f95w=")</f>
        <v>#VALUE!</v>
      </c>
      <c r="FB119" t="e">
        <f>AND('Planilla_General_03-12-2012_9_3'!M1898,"AAAAAD1f950=")</f>
        <v>#VALUE!</v>
      </c>
      <c r="FC119" t="e">
        <f>AND('Planilla_General_03-12-2012_9_3'!N1898,"AAAAAD1f954=")</f>
        <v>#VALUE!</v>
      </c>
      <c r="FD119" t="e">
        <f>AND('Planilla_General_03-12-2012_9_3'!O1898,"AAAAAD1f958=")</f>
        <v>#VALUE!</v>
      </c>
      <c r="FE119">
        <f>IF('Planilla_General_03-12-2012_9_3'!1899:1899,"AAAAAD1f96A=",0)</f>
        <v>0</v>
      </c>
      <c r="FF119" t="e">
        <f>AND('Planilla_General_03-12-2012_9_3'!A1899,"AAAAAD1f96E=")</f>
        <v>#VALUE!</v>
      </c>
      <c r="FG119" t="e">
        <f>AND('Planilla_General_03-12-2012_9_3'!B1899,"AAAAAD1f96I=")</f>
        <v>#VALUE!</v>
      </c>
      <c r="FH119" t="e">
        <f>AND('Planilla_General_03-12-2012_9_3'!C1899,"AAAAAD1f96M=")</f>
        <v>#VALUE!</v>
      </c>
      <c r="FI119" t="e">
        <f>AND('Planilla_General_03-12-2012_9_3'!D1899,"AAAAAD1f96Q=")</f>
        <v>#VALUE!</v>
      </c>
      <c r="FJ119" t="e">
        <f>AND('Planilla_General_03-12-2012_9_3'!E1899,"AAAAAD1f96U=")</f>
        <v>#VALUE!</v>
      </c>
      <c r="FK119" t="e">
        <f>AND('Planilla_General_03-12-2012_9_3'!F1899,"AAAAAD1f96Y=")</f>
        <v>#VALUE!</v>
      </c>
      <c r="FL119" t="e">
        <f>AND('Planilla_General_03-12-2012_9_3'!G1899,"AAAAAD1f96c=")</f>
        <v>#VALUE!</v>
      </c>
      <c r="FM119" t="e">
        <f>AND('Planilla_General_03-12-2012_9_3'!H1899,"AAAAAD1f96g=")</f>
        <v>#VALUE!</v>
      </c>
      <c r="FN119" t="e">
        <f>AND('Planilla_General_03-12-2012_9_3'!I1899,"AAAAAD1f96k=")</f>
        <v>#VALUE!</v>
      </c>
      <c r="FO119" t="e">
        <f>AND('Planilla_General_03-12-2012_9_3'!J1899,"AAAAAD1f96o=")</f>
        <v>#VALUE!</v>
      </c>
      <c r="FP119" t="e">
        <f>AND('Planilla_General_03-12-2012_9_3'!K1899,"AAAAAD1f96s=")</f>
        <v>#VALUE!</v>
      </c>
      <c r="FQ119" t="e">
        <f>AND('Planilla_General_03-12-2012_9_3'!L1899,"AAAAAD1f96w=")</f>
        <v>#VALUE!</v>
      </c>
      <c r="FR119" t="e">
        <f>AND('Planilla_General_03-12-2012_9_3'!M1899,"AAAAAD1f960=")</f>
        <v>#VALUE!</v>
      </c>
      <c r="FS119" t="e">
        <f>AND('Planilla_General_03-12-2012_9_3'!N1899,"AAAAAD1f964=")</f>
        <v>#VALUE!</v>
      </c>
      <c r="FT119" t="e">
        <f>AND('Planilla_General_03-12-2012_9_3'!O1899,"AAAAAD1f968=")</f>
        <v>#VALUE!</v>
      </c>
      <c r="FU119">
        <f>IF('Planilla_General_03-12-2012_9_3'!1900:1900,"AAAAAD1f97A=",0)</f>
        <v>0</v>
      </c>
      <c r="FV119" t="e">
        <f>AND('Planilla_General_03-12-2012_9_3'!A1900,"AAAAAD1f97E=")</f>
        <v>#VALUE!</v>
      </c>
      <c r="FW119" t="e">
        <f>AND('Planilla_General_03-12-2012_9_3'!B1900,"AAAAAD1f97I=")</f>
        <v>#VALUE!</v>
      </c>
      <c r="FX119" t="e">
        <f>AND('Planilla_General_03-12-2012_9_3'!C1900,"AAAAAD1f97M=")</f>
        <v>#VALUE!</v>
      </c>
      <c r="FY119" t="e">
        <f>AND('Planilla_General_03-12-2012_9_3'!D1900,"AAAAAD1f97Q=")</f>
        <v>#VALUE!</v>
      </c>
      <c r="FZ119" t="e">
        <f>AND('Planilla_General_03-12-2012_9_3'!E1900,"AAAAAD1f97U=")</f>
        <v>#VALUE!</v>
      </c>
      <c r="GA119" t="e">
        <f>AND('Planilla_General_03-12-2012_9_3'!F1900,"AAAAAD1f97Y=")</f>
        <v>#VALUE!</v>
      </c>
      <c r="GB119" t="e">
        <f>AND('Planilla_General_03-12-2012_9_3'!G1900,"AAAAAD1f97c=")</f>
        <v>#VALUE!</v>
      </c>
      <c r="GC119" t="e">
        <f>AND('Planilla_General_03-12-2012_9_3'!H1900,"AAAAAD1f97g=")</f>
        <v>#VALUE!</v>
      </c>
      <c r="GD119" t="e">
        <f>AND('Planilla_General_03-12-2012_9_3'!I1900,"AAAAAD1f97k=")</f>
        <v>#VALUE!</v>
      </c>
      <c r="GE119" t="e">
        <f>AND('Planilla_General_03-12-2012_9_3'!J1900,"AAAAAD1f97o=")</f>
        <v>#VALUE!</v>
      </c>
      <c r="GF119" t="e">
        <f>AND('Planilla_General_03-12-2012_9_3'!K1900,"AAAAAD1f97s=")</f>
        <v>#VALUE!</v>
      </c>
      <c r="GG119" t="e">
        <f>AND('Planilla_General_03-12-2012_9_3'!L1900,"AAAAAD1f97w=")</f>
        <v>#VALUE!</v>
      </c>
      <c r="GH119" t="e">
        <f>AND('Planilla_General_03-12-2012_9_3'!M1900,"AAAAAD1f970=")</f>
        <v>#VALUE!</v>
      </c>
      <c r="GI119" t="e">
        <f>AND('Planilla_General_03-12-2012_9_3'!N1900,"AAAAAD1f974=")</f>
        <v>#VALUE!</v>
      </c>
      <c r="GJ119" t="e">
        <f>AND('Planilla_General_03-12-2012_9_3'!O1900,"AAAAAD1f978=")</f>
        <v>#VALUE!</v>
      </c>
      <c r="GK119">
        <f>IF('Planilla_General_03-12-2012_9_3'!1901:1901,"AAAAAD1f98A=",0)</f>
        <v>0</v>
      </c>
      <c r="GL119" t="e">
        <f>AND('Planilla_General_03-12-2012_9_3'!A1901,"AAAAAD1f98E=")</f>
        <v>#VALUE!</v>
      </c>
      <c r="GM119" t="e">
        <f>AND('Planilla_General_03-12-2012_9_3'!B1901,"AAAAAD1f98I=")</f>
        <v>#VALUE!</v>
      </c>
      <c r="GN119" t="e">
        <f>AND('Planilla_General_03-12-2012_9_3'!C1901,"AAAAAD1f98M=")</f>
        <v>#VALUE!</v>
      </c>
      <c r="GO119" t="e">
        <f>AND('Planilla_General_03-12-2012_9_3'!D1901,"AAAAAD1f98Q=")</f>
        <v>#VALUE!</v>
      </c>
      <c r="GP119" t="e">
        <f>AND('Planilla_General_03-12-2012_9_3'!E1901,"AAAAAD1f98U=")</f>
        <v>#VALUE!</v>
      </c>
      <c r="GQ119" t="e">
        <f>AND('Planilla_General_03-12-2012_9_3'!F1901,"AAAAAD1f98Y=")</f>
        <v>#VALUE!</v>
      </c>
      <c r="GR119" t="e">
        <f>AND('Planilla_General_03-12-2012_9_3'!G1901,"AAAAAD1f98c=")</f>
        <v>#VALUE!</v>
      </c>
      <c r="GS119" t="e">
        <f>AND('Planilla_General_03-12-2012_9_3'!H1901,"AAAAAD1f98g=")</f>
        <v>#VALUE!</v>
      </c>
      <c r="GT119" t="e">
        <f>AND('Planilla_General_03-12-2012_9_3'!I1901,"AAAAAD1f98k=")</f>
        <v>#VALUE!</v>
      </c>
      <c r="GU119" t="e">
        <f>AND('Planilla_General_03-12-2012_9_3'!J1901,"AAAAAD1f98o=")</f>
        <v>#VALUE!</v>
      </c>
      <c r="GV119" t="e">
        <f>AND('Planilla_General_03-12-2012_9_3'!K1901,"AAAAAD1f98s=")</f>
        <v>#VALUE!</v>
      </c>
      <c r="GW119" t="e">
        <f>AND('Planilla_General_03-12-2012_9_3'!L1901,"AAAAAD1f98w=")</f>
        <v>#VALUE!</v>
      </c>
      <c r="GX119" t="e">
        <f>AND('Planilla_General_03-12-2012_9_3'!M1901,"AAAAAD1f980=")</f>
        <v>#VALUE!</v>
      </c>
      <c r="GY119" t="e">
        <f>AND('Planilla_General_03-12-2012_9_3'!N1901,"AAAAAD1f984=")</f>
        <v>#VALUE!</v>
      </c>
      <c r="GZ119" t="e">
        <f>AND('Planilla_General_03-12-2012_9_3'!O1901,"AAAAAD1f988=")</f>
        <v>#VALUE!</v>
      </c>
      <c r="HA119">
        <f>IF('Planilla_General_03-12-2012_9_3'!1902:1902,"AAAAAD1f99A=",0)</f>
        <v>0</v>
      </c>
      <c r="HB119" t="e">
        <f>AND('Planilla_General_03-12-2012_9_3'!A1902,"AAAAAD1f99E=")</f>
        <v>#VALUE!</v>
      </c>
      <c r="HC119" t="e">
        <f>AND('Planilla_General_03-12-2012_9_3'!B1902,"AAAAAD1f99I=")</f>
        <v>#VALUE!</v>
      </c>
      <c r="HD119" t="e">
        <f>AND('Planilla_General_03-12-2012_9_3'!C1902,"AAAAAD1f99M=")</f>
        <v>#VALUE!</v>
      </c>
      <c r="HE119" t="e">
        <f>AND('Planilla_General_03-12-2012_9_3'!D1902,"AAAAAD1f99Q=")</f>
        <v>#VALUE!</v>
      </c>
      <c r="HF119" t="e">
        <f>AND('Planilla_General_03-12-2012_9_3'!E1902,"AAAAAD1f99U=")</f>
        <v>#VALUE!</v>
      </c>
      <c r="HG119" t="e">
        <f>AND('Planilla_General_03-12-2012_9_3'!F1902,"AAAAAD1f99Y=")</f>
        <v>#VALUE!</v>
      </c>
      <c r="HH119" t="e">
        <f>AND('Planilla_General_03-12-2012_9_3'!G1902,"AAAAAD1f99c=")</f>
        <v>#VALUE!</v>
      </c>
      <c r="HI119" t="e">
        <f>AND('Planilla_General_03-12-2012_9_3'!H1902,"AAAAAD1f99g=")</f>
        <v>#VALUE!</v>
      </c>
      <c r="HJ119" t="e">
        <f>AND('Planilla_General_03-12-2012_9_3'!I1902,"AAAAAD1f99k=")</f>
        <v>#VALUE!</v>
      </c>
      <c r="HK119" t="e">
        <f>AND('Planilla_General_03-12-2012_9_3'!J1902,"AAAAAD1f99o=")</f>
        <v>#VALUE!</v>
      </c>
      <c r="HL119" t="e">
        <f>AND('Planilla_General_03-12-2012_9_3'!K1902,"AAAAAD1f99s=")</f>
        <v>#VALUE!</v>
      </c>
      <c r="HM119" t="e">
        <f>AND('Planilla_General_03-12-2012_9_3'!L1902,"AAAAAD1f99w=")</f>
        <v>#VALUE!</v>
      </c>
      <c r="HN119" t="e">
        <f>AND('Planilla_General_03-12-2012_9_3'!M1902,"AAAAAD1f990=")</f>
        <v>#VALUE!</v>
      </c>
      <c r="HO119" t="e">
        <f>AND('Planilla_General_03-12-2012_9_3'!N1902,"AAAAAD1f994=")</f>
        <v>#VALUE!</v>
      </c>
      <c r="HP119" t="e">
        <f>AND('Planilla_General_03-12-2012_9_3'!O1902,"AAAAAD1f998=")</f>
        <v>#VALUE!</v>
      </c>
      <c r="HQ119">
        <f>IF('Planilla_General_03-12-2012_9_3'!1903:1903,"AAAAAD1f9+A=",0)</f>
        <v>0</v>
      </c>
      <c r="HR119" t="e">
        <f>AND('Planilla_General_03-12-2012_9_3'!A1903,"AAAAAD1f9+E=")</f>
        <v>#VALUE!</v>
      </c>
      <c r="HS119" t="e">
        <f>AND('Planilla_General_03-12-2012_9_3'!B1903,"AAAAAD1f9+I=")</f>
        <v>#VALUE!</v>
      </c>
      <c r="HT119" t="e">
        <f>AND('Planilla_General_03-12-2012_9_3'!C1903,"AAAAAD1f9+M=")</f>
        <v>#VALUE!</v>
      </c>
      <c r="HU119" t="e">
        <f>AND('Planilla_General_03-12-2012_9_3'!D1903,"AAAAAD1f9+Q=")</f>
        <v>#VALUE!</v>
      </c>
      <c r="HV119" t="e">
        <f>AND('Planilla_General_03-12-2012_9_3'!E1903,"AAAAAD1f9+U=")</f>
        <v>#VALUE!</v>
      </c>
      <c r="HW119" t="e">
        <f>AND('Planilla_General_03-12-2012_9_3'!F1903,"AAAAAD1f9+Y=")</f>
        <v>#VALUE!</v>
      </c>
      <c r="HX119" t="e">
        <f>AND('Planilla_General_03-12-2012_9_3'!G1903,"AAAAAD1f9+c=")</f>
        <v>#VALUE!</v>
      </c>
      <c r="HY119" t="e">
        <f>AND('Planilla_General_03-12-2012_9_3'!H1903,"AAAAAD1f9+g=")</f>
        <v>#VALUE!</v>
      </c>
      <c r="HZ119" t="e">
        <f>AND('Planilla_General_03-12-2012_9_3'!I1903,"AAAAAD1f9+k=")</f>
        <v>#VALUE!</v>
      </c>
      <c r="IA119" t="e">
        <f>AND('Planilla_General_03-12-2012_9_3'!J1903,"AAAAAD1f9+o=")</f>
        <v>#VALUE!</v>
      </c>
      <c r="IB119" t="e">
        <f>AND('Planilla_General_03-12-2012_9_3'!K1903,"AAAAAD1f9+s=")</f>
        <v>#VALUE!</v>
      </c>
      <c r="IC119" t="e">
        <f>AND('Planilla_General_03-12-2012_9_3'!L1903,"AAAAAD1f9+w=")</f>
        <v>#VALUE!</v>
      </c>
      <c r="ID119" t="e">
        <f>AND('Planilla_General_03-12-2012_9_3'!M1903,"AAAAAD1f9+0=")</f>
        <v>#VALUE!</v>
      </c>
      <c r="IE119" t="e">
        <f>AND('Planilla_General_03-12-2012_9_3'!N1903,"AAAAAD1f9+4=")</f>
        <v>#VALUE!</v>
      </c>
      <c r="IF119" t="e">
        <f>AND('Planilla_General_03-12-2012_9_3'!O1903,"AAAAAD1f9+8=")</f>
        <v>#VALUE!</v>
      </c>
      <c r="IG119">
        <f>IF('Planilla_General_03-12-2012_9_3'!1904:1904,"AAAAAD1f9/A=",0)</f>
        <v>0</v>
      </c>
      <c r="IH119" t="e">
        <f>AND('Planilla_General_03-12-2012_9_3'!A1904,"AAAAAD1f9/E=")</f>
        <v>#VALUE!</v>
      </c>
      <c r="II119" t="e">
        <f>AND('Planilla_General_03-12-2012_9_3'!B1904,"AAAAAD1f9/I=")</f>
        <v>#VALUE!</v>
      </c>
      <c r="IJ119" t="e">
        <f>AND('Planilla_General_03-12-2012_9_3'!C1904,"AAAAAD1f9/M=")</f>
        <v>#VALUE!</v>
      </c>
      <c r="IK119" t="e">
        <f>AND('Planilla_General_03-12-2012_9_3'!D1904,"AAAAAD1f9/Q=")</f>
        <v>#VALUE!</v>
      </c>
      <c r="IL119" t="e">
        <f>AND('Planilla_General_03-12-2012_9_3'!E1904,"AAAAAD1f9/U=")</f>
        <v>#VALUE!</v>
      </c>
      <c r="IM119" t="e">
        <f>AND('Planilla_General_03-12-2012_9_3'!F1904,"AAAAAD1f9/Y=")</f>
        <v>#VALUE!</v>
      </c>
      <c r="IN119" t="e">
        <f>AND('Planilla_General_03-12-2012_9_3'!G1904,"AAAAAD1f9/c=")</f>
        <v>#VALUE!</v>
      </c>
      <c r="IO119" t="e">
        <f>AND('Planilla_General_03-12-2012_9_3'!H1904,"AAAAAD1f9/g=")</f>
        <v>#VALUE!</v>
      </c>
      <c r="IP119" t="e">
        <f>AND('Planilla_General_03-12-2012_9_3'!I1904,"AAAAAD1f9/k=")</f>
        <v>#VALUE!</v>
      </c>
      <c r="IQ119" t="e">
        <f>AND('Planilla_General_03-12-2012_9_3'!J1904,"AAAAAD1f9/o=")</f>
        <v>#VALUE!</v>
      </c>
      <c r="IR119" t="e">
        <f>AND('Planilla_General_03-12-2012_9_3'!K1904,"AAAAAD1f9/s=")</f>
        <v>#VALUE!</v>
      </c>
      <c r="IS119" t="e">
        <f>AND('Planilla_General_03-12-2012_9_3'!L1904,"AAAAAD1f9/w=")</f>
        <v>#VALUE!</v>
      </c>
      <c r="IT119" t="e">
        <f>AND('Planilla_General_03-12-2012_9_3'!M1904,"AAAAAD1f9/0=")</f>
        <v>#VALUE!</v>
      </c>
      <c r="IU119" t="e">
        <f>AND('Planilla_General_03-12-2012_9_3'!N1904,"AAAAAD1f9/4=")</f>
        <v>#VALUE!</v>
      </c>
      <c r="IV119" t="e">
        <f>AND('Planilla_General_03-12-2012_9_3'!O1904,"AAAAAD1f9/8=")</f>
        <v>#VALUE!</v>
      </c>
    </row>
    <row r="120" spans="1:256" x14ac:dyDescent="0.25">
      <c r="A120" t="e">
        <f>IF('Planilla_General_03-12-2012_9_3'!1905:1905,"AAAAAC//fwA=",0)</f>
        <v>#VALUE!</v>
      </c>
      <c r="B120" t="e">
        <f>AND('Planilla_General_03-12-2012_9_3'!A1905,"AAAAAC//fwE=")</f>
        <v>#VALUE!</v>
      </c>
      <c r="C120" t="e">
        <f>AND('Planilla_General_03-12-2012_9_3'!B1905,"AAAAAC//fwI=")</f>
        <v>#VALUE!</v>
      </c>
      <c r="D120" t="e">
        <f>AND('Planilla_General_03-12-2012_9_3'!C1905,"AAAAAC//fwM=")</f>
        <v>#VALUE!</v>
      </c>
      <c r="E120" t="e">
        <f>AND('Planilla_General_03-12-2012_9_3'!D1905,"AAAAAC//fwQ=")</f>
        <v>#VALUE!</v>
      </c>
      <c r="F120" t="e">
        <f>AND('Planilla_General_03-12-2012_9_3'!E1905,"AAAAAC//fwU=")</f>
        <v>#VALUE!</v>
      </c>
      <c r="G120" t="e">
        <f>AND('Planilla_General_03-12-2012_9_3'!F1905,"AAAAAC//fwY=")</f>
        <v>#VALUE!</v>
      </c>
      <c r="H120" t="e">
        <f>AND('Planilla_General_03-12-2012_9_3'!G1905,"AAAAAC//fwc=")</f>
        <v>#VALUE!</v>
      </c>
      <c r="I120" t="e">
        <f>AND('Planilla_General_03-12-2012_9_3'!H1905,"AAAAAC//fwg=")</f>
        <v>#VALUE!</v>
      </c>
      <c r="J120" t="e">
        <f>AND('Planilla_General_03-12-2012_9_3'!I1905,"AAAAAC//fwk=")</f>
        <v>#VALUE!</v>
      </c>
      <c r="K120" t="e">
        <f>AND('Planilla_General_03-12-2012_9_3'!J1905,"AAAAAC//fwo=")</f>
        <v>#VALUE!</v>
      </c>
      <c r="L120" t="e">
        <f>AND('Planilla_General_03-12-2012_9_3'!K1905,"AAAAAC//fws=")</f>
        <v>#VALUE!</v>
      </c>
      <c r="M120" t="e">
        <f>AND('Planilla_General_03-12-2012_9_3'!L1905,"AAAAAC//fww=")</f>
        <v>#VALUE!</v>
      </c>
      <c r="N120" t="e">
        <f>AND('Planilla_General_03-12-2012_9_3'!M1905,"AAAAAC//fw0=")</f>
        <v>#VALUE!</v>
      </c>
      <c r="O120" t="e">
        <f>AND('Planilla_General_03-12-2012_9_3'!N1905,"AAAAAC//fw4=")</f>
        <v>#VALUE!</v>
      </c>
      <c r="P120" t="e">
        <f>AND('Planilla_General_03-12-2012_9_3'!O1905,"AAAAAC//fw8=")</f>
        <v>#VALUE!</v>
      </c>
      <c r="Q120">
        <f>IF('Planilla_General_03-12-2012_9_3'!1906:1906,"AAAAAC//fxA=",0)</f>
        <v>0</v>
      </c>
      <c r="R120" t="e">
        <f>AND('Planilla_General_03-12-2012_9_3'!A1906,"AAAAAC//fxE=")</f>
        <v>#VALUE!</v>
      </c>
      <c r="S120" t="e">
        <f>AND('Planilla_General_03-12-2012_9_3'!B1906,"AAAAAC//fxI=")</f>
        <v>#VALUE!</v>
      </c>
      <c r="T120" t="e">
        <f>AND('Planilla_General_03-12-2012_9_3'!C1906,"AAAAAC//fxM=")</f>
        <v>#VALUE!</v>
      </c>
      <c r="U120" t="e">
        <f>AND('Planilla_General_03-12-2012_9_3'!D1906,"AAAAAC//fxQ=")</f>
        <v>#VALUE!</v>
      </c>
      <c r="V120" t="e">
        <f>AND('Planilla_General_03-12-2012_9_3'!E1906,"AAAAAC//fxU=")</f>
        <v>#VALUE!</v>
      </c>
      <c r="W120" t="e">
        <f>AND('Planilla_General_03-12-2012_9_3'!F1906,"AAAAAC//fxY=")</f>
        <v>#VALUE!</v>
      </c>
      <c r="X120" t="e">
        <f>AND('Planilla_General_03-12-2012_9_3'!G1906,"AAAAAC//fxc=")</f>
        <v>#VALUE!</v>
      </c>
      <c r="Y120" t="e">
        <f>AND('Planilla_General_03-12-2012_9_3'!H1906,"AAAAAC//fxg=")</f>
        <v>#VALUE!</v>
      </c>
      <c r="Z120" t="e">
        <f>AND('Planilla_General_03-12-2012_9_3'!I1906,"AAAAAC//fxk=")</f>
        <v>#VALUE!</v>
      </c>
      <c r="AA120" t="e">
        <f>AND('Planilla_General_03-12-2012_9_3'!J1906,"AAAAAC//fxo=")</f>
        <v>#VALUE!</v>
      </c>
      <c r="AB120" t="e">
        <f>AND('Planilla_General_03-12-2012_9_3'!K1906,"AAAAAC//fxs=")</f>
        <v>#VALUE!</v>
      </c>
      <c r="AC120" t="e">
        <f>AND('Planilla_General_03-12-2012_9_3'!L1906,"AAAAAC//fxw=")</f>
        <v>#VALUE!</v>
      </c>
      <c r="AD120" t="e">
        <f>AND('Planilla_General_03-12-2012_9_3'!M1906,"AAAAAC//fx0=")</f>
        <v>#VALUE!</v>
      </c>
      <c r="AE120" t="e">
        <f>AND('Planilla_General_03-12-2012_9_3'!N1906,"AAAAAC//fx4=")</f>
        <v>#VALUE!</v>
      </c>
      <c r="AF120" t="e">
        <f>AND('Planilla_General_03-12-2012_9_3'!O1906,"AAAAAC//fx8=")</f>
        <v>#VALUE!</v>
      </c>
      <c r="AG120">
        <f>IF('Planilla_General_03-12-2012_9_3'!1907:1907,"AAAAAC//fyA=",0)</f>
        <v>0</v>
      </c>
      <c r="AH120" t="e">
        <f>AND('Planilla_General_03-12-2012_9_3'!A1907,"AAAAAC//fyE=")</f>
        <v>#VALUE!</v>
      </c>
      <c r="AI120" t="e">
        <f>AND('Planilla_General_03-12-2012_9_3'!B1907,"AAAAAC//fyI=")</f>
        <v>#VALUE!</v>
      </c>
      <c r="AJ120" t="e">
        <f>AND('Planilla_General_03-12-2012_9_3'!C1907,"AAAAAC//fyM=")</f>
        <v>#VALUE!</v>
      </c>
      <c r="AK120" t="e">
        <f>AND('Planilla_General_03-12-2012_9_3'!D1907,"AAAAAC//fyQ=")</f>
        <v>#VALUE!</v>
      </c>
      <c r="AL120" t="e">
        <f>AND('Planilla_General_03-12-2012_9_3'!E1907,"AAAAAC//fyU=")</f>
        <v>#VALUE!</v>
      </c>
      <c r="AM120" t="e">
        <f>AND('Planilla_General_03-12-2012_9_3'!F1907,"AAAAAC//fyY=")</f>
        <v>#VALUE!</v>
      </c>
      <c r="AN120" t="e">
        <f>AND('Planilla_General_03-12-2012_9_3'!G1907,"AAAAAC//fyc=")</f>
        <v>#VALUE!</v>
      </c>
      <c r="AO120" t="e">
        <f>AND('Planilla_General_03-12-2012_9_3'!H1907,"AAAAAC//fyg=")</f>
        <v>#VALUE!</v>
      </c>
      <c r="AP120" t="e">
        <f>AND('Planilla_General_03-12-2012_9_3'!I1907,"AAAAAC//fyk=")</f>
        <v>#VALUE!</v>
      </c>
      <c r="AQ120" t="e">
        <f>AND('Planilla_General_03-12-2012_9_3'!J1907,"AAAAAC//fyo=")</f>
        <v>#VALUE!</v>
      </c>
      <c r="AR120" t="e">
        <f>AND('Planilla_General_03-12-2012_9_3'!K1907,"AAAAAC//fys=")</f>
        <v>#VALUE!</v>
      </c>
      <c r="AS120" t="e">
        <f>AND('Planilla_General_03-12-2012_9_3'!L1907,"AAAAAC//fyw=")</f>
        <v>#VALUE!</v>
      </c>
      <c r="AT120" t="e">
        <f>AND('Planilla_General_03-12-2012_9_3'!M1907,"AAAAAC//fy0=")</f>
        <v>#VALUE!</v>
      </c>
      <c r="AU120" t="e">
        <f>AND('Planilla_General_03-12-2012_9_3'!N1907,"AAAAAC//fy4=")</f>
        <v>#VALUE!</v>
      </c>
      <c r="AV120" t="e">
        <f>AND('Planilla_General_03-12-2012_9_3'!O1907,"AAAAAC//fy8=")</f>
        <v>#VALUE!</v>
      </c>
      <c r="AW120">
        <f>IF('Planilla_General_03-12-2012_9_3'!1908:1908,"AAAAAC//fzA=",0)</f>
        <v>0</v>
      </c>
      <c r="AX120" t="e">
        <f>AND('Planilla_General_03-12-2012_9_3'!A1908,"AAAAAC//fzE=")</f>
        <v>#VALUE!</v>
      </c>
      <c r="AY120" t="e">
        <f>AND('Planilla_General_03-12-2012_9_3'!B1908,"AAAAAC//fzI=")</f>
        <v>#VALUE!</v>
      </c>
      <c r="AZ120" t="e">
        <f>AND('Planilla_General_03-12-2012_9_3'!C1908,"AAAAAC//fzM=")</f>
        <v>#VALUE!</v>
      </c>
      <c r="BA120" t="e">
        <f>AND('Planilla_General_03-12-2012_9_3'!D1908,"AAAAAC//fzQ=")</f>
        <v>#VALUE!</v>
      </c>
      <c r="BB120" t="e">
        <f>AND('Planilla_General_03-12-2012_9_3'!E1908,"AAAAAC//fzU=")</f>
        <v>#VALUE!</v>
      </c>
      <c r="BC120" t="e">
        <f>AND('Planilla_General_03-12-2012_9_3'!F1908,"AAAAAC//fzY=")</f>
        <v>#VALUE!</v>
      </c>
      <c r="BD120" t="e">
        <f>AND('Planilla_General_03-12-2012_9_3'!G1908,"AAAAAC//fzc=")</f>
        <v>#VALUE!</v>
      </c>
      <c r="BE120" t="e">
        <f>AND('Planilla_General_03-12-2012_9_3'!H1908,"AAAAAC//fzg=")</f>
        <v>#VALUE!</v>
      </c>
      <c r="BF120" t="e">
        <f>AND('Planilla_General_03-12-2012_9_3'!I1908,"AAAAAC//fzk=")</f>
        <v>#VALUE!</v>
      </c>
      <c r="BG120" t="e">
        <f>AND('Planilla_General_03-12-2012_9_3'!J1908,"AAAAAC//fzo=")</f>
        <v>#VALUE!</v>
      </c>
      <c r="BH120" t="e">
        <f>AND('Planilla_General_03-12-2012_9_3'!K1908,"AAAAAC//fzs=")</f>
        <v>#VALUE!</v>
      </c>
      <c r="BI120" t="e">
        <f>AND('Planilla_General_03-12-2012_9_3'!L1908,"AAAAAC//fzw=")</f>
        <v>#VALUE!</v>
      </c>
      <c r="BJ120" t="e">
        <f>AND('Planilla_General_03-12-2012_9_3'!M1908,"AAAAAC//fz0=")</f>
        <v>#VALUE!</v>
      </c>
      <c r="BK120" t="e">
        <f>AND('Planilla_General_03-12-2012_9_3'!N1908,"AAAAAC//fz4=")</f>
        <v>#VALUE!</v>
      </c>
      <c r="BL120" t="e">
        <f>AND('Planilla_General_03-12-2012_9_3'!O1908,"AAAAAC//fz8=")</f>
        <v>#VALUE!</v>
      </c>
      <c r="BM120">
        <f>IF('Planilla_General_03-12-2012_9_3'!1909:1909,"AAAAAC//f0A=",0)</f>
        <v>0</v>
      </c>
      <c r="BN120" t="e">
        <f>AND('Planilla_General_03-12-2012_9_3'!A1909,"AAAAAC//f0E=")</f>
        <v>#VALUE!</v>
      </c>
      <c r="BO120" t="e">
        <f>AND('Planilla_General_03-12-2012_9_3'!B1909,"AAAAAC//f0I=")</f>
        <v>#VALUE!</v>
      </c>
      <c r="BP120" t="e">
        <f>AND('Planilla_General_03-12-2012_9_3'!C1909,"AAAAAC//f0M=")</f>
        <v>#VALUE!</v>
      </c>
      <c r="BQ120" t="e">
        <f>AND('Planilla_General_03-12-2012_9_3'!D1909,"AAAAAC//f0Q=")</f>
        <v>#VALUE!</v>
      </c>
      <c r="BR120" t="e">
        <f>AND('Planilla_General_03-12-2012_9_3'!E1909,"AAAAAC//f0U=")</f>
        <v>#VALUE!</v>
      </c>
      <c r="BS120" t="e">
        <f>AND('Planilla_General_03-12-2012_9_3'!F1909,"AAAAAC//f0Y=")</f>
        <v>#VALUE!</v>
      </c>
      <c r="BT120" t="e">
        <f>AND('Planilla_General_03-12-2012_9_3'!G1909,"AAAAAC//f0c=")</f>
        <v>#VALUE!</v>
      </c>
      <c r="BU120" t="e">
        <f>AND('Planilla_General_03-12-2012_9_3'!H1909,"AAAAAC//f0g=")</f>
        <v>#VALUE!</v>
      </c>
      <c r="BV120" t="e">
        <f>AND('Planilla_General_03-12-2012_9_3'!I1909,"AAAAAC//f0k=")</f>
        <v>#VALUE!</v>
      </c>
      <c r="BW120" t="e">
        <f>AND('Planilla_General_03-12-2012_9_3'!J1909,"AAAAAC//f0o=")</f>
        <v>#VALUE!</v>
      </c>
      <c r="BX120" t="e">
        <f>AND('Planilla_General_03-12-2012_9_3'!K1909,"AAAAAC//f0s=")</f>
        <v>#VALUE!</v>
      </c>
      <c r="BY120" t="e">
        <f>AND('Planilla_General_03-12-2012_9_3'!L1909,"AAAAAC//f0w=")</f>
        <v>#VALUE!</v>
      </c>
      <c r="BZ120" t="e">
        <f>AND('Planilla_General_03-12-2012_9_3'!M1909,"AAAAAC//f00=")</f>
        <v>#VALUE!</v>
      </c>
      <c r="CA120" t="e">
        <f>AND('Planilla_General_03-12-2012_9_3'!N1909,"AAAAAC//f04=")</f>
        <v>#VALUE!</v>
      </c>
      <c r="CB120" t="e">
        <f>AND('Planilla_General_03-12-2012_9_3'!O1909,"AAAAAC//f08=")</f>
        <v>#VALUE!</v>
      </c>
      <c r="CC120">
        <f>IF('Planilla_General_03-12-2012_9_3'!1910:1910,"AAAAAC//f1A=",0)</f>
        <v>0</v>
      </c>
      <c r="CD120" t="e">
        <f>AND('Planilla_General_03-12-2012_9_3'!A1910,"AAAAAC//f1E=")</f>
        <v>#VALUE!</v>
      </c>
      <c r="CE120" t="e">
        <f>AND('Planilla_General_03-12-2012_9_3'!B1910,"AAAAAC//f1I=")</f>
        <v>#VALUE!</v>
      </c>
      <c r="CF120" t="e">
        <f>AND('Planilla_General_03-12-2012_9_3'!C1910,"AAAAAC//f1M=")</f>
        <v>#VALUE!</v>
      </c>
      <c r="CG120" t="e">
        <f>AND('Planilla_General_03-12-2012_9_3'!D1910,"AAAAAC//f1Q=")</f>
        <v>#VALUE!</v>
      </c>
      <c r="CH120" t="e">
        <f>AND('Planilla_General_03-12-2012_9_3'!E1910,"AAAAAC//f1U=")</f>
        <v>#VALUE!</v>
      </c>
      <c r="CI120" t="e">
        <f>AND('Planilla_General_03-12-2012_9_3'!F1910,"AAAAAC//f1Y=")</f>
        <v>#VALUE!</v>
      </c>
      <c r="CJ120" t="e">
        <f>AND('Planilla_General_03-12-2012_9_3'!G1910,"AAAAAC//f1c=")</f>
        <v>#VALUE!</v>
      </c>
      <c r="CK120" t="e">
        <f>AND('Planilla_General_03-12-2012_9_3'!H1910,"AAAAAC//f1g=")</f>
        <v>#VALUE!</v>
      </c>
      <c r="CL120" t="e">
        <f>AND('Planilla_General_03-12-2012_9_3'!I1910,"AAAAAC//f1k=")</f>
        <v>#VALUE!</v>
      </c>
      <c r="CM120" t="e">
        <f>AND('Planilla_General_03-12-2012_9_3'!J1910,"AAAAAC//f1o=")</f>
        <v>#VALUE!</v>
      </c>
      <c r="CN120" t="e">
        <f>AND('Planilla_General_03-12-2012_9_3'!K1910,"AAAAAC//f1s=")</f>
        <v>#VALUE!</v>
      </c>
      <c r="CO120" t="e">
        <f>AND('Planilla_General_03-12-2012_9_3'!L1910,"AAAAAC//f1w=")</f>
        <v>#VALUE!</v>
      </c>
      <c r="CP120" t="e">
        <f>AND('Planilla_General_03-12-2012_9_3'!M1910,"AAAAAC//f10=")</f>
        <v>#VALUE!</v>
      </c>
      <c r="CQ120" t="e">
        <f>AND('Planilla_General_03-12-2012_9_3'!N1910,"AAAAAC//f14=")</f>
        <v>#VALUE!</v>
      </c>
      <c r="CR120" t="e">
        <f>AND('Planilla_General_03-12-2012_9_3'!O1910,"AAAAAC//f18=")</f>
        <v>#VALUE!</v>
      </c>
      <c r="CS120">
        <f>IF('Planilla_General_03-12-2012_9_3'!1911:1911,"AAAAAC//f2A=",0)</f>
        <v>0</v>
      </c>
      <c r="CT120" t="e">
        <f>AND('Planilla_General_03-12-2012_9_3'!A1911,"AAAAAC//f2E=")</f>
        <v>#VALUE!</v>
      </c>
      <c r="CU120" t="e">
        <f>AND('Planilla_General_03-12-2012_9_3'!B1911,"AAAAAC//f2I=")</f>
        <v>#VALUE!</v>
      </c>
      <c r="CV120" t="e">
        <f>AND('Planilla_General_03-12-2012_9_3'!C1911,"AAAAAC//f2M=")</f>
        <v>#VALUE!</v>
      </c>
      <c r="CW120" t="e">
        <f>AND('Planilla_General_03-12-2012_9_3'!D1911,"AAAAAC//f2Q=")</f>
        <v>#VALUE!</v>
      </c>
      <c r="CX120" t="e">
        <f>AND('Planilla_General_03-12-2012_9_3'!E1911,"AAAAAC//f2U=")</f>
        <v>#VALUE!</v>
      </c>
      <c r="CY120" t="e">
        <f>AND('Planilla_General_03-12-2012_9_3'!F1911,"AAAAAC//f2Y=")</f>
        <v>#VALUE!</v>
      </c>
      <c r="CZ120" t="e">
        <f>AND('Planilla_General_03-12-2012_9_3'!G1911,"AAAAAC//f2c=")</f>
        <v>#VALUE!</v>
      </c>
      <c r="DA120" t="e">
        <f>AND('Planilla_General_03-12-2012_9_3'!H1911,"AAAAAC//f2g=")</f>
        <v>#VALUE!</v>
      </c>
      <c r="DB120" t="e">
        <f>AND('Planilla_General_03-12-2012_9_3'!I1911,"AAAAAC//f2k=")</f>
        <v>#VALUE!</v>
      </c>
      <c r="DC120" t="e">
        <f>AND('Planilla_General_03-12-2012_9_3'!J1911,"AAAAAC//f2o=")</f>
        <v>#VALUE!</v>
      </c>
      <c r="DD120" t="e">
        <f>AND('Planilla_General_03-12-2012_9_3'!K1911,"AAAAAC//f2s=")</f>
        <v>#VALUE!</v>
      </c>
      <c r="DE120" t="e">
        <f>AND('Planilla_General_03-12-2012_9_3'!L1911,"AAAAAC//f2w=")</f>
        <v>#VALUE!</v>
      </c>
      <c r="DF120" t="e">
        <f>AND('Planilla_General_03-12-2012_9_3'!M1911,"AAAAAC//f20=")</f>
        <v>#VALUE!</v>
      </c>
      <c r="DG120" t="e">
        <f>AND('Planilla_General_03-12-2012_9_3'!N1911,"AAAAAC//f24=")</f>
        <v>#VALUE!</v>
      </c>
      <c r="DH120" t="e">
        <f>AND('Planilla_General_03-12-2012_9_3'!O1911,"AAAAAC//f28=")</f>
        <v>#VALUE!</v>
      </c>
      <c r="DI120">
        <f>IF('Planilla_General_03-12-2012_9_3'!1912:1912,"AAAAAC//f3A=",0)</f>
        <v>0</v>
      </c>
      <c r="DJ120" t="e">
        <f>AND('Planilla_General_03-12-2012_9_3'!A1912,"AAAAAC//f3E=")</f>
        <v>#VALUE!</v>
      </c>
      <c r="DK120" t="e">
        <f>AND('Planilla_General_03-12-2012_9_3'!B1912,"AAAAAC//f3I=")</f>
        <v>#VALUE!</v>
      </c>
      <c r="DL120" t="e">
        <f>AND('Planilla_General_03-12-2012_9_3'!C1912,"AAAAAC//f3M=")</f>
        <v>#VALUE!</v>
      </c>
      <c r="DM120" t="e">
        <f>AND('Planilla_General_03-12-2012_9_3'!D1912,"AAAAAC//f3Q=")</f>
        <v>#VALUE!</v>
      </c>
      <c r="DN120" t="e">
        <f>AND('Planilla_General_03-12-2012_9_3'!E1912,"AAAAAC//f3U=")</f>
        <v>#VALUE!</v>
      </c>
      <c r="DO120" t="e">
        <f>AND('Planilla_General_03-12-2012_9_3'!F1912,"AAAAAC//f3Y=")</f>
        <v>#VALUE!</v>
      </c>
      <c r="DP120" t="e">
        <f>AND('Planilla_General_03-12-2012_9_3'!G1912,"AAAAAC//f3c=")</f>
        <v>#VALUE!</v>
      </c>
      <c r="DQ120" t="e">
        <f>AND('Planilla_General_03-12-2012_9_3'!H1912,"AAAAAC//f3g=")</f>
        <v>#VALUE!</v>
      </c>
      <c r="DR120" t="e">
        <f>AND('Planilla_General_03-12-2012_9_3'!I1912,"AAAAAC//f3k=")</f>
        <v>#VALUE!</v>
      </c>
      <c r="DS120" t="e">
        <f>AND('Planilla_General_03-12-2012_9_3'!J1912,"AAAAAC//f3o=")</f>
        <v>#VALUE!</v>
      </c>
      <c r="DT120" t="e">
        <f>AND('Planilla_General_03-12-2012_9_3'!K1912,"AAAAAC//f3s=")</f>
        <v>#VALUE!</v>
      </c>
      <c r="DU120" t="e">
        <f>AND('Planilla_General_03-12-2012_9_3'!L1912,"AAAAAC//f3w=")</f>
        <v>#VALUE!</v>
      </c>
      <c r="DV120" t="e">
        <f>AND('Planilla_General_03-12-2012_9_3'!M1912,"AAAAAC//f30=")</f>
        <v>#VALUE!</v>
      </c>
      <c r="DW120" t="e">
        <f>AND('Planilla_General_03-12-2012_9_3'!N1912,"AAAAAC//f34=")</f>
        <v>#VALUE!</v>
      </c>
      <c r="DX120" t="e">
        <f>AND('Planilla_General_03-12-2012_9_3'!O1912,"AAAAAC//f38=")</f>
        <v>#VALUE!</v>
      </c>
      <c r="DY120">
        <f>IF('Planilla_General_03-12-2012_9_3'!1913:1913,"AAAAAC//f4A=",0)</f>
        <v>0</v>
      </c>
      <c r="DZ120" t="e">
        <f>AND('Planilla_General_03-12-2012_9_3'!A1913,"AAAAAC//f4E=")</f>
        <v>#VALUE!</v>
      </c>
      <c r="EA120" t="e">
        <f>AND('Planilla_General_03-12-2012_9_3'!B1913,"AAAAAC//f4I=")</f>
        <v>#VALUE!</v>
      </c>
      <c r="EB120" t="e">
        <f>AND('Planilla_General_03-12-2012_9_3'!C1913,"AAAAAC//f4M=")</f>
        <v>#VALUE!</v>
      </c>
      <c r="EC120" t="e">
        <f>AND('Planilla_General_03-12-2012_9_3'!D1913,"AAAAAC//f4Q=")</f>
        <v>#VALUE!</v>
      </c>
      <c r="ED120" t="e">
        <f>AND('Planilla_General_03-12-2012_9_3'!E1913,"AAAAAC//f4U=")</f>
        <v>#VALUE!</v>
      </c>
      <c r="EE120" t="e">
        <f>AND('Planilla_General_03-12-2012_9_3'!F1913,"AAAAAC//f4Y=")</f>
        <v>#VALUE!</v>
      </c>
      <c r="EF120" t="e">
        <f>AND('Planilla_General_03-12-2012_9_3'!G1913,"AAAAAC//f4c=")</f>
        <v>#VALUE!</v>
      </c>
      <c r="EG120" t="e">
        <f>AND('Planilla_General_03-12-2012_9_3'!H1913,"AAAAAC//f4g=")</f>
        <v>#VALUE!</v>
      </c>
      <c r="EH120" t="e">
        <f>AND('Planilla_General_03-12-2012_9_3'!I1913,"AAAAAC//f4k=")</f>
        <v>#VALUE!</v>
      </c>
      <c r="EI120" t="e">
        <f>AND('Planilla_General_03-12-2012_9_3'!J1913,"AAAAAC//f4o=")</f>
        <v>#VALUE!</v>
      </c>
      <c r="EJ120" t="e">
        <f>AND('Planilla_General_03-12-2012_9_3'!K1913,"AAAAAC//f4s=")</f>
        <v>#VALUE!</v>
      </c>
      <c r="EK120" t="e">
        <f>AND('Planilla_General_03-12-2012_9_3'!L1913,"AAAAAC//f4w=")</f>
        <v>#VALUE!</v>
      </c>
      <c r="EL120" t="e">
        <f>AND('Planilla_General_03-12-2012_9_3'!M1913,"AAAAAC//f40=")</f>
        <v>#VALUE!</v>
      </c>
      <c r="EM120" t="e">
        <f>AND('Planilla_General_03-12-2012_9_3'!N1913,"AAAAAC//f44=")</f>
        <v>#VALUE!</v>
      </c>
      <c r="EN120" t="e">
        <f>AND('Planilla_General_03-12-2012_9_3'!O1913,"AAAAAC//f48=")</f>
        <v>#VALUE!</v>
      </c>
      <c r="EO120">
        <f>IF('Planilla_General_03-12-2012_9_3'!1914:1914,"AAAAAC//f5A=",0)</f>
        <v>0</v>
      </c>
      <c r="EP120" t="e">
        <f>AND('Planilla_General_03-12-2012_9_3'!A1914,"AAAAAC//f5E=")</f>
        <v>#VALUE!</v>
      </c>
      <c r="EQ120" t="e">
        <f>AND('Planilla_General_03-12-2012_9_3'!B1914,"AAAAAC//f5I=")</f>
        <v>#VALUE!</v>
      </c>
      <c r="ER120" t="e">
        <f>AND('Planilla_General_03-12-2012_9_3'!C1914,"AAAAAC//f5M=")</f>
        <v>#VALUE!</v>
      </c>
      <c r="ES120" t="e">
        <f>AND('Planilla_General_03-12-2012_9_3'!D1914,"AAAAAC//f5Q=")</f>
        <v>#VALUE!</v>
      </c>
      <c r="ET120" t="e">
        <f>AND('Planilla_General_03-12-2012_9_3'!E1914,"AAAAAC//f5U=")</f>
        <v>#VALUE!</v>
      </c>
      <c r="EU120" t="e">
        <f>AND('Planilla_General_03-12-2012_9_3'!F1914,"AAAAAC//f5Y=")</f>
        <v>#VALUE!</v>
      </c>
      <c r="EV120" t="e">
        <f>AND('Planilla_General_03-12-2012_9_3'!G1914,"AAAAAC//f5c=")</f>
        <v>#VALUE!</v>
      </c>
      <c r="EW120" t="e">
        <f>AND('Planilla_General_03-12-2012_9_3'!H1914,"AAAAAC//f5g=")</f>
        <v>#VALUE!</v>
      </c>
      <c r="EX120" t="e">
        <f>AND('Planilla_General_03-12-2012_9_3'!I1914,"AAAAAC//f5k=")</f>
        <v>#VALUE!</v>
      </c>
      <c r="EY120" t="e">
        <f>AND('Planilla_General_03-12-2012_9_3'!J1914,"AAAAAC//f5o=")</f>
        <v>#VALUE!</v>
      </c>
      <c r="EZ120" t="e">
        <f>AND('Planilla_General_03-12-2012_9_3'!K1914,"AAAAAC//f5s=")</f>
        <v>#VALUE!</v>
      </c>
      <c r="FA120" t="e">
        <f>AND('Planilla_General_03-12-2012_9_3'!L1914,"AAAAAC//f5w=")</f>
        <v>#VALUE!</v>
      </c>
      <c r="FB120" t="e">
        <f>AND('Planilla_General_03-12-2012_9_3'!M1914,"AAAAAC//f50=")</f>
        <v>#VALUE!</v>
      </c>
      <c r="FC120" t="e">
        <f>AND('Planilla_General_03-12-2012_9_3'!N1914,"AAAAAC//f54=")</f>
        <v>#VALUE!</v>
      </c>
      <c r="FD120" t="e">
        <f>AND('Planilla_General_03-12-2012_9_3'!O1914,"AAAAAC//f58=")</f>
        <v>#VALUE!</v>
      </c>
      <c r="FE120">
        <f>IF('Planilla_General_03-12-2012_9_3'!1915:1915,"AAAAAC//f6A=",0)</f>
        <v>0</v>
      </c>
      <c r="FF120" t="e">
        <f>AND('Planilla_General_03-12-2012_9_3'!A1915,"AAAAAC//f6E=")</f>
        <v>#VALUE!</v>
      </c>
      <c r="FG120" t="e">
        <f>AND('Planilla_General_03-12-2012_9_3'!B1915,"AAAAAC//f6I=")</f>
        <v>#VALUE!</v>
      </c>
      <c r="FH120" t="e">
        <f>AND('Planilla_General_03-12-2012_9_3'!C1915,"AAAAAC//f6M=")</f>
        <v>#VALUE!</v>
      </c>
      <c r="FI120" t="e">
        <f>AND('Planilla_General_03-12-2012_9_3'!D1915,"AAAAAC//f6Q=")</f>
        <v>#VALUE!</v>
      </c>
      <c r="FJ120" t="e">
        <f>AND('Planilla_General_03-12-2012_9_3'!E1915,"AAAAAC//f6U=")</f>
        <v>#VALUE!</v>
      </c>
      <c r="FK120" t="e">
        <f>AND('Planilla_General_03-12-2012_9_3'!F1915,"AAAAAC//f6Y=")</f>
        <v>#VALUE!</v>
      </c>
      <c r="FL120" t="e">
        <f>AND('Planilla_General_03-12-2012_9_3'!G1915,"AAAAAC//f6c=")</f>
        <v>#VALUE!</v>
      </c>
      <c r="FM120" t="e">
        <f>AND('Planilla_General_03-12-2012_9_3'!H1915,"AAAAAC//f6g=")</f>
        <v>#VALUE!</v>
      </c>
      <c r="FN120" t="e">
        <f>AND('Planilla_General_03-12-2012_9_3'!I1915,"AAAAAC//f6k=")</f>
        <v>#VALUE!</v>
      </c>
      <c r="FO120" t="e">
        <f>AND('Planilla_General_03-12-2012_9_3'!J1915,"AAAAAC//f6o=")</f>
        <v>#VALUE!</v>
      </c>
      <c r="FP120" t="e">
        <f>AND('Planilla_General_03-12-2012_9_3'!K1915,"AAAAAC//f6s=")</f>
        <v>#VALUE!</v>
      </c>
      <c r="FQ120" t="e">
        <f>AND('Planilla_General_03-12-2012_9_3'!L1915,"AAAAAC//f6w=")</f>
        <v>#VALUE!</v>
      </c>
      <c r="FR120" t="e">
        <f>AND('Planilla_General_03-12-2012_9_3'!M1915,"AAAAAC//f60=")</f>
        <v>#VALUE!</v>
      </c>
      <c r="FS120" t="e">
        <f>AND('Planilla_General_03-12-2012_9_3'!N1915,"AAAAAC//f64=")</f>
        <v>#VALUE!</v>
      </c>
      <c r="FT120" t="e">
        <f>AND('Planilla_General_03-12-2012_9_3'!O1915,"AAAAAC//f68=")</f>
        <v>#VALUE!</v>
      </c>
      <c r="FU120">
        <f>IF('Planilla_General_03-12-2012_9_3'!1916:1916,"AAAAAC//f7A=",0)</f>
        <v>0</v>
      </c>
      <c r="FV120" t="e">
        <f>AND('Planilla_General_03-12-2012_9_3'!A1916,"AAAAAC//f7E=")</f>
        <v>#VALUE!</v>
      </c>
      <c r="FW120" t="e">
        <f>AND('Planilla_General_03-12-2012_9_3'!B1916,"AAAAAC//f7I=")</f>
        <v>#VALUE!</v>
      </c>
      <c r="FX120" t="e">
        <f>AND('Planilla_General_03-12-2012_9_3'!C1916,"AAAAAC//f7M=")</f>
        <v>#VALUE!</v>
      </c>
      <c r="FY120" t="e">
        <f>AND('Planilla_General_03-12-2012_9_3'!D1916,"AAAAAC//f7Q=")</f>
        <v>#VALUE!</v>
      </c>
      <c r="FZ120" t="e">
        <f>AND('Planilla_General_03-12-2012_9_3'!E1916,"AAAAAC//f7U=")</f>
        <v>#VALUE!</v>
      </c>
      <c r="GA120" t="e">
        <f>AND('Planilla_General_03-12-2012_9_3'!F1916,"AAAAAC//f7Y=")</f>
        <v>#VALUE!</v>
      </c>
      <c r="GB120" t="e">
        <f>AND('Planilla_General_03-12-2012_9_3'!G1916,"AAAAAC//f7c=")</f>
        <v>#VALUE!</v>
      </c>
      <c r="GC120" t="e">
        <f>AND('Planilla_General_03-12-2012_9_3'!H1916,"AAAAAC//f7g=")</f>
        <v>#VALUE!</v>
      </c>
      <c r="GD120" t="e">
        <f>AND('Planilla_General_03-12-2012_9_3'!I1916,"AAAAAC//f7k=")</f>
        <v>#VALUE!</v>
      </c>
      <c r="GE120" t="e">
        <f>AND('Planilla_General_03-12-2012_9_3'!J1916,"AAAAAC//f7o=")</f>
        <v>#VALUE!</v>
      </c>
      <c r="GF120" t="e">
        <f>AND('Planilla_General_03-12-2012_9_3'!K1916,"AAAAAC//f7s=")</f>
        <v>#VALUE!</v>
      </c>
      <c r="GG120" t="e">
        <f>AND('Planilla_General_03-12-2012_9_3'!L1916,"AAAAAC//f7w=")</f>
        <v>#VALUE!</v>
      </c>
      <c r="GH120" t="e">
        <f>AND('Planilla_General_03-12-2012_9_3'!M1916,"AAAAAC//f70=")</f>
        <v>#VALUE!</v>
      </c>
      <c r="GI120" t="e">
        <f>AND('Planilla_General_03-12-2012_9_3'!N1916,"AAAAAC//f74=")</f>
        <v>#VALUE!</v>
      </c>
      <c r="GJ120" t="e">
        <f>AND('Planilla_General_03-12-2012_9_3'!O1916,"AAAAAC//f78=")</f>
        <v>#VALUE!</v>
      </c>
      <c r="GK120">
        <f>IF('Planilla_General_03-12-2012_9_3'!1917:1917,"AAAAAC//f8A=",0)</f>
        <v>0</v>
      </c>
      <c r="GL120" t="e">
        <f>AND('Planilla_General_03-12-2012_9_3'!A1917,"AAAAAC//f8E=")</f>
        <v>#VALUE!</v>
      </c>
      <c r="GM120" t="e">
        <f>AND('Planilla_General_03-12-2012_9_3'!B1917,"AAAAAC//f8I=")</f>
        <v>#VALUE!</v>
      </c>
      <c r="GN120" t="e">
        <f>AND('Planilla_General_03-12-2012_9_3'!C1917,"AAAAAC//f8M=")</f>
        <v>#VALUE!</v>
      </c>
      <c r="GO120" t="e">
        <f>AND('Planilla_General_03-12-2012_9_3'!D1917,"AAAAAC//f8Q=")</f>
        <v>#VALUE!</v>
      </c>
      <c r="GP120" t="e">
        <f>AND('Planilla_General_03-12-2012_9_3'!E1917,"AAAAAC//f8U=")</f>
        <v>#VALUE!</v>
      </c>
      <c r="GQ120" t="e">
        <f>AND('Planilla_General_03-12-2012_9_3'!F1917,"AAAAAC//f8Y=")</f>
        <v>#VALUE!</v>
      </c>
      <c r="GR120" t="e">
        <f>AND('Planilla_General_03-12-2012_9_3'!G1917,"AAAAAC//f8c=")</f>
        <v>#VALUE!</v>
      </c>
      <c r="GS120" t="e">
        <f>AND('Planilla_General_03-12-2012_9_3'!H1917,"AAAAAC//f8g=")</f>
        <v>#VALUE!</v>
      </c>
      <c r="GT120" t="e">
        <f>AND('Planilla_General_03-12-2012_9_3'!I1917,"AAAAAC//f8k=")</f>
        <v>#VALUE!</v>
      </c>
      <c r="GU120" t="e">
        <f>AND('Planilla_General_03-12-2012_9_3'!J1917,"AAAAAC//f8o=")</f>
        <v>#VALUE!</v>
      </c>
      <c r="GV120" t="e">
        <f>AND('Planilla_General_03-12-2012_9_3'!K1917,"AAAAAC//f8s=")</f>
        <v>#VALUE!</v>
      </c>
      <c r="GW120" t="e">
        <f>AND('Planilla_General_03-12-2012_9_3'!L1917,"AAAAAC//f8w=")</f>
        <v>#VALUE!</v>
      </c>
      <c r="GX120" t="e">
        <f>AND('Planilla_General_03-12-2012_9_3'!M1917,"AAAAAC//f80=")</f>
        <v>#VALUE!</v>
      </c>
      <c r="GY120" t="e">
        <f>AND('Planilla_General_03-12-2012_9_3'!N1917,"AAAAAC//f84=")</f>
        <v>#VALUE!</v>
      </c>
      <c r="GZ120" t="e">
        <f>AND('Planilla_General_03-12-2012_9_3'!O1917,"AAAAAC//f88=")</f>
        <v>#VALUE!</v>
      </c>
      <c r="HA120">
        <f>IF('Planilla_General_03-12-2012_9_3'!1918:1918,"AAAAAC//f9A=",0)</f>
        <v>0</v>
      </c>
      <c r="HB120" t="e">
        <f>AND('Planilla_General_03-12-2012_9_3'!A1918,"AAAAAC//f9E=")</f>
        <v>#VALUE!</v>
      </c>
      <c r="HC120" t="e">
        <f>AND('Planilla_General_03-12-2012_9_3'!B1918,"AAAAAC//f9I=")</f>
        <v>#VALUE!</v>
      </c>
      <c r="HD120" t="e">
        <f>AND('Planilla_General_03-12-2012_9_3'!C1918,"AAAAAC//f9M=")</f>
        <v>#VALUE!</v>
      </c>
      <c r="HE120" t="e">
        <f>AND('Planilla_General_03-12-2012_9_3'!D1918,"AAAAAC//f9Q=")</f>
        <v>#VALUE!</v>
      </c>
      <c r="HF120" t="e">
        <f>AND('Planilla_General_03-12-2012_9_3'!E1918,"AAAAAC//f9U=")</f>
        <v>#VALUE!</v>
      </c>
      <c r="HG120" t="e">
        <f>AND('Planilla_General_03-12-2012_9_3'!F1918,"AAAAAC//f9Y=")</f>
        <v>#VALUE!</v>
      </c>
      <c r="HH120" t="e">
        <f>AND('Planilla_General_03-12-2012_9_3'!G1918,"AAAAAC//f9c=")</f>
        <v>#VALUE!</v>
      </c>
      <c r="HI120" t="e">
        <f>AND('Planilla_General_03-12-2012_9_3'!H1918,"AAAAAC//f9g=")</f>
        <v>#VALUE!</v>
      </c>
      <c r="HJ120" t="e">
        <f>AND('Planilla_General_03-12-2012_9_3'!I1918,"AAAAAC//f9k=")</f>
        <v>#VALUE!</v>
      </c>
      <c r="HK120" t="e">
        <f>AND('Planilla_General_03-12-2012_9_3'!J1918,"AAAAAC//f9o=")</f>
        <v>#VALUE!</v>
      </c>
      <c r="HL120" t="e">
        <f>AND('Planilla_General_03-12-2012_9_3'!K1918,"AAAAAC//f9s=")</f>
        <v>#VALUE!</v>
      </c>
      <c r="HM120" t="e">
        <f>AND('Planilla_General_03-12-2012_9_3'!L1918,"AAAAAC//f9w=")</f>
        <v>#VALUE!</v>
      </c>
      <c r="HN120" t="e">
        <f>AND('Planilla_General_03-12-2012_9_3'!M1918,"AAAAAC//f90=")</f>
        <v>#VALUE!</v>
      </c>
      <c r="HO120" t="e">
        <f>AND('Planilla_General_03-12-2012_9_3'!N1918,"AAAAAC//f94=")</f>
        <v>#VALUE!</v>
      </c>
      <c r="HP120" t="e">
        <f>AND('Planilla_General_03-12-2012_9_3'!O1918,"AAAAAC//f98=")</f>
        <v>#VALUE!</v>
      </c>
      <c r="HQ120">
        <f>IF('Planilla_General_03-12-2012_9_3'!1919:1919,"AAAAAC//f+A=",0)</f>
        <v>0</v>
      </c>
      <c r="HR120" t="e">
        <f>AND('Planilla_General_03-12-2012_9_3'!A1919,"AAAAAC//f+E=")</f>
        <v>#VALUE!</v>
      </c>
      <c r="HS120" t="e">
        <f>AND('Planilla_General_03-12-2012_9_3'!B1919,"AAAAAC//f+I=")</f>
        <v>#VALUE!</v>
      </c>
      <c r="HT120" t="e">
        <f>AND('Planilla_General_03-12-2012_9_3'!C1919,"AAAAAC//f+M=")</f>
        <v>#VALUE!</v>
      </c>
      <c r="HU120" t="e">
        <f>AND('Planilla_General_03-12-2012_9_3'!D1919,"AAAAAC//f+Q=")</f>
        <v>#VALUE!</v>
      </c>
      <c r="HV120" t="e">
        <f>AND('Planilla_General_03-12-2012_9_3'!E1919,"AAAAAC//f+U=")</f>
        <v>#VALUE!</v>
      </c>
      <c r="HW120" t="e">
        <f>AND('Planilla_General_03-12-2012_9_3'!F1919,"AAAAAC//f+Y=")</f>
        <v>#VALUE!</v>
      </c>
      <c r="HX120" t="e">
        <f>AND('Planilla_General_03-12-2012_9_3'!G1919,"AAAAAC//f+c=")</f>
        <v>#VALUE!</v>
      </c>
      <c r="HY120" t="e">
        <f>AND('Planilla_General_03-12-2012_9_3'!H1919,"AAAAAC//f+g=")</f>
        <v>#VALUE!</v>
      </c>
      <c r="HZ120" t="e">
        <f>AND('Planilla_General_03-12-2012_9_3'!I1919,"AAAAAC//f+k=")</f>
        <v>#VALUE!</v>
      </c>
      <c r="IA120" t="e">
        <f>AND('Planilla_General_03-12-2012_9_3'!J1919,"AAAAAC//f+o=")</f>
        <v>#VALUE!</v>
      </c>
      <c r="IB120" t="e">
        <f>AND('Planilla_General_03-12-2012_9_3'!K1919,"AAAAAC//f+s=")</f>
        <v>#VALUE!</v>
      </c>
      <c r="IC120" t="e">
        <f>AND('Planilla_General_03-12-2012_9_3'!L1919,"AAAAAC//f+w=")</f>
        <v>#VALUE!</v>
      </c>
      <c r="ID120" t="e">
        <f>AND('Planilla_General_03-12-2012_9_3'!M1919,"AAAAAC//f+0=")</f>
        <v>#VALUE!</v>
      </c>
      <c r="IE120" t="e">
        <f>AND('Planilla_General_03-12-2012_9_3'!N1919,"AAAAAC//f+4=")</f>
        <v>#VALUE!</v>
      </c>
      <c r="IF120" t="e">
        <f>AND('Planilla_General_03-12-2012_9_3'!O1919,"AAAAAC//f+8=")</f>
        <v>#VALUE!</v>
      </c>
      <c r="IG120">
        <f>IF('Planilla_General_03-12-2012_9_3'!1920:1920,"AAAAAC//f/A=",0)</f>
        <v>0</v>
      </c>
      <c r="IH120" t="e">
        <f>AND('Planilla_General_03-12-2012_9_3'!A1920,"AAAAAC//f/E=")</f>
        <v>#VALUE!</v>
      </c>
      <c r="II120" t="e">
        <f>AND('Planilla_General_03-12-2012_9_3'!B1920,"AAAAAC//f/I=")</f>
        <v>#VALUE!</v>
      </c>
      <c r="IJ120" t="e">
        <f>AND('Planilla_General_03-12-2012_9_3'!C1920,"AAAAAC//f/M=")</f>
        <v>#VALUE!</v>
      </c>
      <c r="IK120" t="e">
        <f>AND('Planilla_General_03-12-2012_9_3'!D1920,"AAAAAC//f/Q=")</f>
        <v>#VALUE!</v>
      </c>
      <c r="IL120" t="e">
        <f>AND('Planilla_General_03-12-2012_9_3'!E1920,"AAAAAC//f/U=")</f>
        <v>#VALUE!</v>
      </c>
      <c r="IM120" t="e">
        <f>AND('Planilla_General_03-12-2012_9_3'!F1920,"AAAAAC//f/Y=")</f>
        <v>#VALUE!</v>
      </c>
      <c r="IN120" t="e">
        <f>AND('Planilla_General_03-12-2012_9_3'!G1920,"AAAAAC//f/c=")</f>
        <v>#VALUE!</v>
      </c>
      <c r="IO120" t="e">
        <f>AND('Planilla_General_03-12-2012_9_3'!H1920,"AAAAAC//f/g=")</f>
        <v>#VALUE!</v>
      </c>
      <c r="IP120" t="e">
        <f>AND('Planilla_General_03-12-2012_9_3'!I1920,"AAAAAC//f/k=")</f>
        <v>#VALUE!</v>
      </c>
      <c r="IQ120" t="e">
        <f>AND('Planilla_General_03-12-2012_9_3'!J1920,"AAAAAC//f/o=")</f>
        <v>#VALUE!</v>
      </c>
      <c r="IR120" t="e">
        <f>AND('Planilla_General_03-12-2012_9_3'!K1920,"AAAAAC//f/s=")</f>
        <v>#VALUE!</v>
      </c>
      <c r="IS120" t="e">
        <f>AND('Planilla_General_03-12-2012_9_3'!L1920,"AAAAAC//f/w=")</f>
        <v>#VALUE!</v>
      </c>
      <c r="IT120" t="e">
        <f>AND('Planilla_General_03-12-2012_9_3'!M1920,"AAAAAC//f/0=")</f>
        <v>#VALUE!</v>
      </c>
      <c r="IU120" t="e">
        <f>AND('Planilla_General_03-12-2012_9_3'!N1920,"AAAAAC//f/4=")</f>
        <v>#VALUE!</v>
      </c>
      <c r="IV120" t="e">
        <f>AND('Planilla_General_03-12-2012_9_3'!O1920,"AAAAAC//f/8=")</f>
        <v>#VALUE!</v>
      </c>
    </row>
    <row r="121" spans="1:256" x14ac:dyDescent="0.25">
      <c r="A121" t="e">
        <f>IF('Planilla_General_03-12-2012_9_3'!1921:1921,"AAAAAHvv8QA=",0)</f>
        <v>#VALUE!</v>
      </c>
      <c r="B121" t="e">
        <f>AND('Planilla_General_03-12-2012_9_3'!A1921,"AAAAAHvv8QE=")</f>
        <v>#VALUE!</v>
      </c>
      <c r="C121" t="e">
        <f>AND('Planilla_General_03-12-2012_9_3'!B1921,"AAAAAHvv8QI=")</f>
        <v>#VALUE!</v>
      </c>
      <c r="D121" t="e">
        <f>AND('Planilla_General_03-12-2012_9_3'!C1921,"AAAAAHvv8QM=")</f>
        <v>#VALUE!</v>
      </c>
      <c r="E121" t="e">
        <f>AND('Planilla_General_03-12-2012_9_3'!D1921,"AAAAAHvv8QQ=")</f>
        <v>#VALUE!</v>
      </c>
      <c r="F121" t="e">
        <f>AND('Planilla_General_03-12-2012_9_3'!E1921,"AAAAAHvv8QU=")</f>
        <v>#VALUE!</v>
      </c>
      <c r="G121" t="e">
        <f>AND('Planilla_General_03-12-2012_9_3'!F1921,"AAAAAHvv8QY=")</f>
        <v>#VALUE!</v>
      </c>
      <c r="H121" t="e">
        <f>AND('Planilla_General_03-12-2012_9_3'!G1921,"AAAAAHvv8Qc=")</f>
        <v>#VALUE!</v>
      </c>
      <c r="I121" t="e">
        <f>AND('Planilla_General_03-12-2012_9_3'!H1921,"AAAAAHvv8Qg=")</f>
        <v>#VALUE!</v>
      </c>
      <c r="J121" t="e">
        <f>AND('Planilla_General_03-12-2012_9_3'!I1921,"AAAAAHvv8Qk=")</f>
        <v>#VALUE!</v>
      </c>
      <c r="K121" t="e">
        <f>AND('Planilla_General_03-12-2012_9_3'!J1921,"AAAAAHvv8Qo=")</f>
        <v>#VALUE!</v>
      </c>
      <c r="L121" t="e">
        <f>AND('Planilla_General_03-12-2012_9_3'!K1921,"AAAAAHvv8Qs=")</f>
        <v>#VALUE!</v>
      </c>
      <c r="M121" t="e">
        <f>AND('Planilla_General_03-12-2012_9_3'!L1921,"AAAAAHvv8Qw=")</f>
        <v>#VALUE!</v>
      </c>
      <c r="N121" t="e">
        <f>AND('Planilla_General_03-12-2012_9_3'!M1921,"AAAAAHvv8Q0=")</f>
        <v>#VALUE!</v>
      </c>
      <c r="O121" t="e">
        <f>AND('Planilla_General_03-12-2012_9_3'!N1921,"AAAAAHvv8Q4=")</f>
        <v>#VALUE!</v>
      </c>
      <c r="P121" t="e">
        <f>AND('Planilla_General_03-12-2012_9_3'!O1921,"AAAAAHvv8Q8=")</f>
        <v>#VALUE!</v>
      </c>
      <c r="Q121">
        <f>IF('Planilla_General_03-12-2012_9_3'!1922:1922,"AAAAAHvv8RA=",0)</f>
        <v>0</v>
      </c>
      <c r="R121" t="e">
        <f>AND('Planilla_General_03-12-2012_9_3'!A1922,"AAAAAHvv8RE=")</f>
        <v>#VALUE!</v>
      </c>
      <c r="S121" t="e">
        <f>AND('Planilla_General_03-12-2012_9_3'!B1922,"AAAAAHvv8RI=")</f>
        <v>#VALUE!</v>
      </c>
      <c r="T121" t="e">
        <f>AND('Planilla_General_03-12-2012_9_3'!C1922,"AAAAAHvv8RM=")</f>
        <v>#VALUE!</v>
      </c>
      <c r="U121" t="e">
        <f>AND('Planilla_General_03-12-2012_9_3'!D1922,"AAAAAHvv8RQ=")</f>
        <v>#VALUE!</v>
      </c>
      <c r="V121" t="e">
        <f>AND('Planilla_General_03-12-2012_9_3'!E1922,"AAAAAHvv8RU=")</f>
        <v>#VALUE!</v>
      </c>
      <c r="W121" t="e">
        <f>AND('Planilla_General_03-12-2012_9_3'!F1922,"AAAAAHvv8RY=")</f>
        <v>#VALUE!</v>
      </c>
      <c r="X121" t="e">
        <f>AND('Planilla_General_03-12-2012_9_3'!G1922,"AAAAAHvv8Rc=")</f>
        <v>#VALUE!</v>
      </c>
      <c r="Y121" t="e">
        <f>AND('Planilla_General_03-12-2012_9_3'!H1922,"AAAAAHvv8Rg=")</f>
        <v>#VALUE!</v>
      </c>
      <c r="Z121" t="e">
        <f>AND('Planilla_General_03-12-2012_9_3'!I1922,"AAAAAHvv8Rk=")</f>
        <v>#VALUE!</v>
      </c>
      <c r="AA121" t="e">
        <f>AND('Planilla_General_03-12-2012_9_3'!J1922,"AAAAAHvv8Ro=")</f>
        <v>#VALUE!</v>
      </c>
      <c r="AB121" t="e">
        <f>AND('Planilla_General_03-12-2012_9_3'!K1922,"AAAAAHvv8Rs=")</f>
        <v>#VALUE!</v>
      </c>
      <c r="AC121" t="e">
        <f>AND('Planilla_General_03-12-2012_9_3'!L1922,"AAAAAHvv8Rw=")</f>
        <v>#VALUE!</v>
      </c>
      <c r="AD121" t="e">
        <f>AND('Planilla_General_03-12-2012_9_3'!M1922,"AAAAAHvv8R0=")</f>
        <v>#VALUE!</v>
      </c>
      <c r="AE121" t="e">
        <f>AND('Planilla_General_03-12-2012_9_3'!N1922,"AAAAAHvv8R4=")</f>
        <v>#VALUE!</v>
      </c>
      <c r="AF121" t="e">
        <f>AND('Planilla_General_03-12-2012_9_3'!O1922,"AAAAAHvv8R8=")</f>
        <v>#VALUE!</v>
      </c>
      <c r="AG121">
        <f>IF('Planilla_General_03-12-2012_9_3'!1923:1923,"AAAAAHvv8SA=",0)</f>
        <v>0</v>
      </c>
      <c r="AH121" t="e">
        <f>AND('Planilla_General_03-12-2012_9_3'!A1923,"AAAAAHvv8SE=")</f>
        <v>#VALUE!</v>
      </c>
      <c r="AI121" t="e">
        <f>AND('Planilla_General_03-12-2012_9_3'!B1923,"AAAAAHvv8SI=")</f>
        <v>#VALUE!</v>
      </c>
      <c r="AJ121" t="e">
        <f>AND('Planilla_General_03-12-2012_9_3'!C1923,"AAAAAHvv8SM=")</f>
        <v>#VALUE!</v>
      </c>
      <c r="AK121" t="e">
        <f>AND('Planilla_General_03-12-2012_9_3'!D1923,"AAAAAHvv8SQ=")</f>
        <v>#VALUE!</v>
      </c>
      <c r="AL121" t="e">
        <f>AND('Planilla_General_03-12-2012_9_3'!E1923,"AAAAAHvv8SU=")</f>
        <v>#VALUE!</v>
      </c>
      <c r="AM121" t="e">
        <f>AND('Planilla_General_03-12-2012_9_3'!F1923,"AAAAAHvv8SY=")</f>
        <v>#VALUE!</v>
      </c>
      <c r="AN121" t="e">
        <f>AND('Planilla_General_03-12-2012_9_3'!G1923,"AAAAAHvv8Sc=")</f>
        <v>#VALUE!</v>
      </c>
      <c r="AO121" t="e">
        <f>AND('Planilla_General_03-12-2012_9_3'!H1923,"AAAAAHvv8Sg=")</f>
        <v>#VALUE!</v>
      </c>
      <c r="AP121" t="e">
        <f>AND('Planilla_General_03-12-2012_9_3'!I1923,"AAAAAHvv8Sk=")</f>
        <v>#VALUE!</v>
      </c>
      <c r="AQ121" t="e">
        <f>AND('Planilla_General_03-12-2012_9_3'!J1923,"AAAAAHvv8So=")</f>
        <v>#VALUE!</v>
      </c>
      <c r="AR121" t="e">
        <f>AND('Planilla_General_03-12-2012_9_3'!K1923,"AAAAAHvv8Ss=")</f>
        <v>#VALUE!</v>
      </c>
      <c r="AS121" t="e">
        <f>AND('Planilla_General_03-12-2012_9_3'!L1923,"AAAAAHvv8Sw=")</f>
        <v>#VALUE!</v>
      </c>
      <c r="AT121" t="e">
        <f>AND('Planilla_General_03-12-2012_9_3'!M1923,"AAAAAHvv8S0=")</f>
        <v>#VALUE!</v>
      </c>
      <c r="AU121" t="e">
        <f>AND('Planilla_General_03-12-2012_9_3'!N1923,"AAAAAHvv8S4=")</f>
        <v>#VALUE!</v>
      </c>
      <c r="AV121" t="e">
        <f>AND('Planilla_General_03-12-2012_9_3'!O1923,"AAAAAHvv8S8=")</f>
        <v>#VALUE!</v>
      </c>
      <c r="AW121">
        <f>IF('Planilla_General_03-12-2012_9_3'!1924:1924,"AAAAAHvv8TA=",0)</f>
        <v>0</v>
      </c>
      <c r="AX121" t="e">
        <f>AND('Planilla_General_03-12-2012_9_3'!A1924,"AAAAAHvv8TE=")</f>
        <v>#VALUE!</v>
      </c>
      <c r="AY121" t="e">
        <f>AND('Planilla_General_03-12-2012_9_3'!B1924,"AAAAAHvv8TI=")</f>
        <v>#VALUE!</v>
      </c>
      <c r="AZ121" t="e">
        <f>AND('Planilla_General_03-12-2012_9_3'!C1924,"AAAAAHvv8TM=")</f>
        <v>#VALUE!</v>
      </c>
      <c r="BA121" t="e">
        <f>AND('Planilla_General_03-12-2012_9_3'!D1924,"AAAAAHvv8TQ=")</f>
        <v>#VALUE!</v>
      </c>
      <c r="BB121" t="e">
        <f>AND('Planilla_General_03-12-2012_9_3'!E1924,"AAAAAHvv8TU=")</f>
        <v>#VALUE!</v>
      </c>
      <c r="BC121" t="e">
        <f>AND('Planilla_General_03-12-2012_9_3'!F1924,"AAAAAHvv8TY=")</f>
        <v>#VALUE!</v>
      </c>
      <c r="BD121" t="e">
        <f>AND('Planilla_General_03-12-2012_9_3'!G1924,"AAAAAHvv8Tc=")</f>
        <v>#VALUE!</v>
      </c>
      <c r="BE121" t="e">
        <f>AND('Planilla_General_03-12-2012_9_3'!H1924,"AAAAAHvv8Tg=")</f>
        <v>#VALUE!</v>
      </c>
      <c r="BF121" t="e">
        <f>AND('Planilla_General_03-12-2012_9_3'!I1924,"AAAAAHvv8Tk=")</f>
        <v>#VALUE!</v>
      </c>
      <c r="BG121" t="e">
        <f>AND('Planilla_General_03-12-2012_9_3'!J1924,"AAAAAHvv8To=")</f>
        <v>#VALUE!</v>
      </c>
      <c r="BH121" t="e">
        <f>AND('Planilla_General_03-12-2012_9_3'!K1924,"AAAAAHvv8Ts=")</f>
        <v>#VALUE!</v>
      </c>
      <c r="BI121" t="e">
        <f>AND('Planilla_General_03-12-2012_9_3'!L1924,"AAAAAHvv8Tw=")</f>
        <v>#VALUE!</v>
      </c>
      <c r="BJ121" t="e">
        <f>AND('Planilla_General_03-12-2012_9_3'!M1924,"AAAAAHvv8T0=")</f>
        <v>#VALUE!</v>
      </c>
      <c r="BK121" t="e">
        <f>AND('Planilla_General_03-12-2012_9_3'!N1924,"AAAAAHvv8T4=")</f>
        <v>#VALUE!</v>
      </c>
      <c r="BL121" t="e">
        <f>AND('Planilla_General_03-12-2012_9_3'!O1924,"AAAAAHvv8T8=")</f>
        <v>#VALUE!</v>
      </c>
      <c r="BM121">
        <f>IF('Planilla_General_03-12-2012_9_3'!1925:1925,"AAAAAHvv8UA=",0)</f>
        <v>0</v>
      </c>
      <c r="BN121" t="e">
        <f>AND('Planilla_General_03-12-2012_9_3'!A1925,"AAAAAHvv8UE=")</f>
        <v>#VALUE!</v>
      </c>
      <c r="BO121" t="e">
        <f>AND('Planilla_General_03-12-2012_9_3'!B1925,"AAAAAHvv8UI=")</f>
        <v>#VALUE!</v>
      </c>
      <c r="BP121" t="e">
        <f>AND('Planilla_General_03-12-2012_9_3'!C1925,"AAAAAHvv8UM=")</f>
        <v>#VALUE!</v>
      </c>
      <c r="BQ121" t="e">
        <f>AND('Planilla_General_03-12-2012_9_3'!D1925,"AAAAAHvv8UQ=")</f>
        <v>#VALUE!</v>
      </c>
      <c r="BR121" t="e">
        <f>AND('Planilla_General_03-12-2012_9_3'!E1925,"AAAAAHvv8UU=")</f>
        <v>#VALUE!</v>
      </c>
      <c r="BS121" t="e">
        <f>AND('Planilla_General_03-12-2012_9_3'!F1925,"AAAAAHvv8UY=")</f>
        <v>#VALUE!</v>
      </c>
      <c r="BT121" t="e">
        <f>AND('Planilla_General_03-12-2012_9_3'!G1925,"AAAAAHvv8Uc=")</f>
        <v>#VALUE!</v>
      </c>
      <c r="BU121" t="e">
        <f>AND('Planilla_General_03-12-2012_9_3'!H1925,"AAAAAHvv8Ug=")</f>
        <v>#VALUE!</v>
      </c>
      <c r="BV121" t="e">
        <f>AND('Planilla_General_03-12-2012_9_3'!I1925,"AAAAAHvv8Uk=")</f>
        <v>#VALUE!</v>
      </c>
      <c r="BW121" t="e">
        <f>AND('Planilla_General_03-12-2012_9_3'!J1925,"AAAAAHvv8Uo=")</f>
        <v>#VALUE!</v>
      </c>
      <c r="BX121" t="e">
        <f>AND('Planilla_General_03-12-2012_9_3'!K1925,"AAAAAHvv8Us=")</f>
        <v>#VALUE!</v>
      </c>
      <c r="BY121" t="e">
        <f>AND('Planilla_General_03-12-2012_9_3'!L1925,"AAAAAHvv8Uw=")</f>
        <v>#VALUE!</v>
      </c>
      <c r="BZ121" t="e">
        <f>AND('Planilla_General_03-12-2012_9_3'!M1925,"AAAAAHvv8U0=")</f>
        <v>#VALUE!</v>
      </c>
      <c r="CA121" t="e">
        <f>AND('Planilla_General_03-12-2012_9_3'!N1925,"AAAAAHvv8U4=")</f>
        <v>#VALUE!</v>
      </c>
      <c r="CB121" t="e">
        <f>AND('Planilla_General_03-12-2012_9_3'!O1925,"AAAAAHvv8U8=")</f>
        <v>#VALUE!</v>
      </c>
      <c r="CC121">
        <f>IF('Planilla_General_03-12-2012_9_3'!1926:1926,"AAAAAHvv8VA=",0)</f>
        <v>0</v>
      </c>
      <c r="CD121" t="e">
        <f>AND('Planilla_General_03-12-2012_9_3'!A1926,"AAAAAHvv8VE=")</f>
        <v>#VALUE!</v>
      </c>
      <c r="CE121" t="e">
        <f>AND('Planilla_General_03-12-2012_9_3'!B1926,"AAAAAHvv8VI=")</f>
        <v>#VALUE!</v>
      </c>
      <c r="CF121" t="e">
        <f>AND('Planilla_General_03-12-2012_9_3'!C1926,"AAAAAHvv8VM=")</f>
        <v>#VALUE!</v>
      </c>
      <c r="CG121" t="e">
        <f>AND('Planilla_General_03-12-2012_9_3'!D1926,"AAAAAHvv8VQ=")</f>
        <v>#VALUE!</v>
      </c>
      <c r="CH121" t="e">
        <f>AND('Planilla_General_03-12-2012_9_3'!E1926,"AAAAAHvv8VU=")</f>
        <v>#VALUE!</v>
      </c>
      <c r="CI121" t="e">
        <f>AND('Planilla_General_03-12-2012_9_3'!F1926,"AAAAAHvv8VY=")</f>
        <v>#VALUE!</v>
      </c>
      <c r="CJ121" t="e">
        <f>AND('Planilla_General_03-12-2012_9_3'!G1926,"AAAAAHvv8Vc=")</f>
        <v>#VALUE!</v>
      </c>
      <c r="CK121" t="e">
        <f>AND('Planilla_General_03-12-2012_9_3'!H1926,"AAAAAHvv8Vg=")</f>
        <v>#VALUE!</v>
      </c>
      <c r="CL121" t="e">
        <f>AND('Planilla_General_03-12-2012_9_3'!I1926,"AAAAAHvv8Vk=")</f>
        <v>#VALUE!</v>
      </c>
      <c r="CM121" t="e">
        <f>AND('Planilla_General_03-12-2012_9_3'!J1926,"AAAAAHvv8Vo=")</f>
        <v>#VALUE!</v>
      </c>
      <c r="CN121" t="e">
        <f>AND('Planilla_General_03-12-2012_9_3'!K1926,"AAAAAHvv8Vs=")</f>
        <v>#VALUE!</v>
      </c>
      <c r="CO121" t="e">
        <f>AND('Planilla_General_03-12-2012_9_3'!L1926,"AAAAAHvv8Vw=")</f>
        <v>#VALUE!</v>
      </c>
      <c r="CP121" t="e">
        <f>AND('Planilla_General_03-12-2012_9_3'!M1926,"AAAAAHvv8V0=")</f>
        <v>#VALUE!</v>
      </c>
      <c r="CQ121" t="e">
        <f>AND('Planilla_General_03-12-2012_9_3'!N1926,"AAAAAHvv8V4=")</f>
        <v>#VALUE!</v>
      </c>
      <c r="CR121" t="e">
        <f>AND('Planilla_General_03-12-2012_9_3'!O1926,"AAAAAHvv8V8=")</f>
        <v>#VALUE!</v>
      </c>
      <c r="CS121">
        <f>IF('Planilla_General_03-12-2012_9_3'!1927:1927,"AAAAAHvv8WA=",0)</f>
        <v>0</v>
      </c>
      <c r="CT121" t="e">
        <f>AND('Planilla_General_03-12-2012_9_3'!A1927,"AAAAAHvv8WE=")</f>
        <v>#VALUE!</v>
      </c>
      <c r="CU121" t="e">
        <f>AND('Planilla_General_03-12-2012_9_3'!B1927,"AAAAAHvv8WI=")</f>
        <v>#VALUE!</v>
      </c>
      <c r="CV121" t="e">
        <f>AND('Planilla_General_03-12-2012_9_3'!C1927,"AAAAAHvv8WM=")</f>
        <v>#VALUE!</v>
      </c>
      <c r="CW121" t="e">
        <f>AND('Planilla_General_03-12-2012_9_3'!D1927,"AAAAAHvv8WQ=")</f>
        <v>#VALUE!</v>
      </c>
      <c r="CX121" t="e">
        <f>AND('Planilla_General_03-12-2012_9_3'!E1927,"AAAAAHvv8WU=")</f>
        <v>#VALUE!</v>
      </c>
      <c r="CY121" t="e">
        <f>AND('Planilla_General_03-12-2012_9_3'!F1927,"AAAAAHvv8WY=")</f>
        <v>#VALUE!</v>
      </c>
      <c r="CZ121" t="e">
        <f>AND('Planilla_General_03-12-2012_9_3'!G1927,"AAAAAHvv8Wc=")</f>
        <v>#VALUE!</v>
      </c>
      <c r="DA121" t="e">
        <f>AND('Planilla_General_03-12-2012_9_3'!H1927,"AAAAAHvv8Wg=")</f>
        <v>#VALUE!</v>
      </c>
      <c r="DB121" t="e">
        <f>AND('Planilla_General_03-12-2012_9_3'!I1927,"AAAAAHvv8Wk=")</f>
        <v>#VALUE!</v>
      </c>
      <c r="DC121" t="e">
        <f>AND('Planilla_General_03-12-2012_9_3'!J1927,"AAAAAHvv8Wo=")</f>
        <v>#VALUE!</v>
      </c>
      <c r="DD121" t="e">
        <f>AND('Planilla_General_03-12-2012_9_3'!K1927,"AAAAAHvv8Ws=")</f>
        <v>#VALUE!</v>
      </c>
      <c r="DE121" t="e">
        <f>AND('Planilla_General_03-12-2012_9_3'!L1927,"AAAAAHvv8Ww=")</f>
        <v>#VALUE!</v>
      </c>
      <c r="DF121" t="e">
        <f>AND('Planilla_General_03-12-2012_9_3'!M1927,"AAAAAHvv8W0=")</f>
        <v>#VALUE!</v>
      </c>
      <c r="DG121" t="e">
        <f>AND('Planilla_General_03-12-2012_9_3'!N1927,"AAAAAHvv8W4=")</f>
        <v>#VALUE!</v>
      </c>
      <c r="DH121" t="e">
        <f>AND('Planilla_General_03-12-2012_9_3'!O1927,"AAAAAHvv8W8=")</f>
        <v>#VALUE!</v>
      </c>
      <c r="DI121">
        <f>IF('Planilla_General_03-12-2012_9_3'!1928:1928,"AAAAAHvv8XA=",0)</f>
        <v>0</v>
      </c>
      <c r="DJ121" t="e">
        <f>AND('Planilla_General_03-12-2012_9_3'!A1928,"AAAAAHvv8XE=")</f>
        <v>#VALUE!</v>
      </c>
      <c r="DK121" t="e">
        <f>AND('Planilla_General_03-12-2012_9_3'!B1928,"AAAAAHvv8XI=")</f>
        <v>#VALUE!</v>
      </c>
      <c r="DL121" t="e">
        <f>AND('Planilla_General_03-12-2012_9_3'!C1928,"AAAAAHvv8XM=")</f>
        <v>#VALUE!</v>
      </c>
      <c r="DM121" t="e">
        <f>AND('Planilla_General_03-12-2012_9_3'!D1928,"AAAAAHvv8XQ=")</f>
        <v>#VALUE!</v>
      </c>
      <c r="DN121" t="e">
        <f>AND('Planilla_General_03-12-2012_9_3'!E1928,"AAAAAHvv8XU=")</f>
        <v>#VALUE!</v>
      </c>
      <c r="DO121" t="e">
        <f>AND('Planilla_General_03-12-2012_9_3'!F1928,"AAAAAHvv8XY=")</f>
        <v>#VALUE!</v>
      </c>
      <c r="DP121" t="e">
        <f>AND('Planilla_General_03-12-2012_9_3'!G1928,"AAAAAHvv8Xc=")</f>
        <v>#VALUE!</v>
      </c>
      <c r="DQ121" t="e">
        <f>AND('Planilla_General_03-12-2012_9_3'!H1928,"AAAAAHvv8Xg=")</f>
        <v>#VALUE!</v>
      </c>
      <c r="DR121" t="e">
        <f>AND('Planilla_General_03-12-2012_9_3'!I1928,"AAAAAHvv8Xk=")</f>
        <v>#VALUE!</v>
      </c>
      <c r="DS121" t="e">
        <f>AND('Planilla_General_03-12-2012_9_3'!J1928,"AAAAAHvv8Xo=")</f>
        <v>#VALUE!</v>
      </c>
      <c r="DT121" t="e">
        <f>AND('Planilla_General_03-12-2012_9_3'!K1928,"AAAAAHvv8Xs=")</f>
        <v>#VALUE!</v>
      </c>
      <c r="DU121" t="e">
        <f>AND('Planilla_General_03-12-2012_9_3'!L1928,"AAAAAHvv8Xw=")</f>
        <v>#VALUE!</v>
      </c>
      <c r="DV121" t="e">
        <f>AND('Planilla_General_03-12-2012_9_3'!M1928,"AAAAAHvv8X0=")</f>
        <v>#VALUE!</v>
      </c>
      <c r="DW121" t="e">
        <f>AND('Planilla_General_03-12-2012_9_3'!N1928,"AAAAAHvv8X4=")</f>
        <v>#VALUE!</v>
      </c>
      <c r="DX121" t="e">
        <f>AND('Planilla_General_03-12-2012_9_3'!O1928,"AAAAAHvv8X8=")</f>
        <v>#VALUE!</v>
      </c>
      <c r="DY121">
        <f>IF('Planilla_General_03-12-2012_9_3'!1929:1929,"AAAAAHvv8YA=",0)</f>
        <v>0</v>
      </c>
      <c r="DZ121" t="e">
        <f>AND('Planilla_General_03-12-2012_9_3'!A1929,"AAAAAHvv8YE=")</f>
        <v>#VALUE!</v>
      </c>
      <c r="EA121" t="e">
        <f>AND('Planilla_General_03-12-2012_9_3'!B1929,"AAAAAHvv8YI=")</f>
        <v>#VALUE!</v>
      </c>
      <c r="EB121" t="e">
        <f>AND('Planilla_General_03-12-2012_9_3'!C1929,"AAAAAHvv8YM=")</f>
        <v>#VALUE!</v>
      </c>
      <c r="EC121" t="e">
        <f>AND('Planilla_General_03-12-2012_9_3'!D1929,"AAAAAHvv8YQ=")</f>
        <v>#VALUE!</v>
      </c>
      <c r="ED121" t="e">
        <f>AND('Planilla_General_03-12-2012_9_3'!E1929,"AAAAAHvv8YU=")</f>
        <v>#VALUE!</v>
      </c>
      <c r="EE121" t="e">
        <f>AND('Planilla_General_03-12-2012_9_3'!F1929,"AAAAAHvv8YY=")</f>
        <v>#VALUE!</v>
      </c>
      <c r="EF121" t="e">
        <f>AND('Planilla_General_03-12-2012_9_3'!G1929,"AAAAAHvv8Yc=")</f>
        <v>#VALUE!</v>
      </c>
      <c r="EG121" t="e">
        <f>AND('Planilla_General_03-12-2012_9_3'!H1929,"AAAAAHvv8Yg=")</f>
        <v>#VALUE!</v>
      </c>
      <c r="EH121" t="e">
        <f>AND('Planilla_General_03-12-2012_9_3'!I1929,"AAAAAHvv8Yk=")</f>
        <v>#VALUE!</v>
      </c>
      <c r="EI121" t="e">
        <f>AND('Planilla_General_03-12-2012_9_3'!J1929,"AAAAAHvv8Yo=")</f>
        <v>#VALUE!</v>
      </c>
      <c r="EJ121" t="e">
        <f>AND('Planilla_General_03-12-2012_9_3'!K1929,"AAAAAHvv8Ys=")</f>
        <v>#VALUE!</v>
      </c>
      <c r="EK121" t="e">
        <f>AND('Planilla_General_03-12-2012_9_3'!L1929,"AAAAAHvv8Yw=")</f>
        <v>#VALUE!</v>
      </c>
      <c r="EL121" t="e">
        <f>AND('Planilla_General_03-12-2012_9_3'!M1929,"AAAAAHvv8Y0=")</f>
        <v>#VALUE!</v>
      </c>
      <c r="EM121" t="e">
        <f>AND('Planilla_General_03-12-2012_9_3'!N1929,"AAAAAHvv8Y4=")</f>
        <v>#VALUE!</v>
      </c>
      <c r="EN121" t="e">
        <f>AND('Planilla_General_03-12-2012_9_3'!O1929,"AAAAAHvv8Y8=")</f>
        <v>#VALUE!</v>
      </c>
      <c r="EO121">
        <f>IF('Planilla_General_03-12-2012_9_3'!1930:1930,"AAAAAHvv8ZA=",0)</f>
        <v>0</v>
      </c>
      <c r="EP121" t="e">
        <f>AND('Planilla_General_03-12-2012_9_3'!A1930,"AAAAAHvv8ZE=")</f>
        <v>#VALUE!</v>
      </c>
      <c r="EQ121" t="e">
        <f>AND('Planilla_General_03-12-2012_9_3'!B1930,"AAAAAHvv8ZI=")</f>
        <v>#VALUE!</v>
      </c>
      <c r="ER121" t="e">
        <f>AND('Planilla_General_03-12-2012_9_3'!C1930,"AAAAAHvv8ZM=")</f>
        <v>#VALUE!</v>
      </c>
      <c r="ES121" t="e">
        <f>AND('Planilla_General_03-12-2012_9_3'!D1930,"AAAAAHvv8ZQ=")</f>
        <v>#VALUE!</v>
      </c>
      <c r="ET121" t="e">
        <f>AND('Planilla_General_03-12-2012_9_3'!E1930,"AAAAAHvv8ZU=")</f>
        <v>#VALUE!</v>
      </c>
      <c r="EU121" t="e">
        <f>AND('Planilla_General_03-12-2012_9_3'!F1930,"AAAAAHvv8ZY=")</f>
        <v>#VALUE!</v>
      </c>
      <c r="EV121" t="e">
        <f>AND('Planilla_General_03-12-2012_9_3'!G1930,"AAAAAHvv8Zc=")</f>
        <v>#VALUE!</v>
      </c>
      <c r="EW121" t="e">
        <f>AND('Planilla_General_03-12-2012_9_3'!H1930,"AAAAAHvv8Zg=")</f>
        <v>#VALUE!</v>
      </c>
      <c r="EX121" t="e">
        <f>AND('Planilla_General_03-12-2012_9_3'!I1930,"AAAAAHvv8Zk=")</f>
        <v>#VALUE!</v>
      </c>
      <c r="EY121" t="e">
        <f>AND('Planilla_General_03-12-2012_9_3'!J1930,"AAAAAHvv8Zo=")</f>
        <v>#VALUE!</v>
      </c>
      <c r="EZ121" t="e">
        <f>AND('Planilla_General_03-12-2012_9_3'!K1930,"AAAAAHvv8Zs=")</f>
        <v>#VALUE!</v>
      </c>
      <c r="FA121" t="e">
        <f>AND('Planilla_General_03-12-2012_9_3'!L1930,"AAAAAHvv8Zw=")</f>
        <v>#VALUE!</v>
      </c>
      <c r="FB121" t="e">
        <f>AND('Planilla_General_03-12-2012_9_3'!M1930,"AAAAAHvv8Z0=")</f>
        <v>#VALUE!</v>
      </c>
      <c r="FC121" t="e">
        <f>AND('Planilla_General_03-12-2012_9_3'!N1930,"AAAAAHvv8Z4=")</f>
        <v>#VALUE!</v>
      </c>
      <c r="FD121" t="e">
        <f>AND('Planilla_General_03-12-2012_9_3'!O1930,"AAAAAHvv8Z8=")</f>
        <v>#VALUE!</v>
      </c>
      <c r="FE121">
        <f>IF('Planilla_General_03-12-2012_9_3'!1931:1931,"AAAAAHvv8aA=",0)</f>
        <v>0</v>
      </c>
      <c r="FF121" t="e">
        <f>AND('Planilla_General_03-12-2012_9_3'!A1931,"AAAAAHvv8aE=")</f>
        <v>#VALUE!</v>
      </c>
      <c r="FG121" t="e">
        <f>AND('Planilla_General_03-12-2012_9_3'!B1931,"AAAAAHvv8aI=")</f>
        <v>#VALUE!</v>
      </c>
      <c r="FH121" t="e">
        <f>AND('Planilla_General_03-12-2012_9_3'!C1931,"AAAAAHvv8aM=")</f>
        <v>#VALUE!</v>
      </c>
      <c r="FI121" t="e">
        <f>AND('Planilla_General_03-12-2012_9_3'!D1931,"AAAAAHvv8aQ=")</f>
        <v>#VALUE!</v>
      </c>
      <c r="FJ121" t="e">
        <f>AND('Planilla_General_03-12-2012_9_3'!E1931,"AAAAAHvv8aU=")</f>
        <v>#VALUE!</v>
      </c>
      <c r="FK121" t="e">
        <f>AND('Planilla_General_03-12-2012_9_3'!F1931,"AAAAAHvv8aY=")</f>
        <v>#VALUE!</v>
      </c>
      <c r="FL121" t="e">
        <f>AND('Planilla_General_03-12-2012_9_3'!G1931,"AAAAAHvv8ac=")</f>
        <v>#VALUE!</v>
      </c>
      <c r="FM121" t="e">
        <f>AND('Planilla_General_03-12-2012_9_3'!H1931,"AAAAAHvv8ag=")</f>
        <v>#VALUE!</v>
      </c>
      <c r="FN121" t="e">
        <f>AND('Planilla_General_03-12-2012_9_3'!I1931,"AAAAAHvv8ak=")</f>
        <v>#VALUE!</v>
      </c>
      <c r="FO121" t="e">
        <f>AND('Planilla_General_03-12-2012_9_3'!J1931,"AAAAAHvv8ao=")</f>
        <v>#VALUE!</v>
      </c>
      <c r="FP121" t="e">
        <f>AND('Planilla_General_03-12-2012_9_3'!K1931,"AAAAAHvv8as=")</f>
        <v>#VALUE!</v>
      </c>
      <c r="FQ121" t="e">
        <f>AND('Planilla_General_03-12-2012_9_3'!L1931,"AAAAAHvv8aw=")</f>
        <v>#VALUE!</v>
      </c>
      <c r="FR121" t="e">
        <f>AND('Planilla_General_03-12-2012_9_3'!M1931,"AAAAAHvv8a0=")</f>
        <v>#VALUE!</v>
      </c>
      <c r="FS121" t="e">
        <f>AND('Planilla_General_03-12-2012_9_3'!N1931,"AAAAAHvv8a4=")</f>
        <v>#VALUE!</v>
      </c>
      <c r="FT121" t="e">
        <f>AND('Planilla_General_03-12-2012_9_3'!O1931,"AAAAAHvv8a8=")</f>
        <v>#VALUE!</v>
      </c>
      <c r="FU121">
        <f>IF('Planilla_General_03-12-2012_9_3'!1932:1932,"AAAAAHvv8bA=",0)</f>
        <v>0</v>
      </c>
      <c r="FV121" t="e">
        <f>AND('Planilla_General_03-12-2012_9_3'!A1932,"AAAAAHvv8bE=")</f>
        <v>#VALUE!</v>
      </c>
      <c r="FW121" t="e">
        <f>AND('Planilla_General_03-12-2012_9_3'!B1932,"AAAAAHvv8bI=")</f>
        <v>#VALUE!</v>
      </c>
      <c r="FX121" t="e">
        <f>AND('Planilla_General_03-12-2012_9_3'!C1932,"AAAAAHvv8bM=")</f>
        <v>#VALUE!</v>
      </c>
      <c r="FY121" t="e">
        <f>AND('Planilla_General_03-12-2012_9_3'!D1932,"AAAAAHvv8bQ=")</f>
        <v>#VALUE!</v>
      </c>
      <c r="FZ121" t="e">
        <f>AND('Planilla_General_03-12-2012_9_3'!E1932,"AAAAAHvv8bU=")</f>
        <v>#VALUE!</v>
      </c>
      <c r="GA121" t="e">
        <f>AND('Planilla_General_03-12-2012_9_3'!F1932,"AAAAAHvv8bY=")</f>
        <v>#VALUE!</v>
      </c>
      <c r="GB121" t="e">
        <f>AND('Planilla_General_03-12-2012_9_3'!G1932,"AAAAAHvv8bc=")</f>
        <v>#VALUE!</v>
      </c>
      <c r="GC121" t="e">
        <f>AND('Planilla_General_03-12-2012_9_3'!H1932,"AAAAAHvv8bg=")</f>
        <v>#VALUE!</v>
      </c>
      <c r="GD121" t="e">
        <f>AND('Planilla_General_03-12-2012_9_3'!I1932,"AAAAAHvv8bk=")</f>
        <v>#VALUE!</v>
      </c>
      <c r="GE121" t="e">
        <f>AND('Planilla_General_03-12-2012_9_3'!J1932,"AAAAAHvv8bo=")</f>
        <v>#VALUE!</v>
      </c>
      <c r="GF121" t="e">
        <f>AND('Planilla_General_03-12-2012_9_3'!K1932,"AAAAAHvv8bs=")</f>
        <v>#VALUE!</v>
      </c>
      <c r="GG121" t="e">
        <f>AND('Planilla_General_03-12-2012_9_3'!L1932,"AAAAAHvv8bw=")</f>
        <v>#VALUE!</v>
      </c>
      <c r="GH121" t="e">
        <f>AND('Planilla_General_03-12-2012_9_3'!M1932,"AAAAAHvv8b0=")</f>
        <v>#VALUE!</v>
      </c>
      <c r="GI121" t="e">
        <f>AND('Planilla_General_03-12-2012_9_3'!N1932,"AAAAAHvv8b4=")</f>
        <v>#VALUE!</v>
      </c>
      <c r="GJ121" t="e">
        <f>AND('Planilla_General_03-12-2012_9_3'!O1932,"AAAAAHvv8b8=")</f>
        <v>#VALUE!</v>
      </c>
      <c r="GK121">
        <f>IF('Planilla_General_03-12-2012_9_3'!1933:1933,"AAAAAHvv8cA=",0)</f>
        <v>0</v>
      </c>
      <c r="GL121" t="e">
        <f>AND('Planilla_General_03-12-2012_9_3'!A1933,"AAAAAHvv8cE=")</f>
        <v>#VALUE!</v>
      </c>
      <c r="GM121" t="e">
        <f>AND('Planilla_General_03-12-2012_9_3'!B1933,"AAAAAHvv8cI=")</f>
        <v>#VALUE!</v>
      </c>
      <c r="GN121" t="e">
        <f>AND('Planilla_General_03-12-2012_9_3'!C1933,"AAAAAHvv8cM=")</f>
        <v>#VALUE!</v>
      </c>
      <c r="GO121" t="e">
        <f>AND('Planilla_General_03-12-2012_9_3'!D1933,"AAAAAHvv8cQ=")</f>
        <v>#VALUE!</v>
      </c>
      <c r="GP121" t="e">
        <f>AND('Planilla_General_03-12-2012_9_3'!E1933,"AAAAAHvv8cU=")</f>
        <v>#VALUE!</v>
      </c>
      <c r="GQ121" t="e">
        <f>AND('Planilla_General_03-12-2012_9_3'!F1933,"AAAAAHvv8cY=")</f>
        <v>#VALUE!</v>
      </c>
      <c r="GR121" t="e">
        <f>AND('Planilla_General_03-12-2012_9_3'!G1933,"AAAAAHvv8cc=")</f>
        <v>#VALUE!</v>
      </c>
      <c r="GS121" t="e">
        <f>AND('Planilla_General_03-12-2012_9_3'!H1933,"AAAAAHvv8cg=")</f>
        <v>#VALUE!</v>
      </c>
      <c r="GT121" t="e">
        <f>AND('Planilla_General_03-12-2012_9_3'!I1933,"AAAAAHvv8ck=")</f>
        <v>#VALUE!</v>
      </c>
      <c r="GU121" t="e">
        <f>AND('Planilla_General_03-12-2012_9_3'!J1933,"AAAAAHvv8co=")</f>
        <v>#VALUE!</v>
      </c>
      <c r="GV121" t="e">
        <f>AND('Planilla_General_03-12-2012_9_3'!K1933,"AAAAAHvv8cs=")</f>
        <v>#VALUE!</v>
      </c>
      <c r="GW121" t="e">
        <f>AND('Planilla_General_03-12-2012_9_3'!L1933,"AAAAAHvv8cw=")</f>
        <v>#VALUE!</v>
      </c>
      <c r="GX121" t="e">
        <f>AND('Planilla_General_03-12-2012_9_3'!M1933,"AAAAAHvv8c0=")</f>
        <v>#VALUE!</v>
      </c>
      <c r="GY121" t="e">
        <f>AND('Planilla_General_03-12-2012_9_3'!N1933,"AAAAAHvv8c4=")</f>
        <v>#VALUE!</v>
      </c>
      <c r="GZ121" t="e">
        <f>AND('Planilla_General_03-12-2012_9_3'!O1933,"AAAAAHvv8c8=")</f>
        <v>#VALUE!</v>
      </c>
      <c r="HA121">
        <f>IF('Planilla_General_03-12-2012_9_3'!1934:1934,"AAAAAHvv8dA=",0)</f>
        <v>0</v>
      </c>
      <c r="HB121" t="e">
        <f>AND('Planilla_General_03-12-2012_9_3'!A1934,"AAAAAHvv8dE=")</f>
        <v>#VALUE!</v>
      </c>
      <c r="HC121" t="e">
        <f>AND('Planilla_General_03-12-2012_9_3'!B1934,"AAAAAHvv8dI=")</f>
        <v>#VALUE!</v>
      </c>
      <c r="HD121" t="e">
        <f>AND('Planilla_General_03-12-2012_9_3'!C1934,"AAAAAHvv8dM=")</f>
        <v>#VALUE!</v>
      </c>
      <c r="HE121" t="e">
        <f>AND('Planilla_General_03-12-2012_9_3'!D1934,"AAAAAHvv8dQ=")</f>
        <v>#VALUE!</v>
      </c>
      <c r="HF121" t="e">
        <f>AND('Planilla_General_03-12-2012_9_3'!E1934,"AAAAAHvv8dU=")</f>
        <v>#VALUE!</v>
      </c>
      <c r="HG121" t="e">
        <f>AND('Planilla_General_03-12-2012_9_3'!F1934,"AAAAAHvv8dY=")</f>
        <v>#VALUE!</v>
      </c>
      <c r="HH121" t="e">
        <f>AND('Planilla_General_03-12-2012_9_3'!G1934,"AAAAAHvv8dc=")</f>
        <v>#VALUE!</v>
      </c>
      <c r="HI121" t="e">
        <f>AND('Planilla_General_03-12-2012_9_3'!H1934,"AAAAAHvv8dg=")</f>
        <v>#VALUE!</v>
      </c>
      <c r="HJ121" t="e">
        <f>AND('Planilla_General_03-12-2012_9_3'!I1934,"AAAAAHvv8dk=")</f>
        <v>#VALUE!</v>
      </c>
      <c r="HK121" t="e">
        <f>AND('Planilla_General_03-12-2012_9_3'!J1934,"AAAAAHvv8do=")</f>
        <v>#VALUE!</v>
      </c>
      <c r="HL121" t="e">
        <f>AND('Planilla_General_03-12-2012_9_3'!K1934,"AAAAAHvv8ds=")</f>
        <v>#VALUE!</v>
      </c>
      <c r="HM121" t="e">
        <f>AND('Planilla_General_03-12-2012_9_3'!L1934,"AAAAAHvv8dw=")</f>
        <v>#VALUE!</v>
      </c>
      <c r="HN121" t="e">
        <f>AND('Planilla_General_03-12-2012_9_3'!M1934,"AAAAAHvv8d0=")</f>
        <v>#VALUE!</v>
      </c>
      <c r="HO121" t="e">
        <f>AND('Planilla_General_03-12-2012_9_3'!N1934,"AAAAAHvv8d4=")</f>
        <v>#VALUE!</v>
      </c>
      <c r="HP121" t="e">
        <f>AND('Planilla_General_03-12-2012_9_3'!O1934,"AAAAAHvv8d8=")</f>
        <v>#VALUE!</v>
      </c>
      <c r="HQ121">
        <f>IF('Planilla_General_03-12-2012_9_3'!1935:1935,"AAAAAHvv8eA=",0)</f>
        <v>0</v>
      </c>
      <c r="HR121" t="e">
        <f>AND('Planilla_General_03-12-2012_9_3'!A1935,"AAAAAHvv8eE=")</f>
        <v>#VALUE!</v>
      </c>
      <c r="HS121" t="e">
        <f>AND('Planilla_General_03-12-2012_9_3'!B1935,"AAAAAHvv8eI=")</f>
        <v>#VALUE!</v>
      </c>
      <c r="HT121" t="e">
        <f>AND('Planilla_General_03-12-2012_9_3'!C1935,"AAAAAHvv8eM=")</f>
        <v>#VALUE!</v>
      </c>
      <c r="HU121" t="e">
        <f>AND('Planilla_General_03-12-2012_9_3'!D1935,"AAAAAHvv8eQ=")</f>
        <v>#VALUE!</v>
      </c>
      <c r="HV121" t="e">
        <f>AND('Planilla_General_03-12-2012_9_3'!E1935,"AAAAAHvv8eU=")</f>
        <v>#VALUE!</v>
      </c>
      <c r="HW121" t="e">
        <f>AND('Planilla_General_03-12-2012_9_3'!F1935,"AAAAAHvv8eY=")</f>
        <v>#VALUE!</v>
      </c>
      <c r="HX121" t="e">
        <f>AND('Planilla_General_03-12-2012_9_3'!G1935,"AAAAAHvv8ec=")</f>
        <v>#VALUE!</v>
      </c>
      <c r="HY121" t="e">
        <f>AND('Planilla_General_03-12-2012_9_3'!H1935,"AAAAAHvv8eg=")</f>
        <v>#VALUE!</v>
      </c>
      <c r="HZ121" t="e">
        <f>AND('Planilla_General_03-12-2012_9_3'!I1935,"AAAAAHvv8ek=")</f>
        <v>#VALUE!</v>
      </c>
      <c r="IA121" t="e">
        <f>AND('Planilla_General_03-12-2012_9_3'!J1935,"AAAAAHvv8eo=")</f>
        <v>#VALUE!</v>
      </c>
      <c r="IB121" t="e">
        <f>AND('Planilla_General_03-12-2012_9_3'!K1935,"AAAAAHvv8es=")</f>
        <v>#VALUE!</v>
      </c>
      <c r="IC121" t="e">
        <f>AND('Planilla_General_03-12-2012_9_3'!L1935,"AAAAAHvv8ew=")</f>
        <v>#VALUE!</v>
      </c>
      <c r="ID121" t="e">
        <f>AND('Planilla_General_03-12-2012_9_3'!M1935,"AAAAAHvv8e0=")</f>
        <v>#VALUE!</v>
      </c>
      <c r="IE121" t="e">
        <f>AND('Planilla_General_03-12-2012_9_3'!N1935,"AAAAAHvv8e4=")</f>
        <v>#VALUE!</v>
      </c>
      <c r="IF121" t="e">
        <f>AND('Planilla_General_03-12-2012_9_3'!O1935,"AAAAAHvv8e8=")</f>
        <v>#VALUE!</v>
      </c>
      <c r="IG121">
        <f>IF('Planilla_General_03-12-2012_9_3'!1936:1936,"AAAAAHvv8fA=",0)</f>
        <v>0</v>
      </c>
      <c r="IH121" t="e">
        <f>AND('Planilla_General_03-12-2012_9_3'!A1936,"AAAAAHvv8fE=")</f>
        <v>#VALUE!</v>
      </c>
      <c r="II121" t="e">
        <f>AND('Planilla_General_03-12-2012_9_3'!B1936,"AAAAAHvv8fI=")</f>
        <v>#VALUE!</v>
      </c>
      <c r="IJ121" t="e">
        <f>AND('Planilla_General_03-12-2012_9_3'!C1936,"AAAAAHvv8fM=")</f>
        <v>#VALUE!</v>
      </c>
      <c r="IK121" t="e">
        <f>AND('Planilla_General_03-12-2012_9_3'!D1936,"AAAAAHvv8fQ=")</f>
        <v>#VALUE!</v>
      </c>
      <c r="IL121" t="e">
        <f>AND('Planilla_General_03-12-2012_9_3'!E1936,"AAAAAHvv8fU=")</f>
        <v>#VALUE!</v>
      </c>
      <c r="IM121" t="e">
        <f>AND('Planilla_General_03-12-2012_9_3'!F1936,"AAAAAHvv8fY=")</f>
        <v>#VALUE!</v>
      </c>
      <c r="IN121" t="e">
        <f>AND('Planilla_General_03-12-2012_9_3'!G1936,"AAAAAHvv8fc=")</f>
        <v>#VALUE!</v>
      </c>
      <c r="IO121" t="e">
        <f>AND('Planilla_General_03-12-2012_9_3'!H1936,"AAAAAHvv8fg=")</f>
        <v>#VALUE!</v>
      </c>
      <c r="IP121" t="e">
        <f>AND('Planilla_General_03-12-2012_9_3'!I1936,"AAAAAHvv8fk=")</f>
        <v>#VALUE!</v>
      </c>
      <c r="IQ121" t="e">
        <f>AND('Planilla_General_03-12-2012_9_3'!J1936,"AAAAAHvv8fo=")</f>
        <v>#VALUE!</v>
      </c>
      <c r="IR121" t="e">
        <f>AND('Planilla_General_03-12-2012_9_3'!K1936,"AAAAAHvv8fs=")</f>
        <v>#VALUE!</v>
      </c>
      <c r="IS121" t="e">
        <f>AND('Planilla_General_03-12-2012_9_3'!L1936,"AAAAAHvv8fw=")</f>
        <v>#VALUE!</v>
      </c>
      <c r="IT121" t="e">
        <f>AND('Planilla_General_03-12-2012_9_3'!M1936,"AAAAAHvv8f0=")</f>
        <v>#VALUE!</v>
      </c>
      <c r="IU121" t="e">
        <f>AND('Planilla_General_03-12-2012_9_3'!N1936,"AAAAAHvv8f4=")</f>
        <v>#VALUE!</v>
      </c>
      <c r="IV121" t="e">
        <f>AND('Planilla_General_03-12-2012_9_3'!O1936,"AAAAAHvv8f8=")</f>
        <v>#VALUE!</v>
      </c>
    </row>
    <row r="122" spans="1:256" x14ac:dyDescent="0.25">
      <c r="A122" t="e">
        <f>IF('Planilla_General_03-12-2012_9_3'!1937:1937,"AAAAAF92mQA=",0)</f>
        <v>#VALUE!</v>
      </c>
      <c r="B122" t="e">
        <f>AND('Planilla_General_03-12-2012_9_3'!A1937,"AAAAAF92mQE=")</f>
        <v>#VALUE!</v>
      </c>
      <c r="C122" t="e">
        <f>AND('Planilla_General_03-12-2012_9_3'!B1937,"AAAAAF92mQI=")</f>
        <v>#VALUE!</v>
      </c>
      <c r="D122" t="e">
        <f>AND('Planilla_General_03-12-2012_9_3'!C1937,"AAAAAF92mQM=")</f>
        <v>#VALUE!</v>
      </c>
      <c r="E122" t="e">
        <f>AND('Planilla_General_03-12-2012_9_3'!D1937,"AAAAAF92mQQ=")</f>
        <v>#VALUE!</v>
      </c>
      <c r="F122" t="e">
        <f>AND('Planilla_General_03-12-2012_9_3'!E1937,"AAAAAF92mQU=")</f>
        <v>#VALUE!</v>
      </c>
      <c r="G122" t="e">
        <f>AND('Planilla_General_03-12-2012_9_3'!F1937,"AAAAAF92mQY=")</f>
        <v>#VALUE!</v>
      </c>
      <c r="H122" t="e">
        <f>AND('Planilla_General_03-12-2012_9_3'!G1937,"AAAAAF92mQc=")</f>
        <v>#VALUE!</v>
      </c>
      <c r="I122" t="e">
        <f>AND('Planilla_General_03-12-2012_9_3'!H1937,"AAAAAF92mQg=")</f>
        <v>#VALUE!</v>
      </c>
      <c r="J122" t="e">
        <f>AND('Planilla_General_03-12-2012_9_3'!I1937,"AAAAAF92mQk=")</f>
        <v>#VALUE!</v>
      </c>
      <c r="K122" t="e">
        <f>AND('Planilla_General_03-12-2012_9_3'!J1937,"AAAAAF92mQo=")</f>
        <v>#VALUE!</v>
      </c>
      <c r="L122" t="e">
        <f>AND('Planilla_General_03-12-2012_9_3'!K1937,"AAAAAF92mQs=")</f>
        <v>#VALUE!</v>
      </c>
      <c r="M122" t="e">
        <f>AND('Planilla_General_03-12-2012_9_3'!L1937,"AAAAAF92mQw=")</f>
        <v>#VALUE!</v>
      </c>
      <c r="N122" t="e">
        <f>AND('Planilla_General_03-12-2012_9_3'!M1937,"AAAAAF92mQ0=")</f>
        <v>#VALUE!</v>
      </c>
      <c r="O122" t="e">
        <f>AND('Planilla_General_03-12-2012_9_3'!N1937,"AAAAAF92mQ4=")</f>
        <v>#VALUE!</v>
      </c>
      <c r="P122" t="e">
        <f>AND('Planilla_General_03-12-2012_9_3'!O1937,"AAAAAF92mQ8=")</f>
        <v>#VALUE!</v>
      </c>
      <c r="Q122">
        <f>IF('Planilla_General_03-12-2012_9_3'!1938:1938,"AAAAAF92mRA=",0)</f>
        <v>0</v>
      </c>
      <c r="R122" t="e">
        <f>AND('Planilla_General_03-12-2012_9_3'!A1938,"AAAAAF92mRE=")</f>
        <v>#VALUE!</v>
      </c>
      <c r="S122" t="e">
        <f>AND('Planilla_General_03-12-2012_9_3'!B1938,"AAAAAF92mRI=")</f>
        <v>#VALUE!</v>
      </c>
      <c r="T122" t="e">
        <f>AND('Planilla_General_03-12-2012_9_3'!C1938,"AAAAAF92mRM=")</f>
        <v>#VALUE!</v>
      </c>
      <c r="U122" t="e">
        <f>AND('Planilla_General_03-12-2012_9_3'!D1938,"AAAAAF92mRQ=")</f>
        <v>#VALUE!</v>
      </c>
      <c r="V122" t="e">
        <f>AND('Planilla_General_03-12-2012_9_3'!E1938,"AAAAAF92mRU=")</f>
        <v>#VALUE!</v>
      </c>
      <c r="W122" t="e">
        <f>AND('Planilla_General_03-12-2012_9_3'!F1938,"AAAAAF92mRY=")</f>
        <v>#VALUE!</v>
      </c>
      <c r="X122" t="e">
        <f>AND('Planilla_General_03-12-2012_9_3'!G1938,"AAAAAF92mRc=")</f>
        <v>#VALUE!</v>
      </c>
      <c r="Y122" t="e">
        <f>AND('Planilla_General_03-12-2012_9_3'!H1938,"AAAAAF92mRg=")</f>
        <v>#VALUE!</v>
      </c>
      <c r="Z122" t="e">
        <f>AND('Planilla_General_03-12-2012_9_3'!I1938,"AAAAAF92mRk=")</f>
        <v>#VALUE!</v>
      </c>
      <c r="AA122" t="e">
        <f>AND('Planilla_General_03-12-2012_9_3'!J1938,"AAAAAF92mRo=")</f>
        <v>#VALUE!</v>
      </c>
      <c r="AB122" t="e">
        <f>AND('Planilla_General_03-12-2012_9_3'!K1938,"AAAAAF92mRs=")</f>
        <v>#VALUE!</v>
      </c>
      <c r="AC122" t="e">
        <f>AND('Planilla_General_03-12-2012_9_3'!L1938,"AAAAAF92mRw=")</f>
        <v>#VALUE!</v>
      </c>
      <c r="AD122" t="e">
        <f>AND('Planilla_General_03-12-2012_9_3'!M1938,"AAAAAF92mR0=")</f>
        <v>#VALUE!</v>
      </c>
      <c r="AE122" t="e">
        <f>AND('Planilla_General_03-12-2012_9_3'!N1938,"AAAAAF92mR4=")</f>
        <v>#VALUE!</v>
      </c>
      <c r="AF122" t="e">
        <f>AND('Planilla_General_03-12-2012_9_3'!O1938,"AAAAAF92mR8=")</f>
        <v>#VALUE!</v>
      </c>
      <c r="AG122">
        <f>IF('Planilla_General_03-12-2012_9_3'!1939:1939,"AAAAAF92mSA=",0)</f>
        <v>0</v>
      </c>
      <c r="AH122" t="e">
        <f>AND('Planilla_General_03-12-2012_9_3'!A1939,"AAAAAF92mSE=")</f>
        <v>#VALUE!</v>
      </c>
      <c r="AI122" t="e">
        <f>AND('Planilla_General_03-12-2012_9_3'!B1939,"AAAAAF92mSI=")</f>
        <v>#VALUE!</v>
      </c>
      <c r="AJ122" t="e">
        <f>AND('Planilla_General_03-12-2012_9_3'!C1939,"AAAAAF92mSM=")</f>
        <v>#VALUE!</v>
      </c>
      <c r="AK122" t="e">
        <f>AND('Planilla_General_03-12-2012_9_3'!D1939,"AAAAAF92mSQ=")</f>
        <v>#VALUE!</v>
      </c>
      <c r="AL122" t="e">
        <f>AND('Planilla_General_03-12-2012_9_3'!E1939,"AAAAAF92mSU=")</f>
        <v>#VALUE!</v>
      </c>
      <c r="AM122" t="e">
        <f>AND('Planilla_General_03-12-2012_9_3'!F1939,"AAAAAF92mSY=")</f>
        <v>#VALUE!</v>
      </c>
      <c r="AN122" t="e">
        <f>AND('Planilla_General_03-12-2012_9_3'!G1939,"AAAAAF92mSc=")</f>
        <v>#VALUE!</v>
      </c>
      <c r="AO122" t="e">
        <f>AND('Planilla_General_03-12-2012_9_3'!H1939,"AAAAAF92mSg=")</f>
        <v>#VALUE!</v>
      </c>
      <c r="AP122" t="e">
        <f>AND('Planilla_General_03-12-2012_9_3'!I1939,"AAAAAF92mSk=")</f>
        <v>#VALUE!</v>
      </c>
      <c r="AQ122" t="e">
        <f>AND('Planilla_General_03-12-2012_9_3'!J1939,"AAAAAF92mSo=")</f>
        <v>#VALUE!</v>
      </c>
      <c r="AR122" t="e">
        <f>AND('Planilla_General_03-12-2012_9_3'!K1939,"AAAAAF92mSs=")</f>
        <v>#VALUE!</v>
      </c>
      <c r="AS122" t="e">
        <f>AND('Planilla_General_03-12-2012_9_3'!L1939,"AAAAAF92mSw=")</f>
        <v>#VALUE!</v>
      </c>
      <c r="AT122" t="e">
        <f>AND('Planilla_General_03-12-2012_9_3'!M1939,"AAAAAF92mS0=")</f>
        <v>#VALUE!</v>
      </c>
      <c r="AU122" t="e">
        <f>AND('Planilla_General_03-12-2012_9_3'!N1939,"AAAAAF92mS4=")</f>
        <v>#VALUE!</v>
      </c>
      <c r="AV122" t="e">
        <f>AND('Planilla_General_03-12-2012_9_3'!O1939,"AAAAAF92mS8=")</f>
        <v>#VALUE!</v>
      </c>
      <c r="AW122">
        <f>IF('Planilla_General_03-12-2012_9_3'!1940:1940,"AAAAAF92mTA=",0)</f>
        <v>0</v>
      </c>
      <c r="AX122" t="e">
        <f>AND('Planilla_General_03-12-2012_9_3'!A1940,"AAAAAF92mTE=")</f>
        <v>#VALUE!</v>
      </c>
      <c r="AY122" t="e">
        <f>AND('Planilla_General_03-12-2012_9_3'!B1940,"AAAAAF92mTI=")</f>
        <v>#VALUE!</v>
      </c>
      <c r="AZ122" t="e">
        <f>AND('Planilla_General_03-12-2012_9_3'!C1940,"AAAAAF92mTM=")</f>
        <v>#VALUE!</v>
      </c>
      <c r="BA122" t="e">
        <f>AND('Planilla_General_03-12-2012_9_3'!D1940,"AAAAAF92mTQ=")</f>
        <v>#VALUE!</v>
      </c>
      <c r="BB122" t="e">
        <f>AND('Planilla_General_03-12-2012_9_3'!E1940,"AAAAAF92mTU=")</f>
        <v>#VALUE!</v>
      </c>
      <c r="BC122" t="e">
        <f>AND('Planilla_General_03-12-2012_9_3'!F1940,"AAAAAF92mTY=")</f>
        <v>#VALUE!</v>
      </c>
      <c r="BD122" t="e">
        <f>AND('Planilla_General_03-12-2012_9_3'!G1940,"AAAAAF92mTc=")</f>
        <v>#VALUE!</v>
      </c>
      <c r="BE122" t="e">
        <f>AND('Planilla_General_03-12-2012_9_3'!H1940,"AAAAAF92mTg=")</f>
        <v>#VALUE!</v>
      </c>
      <c r="BF122" t="e">
        <f>AND('Planilla_General_03-12-2012_9_3'!I1940,"AAAAAF92mTk=")</f>
        <v>#VALUE!</v>
      </c>
      <c r="BG122" t="e">
        <f>AND('Planilla_General_03-12-2012_9_3'!J1940,"AAAAAF92mTo=")</f>
        <v>#VALUE!</v>
      </c>
      <c r="BH122" t="e">
        <f>AND('Planilla_General_03-12-2012_9_3'!K1940,"AAAAAF92mTs=")</f>
        <v>#VALUE!</v>
      </c>
      <c r="BI122" t="e">
        <f>AND('Planilla_General_03-12-2012_9_3'!L1940,"AAAAAF92mTw=")</f>
        <v>#VALUE!</v>
      </c>
      <c r="BJ122" t="e">
        <f>AND('Planilla_General_03-12-2012_9_3'!M1940,"AAAAAF92mT0=")</f>
        <v>#VALUE!</v>
      </c>
      <c r="BK122" t="e">
        <f>AND('Planilla_General_03-12-2012_9_3'!N1940,"AAAAAF92mT4=")</f>
        <v>#VALUE!</v>
      </c>
      <c r="BL122" t="e">
        <f>AND('Planilla_General_03-12-2012_9_3'!O1940,"AAAAAF92mT8=")</f>
        <v>#VALUE!</v>
      </c>
      <c r="BM122">
        <f>IF('Planilla_General_03-12-2012_9_3'!1941:1941,"AAAAAF92mUA=",0)</f>
        <v>0</v>
      </c>
      <c r="BN122" t="e">
        <f>AND('Planilla_General_03-12-2012_9_3'!A1941,"AAAAAF92mUE=")</f>
        <v>#VALUE!</v>
      </c>
      <c r="BO122" t="e">
        <f>AND('Planilla_General_03-12-2012_9_3'!B1941,"AAAAAF92mUI=")</f>
        <v>#VALUE!</v>
      </c>
      <c r="BP122" t="e">
        <f>AND('Planilla_General_03-12-2012_9_3'!C1941,"AAAAAF92mUM=")</f>
        <v>#VALUE!</v>
      </c>
      <c r="BQ122" t="e">
        <f>AND('Planilla_General_03-12-2012_9_3'!D1941,"AAAAAF92mUQ=")</f>
        <v>#VALUE!</v>
      </c>
      <c r="BR122" t="e">
        <f>AND('Planilla_General_03-12-2012_9_3'!E1941,"AAAAAF92mUU=")</f>
        <v>#VALUE!</v>
      </c>
      <c r="BS122" t="e">
        <f>AND('Planilla_General_03-12-2012_9_3'!F1941,"AAAAAF92mUY=")</f>
        <v>#VALUE!</v>
      </c>
      <c r="BT122" t="e">
        <f>AND('Planilla_General_03-12-2012_9_3'!G1941,"AAAAAF92mUc=")</f>
        <v>#VALUE!</v>
      </c>
      <c r="BU122" t="e">
        <f>AND('Planilla_General_03-12-2012_9_3'!H1941,"AAAAAF92mUg=")</f>
        <v>#VALUE!</v>
      </c>
      <c r="BV122" t="e">
        <f>AND('Planilla_General_03-12-2012_9_3'!I1941,"AAAAAF92mUk=")</f>
        <v>#VALUE!</v>
      </c>
      <c r="BW122" t="e">
        <f>AND('Planilla_General_03-12-2012_9_3'!J1941,"AAAAAF92mUo=")</f>
        <v>#VALUE!</v>
      </c>
      <c r="BX122" t="e">
        <f>AND('Planilla_General_03-12-2012_9_3'!K1941,"AAAAAF92mUs=")</f>
        <v>#VALUE!</v>
      </c>
      <c r="BY122" t="e">
        <f>AND('Planilla_General_03-12-2012_9_3'!L1941,"AAAAAF92mUw=")</f>
        <v>#VALUE!</v>
      </c>
      <c r="BZ122" t="e">
        <f>AND('Planilla_General_03-12-2012_9_3'!M1941,"AAAAAF92mU0=")</f>
        <v>#VALUE!</v>
      </c>
      <c r="CA122" t="e">
        <f>AND('Planilla_General_03-12-2012_9_3'!N1941,"AAAAAF92mU4=")</f>
        <v>#VALUE!</v>
      </c>
      <c r="CB122" t="e">
        <f>AND('Planilla_General_03-12-2012_9_3'!O1941,"AAAAAF92mU8=")</f>
        <v>#VALUE!</v>
      </c>
      <c r="CC122">
        <f>IF('Planilla_General_03-12-2012_9_3'!1942:1942,"AAAAAF92mVA=",0)</f>
        <v>0</v>
      </c>
      <c r="CD122" t="e">
        <f>AND('Planilla_General_03-12-2012_9_3'!A1942,"AAAAAF92mVE=")</f>
        <v>#VALUE!</v>
      </c>
      <c r="CE122" t="e">
        <f>AND('Planilla_General_03-12-2012_9_3'!B1942,"AAAAAF92mVI=")</f>
        <v>#VALUE!</v>
      </c>
      <c r="CF122" t="e">
        <f>AND('Planilla_General_03-12-2012_9_3'!C1942,"AAAAAF92mVM=")</f>
        <v>#VALUE!</v>
      </c>
      <c r="CG122" t="e">
        <f>AND('Planilla_General_03-12-2012_9_3'!D1942,"AAAAAF92mVQ=")</f>
        <v>#VALUE!</v>
      </c>
      <c r="CH122" t="e">
        <f>AND('Planilla_General_03-12-2012_9_3'!E1942,"AAAAAF92mVU=")</f>
        <v>#VALUE!</v>
      </c>
      <c r="CI122" t="e">
        <f>AND('Planilla_General_03-12-2012_9_3'!F1942,"AAAAAF92mVY=")</f>
        <v>#VALUE!</v>
      </c>
      <c r="CJ122" t="e">
        <f>AND('Planilla_General_03-12-2012_9_3'!G1942,"AAAAAF92mVc=")</f>
        <v>#VALUE!</v>
      </c>
      <c r="CK122" t="e">
        <f>AND('Planilla_General_03-12-2012_9_3'!H1942,"AAAAAF92mVg=")</f>
        <v>#VALUE!</v>
      </c>
      <c r="CL122" t="e">
        <f>AND('Planilla_General_03-12-2012_9_3'!I1942,"AAAAAF92mVk=")</f>
        <v>#VALUE!</v>
      </c>
      <c r="CM122" t="e">
        <f>AND('Planilla_General_03-12-2012_9_3'!J1942,"AAAAAF92mVo=")</f>
        <v>#VALUE!</v>
      </c>
      <c r="CN122" t="e">
        <f>AND('Planilla_General_03-12-2012_9_3'!K1942,"AAAAAF92mVs=")</f>
        <v>#VALUE!</v>
      </c>
      <c r="CO122" t="e">
        <f>AND('Planilla_General_03-12-2012_9_3'!L1942,"AAAAAF92mVw=")</f>
        <v>#VALUE!</v>
      </c>
      <c r="CP122" t="e">
        <f>AND('Planilla_General_03-12-2012_9_3'!M1942,"AAAAAF92mV0=")</f>
        <v>#VALUE!</v>
      </c>
      <c r="CQ122" t="e">
        <f>AND('Planilla_General_03-12-2012_9_3'!N1942,"AAAAAF92mV4=")</f>
        <v>#VALUE!</v>
      </c>
      <c r="CR122" t="e">
        <f>AND('Planilla_General_03-12-2012_9_3'!O1942,"AAAAAF92mV8=")</f>
        <v>#VALUE!</v>
      </c>
      <c r="CS122">
        <f>IF('Planilla_General_03-12-2012_9_3'!1943:1943,"AAAAAF92mWA=",0)</f>
        <v>0</v>
      </c>
      <c r="CT122" t="e">
        <f>AND('Planilla_General_03-12-2012_9_3'!A1943,"AAAAAF92mWE=")</f>
        <v>#VALUE!</v>
      </c>
      <c r="CU122" t="e">
        <f>AND('Planilla_General_03-12-2012_9_3'!B1943,"AAAAAF92mWI=")</f>
        <v>#VALUE!</v>
      </c>
      <c r="CV122" t="e">
        <f>AND('Planilla_General_03-12-2012_9_3'!C1943,"AAAAAF92mWM=")</f>
        <v>#VALUE!</v>
      </c>
      <c r="CW122" t="e">
        <f>AND('Planilla_General_03-12-2012_9_3'!D1943,"AAAAAF92mWQ=")</f>
        <v>#VALUE!</v>
      </c>
      <c r="CX122" t="e">
        <f>AND('Planilla_General_03-12-2012_9_3'!E1943,"AAAAAF92mWU=")</f>
        <v>#VALUE!</v>
      </c>
      <c r="CY122" t="e">
        <f>AND('Planilla_General_03-12-2012_9_3'!F1943,"AAAAAF92mWY=")</f>
        <v>#VALUE!</v>
      </c>
      <c r="CZ122" t="e">
        <f>AND('Planilla_General_03-12-2012_9_3'!G1943,"AAAAAF92mWc=")</f>
        <v>#VALUE!</v>
      </c>
      <c r="DA122" t="e">
        <f>AND('Planilla_General_03-12-2012_9_3'!H1943,"AAAAAF92mWg=")</f>
        <v>#VALUE!</v>
      </c>
      <c r="DB122" t="e">
        <f>AND('Planilla_General_03-12-2012_9_3'!I1943,"AAAAAF92mWk=")</f>
        <v>#VALUE!</v>
      </c>
      <c r="DC122" t="e">
        <f>AND('Planilla_General_03-12-2012_9_3'!J1943,"AAAAAF92mWo=")</f>
        <v>#VALUE!</v>
      </c>
      <c r="DD122" t="e">
        <f>AND('Planilla_General_03-12-2012_9_3'!K1943,"AAAAAF92mWs=")</f>
        <v>#VALUE!</v>
      </c>
      <c r="DE122" t="e">
        <f>AND('Planilla_General_03-12-2012_9_3'!L1943,"AAAAAF92mWw=")</f>
        <v>#VALUE!</v>
      </c>
      <c r="DF122" t="e">
        <f>AND('Planilla_General_03-12-2012_9_3'!M1943,"AAAAAF92mW0=")</f>
        <v>#VALUE!</v>
      </c>
      <c r="DG122" t="e">
        <f>AND('Planilla_General_03-12-2012_9_3'!N1943,"AAAAAF92mW4=")</f>
        <v>#VALUE!</v>
      </c>
      <c r="DH122" t="e">
        <f>AND('Planilla_General_03-12-2012_9_3'!O1943,"AAAAAF92mW8=")</f>
        <v>#VALUE!</v>
      </c>
      <c r="DI122">
        <f>IF('Planilla_General_03-12-2012_9_3'!1944:1944,"AAAAAF92mXA=",0)</f>
        <v>0</v>
      </c>
      <c r="DJ122" t="e">
        <f>AND('Planilla_General_03-12-2012_9_3'!A1944,"AAAAAF92mXE=")</f>
        <v>#VALUE!</v>
      </c>
      <c r="DK122" t="e">
        <f>AND('Planilla_General_03-12-2012_9_3'!B1944,"AAAAAF92mXI=")</f>
        <v>#VALUE!</v>
      </c>
      <c r="DL122" t="e">
        <f>AND('Planilla_General_03-12-2012_9_3'!C1944,"AAAAAF92mXM=")</f>
        <v>#VALUE!</v>
      </c>
      <c r="DM122" t="e">
        <f>AND('Planilla_General_03-12-2012_9_3'!D1944,"AAAAAF92mXQ=")</f>
        <v>#VALUE!</v>
      </c>
      <c r="DN122" t="e">
        <f>AND('Planilla_General_03-12-2012_9_3'!E1944,"AAAAAF92mXU=")</f>
        <v>#VALUE!</v>
      </c>
      <c r="DO122" t="e">
        <f>AND('Planilla_General_03-12-2012_9_3'!F1944,"AAAAAF92mXY=")</f>
        <v>#VALUE!</v>
      </c>
      <c r="DP122" t="e">
        <f>AND('Planilla_General_03-12-2012_9_3'!G1944,"AAAAAF92mXc=")</f>
        <v>#VALUE!</v>
      </c>
      <c r="DQ122" t="e">
        <f>AND('Planilla_General_03-12-2012_9_3'!H1944,"AAAAAF92mXg=")</f>
        <v>#VALUE!</v>
      </c>
      <c r="DR122" t="e">
        <f>AND('Planilla_General_03-12-2012_9_3'!I1944,"AAAAAF92mXk=")</f>
        <v>#VALUE!</v>
      </c>
      <c r="DS122" t="e">
        <f>AND('Planilla_General_03-12-2012_9_3'!J1944,"AAAAAF92mXo=")</f>
        <v>#VALUE!</v>
      </c>
      <c r="DT122" t="e">
        <f>AND('Planilla_General_03-12-2012_9_3'!K1944,"AAAAAF92mXs=")</f>
        <v>#VALUE!</v>
      </c>
      <c r="DU122" t="e">
        <f>AND('Planilla_General_03-12-2012_9_3'!L1944,"AAAAAF92mXw=")</f>
        <v>#VALUE!</v>
      </c>
      <c r="DV122" t="e">
        <f>AND('Planilla_General_03-12-2012_9_3'!M1944,"AAAAAF92mX0=")</f>
        <v>#VALUE!</v>
      </c>
      <c r="DW122" t="e">
        <f>AND('Planilla_General_03-12-2012_9_3'!N1944,"AAAAAF92mX4=")</f>
        <v>#VALUE!</v>
      </c>
      <c r="DX122" t="e">
        <f>AND('Planilla_General_03-12-2012_9_3'!O1944,"AAAAAF92mX8=")</f>
        <v>#VALUE!</v>
      </c>
      <c r="DY122">
        <f>IF('Planilla_General_03-12-2012_9_3'!1945:1945,"AAAAAF92mYA=",0)</f>
        <v>0</v>
      </c>
      <c r="DZ122" t="e">
        <f>AND('Planilla_General_03-12-2012_9_3'!A1945,"AAAAAF92mYE=")</f>
        <v>#VALUE!</v>
      </c>
      <c r="EA122" t="e">
        <f>AND('Planilla_General_03-12-2012_9_3'!B1945,"AAAAAF92mYI=")</f>
        <v>#VALUE!</v>
      </c>
      <c r="EB122" t="e">
        <f>AND('Planilla_General_03-12-2012_9_3'!C1945,"AAAAAF92mYM=")</f>
        <v>#VALUE!</v>
      </c>
      <c r="EC122" t="e">
        <f>AND('Planilla_General_03-12-2012_9_3'!D1945,"AAAAAF92mYQ=")</f>
        <v>#VALUE!</v>
      </c>
      <c r="ED122" t="e">
        <f>AND('Planilla_General_03-12-2012_9_3'!E1945,"AAAAAF92mYU=")</f>
        <v>#VALUE!</v>
      </c>
      <c r="EE122" t="e">
        <f>AND('Planilla_General_03-12-2012_9_3'!F1945,"AAAAAF92mYY=")</f>
        <v>#VALUE!</v>
      </c>
      <c r="EF122" t="e">
        <f>AND('Planilla_General_03-12-2012_9_3'!G1945,"AAAAAF92mYc=")</f>
        <v>#VALUE!</v>
      </c>
      <c r="EG122" t="e">
        <f>AND('Planilla_General_03-12-2012_9_3'!H1945,"AAAAAF92mYg=")</f>
        <v>#VALUE!</v>
      </c>
      <c r="EH122" t="e">
        <f>AND('Planilla_General_03-12-2012_9_3'!I1945,"AAAAAF92mYk=")</f>
        <v>#VALUE!</v>
      </c>
      <c r="EI122" t="e">
        <f>AND('Planilla_General_03-12-2012_9_3'!J1945,"AAAAAF92mYo=")</f>
        <v>#VALUE!</v>
      </c>
      <c r="EJ122" t="e">
        <f>AND('Planilla_General_03-12-2012_9_3'!K1945,"AAAAAF92mYs=")</f>
        <v>#VALUE!</v>
      </c>
      <c r="EK122" t="e">
        <f>AND('Planilla_General_03-12-2012_9_3'!L1945,"AAAAAF92mYw=")</f>
        <v>#VALUE!</v>
      </c>
      <c r="EL122" t="e">
        <f>AND('Planilla_General_03-12-2012_9_3'!M1945,"AAAAAF92mY0=")</f>
        <v>#VALUE!</v>
      </c>
      <c r="EM122" t="e">
        <f>AND('Planilla_General_03-12-2012_9_3'!N1945,"AAAAAF92mY4=")</f>
        <v>#VALUE!</v>
      </c>
      <c r="EN122" t="e">
        <f>AND('Planilla_General_03-12-2012_9_3'!O1945,"AAAAAF92mY8=")</f>
        <v>#VALUE!</v>
      </c>
      <c r="EO122">
        <f>IF('Planilla_General_03-12-2012_9_3'!1946:1946,"AAAAAF92mZA=",0)</f>
        <v>0</v>
      </c>
      <c r="EP122" t="e">
        <f>AND('Planilla_General_03-12-2012_9_3'!A1946,"AAAAAF92mZE=")</f>
        <v>#VALUE!</v>
      </c>
      <c r="EQ122" t="e">
        <f>AND('Planilla_General_03-12-2012_9_3'!B1946,"AAAAAF92mZI=")</f>
        <v>#VALUE!</v>
      </c>
      <c r="ER122" t="e">
        <f>AND('Planilla_General_03-12-2012_9_3'!C1946,"AAAAAF92mZM=")</f>
        <v>#VALUE!</v>
      </c>
      <c r="ES122" t="e">
        <f>AND('Planilla_General_03-12-2012_9_3'!D1946,"AAAAAF92mZQ=")</f>
        <v>#VALUE!</v>
      </c>
      <c r="ET122" t="e">
        <f>AND('Planilla_General_03-12-2012_9_3'!E1946,"AAAAAF92mZU=")</f>
        <v>#VALUE!</v>
      </c>
      <c r="EU122" t="e">
        <f>AND('Planilla_General_03-12-2012_9_3'!F1946,"AAAAAF92mZY=")</f>
        <v>#VALUE!</v>
      </c>
      <c r="EV122" t="e">
        <f>AND('Planilla_General_03-12-2012_9_3'!G1946,"AAAAAF92mZc=")</f>
        <v>#VALUE!</v>
      </c>
      <c r="EW122" t="e">
        <f>AND('Planilla_General_03-12-2012_9_3'!H1946,"AAAAAF92mZg=")</f>
        <v>#VALUE!</v>
      </c>
      <c r="EX122" t="e">
        <f>AND('Planilla_General_03-12-2012_9_3'!I1946,"AAAAAF92mZk=")</f>
        <v>#VALUE!</v>
      </c>
      <c r="EY122" t="e">
        <f>AND('Planilla_General_03-12-2012_9_3'!J1946,"AAAAAF92mZo=")</f>
        <v>#VALUE!</v>
      </c>
      <c r="EZ122" t="e">
        <f>AND('Planilla_General_03-12-2012_9_3'!K1946,"AAAAAF92mZs=")</f>
        <v>#VALUE!</v>
      </c>
      <c r="FA122" t="e">
        <f>AND('Planilla_General_03-12-2012_9_3'!L1946,"AAAAAF92mZw=")</f>
        <v>#VALUE!</v>
      </c>
      <c r="FB122" t="e">
        <f>AND('Planilla_General_03-12-2012_9_3'!M1946,"AAAAAF92mZ0=")</f>
        <v>#VALUE!</v>
      </c>
      <c r="FC122" t="e">
        <f>AND('Planilla_General_03-12-2012_9_3'!N1946,"AAAAAF92mZ4=")</f>
        <v>#VALUE!</v>
      </c>
      <c r="FD122" t="e">
        <f>AND('Planilla_General_03-12-2012_9_3'!O1946,"AAAAAF92mZ8=")</f>
        <v>#VALUE!</v>
      </c>
      <c r="FE122">
        <f>IF('Planilla_General_03-12-2012_9_3'!1947:1947,"AAAAAF92maA=",0)</f>
        <v>0</v>
      </c>
      <c r="FF122" t="e">
        <f>AND('Planilla_General_03-12-2012_9_3'!A1947,"AAAAAF92maE=")</f>
        <v>#VALUE!</v>
      </c>
      <c r="FG122" t="e">
        <f>AND('Planilla_General_03-12-2012_9_3'!B1947,"AAAAAF92maI=")</f>
        <v>#VALUE!</v>
      </c>
      <c r="FH122" t="e">
        <f>AND('Planilla_General_03-12-2012_9_3'!C1947,"AAAAAF92maM=")</f>
        <v>#VALUE!</v>
      </c>
      <c r="FI122" t="e">
        <f>AND('Planilla_General_03-12-2012_9_3'!D1947,"AAAAAF92maQ=")</f>
        <v>#VALUE!</v>
      </c>
      <c r="FJ122" t="e">
        <f>AND('Planilla_General_03-12-2012_9_3'!E1947,"AAAAAF92maU=")</f>
        <v>#VALUE!</v>
      </c>
      <c r="FK122" t="e">
        <f>AND('Planilla_General_03-12-2012_9_3'!F1947,"AAAAAF92maY=")</f>
        <v>#VALUE!</v>
      </c>
      <c r="FL122" t="e">
        <f>AND('Planilla_General_03-12-2012_9_3'!G1947,"AAAAAF92mac=")</f>
        <v>#VALUE!</v>
      </c>
      <c r="FM122" t="e">
        <f>AND('Planilla_General_03-12-2012_9_3'!H1947,"AAAAAF92mag=")</f>
        <v>#VALUE!</v>
      </c>
      <c r="FN122" t="e">
        <f>AND('Planilla_General_03-12-2012_9_3'!I1947,"AAAAAF92mak=")</f>
        <v>#VALUE!</v>
      </c>
      <c r="FO122" t="e">
        <f>AND('Planilla_General_03-12-2012_9_3'!J1947,"AAAAAF92mao=")</f>
        <v>#VALUE!</v>
      </c>
      <c r="FP122" t="e">
        <f>AND('Planilla_General_03-12-2012_9_3'!K1947,"AAAAAF92mas=")</f>
        <v>#VALUE!</v>
      </c>
      <c r="FQ122" t="e">
        <f>AND('Planilla_General_03-12-2012_9_3'!L1947,"AAAAAF92maw=")</f>
        <v>#VALUE!</v>
      </c>
      <c r="FR122" t="e">
        <f>AND('Planilla_General_03-12-2012_9_3'!M1947,"AAAAAF92ma0=")</f>
        <v>#VALUE!</v>
      </c>
      <c r="FS122" t="e">
        <f>AND('Planilla_General_03-12-2012_9_3'!N1947,"AAAAAF92ma4=")</f>
        <v>#VALUE!</v>
      </c>
      <c r="FT122" t="e">
        <f>AND('Planilla_General_03-12-2012_9_3'!O1947,"AAAAAF92ma8=")</f>
        <v>#VALUE!</v>
      </c>
      <c r="FU122">
        <f>IF('Planilla_General_03-12-2012_9_3'!1948:1948,"AAAAAF92mbA=",0)</f>
        <v>0</v>
      </c>
      <c r="FV122" t="e">
        <f>AND('Planilla_General_03-12-2012_9_3'!A1948,"AAAAAF92mbE=")</f>
        <v>#VALUE!</v>
      </c>
      <c r="FW122" t="e">
        <f>AND('Planilla_General_03-12-2012_9_3'!B1948,"AAAAAF92mbI=")</f>
        <v>#VALUE!</v>
      </c>
      <c r="FX122" t="e">
        <f>AND('Planilla_General_03-12-2012_9_3'!C1948,"AAAAAF92mbM=")</f>
        <v>#VALUE!</v>
      </c>
      <c r="FY122" t="e">
        <f>AND('Planilla_General_03-12-2012_9_3'!D1948,"AAAAAF92mbQ=")</f>
        <v>#VALUE!</v>
      </c>
      <c r="FZ122" t="e">
        <f>AND('Planilla_General_03-12-2012_9_3'!E1948,"AAAAAF92mbU=")</f>
        <v>#VALUE!</v>
      </c>
      <c r="GA122" t="e">
        <f>AND('Planilla_General_03-12-2012_9_3'!F1948,"AAAAAF92mbY=")</f>
        <v>#VALUE!</v>
      </c>
      <c r="GB122" t="e">
        <f>AND('Planilla_General_03-12-2012_9_3'!G1948,"AAAAAF92mbc=")</f>
        <v>#VALUE!</v>
      </c>
      <c r="GC122" t="e">
        <f>AND('Planilla_General_03-12-2012_9_3'!H1948,"AAAAAF92mbg=")</f>
        <v>#VALUE!</v>
      </c>
      <c r="GD122" t="e">
        <f>AND('Planilla_General_03-12-2012_9_3'!I1948,"AAAAAF92mbk=")</f>
        <v>#VALUE!</v>
      </c>
      <c r="GE122" t="e">
        <f>AND('Planilla_General_03-12-2012_9_3'!J1948,"AAAAAF92mbo=")</f>
        <v>#VALUE!</v>
      </c>
      <c r="GF122" t="e">
        <f>AND('Planilla_General_03-12-2012_9_3'!K1948,"AAAAAF92mbs=")</f>
        <v>#VALUE!</v>
      </c>
      <c r="GG122" t="e">
        <f>AND('Planilla_General_03-12-2012_9_3'!L1948,"AAAAAF92mbw=")</f>
        <v>#VALUE!</v>
      </c>
      <c r="GH122" t="e">
        <f>AND('Planilla_General_03-12-2012_9_3'!M1948,"AAAAAF92mb0=")</f>
        <v>#VALUE!</v>
      </c>
      <c r="GI122" t="e">
        <f>AND('Planilla_General_03-12-2012_9_3'!N1948,"AAAAAF92mb4=")</f>
        <v>#VALUE!</v>
      </c>
      <c r="GJ122" t="e">
        <f>AND('Planilla_General_03-12-2012_9_3'!O1948,"AAAAAF92mb8=")</f>
        <v>#VALUE!</v>
      </c>
      <c r="GK122">
        <f>IF('Planilla_General_03-12-2012_9_3'!1949:1949,"AAAAAF92mcA=",0)</f>
        <v>0</v>
      </c>
      <c r="GL122" t="e">
        <f>AND('Planilla_General_03-12-2012_9_3'!A1949,"AAAAAF92mcE=")</f>
        <v>#VALUE!</v>
      </c>
      <c r="GM122" t="e">
        <f>AND('Planilla_General_03-12-2012_9_3'!B1949,"AAAAAF92mcI=")</f>
        <v>#VALUE!</v>
      </c>
      <c r="GN122" t="e">
        <f>AND('Planilla_General_03-12-2012_9_3'!C1949,"AAAAAF92mcM=")</f>
        <v>#VALUE!</v>
      </c>
      <c r="GO122" t="e">
        <f>AND('Planilla_General_03-12-2012_9_3'!D1949,"AAAAAF92mcQ=")</f>
        <v>#VALUE!</v>
      </c>
      <c r="GP122" t="e">
        <f>AND('Planilla_General_03-12-2012_9_3'!E1949,"AAAAAF92mcU=")</f>
        <v>#VALUE!</v>
      </c>
      <c r="GQ122" t="e">
        <f>AND('Planilla_General_03-12-2012_9_3'!F1949,"AAAAAF92mcY=")</f>
        <v>#VALUE!</v>
      </c>
      <c r="GR122" t="e">
        <f>AND('Planilla_General_03-12-2012_9_3'!G1949,"AAAAAF92mcc=")</f>
        <v>#VALUE!</v>
      </c>
      <c r="GS122" t="e">
        <f>AND('Planilla_General_03-12-2012_9_3'!H1949,"AAAAAF92mcg=")</f>
        <v>#VALUE!</v>
      </c>
      <c r="GT122" t="e">
        <f>AND('Planilla_General_03-12-2012_9_3'!I1949,"AAAAAF92mck=")</f>
        <v>#VALUE!</v>
      </c>
      <c r="GU122" t="e">
        <f>AND('Planilla_General_03-12-2012_9_3'!J1949,"AAAAAF92mco=")</f>
        <v>#VALUE!</v>
      </c>
      <c r="GV122" t="e">
        <f>AND('Planilla_General_03-12-2012_9_3'!K1949,"AAAAAF92mcs=")</f>
        <v>#VALUE!</v>
      </c>
      <c r="GW122" t="e">
        <f>AND('Planilla_General_03-12-2012_9_3'!L1949,"AAAAAF92mcw=")</f>
        <v>#VALUE!</v>
      </c>
      <c r="GX122" t="e">
        <f>AND('Planilla_General_03-12-2012_9_3'!M1949,"AAAAAF92mc0=")</f>
        <v>#VALUE!</v>
      </c>
      <c r="GY122" t="e">
        <f>AND('Planilla_General_03-12-2012_9_3'!N1949,"AAAAAF92mc4=")</f>
        <v>#VALUE!</v>
      </c>
      <c r="GZ122" t="e">
        <f>AND('Planilla_General_03-12-2012_9_3'!O1949,"AAAAAF92mc8=")</f>
        <v>#VALUE!</v>
      </c>
      <c r="HA122">
        <f>IF('Planilla_General_03-12-2012_9_3'!1950:1950,"AAAAAF92mdA=",0)</f>
        <v>0</v>
      </c>
      <c r="HB122" t="e">
        <f>AND('Planilla_General_03-12-2012_9_3'!A1950,"AAAAAF92mdE=")</f>
        <v>#VALUE!</v>
      </c>
      <c r="HC122" t="e">
        <f>AND('Planilla_General_03-12-2012_9_3'!B1950,"AAAAAF92mdI=")</f>
        <v>#VALUE!</v>
      </c>
      <c r="HD122" t="e">
        <f>AND('Planilla_General_03-12-2012_9_3'!C1950,"AAAAAF92mdM=")</f>
        <v>#VALUE!</v>
      </c>
      <c r="HE122" t="e">
        <f>AND('Planilla_General_03-12-2012_9_3'!D1950,"AAAAAF92mdQ=")</f>
        <v>#VALUE!</v>
      </c>
      <c r="HF122" t="e">
        <f>AND('Planilla_General_03-12-2012_9_3'!E1950,"AAAAAF92mdU=")</f>
        <v>#VALUE!</v>
      </c>
      <c r="HG122" t="e">
        <f>AND('Planilla_General_03-12-2012_9_3'!F1950,"AAAAAF92mdY=")</f>
        <v>#VALUE!</v>
      </c>
      <c r="HH122" t="e">
        <f>AND('Planilla_General_03-12-2012_9_3'!G1950,"AAAAAF92mdc=")</f>
        <v>#VALUE!</v>
      </c>
      <c r="HI122" t="e">
        <f>AND('Planilla_General_03-12-2012_9_3'!H1950,"AAAAAF92mdg=")</f>
        <v>#VALUE!</v>
      </c>
      <c r="HJ122" t="e">
        <f>AND('Planilla_General_03-12-2012_9_3'!I1950,"AAAAAF92mdk=")</f>
        <v>#VALUE!</v>
      </c>
      <c r="HK122" t="e">
        <f>AND('Planilla_General_03-12-2012_9_3'!J1950,"AAAAAF92mdo=")</f>
        <v>#VALUE!</v>
      </c>
      <c r="HL122" t="e">
        <f>AND('Planilla_General_03-12-2012_9_3'!K1950,"AAAAAF92mds=")</f>
        <v>#VALUE!</v>
      </c>
      <c r="HM122" t="e">
        <f>AND('Planilla_General_03-12-2012_9_3'!L1950,"AAAAAF92mdw=")</f>
        <v>#VALUE!</v>
      </c>
      <c r="HN122" t="e">
        <f>AND('Planilla_General_03-12-2012_9_3'!M1950,"AAAAAF92md0=")</f>
        <v>#VALUE!</v>
      </c>
      <c r="HO122" t="e">
        <f>AND('Planilla_General_03-12-2012_9_3'!N1950,"AAAAAF92md4=")</f>
        <v>#VALUE!</v>
      </c>
      <c r="HP122" t="e">
        <f>AND('Planilla_General_03-12-2012_9_3'!O1950,"AAAAAF92md8=")</f>
        <v>#VALUE!</v>
      </c>
      <c r="HQ122">
        <f>IF('Planilla_General_03-12-2012_9_3'!1951:1951,"AAAAAF92meA=",0)</f>
        <v>0</v>
      </c>
      <c r="HR122" t="e">
        <f>AND('Planilla_General_03-12-2012_9_3'!A1951,"AAAAAF92meE=")</f>
        <v>#VALUE!</v>
      </c>
      <c r="HS122" t="e">
        <f>AND('Planilla_General_03-12-2012_9_3'!B1951,"AAAAAF92meI=")</f>
        <v>#VALUE!</v>
      </c>
      <c r="HT122" t="e">
        <f>AND('Planilla_General_03-12-2012_9_3'!C1951,"AAAAAF92meM=")</f>
        <v>#VALUE!</v>
      </c>
      <c r="HU122" t="e">
        <f>AND('Planilla_General_03-12-2012_9_3'!D1951,"AAAAAF92meQ=")</f>
        <v>#VALUE!</v>
      </c>
      <c r="HV122" t="e">
        <f>AND('Planilla_General_03-12-2012_9_3'!E1951,"AAAAAF92meU=")</f>
        <v>#VALUE!</v>
      </c>
      <c r="HW122" t="e">
        <f>AND('Planilla_General_03-12-2012_9_3'!F1951,"AAAAAF92meY=")</f>
        <v>#VALUE!</v>
      </c>
      <c r="HX122" t="e">
        <f>AND('Planilla_General_03-12-2012_9_3'!G1951,"AAAAAF92mec=")</f>
        <v>#VALUE!</v>
      </c>
      <c r="HY122" t="e">
        <f>AND('Planilla_General_03-12-2012_9_3'!H1951,"AAAAAF92meg=")</f>
        <v>#VALUE!</v>
      </c>
      <c r="HZ122" t="e">
        <f>AND('Planilla_General_03-12-2012_9_3'!I1951,"AAAAAF92mek=")</f>
        <v>#VALUE!</v>
      </c>
      <c r="IA122" t="e">
        <f>AND('Planilla_General_03-12-2012_9_3'!J1951,"AAAAAF92meo=")</f>
        <v>#VALUE!</v>
      </c>
      <c r="IB122" t="e">
        <f>AND('Planilla_General_03-12-2012_9_3'!K1951,"AAAAAF92mes=")</f>
        <v>#VALUE!</v>
      </c>
      <c r="IC122" t="e">
        <f>AND('Planilla_General_03-12-2012_9_3'!L1951,"AAAAAF92mew=")</f>
        <v>#VALUE!</v>
      </c>
      <c r="ID122" t="e">
        <f>AND('Planilla_General_03-12-2012_9_3'!M1951,"AAAAAF92me0=")</f>
        <v>#VALUE!</v>
      </c>
      <c r="IE122" t="e">
        <f>AND('Planilla_General_03-12-2012_9_3'!N1951,"AAAAAF92me4=")</f>
        <v>#VALUE!</v>
      </c>
      <c r="IF122" t="e">
        <f>AND('Planilla_General_03-12-2012_9_3'!O1951,"AAAAAF92me8=")</f>
        <v>#VALUE!</v>
      </c>
      <c r="IG122">
        <f>IF('Planilla_General_03-12-2012_9_3'!1952:1952,"AAAAAF92mfA=",0)</f>
        <v>0</v>
      </c>
      <c r="IH122" t="e">
        <f>AND('Planilla_General_03-12-2012_9_3'!A1952,"AAAAAF92mfE=")</f>
        <v>#VALUE!</v>
      </c>
      <c r="II122" t="e">
        <f>AND('Planilla_General_03-12-2012_9_3'!B1952,"AAAAAF92mfI=")</f>
        <v>#VALUE!</v>
      </c>
      <c r="IJ122" t="e">
        <f>AND('Planilla_General_03-12-2012_9_3'!C1952,"AAAAAF92mfM=")</f>
        <v>#VALUE!</v>
      </c>
      <c r="IK122" t="e">
        <f>AND('Planilla_General_03-12-2012_9_3'!D1952,"AAAAAF92mfQ=")</f>
        <v>#VALUE!</v>
      </c>
      <c r="IL122" t="e">
        <f>AND('Planilla_General_03-12-2012_9_3'!E1952,"AAAAAF92mfU=")</f>
        <v>#VALUE!</v>
      </c>
      <c r="IM122" t="e">
        <f>AND('Planilla_General_03-12-2012_9_3'!F1952,"AAAAAF92mfY=")</f>
        <v>#VALUE!</v>
      </c>
      <c r="IN122" t="e">
        <f>AND('Planilla_General_03-12-2012_9_3'!G1952,"AAAAAF92mfc=")</f>
        <v>#VALUE!</v>
      </c>
      <c r="IO122" t="e">
        <f>AND('Planilla_General_03-12-2012_9_3'!H1952,"AAAAAF92mfg=")</f>
        <v>#VALUE!</v>
      </c>
      <c r="IP122" t="e">
        <f>AND('Planilla_General_03-12-2012_9_3'!I1952,"AAAAAF92mfk=")</f>
        <v>#VALUE!</v>
      </c>
      <c r="IQ122" t="e">
        <f>AND('Planilla_General_03-12-2012_9_3'!J1952,"AAAAAF92mfo=")</f>
        <v>#VALUE!</v>
      </c>
      <c r="IR122" t="e">
        <f>AND('Planilla_General_03-12-2012_9_3'!K1952,"AAAAAF92mfs=")</f>
        <v>#VALUE!</v>
      </c>
      <c r="IS122" t="e">
        <f>AND('Planilla_General_03-12-2012_9_3'!L1952,"AAAAAF92mfw=")</f>
        <v>#VALUE!</v>
      </c>
      <c r="IT122" t="e">
        <f>AND('Planilla_General_03-12-2012_9_3'!M1952,"AAAAAF92mf0=")</f>
        <v>#VALUE!</v>
      </c>
      <c r="IU122" t="e">
        <f>AND('Planilla_General_03-12-2012_9_3'!N1952,"AAAAAF92mf4=")</f>
        <v>#VALUE!</v>
      </c>
      <c r="IV122" t="e">
        <f>AND('Planilla_General_03-12-2012_9_3'!O1952,"AAAAAF92mf8=")</f>
        <v>#VALUE!</v>
      </c>
    </row>
    <row r="123" spans="1:256" x14ac:dyDescent="0.25">
      <c r="A123" t="e">
        <f>IF('Planilla_General_03-12-2012_9_3'!1953:1953,"AAAAAH9VwQA=",0)</f>
        <v>#VALUE!</v>
      </c>
      <c r="B123" t="e">
        <f>AND('Planilla_General_03-12-2012_9_3'!A1953,"AAAAAH9VwQE=")</f>
        <v>#VALUE!</v>
      </c>
      <c r="C123" t="e">
        <f>AND('Planilla_General_03-12-2012_9_3'!B1953,"AAAAAH9VwQI=")</f>
        <v>#VALUE!</v>
      </c>
      <c r="D123" t="e">
        <f>AND('Planilla_General_03-12-2012_9_3'!C1953,"AAAAAH9VwQM=")</f>
        <v>#VALUE!</v>
      </c>
      <c r="E123" t="e">
        <f>AND('Planilla_General_03-12-2012_9_3'!D1953,"AAAAAH9VwQQ=")</f>
        <v>#VALUE!</v>
      </c>
      <c r="F123" t="e">
        <f>AND('Planilla_General_03-12-2012_9_3'!E1953,"AAAAAH9VwQU=")</f>
        <v>#VALUE!</v>
      </c>
      <c r="G123" t="e">
        <f>AND('Planilla_General_03-12-2012_9_3'!F1953,"AAAAAH9VwQY=")</f>
        <v>#VALUE!</v>
      </c>
      <c r="H123" t="e">
        <f>AND('Planilla_General_03-12-2012_9_3'!G1953,"AAAAAH9VwQc=")</f>
        <v>#VALUE!</v>
      </c>
      <c r="I123" t="e">
        <f>AND('Planilla_General_03-12-2012_9_3'!H1953,"AAAAAH9VwQg=")</f>
        <v>#VALUE!</v>
      </c>
      <c r="J123" t="e">
        <f>AND('Planilla_General_03-12-2012_9_3'!I1953,"AAAAAH9VwQk=")</f>
        <v>#VALUE!</v>
      </c>
      <c r="K123" t="e">
        <f>AND('Planilla_General_03-12-2012_9_3'!J1953,"AAAAAH9VwQo=")</f>
        <v>#VALUE!</v>
      </c>
      <c r="L123" t="e">
        <f>AND('Planilla_General_03-12-2012_9_3'!K1953,"AAAAAH9VwQs=")</f>
        <v>#VALUE!</v>
      </c>
      <c r="M123" t="e">
        <f>AND('Planilla_General_03-12-2012_9_3'!L1953,"AAAAAH9VwQw=")</f>
        <v>#VALUE!</v>
      </c>
      <c r="N123" t="e">
        <f>AND('Planilla_General_03-12-2012_9_3'!M1953,"AAAAAH9VwQ0=")</f>
        <v>#VALUE!</v>
      </c>
      <c r="O123" t="e">
        <f>AND('Planilla_General_03-12-2012_9_3'!N1953,"AAAAAH9VwQ4=")</f>
        <v>#VALUE!</v>
      </c>
      <c r="P123" t="e">
        <f>AND('Planilla_General_03-12-2012_9_3'!O1953,"AAAAAH9VwQ8=")</f>
        <v>#VALUE!</v>
      </c>
      <c r="Q123">
        <f>IF('Planilla_General_03-12-2012_9_3'!1954:1954,"AAAAAH9VwRA=",0)</f>
        <v>0</v>
      </c>
      <c r="R123" t="e">
        <f>AND('Planilla_General_03-12-2012_9_3'!A1954,"AAAAAH9VwRE=")</f>
        <v>#VALUE!</v>
      </c>
      <c r="S123" t="e">
        <f>AND('Planilla_General_03-12-2012_9_3'!B1954,"AAAAAH9VwRI=")</f>
        <v>#VALUE!</v>
      </c>
      <c r="T123" t="e">
        <f>AND('Planilla_General_03-12-2012_9_3'!C1954,"AAAAAH9VwRM=")</f>
        <v>#VALUE!</v>
      </c>
      <c r="U123" t="e">
        <f>AND('Planilla_General_03-12-2012_9_3'!D1954,"AAAAAH9VwRQ=")</f>
        <v>#VALUE!</v>
      </c>
      <c r="V123" t="e">
        <f>AND('Planilla_General_03-12-2012_9_3'!E1954,"AAAAAH9VwRU=")</f>
        <v>#VALUE!</v>
      </c>
      <c r="W123" t="e">
        <f>AND('Planilla_General_03-12-2012_9_3'!F1954,"AAAAAH9VwRY=")</f>
        <v>#VALUE!</v>
      </c>
      <c r="X123" t="e">
        <f>AND('Planilla_General_03-12-2012_9_3'!G1954,"AAAAAH9VwRc=")</f>
        <v>#VALUE!</v>
      </c>
      <c r="Y123" t="e">
        <f>AND('Planilla_General_03-12-2012_9_3'!H1954,"AAAAAH9VwRg=")</f>
        <v>#VALUE!</v>
      </c>
      <c r="Z123" t="e">
        <f>AND('Planilla_General_03-12-2012_9_3'!I1954,"AAAAAH9VwRk=")</f>
        <v>#VALUE!</v>
      </c>
      <c r="AA123" t="e">
        <f>AND('Planilla_General_03-12-2012_9_3'!J1954,"AAAAAH9VwRo=")</f>
        <v>#VALUE!</v>
      </c>
      <c r="AB123" t="e">
        <f>AND('Planilla_General_03-12-2012_9_3'!K1954,"AAAAAH9VwRs=")</f>
        <v>#VALUE!</v>
      </c>
      <c r="AC123" t="e">
        <f>AND('Planilla_General_03-12-2012_9_3'!L1954,"AAAAAH9VwRw=")</f>
        <v>#VALUE!</v>
      </c>
      <c r="AD123" t="e">
        <f>AND('Planilla_General_03-12-2012_9_3'!M1954,"AAAAAH9VwR0=")</f>
        <v>#VALUE!</v>
      </c>
      <c r="AE123" t="e">
        <f>AND('Planilla_General_03-12-2012_9_3'!N1954,"AAAAAH9VwR4=")</f>
        <v>#VALUE!</v>
      </c>
      <c r="AF123" t="e">
        <f>AND('Planilla_General_03-12-2012_9_3'!O1954,"AAAAAH9VwR8=")</f>
        <v>#VALUE!</v>
      </c>
      <c r="AG123">
        <f>IF('Planilla_General_03-12-2012_9_3'!1955:1955,"AAAAAH9VwSA=",0)</f>
        <v>0</v>
      </c>
      <c r="AH123" t="e">
        <f>AND('Planilla_General_03-12-2012_9_3'!A1955,"AAAAAH9VwSE=")</f>
        <v>#VALUE!</v>
      </c>
      <c r="AI123" t="e">
        <f>AND('Planilla_General_03-12-2012_9_3'!B1955,"AAAAAH9VwSI=")</f>
        <v>#VALUE!</v>
      </c>
      <c r="AJ123" t="e">
        <f>AND('Planilla_General_03-12-2012_9_3'!C1955,"AAAAAH9VwSM=")</f>
        <v>#VALUE!</v>
      </c>
      <c r="AK123" t="e">
        <f>AND('Planilla_General_03-12-2012_9_3'!D1955,"AAAAAH9VwSQ=")</f>
        <v>#VALUE!</v>
      </c>
      <c r="AL123" t="e">
        <f>AND('Planilla_General_03-12-2012_9_3'!E1955,"AAAAAH9VwSU=")</f>
        <v>#VALUE!</v>
      </c>
      <c r="AM123" t="e">
        <f>AND('Planilla_General_03-12-2012_9_3'!F1955,"AAAAAH9VwSY=")</f>
        <v>#VALUE!</v>
      </c>
      <c r="AN123" t="e">
        <f>AND('Planilla_General_03-12-2012_9_3'!G1955,"AAAAAH9VwSc=")</f>
        <v>#VALUE!</v>
      </c>
      <c r="AO123" t="e">
        <f>AND('Planilla_General_03-12-2012_9_3'!H1955,"AAAAAH9VwSg=")</f>
        <v>#VALUE!</v>
      </c>
      <c r="AP123" t="e">
        <f>AND('Planilla_General_03-12-2012_9_3'!I1955,"AAAAAH9VwSk=")</f>
        <v>#VALUE!</v>
      </c>
      <c r="AQ123" t="e">
        <f>AND('Planilla_General_03-12-2012_9_3'!J1955,"AAAAAH9VwSo=")</f>
        <v>#VALUE!</v>
      </c>
      <c r="AR123" t="e">
        <f>AND('Planilla_General_03-12-2012_9_3'!K1955,"AAAAAH9VwSs=")</f>
        <v>#VALUE!</v>
      </c>
      <c r="AS123" t="e">
        <f>AND('Planilla_General_03-12-2012_9_3'!L1955,"AAAAAH9VwSw=")</f>
        <v>#VALUE!</v>
      </c>
      <c r="AT123" t="e">
        <f>AND('Planilla_General_03-12-2012_9_3'!M1955,"AAAAAH9VwS0=")</f>
        <v>#VALUE!</v>
      </c>
      <c r="AU123" t="e">
        <f>AND('Planilla_General_03-12-2012_9_3'!N1955,"AAAAAH9VwS4=")</f>
        <v>#VALUE!</v>
      </c>
      <c r="AV123" t="e">
        <f>AND('Planilla_General_03-12-2012_9_3'!O1955,"AAAAAH9VwS8=")</f>
        <v>#VALUE!</v>
      </c>
      <c r="AW123">
        <f>IF('Planilla_General_03-12-2012_9_3'!1956:1956,"AAAAAH9VwTA=",0)</f>
        <v>0</v>
      </c>
      <c r="AX123" t="e">
        <f>AND('Planilla_General_03-12-2012_9_3'!A1956,"AAAAAH9VwTE=")</f>
        <v>#VALUE!</v>
      </c>
      <c r="AY123" t="e">
        <f>AND('Planilla_General_03-12-2012_9_3'!B1956,"AAAAAH9VwTI=")</f>
        <v>#VALUE!</v>
      </c>
      <c r="AZ123" t="e">
        <f>AND('Planilla_General_03-12-2012_9_3'!C1956,"AAAAAH9VwTM=")</f>
        <v>#VALUE!</v>
      </c>
      <c r="BA123" t="e">
        <f>AND('Planilla_General_03-12-2012_9_3'!D1956,"AAAAAH9VwTQ=")</f>
        <v>#VALUE!</v>
      </c>
      <c r="BB123" t="e">
        <f>AND('Planilla_General_03-12-2012_9_3'!E1956,"AAAAAH9VwTU=")</f>
        <v>#VALUE!</v>
      </c>
      <c r="BC123" t="e">
        <f>AND('Planilla_General_03-12-2012_9_3'!F1956,"AAAAAH9VwTY=")</f>
        <v>#VALUE!</v>
      </c>
      <c r="BD123" t="e">
        <f>AND('Planilla_General_03-12-2012_9_3'!G1956,"AAAAAH9VwTc=")</f>
        <v>#VALUE!</v>
      </c>
      <c r="BE123" t="e">
        <f>AND('Planilla_General_03-12-2012_9_3'!H1956,"AAAAAH9VwTg=")</f>
        <v>#VALUE!</v>
      </c>
      <c r="BF123" t="e">
        <f>AND('Planilla_General_03-12-2012_9_3'!I1956,"AAAAAH9VwTk=")</f>
        <v>#VALUE!</v>
      </c>
      <c r="BG123" t="e">
        <f>AND('Planilla_General_03-12-2012_9_3'!J1956,"AAAAAH9VwTo=")</f>
        <v>#VALUE!</v>
      </c>
      <c r="BH123" t="e">
        <f>AND('Planilla_General_03-12-2012_9_3'!K1956,"AAAAAH9VwTs=")</f>
        <v>#VALUE!</v>
      </c>
      <c r="BI123" t="e">
        <f>AND('Planilla_General_03-12-2012_9_3'!L1956,"AAAAAH9VwTw=")</f>
        <v>#VALUE!</v>
      </c>
      <c r="BJ123" t="e">
        <f>AND('Planilla_General_03-12-2012_9_3'!M1956,"AAAAAH9VwT0=")</f>
        <v>#VALUE!</v>
      </c>
      <c r="BK123" t="e">
        <f>AND('Planilla_General_03-12-2012_9_3'!N1956,"AAAAAH9VwT4=")</f>
        <v>#VALUE!</v>
      </c>
      <c r="BL123" t="e">
        <f>AND('Planilla_General_03-12-2012_9_3'!O1956,"AAAAAH9VwT8=")</f>
        <v>#VALUE!</v>
      </c>
      <c r="BM123">
        <f>IF('Planilla_General_03-12-2012_9_3'!1957:1957,"AAAAAH9VwUA=",0)</f>
        <v>0</v>
      </c>
      <c r="BN123" t="e">
        <f>AND('Planilla_General_03-12-2012_9_3'!A1957,"AAAAAH9VwUE=")</f>
        <v>#VALUE!</v>
      </c>
      <c r="BO123" t="e">
        <f>AND('Planilla_General_03-12-2012_9_3'!B1957,"AAAAAH9VwUI=")</f>
        <v>#VALUE!</v>
      </c>
      <c r="BP123" t="e">
        <f>AND('Planilla_General_03-12-2012_9_3'!C1957,"AAAAAH9VwUM=")</f>
        <v>#VALUE!</v>
      </c>
      <c r="BQ123" t="e">
        <f>AND('Planilla_General_03-12-2012_9_3'!D1957,"AAAAAH9VwUQ=")</f>
        <v>#VALUE!</v>
      </c>
      <c r="BR123" t="e">
        <f>AND('Planilla_General_03-12-2012_9_3'!E1957,"AAAAAH9VwUU=")</f>
        <v>#VALUE!</v>
      </c>
      <c r="BS123" t="e">
        <f>AND('Planilla_General_03-12-2012_9_3'!F1957,"AAAAAH9VwUY=")</f>
        <v>#VALUE!</v>
      </c>
      <c r="BT123" t="e">
        <f>AND('Planilla_General_03-12-2012_9_3'!G1957,"AAAAAH9VwUc=")</f>
        <v>#VALUE!</v>
      </c>
      <c r="BU123" t="e">
        <f>AND('Planilla_General_03-12-2012_9_3'!H1957,"AAAAAH9VwUg=")</f>
        <v>#VALUE!</v>
      </c>
      <c r="BV123" t="e">
        <f>AND('Planilla_General_03-12-2012_9_3'!I1957,"AAAAAH9VwUk=")</f>
        <v>#VALUE!</v>
      </c>
      <c r="BW123" t="e">
        <f>AND('Planilla_General_03-12-2012_9_3'!J1957,"AAAAAH9VwUo=")</f>
        <v>#VALUE!</v>
      </c>
      <c r="BX123" t="e">
        <f>AND('Planilla_General_03-12-2012_9_3'!K1957,"AAAAAH9VwUs=")</f>
        <v>#VALUE!</v>
      </c>
      <c r="BY123" t="e">
        <f>AND('Planilla_General_03-12-2012_9_3'!L1957,"AAAAAH9VwUw=")</f>
        <v>#VALUE!</v>
      </c>
      <c r="BZ123" t="e">
        <f>AND('Planilla_General_03-12-2012_9_3'!M1957,"AAAAAH9VwU0=")</f>
        <v>#VALUE!</v>
      </c>
      <c r="CA123" t="e">
        <f>AND('Planilla_General_03-12-2012_9_3'!N1957,"AAAAAH9VwU4=")</f>
        <v>#VALUE!</v>
      </c>
      <c r="CB123" t="e">
        <f>AND('Planilla_General_03-12-2012_9_3'!O1957,"AAAAAH9VwU8=")</f>
        <v>#VALUE!</v>
      </c>
      <c r="CC123">
        <f>IF('Planilla_General_03-12-2012_9_3'!1958:1958,"AAAAAH9VwVA=",0)</f>
        <v>0</v>
      </c>
      <c r="CD123" t="e">
        <f>AND('Planilla_General_03-12-2012_9_3'!A1958,"AAAAAH9VwVE=")</f>
        <v>#VALUE!</v>
      </c>
      <c r="CE123" t="e">
        <f>AND('Planilla_General_03-12-2012_9_3'!B1958,"AAAAAH9VwVI=")</f>
        <v>#VALUE!</v>
      </c>
      <c r="CF123" t="e">
        <f>AND('Planilla_General_03-12-2012_9_3'!C1958,"AAAAAH9VwVM=")</f>
        <v>#VALUE!</v>
      </c>
      <c r="CG123" t="e">
        <f>AND('Planilla_General_03-12-2012_9_3'!D1958,"AAAAAH9VwVQ=")</f>
        <v>#VALUE!</v>
      </c>
      <c r="CH123" t="e">
        <f>AND('Planilla_General_03-12-2012_9_3'!E1958,"AAAAAH9VwVU=")</f>
        <v>#VALUE!</v>
      </c>
      <c r="CI123" t="e">
        <f>AND('Planilla_General_03-12-2012_9_3'!F1958,"AAAAAH9VwVY=")</f>
        <v>#VALUE!</v>
      </c>
      <c r="CJ123" t="e">
        <f>AND('Planilla_General_03-12-2012_9_3'!G1958,"AAAAAH9VwVc=")</f>
        <v>#VALUE!</v>
      </c>
      <c r="CK123" t="e">
        <f>AND('Planilla_General_03-12-2012_9_3'!H1958,"AAAAAH9VwVg=")</f>
        <v>#VALUE!</v>
      </c>
      <c r="CL123" t="e">
        <f>AND('Planilla_General_03-12-2012_9_3'!I1958,"AAAAAH9VwVk=")</f>
        <v>#VALUE!</v>
      </c>
      <c r="CM123" t="e">
        <f>AND('Planilla_General_03-12-2012_9_3'!J1958,"AAAAAH9VwVo=")</f>
        <v>#VALUE!</v>
      </c>
      <c r="CN123" t="e">
        <f>AND('Planilla_General_03-12-2012_9_3'!K1958,"AAAAAH9VwVs=")</f>
        <v>#VALUE!</v>
      </c>
      <c r="CO123" t="e">
        <f>AND('Planilla_General_03-12-2012_9_3'!L1958,"AAAAAH9VwVw=")</f>
        <v>#VALUE!</v>
      </c>
      <c r="CP123" t="e">
        <f>AND('Planilla_General_03-12-2012_9_3'!M1958,"AAAAAH9VwV0=")</f>
        <v>#VALUE!</v>
      </c>
      <c r="CQ123" t="e">
        <f>AND('Planilla_General_03-12-2012_9_3'!N1958,"AAAAAH9VwV4=")</f>
        <v>#VALUE!</v>
      </c>
      <c r="CR123" t="e">
        <f>AND('Planilla_General_03-12-2012_9_3'!O1958,"AAAAAH9VwV8=")</f>
        <v>#VALUE!</v>
      </c>
      <c r="CS123">
        <f>IF('Planilla_General_03-12-2012_9_3'!1959:1959,"AAAAAH9VwWA=",0)</f>
        <v>0</v>
      </c>
      <c r="CT123" t="e">
        <f>AND('Planilla_General_03-12-2012_9_3'!A1959,"AAAAAH9VwWE=")</f>
        <v>#VALUE!</v>
      </c>
      <c r="CU123" t="e">
        <f>AND('Planilla_General_03-12-2012_9_3'!B1959,"AAAAAH9VwWI=")</f>
        <v>#VALUE!</v>
      </c>
      <c r="CV123" t="e">
        <f>AND('Planilla_General_03-12-2012_9_3'!C1959,"AAAAAH9VwWM=")</f>
        <v>#VALUE!</v>
      </c>
      <c r="CW123" t="e">
        <f>AND('Planilla_General_03-12-2012_9_3'!D1959,"AAAAAH9VwWQ=")</f>
        <v>#VALUE!</v>
      </c>
      <c r="CX123" t="e">
        <f>AND('Planilla_General_03-12-2012_9_3'!E1959,"AAAAAH9VwWU=")</f>
        <v>#VALUE!</v>
      </c>
      <c r="CY123" t="e">
        <f>AND('Planilla_General_03-12-2012_9_3'!F1959,"AAAAAH9VwWY=")</f>
        <v>#VALUE!</v>
      </c>
      <c r="CZ123" t="e">
        <f>AND('Planilla_General_03-12-2012_9_3'!G1959,"AAAAAH9VwWc=")</f>
        <v>#VALUE!</v>
      </c>
      <c r="DA123" t="e">
        <f>AND('Planilla_General_03-12-2012_9_3'!H1959,"AAAAAH9VwWg=")</f>
        <v>#VALUE!</v>
      </c>
      <c r="DB123" t="e">
        <f>AND('Planilla_General_03-12-2012_9_3'!I1959,"AAAAAH9VwWk=")</f>
        <v>#VALUE!</v>
      </c>
      <c r="DC123" t="e">
        <f>AND('Planilla_General_03-12-2012_9_3'!J1959,"AAAAAH9VwWo=")</f>
        <v>#VALUE!</v>
      </c>
      <c r="DD123" t="e">
        <f>AND('Planilla_General_03-12-2012_9_3'!K1959,"AAAAAH9VwWs=")</f>
        <v>#VALUE!</v>
      </c>
      <c r="DE123" t="e">
        <f>AND('Planilla_General_03-12-2012_9_3'!L1959,"AAAAAH9VwWw=")</f>
        <v>#VALUE!</v>
      </c>
      <c r="DF123" t="e">
        <f>AND('Planilla_General_03-12-2012_9_3'!M1959,"AAAAAH9VwW0=")</f>
        <v>#VALUE!</v>
      </c>
      <c r="DG123" t="e">
        <f>AND('Planilla_General_03-12-2012_9_3'!N1959,"AAAAAH9VwW4=")</f>
        <v>#VALUE!</v>
      </c>
      <c r="DH123" t="e">
        <f>AND('Planilla_General_03-12-2012_9_3'!O1959,"AAAAAH9VwW8=")</f>
        <v>#VALUE!</v>
      </c>
      <c r="DI123">
        <f>IF('Planilla_General_03-12-2012_9_3'!1960:1960,"AAAAAH9VwXA=",0)</f>
        <v>0</v>
      </c>
      <c r="DJ123" t="e">
        <f>AND('Planilla_General_03-12-2012_9_3'!A1960,"AAAAAH9VwXE=")</f>
        <v>#VALUE!</v>
      </c>
      <c r="DK123" t="e">
        <f>AND('Planilla_General_03-12-2012_9_3'!B1960,"AAAAAH9VwXI=")</f>
        <v>#VALUE!</v>
      </c>
      <c r="DL123" t="e">
        <f>AND('Planilla_General_03-12-2012_9_3'!C1960,"AAAAAH9VwXM=")</f>
        <v>#VALUE!</v>
      </c>
      <c r="DM123" t="e">
        <f>AND('Planilla_General_03-12-2012_9_3'!D1960,"AAAAAH9VwXQ=")</f>
        <v>#VALUE!</v>
      </c>
      <c r="DN123" t="e">
        <f>AND('Planilla_General_03-12-2012_9_3'!E1960,"AAAAAH9VwXU=")</f>
        <v>#VALUE!</v>
      </c>
      <c r="DO123" t="e">
        <f>AND('Planilla_General_03-12-2012_9_3'!F1960,"AAAAAH9VwXY=")</f>
        <v>#VALUE!</v>
      </c>
      <c r="DP123" t="e">
        <f>AND('Planilla_General_03-12-2012_9_3'!G1960,"AAAAAH9VwXc=")</f>
        <v>#VALUE!</v>
      </c>
      <c r="DQ123" t="e">
        <f>AND('Planilla_General_03-12-2012_9_3'!H1960,"AAAAAH9VwXg=")</f>
        <v>#VALUE!</v>
      </c>
      <c r="DR123" t="e">
        <f>AND('Planilla_General_03-12-2012_9_3'!I1960,"AAAAAH9VwXk=")</f>
        <v>#VALUE!</v>
      </c>
      <c r="DS123" t="e">
        <f>AND('Planilla_General_03-12-2012_9_3'!J1960,"AAAAAH9VwXo=")</f>
        <v>#VALUE!</v>
      </c>
      <c r="DT123" t="e">
        <f>AND('Planilla_General_03-12-2012_9_3'!K1960,"AAAAAH9VwXs=")</f>
        <v>#VALUE!</v>
      </c>
      <c r="DU123" t="e">
        <f>AND('Planilla_General_03-12-2012_9_3'!L1960,"AAAAAH9VwXw=")</f>
        <v>#VALUE!</v>
      </c>
      <c r="DV123" t="e">
        <f>AND('Planilla_General_03-12-2012_9_3'!M1960,"AAAAAH9VwX0=")</f>
        <v>#VALUE!</v>
      </c>
      <c r="DW123" t="e">
        <f>AND('Planilla_General_03-12-2012_9_3'!N1960,"AAAAAH9VwX4=")</f>
        <v>#VALUE!</v>
      </c>
      <c r="DX123" t="e">
        <f>AND('Planilla_General_03-12-2012_9_3'!O1960,"AAAAAH9VwX8=")</f>
        <v>#VALUE!</v>
      </c>
      <c r="DY123">
        <f>IF('Planilla_General_03-12-2012_9_3'!1961:1961,"AAAAAH9VwYA=",0)</f>
        <v>0</v>
      </c>
      <c r="DZ123" t="e">
        <f>AND('Planilla_General_03-12-2012_9_3'!A1961,"AAAAAH9VwYE=")</f>
        <v>#VALUE!</v>
      </c>
      <c r="EA123" t="e">
        <f>AND('Planilla_General_03-12-2012_9_3'!B1961,"AAAAAH9VwYI=")</f>
        <v>#VALUE!</v>
      </c>
      <c r="EB123" t="e">
        <f>AND('Planilla_General_03-12-2012_9_3'!C1961,"AAAAAH9VwYM=")</f>
        <v>#VALUE!</v>
      </c>
      <c r="EC123" t="e">
        <f>AND('Planilla_General_03-12-2012_9_3'!D1961,"AAAAAH9VwYQ=")</f>
        <v>#VALUE!</v>
      </c>
      <c r="ED123" t="e">
        <f>AND('Planilla_General_03-12-2012_9_3'!E1961,"AAAAAH9VwYU=")</f>
        <v>#VALUE!</v>
      </c>
      <c r="EE123" t="e">
        <f>AND('Planilla_General_03-12-2012_9_3'!F1961,"AAAAAH9VwYY=")</f>
        <v>#VALUE!</v>
      </c>
      <c r="EF123" t="e">
        <f>AND('Planilla_General_03-12-2012_9_3'!G1961,"AAAAAH9VwYc=")</f>
        <v>#VALUE!</v>
      </c>
      <c r="EG123" t="e">
        <f>AND('Planilla_General_03-12-2012_9_3'!H1961,"AAAAAH9VwYg=")</f>
        <v>#VALUE!</v>
      </c>
      <c r="EH123" t="e">
        <f>AND('Planilla_General_03-12-2012_9_3'!I1961,"AAAAAH9VwYk=")</f>
        <v>#VALUE!</v>
      </c>
      <c r="EI123" t="e">
        <f>AND('Planilla_General_03-12-2012_9_3'!J1961,"AAAAAH9VwYo=")</f>
        <v>#VALUE!</v>
      </c>
      <c r="EJ123" t="e">
        <f>AND('Planilla_General_03-12-2012_9_3'!K1961,"AAAAAH9VwYs=")</f>
        <v>#VALUE!</v>
      </c>
      <c r="EK123" t="e">
        <f>AND('Planilla_General_03-12-2012_9_3'!L1961,"AAAAAH9VwYw=")</f>
        <v>#VALUE!</v>
      </c>
      <c r="EL123" t="e">
        <f>AND('Planilla_General_03-12-2012_9_3'!M1961,"AAAAAH9VwY0=")</f>
        <v>#VALUE!</v>
      </c>
      <c r="EM123" t="e">
        <f>AND('Planilla_General_03-12-2012_9_3'!N1961,"AAAAAH9VwY4=")</f>
        <v>#VALUE!</v>
      </c>
      <c r="EN123" t="e">
        <f>AND('Planilla_General_03-12-2012_9_3'!O1961,"AAAAAH9VwY8=")</f>
        <v>#VALUE!</v>
      </c>
      <c r="EO123">
        <f>IF('Planilla_General_03-12-2012_9_3'!1962:1962,"AAAAAH9VwZA=",0)</f>
        <v>0</v>
      </c>
      <c r="EP123" t="e">
        <f>AND('Planilla_General_03-12-2012_9_3'!A1962,"AAAAAH9VwZE=")</f>
        <v>#VALUE!</v>
      </c>
      <c r="EQ123" t="e">
        <f>AND('Planilla_General_03-12-2012_9_3'!B1962,"AAAAAH9VwZI=")</f>
        <v>#VALUE!</v>
      </c>
      <c r="ER123" t="e">
        <f>AND('Planilla_General_03-12-2012_9_3'!C1962,"AAAAAH9VwZM=")</f>
        <v>#VALUE!</v>
      </c>
      <c r="ES123" t="e">
        <f>AND('Planilla_General_03-12-2012_9_3'!D1962,"AAAAAH9VwZQ=")</f>
        <v>#VALUE!</v>
      </c>
      <c r="ET123" t="e">
        <f>AND('Planilla_General_03-12-2012_9_3'!E1962,"AAAAAH9VwZU=")</f>
        <v>#VALUE!</v>
      </c>
      <c r="EU123" t="e">
        <f>AND('Planilla_General_03-12-2012_9_3'!F1962,"AAAAAH9VwZY=")</f>
        <v>#VALUE!</v>
      </c>
      <c r="EV123" t="e">
        <f>AND('Planilla_General_03-12-2012_9_3'!G1962,"AAAAAH9VwZc=")</f>
        <v>#VALUE!</v>
      </c>
      <c r="EW123" t="e">
        <f>AND('Planilla_General_03-12-2012_9_3'!H1962,"AAAAAH9VwZg=")</f>
        <v>#VALUE!</v>
      </c>
      <c r="EX123" t="e">
        <f>AND('Planilla_General_03-12-2012_9_3'!I1962,"AAAAAH9VwZk=")</f>
        <v>#VALUE!</v>
      </c>
      <c r="EY123" t="e">
        <f>AND('Planilla_General_03-12-2012_9_3'!J1962,"AAAAAH9VwZo=")</f>
        <v>#VALUE!</v>
      </c>
      <c r="EZ123" t="e">
        <f>AND('Planilla_General_03-12-2012_9_3'!K1962,"AAAAAH9VwZs=")</f>
        <v>#VALUE!</v>
      </c>
      <c r="FA123" t="e">
        <f>AND('Planilla_General_03-12-2012_9_3'!L1962,"AAAAAH9VwZw=")</f>
        <v>#VALUE!</v>
      </c>
      <c r="FB123" t="e">
        <f>AND('Planilla_General_03-12-2012_9_3'!M1962,"AAAAAH9VwZ0=")</f>
        <v>#VALUE!</v>
      </c>
      <c r="FC123" t="e">
        <f>AND('Planilla_General_03-12-2012_9_3'!N1962,"AAAAAH9VwZ4=")</f>
        <v>#VALUE!</v>
      </c>
      <c r="FD123" t="e">
        <f>AND('Planilla_General_03-12-2012_9_3'!O1962,"AAAAAH9VwZ8=")</f>
        <v>#VALUE!</v>
      </c>
      <c r="FE123">
        <f>IF('Planilla_General_03-12-2012_9_3'!1963:1963,"AAAAAH9VwaA=",0)</f>
        <v>0</v>
      </c>
      <c r="FF123" t="e">
        <f>AND('Planilla_General_03-12-2012_9_3'!A1963,"AAAAAH9VwaE=")</f>
        <v>#VALUE!</v>
      </c>
      <c r="FG123" t="e">
        <f>AND('Planilla_General_03-12-2012_9_3'!B1963,"AAAAAH9VwaI=")</f>
        <v>#VALUE!</v>
      </c>
      <c r="FH123" t="e">
        <f>AND('Planilla_General_03-12-2012_9_3'!C1963,"AAAAAH9VwaM=")</f>
        <v>#VALUE!</v>
      </c>
      <c r="FI123" t="e">
        <f>AND('Planilla_General_03-12-2012_9_3'!D1963,"AAAAAH9VwaQ=")</f>
        <v>#VALUE!</v>
      </c>
      <c r="FJ123" t="e">
        <f>AND('Planilla_General_03-12-2012_9_3'!E1963,"AAAAAH9VwaU=")</f>
        <v>#VALUE!</v>
      </c>
      <c r="FK123" t="e">
        <f>AND('Planilla_General_03-12-2012_9_3'!F1963,"AAAAAH9VwaY=")</f>
        <v>#VALUE!</v>
      </c>
      <c r="FL123" t="e">
        <f>AND('Planilla_General_03-12-2012_9_3'!G1963,"AAAAAH9Vwac=")</f>
        <v>#VALUE!</v>
      </c>
      <c r="FM123" t="e">
        <f>AND('Planilla_General_03-12-2012_9_3'!H1963,"AAAAAH9Vwag=")</f>
        <v>#VALUE!</v>
      </c>
      <c r="FN123" t="e">
        <f>AND('Planilla_General_03-12-2012_9_3'!I1963,"AAAAAH9Vwak=")</f>
        <v>#VALUE!</v>
      </c>
      <c r="FO123" t="e">
        <f>AND('Planilla_General_03-12-2012_9_3'!J1963,"AAAAAH9Vwao=")</f>
        <v>#VALUE!</v>
      </c>
      <c r="FP123" t="e">
        <f>AND('Planilla_General_03-12-2012_9_3'!K1963,"AAAAAH9Vwas=")</f>
        <v>#VALUE!</v>
      </c>
      <c r="FQ123" t="e">
        <f>AND('Planilla_General_03-12-2012_9_3'!L1963,"AAAAAH9Vwaw=")</f>
        <v>#VALUE!</v>
      </c>
      <c r="FR123" t="e">
        <f>AND('Planilla_General_03-12-2012_9_3'!M1963,"AAAAAH9Vwa0=")</f>
        <v>#VALUE!</v>
      </c>
      <c r="FS123" t="e">
        <f>AND('Planilla_General_03-12-2012_9_3'!N1963,"AAAAAH9Vwa4=")</f>
        <v>#VALUE!</v>
      </c>
      <c r="FT123" t="e">
        <f>AND('Planilla_General_03-12-2012_9_3'!O1963,"AAAAAH9Vwa8=")</f>
        <v>#VALUE!</v>
      </c>
      <c r="FU123">
        <f>IF('Planilla_General_03-12-2012_9_3'!1964:1964,"AAAAAH9VwbA=",0)</f>
        <v>0</v>
      </c>
      <c r="FV123" t="e">
        <f>AND('Planilla_General_03-12-2012_9_3'!A1964,"AAAAAH9VwbE=")</f>
        <v>#VALUE!</v>
      </c>
      <c r="FW123" t="e">
        <f>AND('Planilla_General_03-12-2012_9_3'!B1964,"AAAAAH9VwbI=")</f>
        <v>#VALUE!</v>
      </c>
      <c r="FX123" t="e">
        <f>AND('Planilla_General_03-12-2012_9_3'!C1964,"AAAAAH9VwbM=")</f>
        <v>#VALUE!</v>
      </c>
      <c r="FY123" t="e">
        <f>AND('Planilla_General_03-12-2012_9_3'!D1964,"AAAAAH9VwbQ=")</f>
        <v>#VALUE!</v>
      </c>
      <c r="FZ123" t="e">
        <f>AND('Planilla_General_03-12-2012_9_3'!E1964,"AAAAAH9VwbU=")</f>
        <v>#VALUE!</v>
      </c>
      <c r="GA123" t="e">
        <f>AND('Planilla_General_03-12-2012_9_3'!F1964,"AAAAAH9VwbY=")</f>
        <v>#VALUE!</v>
      </c>
      <c r="GB123" t="e">
        <f>AND('Planilla_General_03-12-2012_9_3'!G1964,"AAAAAH9Vwbc=")</f>
        <v>#VALUE!</v>
      </c>
      <c r="GC123" t="e">
        <f>AND('Planilla_General_03-12-2012_9_3'!H1964,"AAAAAH9Vwbg=")</f>
        <v>#VALUE!</v>
      </c>
      <c r="GD123" t="e">
        <f>AND('Planilla_General_03-12-2012_9_3'!I1964,"AAAAAH9Vwbk=")</f>
        <v>#VALUE!</v>
      </c>
      <c r="GE123" t="e">
        <f>AND('Planilla_General_03-12-2012_9_3'!J1964,"AAAAAH9Vwbo=")</f>
        <v>#VALUE!</v>
      </c>
      <c r="GF123" t="e">
        <f>AND('Planilla_General_03-12-2012_9_3'!K1964,"AAAAAH9Vwbs=")</f>
        <v>#VALUE!</v>
      </c>
      <c r="GG123" t="e">
        <f>AND('Planilla_General_03-12-2012_9_3'!L1964,"AAAAAH9Vwbw=")</f>
        <v>#VALUE!</v>
      </c>
      <c r="GH123" t="e">
        <f>AND('Planilla_General_03-12-2012_9_3'!M1964,"AAAAAH9Vwb0=")</f>
        <v>#VALUE!</v>
      </c>
      <c r="GI123" t="e">
        <f>AND('Planilla_General_03-12-2012_9_3'!N1964,"AAAAAH9Vwb4=")</f>
        <v>#VALUE!</v>
      </c>
      <c r="GJ123" t="e">
        <f>AND('Planilla_General_03-12-2012_9_3'!O1964,"AAAAAH9Vwb8=")</f>
        <v>#VALUE!</v>
      </c>
      <c r="GK123">
        <f>IF('Planilla_General_03-12-2012_9_3'!1965:1965,"AAAAAH9VwcA=",0)</f>
        <v>0</v>
      </c>
      <c r="GL123" t="e">
        <f>AND('Planilla_General_03-12-2012_9_3'!A1965,"AAAAAH9VwcE=")</f>
        <v>#VALUE!</v>
      </c>
      <c r="GM123" t="e">
        <f>AND('Planilla_General_03-12-2012_9_3'!B1965,"AAAAAH9VwcI=")</f>
        <v>#VALUE!</v>
      </c>
      <c r="GN123" t="e">
        <f>AND('Planilla_General_03-12-2012_9_3'!C1965,"AAAAAH9VwcM=")</f>
        <v>#VALUE!</v>
      </c>
      <c r="GO123" t="e">
        <f>AND('Planilla_General_03-12-2012_9_3'!D1965,"AAAAAH9VwcQ=")</f>
        <v>#VALUE!</v>
      </c>
      <c r="GP123" t="e">
        <f>AND('Planilla_General_03-12-2012_9_3'!E1965,"AAAAAH9VwcU=")</f>
        <v>#VALUE!</v>
      </c>
      <c r="GQ123" t="e">
        <f>AND('Planilla_General_03-12-2012_9_3'!F1965,"AAAAAH9VwcY=")</f>
        <v>#VALUE!</v>
      </c>
      <c r="GR123" t="e">
        <f>AND('Planilla_General_03-12-2012_9_3'!G1965,"AAAAAH9Vwcc=")</f>
        <v>#VALUE!</v>
      </c>
      <c r="GS123" t="e">
        <f>AND('Planilla_General_03-12-2012_9_3'!H1965,"AAAAAH9Vwcg=")</f>
        <v>#VALUE!</v>
      </c>
      <c r="GT123" t="e">
        <f>AND('Planilla_General_03-12-2012_9_3'!I1965,"AAAAAH9Vwck=")</f>
        <v>#VALUE!</v>
      </c>
      <c r="GU123" t="e">
        <f>AND('Planilla_General_03-12-2012_9_3'!J1965,"AAAAAH9Vwco=")</f>
        <v>#VALUE!</v>
      </c>
      <c r="GV123" t="e">
        <f>AND('Planilla_General_03-12-2012_9_3'!K1965,"AAAAAH9Vwcs=")</f>
        <v>#VALUE!</v>
      </c>
      <c r="GW123" t="e">
        <f>AND('Planilla_General_03-12-2012_9_3'!L1965,"AAAAAH9Vwcw=")</f>
        <v>#VALUE!</v>
      </c>
      <c r="GX123" t="e">
        <f>AND('Planilla_General_03-12-2012_9_3'!M1965,"AAAAAH9Vwc0=")</f>
        <v>#VALUE!</v>
      </c>
      <c r="GY123" t="e">
        <f>AND('Planilla_General_03-12-2012_9_3'!N1965,"AAAAAH9Vwc4=")</f>
        <v>#VALUE!</v>
      </c>
      <c r="GZ123" t="e">
        <f>AND('Planilla_General_03-12-2012_9_3'!O1965,"AAAAAH9Vwc8=")</f>
        <v>#VALUE!</v>
      </c>
      <c r="HA123">
        <f>IF('Planilla_General_03-12-2012_9_3'!1966:1966,"AAAAAH9VwdA=",0)</f>
        <v>0</v>
      </c>
      <c r="HB123" t="e">
        <f>AND('Planilla_General_03-12-2012_9_3'!A1966,"AAAAAH9VwdE=")</f>
        <v>#VALUE!</v>
      </c>
      <c r="HC123" t="e">
        <f>AND('Planilla_General_03-12-2012_9_3'!B1966,"AAAAAH9VwdI=")</f>
        <v>#VALUE!</v>
      </c>
      <c r="HD123" t="e">
        <f>AND('Planilla_General_03-12-2012_9_3'!C1966,"AAAAAH9VwdM=")</f>
        <v>#VALUE!</v>
      </c>
      <c r="HE123" t="e">
        <f>AND('Planilla_General_03-12-2012_9_3'!D1966,"AAAAAH9VwdQ=")</f>
        <v>#VALUE!</v>
      </c>
      <c r="HF123" t="e">
        <f>AND('Planilla_General_03-12-2012_9_3'!E1966,"AAAAAH9VwdU=")</f>
        <v>#VALUE!</v>
      </c>
      <c r="HG123" t="e">
        <f>AND('Planilla_General_03-12-2012_9_3'!F1966,"AAAAAH9VwdY=")</f>
        <v>#VALUE!</v>
      </c>
      <c r="HH123" t="e">
        <f>AND('Planilla_General_03-12-2012_9_3'!G1966,"AAAAAH9Vwdc=")</f>
        <v>#VALUE!</v>
      </c>
      <c r="HI123" t="e">
        <f>AND('Planilla_General_03-12-2012_9_3'!H1966,"AAAAAH9Vwdg=")</f>
        <v>#VALUE!</v>
      </c>
      <c r="HJ123" t="e">
        <f>AND('Planilla_General_03-12-2012_9_3'!I1966,"AAAAAH9Vwdk=")</f>
        <v>#VALUE!</v>
      </c>
      <c r="HK123" t="e">
        <f>AND('Planilla_General_03-12-2012_9_3'!J1966,"AAAAAH9Vwdo=")</f>
        <v>#VALUE!</v>
      </c>
      <c r="HL123" t="e">
        <f>AND('Planilla_General_03-12-2012_9_3'!K1966,"AAAAAH9Vwds=")</f>
        <v>#VALUE!</v>
      </c>
      <c r="HM123" t="e">
        <f>AND('Planilla_General_03-12-2012_9_3'!L1966,"AAAAAH9Vwdw=")</f>
        <v>#VALUE!</v>
      </c>
      <c r="HN123" t="e">
        <f>AND('Planilla_General_03-12-2012_9_3'!M1966,"AAAAAH9Vwd0=")</f>
        <v>#VALUE!</v>
      </c>
      <c r="HO123" t="e">
        <f>AND('Planilla_General_03-12-2012_9_3'!N1966,"AAAAAH9Vwd4=")</f>
        <v>#VALUE!</v>
      </c>
      <c r="HP123" t="e">
        <f>AND('Planilla_General_03-12-2012_9_3'!O1966,"AAAAAH9Vwd8=")</f>
        <v>#VALUE!</v>
      </c>
      <c r="HQ123">
        <f>IF('Planilla_General_03-12-2012_9_3'!1967:1967,"AAAAAH9VweA=",0)</f>
        <v>0</v>
      </c>
      <c r="HR123" t="e">
        <f>AND('Planilla_General_03-12-2012_9_3'!A1967,"AAAAAH9VweE=")</f>
        <v>#VALUE!</v>
      </c>
      <c r="HS123" t="e">
        <f>AND('Planilla_General_03-12-2012_9_3'!B1967,"AAAAAH9VweI=")</f>
        <v>#VALUE!</v>
      </c>
      <c r="HT123" t="e">
        <f>AND('Planilla_General_03-12-2012_9_3'!C1967,"AAAAAH9VweM=")</f>
        <v>#VALUE!</v>
      </c>
      <c r="HU123" t="e">
        <f>AND('Planilla_General_03-12-2012_9_3'!D1967,"AAAAAH9VweQ=")</f>
        <v>#VALUE!</v>
      </c>
      <c r="HV123" t="e">
        <f>AND('Planilla_General_03-12-2012_9_3'!E1967,"AAAAAH9VweU=")</f>
        <v>#VALUE!</v>
      </c>
      <c r="HW123" t="e">
        <f>AND('Planilla_General_03-12-2012_9_3'!F1967,"AAAAAH9VweY=")</f>
        <v>#VALUE!</v>
      </c>
      <c r="HX123" t="e">
        <f>AND('Planilla_General_03-12-2012_9_3'!G1967,"AAAAAH9Vwec=")</f>
        <v>#VALUE!</v>
      </c>
      <c r="HY123" t="e">
        <f>AND('Planilla_General_03-12-2012_9_3'!H1967,"AAAAAH9Vweg=")</f>
        <v>#VALUE!</v>
      </c>
      <c r="HZ123" t="e">
        <f>AND('Planilla_General_03-12-2012_9_3'!I1967,"AAAAAH9Vwek=")</f>
        <v>#VALUE!</v>
      </c>
      <c r="IA123" t="e">
        <f>AND('Planilla_General_03-12-2012_9_3'!J1967,"AAAAAH9Vweo=")</f>
        <v>#VALUE!</v>
      </c>
      <c r="IB123" t="e">
        <f>AND('Planilla_General_03-12-2012_9_3'!K1967,"AAAAAH9Vwes=")</f>
        <v>#VALUE!</v>
      </c>
      <c r="IC123" t="e">
        <f>AND('Planilla_General_03-12-2012_9_3'!L1967,"AAAAAH9Vwew=")</f>
        <v>#VALUE!</v>
      </c>
      <c r="ID123" t="e">
        <f>AND('Planilla_General_03-12-2012_9_3'!M1967,"AAAAAH9Vwe0=")</f>
        <v>#VALUE!</v>
      </c>
      <c r="IE123" t="e">
        <f>AND('Planilla_General_03-12-2012_9_3'!N1967,"AAAAAH9Vwe4=")</f>
        <v>#VALUE!</v>
      </c>
      <c r="IF123" t="e">
        <f>AND('Planilla_General_03-12-2012_9_3'!O1967,"AAAAAH9Vwe8=")</f>
        <v>#VALUE!</v>
      </c>
      <c r="IG123">
        <f>IF('Planilla_General_03-12-2012_9_3'!1968:1968,"AAAAAH9VwfA=",0)</f>
        <v>0</v>
      </c>
      <c r="IH123" t="e">
        <f>AND('Planilla_General_03-12-2012_9_3'!A1968,"AAAAAH9VwfE=")</f>
        <v>#VALUE!</v>
      </c>
      <c r="II123" t="e">
        <f>AND('Planilla_General_03-12-2012_9_3'!B1968,"AAAAAH9VwfI=")</f>
        <v>#VALUE!</v>
      </c>
      <c r="IJ123" t="e">
        <f>AND('Planilla_General_03-12-2012_9_3'!C1968,"AAAAAH9VwfM=")</f>
        <v>#VALUE!</v>
      </c>
      <c r="IK123" t="e">
        <f>AND('Planilla_General_03-12-2012_9_3'!D1968,"AAAAAH9VwfQ=")</f>
        <v>#VALUE!</v>
      </c>
      <c r="IL123" t="e">
        <f>AND('Planilla_General_03-12-2012_9_3'!E1968,"AAAAAH9VwfU=")</f>
        <v>#VALUE!</v>
      </c>
      <c r="IM123" t="e">
        <f>AND('Planilla_General_03-12-2012_9_3'!F1968,"AAAAAH9VwfY=")</f>
        <v>#VALUE!</v>
      </c>
      <c r="IN123" t="e">
        <f>AND('Planilla_General_03-12-2012_9_3'!G1968,"AAAAAH9Vwfc=")</f>
        <v>#VALUE!</v>
      </c>
      <c r="IO123" t="e">
        <f>AND('Planilla_General_03-12-2012_9_3'!H1968,"AAAAAH9Vwfg=")</f>
        <v>#VALUE!</v>
      </c>
      <c r="IP123" t="e">
        <f>AND('Planilla_General_03-12-2012_9_3'!I1968,"AAAAAH9Vwfk=")</f>
        <v>#VALUE!</v>
      </c>
      <c r="IQ123" t="e">
        <f>AND('Planilla_General_03-12-2012_9_3'!J1968,"AAAAAH9Vwfo=")</f>
        <v>#VALUE!</v>
      </c>
      <c r="IR123" t="e">
        <f>AND('Planilla_General_03-12-2012_9_3'!K1968,"AAAAAH9Vwfs=")</f>
        <v>#VALUE!</v>
      </c>
      <c r="IS123" t="e">
        <f>AND('Planilla_General_03-12-2012_9_3'!L1968,"AAAAAH9Vwfw=")</f>
        <v>#VALUE!</v>
      </c>
      <c r="IT123" t="e">
        <f>AND('Planilla_General_03-12-2012_9_3'!M1968,"AAAAAH9Vwf0=")</f>
        <v>#VALUE!</v>
      </c>
      <c r="IU123" t="e">
        <f>AND('Planilla_General_03-12-2012_9_3'!N1968,"AAAAAH9Vwf4=")</f>
        <v>#VALUE!</v>
      </c>
      <c r="IV123" t="e">
        <f>AND('Planilla_General_03-12-2012_9_3'!O1968,"AAAAAH9Vwf8=")</f>
        <v>#VALUE!</v>
      </c>
    </row>
    <row r="124" spans="1:256" x14ac:dyDescent="0.25">
      <c r="A124" t="e">
        <f>IF('Planilla_General_03-12-2012_9_3'!1969:1969,"AAAAAHX/cgA=",0)</f>
        <v>#VALUE!</v>
      </c>
      <c r="B124" t="e">
        <f>AND('Planilla_General_03-12-2012_9_3'!A1969,"AAAAAHX/cgE=")</f>
        <v>#VALUE!</v>
      </c>
      <c r="C124" t="e">
        <f>AND('Planilla_General_03-12-2012_9_3'!B1969,"AAAAAHX/cgI=")</f>
        <v>#VALUE!</v>
      </c>
      <c r="D124" t="e">
        <f>AND('Planilla_General_03-12-2012_9_3'!C1969,"AAAAAHX/cgM=")</f>
        <v>#VALUE!</v>
      </c>
      <c r="E124" t="e">
        <f>AND('Planilla_General_03-12-2012_9_3'!D1969,"AAAAAHX/cgQ=")</f>
        <v>#VALUE!</v>
      </c>
      <c r="F124" t="e">
        <f>AND('Planilla_General_03-12-2012_9_3'!E1969,"AAAAAHX/cgU=")</f>
        <v>#VALUE!</v>
      </c>
      <c r="G124" t="e">
        <f>AND('Planilla_General_03-12-2012_9_3'!F1969,"AAAAAHX/cgY=")</f>
        <v>#VALUE!</v>
      </c>
      <c r="H124" t="e">
        <f>AND('Planilla_General_03-12-2012_9_3'!G1969,"AAAAAHX/cgc=")</f>
        <v>#VALUE!</v>
      </c>
      <c r="I124" t="e">
        <f>AND('Planilla_General_03-12-2012_9_3'!H1969,"AAAAAHX/cgg=")</f>
        <v>#VALUE!</v>
      </c>
      <c r="J124" t="e">
        <f>AND('Planilla_General_03-12-2012_9_3'!I1969,"AAAAAHX/cgk=")</f>
        <v>#VALUE!</v>
      </c>
      <c r="K124" t="e">
        <f>AND('Planilla_General_03-12-2012_9_3'!J1969,"AAAAAHX/cgo=")</f>
        <v>#VALUE!</v>
      </c>
      <c r="L124" t="e">
        <f>AND('Planilla_General_03-12-2012_9_3'!K1969,"AAAAAHX/cgs=")</f>
        <v>#VALUE!</v>
      </c>
      <c r="M124" t="e">
        <f>AND('Planilla_General_03-12-2012_9_3'!L1969,"AAAAAHX/cgw=")</f>
        <v>#VALUE!</v>
      </c>
      <c r="N124" t="e">
        <f>AND('Planilla_General_03-12-2012_9_3'!M1969,"AAAAAHX/cg0=")</f>
        <v>#VALUE!</v>
      </c>
      <c r="O124" t="e">
        <f>AND('Planilla_General_03-12-2012_9_3'!N1969,"AAAAAHX/cg4=")</f>
        <v>#VALUE!</v>
      </c>
      <c r="P124" t="e">
        <f>AND('Planilla_General_03-12-2012_9_3'!O1969,"AAAAAHX/cg8=")</f>
        <v>#VALUE!</v>
      </c>
      <c r="Q124">
        <f>IF('Planilla_General_03-12-2012_9_3'!1970:1970,"AAAAAHX/chA=",0)</f>
        <v>0</v>
      </c>
      <c r="R124" t="e">
        <f>AND('Planilla_General_03-12-2012_9_3'!A1970,"AAAAAHX/chE=")</f>
        <v>#VALUE!</v>
      </c>
      <c r="S124" t="e">
        <f>AND('Planilla_General_03-12-2012_9_3'!B1970,"AAAAAHX/chI=")</f>
        <v>#VALUE!</v>
      </c>
      <c r="T124" t="e">
        <f>AND('Planilla_General_03-12-2012_9_3'!C1970,"AAAAAHX/chM=")</f>
        <v>#VALUE!</v>
      </c>
      <c r="U124" t="e">
        <f>AND('Planilla_General_03-12-2012_9_3'!D1970,"AAAAAHX/chQ=")</f>
        <v>#VALUE!</v>
      </c>
      <c r="V124" t="e">
        <f>AND('Planilla_General_03-12-2012_9_3'!E1970,"AAAAAHX/chU=")</f>
        <v>#VALUE!</v>
      </c>
      <c r="W124" t="e">
        <f>AND('Planilla_General_03-12-2012_9_3'!F1970,"AAAAAHX/chY=")</f>
        <v>#VALUE!</v>
      </c>
      <c r="X124" t="e">
        <f>AND('Planilla_General_03-12-2012_9_3'!G1970,"AAAAAHX/chc=")</f>
        <v>#VALUE!</v>
      </c>
      <c r="Y124" t="e">
        <f>AND('Planilla_General_03-12-2012_9_3'!H1970,"AAAAAHX/chg=")</f>
        <v>#VALUE!</v>
      </c>
      <c r="Z124" t="e">
        <f>AND('Planilla_General_03-12-2012_9_3'!I1970,"AAAAAHX/chk=")</f>
        <v>#VALUE!</v>
      </c>
      <c r="AA124" t="e">
        <f>AND('Planilla_General_03-12-2012_9_3'!J1970,"AAAAAHX/cho=")</f>
        <v>#VALUE!</v>
      </c>
      <c r="AB124" t="e">
        <f>AND('Planilla_General_03-12-2012_9_3'!K1970,"AAAAAHX/chs=")</f>
        <v>#VALUE!</v>
      </c>
      <c r="AC124" t="e">
        <f>AND('Planilla_General_03-12-2012_9_3'!L1970,"AAAAAHX/chw=")</f>
        <v>#VALUE!</v>
      </c>
      <c r="AD124" t="e">
        <f>AND('Planilla_General_03-12-2012_9_3'!M1970,"AAAAAHX/ch0=")</f>
        <v>#VALUE!</v>
      </c>
      <c r="AE124" t="e">
        <f>AND('Planilla_General_03-12-2012_9_3'!N1970,"AAAAAHX/ch4=")</f>
        <v>#VALUE!</v>
      </c>
      <c r="AF124" t="e">
        <f>AND('Planilla_General_03-12-2012_9_3'!O1970,"AAAAAHX/ch8=")</f>
        <v>#VALUE!</v>
      </c>
      <c r="AG124">
        <f>IF('Planilla_General_03-12-2012_9_3'!1971:1971,"AAAAAHX/ciA=",0)</f>
        <v>0</v>
      </c>
      <c r="AH124" t="e">
        <f>AND('Planilla_General_03-12-2012_9_3'!A1971,"AAAAAHX/ciE=")</f>
        <v>#VALUE!</v>
      </c>
      <c r="AI124" t="e">
        <f>AND('Planilla_General_03-12-2012_9_3'!B1971,"AAAAAHX/ciI=")</f>
        <v>#VALUE!</v>
      </c>
      <c r="AJ124" t="e">
        <f>AND('Planilla_General_03-12-2012_9_3'!C1971,"AAAAAHX/ciM=")</f>
        <v>#VALUE!</v>
      </c>
      <c r="AK124" t="e">
        <f>AND('Planilla_General_03-12-2012_9_3'!D1971,"AAAAAHX/ciQ=")</f>
        <v>#VALUE!</v>
      </c>
      <c r="AL124" t="e">
        <f>AND('Planilla_General_03-12-2012_9_3'!E1971,"AAAAAHX/ciU=")</f>
        <v>#VALUE!</v>
      </c>
      <c r="AM124" t="e">
        <f>AND('Planilla_General_03-12-2012_9_3'!F1971,"AAAAAHX/ciY=")</f>
        <v>#VALUE!</v>
      </c>
      <c r="AN124" t="e">
        <f>AND('Planilla_General_03-12-2012_9_3'!G1971,"AAAAAHX/cic=")</f>
        <v>#VALUE!</v>
      </c>
      <c r="AO124" t="e">
        <f>AND('Planilla_General_03-12-2012_9_3'!H1971,"AAAAAHX/cig=")</f>
        <v>#VALUE!</v>
      </c>
      <c r="AP124" t="e">
        <f>AND('Planilla_General_03-12-2012_9_3'!I1971,"AAAAAHX/cik=")</f>
        <v>#VALUE!</v>
      </c>
      <c r="AQ124" t="e">
        <f>AND('Planilla_General_03-12-2012_9_3'!J1971,"AAAAAHX/cio=")</f>
        <v>#VALUE!</v>
      </c>
      <c r="AR124" t="e">
        <f>AND('Planilla_General_03-12-2012_9_3'!K1971,"AAAAAHX/cis=")</f>
        <v>#VALUE!</v>
      </c>
      <c r="AS124" t="e">
        <f>AND('Planilla_General_03-12-2012_9_3'!L1971,"AAAAAHX/ciw=")</f>
        <v>#VALUE!</v>
      </c>
      <c r="AT124" t="e">
        <f>AND('Planilla_General_03-12-2012_9_3'!M1971,"AAAAAHX/ci0=")</f>
        <v>#VALUE!</v>
      </c>
      <c r="AU124" t="e">
        <f>AND('Planilla_General_03-12-2012_9_3'!N1971,"AAAAAHX/ci4=")</f>
        <v>#VALUE!</v>
      </c>
      <c r="AV124" t="e">
        <f>AND('Planilla_General_03-12-2012_9_3'!O1971,"AAAAAHX/ci8=")</f>
        <v>#VALUE!</v>
      </c>
      <c r="AW124">
        <f>IF('Planilla_General_03-12-2012_9_3'!1972:1972,"AAAAAHX/cjA=",0)</f>
        <v>0</v>
      </c>
      <c r="AX124" t="e">
        <f>AND('Planilla_General_03-12-2012_9_3'!A1972,"AAAAAHX/cjE=")</f>
        <v>#VALUE!</v>
      </c>
      <c r="AY124" t="e">
        <f>AND('Planilla_General_03-12-2012_9_3'!B1972,"AAAAAHX/cjI=")</f>
        <v>#VALUE!</v>
      </c>
      <c r="AZ124" t="e">
        <f>AND('Planilla_General_03-12-2012_9_3'!C1972,"AAAAAHX/cjM=")</f>
        <v>#VALUE!</v>
      </c>
      <c r="BA124" t="e">
        <f>AND('Planilla_General_03-12-2012_9_3'!D1972,"AAAAAHX/cjQ=")</f>
        <v>#VALUE!</v>
      </c>
      <c r="BB124" t="e">
        <f>AND('Planilla_General_03-12-2012_9_3'!E1972,"AAAAAHX/cjU=")</f>
        <v>#VALUE!</v>
      </c>
      <c r="BC124" t="e">
        <f>AND('Planilla_General_03-12-2012_9_3'!F1972,"AAAAAHX/cjY=")</f>
        <v>#VALUE!</v>
      </c>
      <c r="BD124" t="e">
        <f>AND('Planilla_General_03-12-2012_9_3'!G1972,"AAAAAHX/cjc=")</f>
        <v>#VALUE!</v>
      </c>
      <c r="BE124" t="e">
        <f>AND('Planilla_General_03-12-2012_9_3'!H1972,"AAAAAHX/cjg=")</f>
        <v>#VALUE!</v>
      </c>
      <c r="BF124" t="e">
        <f>AND('Planilla_General_03-12-2012_9_3'!I1972,"AAAAAHX/cjk=")</f>
        <v>#VALUE!</v>
      </c>
      <c r="BG124" t="e">
        <f>AND('Planilla_General_03-12-2012_9_3'!J1972,"AAAAAHX/cjo=")</f>
        <v>#VALUE!</v>
      </c>
      <c r="BH124" t="e">
        <f>AND('Planilla_General_03-12-2012_9_3'!K1972,"AAAAAHX/cjs=")</f>
        <v>#VALUE!</v>
      </c>
      <c r="BI124" t="e">
        <f>AND('Planilla_General_03-12-2012_9_3'!L1972,"AAAAAHX/cjw=")</f>
        <v>#VALUE!</v>
      </c>
      <c r="BJ124" t="e">
        <f>AND('Planilla_General_03-12-2012_9_3'!M1972,"AAAAAHX/cj0=")</f>
        <v>#VALUE!</v>
      </c>
      <c r="BK124" t="e">
        <f>AND('Planilla_General_03-12-2012_9_3'!N1972,"AAAAAHX/cj4=")</f>
        <v>#VALUE!</v>
      </c>
      <c r="BL124" t="e">
        <f>AND('Planilla_General_03-12-2012_9_3'!O1972,"AAAAAHX/cj8=")</f>
        <v>#VALUE!</v>
      </c>
      <c r="BM124">
        <f>IF('Planilla_General_03-12-2012_9_3'!1973:1973,"AAAAAHX/ckA=",0)</f>
        <v>0</v>
      </c>
      <c r="BN124" t="e">
        <f>AND('Planilla_General_03-12-2012_9_3'!A1973,"AAAAAHX/ckE=")</f>
        <v>#VALUE!</v>
      </c>
      <c r="BO124" t="e">
        <f>AND('Planilla_General_03-12-2012_9_3'!B1973,"AAAAAHX/ckI=")</f>
        <v>#VALUE!</v>
      </c>
      <c r="BP124" t="e">
        <f>AND('Planilla_General_03-12-2012_9_3'!C1973,"AAAAAHX/ckM=")</f>
        <v>#VALUE!</v>
      </c>
      <c r="BQ124" t="e">
        <f>AND('Planilla_General_03-12-2012_9_3'!D1973,"AAAAAHX/ckQ=")</f>
        <v>#VALUE!</v>
      </c>
      <c r="BR124" t="e">
        <f>AND('Planilla_General_03-12-2012_9_3'!E1973,"AAAAAHX/ckU=")</f>
        <v>#VALUE!</v>
      </c>
      <c r="BS124" t="e">
        <f>AND('Planilla_General_03-12-2012_9_3'!F1973,"AAAAAHX/ckY=")</f>
        <v>#VALUE!</v>
      </c>
      <c r="BT124" t="e">
        <f>AND('Planilla_General_03-12-2012_9_3'!G1973,"AAAAAHX/ckc=")</f>
        <v>#VALUE!</v>
      </c>
      <c r="BU124" t="e">
        <f>AND('Planilla_General_03-12-2012_9_3'!H1973,"AAAAAHX/ckg=")</f>
        <v>#VALUE!</v>
      </c>
      <c r="BV124" t="e">
        <f>AND('Planilla_General_03-12-2012_9_3'!I1973,"AAAAAHX/ckk=")</f>
        <v>#VALUE!</v>
      </c>
      <c r="BW124" t="e">
        <f>AND('Planilla_General_03-12-2012_9_3'!J1973,"AAAAAHX/cko=")</f>
        <v>#VALUE!</v>
      </c>
      <c r="BX124" t="e">
        <f>AND('Planilla_General_03-12-2012_9_3'!K1973,"AAAAAHX/cks=")</f>
        <v>#VALUE!</v>
      </c>
      <c r="BY124" t="e">
        <f>AND('Planilla_General_03-12-2012_9_3'!L1973,"AAAAAHX/ckw=")</f>
        <v>#VALUE!</v>
      </c>
      <c r="BZ124" t="e">
        <f>AND('Planilla_General_03-12-2012_9_3'!M1973,"AAAAAHX/ck0=")</f>
        <v>#VALUE!</v>
      </c>
      <c r="CA124" t="e">
        <f>AND('Planilla_General_03-12-2012_9_3'!N1973,"AAAAAHX/ck4=")</f>
        <v>#VALUE!</v>
      </c>
      <c r="CB124" t="e">
        <f>AND('Planilla_General_03-12-2012_9_3'!O1973,"AAAAAHX/ck8=")</f>
        <v>#VALUE!</v>
      </c>
      <c r="CC124">
        <f>IF('Planilla_General_03-12-2012_9_3'!1974:1974,"AAAAAHX/clA=",0)</f>
        <v>0</v>
      </c>
      <c r="CD124" t="e">
        <f>AND('Planilla_General_03-12-2012_9_3'!A1974,"AAAAAHX/clE=")</f>
        <v>#VALUE!</v>
      </c>
      <c r="CE124" t="e">
        <f>AND('Planilla_General_03-12-2012_9_3'!B1974,"AAAAAHX/clI=")</f>
        <v>#VALUE!</v>
      </c>
      <c r="CF124" t="e">
        <f>AND('Planilla_General_03-12-2012_9_3'!C1974,"AAAAAHX/clM=")</f>
        <v>#VALUE!</v>
      </c>
      <c r="CG124" t="e">
        <f>AND('Planilla_General_03-12-2012_9_3'!D1974,"AAAAAHX/clQ=")</f>
        <v>#VALUE!</v>
      </c>
      <c r="CH124" t="e">
        <f>AND('Planilla_General_03-12-2012_9_3'!E1974,"AAAAAHX/clU=")</f>
        <v>#VALUE!</v>
      </c>
      <c r="CI124" t="e">
        <f>AND('Planilla_General_03-12-2012_9_3'!F1974,"AAAAAHX/clY=")</f>
        <v>#VALUE!</v>
      </c>
      <c r="CJ124" t="e">
        <f>AND('Planilla_General_03-12-2012_9_3'!G1974,"AAAAAHX/clc=")</f>
        <v>#VALUE!</v>
      </c>
      <c r="CK124" t="e">
        <f>AND('Planilla_General_03-12-2012_9_3'!H1974,"AAAAAHX/clg=")</f>
        <v>#VALUE!</v>
      </c>
      <c r="CL124" t="e">
        <f>AND('Planilla_General_03-12-2012_9_3'!I1974,"AAAAAHX/clk=")</f>
        <v>#VALUE!</v>
      </c>
      <c r="CM124" t="e">
        <f>AND('Planilla_General_03-12-2012_9_3'!J1974,"AAAAAHX/clo=")</f>
        <v>#VALUE!</v>
      </c>
      <c r="CN124" t="e">
        <f>AND('Planilla_General_03-12-2012_9_3'!K1974,"AAAAAHX/cls=")</f>
        <v>#VALUE!</v>
      </c>
      <c r="CO124" t="e">
        <f>AND('Planilla_General_03-12-2012_9_3'!L1974,"AAAAAHX/clw=")</f>
        <v>#VALUE!</v>
      </c>
      <c r="CP124" t="e">
        <f>AND('Planilla_General_03-12-2012_9_3'!M1974,"AAAAAHX/cl0=")</f>
        <v>#VALUE!</v>
      </c>
      <c r="CQ124" t="e">
        <f>AND('Planilla_General_03-12-2012_9_3'!N1974,"AAAAAHX/cl4=")</f>
        <v>#VALUE!</v>
      </c>
      <c r="CR124" t="e">
        <f>AND('Planilla_General_03-12-2012_9_3'!O1974,"AAAAAHX/cl8=")</f>
        <v>#VALUE!</v>
      </c>
      <c r="CS124">
        <f>IF('Planilla_General_03-12-2012_9_3'!1975:1975,"AAAAAHX/cmA=",0)</f>
        <v>0</v>
      </c>
      <c r="CT124" t="e">
        <f>AND('Planilla_General_03-12-2012_9_3'!A1975,"AAAAAHX/cmE=")</f>
        <v>#VALUE!</v>
      </c>
      <c r="CU124" t="e">
        <f>AND('Planilla_General_03-12-2012_9_3'!B1975,"AAAAAHX/cmI=")</f>
        <v>#VALUE!</v>
      </c>
      <c r="CV124" t="e">
        <f>AND('Planilla_General_03-12-2012_9_3'!C1975,"AAAAAHX/cmM=")</f>
        <v>#VALUE!</v>
      </c>
      <c r="CW124" t="e">
        <f>AND('Planilla_General_03-12-2012_9_3'!D1975,"AAAAAHX/cmQ=")</f>
        <v>#VALUE!</v>
      </c>
      <c r="CX124" t="e">
        <f>AND('Planilla_General_03-12-2012_9_3'!E1975,"AAAAAHX/cmU=")</f>
        <v>#VALUE!</v>
      </c>
      <c r="CY124" t="e">
        <f>AND('Planilla_General_03-12-2012_9_3'!F1975,"AAAAAHX/cmY=")</f>
        <v>#VALUE!</v>
      </c>
      <c r="CZ124" t="e">
        <f>AND('Planilla_General_03-12-2012_9_3'!G1975,"AAAAAHX/cmc=")</f>
        <v>#VALUE!</v>
      </c>
      <c r="DA124" t="e">
        <f>AND('Planilla_General_03-12-2012_9_3'!H1975,"AAAAAHX/cmg=")</f>
        <v>#VALUE!</v>
      </c>
      <c r="DB124" t="e">
        <f>AND('Planilla_General_03-12-2012_9_3'!I1975,"AAAAAHX/cmk=")</f>
        <v>#VALUE!</v>
      </c>
      <c r="DC124" t="e">
        <f>AND('Planilla_General_03-12-2012_9_3'!J1975,"AAAAAHX/cmo=")</f>
        <v>#VALUE!</v>
      </c>
      <c r="DD124" t="e">
        <f>AND('Planilla_General_03-12-2012_9_3'!K1975,"AAAAAHX/cms=")</f>
        <v>#VALUE!</v>
      </c>
      <c r="DE124" t="e">
        <f>AND('Planilla_General_03-12-2012_9_3'!L1975,"AAAAAHX/cmw=")</f>
        <v>#VALUE!</v>
      </c>
      <c r="DF124" t="e">
        <f>AND('Planilla_General_03-12-2012_9_3'!M1975,"AAAAAHX/cm0=")</f>
        <v>#VALUE!</v>
      </c>
      <c r="DG124" t="e">
        <f>AND('Planilla_General_03-12-2012_9_3'!N1975,"AAAAAHX/cm4=")</f>
        <v>#VALUE!</v>
      </c>
      <c r="DH124" t="e">
        <f>AND('Planilla_General_03-12-2012_9_3'!O1975,"AAAAAHX/cm8=")</f>
        <v>#VALUE!</v>
      </c>
      <c r="DI124">
        <f>IF('Planilla_General_03-12-2012_9_3'!1976:1976,"AAAAAHX/cnA=",0)</f>
        <v>0</v>
      </c>
      <c r="DJ124" t="e">
        <f>AND('Planilla_General_03-12-2012_9_3'!A1976,"AAAAAHX/cnE=")</f>
        <v>#VALUE!</v>
      </c>
      <c r="DK124" t="e">
        <f>AND('Planilla_General_03-12-2012_9_3'!B1976,"AAAAAHX/cnI=")</f>
        <v>#VALUE!</v>
      </c>
      <c r="DL124" t="e">
        <f>AND('Planilla_General_03-12-2012_9_3'!C1976,"AAAAAHX/cnM=")</f>
        <v>#VALUE!</v>
      </c>
      <c r="DM124" t="e">
        <f>AND('Planilla_General_03-12-2012_9_3'!D1976,"AAAAAHX/cnQ=")</f>
        <v>#VALUE!</v>
      </c>
      <c r="DN124" t="e">
        <f>AND('Planilla_General_03-12-2012_9_3'!E1976,"AAAAAHX/cnU=")</f>
        <v>#VALUE!</v>
      </c>
      <c r="DO124" t="e">
        <f>AND('Planilla_General_03-12-2012_9_3'!F1976,"AAAAAHX/cnY=")</f>
        <v>#VALUE!</v>
      </c>
      <c r="DP124" t="e">
        <f>AND('Planilla_General_03-12-2012_9_3'!G1976,"AAAAAHX/cnc=")</f>
        <v>#VALUE!</v>
      </c>
      <c r="DQ124" t="e">
        <f>AND('Planilla_General_03-12-2012_9_3'!H1976,"AAAAAHX/cng=")</f>
        <v>#VALUE!</v>
      </c>
      <c r="DR124" t="e">
        <f>AND('Planilla_General_03-12-2012_9_3'!I1976,"AAAAAHX/cnk=")</f>
        <v>#VALUE!</v>
      </c>
      <c r="DS124" t="e">
        <f>AND('Planilla_General_03-12-2012_9_3'!J1976,"AAAAAHX/cno=")</f>
        <v>#VALUE!</v>
      </c>
      <c r="DT124" t="e">
        <f>AND('Planilla_General_03-12-2012_9_3'!K1976,"AAAAAHX/cns=")</f>
        <v>#VALUE!</v>
      </c>
      <c r="DU124" t="e">
        <f>AND('Planilla_General_03-12-2012_9_3'!L1976,"AAAAAHX/cnw=")</f>
        <v>#VALUE!</v>
      </c>
      <c r="DV124" t="e">
        <f>AND('Planilla_General_03-12-2012_9_3'!M1976,"AAAAAHX/cn0=")</f>
        <v>#VALUE!</v>
      </c>
      <c r="DW124" t="e">
        <f>AND('Planilla_General_03-12-2012_9_3'!N1976,"AAAAAHX/cn4=")</f>
        <v>#VALUE!</v>
      </c>
      <c r="DX124" t="e">
        <f>AND('Planilla_General_03-12-2012_9_3'!O1976,"AAAAAHX/cn8=")</f>
        <v>#VALUE!</v>
      </c>
      <c r="DY124">
        <f>IF('Planilla_General_03-12-2012_9_3'!1977:1977,"AAAAAHX/coA=",0)</f>
        <v>0</v>
      </c>
      <c r="DZ124" t="e">
        <f>AND('Planilla_General_03-12-2012_9_3'!A1977,"AAAAAHX/coE=")</f>
        <v>#VALUE!</v>
      </c>
      <c r="EA124" t="e">
        <f>AND('Planilla_General_03-12-2012_9_3'!B1977,"AAAAAHX/coI=")</f>
        <v>#VALUE!</v>
      </c>
      <c r="EB124" t="e">
        <f>AND('Planilla_General_03-12-2012_9_3'!C1977,"AAAAAHX/coM=")</f>
        <v>#VALUE!</v>
      </c>
      <c r="EC124" t="e">
        <f>AND('Planilla_General_03-12-2012_9_3'!D1977,"AAAAAHX/coQ=")</f>
        <v>#VALUE!</v>
      </c>
      <c r="ED124" t="e">
        <f>AND('Planilla_General_03-12-2012_9_3'!E1977,"AAAAAHX/coU=")</f>
        <v>#VALUE!</v>
      </c>
      <c r="EE124" t="e">
        <f>AND('Planilla_General_03-12-2012_9_3'!F1977,"AAAAAHX/coY=")</f>
        <v>#VALUE!</v>
      </c>
      <c r="EF124" t="e">
        <f>AND('Planilla_General_03-12-2012_9_3'!G1977,"AAAAAHX/coc=")</f>
        <v>#VALUE!</v>
      </c>
      <c r="EG124" t="e">
        <f>AND('Planilla_General_03-12-2012_9_3'!H1977,"AAAAAHX/cog=")</f>
        <v>#VALUE!</v>
      </c>
      <c r="EH124" t="e">
        <f>AND('Planilla_General_03-12-2012_9_3'!I1977,"AAAAAHX/cok=")</f>
        <v>#VALUE!</v>
      </c>
      <c r="EI124" t="e">
        <f>AND('Planilla_General_03-12-2012_9_3'!J1977,"AAAAAHX/coo=")</f>
        <v>#VALUE!</v>
      </c>
      <c r="EJ124" t="e">
        <f>AND('Planilla_General_03-12-2012_9_3'!K1977,"AAAAAHX/cos=")</f>
        <v>#VALUE!</v>
      </c>
      <c r="EK124" t="e">
        <f>AND('Planilla_General_03-12-2012_9_3'!L1977,"AAAAAHX/cow=")</f>
        <v>#VALUE!</v>
      </c>
      <c r="EL124" t="e">
        <f>AND('Planilla_General_03-12-2012_9_3'!M1977,"AAAAAHX/co0=")</f>
        <v>#VALUE!</v>
      </c>
      <c r="EM124" t="e">
        <f>AND('Planilla_General_03-12-2012_9_3'!N1977,"AAAAAHX/co4=")</f>
        <v>#VALUE!</v>
      </c>
      <c r="EN124" t="e">
        <f>AND('Planilla_General_03-12-2012_9_3'!O1977,"AAAAAHX/co8=")</f>
        <v>#VALUE!</v>
      </c>
      <c r="EO124">
        <f>IF('Planilla_General_03-12-2012_9_3'!1978:1978,"AAAAAHX/cpA=",0)</f>
        <v>0</v>
      </c>
      <c r="EP124" t="e">
        <f>AND('Planilla_General_03-12-2012_9_3'!A1978,"AAAAAHX/cpE=")</f>
        <v>#VALUE!</v>
      </c>
      <c r="EQ124" t="e">
        <f>AND('Planilla_General_03-12-2012_9_3'!B1978,"AAAAAHX/cpI=")</f>
        <v>#VALUE!</v>
      </c>
      <c r="ER124" t="e">
        <f>AND('Planilla_General_03-12-2012_9_3'!C1978,"AAAAAHX/cpM=")</f>
        <v>#VALUE!</v>
      </c>
      <c r="ES124" t="e">
        <f>AND('Planilla_General_03-12-2012_9_3'!D1978,"AAAAAHX/cpQ=")</f>
        <v>#VALUE!</v>
      </c>
      <c r="ET124" t="e">
        <f>AND('Planilla_General_03-12-2012_9_3'!E1978,"AAAAAHX/cpU=")</f>
        <v>#VALUE!</v>
      </c>
      <c r="EU124" t="e">
        <f>AND('Planilla_General_03-12-2012_9_3'!F1978,"AAAAAHX/cpY=")</f>
        <v>#VALUE!</v>
      </c>
      <c r="EV124" t="e">
        <f>AND('Planilla_General_03-12-2012_9_3'!G1978,"AAAAAHX/cpc=")</f>
        <v>#VALUE!</v>
      </c>
      <c r="EW124" t="e">
        <f>AND('Planilla_General_03-12-2012_9_3'!H1978,"AAAAAHX/cpg=")</f>
        <v>#VALUE!</v>
      </c>
      <c r="EX124" t="e">
        <f>AND('Planilla_General_03-12-2012_9_3'!I1978,"AAAAAHX/cpk=")</f>
        <v>#VALUE!</v>
      </c>
      <c r="EY124" t="e">
        <f>AND('Planilla_General_03-12-2012_9_3'!J1978,"AAAAAHX/cpo=")</f>
        <v>#VALUE!</v>
      </c>
      <c r="EZ124" t="e">
        <f>AND('Planilla_General_03-12-2012_9_3'!K1978,"AAAAAHX/cps=")</f>
        <v>#VALUE!</v>
      </c>
      <c r="FA124" t="e">
        <f>AND('Planilla_General_03-12-2012_9_3'!L1978,"AAAAAHX/cpw=")</f>
        <v>#VALUE!</v>
      </c>
      <c r="FB124" t="e">
        <f>AND('Planilla_General_03-12-2012_9_3'!M1978,"AAAAAHX/cp0=")</f>
        <v>#VALUE!</v>
      </c>
      <c r="FC124" t="e">
        <f>AND('Planilla_General_03-12-2012_9_3'!N1978,"AAAAAHX/cp4=")</f>
        <v>#VALUE!</v>
      </c>
      <c r="FD124" t="e">
        <f>AND('Planilla_General_03-12-2012_9_3'!O1978,"AAAAAHX/cp8=")</f>
        <v>#VALUE!</v>
      </c>
      <c r="FE124">
        <f>IF('Planilla_General_03-12-2012_9_3'!1979:1979,"AAAAAHX/cqA=",0)</f>
        <v>0</v>
      </c>
      <c r="FF124" t="e">
        <f>AND('Planilla_General_03-12-2012_9_3'!A1979,"AAAAAHX/cqE=")</f>
        <v>#VALUE!</v>
      </c>
      <c r="FG124" t="e">
        <f>AND('Planilla_General_03-12-2012_9_3'!B1979,"AAAAAHX/cqI=")</f>
        <v>#VALUE!</v>
      </c>
      <c r="FH124" t="e">
        <f>AND('Planilla_General_03-12-2012_9_3'!C1979,"AAAAAHX/cqM=")</f>
        <v>#VALUE!</v>
      </c>
      <c r="FI124" t="e">
        <f>AND('Planilla_General_03-12-2012_9_3'!D1979,"AAAAAHX/cqQ=")</f>
        <v>#VALUE!</v>
      </c>
      <c r="FJ124" t="e">
        <f>AND('Planilla_General_03-12-2012_9_3'!E1979,"AAAAAHX/cqU=")</f>
        <v>#VALUE!</v>
      </c>
      <c r="FK124" t="e">
        <f>AND('Planilla_General_03-12-2012_9_3'!F1979,"AAAAAHX/cqY=")</f>
        <v>#VALUE!</v>
      </c>
      <c r="FL124" t="e">
        <f>AND('Planilla_General_03-12-2012_9_3'!G1979,"AAAAAHX/cqc=")</f>
        <v>#VALUE!</v>
      </c>
      <c r="FM124" t="e">
        <f>AND('Planilla_General_03-12-2012_9_3'!H1979,"AAAAAHX/cqg=")</f>
        <v>#VALUE!</v>
      </c>
      <c r="FN124" t="e">
        <f>AND('Planilla_General_03-12-2012_9_3'!I1979,"AAAAAHX/cqk=")</f>
        <v>#VALUE!</v>
      </c>
      <c r="FO124" t="e">
        <f>AND('Planilla_General_03-12-2012_9_3'!J1979,"AAAAAHX/cqo=")</f>
        <v>#VALUE!</v>
      </c>
      <c r="FP124" t="e">
        <f>AND('Planilla_General_03-12-2012_9_3'!K1979,"AAAAAHX/cqs=")</f>
        <v>#VALUE!</v>
      </c>
      <c r="FQ124" t="e">
        <f>AND('Planilla_General_03-12-2012_9_3'!L1979,"AAAAAHX/cqw=")</f>
        <v>#VALUE!</v>
      </c>
      <c r="FR124" t="e">
        <f>AND('Planilla_General_03-12-2012_9_3'!M1979,"AAAAAHX/cq0=")</f>
        <v>#VALUE!</v>
      </c>
      <c r="FS124" t="e">
        <f>AND('Planilla_General_03-12-2012_9_3'!N1979,"AAAAAHX/cq4=")</f>
        <v>#VALUE!</v>
      </c>
      <c r="FT124" t="e">
        <f>AND('Planilla_General_03-12-2012_9_3'!O1979,"AAAAAHX/cq8=")</f>
        <v>#VALUE!</v>
      </c>
      <c r="FU124">
        <f>IF('Planilla_General_03-12-2012_9_3'!1980:1980,"AAAAAHX/crA=",0)</f>
        <v>0</v>
      </c>
      <c r="FV124" t="e">
        <f>AND('Planilla_General_03-12-2012_9_3'!A1980,"AAAAAHX/crE=")</f>
        <v>#VALUE!</v>
      </c>
      <c r="FW124" t="e">
        <f>AND('Planilla_General_03-12-2012_9_3'!B1980,"AAAAAHX/crI=")</f>
        <v>#VALUE!</v>
      </c>
      <c r="FX124" t="e">
        <f>AND('Planilla_General_03-12-2012_9_3'!C1980,"AAAAAHX/crM=")</f>
        <v>#VALUE!</v>
      </c>
      <c r="FY124" t="e">
        <f>AND('Planilla_General_03-12-2012_9_3'!D1980,"AAAAAHX/crQ=")</f>
        <v>#VALUE!</v>
      </c>
      <c r="FZ124" t="e">
        <f>AND('Planilla_General_03-12-2012_9_3'!E1980,"AAAAAHX/crU=")</f>
        <v>#VALUE!</v>
      </c>
      <c r="GA124" t="e">
        <f>AND('Planilla_General_03-12-2012_9_3'!F1980,"AAAAAHX/crY=")</f>
        <v>#VALUE!</v>
      </c>
      <c r="GB124" t="e">
        <f>AND('Planilla_General_03-12-2012_9_3'!G1980,"AAAAAHX/crc=")</f>
        <v>#VALUE!</v>
      </c>
      <c r="GC124" t="e">
        <f>AND('Planilla_General_03-12-2012_9_3'!H1980,"AAAAAHX/crg=")</f>
        <v>#VALUE!</v>
      </c>
      <c r="GD124" t="e">
        <f>AND('Planilla_General_03-12-2012_9_3'!I1980,"AAAAAHX/crk=")</f>
        <v>#VALUE!</v>
      </c>
      <c r="GE124" t="e">
        <f>AND('Planilla_General_03-12-2012_9_3'!J1980,"AAAAAHX/cro=")</f>
        <v>#VALUE!</v>
      </c>
      <c r="GF124" t="e">
        <f>AND('Planilla_General_03-12-2012_9_3'!K1980,"AAAAAHX/crs=")</f>
        <v>#VALUE!</v>
      </c>
      <c r="GG124" t="e">
        <f>AND('Planilla_General_03-12-2012_9_3'!L1980,"AAAAAHX/crw=")</f>
        <v>#VALUE!</v>
      </c>
      <c r="GH124" t="e">
        <f>AND('Planilla_General_03-12-2012_9_3'!M1980,"AAAAAHX/cr0=")</f>
        <v>#VALUE!</v>
      </c>
      <c r="GI124" t="e">
        <f>AND('Planilla_General_03-12-2012_9_3'!N1980,"AAAAAHX/cr4=")</f>
        <v>#VALUE!</v>
      </c>
      <c r="GJ124" t="e">
        <f>AND('Planilla_General_03-12-2012_9_3'!O1980,"AAAAAHX/cr8=")</f>
        <v>#VALUE!</v>
      </c>
      <c r="GK124">
        <f>IF('Planilla_General_03-12-2012_9_3'!1981:1981,"AAAAAHX/csA=",0)</f>
        <v>0</v>
      </c>
      <c r="GL124" t="e">
        <f>AND('Planilla_General_03-12-2012_9_3'!A1981,"AAAAAHX/csE=")</f>
        <v>#VALUE!</v>
      </c>
      <c r="GM124" t="e">
        <f>AND('Planilla_General_03-12-2012_9_3'!B1981,"AAAAAHX/csI=")</f>
        <v>#VALUE!</v>
      </c>
      <c r="GN124" t="e">
        <f>AND('Planilla_General_03-12-2012_9_3'!C1981,"AAAAAHX/csM=")</f>
        <v>#VALUE!</v>
      </c>
      <c r="GO124" t="e">
        <f>AND('Planilla_General_03-12-2012_9_3'!D1981,"AAAAAHX/csQ=")</f>
        <v>#VALUE!</v>
      </c>
      <c r="GP124" t="e">
        <f>AND('Planilla_General_03-12-2012_9_3'!E1981,"AAAAAHX/csU=")</f>
        <v>#VALUE!</v>
      </c>
      <c r="GQ124" t="e">
        <f>AND('Planilla_General_03-12-2012_9_3'!F1981,"AAAAAHX/csY=")</f>
        <v>#VALUE!</v>
      </c>
      <c r="GR124" t="e">
        <f>AND('Planilla_General_03-12-2012_9_3'!G1981,"AAAAAHX/csc=")</f>
        <v>#VALUE!</v>
      </c>
      <c r="GS124" t="e">
        <f>AND('Planilla_General_03-12-2012_9_3'!H1981,"AAAAAHX/csg=")</f>
        <v>#VALUE!</v>
      </c>
      <c r="GT124" t="e">
        <f>AND('Planilla_General_03-12-2012_9_3'!I1981,"AAAAAHX/csk=")</f>
        <v>#VALUE!</v>
      </c>
      <c r="GU124" t="e">
        <f>AND('Planilla_General_03-12-2012_9_3'!J1981,"AAAAAHX/cso=")</f>
        <v>#VALUE!</v>
      </c>
      <c r="GV124" t="e">
        <f>AND('Planilla_General_03-12-2012_9_3'!K1981,"AAAAAHX/css=")</f>
        <v>#VALUE!</v>
      </c>
      <c r="GW124" t="e">
        <f>AND('Planilla_General_03-12-2012_9_3'!L1981,"AAAAAHX/csw=")</f>
        <v>#VALUE!</v>
      </c>
      <c r="GX124" t="e">
        <f>AND('Planilla_General_03-12-2012_9_3'!M1981,"AAAAAHX/cs0=")</f>
        <v>#VALUE!</v>
      </c>
      <c r="GY124" t="e">
        <f>AND('Planilla_General_03-12-2012_9_3'!N1981,"AAAAAHX/cs4=")</f>
        <v>#VALUE!</v>
      </c>
      <c r="GZ124" t="e">
        <f>AND('Planilla_General_03-12-2012_9_3'!O1981,"AAAAAHX/cs8=")</f>
        <v>#VALUE!</v>
      </c>
      <c r="HA124">
        <f>IF('Planilla_General_03-12-2012_9_3'!1982:1982,"AAAAAHX/ctA=",0)</f>
        <v>0</v>
      </c>
      <c r="HB124" t="e">
        <f>AND('Planilla_General_03-12-2012_9_3'!A1982,"AAAAAHX/ctE=")</f>
        <v>#VALUE!</v>
      </c>
      <c r="HC124" t="e">
        <f>AND('Planilla_General_03-12-2012_9_3'!B1982,"AAAAAHX/ctI=")</f>
        <v>#VALUE!</v>
      </c>
      <c r="HD124" t="e">
        <f>AND('Planilla_General_03-12-2012_9_3'!C1982,"AAAAAHX/ctM=")</f>
        <v>#VALUE!</v>
      </c>
      <c r="HE124" t="e">
        <f>AND('Planilla_General_03-12-2012_9_3'!D1982,"AAAAAHX/ctQ=")</f>
        <v>#VALUE!</v>
      </c>
      <c r="HF124" t="e">
        <f>AND('Planilla_General_03-12-2012_9_3'!E1982,"AAAAAHX/ctU=")</f>
        <v>#VALUE!</v>
      </c>
      <c r="HG124" t="e">
        <f>AND('Planilla_General_03-12-2012_9_3'!F1982,"AAAAAHX/ctY=")</f>
        <v>#VALUE!</v>
      </c>
      <c r="HH124" t="e">
        <f>AND('Planilla_General_03-12-2012_9_3'!G1982,"AAAAAHX/ctc=")</f>
        <v>#VALUE!</v>
      </c>
      <c r="HI124" t="e">
        <f>AND('Planilla_General_03-12-2012_9_3'!H1982,"AAAAAHX/ctg=")</f>
        <v>#VALUE!</v>
      </c>
      <c r="HJ124" t="e">
        <f>AND('Planilla_General_03-12-2012_9_3'!I1982,"AAAAAHX/ctk=")</f>
        <v>#VALUE!</v>
      </c>
      <c r="HK124" t="e">
        <f>AND('Planilla_General_03-12-2012_9_3'!J1982,"AAAAAHX/cto=")</f>
        <v>#VALUE!</v>
      </c>
      <c r="HL124" t="e">
        <f>AND('Planilla_General_03-12-2012_9_3'!K1982,"AAAAAHX/cts=")</f>
        <v>#VALUE!</v>
      </c>
      <c r="HM124" t="e">
        <f>AND('Planilla_General_03-12-2012_9_3'!L1982,"AAAAAHX/ctw=")</f>
        <v>#VALUE!</v>
      </c>
      <c r="HN124" t="e">
        <f>AND('Planilla_General_03-12-2012_9_3'!M1982,"AAAAAHX/ct0=")</f>
        <v>#VALUE!</v>
      </c>
      <c r="HO124" t="e">
        <f>AND('Planilla_General_03-12-2012_9_3'!N1982,"AAAAAHX/ct4=")</f>
        <v>#VALUE!</v>
      </c>
      <c r="HP124" t="e">
        <f>AND('Planilla_General_03-12-2012_9_3'!O1982,"AAAAAHX/ct8=")</f>
        <v>#VALUE!</v>
      </c>
      <c r="HQ124">
        <f>IF('Planilla_General_03-12-2012_9_3'!1983:1983,"AAAAAHX/cuA=",0)</f>
        <v>0</v>
      </c>
      <c r="HR124" t="e">
        <f>AND('Planilla_General_03-12-2012_9_3'!A1983,"AAAAAHX/cuE=")</f>
        <v>#VALUE!</v>
      </c>
      <c r="HS124" t="e">
        <f>AND('Planilla_General_03-12-2012_9_3'!B1983,"AAAAAHX/cuI=")</f>
        <v>#VALUE!</v>
      </c>
      <c r="HT124" t="e">
        <f>AND('Planilla_General_03-12-2012_9_3'!C1983,"AAAAAHX/cuM=")</f>
        <v>#VALUE!</v>
      </c>
      <c r="HU124" t="e">
        <f>AND('Planilla_General_03-12-2012_9_3'!D1983,"AAAAAHX/cuQ=")</f>
        <v>#VALUE!</v>
      </c>
      <c r="HV124" t="e">
        <f>AND('Planilla_General_03-12-2012_9_3'!E1983,"AAAAAHX/cuU=")</f>
        <v>#VALUE!</v>
      </c>
      <c r="HW124" t="e">
        <f>AND('Planilla_General_03-12-2012_9_3'!F1983,"AAAAAHX/cuY=")</f>
        <v>#VALUE!</v>
      </c>
      <c r="HX124" t="e">
        <f>AND('Planilla_General_03-12-2012_9_3'!G1983,"AAAAAHX/cuc=")</f>
        <v>#VALUE!</v>
      </c>
      <c r="HY124" t="e">
        <f>AND('Planilla_General_03-12-2012_9_3'!H1983,"AAAAAHX/cug=")</f>
        <v>#VALUE!</v>
      </c>
      <c r="HZ124" t="e">
        <f>AND('Planilla_General_03-12-2012_9_3'!I1983,"AAAAAHX/cuk=")</f>
        <v>#VALUE!</v>
      </c>
      <c r="IA124" t="e">
        <f>AND('Planilla_General_03-12-2012_9_3'!J1983,"AAAAAHX/cuo=")</f>
        <v>#VALUE!</v>
      </c>
      <c r="IB124" t="e">
        <f>AND('Planilla_General_03-12-2012_9_3'!K1983,"AAAAAHX/cus=")</f>
        <v>#VALUE!</v>
      </c>
      <c r="IC124" t="e">
        <f>AND('Planilla_General_03-12-2012_9_3'!L1983,"AAAAAHX/cuw=")</f>
        <v>#VALUE!</v>
      </c>
      <c r="ID124" t="e">
        <f>AND('Planilla_General_03-12-2012_9_3'!M1983,"AAAAAHX/cu0=")</f>
        <v>#VALUE!</v>
      </c>
      <c r="IE124" t="e">
        <f>AND('Planilla_General_03-12-2012_9_3'!N1983,"AAAAAHX/cu4=")</f>
        <v>#VALUE!</v>
      </c>
      <c r="IF124" t="e">
        <f>AND('Planilla_General_03-12-2012_9_3'!O1983,"AAAAAHX/cu8=")</f>
        <v>#VALUE!</v>
      </c>
      <c r="IG124">
        <f>IF('Planilla_General_03-12-2012_9_3'!1984:1984,"AAAAAHX/cvA=",0)</f>
        <v>0</v>
      </c>
      <c r="IH124" t="e">
        <f>AND('Planilla_General_03-12-2012_9_3'!A1984,"AAAAAHX/cvE=")</f>
        <v>#VALUE!</v>
      </c>
      <c r="II124" t="e">
        <f>AND('Planilla_General_03-12-2012_9_3'!B1984,"AAAAAHX/cvI=")</f>
        <v>#VALUE!</v>
      </c>
      <c r="IJ124" t="e">
        <f>AND('Planilla_General_03-12-2012_9_3'!C1984,"AAAAAHX/cvM=")</f>
        <v>#VALUE!</v>
      </c>
      <c r="IK124" t="e">
        <f>AND('Planilla_General_03-12-2012_9_3'!D1984,"AAAAAHX/cvQ=")</f>
        <v>#VALUE!</v>
      </c>
      <c r="IL124" t="e">
        <f>AND('Planilla_General_03-12-2012_9_3'!E1984,"AAAAAHX/cvU=")</f>
        <v>#VALUE!</v>
      </c>
      <c r="IM124" t="e">
        <f>AND('Planilla_General_03-12-2012_9_3'!F1984,"AAAAAHX/cvY=")</f>
        <v>#VALUE!</v>
      </c>
      <c r="IN124" t="e">
        <f>AND('Planilla_General_03-12-2012_9_3'!G1984,"AAAAAHX/cvc=")</f>
        <v>#VALUE!</v>
      </c>
      <c r="IO124" t="e">
        <f>AND('Planilla_General_03-12-2012_9_3'!H1984,"AAAAAHX/cvg=")</f>
        <v>#VALUE!</v>
      </c>
      <c r="IP124" t="e">
        <f>AND('Planilla_General_03-12-2012_9_3'!I1984,"AAAAAHX/cvk=")</f>
        <v>#VALUE!</v>
      </c>
      <c r="IQ124" t="e">
        <f>AND('Planilla_General_03-12-2012_9_3'!J1984,"AAAAAHX/cvo=")</f>
        <v>#VALUE!</v>
      </c>
      <c r="IR124" t="e">
        <f>AND('Planilla_General_03-12-2012_9_3'!K1984,"AAAAAHX/cvs=")</f>
        <v>#VALUE!</v>
      </c>
      <c r="IS124" t="e">
        <f>AND('Planilla_General_03-12-2012_9_3'!L1984,"AAAAAHX/cvw=")</f>
        <v>#VALUE!</v>
      </c>
      <c r="IT124" t="e">
        <f>AND('Planilla_General_03-12-2012_9_3'!M1984,"AAAAAHX/cv0=")</f>
        <v>#VALUE!</v>
      </c>
      <c r="IU124" t="e">
        <f>AND('Planilla_General_03-12-2012_9_3'!N1984,"AAAAAHX/cv4=")</f>
        <v>#VALUE!</v>
      </c>
      <c r="IV124" t="e">
        <f>AND('Planilla_General_03-12-2012_9_3'!O1984,"AAAAAHX/cv8=")</f>
        <v>#VALUE!</v>
      </c>
    </row>
    <row r="125" spans="1:256" x14ac:dyDescent="0.25">
      <c r="A125" t="e">
        <f>IF('Planilla_General_03-12-2012_9_3'!1985:1985,"AAAAAH/8fwA=",0)</f>
        <v>#VALUE!</v>
      </c>
      <c r="B125" t="e">
        <f>AND('Planilla_General_03-12-2012_9_3'!A1985,"AAAAAH/8fwE=")</f>
        <v>#VALUE!</v>
      </c>
      <c r="C125" t="e">
        <f>AND('Planilla_General_03-12-2012_9_3'!B1985,"AAAAAH/8fwI=")</f>
        <v>#VALUE!</v>
      </c>
      <c r="D125" t="e">
        <f>AND('Planilla_General_03-12-2012_9_3'!C1985,"AAAAAH/8fwM=")</f>
        <v>#VALUE!</v>
      </c>
      <c r="E125" t="e">
        <f>AND('Planilla_General_03-12-2012_9_3'!D1985,"AAAAAH/8fwQ=")</f>
        <v>#VALUE!</v>
      </c>
      <c r="F125" t="e">
        <f>AND('Planilla_General_03-12-2012_9_3'!E1985,"AAAAAH/8fwU=")</f>
        <v>#VALUE!</v>
      </c>
      <c r="G125" t="e">
        <f>AND('Planilla_General_03-12-2012_9_3'!F1985,"AAAAAH/8fwY=")</f>
        <v>#VALUE!</v>
      </c>
      <c r="H125" t="e">
        <f>AND('Planilla_General_03-12-2012_9_3'!G1985,"AAAAAH/8fwc=")</f>
        <v>#VALUE!</v>
      </c>
      <c r="I125" t="e">
        <f>AND('Planilla_General_03-12-2012_9_3'!H1985,"AAAAAH/8fwg=")</f>
        <v>#VALUE!</v>
      </c>
      <c r="J125" t="e">
        <f>AND('Planilla_General_03-12-2012_9_3'!I1985,"AAAAAH/8fwk=")</f>
        <v>#VALUE!</v>
      </c>
      <c r="K125" t="e">
        <f>AND('Planilla_General_03-12-2012_9_3'!J1985,"AAAAAH/8fwo=")</f>
        <v>#VALUE!</v>
      </c>
      <c r="L125" t="e">
        <f>AND('Planilla_General_03-12-2012_9_3'!K1985,"AAAAAH/8fws=")</f>
        <v>#VALUE!</v>
      </c>
      <c r="M125" t="e">
        <f>AND('Planilla_General_03-12-2012_9_3'!L1985,"AAAAAH/8fww=")</f>
        <v>#VALUE!</v>
      </c>
      <c r="N125" t="e">
        <f>AND('Planilla_General_03-12-2012_9_3'!M1985,"AAAAAH/8fw0=")</f>
        <v>#VALUE!</v>
      </c>
      <c r="O125" t="e">
        <f>AND('Planilla_General_03-12-2012_9_3'!N1985,"AAAAAH/8fw4=")</f>
        <v>#VALUE!</v>
      </c>
      <c r="P125" t="e">
        <f>AND('Planilla_General_03-12-2012_9_3'!O1985,"AAAAAH/8fw8=")</f>
        <v>#VALUE!</v>
      </c>
      <c r="Q125">
        <f>IF('Planilla_General_03-12-2012_9_3'!1986:1986,"AAAAAH/8fxA=",0)</f>
        <v>0</v>
      </c>
      <c r="R125" t="e">
        <f>AND('Planilla_General_03-12-2012_9_3'!A1986,"AAAAAH/8fxE=")</f>
        <v>#VALUE!</v>
      </c>
      <c r="S125" t="e">
        <f>AND('Planilla_General_03-12-2012_9_3'!B1986,"AAAAAH/8fxI=")</f>
        <v>#VALUE!</v>
      </c>
      <c r="T125" t="e">
        <f>AND('Planilla_General_03-12-2012_9_3'!C1986,"AAAAAH/8fxM=")</f>
        <v>#VALUE!</v>
      </c>
      <c r="U125" t="e">
        <f>AND('Planilla_General_03-12-2012_9_3'!D1986,"AAAAAH/8fxQ=")</f>
        <v>#VALUE!</v>
      </c>
      <c r="V125" t="e">
        <f>AND('Planilla_General_03-12-2012_9_3'!E1986,"AAAAAH/8fxU=")</f>
        <v>#VALUE!</v>
      </c>
      <c r="W125" t="e">
        <f>AND('Planilla_General_03-12-2012_9_3'!F1986,"AAAAAH/8fxY=")</f>
        <v>#VALUE!</v>
      </c>
      <c r="X125" t="e">
        <f>AND('Planilla_General_03-12-2012_9_3'!G1986,"AAAAAH/8fxc=")</f>
        <v>#VALUE!</v>
      </c>
      <c r="Y125" t="e">
        <f>AND('Planilla_General_03-12-2012_9_3'!H1986,"AAAAAH/8fxg=")</f>
        <v>#VALUE!</v>
      </c>
      <c r="Z125" t="e">
        <f>AND('Planilla_General_03-12-2012_9_3'!I1986,"AAAAAH/8fxk=")</f>
        <v>#VALUE!</v>
      </c>
      <c r="AA125" t="e">
        <f>AND('Planilla_General_03-12-2012_9_3'!J1986,"AAAAAH/8fxo=")</f>
        <v>#VALUE!</v>
      </c>
      <c r="AB125" t="e">
        <f>AND('Planilla_General_03-12-2012_9_3'!K1986,"AAAAAH/8fxs=")</f>
        <v>#VALUE!</v>
      </c>
      <c r="AC125" t="e">
        <f>AND('Planilla_General_03-12-2012_9_3'!L1986,"AAAAAH/8fxw=")</f>
        <v>#VALUE!</v>
      </c>
      <c r="AD125" t="e">
        <f>AND('Planilla_General_03-12-2012_9_3'!M1986,"AAAAAH/8fx0=")</f>
        <v>#VALUE!</v>
      </c>
      <c r="AE125" t="e">
        <f>AND('Planilla_General_03-12-2012_9_3'!N1986,"AAAAAH/8fx4=")</f>
        <v>#VALUE!</v>
      </c>
      <c r="AF125" t="e">
        <f>AND('Planilla_General_03-12-2012_9_3'!O1986,"AAAAAH/8fx8=")</f>
        <v>#VALUE!</v>
      </c>
      <c r="AG125">
        <f>IF('Planilla_General_03-12-2012_9_3'!1987:1987,"AAAAAH/8fyA=",0)</f>
        <v>0</v>
      </c>
      <c r="AH125" t="e">
        <f>AND('Planilla_General_03-12-2012_9_3'!A1987,"AAAAAH/8fyE=")</f>
        <v>#VALUE!</v>
      </c>
      <c r="AI125" t="e">
        <f>AND('Planilla_General_03-12-2012_9_3'!B1987,"AAAAAH/8fyI=")</f>
        <v>#VALUE!</v>
      </c>
      <c r="AJ125" t="e">
        <f>AND('Planilla_General_03-12-2012_9_3'!C1987,"AAAAAH/8fyM=")</f>
        <v>#VALUE!</v>
      </c>
      <c r="AK125" t="e">
        <f>AND('Planilla_General_03-12-2012_9_3'!D1987,"AAAAAH/8fyQ=")</f>
        <v>#VALUE!</v>
      </c>
      <c r="AL125" t="e">
        <f>AND('Planilla_General_03-12-2012_9_3'!E1987,"AAAAAH/8fyU=")</f>
        <v>#VALUE!</v>
      </c>
      <c r="AM125" t="e">
        <f>AND('Planilla_General_03-12-2012_9_3'!F1987,"AAAAAH/8fyY=")</f>
        <v>#VALUE!</v>
      </c>
      <c r="AN125" t="e">
        <f>AND('Planilla_General_03-12-2012_9_3'!G1987,"AAAAAH/8fyc=")</f>
        <v>#VALUE!</v>
      </c>
      <c r="AO125" t="e">
        <f>AND('Planilla_General_03-12-2012_9_3'!H1987,"AAAAAH/8fyg=")</f>
        <v>#VALUE!</v>
      </c>
      <c r="AP125" t="e">
        <f>AND('Planilla_General_03-12-2012_9_3'!I1987,"AAAAAH/8fyk=")</f>
        <v>#VALUE!</v>
      </c>
      <c r="AQ125" t="e">
        <f>AND('Planilla_General_03-12-2012_9_3'!J1987,"AAAAAH/8fyo=")</f>
        <v>#VALUE!</v>
      </c>
      <c r="AR125" t="e">
        <f>AND('Planilla_General_03-12-2012_9_3'!K1987,"AAAAAH/8fys=")</f>
        <v>#VALUE!</v>
      </c>
      <c r="AS125" t="e">
        <f>AND('Planilla_General_03-12-2012_9_3'!L1987,"AAAAAH/8fyw=")</f>
        <v>#VALUE!</v>
      </c>
      <c r="AT125" t="e">
        <f>AND('Planilla_General_03-12-2012_9_3'!M1987,"AAAAAH/8fy0=")</f>
        <v>#VALUE!</v>
      </c>
      <c r="AU125" t="e">
        <f>AND('Planilla_General_03-12-2012_9_3'!N1987,"AAAAAH/8fy4=")</f>
        <v>#VALUE!</v>
      </c>
      <c r="AV125" t="e">
        <f>AND('Planilla_General_03-12-2012_9_3'!O1987,"AAAAAH/8fy8=")</f>
        <v>#VALUE!</v>
      </c>
      <c r="AW125">
        <f>IF('Planilla_General_03-12-2012_9_3'!1988:1988,"AAAAAH/8fzA=",0)</f>
        <v>0</v>
      </c>
      <c r="AX125" t="e">
        <f>AND('Planilla_General_03-12-2012_9_3'!A1988,"AAAAAH/8fzE=")</f>
        <v>#VALUE!</v>
      </c>
      <c r="AY125" t="e">
        <f>AND('Planilla_General_03-12-2012_9_3'!B1988,"AAAAAH/8fzI=")</f>
        <v>#VALUE!</v>
      </c>
      <c r="AZ125" t="e">
        <f>AND('Planilla_General_03-12-2012_9_3'!C1988,"AAAAAH/8fzM=")</f>
        <v>#VALUE!</v>
      </c>
      <c r="BA125" t="e">
        <f>AND('Planilla_General_03-12-2012_9_3'!D1988,"AAAAAH/8fzQ=")</f>
        <v>#VALUE!</v>
      </c>
      <c r="BB125" t="e">
        <f>AND('Planilla_General_03-12-2012_9_3'!E1988,"AAAAAH/8fzU=")</f>
        <v>#VALUE!</v>
      </c>
      <c r="BC125" t="e">
        <f>AND('Planilla_General_03-12-2012_9_3'!F1988,"AAAAAH/8fzY=")</f>
        <v>#VALUE!</v>
      </c>
      <c r="BD125" t="e">
        <f>AND('Planilla_General_03-12-2012_9_3'!G1988,"AAAAAH/8fzc=")</f>
        <v>#VALUE!</v>
      </c>
      <c r="BE125" t="e">
        <f>AND('Planilla_General_03-12-2012_9_3'!H1988,"AAAAAH/8fzg=")</f>
        <v>#VALUE!</v>
      </c>
      <c r="BF125" t="e">
        <f>AND('Planilla_General_03-12-2012_9_3'!I1988,"AAAAAH/8fzk=")</f>
        <v>#VALUE!</v>
      </c>
      <c r="BG125" t="e">
        <f>AND('Planilla_General_03-12-2012_9_3'!J1988,"AAAAAH/8fzo=")</f>
        <v>#VALUE!</v>
      </c>
      <c r="BH125" t="e">
        <f>AND('Planilla_General_03-12-2012_9_3'!K1988,"AAAAAH/8fzs=")</f>
        <v>#VALUE!</v>
      </c>
      <c r="BI125" t="e">
        <f>AND('Planilla_General_03-12-2012_9_3'!L1988,"AAAAAH/8fzw=")</f>
        <v>#VALUE!</v>
      </c>
      <c r="BJ125" t="e">
        <f>AND('Planilla_General_03-12-2012_9_3'!M1988,"AAAAAH/8fz0=")</f>
        <v>#VALUE!</v>
      </c>
      <c r="BK125" t="e">
        <f>AND('Planilla_General_03-12-2012_9_3'!N1988,"AAAAAH/8fz4=")</f>
        <v>#VALUE!</v>
      </c>
      <c r="BL125" t="e">
        <f>AND('Planilla_General_03-12-2012_9_3'!O1988,"AAAAAH/8fz8=")</f>
        <v>#VALUE!</v>
      </c>
      <c r="BM125">
        <f>IF('Planilla_General_03-12-2012_9_3'!1989:1989,"AAAAAH/8f0A=",0)</f>
        <v>0</v>
      </c>
      <c r="BN125" t="e">
        <f>AND('Planilla_General_03-12-2012_9_3'!A1989,"AAAAAH/8f0E=")</f>
        <v>#VALUE!</v>
      </c>
      <c r="BO125" t="e">
        <f>AND('Planilla_General_03-12-2012_9_3'!B1989,"AAAAAH/8f0I=")</f>
        <v>#VALUE!</v>
      </c>
      <c r="BP125" t="e">
        <f>AND('Planilla_General_03-12-2012_9_3'!C1989,"AAAAAH/8f0M=")</f>
        <v>#VALUE!</v>
      </c>
      <c r="BQ125" t="e">
        <f>AND('Planilla_General_03-12-2012_9_3'!D1989,"AAAAAH/8f0Q=")</f>
        <v>#VALUE!</v>
      </c>
      <c r="BR125" t="e">
        <f>AND('Planilla_General_03-12-2012_9_3'!E1989,"AAAAAH/8f0U=")</f>
        <v>#VALUE!</v>
      </c>
      <c r="BS125" t="e">
        <f>AND('Planilla_General_03-12-2012_9_3'!F1989,"AAAAAH/8f0Y=")</f>
        <v>#VALUE!</v>
      </c>
      <c r="BT125" t="e">
        <f>AND('Planilla_General_03-12-2012_9_3'!G1989,"AAAAAH/8f0c=")</f>
        <v>#VALUE!</v>
      </c>
      <c r="BU125" t="e">
        <f>AND('Planilla_General_03-12-2012_9_3'!H1989,"AAAAAH/8f0g=")</f>
        <v>#VALUE!</v>
      </c>
      <c r="BV125" t="e">
        <f>AND('Planilla_General_03-12-2012_9_3'!I1989,"AAAAAH/8f0k=")</f>
        <v>#VALUE!</v>
      </c>
      <c r="BW125" t="e">
        <f>AND('Planilla_General_03-12-2012_9_3'!J1989,"AAAAAH/8f0o=")</f>
        <v>#VALUE!</v>
      </c>
      <c r="BX125" t="e">
        <f>AND('Planilla_General_03-12-2012_9_3'!K1989,"AAAAAH/8f0s=")</f>
        <v>#VALUE!</v>
      </c>
      <c r="BY125" t="e">
        <f>AND('Planilla_General_03-12-2012_9_3'!L1989,"AAAAAH/8f0w=")</f>
        <v>#VALUE!</v>
      </c>
      <c r="BZ125" t="e">
        <f>AND('Planilla_General_03-12-2012_9_3'!M1989,"AAAAAH/8f00=")</f>
        <v>#VALUE!</v>
      </c>
      <c r="CA125" t="e">
        <f>AND('Planilla_General_03-12-2012_9_3'!N1989,"AAAAAH/8f04=")</f>
        <v>#VALUE!</v>
      </c>
      <c r="CB125" t="e">
        <f>AND('Planilla_General_03-12-2012_9_3'!O1989,"AAAAAH/8f08=")</f>
        <v>#VALUE!</v>
      </c>
      <c r="CC125">
        <f>IF('Planilla_General_03-12-2012_9_3'!1990:1990,"AAAAAH/8f1A=",0)</f>
        <v>0</v>
      </c>
      <c r="CD125" t="e">
        <f>AND('Planilla_General_03-12-2012_9_3'!A1990,"AAAAAH/8f1E=")</f>
        <v>#VALUE!</v>
      </c>
      <c r="CE125" t="e">
        <f>AND('Planilla_General_03-12-2012_9_3'!B1990,"AAAAAH/8f1I=")</f>
        <v>#VALUE!</v>
      </c>
      <c r="CF125" t="e">
        <f>AND('Planilla_General_03-12-2012_9_3'!C1990,"AAAAAH/8f1M=")</f>
        <v>#VALUE!</v>
      </c>
      <c r="CG125" t="e">
        <f>AND('Planilla_General_03-12-2012_9_3'!D1990,"AAAAAH/8f1Q=")</f>
        <v>#VALUE!</v>
      </c>
      <c r="CH125" t="e">
        <f>AND('Planilla_General_03-12-2012_9_3'!E1990,"AAAAAH/8f1U=")</f>
        <v>#VALUE!</v>
      </c>
      <c r="CI125" t="e">
        <f>AND('Planilla_General_03-12-2012_9_3'!F1990,"AAAAAH/8f1Y=")</f>
        <v>#VALUE!</v>
      </c>
      <c r="CJ125" t="e">
        <f>AND('Planilla_General_03-12-2012_9_3'!G1990,"AAAAAH/8f1c=")</f>
        <v>#VALUE!</v>
      </c>
      <c r="CK125" t="e">
        <f>AND('Planilla_General_03-12-2012_9_3'!H1990,"AAAAAH/8f1g=")</f>
        <v>#VALUE!</v>
      </c>
      <c r="CL125" t="e">
        <f>AND('Planilla_General_03-12-2012_9_3'!I1990,"AAAAAH/8f1k=")</f>
        <v>#VALUE!</v>
      </c>
      <c r="CM125" t="e">
        <f>AND('Planilla_General_03-12-2012_9_3'!J1990,"AAAAAH/8f1o=")</f>
        <v>#VALUE!</v>
      </c>
      <c r="CN125" t="e">
        <f>AND('Planilla_General_03-12-2012_9_3'!K1990,"AAAAAH/8f1s=")</f>
        <v>#VALUE!</v>
      </c>
      <c r="CO125" t="e">
        <f>AND('Planilla_General_03-12-2012_9_3'!L1990,"AAAAAH/8f1w=")</f>
        <v>#VALUE!</v>
      </c>
      <c r="CP125" t="e">
        <f>AND('Planilla_General_03-12-2012_9_3'!M1990,"AAAAAH/8f10=")</f>
        <v>#VALUE!</v>
      </c>
      <c r="CQ125" t="e">
        <f>AND('Planilla_General_03-12-2012_9_3'!N1990,"AAAAAH/8f14=")</f>
        <v>#VALUE!</v>
      </c>
      <c r="CR125" t="e">
        <f>AND('Planilla_General_03-12-2012_9_3'!O1990,"AAAAAH/8f18=")</f>
        <v>#VALUE!</v>
      </c>
      <c r="CS125">
        <f>IF('Planilla_General_03-12-2012_9_3'!1991:1991,"AAAAAH/8f2A=",0)</f>
        <v>0</v>
      </c>
      <c r="CT125" t="e">
        <f>AND('Planilla_General_03-12-2012_9_3'!A1991,"AAAAAH/8f2E=")</f>
        <v>#VALUE!</v>
      </c>
      <c r="CU125" t="e">
        <f>AND('Planilla_General_03-12-2012_9_3'!B1991,"AAAAAH/8f2I=")</f>
        <v>#VALUE!</v>
      </c>
      <c r="CV125" t="e">
        <f>AND('Planilla_General_03-12-2012_9_3'!C1991,"AAAAAH/8f2M=")</f>
        <v>#VALUE!</v>
      </c>
      <c r="CW125" t="e">
        <f>AND('Planilla_General_03-12-2012_9_3'!D1991,"AAAAAH/8f2Q=")</f>
        <v>#VALUE!</v>
      </c>
      <c r="CX125" t="e">
        <f>AND('Planilla_General_03-12-2012_9_3'!E1991,"AAAAAH/8f2U=")</f>
        <v>#VALUE!</v>
      </c>
      <c r="CY125" t="e">
        <f>AND('Planilla_General_03-12-2012_9_3'!F1991,"AAAAAH/8f2Y=")</f>
        <v>#VALUE!</v>
      </c>
      <c r="CZ125" t="e">
        <f>AND('Planilla_General_03-12-2012_9_3'!G1991,"AAAAAH/8f2c=")</f>
        <v>#VALUE!</v>
      </c>
      <c r="DA125" t="e">
        <f>AND('Planilla_General_03-12-2012_9_3'!H1991,"AAAAAH/8f2g=")</f>
        <v>#VALUE!</v>
      </c>
      <c r="DB125" t="e">
        <f>AND('Planilla_General_03-12-2012_9_3'!I1991,"AAAAAH/8f2k=")</f>
        <v>#VALUE!</v>
      </c>
      <c r="DC125" t="e">
        <f>AND('Planilla_General_03-12-2012_9_3'!J1991,"AAAAAH/8f2o=")</f>
        <v>#VALUE!</v>
      </c>
      <c r="DD125" t="e">
        <f>AND('Planilla_General_03-12-2012_9_3'!K1991,"AAAAAH/8f2s=")</f>
        <v>#VALUE!</v>
      </c>
      <c r="DE125" t="e">
        <f>AND('Planilla_General_03-12-2012_9_3'!L1991,"AAAAAH/8f2w=")</f>
        <v>#VALUE!</v>
      </c>
      <c r="DF125" t="e">
        <f>AND('Planilla_General_03-12-2012_9_3'!M1991,"AAAAAH/8f20=")</f>
        <v>#VALUE!</v>
      </c>
      <c r="DG125" t="e">
        <f>AND('Planilla_General_03-12-2012_9_3'!N1991,"AAAAAH/8f24=")</f>
        <v>#VALUE!</v>
      </c>
      <c r="DH125" t="e">
        <f>AND('Planilla_General_03-12-2012_9_3'!O1991,"AAAAAH/8f28=")</f>
        <v>#VALUE!</v>
      </c>
      <c r="DI125">
        <f>IF('Planilla_General_03-12-2012_9_3'!1992:1992,"AAAAAH/8f3A=",0)</f>
        <v>0</v>
      </c>
      <c r="DJ125" t="e">
        <f>AND('Planilla_General_03-12-2012_9_3'!A1992,"AAAAAH/8f3E=")</f>
        <v>#VALUE!</v>
      </c>
      <c r="DK125" t="e">
        <f>AND('Planilla_General_03-12-2012_9_3'!B1992,"AAAAAH/8f3I=")</f>
        <v>#VALUE!</v>
      </c>
      <c r="DL125" t="e">
        <f>AND('Planilla_General_03-12-2012_9_3'!C1992,"AAAAAH/8f3M=")</f>
        <v>#VALUE!</v>
      </c>
      <c r="DM125" t="e">
        <f>AND('Planilla_General_03-12-2012_9_3'!D1992,"AAAAAH/8f3Q=")</f>
        <v>#VALUE!</v>
      </c>
      <c r="DN125" t="e">
        <f>AND('Planilla_General_03-12-2012_9_3'!E1992,"AAAAAH/8f3U=")</f>
        <v>#VALUE!</v>
      </c>
      <c r="DO125" t="e">
        <f>AND('Planilla_General_03-12-2012_9_3'!F1992,"AAAAAH/8f3Y=")</f>
        <v>#VALUE!</v>
      </c>
      <c r="DP125" t="e">
        <f>AND('Planilla_General_03-12-2012_9_3'!G1992,"AAAAAH/8f3c=")</f>
        <v>#VALUE!</v>
      </c>
      <c r="DQ125" t="e">
        <f>AND('Planilla_General_03-12-2012_9_3'!H1992,"AAAAAH/8f3g=")</f>
        <v>#VALUE!</v>
      </c>
      <c r="DR125" t="e">
        <f>AND('Planilla_General_03-12-2012_9_3'!I1992,"AAAAAH/8f3k=")</f>
        <v>#VALUE!</v>
      </c>
      <c r="DS125" t="e">
        <f>AND('Planilla_General_03-12-2012_9_3'!J1992,"AAAAAH/8f3o=")</f>
        <v>#VALUE!</v>
      </c>
      <c r="DT125" t="e">
        <f>AND('Planilla_General_03-12-2012_9_3'!K1992,"AAAAAH/8f3s=")</f>
        <v>#VALUE!</v>
      </c>
      <c r="DU125" t="e">
        <f>AND('Planilla_General_03-12-2012_9_3'!L1992,"AAAAAH/8f3w=")</f>
        <v>#VALUE!</v>
      </c>
      <c r="DV125" t="e">
        <f>AND('Planilla_General_03-12-2012_9_3'!M1992,"AAAAAH/8f30=")</f>
        <v>#VALUE!</v>
      </c>
      <c r="DW125" t="e">
        <f>AND('Planilla_General_03-12-2012_9_3'!N1992,"AAAAAH/8f34=")</f>
        <v>#VALUE!</v>
      </c>
      <c r="DX125" t="e">
        <f>AND('Planilla_General_03-12-2012_9_3'!O1992,"AAAAAH/8f38=")</f>
        <v>#VALUE!</v>
      </c>
      <c r="DY125">
        <f>IF('Planilla_General_03-12-2012_9_3'!1993:1993,"AAAAAH/8f4A=",0)</f>
        <v>0</v>
      </c>
      <c r="DZ125" t="e">
        <f>AND('Planilla_General_03-12-2012_9_3'!A1993,"AAAAAH/8f4E=")</f>
        <v>#VALUE!</v>
      </c>
      <c r="EA125" t="e">
        <f>AND('Planilla_General_03-12-2012_9_3'!B1993,"AAAAAH/8f4I=")</f>
        <v>#VALUE!</v>
      </c>
      <c r="EB125" t="e">
        <f>AND('Planilla_General_03-12-2012_9_3'!C1993,"AAAAAH/8f4M=")</f>
        <v>#VALUE!</v>
      </c>
      <c r="EC125" t="e">
        <f>AND('Planilla_General_03-12-2012_9_3'!D1993,"AAAAAH/8f4Q=")</f>
        <v>#VALUE!</v>
      </c>
      <c r="ED125" t="e">
        <f>AND('Planilla_General_03-12-2012_9_3'!E1993,"AAAAAH/8f4U=")</f>
        <v>#VALUE!</v>
      </c>
      <c r="EE125" t="e">
        <f>AND('Planilla_General_03-12-2012_9_3'!F1993,"AAAAAH/8f4Y=")</f>
        <v>#VALUE!</v>
      </c>
      <c r="EF125" t="e">
        <f>AND('Planilla_General_03-12-2012_9_3'!G1993,"AAAAAH/8f4c=")</f>
        <v>#VALUE!</v>
      </c>
      <c r="EG125" t="e">
        <f>AND('Planilla_General_03-12-2012_9_3'!H1993,"AAAAAH/8f4g=")</f>
        <v>#VALUE!</v>
      </c>
      <c r="EH125" t="e">
        <f>AND('Planilla_General_03-12-2012_9_3'!I1993,"AAAAAH/8f4k=")</f>
        <v>#VALUE!</v>
      </c>
      <c r="EI125" t="e">
        <f>AND('Planilla_General_03-12-2012_9_3'!J1993,"AAAAAH/8f4o=")</f>
        <v>#VALUE!</v>
      </c>
      <c r="EJ125" t="e">
        <f>AND('Planilla_General_03-12-2012_9_3'!K1993,"AAAAAH/8f4s=")</f>
        <v>#VALUE!</v>
      </c>
      <c r="EK125" t="e">
        <f>AND('Planilla_General_03-12-2012_9_3'!L1993,"AAAAAH/8f4w=")</f>
        <v>#VALUE!</v>
      </c>
      <c r="EL125" t="e">
        <f>AND('Planilla_General_03-12-2012_9_3'!M1993,"AAAAAH/8f40=")</f>
        <v>#VALUE!</v>
      </c>
      <c r="EM125" t="e">
        <f>AND('Planilla_General_03-12-2012_9_3'!N1993,"AAAAAH/8f44=")</f>
        <v>#VALUE!</v>
      </c>
      <c r="EN125" t="e">
        <f>AND('Planilla_General_03-12-2012_9_3'!O1993,"AAAAAH/8f48=")</f>
        <v>#VALUE!</v>
      </c>
      <c r="EO125">
        <f>IF('Planilla_General_03-12-2012_9_3'!1994:1994,"AAAAAH/8f5A=",0)</f>
        <v>0</v>
      </c>
      <c r="EP125" t="e">
        <f>AND('Planilla_General_03-12-2012_9_3'!A1994,"AAAAAH/8f5E=")</f>
        <v>#VALUE!</v>
      </c>
      <c r="EQ125" t="e">
        <f>AND('Planilla_General_03-12-2012_9_3'!B1994,"AAAAAH/8f5I=")</f>
        <v>#VALUE!</v>
      </c>
      <c r="ER125" t="e">
        <f>AND('Planilla_General_03-12-2012_9_3'!C1994,"AAAAAH/8f5M=")</f>
        <v>#VALUE!</v>
      </c>
      <c r="ES125" t="e">
        <f>AND('Planilla_General_03-12-2012_9_3'!D1994,"AAAAAH/8f5Q=")</f>
        <v>#VALUE!</v>
      </c>
      <c r="ET125" t="e">
        <f>AND('Planilla_General_03-12-2012_9_3'!E1994,"AAAAAH/8f5U=")</f>
        <v>#VALUE!</v>
      </c>
      <c r="EU125" t="e">
        <f>AND('Planilla_General_03-12-2012_9_3'!F1994,"AAAAAH/8f5Y=")</f>
        <v>#VALUE!</v>
      </c>
      <c r="EV125" t="e">
        <f>AND('Planilla_General_03-12-2012_9_3'!G1994,"AAAAAH/8f5c=")</f>
        <v>#VALUE!</v>
      </c>
      <c r="EW125" t="e">
        <f>AND('Planilla_General_03-12-2012_9_3'!H1994,"AAAAAH/8f5g=")</f>
        <v>#VALUE!</v>
      </c>
      <c r="EX125" t="e">
        <f>AND('Planilla_General_03-12-2012_9_3'!I1994,"AAAAAH/8f5k=")</f>
        <v>#VALUE!</v>
      </c>
      <c r="EY125" t="e">
        <f>AND('Planilla_General_03-12-2012_9_3'!J1994,"AAAAAH/8f5o=")</f>
        <v>#VALUE!</v>
      </c>
      <c r="EZ125" t="e">
        <f>AND('Planilla_General_03-12-2012_9_3'!K1994,"AAAAAH/8f5s=")</f>
        <v>#VALUE!</v>
      </c>
      <c r="FA125" t="e">
        <f>AND('Planilla_General_03-12-2012_9_3'!L1994,"AAAAAH/8f5w=")</f>
        <v>#VALUE!</v>
      </c>
      <c r="FB125" t="e">
        <f>AND('Planilla_General_03-12-2012_9_3'!M1994,"AAAAAH/8f50=")</f>
        <v>#VALUE!</v>
      </c>
      <c r="FC125" t="e">
        <f>AND('Planilla_General_03-12-2012_9_3'!N1994,"AAAAAH/8f54=")</f>
        <v>#VALUE!</v>
      </c>
      <c r="FD125" t="e">
        <f>AND('Planilla_General_03-12-2012_9_3'!O1994,"AAAAAH/8f58=")</f>
        <v>#VALUE!</v>
      </c>
      <c r="FE125">
        <f>IF('Planilla_General_03-12-2012_9_3'!1995:1995,"AAAAAH/8f6A=",0)</f>
        <v>0</v>
      </c>
      <c r="FF125" t="e">
        <f>AND('Planilla_General_03-12-2012_9_3'!A1995,"AAAAAH/8f6E=")</f>
        <v>#VALUE!</v>
      </c>
      <c r="FG125" t="e">
        <f>AND('Planilla_General_03-12-2012_9_3'!B1995,"AAAAAH/8f6I=")</f>
        <v>#VALUE!</v>
      </c>
      <c r="FH125" t="e">
        <f>AND('Planilla_General_03-12-2012_9_3'!C1995,"AAAAAH/8f6M=")</f>
        <v>#VALUE!</v>
      </c>
      <c r="FI125" t="e">
        <f>AND('Planilla_General_03-12-2012_9_3'!D1995,"AAAAAH/8f6Q=")</f>
        <v>#VALUE!</v>
      </c>
      <c r="FJ125" t="e">
        <f>AND('Planilla_General_03-12-2012_9_3'!E1995,"AAAAAH/8f6U=")</f>
        <v>#VALUE!</v>
      </c>
      <c r="FK125" t="e">
        <f>AND('Planilla_General_03-12-2012_9_3'!F1995,"AAAAAH/8f6Y=")</f>
        <v>#VALUE!</v>
      </c>
      <c r="FL125" t="e">
        <f>AND('Planilla_General_03-12-2012_9_3'!G1995,"AAAAAH/8f6c=")</f>
        <v>#VALUE!</v>
      </c>
      <c r="FM125" t="e">
        <f>AND('Planilla_General_03-12-2012_9_3'!H1995,"AAAAAH/8f6g=")</f>
        <v>#VALUE!</v>
      </c>
      <c r="FN125" t="e">
        <f>AND('Planilla_General_03-12-2012_9_3'!I1995,"AAAAAH/8f6k=")</f>
        <v>#VALUE!</v>
      </c>
      <c r="FO125" t="e">
        <f>AND('Planilla_General_03-12-2012_9_3'!J1995,"AAAAAH/8f6o=")</f>
        <v>#VALUE!</v>
      </c>
      <c r="FP125" t="e">
        <f>AND('Planilla_General_03-12-2012_9_3'!K1995,"AAAAAH/8f6s=")</f>
        <v>#VALUE!</v>
      </c>
      <c r="FQ125" t="e">
        <f>AND('Planilla_General_03-12-2012_9_3'!L1995,"AAAAAH/8f6w=")</f>
        <v>#VALUE!</v>
      </c>
      <c r="FR125" t="e">
        <f>AND('Planilla_General_03-12-2012_9_3'!M1995,"AAAAAH/8f60=")</f>
        <v>#VALUE!</v>
      </c>
      <c r="FS125" t="e">
        <f>AND('Planilla_General_03-12-2012_9_3'!N1995,"AAAAAH/8f64=")</f>
        <v>#VALUE!</v>
      </c>
      <c r="FT125" t="e">
        <f>AND('Planilla_General_03-12-2012_9_3'!O1995,"AAAAAH/8f68=")</f>
        <v>#VALUE!</v>
      </c>
      <c r="FU125">
        <f>IF('Planilla_General_03-12-2012_9_3'!1996:1996,"AAAAAH/8f7A=",0)</f>
        <v>0</v>
      </c>
      <c r="FV125" t="e">
        <f>AND('Planilla_General_03-12-2012_9_3'!A1996,"AAAAAH/8f7E=")</f>
        <v>#VALUE!</v>
      </c>
      <c r="FW125" t="e">
        <f>AND('Planilla_General_03-12-2012_9_3'!B1996,"AAAAAH/8f7I=")</f>
        <v>#VALUE!</v>
      </c>
      <c r="FX125" t="e">
        <f>AND('Planilla_General_03-12-2012_9_3'!C1996,"AAAAAH/8f7M=")</f>
        <v>#VALUE!</v>
      </c>
      <c r="FY125" t="e">
        <f>AND('Planilla_General_03-12-2012_9_3'!D1996,"AAAAAH/8f7Q=")</f>
        <v>#VALUE!</v>
      </c>
      <c r="FZ125" t="e">
        <f>AND('Planilla_General_03-12-2012_9_3'!E1996,"AAAAAH/8f7U=")</f>
        <v>#VALUE!</v>
      </c>
      <c r="GA125" t="e">
        <f>AND('Planilla_General_03-12-2012_9_3'!F1996,"AAAAAH/8f7Y=")</f>
        <v>#VALUE!</v>
      </c>
      <c r="GB125" t="e">
        <f>AND('Planilla_General_03-12-2012_9_3'!G1996,"AAAAAH/8f7c=")</f>
        <v>#VALUE!</v>
      </c>
      <c r="GC125" t="e">
        <f>AND('Planilla_General_03-12-2012_9_3'!H1996,"AAAAAH/8f7g=")</f>
        <v>#VALUE!</v>
      </c>
      <c r="GD125" t="e">
        <f>AND('Planilla_General_03-12-2012_9_3'!I1996,"AAAAAH/8f7k=")</f>
        <v>#VALUE!</v>
      </c>
      <c r="GE125" t="e">
        <f>AND('Planilla_General_03-12-2012_9_3'!J1996,"AAAAAH/8f7o=")</f>
        <v>#VALUE!</v>
      </c>
      <c r="GF125" t="e">
        <f>AND('Planilla_General_03-12-2012_9_3'!K1996,"AAAAAH/8f7s=")</f>
        <v>#VALUE!</v>
      </c>
      <c r="GG125" t="e">
        <f>AND('Planilla_General_03-12-2012_9_3'!L1996,"AAAAAH/8f7w=")</f>
        <v>#VALUE!</v>
      </c>
      <c r="GH125" t="e">
        <f>AND('Planilla_General_03-12-2012_9_3'!M1996,"AAAAAH/8f70=")</f>
        <v>#VALUE!</v>
      </c>
      <c r="GI125" t="e">
        <f>AND('Planilla_General_03-12-2012_9_3'!N1996,"AAAAAH/8f74=")</f>
        <v>#VALUE!</v>
      </c>
      <c r="GJ125" t="e">
        <f>AND('Planilla_General_03-12-2012_9_3'!O1996,"AAAAAH/8f78=")</f>
        <v>#VALUE!</v>
      </c>
      <c r="GK125">
        <f>IF('Planilla_General_03-12-2012_9_3'!1997:1997,"AAAAAH/8f8A=",0)</f>
        <v>0</v>
      </c>
      <c r="GL125" t="e">
        <f>AND('Planilla_General_03-12-2012_9_3'!A1997,"AAAAAH/8f8E=")</f>
        <v>#VALUE!</v>
      </c>
      <c r="GM125" t="e">
        <f>AND('Planilla_General_03-12-2012_9_3'!B1997,"AAAAAH/8f8I=")</f>
        <v>#VALUE!</v>
      </c>
      <c r="GN125" t="e">
        <f>AND('Planilla_General_03-12-2012_9_3'!C1997,"AAAAAH/8f8M=")</f>
        <v>#VALUE!</v>
      </c>
      <c r="GO125" t="e">
        <f>AND('Planilla_General_03-12-2012_9_3'!D1997,"AAAAAH/8f8Q=")</f>
        <v>#VALUE!</v>
      </c>
      <c r="GP125" t="e">
        <f>AND('Planilla_General_03-12-2012_9_3'!E1997,"AAAAAH/8f8U=")</f>
        <v>#VALUE!</v>
      </c>
      <c r="GQ125" t="e">
        <f>AND('Planilla_General_03-12-2012_9_3'!F1997,"AAAAAH/8f8Y=")</f>
        <v>#VALUE!</v>
      </c>
      <c r="GR125" t="e">
        <f>AND('Planilla_General_03-12-2012_9_3'!G1997,"AAAAAH/8f8c=")</f>
        <v>#VALUE!</v>
      </c>
      <c r="GS125" t="e">
        <f>AND('Planilla_General_03-12-2012_9_3'!H1997,"AAAAAH/8f8g=")</f>
        <v>#VALUE!</v>
      </c>
      <c r="GT125" t="e">
        <f>AND('Planilla_General_03-12-2012_9_3'!I1997,"AAAAAH/8f8k=")</f>
        <v>#VALUE!</v>
      </c>
      <c r="GU125" t="e">
        <f>AND('Planilla_General_03-12-2012_9_3'!J1997,"AAAAAH/8f8o=")</f>
        <v>#VALUE!</v>
      </c>
      <c r="GV125" t="e">
        <f>AND('Planilla_General_03-12-2012_9_3'!K1997,"AAAAAH/8f8s=")</f>
        <v>#VALUE!</v>
      </c>
      <c r="GW125" t="e">
        <f>AND('Planilla_General_03-12-2012_9_3'!L1997,"AAAAAH/8f8w=")</f>
        <v>#VALUE!</v>
      </c>
      <c r="GX125" t="e">
        <f>AND('Planilla_General_03-12-2012_9_3'!M1997,"AAAAAH/8f80=")</f>
        <v>#VALUE!</v>
      </c>
      <c r="GY125" t="e">
        <f>AND('Planilla_General_03-12-2012_9_3'!N1997,"AAAAAH/8f84=")</f>
        <v>#VALUE!</v>
      </c>
      <c r="GZ125" t="e">
        <f>AND('Planilla_General_03-12-2012_9_3'!O1997,"AAAAAH/8f88=")</f>
        <v>#VALUE!</v>
      </c>
      <c r="HA125">
        <f>IF('Planilla_General_03-12-2012_9_3'!1998:1998,"AAAAAH/8f9A=",0)</f>
        <v>0</v>
      </c>
      <c r="HB125" t="e">
        <f>AND('Planilla_General_03-12-2012_9_3'!A1998,"AAAAAH/8f9E=")</f>
        <v>#VALUE!</v>
      </c>
      <c r="HC125" t="e">
        <f>AND('Planilla_General_03-12-2012_9_3'!B1998,"AAAAAH/8f9I=")</f>
        <v>#VALUE!</v>
      </c>
      <c r="HD125" t="e">
        <f>AND('Planilla_General_03-12-2012_9_3'!C1998,"AAAAAH/8f9M=")</f>
        <v>#VALUE!</v>
      </c>
      <c r="HE125" t="e">
        <f>AND('Planilla_General_03-12-2012_9_3'!D1998,"AAAAAH/8f9Q=")</f>
        <v>#VALUE!</v>
      </c>
      <c r="HF125" t="e">
        <f>AND('Planilla_General_03-12-2012_9_3'!E1998,"AAAAAH/8f9U=")</f>
        <v>#VALUE!</v>
      </c>
      <c r="HG125" t="e">
        <f>AND('Planilla_General_03-12-2012_9_3'!F1998,"AAAAAH/8f9Y=")</f>
        <v>#VALUE!</v>
      </c>
      <c r="HH125" t="e">
        <f>AND('Planilla_General_03-12-2012_9_3'!G1998,"AAAAAH/8f9c=")</f>
        <v>#VALUE!</v>
      </c>
      <c r="HI125" t="e">
        <f>AND('Planilla_General_03-12-2012_9_3'!H1998,"AAAAAH/8f9g=")</f>
        <v>#VALUE!</v>
      </c>
      <c r="HJ125" t="e">
        <f>AND('Planilla_General_03-12-2012_9_3'!I1998,"AAAAAH/8f9k=")</f>
        <v>#VALUE!</v>
      </c>
      <c r="HK125" t="e">
        <f>AND('Planilla_General_03-12-2012_9_3'!J1998,"AAAAAH/8f9o=")</f>
        <v>#VALUE!</v>
      </c>
      <c r="HL125" t="e">
        <f>AND('Planilla_General_03-12-2012_9_3'!K1998,"AAAAAH/8f9s=")</f>
        <v>#VALUE!</v>
      </c>
      <c r="HM125" t="e">
        <f>AND('Planilla_General_03-12-2012_9_3'!L1998,"AAAAAH/8f9w=")</f>
        <v>#VALUE!</v>
      </c>
      <c r="HN125" t="e">
        <f>AND('Planilla_General_03-12-2012_9_3'!M1998,"AAAAAH/8f90=")</f>
        <v>#VALUE!</v>
      </c>
      <c r="HO125" t="e">
        <f>AND('Planilla_General_03-12-2012_9_3'!N1998,"AAAAAH/8f94=")</f>
        <v>#VALUE!</v>
      </c>
      <c r="HP125" t="e">
        <f>AND('Planilla_General_03-12-2012_9_3'!O1998,"AAAAAH/8f98=")</f>
        <v>#VALUE!</v>
      </c>
      <c r="HQ125">
        <f>IF('Planilla_General_03-12-2012_9_3'!1999:1999,"AAAAAH/8f+A=",0)</f>
        <v>0</v>
      </c>
      <c r="HR125" t="e">
        <f>AND('Planilla_General_03-12-2012_9_3'!A1999,"AAAAAH/8f+E=")</f>
        <v>#VALUE!</v>
      </c>
      <c r="HS125" t="e">
        <f>AND('Planilla_General_03-12-2012_9_3'!B1999,"AAAAAH/8f+I=")</f>
        <v>#VALUE!</v>
      </c>
      <c r="HT125" t="e">
        <f>AND('Planilla_General_03-12-2012_9_3'!C1999,"AAAAAH/8f+M=")</f>
        <v>#VALUE!</v>
      </c>
      <c r="HU125" t="e">
        <f>AND('Planilla_General_03-12-2012_9_3'!D1999,"AAAAAH/8f+Q=")</f>
        <v>#VALUE!</v>
      </c>
      <c r="HV125" t="e">
        <f>AND('Planilla_General_03-12-2012_9_3'!E1999,"AAAAAH/8f+U=")</f>
        <v>#VALUE!</v>
      </c>
      <c r="HW125" t="e">
        <f>AND('Planilla_General_03-12-2012_9_3'!F1999,"AAAAAH/8f+Y=")</f>
        <v>#VALUE!</v>
      </c>
      <c r="HX125" t="e">
        <f>AND('Planilla_General_03-12-2012_9_3'!G1999,"AAAAAH/8f+c=")</f>
        <v>#VALUE!</v>
      </c>
      <c r="HY125" t="e">
        <f>AND('Planilla_General_03-12-2012_9_3'!H1999,"AAAAAH/8f+g=")</f>
        <v>#VALUE!</v>
      </c>
      <c r="HZ125" t="e">
        <f>AND('Planilla_General_03-12-2012_9_3'!I1999,"AAAAAH/8f+k=")</f>
        <v>#VALUE!</v>
      </c>
      <c r="IA125" t="e">
        <f>AND('Planilla_General_03-12-2012_9_3'!J1999,"AAAAAH/8f+o=")</f>
        <v>#VALUE!</v>
      </c>
      <c r="IB125" t="e">
        <f>AND('Planilla_General_03-12-2012_9_3'!K1999,"AAAAAH/8f+s=")</f>
        <v>#VALUE!</v>
      </c>
      <c r="IC125" t="e">
        <f>AND('Planilla_General_03-12-2012_9_3'!L1999,"AAAAAH/8f+w=")</f>
        <v>#VALUE!</v>
      </c>
      <c r="ID125" t="e">
        <f>AND('Planilla_General_03-12-2012_9_3'!M1999,"AAAAAH/8f+0=")</f>
        <v>#VALUE!</v>
      </c>
      <c r="IE125" t="e">
        <f>AND('Planilla_General_03-12-2012_9_3'!N1999,"AAAAAH/8f+4=")</f>
        <v>#VALUE!</v>
      </c>
      <c r="IF125" t="e">
        <f>AND('Planilla_General_03-12-2012_9_3'!O1999,"AAAAAH/8f+8=")</f>
        <v>#VALUE!</v>
      </c>
      <c r="IG125">
        <f>IF('Planilla_General_03-12-2012_9_3'!2000:2000,"AAAAAH/8f/A=",0)</f>
        <v>0</v>
      </c>
      <c r="IH125" t="e">
        <f>AND('Planilla_General_03-12-2012_9_3'!A2000,"AAAAAH/8f/E=")</f>
        <v>#VALUE!</v>
      </c>
      <c r="II125" t="e">
        <f>AND('Planilla_General_03-12-2012_9_3'!B2000,"AAAAAH/8f/I=")</f>
        <v>#VALUE!</v>
      </c>
      <c r="IJ125" t="e">
        <f>AND('Planilla_General_03-12-2012_9_3'!C2000,"AAAAAH/8f/M=")</f>
        <v>#VALUE!</v>
      </c>
      <c r="IK125" t="e">
        <f>AND('Planilla_General_03-12-2012_9_3'!D2000,"AAAAAH/8f/Q=")</f>
        <v>#VALUE!</v>
      </c>
      <c r="IL125" t="e">
        <f>AND('Planilla_General_03-12-2012_9_3'!E2000,"AAAAAH/8f/U=")</f>
        <v>#VALUE!</v>
      </c>
      <c r="IM125" t="e">
        <f>AND('Planilla_General_03-12-2012_9_3'!F2000,"AAAAAH/8f/Y=")</f>
        <v>#VALUE!</v>
      </c>
      <c r="IN125" t="e">
        <f>AND('Planilla_General_03-12-2012_9_3'!G2000,"AAAAAH/8f/c=")</f>
        <v>#VALUE!</v>
      </c>
      <c r="IO125" t="e">
        <f>AND('Planilla_General_03-12-2012_9_3'!H2000,"AAAAAH/8f/g=")</f>
        <v>#VALUE!</v>
      </c>
      <c r="IP125" t="e">
        <f>AND('Planilla_General_03-12-2012_9_3'!I2000,"AAAAAH/8f/k=")</f>
        <v>#VALUE!</v>
      </c>
      <c r="IQ125" t="e">
        <f>AND('Planilla_General_03-12-2012_9_3'!J2000,"AAAAAH/8f/o=")</f>
        <v>#VALUE!</v>
      </c>
      <c r="IR125" t="e">
        <f>AND('Planilla_General_03-12-2012_9_3'!K2000,"AAAAAH/8f/s=")</f>
        <v>#VALUE!</v>
      </c>
      <c r="IS125" t="e">
        <f>AND('Planilla_General_03-12-2012_9_3'!L2000,"AAAAAH/8f/w=")</f>
        <v>#VALUE!</v>
      </c>
      <c r="IT125" t="e">
        <f>AND('Planilla_General_03-12-2012_9_3'!M2000,"AAAAAH/8f/0=")</f>
        <v>#VALUE!</v>
      </c>
      <c r="IU125" t="e">
        <f>AND('Planilla_General_03-12-2012_9_3'!N2000,"AAAAAH/8f/4=")</f>
        <v>#VALUE!</v>
      </c>
      <c r="IV125" t="e">
        <f>AND('Planilla_General_03-12-2012_9_3'!O2000,"AAAAAH/8f/8=")</f>
        <v>#VALUE!</v>
      </c>
    </row>
    <row r="126" spans="1:256" x14ac:dyDescent="0.25">
      <c r="A126" t="e">
        <f>IF('Planilla_General_03-12-2012_9_3'!2001:2001,"AAAAAFPnZwA=",0)</f>
        <v>#VALUE!</v>
      </c>
      <c r="B126" t="e">
        <f>AND('Planilla_General_03-12-2012_9_3'!A2001,"AAAAAFPnZwE=")</f>
        <v>#VALUE!</v>
      </c>
      <c r="C126" t="e">
        <f>AND('Planilla_General_03-12-2012_9_3'!B2001,"AAAAAFPnZwI=")</f>
        <v>#VALUE!</v>
      </c>
      <c r="D126" t="e">
        <f>AND('Planilla_General_03-12-2012_9_3'!C2001,"AAAAAFPnZwM=")</f>
        <v>#VALUE!</v>
      </c>
      <c r="E126" t="e">
        <f>AND('Planilla_General_03-12-2012_9_3'!D2001,"AAAAAFPnZwQ=")</f>
        <v>#VALUE!</v>
      </c>
      <c r="F126" t="e">
        <f>AND('Planilla_General_03-12-2012_9_3'!E2001,"AAAAAFPnZwU=")</f>
        <v>#VALUE!</v>
      </c>
      <c r="G126" t="e">
        <f>AND('Planilla_General_03-12-2012_9_3'!F2001,"AAAAAFPnZwY=")</f>
        <v>#VALUE!</v>
      </c>
      <c r="H126" t="e">
        <f>AND('Planilla_General_03-12-2012_9_3'!G2001,"AAAAAFPnZwc=")</f>
        <v>#VALUE!</v>
      </c>
      <c r="I126" t="e">
        <f>AND('Planilla_General_03-12-2012_9_3'!H2001,"AAAAAFPnZwg=")</f>
        <v>#VALUE!</v>
      </c>
      <c r="J126" t="e">
        <f>AND('Planilla_General_03-12-2012_9_3'!I2001,"AAAAAFPnZwk=")</f>
        <v>#VALUE!</v>
      </c>
      <c r="K126" t="e">
        <f>AND('Planilla_General_03-12-2012_9_3'!J2001,"AAAAAFPnZwo=")</f>
        <v>#VALUE!</v>
      </c>
      <c r="L126" t="e">
        <f>AND('Planilla_General_03-12-2012_9_3'!K2001,"AAAAAFPnZws=")</f>
        <v>#VALUE!</v>
      </c>
      <c r="M126" t="e">
        <f>AND('Planilla_General_03-12-2012_9_3'!L2001,"AAAAAFPnZww=")</f>
        <v>#VALUE!</v>
      </c>
      <c r="N126" t="e">
        <f>AND('Planilla_General_03-12-2012_9_3'!M2001,"AAAAAFPnZw0=")</f>
        <v>#VALUE!</v>
      </c>
      <c r="O126" t="e">
        <f>AND('Planilla_General_03-12-2012_9_3'!N2001,"AAAAAFPnZw4=")</f>
        <v>#VALUE!</v>
      </c>
      <c r="P126" t="e">
        <f>AND('Planilla_General_03-12-2012_9_3'!O2001,"AAAAAFPnZw8=")</f>
        <v>#VALUE!</v>
      </c>
      <c r="Q126">
        <f>IF('Planilla_General_03-12-2012_9_3'!2002:2002,"AAAAAFPnZxA=",0)</f>
        <v>0</v>
      </c>
      <c r="R126" t="e">
        <f>AND('Planilla_General_03-12-2012_9_3'!A2002,"AAAAAFPnZxE=")</f>
        <v>#VALUE!</v>
      </c>
      <c r="S126" t="e">
        <f>AND('Planilla_General_03-12-2012_9_3'!B2002,"AAAAAFPnZxI=")</f>
        <v>#VALUE!</v>
      </c>
      <c r="T126" t="e">
        <f>AND('Planilla_General_03-12-2012_9_3'!C2002,"AAAAAFPnZxM=")</f>
        <v>#VALUE!</v>
      </c>
      <c r="U126" t="e">
        <f>AND('Planilla_General_03-12-2012_9_3'!D2002,"AAAAAFPnZxQ=")</f>
        <v>#VALUE!</v>
      </c>
      <c r="V126" t="e">
        <f>AND('Planilla_General_03-12-2012_9_3'!E2002,"AAAAAFPnZxU=")</f>
        <v>#VALUE!</v>
      </c>
      <c r="W126" t="e">
        <f>AND('Planilla_General_03-12-2012_9_3'!F2002,"AAAAAFPnZxY=")</f>
        <v>#VALUE!</v>
      </c>
      <c r="X126" t="e">
        <f>AND('Planilla_General_03-12-2012_9_3'!G2002,"AAAAAFPnZxc=")</f>
        <v>#VALUE!</v>
      </c>
      <c r="Y126" t="e">
        <f>AND('Planilla_General_03-12-2012_9_3'!H2002,"AAAAAFPnZxg=")</f>
        <v>#VALUE!</v>
      </c>
      <c r="Z126" t="e">
        <f>AND('Planilla_General_03-12-2012_9_3'!I2002,"AAAAAFPnZxk=")</f>
        <v>#VALUE!</v>
      </c>
      <c r="AA126" t="e">
        <f>AND('Planilla_General_03-12-2012_9_3'!J2002,"AAAAAFPnZxo=")</f>
        <v>#VALUE!</v>
      </c>
      <c r="AB126" t="e">
        <f>AND('Planilla_General_03-12-2012_9_3'!K2002,"AAAAAFPnZxs=")</f>
        <v>#VALUE!</v>
      </c>
      <c r="AC126" t="e">
        <f>AND('Planilla_General_03-12-2012_9_3'!L2002,"AAAAAFPnZxw=")</f>
        <v>#VALUE!</v>
      </c>
      <c r="AD126" t="e">
        <f>AND('Planilla_General_03-12-2012_9_3'!M2002,"AAAAAFPnZx0=")</f>
        <v>#VALUE!</v>
      </c>
      <c r="AE126" t="e">
        <f>AND('Planilla_General_03-12-2012_9_3'!N2002,"AAAAAFPnZx4=")</f>
        <v>#VALUE!</v>
      </c>
      <c r="AF126" t="e">
        <f>AND('Planilla_General_03-12-2012_9_3'!O2002,"AAAAAFPnZx8=")</f>
        <v>#VALUE!</v>
      </c>
      <c r="AG126">
        <f>IF('Planilla_General_03-12-2012_9_3'!2003:2003,"AAAAAFPnZyA=",0)</f>
        <v>0</v>
      </c>
      <c r="AH126" t="e">
        <f>AND('Planilla_General_03-12-2012_9_3'!A2003,"AAAAAFPnZyE=")</f>
        <v>#VALUE!</v>
      </c>
      <c r="AI126" t="e">
        <f>AND('Planilla_General_03-12-2012_9_3'!B2003,"AAAAAFPnZyI=")</f>
        <v>#VALUE!</v>
      </c>
      <c r="AJ126" t="e">
        <f>AND('Planilla_General_03-12-2012_9_3'!C2003,"AAAAAFPnZyM=")</f>
        <v>#VALUE!</v>
      </c>
      <c r="AK126" t="e">
        <f>AND('Planilla_General_03-12-2012_9_3'!D2003,"AAAAAFPnZyQ=")</f>
        <v>#VALUE!</v>
      </c>
      <c r="AL126" t="e">
        <f>AND('Planilla_General_03-12-2012_9_3'!E2003,"AAAAAFPnZyU=")</f>
        <v>#VALUE!</v>
      </c>
      <c r="AM126" t="e">
        <f>AND('Planilla_General_03-12-2012_9_3'!F2003,"AAAAAFPnZyY=")</f>
        <v>#VALUE!</v>
      </c>
      <c r="AN126" t="e">
        <f>AND('Planilla_General_03-12-2012_9_3'!G2003,"AAAAAFPnZyc=")</f>
        <v>#VALUE!</v>
      </c>
      <c r="AO126" t="e">
        <f>AND('Planilla_General_03-12-2012_9_3'!H2003,"AAAAAFPnZyg=")</f>
        <v>#VALUE!</v>
      </c>
      <c r="AP126" t="e">
        <f>AND('Planilla_General_03-12-2012_9_3'!I2003,"AAAAAFPnZyk=")</f>
        <v>#VALUE!</v>
      </c>
      <c r="AQ126" t="e">
        <f>AND('Planilla_General_03-12-2012_9_3'!J2003,"AAAAAFPnZyo=")</f>
        <v>#VALUE!</v>
      </c>
      <c r="AR126" t="e">
        <f>AND('Planilla_General_03-12-2012_9_3'!K2003,"AAAAAFPnZys=")</f>
        <v>#VALUE!</v>
      </c>
      <c r="AS126" t="e">
        <f>AND('Planilla_General_03-12-2012_9_3'!L2003,"AAAAAFPnZyw=")</f>
        <v>#VALUE!</v>
      </c>
      <c r="AT126" t="e">
        <f>AND('Planilla_General_03-12-2012_9_3'!M2003,"AAAAAFPnZy0=")</f>
        <v>#VALUE!</v>
      </c>
      <c r="AU126" t="e">
        <f>AND('Planilla_General_03-12-2012_9_3'!N2003,"AAAAAFPnZy4=")</f>
        <v>#VALUE!</v>
      </c>
      <c r="AV126" t="e">
        <f>AND('Planilla_General_03-12-2012_9_3'!O2003,"AAAAAFPnZy8=")</f>
        <v>#VALUE!</v>
      </c>
      <c r="AW126">
        <f>IF('Planilla_General_03-12-2012_9_3'!2004:2004,"AAAAAFPnZzA=",0)</f>
        <v>0</v>
      </c>
      <c r="AX126" t="e">
        <f>AND('Planilla_General_03-12-2012_9_3'!A2004,"AAAAAFPnZzE=")</f>
        <v>#VALUE!</v>
      </c>
      <c r="AY126" t="e">
        <f>AND('Planilla_General_03-12-2012_9_3'!B2004,"AAAAAFPnZzI=")</f>
        <v>#VALUE!</v>
      </c>
      <c r="AZ126" t="e">
        <f>AND('Planilla_General_03-12-2012_9_3'!C2004,"AAAAAFPnZzM=")</f>
        <v>#VALUE!</v>
      </c>
      <c r="BA126" t="e">
        <f>AND('Planilla_General_03-12-2012_9_3'!D2004,"AAAAAFPnZzQ=")</f>
        <v>#VALUE!</v>
      </c>
      <c r="BB126" t="e">
        <f>AND('Planilla_General_03-12-2012_9_3'!E2004,"AAAAAFPnZzU=")</f>
        <v>#VALUE!</v>
      </c>
      <c r="BC126" t="e">
        <f>AND('Planilla_General_03-12-2012_9_3'!F2004,"AAAAAFPnZzY=")</f>
        <v>#VALUE!</v>
      </c>
      <c r="BD126" t="e">
        <f>AND('Planilla_General_03-12-2012_9_3'!G2004,"AAAAAFPnZzc=")</f>
        <v>#VALUE!</v>
      </c>
      <c r="BE126" t="e">
        <f>AND('Planilla_General_03-12-2012_9_3'!H2004,"AAAAAFPnZzg=")</f>
        <v>#VALUE!</v>
      </c>
      <c r="BF126" t="e">
        <f>AND('Planilla_General_03-12-2012_9_3'!I2004,"AAAAAFPnZzk=")</f>
        <v>#VALUE!</v>
      </c>
      <c r="BG126" t="e">
        <f>AND('Planilla_General_03-12-2012_9_3'!J2004,"AAAAAFPnZzo=")</f>
        <v>#VALUE!</v>
      </c>
      <c r="BH126" t="e">
        <f>AND('Planilla_General_03-12-2012_9_3'!K2004,"AAAAAFPnZzs=")</f>
        <v>#VALUE!</v>
      </c>
      <c r="BI126" t="e">
        <f>AND('Planilla_General_03-12-2012_9_3'!L2004,"AAAAAFPnZzw=")</f>
        <v>#VALUE!</v>
      </c>
      <c r="BJ126" t="e">
        <f>AND('Planilla_General_03-12-2012_9_3'!M2004,"AAAAAFPnZz0=")</f>
        <v>#VALUE!</v>
      </c>
      <c r="BK126" t="e">
        <f>AND('Planilla_General_03-12-2012_9_3'!N2004,"AAAAAFPnZz4=")</f>
        <v>#VALUE!</v>
      </c>
      <c r="BL126" t="e">
        <f>AND('Planilla_General_03-12-2012_9_3'!O2004,"AAAAAFPnZz8=")</f>
        <v>#VALUE!</v>
      </c>
      <c r="BM126">
        <f>IF('Planilla_General_03-12-2012_9_3'!2005:2005,"AAAAAFPnZ0A=",0)</f>
        <v>0</v>
      </c>
      <c r="BN126" t="e">
        <f>AND('Planilla_General_03-12-2012_9_3'!A2005,"AAAAAFPnZ0E=")</f>
        <v>#VALUE!</v>
      </c>
      <c r="BO126" t="e">
        <f>AND('Planilla_General_03-12-2012_9_3'!B2005,"AAAAAFPnZ0I=")</f>
        <v>#VALUE!</v>
      </c>
      <c r="BP126" t="e">
        <f>AND('Planilla_General_03-12-2012_9_3'!C2005,"AAAAAFPnZ0M=")</f>
        <v>#VALUE!</v>
      </c>
      <c r="BQ126" t="e">
        <f>AND('Planilla_General_03-12-2012_9_3'!D2005,"AAAAAFPnZ0Q=")</f>
        <v>#VALUE!</v>
      </c>
      <c r="BR126" t="e">
        <f>AND('Planilla_General_03-12-2012_9_3'!E2005,"AAAAAFPnZ0U=")</f>
        <v>#VALUE!</v>
      </c>
      <c r="BS126" t="e">
        <f>AND('Planilla_General_03-12-2012_9_3'!F2005,"AAAAAFPnZ0Y=")</f>
        <v>#VALUE!</v>
      </c>
      <c r="BT126" t="e">
        <f>AND('Planilla_General_03-12-2012_9_3'!G2005,"AAAAAFPnZ0c=")</f>
        <v>#VALUE!</v>
      </c>
      <c r="BU126" t="e">
        <f>AND('Planilla_General_03-12-2012_9_3'!H2005,"AAAAAFPnZ0g=")</f>
        <v>#VALUE!</v>
      </c>
      <c r="BV126" t="e">
        <f>AND('Planilla_General_03-12-2012_9_3'!I2005,"AAAAAFPnZ0k=")</f>
        <v>#VALUE!</v>
      </c>
      <c r="BW126" t="e">
        <f>AND('Planilla_General_03-12-2012_9_3'!J2005,"AAAAAFPnZ0o=")</f>
        <v>#VALUE!</v>
      </c>
      <c r="BX126" t="e">
        <f>AND('Planilla_General_03-12-2012_9_3'!K2005,"AAAAAFPnZ0s=")</f>
        <v>#VALUE!</v>
      </c>
      <c r="BY126" t="e">
        <f>AND('Planilla_General_03-12-2012_9_3'!L2005,"AAAAAFPnZ0w=")</f>
        <v>#VALUE!</v>
      </c>
      <c r="BZ126" t="e">
        <f>AND('Planilla_General_03-12-2012_9_3'!M2005,"AAAAAFPnZ00=")</f>
        <v>#VALUE!</v>
      </c>
      <c r="CA126" t="e">
        <f>AND('Planilla_General_03-12-2012_9_3'!N2005,"AAAAAFPnZ04=")</f>
        <v>#VALUE!</v>
      </c>
      <c r="CB126" t="e">
        <f>AND('Planilla_General_03-12-2012_9_3'!O2005,"AAAAAFPnZ08=")</f>
        <v>#VALUE!</v>
      </c>
      <c r="CC126">
        <f>IF('Planilla_General_03-12-2012_9_3'!2006:2006,"AAAAAFPnZ1A=",0)</f>
        <v>0</v>
      </c>
      <c r="CD126" t="e">
        <f>AND('Planilla_General_03-12-2012_9_3'!A2006,"AAAAAFPnZ1E=")</f>
        <v>#VALUE!</v>
      </c>
      <c r="CE126" t="e">
        <f>AND('Planilla_General_03-12-2012_9_3'!B2006,"AAAAAFPnZ1I=")</f>
        <v>#VALUE!</v>
      </c>
      <c r="CF126" t="e">
        <f>AND('Planilla_General_03-12-2012_9_3'!C2006,"AAAAAFPnZ1M=")</f>
        <v>#VALUE!</v>
      </c>
      <c r="CG126" t="e">
        <f>AND('Planilla_General_03-12-2012_9_3'!D2006,"AAAAAFPnZ1Q=")</f>
        <v>#VALUE!</v>
      </c>
      <c r="CH126" t="e">
        <f>AND('Planilla_General_03-12-2012_9_3'!E2006,"AAAAAFPnZ1U=")</f>
        <v>#VALUE!</v>
      </c>
      <c r="CI126" t="e">
        <f>AND('Planilla_General_03-12-2012_9_3'!F2006,"AAAAAFPnZ1Y=")</f>
        <v>#VALUE!</v>
      </c>
      <c r="CJ126" t="e">
        <f>AND('Planilla_General_03-12-2012_9_3'!G2006,"AAAAAFPnZ1c=")</f>
        <v>#VALUE!</v>
      </c>
      <c r="CK126" t="e">
        <f>AND('Planilla_General_03-12-2012_9_3'!H2006,"AAAAAFPnZ1g=")</f>
        <v>#VALUE!</v>
      </c>
      <c r="CL126" t="e">
        <f>AND('Planilla_General_03-12-2012_9_3'!I2006,"AAAAAFPnZ1k=")</f>
        <v>#VALUE!</v>
      </c>
      <c r="CM126" t="e">
        <f>AND('Planilla_General_03-12-2012_9_3'!J2006,"AAAAAFPnZ1o=")</f>
        <v>#VALUE!</v>
      </c>
      <c r="CN126" t="e">
        <f>AND('Planilla_General_03-12-2012_9_3'!K2006,"AAAAAFPnZ1s=")</f>
        <v>#VALUE!</v>
      </c>
      <c r="CO126" t="e">
        <f>AND('Planilla_General_03-12-2012_9_3'!L2006,"AAAAAFPnZ1w=")</f>
        <v>#VALUE!</v>
      </c>
      <c r="CP126" t="e">
        <f>AND('Planilla_General_03-12-2012_9_3'!M2006,"AAAAAFPnZ10=")</f>
        <v>#VALUE!</v>
      </c>
      <c r="CQ126" t="e">
        <f>AND('Planilla_General_03-12-2012_9_3'!N2006,"AAAAAFPnZ14=")</f>
        <v>#VALUE!</v>
      </c>
      <c r="CR126" t="e">
        <f>AND('Planilla_General_03-12-2012_9_3'!O2006,"AAAAAFPnZ18=")</f>
        <v>#VALUE!</v>
      </c>
      <c r="CS126">
        <f>IF('Planilla_General_03-12-2012_9_3'!2007:2007,"AAAAAFPnZ2A=",0)</f>
        <v>0</v>
      </c>
      <c r="CT126" t="e">
        <f>AND('Planilla_General_03-12-2012_9_3'!A2007,"AAAAAFPnZ2E=")</f>
        <v>#VALUE!</v>
      </c>
      <c r="CU126" t="e">
        <f>AND('Planilla_General_03-12-2012_9_3'!B2007,"AAAAAFPnZ2I=")</f>
        <v>#VALUE!</v>
      </c>
      <c r="CV126" t="e">
        <f>AND('Planilla_General_03-12-2012_9_3'!C2007,"AAAAAFPnZ2M=")</f>
        <v>#VALUE!</v>
      </c>
      <c r="CW126" t="e">
        <f>AND('Planilla_General_03-12-2012_9_3'!D2007,"AAAAAFPnZ2Q=")</f>
        <v>#VALUE!</v>
      </c>
      <c r="CX126" t="e">
        <f>AND('Planilla_General_03-12-2012_9_3'!E2007,"AAAAAFPnZ2U=")</f>
        <v>#VALUE!</v>
      </c>
      <c r="CY126" t="e">
        <f>AND('Planilla_General_03-12-2012_9_3'!F2007,"AAAAAFPnZ2Y=")</f>
        <v>#VALUE!</v>
      </c>
      <c r="CZ126" t="e">
        <f>AND('Planilla_General_03-12-2012_9_3'!G2007,"AAAAAFPnZ2c=")</f>
        <v>#VALUE!</v>
      </c>
      <c r="DA126" t="e">
        <f>AND('Planilla_General_03-12-2012_9_3'!H2007,"AAAAAFPnZ2g=")</f>
        <v>#VALUE!</v>
      </c>
      <c r="DB126" t="e">
        <f>AND('Planilla_General_03-12-2012_9_3'!I2007,"AAAAAFPnZ2k=")</f>
        <v>#VALUE!</v>
      </c>
      <c r="DC126" t="e">
        <f>AND('Planilla_General_03-12-2012_9_3'!J2007,"AAAAAFPnZ2o=")</f>
        <v>#VALUE!</v>
      </c>
      <c r="DD126" t="e">
        <f>AND('Planilla_General_03-12-2012_9_3'!K2007,"AAAAAFPnZ2s=")</f>
        <v>#VALUE!</v>
      </c>
      <c r="DE126" t="e">
        <f>AND('Planilla_General_03-12-2012_9_3'!L2007,"AAAAAFPnZ2w=")</f>
        <v>#VALUE!</v>
      </c>
      <c r="DF126" t="e">
        <f>AND('Planilla_General_03-12-2012_9_3'!M2007,"AAAAAFPnZ20=")</f>
        <v>#VALUE!</v>
      </c>
      <c r="DG126" t="e">
        <f>AND('Planilla_General_03-12-2012_9_3'!N2007,"AAAAAFPnZ24=")</f>
        <v>#VALUE!</v>
      </c>
      <c r="DH126" t="e">
        <f>AND('Planilla_General_03-12-2012_9_3'!O2007,"AAAAAFPnZ28=")</f>
        <v>#VALUE!</v>
      </c>
      <c r="DI126">
        <f>IF('Planilla_General_03-12-2012_9_3'!2008:2008,"AAAAAFPnZ3A=",0)</f>
        <v>0</v>
      </c>
      <c r="DJ126" t="e">
        <f>AND('Planilla_General_03-12-2012_9_3'!A2008,"AAAAAFPnZ3E=")</f>
        <v>#VALUE!</v>
      </c>
      <c r="DK126" t="e">
        <f>AND('Planilla_General_03-12-2012_9_3'!B2008,"AAAAAFPnZ3I=")</f>
        <v>#VALUE!</v>
      </c>
      <c r="DL126" t="e">
        <f>AND('Planilla_General_03-12-2012_9_3'!C2008,"AAAAAFPnZ3M=")</f>
        <v>#VALUE!</v>
      </c>
      <c r="DM126" t="e">
        <f>AND('Planilla_General_03-12-2012_9_3'!D2008,"AAAAAFPnZ3Q=")</f>
        <v>#VALUE!</v>
      </c>
      <c r="DN126" t="e">
        <f>AND('Planilla_General_03-12-2012_9_3'!E2008,"AAAAAFPnZ3U=")</f>
        <v>#VALUE!</v>
      </c>
      <c r="DO126" t="e">
        <f>AND('Planilla_General_03-12-2012_9_3'!F2008,"AAAAAFPnZ3Y=")</f>
        <v>#VALUE!</v>
      </c>
      <c r="DP126" t="e">
        <f>AND('Planilla_General_03-12-2012_9_3'!G2008,"AAAAAFPnZ3c=")</f>
        <v>#VALUE!</v>
      </c>
      <c r="DQ126" t="e">
        <f>AND('Planilla_General_03-12-2012_9_3'!H2008,"AAAAAFPnZ3g=")</f>
        <v>#VALUE!</v>
      </c>
      <c r="DR126" t="e">
        <f>AND('Planilla_General_03-12-2012_9_3'!I2008,"AAAAAFPnZ3k=")</f>
        <v>#VALUE!</v>
      </c>
      <c r="DS126" t="e">
        <f>AND('Planilla_General_03-12-2012_9_3'!J2008,"AAAAAFPnZ3o=")</f>
        <v>#VALUE!</v>
      </c>
      <c r="DT126" t="e">
        <f>AND('Planilla_General_03-12-2012_9_3'!K2008,"AAAAAFPnZ3s=")</f>
        <v>#VALUE!</v>
      </c>
      <c r="DU126" t="e">
        <f>AND('Planilla_General_03-12-2012_9_3'!L2008,"AAAAAFPnZ3w=")</f>
        <v>#VALUE!</v>
      </c>
      <c r="DV126" t="e">
        <f>AND('Planilla_General_03-12-2012_9_3'!M2008,"AAAAAFPnZ30=")</f>
        <v>#VALUE!</v>
      </c>
      <c r="DW126" t="e">
        <f>AND('Planilla_General_03-12-2012_9_3'!N2008,"AAAAAFPnZ34=")</f>
        <v>#VALUE!</v>
      </c>
      <c r="DX126" t="e">
        <f>AND('Planilla_General_03-12-2012_9_3'!O2008,"AAAAAFPnZ38=")</f>
        <v>#VALUE!</v>
      </c>
      <c r="DY126">
        <f>IF('Planilla_General_03-12-2012_9_3'!2009:2009,"AAAAAFPnZ4A=",0)</f>
        <v>0</v>
      </c>
      <c r="DZ126" t="e">
        <f>AND('Planilla_General_03-12-2012_9_3'!A2009,"AAAAAFPnZ4E=")</f>
        <v>#VALUE!</v>
      </c>
      <c r="EA126" t="e">
        <f>AND('Planilla_General_03-12-2012_9_3'!B2009,"AAAAAFPnZ4I=")</f>
        <v>#VALUE!</v>
      </c>
      <c r="EB126" t="e">
        <f>AND('Planilla_General_03-12-2012_9_3'!C2009,"AAAAAFPnZ4M=")</f>
        <v>#VALUE!</v>
      </c>
      <c r="EC126" t="e">
        <f>AND('Planilla_General_03-12-2012_9_3'!D2009,"AAAAAFPnZ4Q=")</f>
        <v>#VALUE!</v>
      </c>
      <c r="ED126" t="e">
        <f>AND('Planilla_General_03-12-2012_9_3'!E2009,"AAAAAFPnZ4U=")</f>
        <v>#VALUE!</v>
      </c>
      <c r="EE126" t="e">
        <f>AND('Planilla_General_03-12-2012_9_3'!F2009,"AAAAAFPnZ4Y=")</f>
        <v>#VALUE!</v>
      </c>
      <c r="EF126" t="e">
        <f>AND('Planilla_General_03-12-2012_9_3'!G2009,"AAAAAFPnZ4c=")</f>
        <v>#VALUE!</v>
      </c>
      <c r="EG126" t="e">
        <f>AND('Planilla_General_03-12-2012_9_3'!H2009,"AAAAAFPnZ4g=")</f>
        <v>#VALUE!</v>
      </c>
      <c r="EH126" t="e">
        <f>AND('Planilla_General_03-12-2012_9_3'!I2009,"AAAAAFPnZ4k=")</f>
        <v>#VALUE!</v>
      </c>
      <c r="EI126" t="e">
        <f>AND('Planilla_General_03-12-2012_9_3'!J2009,"AAAAAFPnZ4o=")</f>
        <v>#VALUE!</v>
      </c>
      <c r="EJ126" t="e">
        <f>AND('Planilla_General_03-12-2012_9_3'!K2009,"AAAAAFPnZ4s=")</f>
        <v>#VALUE!</v>
      </c>
      <c r="EK126" t="e">
        <f>AND('Planilla_General_03-12-2012_9_3'!L2009,"AAAAAFPnZ4w=")</f>
        <v>#VALUE!</v>
      </c>
      <c r="EL126" t="e">
        <f>AND('Planilla_General_03-12-2012_9_3'!M2009,"AAAAAFPnZ40=")</f>
        <v>#VALUE!</v>
      </c>
      <c r="EM126" t="e">
        <f>AND('Planilla_General_03-12-2012_9_3'!N2009,"AAAAAFPnZ44=")</f>
        <v>#VALUE!</v>
      </c>
      <c r="EN126" t="e">
        <f>AND('Planilla_General_03-12-2012_9_3'!O2009,"AAAAAFPnZ48=")</f>
        <v>#VALUE!</v>
      </c>
      <c r="EO126">
        <f>IF('Planilla_General_03-12-2012_9_3'!2010:2010,"AAAAAFPnZ5A=",0)</f>
        <v>0</v>
      </c>
      <c r="EP126" t="e">
        <f>AND('Planilla_General_03-12-2012_9_3'!A2010,"AAAAAFPnZ5E=")</f>
        <v>#VALUE!</v>
      </c>
      <c r="EQ126" t="e">
        <f>AND('Planilla_General_03-12-2012_9_3'!B2010,"AAAAAFPnZ5I=")</f>
        <v>#VALUE!</v>
      </c>
      <c r="ER126" t="e">
        <f>AND('Planilla_General_03-12-2012_9_3'!C2010,"AAAAAFPnZ5M=")</f>
        <v>#VALUE!</v>
      </c>
      <c r="ES126" t="e">
        <f>AND('Planilla_General_03-12-2012_9_3'!D2010,"AAAAAFPnZ5Q=")</f>
        <v>#VALUE!</v>
      </c>
      <c r="ET126" t="e">
        <f>AND('Planilla_General_03-12-2012_9_3'!E2010,"AAAAAFPnZ5U=")</f>
        <v>#VALUE!</v>
      </c>
      <c r="EU126" t="e">
        <f>AND('Planilla_General_03-12-2012_9_3'!F2010,"AAAAAFPnZ5Y=")</f>
        <v>#VALUE!</v>
      </c>
      <c r="EV126" t="e">
        <f>AND('Planilla_General_03-12-2012_9_3'!G2010,"AAAAAFPnZ5c=")</f>
        <v>#VALUE!</v>
      </c>
      <c r="EW126" t="e">
        <f>AND('Planilla_General_03-12-2012_9_3'!H2010,"AAAAAFPnZ5g=")</f>
        <v>#VALUE!</v>
      </c>
      <c r="EX126" t="e">
        <f>AND('Planilla_General_03-12-2012_9_3'!I2010,"AAAAAFPnZ5k=")</f>
        <v>#VALUE!</v>
      </c>
      <c r="EY126" t="e">
        <f>AND('Planilla_General_03-12-2012_9_3'!J2010,"AAAAAFPnZ5o=")</f>
        <v>#VALUE!</v>
      </c>
      <c r="EZ126" t="e">
        <f>AND('Planilla_General_03-12-2012_9_3'!K2010,"AAAAAFPnZ5s=")</f>
        <v>#VALUE!</v>
      </c>
      <c r="FA126" t="e">
        <f>AND('Planilla_General_03-12-2012_9_3'!L2010,"AAAAAFPnZ5w=")</f>
        <v>#VALUE!</v>
      </c>
      <c r="FB126" t="e">
        <f>AND('Planilla_General_03-12-2012_9_3'!M2010,"AAAAAFPnZ50=")</f>
        <v>#VALUE!</v>
      </c>
      <c r="FC126" t="e">
        <f>AND('Planilla_General_03-12-2012_9_3'!N2010,"AAAAAFPnZ54=")</f>
        <v>#VALUE!</v>
      </c>
      <c r="FD126" t="e">
        <f>AND('Planilla_General_03-12-2012_9_3'!O2010,"AAAAAFPnZ58=")</f>
        <v>#VALUE!</v>
      </c>
      <c r="FE126">
        <f>IF('Planilla_General_03-12-2012_9_3'!2011:2011,"AAAAAFPnZ6A=",0)</f>
        <v>0</v>
      </c>
      <c r="FF126" t="e">
        <f>AND('Planilla_General_03-12-2012_9_3'!A2011,"AAAAAFPnZ6E=")</f>
        <v>#VALUE!</v>
      </c>
      <c r="FG126" t="e">
        <f>AND('Planilla_General_03-12-2012_9_3'!B2011,"AAAAAFPnZ6I=")</f>
        <v>#VALUE!</v>
      </c>
      <c r="FH126" t="e">
        <f>AND('Planilla_General_03-12-2012_9_3'!C2011,"AAAAAFPnZ6M=")</f>
        <v>#VALUE!</v>
      </c>
      <c r="FI126" t="e">
        <f>AND('Planilla_General_03-12-2012_9_3'!D2011,"AAAAAFPnZ6Q=")</f>
        <v>#VALUE!</v>
      </c>
      <c r="FJ126" t="e">
        <f>AND('Planilla_General_03-12-2012_9_3'!E2011,"AAAAAFPnZ6U=")</f>
        <v>#VALUE!</v>
      </c>
      <c r="FK126" t="e">
        <f>AND('Planilla_General_03-12-2012_9_3'!F2011,"AAAAAFPnZ6Y=")</f>
        <v>#VALUE!</v>
      </c>
      <c r="FL126" t="e">
        <f>AND('Planilla_General_03-12-2012_9_3'!G2011,"AAAAAFPnZ6c=")</f>
        <v>#VALUE!</v>
      </c>
      <c r="FM126" t="e">
        <f>AND('Planilla_General_03-12-2012_9_3'!H2011,"AAAAAFPnZ6g=")</f>
        <v>#VALUE!</v>
      </c>
      <c r="FN126" t="e">
        <f>AND('Planilla_General_03-12-2012_9_3'!I2011,"AAAAAFPnZ6k=")</f>
        <v>#VALUE!</v>
      </c>
      <c r="FO126" t="e">
        <f>AND('Planilla_General_03-12-2012_9_3'!J2011,"AAAAAFPnZ6o=")</f>
        <v>#VALUE!</v>
      </c>
      <c r="FP126" t="e">
        <f>AND('Planilla_General_03-12-2012_9_3'!K2011,"AAAAAFPnZ6s=")</f>
        <v>#VALUE!</v>
      </c>
      <c r="FQ126" t="e">
        <f>AND('Planilla_General_03-12-2012_9_3'!L2011,"AAAAAFPnZ6w=")</f>
        <v>#VALUE!</v>
      </c>
      <c r="FR126" t="e">
        <f>AND('Planilla_General_03-12-2012_9_3'!M2011,"AAAAAFPnZ60=")</f>
        <v>#VALUE!</v>
      </c>
      <c r="FS126" t="e">
        <f>AND('Planilla_General_03-12-2012_9_3'!N2011,"AAAAAFPnZ64=")</f>
        <v>#VALUE!</v>
      </c>
      <c r="FT126" t="e">
        <f>AND('Planilla_General_03-12-2012_9_3'!O2011,"AAAAAFPnZ68=")</f>
        <v>#VALUE!</v>
      </c>
      <c r="FU126">
        <f>IF('Planilla_General_03-12-2012_9_3'!2012:2012,"AAAAAFPnZ7A=",0)</f>
        <v>0</v>
      </c>
      <c r="FV126" t="e">
        <f>AND('Planilla_General_03-12-2012_9_3'!A2012,"AAAAAFPnZ7E=")</f>
        <v>#VALUE!</v>
      </c>
      <c r="FW126" t="e">
        <f>AND('Planilla_General_03-12-2012_9_3'!B2012,"AAAAAFPnZ7I=")</f>
        <v>#VALUE!</v>
      </c>
      <c r="FX126" t="e">
        <f>AND('Planilla_General_03-12-2012_9_3'!C2012,"AAAAAFPnZ7M=")</f>
        <v>#VALUE!</v>
      </c>
      <c r="FY126" t="e">
        <f>AND('Planilla_General_03-12-2012_9_3'!D2012,"AAAAAFPnZ7Q=")</f>
        <v>#VALUE!</v>
      </c>
      <c r="FZ126" t="e">
        <f>AND('Planilla_General_03-12-2012_9_3'!E2012,"AAAAAFPnZ7U=")</f>
        <v>#VALUE!</v>
      </c>
      <c r="GA126" t="e">
        <f>AND('Planilla_General_03-12-2012_9_3'!F2012,"AAAAAFPnZ7Y=")</f>
        <v>#VALUE!</v>
      </c>
      <c r="GB126" t="e">
        <f>AND('Planilla_General_03-12-2012_9_3'!G2012,"AAAAAFPnZ7c=")</f>
        <v>#VALUE!</v>
      </c>
      <c r="GC126" t="e">
        <f>AND('Planilla_General_03-12-2012_9_3'!H2012,"AAAAAFPnZ7g=")</f>
        <v>#VALUE!</v>
      </c>
      <c r="GD126" t="e">
        <f>AND('Planilla_General_03-12-2012_9_3'!I2012,"AAAAAFPnZ7k=")</f>
        <v>#VALUE!</v>
      </c>
      <c r="GE126" t="e">
        <f>AND('Planilla_General_03-12-2012_9_3'!J2012,"AAAAAFPnZ7o=")</f>
        <v>#VALUE!</v>
      </c>
      <c r="GF126" t="e">
        <f>AND('Planilla_General_03-12-2012_9_3'!K2012,"AAAAAFPnZ7s=")</f>
        <v>#VALUE!</v>
      </c>
      <c r="GG126" t="e">
        <f>AND('Planilla_General_03-12-2012_9_3'!L2012,"AAAAAFPnZ7w=")</f>
        <v>#VALUE!</v>
      </c>
      <c r="GH126" t="e">
        <f>AND('Planilla_General_03-12-2012_9_3'!M2012,"AAAAAFPnZ70=")</f>
        <v>#VALUE!</v>
      </c>
      <c r="GI126" t="e">
        <f>AND('Planilla_General_03-12-2012_9_3'!N2012,"AAAAAFPnZ74=")</f>
        <v>#VALUE!</v>
      </c>
      <c r="GJ126" t="e">
        <f>AND('Planilla_General_03-12-2012_9_3'!O2012,"AAAAAFPnZ78=")</f>
        <v>#VALUE!</v>
      </c>
      <c r="GK126">
        <f>IF('Planilla_General_03-12-2012_9_3'!2013:2013,"AAAAAFPnZ8A=",0)</f>
        <v>0</v>
      </c>
      <c r="GL126" t="e">
        <f>AND('Planilla_General_03-12-2012_9_3'!A2013,"AAAAAFPnZ8E=")</f>
        <v>#VALUE!</v>
      </c>
      <c r="GM126" t="e">
        <f>AND('Planilla_General_03-12-2012_9_3'!B2013,"AAAAAFPnZ8I=")</f>
        <v>#VALUE!</v>
      </c>
      <c r="GN126" t="e">
        <f>AND('Planilla_General_03-12-2012_9_3'!C2013,"AAAAAFPnZ8M=")</f>
        <v>#VALUE!</v>
      </c>
      <c r="GO126" t="e">
        <f>AND('Planilla_General_03-12-2012_9_3'!D2013,"AAAAAFPnZ8Q=")</f>
        <v>#VALUE!</v>
      </c>
      <c r="GP126" t="e">
        <f>AND('Planilla_General_03-12-2012_9_3'!E2013,"AAAAAFPnZ8U=")</f>
        <v>#VALUE!</v>
      </c>
      <c r="GQ126" t="e">
        <f>AND('Planilla_General_03-12-2012_9_3'!F2013,"AAAAAFPnZ8Y=")</f>
        <v>#VALUE!</v>
      </c>
      <c r="GR126" t="e">
        <f>AND('Planilla_General_03-12-2012_9_3'!G2013,"AAAAAFPnZ8c=")</f>
        <v>#VALUE!</v>
      </c>
      <c r="GS126" t="e">
        <f>AND('Planilla_General_03-12-2012_9_3'!H2013,"AAAAAFPnZ8g=")</f>
        <v>#VALUE!</v>
      </c>
      <c r="GT126" t="e">
        <f>AND('Planilla_General_03-12-2012_9_3'!I2013,"AAAAAFPnZ8k=")</f>
        <v>#VALUE!</v>
      </c>
      <c r="GU126" t="e">
        <f>AND('Planilla_General_03-12-2012_9_3'!J2013,"AAAAAFPnZ8o=")</f>
        <v>#VALUE!</v>
      </c>
      <c r="GV126" t="e">
        <f>AND('Planilla_General_03-12-2012_9_3'!K2013,"AAAAAFPnZ8s=")</f>
        <v>#VALUE!</v>
      </c>
      <c r="GW126" t="e">
        <f>AND('Planilla_General_03-12-2012_9_3'!L2013,"AAAAAFPnZ8w=")</f>
        <v>#VALUE!</v>
      </c>
      <c r="GX126" t="e">
        <f>AND('Planilla_General_03-12-2012_9_3'!M2013,"AAAAAFPnZ80=")</f>
        <v>#VALUE!</v>
      </c>
      <c r="GY126" t="e">
        <f>AND('Planilla_General_03-12-2012_9_3'!N2013,"AAAAAFPnZ84=")</f>
        <v>#VALUE!</v>
      </c>
      <c r="GZ126" t="e">
        <f>AND('Planilla_General_03-12-2012_9_3'!O2013,"AAAAAFPnZ88=")</f>
        <v>#VALUE!</v>
      </c>
      <c r="HA126">
        <f>IF('Planilla_General_03-12-2012_9_3'!2014:2014,"AAAAAFPnZ9A=",0)</f>
        <v>0</v>
      </c>
      <c r="HB126" t="e">
        <f>AND('Planilla_General_03-12-2012_9_3'!A2014,"AAAAAFPnZ9E=")</f>
        <v>#VALUE!</v>
      </c>
      <c r="HC126" t="e">
        <f>AND('Planilla_General_03-12-2012_9_3'!B2014,"AAAAAFPnZ9I=")</f>
        <v>#VALUE!</v>
      </c>
      <c r="HD126" t="e">
        <f>AND('Planilla_General_03-12-2012_9_3'!C2014,"AAAAAFPnZ9M=")</f>
        <v>#VALUE!</v>
      </c>
      <c r="HE126" t="e">
        <f>AND('Planilla_General_03-12-2012_9_3'!D2014,"AAAAAFPnZ9Q=")</f>
        <v>#VALUE!</v>
      </c>
      <c r="HF126" t="e">
        <f>AND('Planilla_General_03-12-2012_9_3'!E2014,"AAAAAFPnZ9U=")</f>
        <v>#VALUE!</v>
      </c>
      <c r="HG126" t="e">
        <f>AND('Planilla_General_03-12-2012_9_3'!F2014,"AAAAAFPnZ9Y=")</f>
        <v>#VALUE!</v>
      </c>
      <c r="HH126" t="e">
        <f>AND('Planilla_General_03-12-2012_9_3'!G2014,"AAAAAFPnZ9c=")</f>
        <v>#VALUE!</v>
      </c>
      <c r="HI126" t="e">
        <f>AND('Planilla_General_03-12-2012_9_3'!H2014,"AAAAAFPnZ9g=")</f>
        <v>#VALUE!</v>
      </c>
      <c r="HJ126" t="e">
        <f>AND('Planilla_General_03-12-2012_9_3'!I2014,"AAAAAFPnZ9k=")</f>
        <v>#VALUE!</v>
      </c>
      <c r="HK126" t="e">
        <f>AND('Planilla_General_03-12-2012_9_3'!J2014,"AAAAAFPnZ9o=")</f>
        <v>#VALUE!</v>
      </c>
      <c r="HL126" t="e">
        <f>AND('Planilla_General_03-12-2012_9_3'!K2014,"AAAAAFPnZ9s=")</f>
        <v>#VALUE!</v>
      </c>
      <c r="HM126" t="e">
        <f>AND('Planilla_General_03-12-2012_9_3'!L2014,"AAAAAFPnZ9w=")</f>
        <v>#VALUE!</v>
      </c>
      <c r="HN126" t="e">
        <f>AND('Planilla_General_03-12-2012_9_3'!M2014,"AAAAAFPnZ90=")</f>
        <v>#VALUE!</v>
      </c>
      <c r="HO126" t="e">
        <f>AND('Planilla_General_03-12-2012_9_3'!N2014,"AAAAAFPnZ94=")</f>
        <v>#VALUE!</v>
      </c>
      <c r="HP126" t="e">
        <f>AND('Planilla_General_03-12-2012_9_3'!O2014,"AAAAAFPnZ98=")</f>
        <v>#VALUE!</v>
      </c>
      <c r="HQ126">
        <f>IF('Planilla_General_03-12-2012_9_3'!2015:2015,"AAAAAFPnZ+A=",0)</f>
        <v>0</v>
      </c>
      <c r="HR126" t="e">
        <f>AND('Planilla_General_03-12-2012_9_3'!A2015,"AAAAAFPnZ+E=")</f>
        <v>#VALUE!</v>
      </c>
      <c r="HS126" t="e">
        <f>AND('Planilla_General_03-12-2012_9_3'!B2015,"AAAAAFPnZ+I=")</f>
        <v>#VALUE!</v>
      </c>
      <c r="HT126" t="e">
        <f>AND('Planilla_General_03-12-2012_9_3'!C2015,"AAAAAFPnZ+M=")</f>
        <v>#VALUE!</v>
      </c>
      <c r="HU126" t="e">
        <f>AND('Planilla_General_03-12-2012_9_3'!D2015,"AAAAAFPnZ+Q=")</f>
        <v>#VALUE!</v>
      </c>
      <c r="HV126" t="e">
        <f>AND('Planilla_General_03-12-2012_9_3'!E2015,"AAAAAFPnZ+U=")</f>
        <v>#VALUE!</v>
      </c>
      <c r="HW126" t="e">
        <f>AND('Planilla_General_03-12-2012_9_3'!F2015,"AAAAAFPnZ+Y=")</f>
        <v>#VALUE!</v>
      </c>
      <c r="HX126" t="e">
        <f>AND('Planilla_General_03-12-2012_9_3'!G2015,"AAAAAFPnZ+c=")</f>
        <v>#VALUE!</v>
      </c>
      <c r="HY126" t="e">
        <f>AND('Planilla_General_03-12-2012_9_3'!H2015,"AAAAAFPnZ+g=")</f>
        <v>#VALUE!</v>
      </c>
      <c r="HZ126" t="e">
        <f>AND('Planilla_General_03-12-2012_9_3'!I2015,"AAAAAFPnZ+k=")</f>
        <v>#VALUE!</v>
      </c>
      <c r="IA126" t="e">
        <f>AND('Planilla_General_03-12-2012_9_3'!J2015,"AAAAAFPnZ+o=")</f>
        <v>#VALUE!</v>
      </c>
      <c r="IB126" t="e">
        <f>AND('Planilla_General_03-12-2012_9_3'!K2015,"AAAAAFPnZ+s=")</f>
        <v>#VALUE!</v>
      </c>
      <c r="IC126" t="e">
        <f>AND('Planilla_General_03-12-2012_9_3'!L2015,"AAAAAFPnZ+w=")</f>
        <v>#VALUE!</v>
      </c>
      <c r="ID126" t="e">
        <f>AND('Planilla_General_03-12-2012_9_3'!M2015,"AAAAAFPnZ+0=")</f>
        <v>#VALUE!</v>
      </c>
      <c r="IE126" t="e">
        <f>AND('Planilla_General_03-12-2012_9_3'!N2015,"AAAAAFPnZ+4=")</f>
        <v>#VALUE!</v>
      </c>
      <c r="IF126" t="e">
        <f>AND('Planilla_General_03-12-2012_9_3'!O2015,"AAAAAFPnZ+8=")</f>
        <v>#VALUE!</v>
      </c>
      <c r="IG126">
        <f>IF('Planilla_General_03-12-2012_9_3'!2016:2016,"AAAAAFPnZ/A=",0)</f>
        <v>0</v>
      </c>
      <c r="IH126" t="e">
        <f>AND('Planilla_General_03-12-2012_9_3'!A2016,"AAAAAFPnZ/E=")</f>
        <v>#VALUE!</v>
      </c>
      <c r="II126" t="e">
        <f>AND('Planilla_General_03-12-2012_9_3'!B2016,"AAAAAFPnZ/I=")</f>
        <v>#VALUE!</v>
      </c>
      <c r="IJ126" t="e">
        <f>AND('Planilla_General_03-12-2012_9_3'!C2016,"AAAAAFPnZ/M=")</f>
        <v>#VALUE!</v>
      </c>
      <c r="IK126" t="e">
        <f>AND('Planilla_General_03-12-2012_9_3'!D2016,"AAAAAFPnZ/Q=")</f>
        <v>#VALUE!</v>
      </c>
      <c r="IL126" t="e">
        <f>AND('Planilla_General_03-12-2012_9_3'!E2016,"AAAAAFPnZ/U=")</f>
        <v>#VALUE!</v>
      </c>
      <c r="IM126" t="e">
        <f>AND('Planilla_General_03-12-2012_9_3'!F2016,"AAAAAFPnZ/Y=")</f>
        <v>#VALUE!</v>
      </c>
      <c r="IN126" t="e">
        <f>AND('Planilla_General_03-12-2012_9_3'!G2016,"AAAAAFPnZ/c=")</f>
        <v>#VALUE!</v>
      </c>
      <c r="IO126" t="e">
        <f>AND('Planilla_General_03-12-2012_9_3'!H2016,"AAAAAFPnZ/g=")</f>
        <v>#VALUE!</v>
      </c>
      <c r="IP126" t="e">
        <f>AND('Planilla_General_03-12-2012_9_3'!I2016,"AAAAAFPnZ/k=")</f>
        <v>#VALUE!</v>
      </c>
      <c r="IQ126" t="e">
        <f>AND('Planilla_General_03-12-2012_9_3'!J2016,"AAAAAFPnZ/o=")</f>
        <v>#VALUE!</v>
      </c>
      <c r="IR126" t="e">
        <f>AND('Planilla_General_03-12-2012_9_3'!K2016,"AAAAAFPnZ/s=")</f>
        <v>#VALUE!</v>
      </c>
      <c r="IS126" t="e">
        <f>AND('Planilla_General_03-12-2012_9_3'!L2016,"AAAAAFPnZ/w=")</f>
        <v>#VALUE!</v>
      </c>
      <c r="IT126" t="e">
        <f>AND('Planilla_General_03-12-2012_9_3'!M2016,"AAAAAFPnZ/0=")</f>
        <v>#VALUE!</v>
      </c>
      <c r="IU126" t="e">
        <f>AND('Planilla_General_03-12-2012_9_3'!N2016,"AAAAAFPnZ/4=")</f>
        <v>#VALUE!</v>
      </c>
      <c r="IV126" t="e">
        <f>AND('Planilla_General_03-12-2012_9_3'!O2016,"AAAAAFPnZ/8=")</f>
        <v>#VALUE!</v>
      </c>
    </row>
    <row r="127" spans="1:256" x14ac:dyDescent="0.25">
      <c r="A127" t="e">
        <f>IF('Planilla_General_03-12-2012_9_3'!2017:2017,"AAAAAF//iwA=",0)</f>
        <v>#VALUE!</v>
      </c>
      <c r="B127" t="e">
        <f>AND('Planilla_General_03-12-2012_9_3'!A2017,"AAAAAF//iwE=")</f>
        <v>#VALUE!</v>
      </c>
      <c r="C127" t="e">
        <f>AND('Planilla_General_03-12-2012_9_3'!B2017,"AAAAAF//iwI=")</f>
        <v>#VALUE!</v>
      </c>
      <c r="D127" t="e">
        <f>AND('Planilla_General_03-12-2012_9_3'!C2017,"AAAAAF//iwM=")</f>
        <v>#VALUE!</v>
      </c>
      <c r="E127" t="e">
        <f>AND('Planilla_General_03-12-2012_9_3'!D2017,"AAAAAF//iwQ=")</f>
        <v>#VALUE!</v>
      </c>
      <c r="F127" t="e">
        <f>AND('Planilla_General_03-12-2012_9_3'!E2017,"AAAAAF//iwU=")</f>
        <v>#VALUE!</v>
      </c>
      <c r="G127" t="e">
        <f>AND('Planilla_General_03-12-2012_9_3'!F2017,"AAAAAF//iwY=")</f>
        <v>#VALUE!</v>
      </c>
      <c r="H127" t="e">
        <f>AND('Planilla_General_03-12-2012_9_3'!G2017,"AAAAAF//iwc=")</f>
        <v>#VALUE!</v>
      </c>
      <c r="I127" t="e">
        <f>AND('Planilla_General_03-12-2012_9_3'!H2017,"AAAAAF//iwg=")</f>
        <v>#VALUE!</v>
      </c>
      <c r="J127" t="e">
        <f>AND('Planilla_General_03-12-2012_9_3'!I2017,"AAAAAF//iwk=")</f>
        <v>#VALUE!</v>
      </c>
      <c r="K127" t="e">
        <f>AND('Planilla_General_03-12-2012_9_3'!J2017,"AAAAAF//iwo=")</f>
        <v>#VALUE!</v>
      </c>
      <c r="L127" t="e">
        <f>AND('Planilla_General_03-12-2012_9_3'!K2017,"AAAAAF//iws=")</f>
        <v>#VALUE!</v>
      </c>
      <c r="M127" t="e">
        <f>AND('Planilla_General_03-12-2012_9_3'!L2017,"AAAAAF//iww=")</f>
        <v>#VALUE!</v>
      </c>
      <c r="N127" t="e">
        <f>AND('Planilla_General_03-12-2012_9_3'!M2017,"AAAAAF//iw0=")</f>
        <v>#VALUE!</v>
      </c>
      <c r="O127" t="e">
        <f>AND('Planilla_General_03-12-2012_9_3'!N2017,"AAAAAF//iw4=")</f>
        <v>#VALUE!</v>
      </c>
      <c r="P127" t="e">
        <f>AND('Planilla_General_03-12-2012_9_3'!O2017,"AAAAAF//iw8=")</f>
        <v>#VALUE!</v>
      </c>
      <c r="Q127">
        <f>IF('Planilla_General_03-12-2012_9_3'!2018:2018,"AAAAAF//ixA=",0)</f>
        <v>0</v>
      </c>
      <c r="R127" t="e">
        <f>AND('Planilla_General_03-12-2012_9_3'!A2018,"AAAAAF//ixE=")</f>
        <v>#VALUE!</v>
      </c>
      <c r="S127" t="e">
        <f>AND('Planilla_General_03-12-2012_9_3'!B2018,"AAAAAF//ixI=")</f>
        <v>#VALUE!</v>
      </c>
      <c r="T127" t="e">
        <f>AND('Planilla_General_03-12-2012_9_3'!C2018,"AAAAAF//ixM=")</f>
        <v>#VALUE!</v>
      </c>
      <c r="U127" t="e">
        <f>AND('Planilla_General_03-12-2012_9_3'!D2018,"AAAAAF//ixQ=")</f>
        <v>#VALUE!</v>
      </c>
      <c r="V127" t="e">
        <f>AND('Planilla_General_03-12-2012_9_3'!E2018,"AAAAAF//ixU=")</f>
        <v>#VALUE!</v>
      </c>
      <c r="W127" t="e">
        <f>AND('Planilla_General_03-12-2012_9_3'!F2018,"AAAAAF//ixY=")</f>
        <v>#VALUE!</v>
      </c>
      <c r="X127" t="e">
        <f>AND('Planilla_General_03-12-2012_9_3'!G2018,"AAAAAF//ixc=")</f>
        <v>#VALUE!</v>
      </c>
      <c r="Y127" t="e">
        <f>AND('Planilla_General_03-12-2012_9_3'!H2018,"AAAAAF//ixg=")</f>
        <v>#VALUE!</v>
      </c>
      <c r="Z127" t="e">
        <f>AND('Planilla_General_03-12-2012_9_3'!I2018,"AAAAAF//ixk=")</f>
        <v>#VALUE!</v>
      </c>
      <c r="AA127" t="e">
        <f>AND('Planilla_General_03-12-2012_9_3'!J2018,"AAAAAF//ixo=")</f>
        <v>#VALUE!</v>
      </c>
      <c r="AB127" t="e">
        <f>AND('Planilla_General_03-12-2012_9_3'!K2018,"AAAAAF//ixs=")</f>
        <v>#VALUE!</v>
      </c>
      <c r="AC127" t="e">
        <f>AND('Planilla_General_03-12-2012_9_3'!L2018,"AAAAAF//ixw=")</f>
        <v>#VALUE!</v>
      </c>
      <c r="AD127" t="e">
        <f>AND('Planilla_General_03-12-2012_9_3'!M2018,"AAAAAF//ix0=")</f>
        <v>#VALUE!</v>
      </c>
      <c r="AE127" t="e">
        <f>AND('Planilla_General_03-12-2012_9_3'!N2018,"AAAAAF//ix4=")</f>
        <v>#VALUE!</v>
      </c>
      <c r="AF127" t="e">
        <f>AND('Planilla_General_03-12-2012_9_3'!O2018,"AAAAAF//ix8=")</f>
        <v>#VALUE!</v>
      </c>
      <c r="AG127">
        <f>IF('Planilla_General_03-12-2012_9_3'!2019:2019,"AAAAAF//iyA=",0)</f>
        <v>0</v>
      </c>
      <c r="AH127" t="e">
        <f>AND('Planilla_General_03-12-2012_9_3'!A2019,"AAAAAF//iyE=")</f>
        <v>#VALUE!</v>
      </c>
      <c r="AI127" t="e">
        <f>AND('Planilla_General_03-12-2012_9_3'!B2019,"AAAAAF//iyI=")</f>
        <v>#VALUE!</v>
      </c>
      <c r="AJ127" t="e">
        <f>AND('Planilla_General_03-12-2012_9_3'!C2019,"AAAAAF//iyM=")</f>
        <v>#VALUE!</v>
      </c>
      <c r="AK127" t="e">
        <f>AND('Planilla_General_03-12-2012_9_3'!D2019,"AAAAAF//iyQ=")</f>
        <v>#VALUE!</v>
      </c>
      <c r="AL127" t="e">
        <f>AND('Planilla_General_03-12-2012_9_3'!E2019,"AAAAAF//iyU=")</f>
        <v>#VALUE!</v>
      </c>
      <c r="AM127" t="e">
        <f>AND('Planilla_General_03-12-2012_9_3'!F2019,"AAAAAF//iyY=")</f>
        <v>#VALUE!</v>
      </c>
      <c r="AN127" t="e">
        <f>AND('Planilla_General_03-12-2012_9_3'!G2019,"AAAAAF//iyc=")</f>
        <v>#VALUE!</v>
      </c>
      <c r="AO127" t="e">
        <f>AND('Planilla_General_03-12-2012_9_3'!H2019,"AAAAAF//iyg=")</f>
        <v>#VALUE!</v>
      </c>
      <c r="AP127" t="e">
        <f>AND('Planilla_General_03-12-2012_9_3'!I2019,"AAAAAF//iyk=")</f>
        <v>#VALUE!</v>
      </c>
      <c r="AQ127" t="e">
        <f>AND('Planilla_General_03-12-2012_9_3'!J2019,"AAAAAF//iyo=")</f>
        <v>#VALUE!</v>
      </c>
      <c r="AR127" t="e">
        <f>AND('Planilla_General_03-12-2012_9_3'!K2019,"AAAAAF//iys=")</f>
        <v>#VALUE!</v>
      </c>
      <c r="AS127" t="e">
        <f>AND('Planilla_General_03-12-2012_9_3'!L2019,"AAAAAF//iyw=")</f>
        <v>#VALUE!</v>
      </c>
      <c r="AT127" t="e">
        <f>AND('Planilla_General_03-12-2012_9_3'!M2019,"AAAAAF//iy0=")</f>
        <v>#VALUE!</v>
      </c>
      <c r="AU127" t="e">
        <f>AND('Planilla_General_03-12-2012_9_3'!N2019,"AAAAAF//iy4=")</f>
        <v>#VALUE!</v>
      </c>
      <c r="AV127" t="e">
        <f>AND('Planilla_General_03-12-2012_9_3'!O2019,"AAAAAF//iy8=")</f>
        <v>#VALUE!</v>
      </c>
      <c r="AW127">
        <f>IF('Planilla_General_03-12-2012_9_3'!2020:2020,"AAAAAF//izA=",0)</f>
        <v>0</v>
      </c>
      <c r="AX127" t="e">
        <f>AND('Planilla_General_03-12-2012_9_3'!A2020,"AAAAAF//izE=")</f>
        <v>#VALUE!</v>
      </c>
      <c r="AY127" t="e">
        <f>AND('Planilla_General_03-12-2012_9_3'!B2020,"AAAAAF//izI=")</f>
        <v>#VALUE!</v>
      </c>
      <c r="AZ127" t="e">
        <f>AND('Planilla_General_03-12-2012_9_3'!C2020,"AAAAAF//izM=")</f>
        <v>#VALUE!</v>
      </c>
      <c r="BA127" t="e">
        <f>AND('Planilla_General_03-12-2012_9_3'!D2020,"AAAAAF//izQ=")</f>
        <v>#VALUE!</v>
      </c>
      <c r="BB127" t="e">
        <f>AND('Planilla_General_03-12-2012_9_3'!E2020,"AAAAAF//izU=")</f>
        <v>#VALUE!</v>
      </c>
      <c r="BC127" t="e">
        <f>AND('Planilla_General_03-12-2012_9_3'!F2020,"AAAAAF//izY=")</f>
        <v>#VALUE!</v>
      </c>
      <c r="BD127" t="e">
        <f>AND('Planilla_General_03-12-2012_9_3'!G2020,"AAAAAF//izc=")</f>
        <v>#VALUE!</v>
      </c>
      <c r="BE127" t="e">
        <f>AND('Planilla_General_03-12-2012_9_3'!H2020,"AAAAAF//izg=")</f>
        <v>#VALUE!</v>
      </c>
      <c r="BF127" t="e">
        <f>AND('Planilla_General_03-12-2012_9_3'!I2020,"AAAAAF//izk=")</f>
        <v>#VALUE!</v>
      </c>
      <c r="BG127" t="e">
        <f>AND('Planilla_General_03-12-2012_9_3'!J2020,"AAAAAF//izo=")</f>
        <v>#VALUE!</v>
      </c>
      <c r="BH127" t="e">
        <f>AND('Planilla_General_03-12-2012_9_3'!K2020,"AAAAAF//izs=")</f>
        <v>#VALUE!</v>
      </c>
      <c r="BI127" t="e">
        <f>AND('Planilla_General_03-12-2012_9_3'!L2020,"AAAAAF//izw=")</f>
        <v>#VALUE!</v>
      </c>
      <c r="BJ127" t="e">
        <f>AND('Planilla_General_03-12-2012_9_3'!M2020,"AAAAAF//iz0=")</f>
        <v>#VALUE!</v>
      </c>
      <c r="BK127" t="e">
        <f>AND('Planilla_General_03-12-2012_9_3'!N2020,"AAAAAF//iz4=")</f>
        <v>#VALUE!</v>
      </c>
      <c r="BL127" t="e">
        <f>AND('Planilla_General_03-12-2012_9_3'!O2020,"AAAAAF//iz8=")</f>
        <v>#VALUE!</v>
      </c>
      <c r="BM127">
        <f>IF('Planilla_General_03-12-2012_9_3'!2021:2021,"AAAAAF//i0A=",0)</f>
        <v>0</v>
      </c>
      <c r="BN127" t="e">
        <f>AND('Planilla_General_03-12-2012_9_3'!A2021,"AAAAAF//i0E=")</f>
        <v>#VALUE!</v>
      </c>
      <c r="BO127" t="e">
        <f>AND('Planilla_General_03-12-2012_9_3'!B2021,"AAAAAF//i0I=")</f>
        <v>#VALUE!</v>
      </c>
      <c r="BP127" t="e">
        <f>AND('Planilla_General_03-12-2012_9_3'!C2021,"AAAAAF//i0M=")</f>
        <v>#VALUE!</v>
      </c>
      <c r="BQ127" t="e">
        <f>AND('Planilla_General_03-12-2012_9_3'!D2021,"AAAAAF//i0Q=")</f>
        <v>#VALUE!</v>
      </c>
      <c r="BR127" t="e">
        <f>AND('Planilla_General_03-12-2012_9_3'!E2021,"AAAAAF//i0U=")</f>
        <v>#VALUE!</v>
      </c>
      <c r="BS127" t="e">
        <f>AND('Planilla_General_03-12-2012_9_3'!F2021,"AAAAAF//i0Y=")</f>
        <v>#VALUE!</v>
      </c>
      <c r="BT127" t="e">
        <f>AND('Planilla_General_03-12-2012_9_3'!G2021,"AAAAAF//i0c=")</f>
        <v>#VALUE!</v>
      </c>
      <c r="BU127" t="e">
        <f>AND('Planilla_General_03-12-2012_9_3'!H2021,"AAAAAF//i0g=")</f>
        <v>#VALUE!</v>
      </c>
      <c r="BV127" t="e">
        <f>AND('Planilla_General_03-12-2012_9_3'!I2021,"AAAAAF//i0k=")</f>
        <v>#VALUE!</v>
      </c>
      <c r="BW127" t="e">
        <f>AND('Planilla_General_03-12-2012_9_3'!J2021,"AAAAAF//i0o=")</f>
        <v>#VALUE!</v>
      </c>
      <c r="BX127" t="e">
        <f>AND('Planilla_General_03-12-2012_9_3'!K2021,"AAAAAF//i0s=")</f>
        <v>#VALUE!</v>
      </c>
      <c r="BY127" t="e">
        <f>AND('Planilla_General_03-12-2012_9_3'!L2021,"AAAAAF//i0w=")</f>
        <v>#VALUE!</v>
      </c>
      <c r="BZ127" t="e">
        <f>AND('Planilla_General_03-12-2012_9_3'!M2021,"AAAAAF//i00=")</f>
        <v>#VALUE!</v>
      </c>
      <c r="CA127" t="e">
        <f>AND('Planilla_General_03-12-2012_9_3'!N2021,"AAAAAF//i04=")</f>
        <v>#VALUE!</v>
      </c>
      <c r="CB127" t="e">
        <f>AND('Planilla_General_03-12-2012_9_3'!O2021,"AAAAAF//i08=")</f>
        <v>#VALUE!</v>
      </c>
      <c r="CC127">
        <f>IF('Planilla_General_03-12-2012_9_3'!2022:2022,"AAAAAF//i1A=",0)</f>
        <v>0</v>
      </c>
      <c r="CD127" t="e">
        <f>AND('Planilla_General_03-12-2012_9_3'!A2022,"AAAAAF//i1E=")</f>
        <v>#VALUE!</v>
      </c>
      <c r="CE127" t="e">
        <f>AND('Planilla_General_03-12-2012_9_3'!B2022,"AAAAAF//i1I=")</f>
        <v>#VALUE!</v>
      </c>
      <c r="CF127" t="e">
        <f>AND('Planilla_General_03-12-2012_9_3'!C2022,"AAAAAF//i1M=")</f>
        <v>#VALUE!</v>
      </c>
      <c r="CG127" t="e">
        <f>AND('Planilla_General_03-12-2012_9_3'!D2022,"AAAAAF//i1Q=")</f>
        <v>#VALUE!</v>
      </c>
      <c r="CH127" t="e">
        <f>AND('Planilla_General_03-12-2012_9_3'!E2022,"AAAAAF//i1U=")</f>
        <v>#VALUE!</v>
      </c>
      <c r="CI127" t="e">
        <f>AND('Planilla_General_03-12-2012_9_3'!F2022,"AAAAAF//i1Y=")</f>
        <v>#VALUE!</v>
      </c>
      <c r="CJ127" t="e">
        <f>AND('Planilla_General_03-12-2012_9_3'!G2022,"AAAAAF//i1c=")</f>
        <v>#VALUE!</v>
      </c>
      <c r="CK127" t="e">
        <f>AND('Planilla_General_03-12-2012_9_3'!H2022,"AAAAAF//i1g=")</f>
        <v>#VALUE!</v>
      </c>
      <c r="CL127" t="e">
        <f>AND('Planilla_General_03-12-2012_9_3'!I2022,"AAAAAF//i1k=")</f>
        <v>#VALUE!</v>
      </c>
      <c r="CM127" t="e">
        <f>AND('Planilla_General_03-12-2012_9_3'!J2022,"AAAAAF//i1o=")</f>
        <v>#VALUE!</v>
      </c>
      <c r="CN127" t="e">
        <f>AND('Planilla_General_03-12-2012_9_3'!K2022,"AAAAAF//i1s=")</f>
        <v>#VALUE!</v>
      </c>
      <c r="CO127" t="e">
        <f>AND('Planilla_General_03-12-2012_9_3'!L2022,"AAAAAF//i1w=")</f>
        <v>#VALUE!</v>
      </c>
      <c r="CP127" t="e">
        <f>AND('Planilla_General_03-12-2012_9_3'!M2022,"AAAAAF//i10=")</f>
        <v>#VALUE!</v>
      </c>
      <c r="CQ127" t="e">
        <f>AND('Planilla_General_03-12-2012_9_3'!N2022,"AAAAAF//i14=")</f>
        <v>#VALUE!</v>
      </c>
      <c r="CR127" t="e">
        <f>AND('Planilla_General_03-12-2012_9_3'!O2022,"AAAAAF//i18=")</f>
        <v>#VALUE!</v>
      </c>
      <c r="CS127">
        <f>IF('Planilla_General_03-12-2012_9_3'!2023:2023,"AAAAAF//i2A=",0)</f>
        <v>0</v>
      </c>
      <c r="CT127" t="e">
        <f>AND('Planilla_General_03-12-2012_9_3'!A2023,"AAAAAF//i2E=")</f>
        <v>#VALUE!</v>
      </c>
      <c r="CU127" t="e">
        <f>AND('Planilla_General_03-12-2012_9_3'!B2023,"AAAAAF//i2I=")</f>
        <v>#VALUE!</v>
      </c>
      <c r="CV127" t="e">
        <f>AND('Planilla_General_03-12-2012_9_3'!C2023,"AAAAAF//i2M=")</f>
        <v>#VALUE!</v>
      </c>
      <c r="CW127" t="e">
        <f>AND('Planilla_General_03-12-2012_9_3'!D2023,"AAAAAF//i2Q=")</f>
        <v>#VALUE!</v>
      </c>
      <c r="CX127" t="e">
        <f>AND('Planilla_General_03-12-2012_9_3'!E2023,"AAAAAF//i2U=")</f>
        <v>#VALUE!</v>
      </c>
      <c r="CY127" t="e">
        <f>AND('Planilla_General_03-12-2012_9_3'!F2023,"AAAAAF//i2Y=")</f>
        <v>#VALUE!</v>
      </c>
      <c r="CZ127" t="e">
        <f>AND('Planilla_General_03-12-2012_9_3'!G2023,"AAAAAF//i2c=")</f>
        <v>#VALUE!</v>
      </c>
      <c r="DA127" t="e">
        <f>AND('Planilla_General_03-12-2012_9_3'!H2023,"AAAAAF//i2g=")</f>
        <v>#VALUE!</v>
      </c>
      <c r="DB127" t="e">
        <f>AND('Planilla_General_03-12-2012_9_3'!I2023,"AAAAAF//i2k=")</f>
        <v>#VALUE!</v>
      </c>
      <c r="DC127" t="e">
        <f>AND('Planilla_General_03-12-2012_9_3'!J2023,"AAAAAF//i2o=")</f>
        <v>#VALUE!</v>
      </c>
      <c r="DD127" t="e">
        <f>AND('Planilla_General_03-12-2012_9_3'!K2023,"AAAAAF//i2s=")</f>
        <v>#VALUE!</v>
      </c>
      <c r="DE127" t="e">
        <f>AND('Planilla_General_03-12-2012_9_3'!L2023,"AAAAAF//i2w=")</f>
        <v>#VALUE!</v>
      </c>
      <c r="DF127" t="e">
        <f>AND('Planilla_General_03-12-2012_9_3'!M2023,"AAAAAF//i20=")</f>
        <v>#VALUE!</v>
      </c>
      <c r="DG127" t="e">
        <f>AND('Planilla_General_03-12-2012_9_3'!N2023,"AAAAAF//i24=")</f>
        <v>#VALUE!</v>
      </c>
      <c r="DH127" t="e">
        <f>AND('Planilla_General_03-12-2012_9_3'!O2023,"AAAAAF//i28=")</f>
        <v>#VALUE!</v>
      </c>
      <c r="DI127">
        <f>IF('Planilla_General_03-12-2012_9_3'!2024:2024,"AAAAAF//i3A=",0)</f>
        <v>0</v>
      </c>
      <c r="DJ127" t="e">
        <f>AND('Planilla_General_03-12-2012_9_3'!A2024,"AAAAAF//i3E=")</f>
        <v>#VALUE!</v>
      </c>
      <c r="DK127" t="e">
        <f>AND('Planilla_General_03-12-2012_9_3'!B2024,"AAAAAF//i3I=")</f>
        <v>#VALUE!</v>
      </c>
      <c r="DL127" t="e">
        <f>AND('Planilla_General_03-12-2012_9_3'!C2024,"AAAAAF//i3M=")</f>
        <v>#VALUE!</v>
      </c>
      <c r="DM127" t="e">
        <f>AND('Planilla_General_03-12-2012_9_3'!D2024,"AAAAAF//i3Q=")</f>
        <v>#VALUE!</v>
      </c>
      <c r="DN127" t="e">
        <f>AND('Planilla_General_03-12-2012_9_3'!E2024,"AAAAAF//i3U=")</f>
        <v>#VALUE!</v>
      </c>
      <c r="DO127" t="e">
        <f>AND('Planilla_General_03-12-2012_9_3'!F2024,"AAAAAF//i3Y=")</f>
        <v>#VALUE!</v>
      </c>
      <c r="DP127" t="e">
        <f>AND('Planilla_General_03-12-2012_9_3'!G2024,"AAAAAF//i3c=")</f>
        <v>#VALUE!</v>
      </c>
      <c r="DQ127" t="e">
        <f>AND('Planilla_General_03-12-2012_9_3'!H2024,"AAAAAF//i3g=")</f>
        <v>#VALUE!</v>
      </c>
      <c r="DR127" t="e">
        <f>AND('Planilla_General_03-12-2012_9_3'!I2024,"AAAAAF//i3k=")</f>
        <v>#VALUE!</v>
      </c>
      <c r="DS127" t="e">
        <f>AND('Planilla_General_03-12-2012_9_3'!J2024,"AAAAAF//i3o=")</f>
        <v>#VALUE!</v>
      </c>
      <c r="DT127" t="e">
        <f>AND('Planilla_General_03-12-2012_9_3'!K2024,"AAAAAF//i3s=")</f>
        <v>#VALUE!</v>
      </c>
      <c r="DU127" t="e">
        <f>AND('Planilla_General_03-12-2012_9_3'!L2024,"AAAAAF//i3w=")</f>
        <v>#VALUE!</v>
      </c>
      <c r="DV127" t="e">
        <f>AND('Planilla_General_03-12-2012_9_3'!M2024,"AAAAAF//i30=")</f>
        <v>#VALUE!</v>
      </c>
      <c r="DW127" t="e">
        <f>AND('Planilla_General_03-12-2012_9_3'!N2024,"AAAAAF//i34=")</f>
        <v>#VALUE!</v>
      </c>
      <c r="DX127" t="e">
        <f>AND('Planilla_General_03-12-2012_9_3'!O2024,"AAAAAF//i38=")</f>
        <v>#VALUE!</v>
      </c>
      <c r="DY127">
        <f>IF('Planilla_General_03-12-2012_9_3'!2025:2025,"AAAAAF//i4A=",0)</f>
        <v>0</v>
      </c>
      <c r="DZ127" t="e">
        <f>AND('Planilla_General_03-12-2012_9_3'!A2025,"AAAAAF//i4E=")</f>
        <v>#VALUE!</v>
      </c>
      <c r="EA127" t="e">
        <f>AND('Planilla_General_03-12-2012_9_3'!B2025,"AAAAAF//i4I=")</f>
        <v>#VALUE!</v>
      </c>
      <c r="EB127" t="e">
        <f>AND('Planilla_General_03-12-2012_9_3'!C2025,"AAAAAF//i4M=")</f>
        <v>#VALUE!</v>
      </c>
      <c r="EC127" t="e">
        <f>AND('Planilla_General_03-12-2012_9_3'!D2025,"AAAAAF//i4Q=")</f>
        <v>#VALUE!</v>
      </c>
      <c r="ED127" t="e">
        <f>AND('Planilla_General_03-12-2012_9_3'!E2025,"AAAAAF//i4U=")</f>
        <v>#VALUE!</v>
      </c>
      <c r="EE127" t="e">
        <f>AND('Planilla_General_03-12-2012_9_3'!F2025,"AAAAAF//i4Y=")</f>
        <v>#VALUE!</v>
      </c>
      <c r="EF127" t="e">
        <f>AND('Planilla_General_03-12-2012_9_3'!G2025,"AAAAAF//i4c=")</f>
        <v>#VALUE!</v>
      </c>
      <c r="EG127" t="e">
        <f>AND('Planilla_General_03-12-2012_9_3'!H2025,"AAAAAF//i4g=")</f>
        <v>#VALUE!</v>
      </c>
      <c r="EH127" t="e">
        <f>AND('Planilla_General_03-12-2012_9_3'!I2025,"AAAAAF//i4k=")</f>
        <v>#VALUE!</v>
      </c>
      <c r="EI127" t="e">
        <f>AND('Planilla_General_03-12-2012_9_3'!J2025,"AAAAAF//i4o=")</f>
        <v>#VALUE!</v>
      </c>
      <c r="EJ127" t="e">
        <f>AND('Planilla_General_03-12-2012_9_3'!K2025,"AAAAAF//i4s=")</f>
        <v>#VALUE!</v>
      </c>
      <c r="EK127" t="e">
        <f>AND('Planilla_General_03-12-2012_9_3'!L2025,"AAAAAF//i4w=")</f>
        <v>#VALUE!</v>
      </c>
      <c r="EL127" t="e">
        <f>AND('Planilla_General_03-12-2012_9_3'!M2025,"AAAAAF//i40=")</f>
        <v>#VALUE!</v>
      </c>
      <c r="EM127" t="e">
        <f>AND('Planilla_General_03-12-2012_9_3'!N2025,"AAAAAF//i44=")</f>
        <v>#VALUE!</v>
      </c>
      <c r="EN127" t="e">
        <f>AND('Planilla_General_03-12-2012_9_3'!O2025,"AAAAAF//i48=")</f>
        <v>#VALUE!</v>
      </c>
      <c r="EO127">
        <f>IF('Planilla_General_03-12-2012_9_3'!2026:2026,"AAAAAF//i5A=",0)</f>
        <v>0</v>
      </c>
      <c r="EP127" t="e">
        <f>AND('Planilla_General_03-12-2012_9_3'!A2026,"AAAAAF//i5E=")</f>
        <v>#VALUE!</v>
      </c>
      <c r="EQ127" t="e">
        <f>AND('Planilla_General_03-12-2012_9_3'!B2026,"AAAAAF//i5I=")</f>
        <v>#VALUE!</v>
      </c>
      <c r="ER127" t="e">
        <f>AND('Planilla_General_03-12-2012_9_3'!C2026,"AAAAAF//i5M=")</f>
        <v>#VALUE!</v>
      </c>
      <c r="ES127" t="e">
        <f>AND('Planilla_General_03-12-2012_9_3'!D2026,"AAAAAF//i5Q=")</f>
        <v>#VALUE!</v>
      </c>
      <c r="ET127" t="e">
        <f>AND('Planilla_General_03-12-2012_9_3'!E2026,"AAAAAF//i5U=")</f>
        <v>#VALUE!</v>
      </c>
      <c r="EU127" t="e">
        <f>AND('Planilla_General_03-12-2012_9_3'!F2026,"AAAAAF//i5Y=")</f>
        <v>#VALUE!</v>
      </c>
      <c r="EV127" t="e">
        <f>AND('Planilla_General_03-12-2012_9_3'!G2026,"AAAAAF//i5c=")</f>
        <v>#VALUE!</v>
      </c>
      <c r="EW127" t="e">
        <f>AND('Planilla_General_03-12-2012_9_3'!H2026,"AAAAAF//i5g=")</f>
        <v>#VALUE!</v>
      </c>
      <c r="EX127" t="e">
        <f>AND('Planilla_General_03-12-2012_9_3'!I2026,"AAAAAF//i5k=")</f>
        <v>#VALUE!</v>
      </c>
      <c r="EY127" t="e">
        <f>AND('Planilla_General_03-12-2012_9_3'!J2026,"AAAAAF//i5o=")</f>
        <v>#VALUE!</v>
      </c>
      <c r="EZ127" t="e">
        <f>AND('Planilla_General_03-12-2012_9_3'!K2026,"AAAAAF//i5s=")</f>
        <v>#VALUE!</v>
      </c>
      <c r="FA127" t="e">
        <f>AND('Planilla_General_03-12-2012_9_3'!L2026,"AAAAAF//i5w=")</f>
        <v>#VALUE!</v>
      </c>
      <c r="FB127" t="e">
        <f>AND('Planilla_General_03-12-2012_9_3'!M2026,"AAAAAF//i50=")</f>
        <v>#VALUE!</v>
      </c>
      <c r="FC127" t="e">
        <f>AND('Planilla_General_03-12-2012_9_3'!N2026,"AAAAAF//i54=")</f>
        <v>#VALUE!</v>
      </c>
      <c r="FD127" t="e">
        <f>AND('Planilla_General_03-12-2012_9_3'!O2026,"AAAAAF//i58=")</f>
        <v>#VALUE!</v>
      </c>
      <c r="FE127">
        <f>IF('Planilla_General_03-12-2012_9_3'!2027:2027,"AAAAAF//i6A=",0)</f>
        <v>0</v>
      </c>
      <c r="FF127" t="e">
        <f>AND('Planilla_General_03-12-2012_9_3'!A2027,"AAAAAF//i6E=")</f>
        <v>#VALUE!</v>
      </c>
      <c r="FG127" t="e">
        <f>AND('Planilla_General_03-12-2012_9_3'!B2027,"AAAAAF//i6I=")</f>
        <v>#VALUE!</v>
      </c>
      <c r="FH127" t="e">
        <f>AND('Planilla_General_03-12-2012_9_3'!C2027,"AAAAAF//i6M=")</f>
        <v>#VALUE!</v>
      </c>
      <c r="FI127" t="e">
        <f>AND('Planilla_General_03-12-2012_9_3'!D2027,"AAAAAF//i6Q=")</f>
        <v>#VALUE!</v>
      </c>
      <c r="FJ127" t="e">
        <f>AND('Planilla_General_03-12-2012_9_3'!E2027,"AAAAAF//i6U=")</f>
        <v>#VALUE!</v>
      </c>
      <c r="FK127" t="e">
        <f>AND('Planilla_General_03-12-2012_9_3'!F2027,"AAAAAF//i6Y=")</f>
        <v>#VALUE!</v>
      </c>
      <c r="FL127" t="e">
        <f>AND('Planilla_General_03-12-2012_9_3'!G2027,"AAAAAF//i6c=")</f>
        <v>#VALUE!</v>
      </c>
      <c r="FM127" t="e">
        <f>AND('Planilla_General_03-12-2012_9_3'!H2027,"AAAAAF//i6g=")</f>
        <v>#VALUE!</v>
      </c>
      <c r="FN127" t="e">
        <f>AND('Planilla_General_03-12-2012_9_3'!I2027,"AAAAAF//i6k=")</f>
        <v>#VALUE!</v>
      </c>
      <c r="FO127" t="e">
        <f>AND('Planilla_General_03-12-2012_9_3'!J2027,"AAAAAF//i6o=")</f>
        <v>#VALUE!</v>
      </c>
      <c r="FP127" t="e">
        <f>AND('Planilla_General_03-12-2012_9_3'!K2027,"AAAAAF//i6s=")</f>
        <v>#VALUE!</v>
      </c>
      <c r="FQ127" t="e">
        <f>AND('Planilla_General_03-12-2012_9_3'!L2027,"AAAAAF//i6w=")</f>
        <v>#VALUE!</v>
      </c>
      <c r="FR127" t="e">
        <f>AND('Planilla_General_03-12-2012_9_3'!M2027,"AAAAAF//i60=")</f>
        <v>#VALUE!</v>
      </c>
      <c r="FS127" t="e">
        <f>AND('Planilla_General_03-12-2012_9_3'!N2027,"AAAAAF//i64=")</f>
        <v>#VALUE!</v>
      </c>
      <c r="FT127" t="e">
        <f>AND('Planilla_General_03-12-2012_9_3'!O2027,"AAAAAF//i68=")</f>
        <v>#VALUE!</v>
      </c>
      <c r="FU127">
        <f>IF('Planilla_General_03-12-2012_9_3'!2028:2028,"AAAAAF//i7A=",0)</f>
        <v>0</v>
      </c>
      <c r="FV127" t="e">
        <f>AND('Planilla_General_03-12-2012_9_3'!A2028,"AAAAAF//i7E=")</f>
        <v>#VALUE!</v>
      </c>
      <c r="FW127" t="e">
        <f>AND('Planilla_General_03-12-2012_9_3'!B2028,"AAAAAF//i7I=")</f>
        <v>#VALUE!</v>
      </c>
      <c r="FX127" t="e">
        <f>AND('Planilla_General_03-12-2012_9_3'!C2028,"AAAAAF//i7M=")</f>
        <v>#VALUE!</v>
      </c>
      <c r="FY127" t="e">
        <f>AND('Planilla_General_03-12-2012_9_3'!D2028,"AAAAAF//i7Q=")</f>
        <v>#VALUE!</v>
      </c>
      <c r="FZ127" t="e">
        <f>AND('Planilla_General_03-12-2012_9_3'!E2028,"AAAAAF//i7U=")</f>
        <v>#VALUE!</v>
      </c>
      <c r="GA127" t="e">
        <f>AND('Planilla_General_03-12-2012_9_3'!F2028,"AAAAAF//i7Y=")</f>
        <v>#VALUE!</v>
      </c>
      <c r="GB127" t="e">
        <f>AND('Planilla_General_03-12-2012_9_3'!G2028,"AAAAAF//i7c=")</f>
        <v>#VALUE!</v>
      </c>
      <c r="GC127" t="e">
        <f>AND('Planilla_General_03-12-2012_9_3'!H2028,"AAAAAF//i7g=")</f>
        <v>#VALUE!</v>
      </c>
      <c r="GD127" t="e">
        <f>AND('Planilla_General_03-12-2012_9_3'!I2028,"AAAAAF//i7k=")</f>
        <v>#VALUE!</v>
      </c>
      <c r="GE127" t="e">
        <f>AND('Planilla_General_03-12-2012_9_3'!J2028,"AAAAAF//i7o=")</f>
        <v>#VALUE!</v>
      </c>
      <c r="GF127" t="e">
        <f>AND('Planilla_General_03-12-2012_9_3'!K2028,"AAAAAF//i7s=")</f>
        <v>#VALUE!</v>
      </c>
      <c r="GG127" t="e">
        <f>AND('Planilla_General_03-12-2012_9_3'!L2028,"AAAAAF//i7w=")</f>
        <v>#VALUE!</v>
      </c>
      <c r="GH127" t="e">
        <f>AND('Planilla_General_03-12-2012_9_3'!M2028,"AAAAAF//i70=")</f>
        <v>#VALUE!</v>
      </c>
      <c r="GI127" t="e">
        <f>AND('Planilla_General_03-12-2012_9_3'!N2028,"AAAAAF//i74=")</f>
        <v>#VALUE!</v>
      </c>
      <c r="GJ127" t="e">
        <f>AND('Planilla_General_03-12-2012_9_3'!O2028,"AAAAAF//i78=")</f>
        <v>#VALUE!</v>
      </c>
      <c r="GK127">
        <f>IF('Planilla_General_03-12-2012_9_3'!2029:2029,"AAAAAF//i8A=",0)</f>
        <v>0</v>
      </c>
      <c r="GL127" t="e">
        <f>AND('Planilla_General_03-12-2012_9_3'!A2029,"AAAAAF//i8E=")</f>
        <v>#VALUE!</v>
      </c>
      <c r="GM127" t="e">
        <f>AND('Planilla_General_03-12-2012_9_3'!B2029,"AAAAAF//i8I=")</f>
        <v>#VALUE!</v>
      </c>
      <c r="GN127" t="e">
        <f>AND('Planilla_General_03-12-2012_9_3'!C2029,"AAAAAF//i8M=")</f>
        <v>#VALUE!</v>
      </c>
      <c r="GO127" t="e">
        <f>AND('Planilla_General_03-12-2012_9_3'!D2029,"AAAAAF//i8Q=")</f>
        <v>#VALUE!</v>
      </c>
      <c r="GP127" t="e">
        <f>AND('Planilla_General_03-12-2012_9_3'!E2029,"AAAAAF//i8U=")</f>
        <v>#VALUE!</v>
      </c>
      <c r="GQ127" t="e">
        <f>AND('Planilla_General_03-12-2012_9_3'!F2029,"AAAAAF//i8Y=")</f>
        <v>#VALUE!</v>
      </c>
      <c r="GR127" t="e">
        <f>AND('Planilla_General_03-12-2012_9_3'!G2029,"AAAAAF//i8c=")</f>
        <v>#VALUE!</v>
      </c>
      <c r="GS127" t="e">
        <f>AND('Planilla_General_03-12-2012_9_3'!H2029,"AAAAAF//i8g=")</f>
        <v>#VALUE!</v>
      </c>
      <c r="GT127" t="e">
        <f>AND('Planilla_General_03-12-2012_9_3'!I2029,"AAAAAF//i8k=")</f>
        <v>#VALUE!</v>
      </c>
      <c r="GU127" t="e">
        <f>AND('Planilla_General_03-12-2012_9_3'!J2029,"AAAAAF//i8o=")</f>
        <v>#VALUE!</v>
      </c>
      <c r="GV127" t="e">
        <f>AND('Planilla_General_03-12-2012_9_3'!K2029,"AAAAAF//i8s=")</f>
        <v>#VALUE!</v>
      </c>
      <c r="GW127" t="e">
        <f>AND('Planilla_General_03-12-2012_9_3'!L2029,"AAAAAF//i8w=")</f>
        <v>#VALUE!</v>
      </c>
      <c r="GX127" t="e">
        <f>AND('Planilla_General_03-12-2012_9_3'!M2029,"AAAAAF//i80=")</f>
        <v>#VALUE!</v>
      </c>
      <c r="GY127" t="e">
        <f>AND('Planilla_General_03-12-2012_9_3'!N2029,"AAAAAF//i84=")</f>
        <v>#VALUE!</v>
      </c>
      <c r="GZ127" t="e">
        <f>AND('Planilla_General_03-12-2012_9_3'!O2029,"AAAAAF//i88=")</f>
        <v>#VALUE!</v>
      </c>
      <c r="HA127">
        <f>IF('Planilla_General_03-12-2012_9_3'!2030:2030,"AAAAAF//i9A=",0)</f>
        <v>0</v>
      </c>
      <c r="HB127" t="e">
        <f>AND('Planilla_General_03-12-2012_9_3'!A2030,"AAAAAF//i9E=")</f>
        <v>#VALUE!</v>
      </c>
      <c r="HC127" t="e">
        <f>AND('Planilla_General_03-12-2012_9_3'!B2030,"AAAAAF//i9I=")</f>
        <v>#VALUE!</v>
      </c>
      <c r="HD127" t="e">
        <f>AND('Planilla_General_03-12-2012_9_3'!C2030,"AAAAAF//i9M=")</f>
        <v>#VALUE!</v>
      </c>
      <c r="HE127" t="e">
        <f>AND('Planilla_General_03-12-2012_9_3'!D2030,"AAAAAF//i9Q=")</f>
        <v>#VALUE!</v>
      </c>
      <c r="HF127" t="e">
        <f>AND('Planilla_General_03-12-2012_9_3'!E2030,"AAAAAF//i9U=")</f>
        <v>#VALUE!</v>
      </c>
      <c r="HG127" t="e">
        <f>AND('Planilla_General_03-12-2012_9_3'!F2030,"AAAAAF//i9Y=")</f>
        <v>#VALUE!</v>
      </c>
      <c r="HH127" t="e">
        <f>AND('Planilla_General_03-12-2012_9_3'!G2030,"AAAAAF//i9c=")</f>
        <v>#VALUE!</v>
      </c>
      <c r="HI127" t="e">
        <f>AND('Planilla_General_03-12-2012_9_3'!H2030,"AAAAAF//i9g=")</f>
        <v>#VALUE!</v>
      </c>
      <c r="HJ127" t="e">
        <f>AND('Planilla_General_03-12-2012_9_3'!I2030,"AAAAAF//i9k=")</f>
        <v>#VALUE!</v>
      </c>
      <c r="HK127" t="e">
        <f>AND('Planilla_General_03-12-2012_9_3'!J2030,"AAAAAF//i9o=")</f>
        <v>#VALUE!</v>
      </c>
      <c r="HL127" t="e">
        <f>AND('Planilla_General_03-12-2012_9_3'!K2030,"AAAAAF//i9s=")</f>
        <v>#VALUE!</v>
      </c>
      <c r="HM127" t="e">
        <f>AND('Planilla_General_03-12-2012_9_3'!L2030,"AAAAAF//i9w=")</f>
        <v>#VALUE!</v>
      </c>
      <c r="HN127" t="e">
        <f>AND('Planilla_General_03-12-2012_9_3'!M2030,"AAAAAF//i90=")</f>
        <v>#VALUE!</v>
      </c>
      <c r="HO127" t="e">
        <f>AND('Planilla_General_03-12-2012_9_3'!N2030,"AAAAAF//i94=")</f>
        <v>#VALUE!</v>
      </c>
      <c r="HP127" t="e">
        <f>AND('Planilla_General_03-12-2012_9_3'!O2030,"AAAAAF//i98=")</f>
        <v>#VALUE!</v>
      </c>
      <c r="HQ127">
        <f>IF('Planilla_General_03-12-2012_9_3'!2031:2031,"AAAAAF//i+A=",0)</f>
        <v>0</v>
      </c>
      <c r="HR127" t="e">
        <f>AND('Planilla_General_03-12-2012_9_3'!A2031,"AAAAAF//i+E=")</f>
        <v>#VALUE!</v>
      </c>
      <c r="HS127" t="e">
        <f>AND('Planilla_General_03-12-2012_9_3'!B2031,"AAAAAF//i+I=")</f>
        <v>#VALUE!</v>
      </c>
      <c r="HT127" t="e">
        <f>AND('Planilla_General_03-12-2012_9_3'!C2031,"AAAAAF//i+M=")</f>
        <v>#VALUE!</v>
      </c>
      <c r="HU127" t="e">
        <f>AND('Planilla_General_03-12-2012_9_3'!D2031,"AAAAAF//i+Q=")</f>
        <v>#VALUE!</v>
      </c>
      <c r="HV127" t="e">
        <f>AND('Planilla_General_03-12-2012_9_3'!E2031,"AAAAAF//i+U=")</f>
        <v>#VALUE!</v>
      </c>
      <c r="HW127" t="e">
        <f>AND('Planilla_General_03-12-2012_9_3'!F2031,"AAAAAF//i+Y=")</f>
        <v>#VALUE!</v>
      </c>
      <c r="HX127" t="e">
        <f>AND('Planilla_General_03-12-2012_9_3'!G2031,"AAAAAF//i+c=")</f>
        <v>#VALUE!</v>
      </c>
      <c r="HY127" t="e">
        <f>AND('Planilla_General_03-12-2012_9_3'!H2031,"AAAAAF//i+g=")</f>
        <v>#VALUE!</v>
      </c>
      <c r="HZ127" t="e">
        <f>AND('Planilla_General_03-12-2012_9_3'!I2031,"AAAAAF//i+k=")</f>
        <v>#VALUE!</v>
      </c>
      <c r="IA127" t="e">
        <f>AND('Planilla_General_03-12-2012_9_3'!J2031,"AAAAAF//i+o=")</f>
        <v>#VALUE!</v>
      </c>
      <c r="IB127" t="e">
        <f>AND('Planilla_General_03-12-2012_9_3'!K2031,"AAAAAF//i+s=")</f>
        <v>#VALUE!</v>
      </c>
      <c r="IC127" t="e">
        <f>AND('Planilla_General_03-12-2012_9_3'!L2031,"AAAAAF//i+w=")</f>
        <v>#VALUE!</v>
      </c>
      <c r="ID127" t="e">
        <f>AND('Planilla_General_03-12-2012_9_3'!M2031,"AAAAAF//i+0=")</f>
        <v>#VALUE!</v>
      </c>
      <c r="IE127" t="e">
        <f>AND('Planilla_General_03-12-2012_9_3'!N2031,"AAAAAF//i+4=")</f>
        <v>#VALUE!</v>
      </c>
      <c r="IF127" t="e">
        <f>AND('Planilla_General_03-12-2012_9_3'!O2031,"AAAAAF//i+8=")</f>
        <v>#VALUE!</v>
      </c>
      <c r="IG127">
        <f>IF('Planilla_General_03-12-2012_9_3'!2032:2032,"AAAAAF//i/A=",0)</f>
        <v>0</v>
      </c>
      <c r="IH127" t="e">
        <f>AND('Planilla_General_03-12-2012_9_3'!A2032,"AAAAAF//i/E=")</f>
        <v>#VALUE!</v>
      </c>
      <c r="II127" t="e">
        <f>AND('Planilla_General_03-12-2012_9_3'!B2032,"AAAAAF//i/I=")</f>
        <v>#VALUE!</v>
      </c>
      <c r="IJ127" t="e">
        <f>AND('Planilla_General_03-12-2012_9_3'!C2032,"AAAAAF//i/M=")</f>
        <v>#VALUE!</v>
      </c>
      <c r="IK127" t="e">
        <f>AND('Planilla_General_03-12-2012_9_3'!D2032,"AAAAAF//i/Q=")</f>
        <v>#VALUE!</v>
      </c>
      <c r="IL127" t="e">
        <f>AND('Planilla_General_03-12-2012_9_3'!E2032,"AAAAAF//i/U=")</f>
        <v>#VALUE!</v>
      </c>
      <c r="IM127" t="e">
        <f>AND('Planilla_General_03-12-2012_9_3'!F2032,"AAAAAF//i/Y=")</f>
        <v>#VALUE!</v>
      </c>
      <c r="IN127" t="e">
        <f>AND('Planilla_General_03-12-2012_9_3'!G2032,"AAAAAF//i/c=")</f>
        <v>#VALUE!</v>
      </c>
      <c r="IO127" t="e">
        <f>AND('Planilla_General_03-12-2012_9_3'!H2032,"AAAAAF//i/g=")</f>
        <v>#VALUE!</v>
      </c>
      <c r="IP127" t="e">
        <f>AND('Planilla_General_03-12-2012_9_3'!I2032,"AAAAAF//i/k=")</f>
        <v>#VALUE!</v>
      </c>
      <c r="IQ127" t="e">
        <f>AND('Planilla_General_03-12-2012_9_3'!J2032,"AAAAAF//i/o=")</f>
        <v>#VALUE!</v>
      </c>
      <c r="IR127" t="e">
        <f>AND('Planilla_General_03-12-2012_9_3'!K2032,"AAAAAF//i/s=")</f>
        <v>#VALUE!</v>
      </c>
      <c r="IS127" t="e">
        <f>AND('Planilla_General_03-12-2012_9_3'!L2032,"AAAAAF//i/w=")</f>
        <v>#VALUE!</v>
      </c>
      <c r="IT127" t="e">
        <f>AND('Planilla_General_03-12-2012_9_3'!M2032,"AAAAAF//i/0=")</f>
        <v>#VALUE!</v>
      </c>
      <c r="IU127" t="e">
        <f>AND('Planilla_General_03-12-2012_9_3'!N2032,"AAAAAF//i/4=")</f>
        <v>#VALUE!</v>
      </c>
      <c r="IV127" t="e">
        <f>AND('Planilla_General_03-12-2012_9_3'!O2032,"AAAAAF//i/8=")</f>
        <v>#VALUE!</v>
      </c>
    </row>
    <row r="128" spans="1:256" x14ac:dyDescent="0.25">
      <c r="A128" t="e">
        <f>IF('Planilla_General_03-12-2012_9_3'!2033:2033,"AAAAAF53PwA=",0)</f>
        <v>#VALUE!</v>
      </c>
      <c r="B128" t="e">
        <f>AND('Planilla_General_03-12-2012_9_3'!A2033,"AAAAAF53PwE=")</f>
        <v>#VALUE!</v>
      </c>
      <c r="C128" t="e">
        <f>AND('Planilla_General_03-12-2012_9_3'!B2033,"AAAAAF53PwI=")</f>
        <v>#VALUE!</v>
      </c>
      <c r="D128" t="e">
        <f>AND('Planilla_General_03-12-2012_9_3'!C2033,"AAAAAF53PwM=")</f>
        <v>#VALUE!</v>
      </c>
      <c r="E128" t="e">
        <f>AND('Planilla_General_03-12-2012_9_3'!D2033,"AAAAAF53PwQ=")</f>
        <v>#VALUE!</v>
      </c>
      <c r="F128" t="e">
        <f>AND('Planilla_General_03-12-2012_9_3'!E2033,"AAAAAF53PwU=")</f>
        <v>#VALUE!</v>
      </c>
      <c r="G128" t="e">
        <f>AND('Planilla_General_03-12-2012_9_3'!F2033,"AAAAAF53PwY=")</f>
        <v>#VALUE!</v>
      </c>
      <c r="H128" t="e">
        <f>AND('Planilla_General_03-12-2012_9_3'!G2033,"AAAAAF53Pwc=")</f>
        <v>#VALUE!</v>
      </c>
      <c r="I128" t="e">
        <f>AND('Planilla_General_03-12-2012_9_3'!H2033,"AAAAAF53Pwg=")</f>
        <v>#VALUE!</v>
      </c>
      <c r="J128" t="e">
        <f>AND('Planilla_General_03-12-2012_9_3'!I2033,"AAAAAF53Pwk=")</f>
        <v>#VALUE!</v>
      </c>
      <c r="K128" t="e">
        <f>AND('Planilla_General_03-12-2012_9_3'!J2033,"AAAAAF53Pwo=")</f>
        <v>#VALUE!</v>
      </c>
      <c r="L128" t="e">
        <f>AND('Planilla_General_03-12-2012_9_3'!K2033,"AAAAAF53Pws=")</f>
        <v>#VALUE!</v>
      </c>
      <c r="M128" t="e">
        <f>AND('Planilla_General_03-12-2012_9_3'!L2033,"AAAAAF53Pww=")</f>
        <v>#VALUE!</v>
      </c>
      <c r="N128" t="e">
        <f>AND('Planilla_General_03-12-2012_9_3'!M2033,"AAAAAF53Pw0=")</f>
        <v>#VALUE!</v>
      </c>
      <c r="O128" t="e">
        <f>AND('Planilla_General_03-12-2012_9_3'!N2033,"AAAAAF53Pw4=")</f>
        <v>#VALUE!</v>
      </c>
      <c r="P128" t="e">
        <f>AND('Planilla_General_03-12-2012_9_3'!O2033,"AAAAAF53Pw8=")</f>
        <v>#VALUE!</v>
      </c>
      <c r="Q128">
        <f>IF('Planilla_General_03-12-2012_9_3'!2034:2034,"AAAAAF53PxA=",0)</f>
        <v>0</v>
      </c>
      <c r="R128" t="e">
        <f>AND('Planilla_General_03-12-2012_9_3'!A2034,"AAAAAF53PxE=")</f>
        <v>#VALUE!</v>
      </c>
      <c r="S128" t="e">
        <f>AND('Planilla_General_03-12-2012_9_3'!B2034,"AAAAAF53PxI=")</f>
        <v>#VALUE!</v>
      </c>
      <c r="T128" t="e">
        <f>AND('Planilla_General_03-12-2012_9_3'!C2034,"AAAAAF53PxM=")</f>
        <v>#VALUE!</v>
      </c>
      <c r="U128" t="e">
        <f>AND('Planilla_General_03-12-2012_9_3'!D2034,"AAAAAF53PxQ=")</f>
        <v>#VALUE!</v>
      </c>
      <c r="V128" t="e">
        <f>AND('Planilla_General_03-12-2012_9_3'!E2034,"AAAAAF53PxU=")</f>
        <v>#VALUE!</v>
      </c>
      <c r="W128" t="e">
        <f>AND('Planilla_General_03-12-2012_9_3'!F2034,"AAAAAF53PxY=")</f>
        <v>#VALUE!</v>
      </c>
      <c r="X128" t="e">
        <f>AND('Planilla_General_03-12-2012_9_3'!G2034,"AAAAAF53Pxc=")</f>
        <v>#VALUE!</v>
      </c>
      <c r="Y128" t="e">
        <f>AND('Planilla_General_03-12-2012_9_3'!H2034,"AAAAAF53Pxg=")</f>
        <v>#VALUE!</v>
      </c>
      <c r="Z128" t="e">
        <f>AND('Planilla_General_03-12-2012_9_3'!I2034,"AAAAAF53Pxk=")</f>
        <v>#VALUE!</v>
      </c>
      <c r="AA128" t="e">
        <f>AND('Planilla_General_03-12-2012_9_3'!J2034,"AAAAAF53Pxo=")</f>
        <v>#VALUE!</v>
      </c>
      <c r="AB128" t="e">
        <f>AND('Planilla_General_03-12-2012_9_3'!K2034,"AAAAAF53Pxs=")</f>
        <v>#VALUE!</v>
      </c>
      <c r="AC128" t="e">
        <f>AND('Planilla_General_03-12-2012_9_3'!L2034,"AAAAAF53Pxw=")</f>
        <v>#VALUE!</v>
      </c>
      <c r="AD128" t="e">
        <f>AND('Planilla_General_03-12-2012_9_3'!M2034,"AAAAAF53Px0=")</f>
        <v>#VALUE!</v>
      </c>
      <c r="AE128" t="e">
        <f>AND('Planilla_General_03-12-2012_9_3'!N2034,"AAAAAF53Px4=")</f>
        <v>#VALUE!</v>
      </c>
      <c r="AF128" t="e">
        <f>AND('Planilla_General_03-12-2012_9_3'!O2034,"AAAAAF53Px8=")</f>
        <v>#VALUE!</v>
      </c>
      <c r="AG128">
        <f>IF('Planilla_General_03-12-2012_9_3'!2035:2035,"AAAAAF53PyA=",0)</f>
        <v>0</v>
      </c>
      <c r="AH128" t="e">
        <f>AND('Planilla_General_03-12-2012_9_3'!A2035,"AAAAAF53PyE=")</f>
        <v>#VALUE!</v>
      </c>
      <c r="AI128" t="e">
        <f>AND('Planilla_General_03-12-2012_9_3'!B2035,"AAAAAF53PyI=")</f>
        <v>#VALUE!</v>
      </c>
      <c r="AJ128" t="e">
        <f>AND('Planilla_General_03-12-2012_9_3'!C2035,"AAAAAF53PyM=")</f>
        <v>#VALUE!</v>
      </c>
      <c r="AK128" t="e">
        <f>AND('Planilla_General_03-12-2012_9_3'!D2035,"AAAAAF53PyQ=")</f>
        <v>#VALUE!</v>
      </c>
      <c r="AL128" t="e">
        <f>AND('Planilla_General_03-12-2012_9_3'!E2035,"AAAAAF53PyU=")</f>
        <v>#VALUE!</v>
      </c>
      <c r="AM128" t="e">
        <f>AND('Planilla_General_03-12-2012_9_3'!F2035,"AAAAAF53PyY=")</f>
        <v>#VALUE!</v>
      </c>
      <c r="AN128" t="e">
        <f>AND('Planilla_General_03-12-2012_9_3'!G2035,"AAAAAF53Pyc=")</f>
        <v>#VALUE!</v>
      </c>
      <c r="AO128" t="e">
        <f>AND('Planilla_General_03-12-2012_9_3'!H2035,"AAAAAF53Pyg=")</f>
        <v>#VALUE!</v>
      </c>
      <c r="AP128" t="e">
        <f>AND('Planilla_General_03-12-2012_9_3'!I2035,"AAAAAF53Pyk=")</f>
        <v>#VALUE!</v>
      </c>
      <c r="AQ128" t="e">
        <f>AND('Planilla_General_03-12-2012_9_3'!J2035,"AAAAAF53Pyo=")</f>
        <v>#VALUE!</v>
      </c>
      <c r="AR128" t="e">
        <f>AND('Planilla_General_03-12-2012_9_3'!K2035,"AAAAAF53Pys=")</f>
        <v>#VALUE!</v>
      </c>
      <c r="AS128" t="e">
        <f>AND('Planilla_General_03-12-2012_9_3'!L2035,"AAAAAF53Pyw=")</f>
        <v>#VALUE!</v>
      </c>
      <c r="AT128" t="e">
        <f>AND('Planilla_General_03-12-2012_9_3'!M2035,"AAAAAF53Py0=")</f>
        <v>#VALUE!</v>
      </c>
      <c r="AU128" t="e">
        <f>AND('Planilla_General_03-12-2012_9_3'!N2035,"AAAAAF53Py4=")</f>
        <v>#VALUE!</v>
      </c>
      <c r="AV128" t="e">
        <f>AND('Planilla_General_03-12-2012_9_3'!O2035,"AAAAAF53Py8=")</f>
        <v>#VALUE!</v>
      </c>
      <c r="AW128">
        <f>IF('Planilla_General_03-12-2012_9_3'!2036:2036,"AAAAAF53PzA=",0)</f>
        <v>0</v>
      </c>
      <c r="AX128" t="e">
        <f>AND('Planilla_General_03-12-2012_9_3'!A2036,"AAAAAF53PzE=")</f>
        <v>#VALUE!</v>
      </c>
      <c r="AY128" t="e">
        <f>AND('Planilla_General_03-12-2012_9_3'!B2036,"AAAAAF53PzI=")</f>
        <v>#VALUE!</v>
      </c>
      <c r="AZ128" t="e">
        <f>AND('Planilla_General_03-12-2012_9_3'!C2036,"AAAAAF53PzM=")</f>
        <v>#VALUE!</v>
      </c>
      <c r="BA128" t="e">
        <f>AND('Planilla_General_03-12-2012_9_3'!D2036,"AAAAAF53PzQ=")</f>
        <v>#VALUE!</v>
      </c>
      <c r="BB128" t="e">
        <f>AND('Planilla_General_03-12-2012_9_3'!E2036,"AAAAAF53PzU=")</f>
        <v>#VALUE!</v>
      </c>
      <c r="BC128" t="e">
        <f>AND('Planilla_General_03-12-2012_9_3'!F2036,"AAAAAF53PzY=")</f>
        <v>#VALUE!</v>
      </c>
      <c r="BD128" t="e">
        <f>AND('Planilla_General_03-12-2012_9_3'!G2036,"AAAAAF53Pzc=")</f>
        <v>#VALUE!</v>
      </c>
      <c r="BE128" t="e">
        <f>AND('Planilla_General_03-12-2012_9_3'!H2036,"AAAAAF53Pzg=")</f>
        <v>#VALUE!</v>
      </c>
      <c r="BF128" t="e">
        <f>AND('Planilla_General_03-12-2012_9_3'!I2036,"AAAAAF53Pzk=")</f>
        <v>#VALUE!</v>
      </c>
      <c r="BG128" t="e">
        <f>AND('Planilla_General_03-12-2012_9_3'!J2036,"AAAAAF53Pzo=")</f>
        <v>#VALUE!</v>
      </c>
      <c r="BH128" t="e">
        <f>AND('Planilla_General_03-12-2012_9_3'!K2036,"AAAAAF53Pzs=")</f>
        <v>#VALUE!</v>
      </c>
      <c r="BI128" t="e">
        <f>AND('Planilla_General_03-12-2012_9_3'!L2036,"AAAAAF53Pzw=")</f>
        <v>#VALUE!</v>
      </c>
      <c r="BJ128" t="e">
        <f>AND('Planilla_General_03-12-2012_9_3'!M2036,"AAAAAF53Pz0=")</f>
        <v>#VALUE!</v>
      </c>
      <c r="BK128" t="e">
        <f>AND('Planilla_General_03-12-2012_9_3'!N2036,"AAAAAF53Pz4=")</f>
        <v>#VALUE!</v>
      </c>
      <c r="BL128" t="e">
        <f>AND('Planilla_General_03-12-2012_9_3'!O2036,"AAAAAF53Pz8=")</f>
        <v>#VALUE!</v>
      </c>
      <c r="BM128">
        <f>IF('Planilla_General_03-12-2012_9_3'!2037:2037,"AAAAAF53P0A=",0)</f>
        <v>0</v>
      </c>
      <c r="BN128" t="e">
        <f>AND('Planilla_General_03-12-2012_9_3'!A2037,"AAAAAF53P0E=")</f>
        <v>#VALUE!</v>
      </c>
      <c r="BO128" t="e">
        <f>AND('Planilla_General_03-12-2012_9_3'!B2037,"AAAAAF53P0I=")</f>
        <v>#VALUE!</v>
      </c>
      <c r="BP128" t="e">
        <f>AND('Planilla_General_03-12-2012_9_3'!C2037,"AAAAAF53P0M=")</f>
        <v>#VALUE!</v>
      </c>
      <c r="BQ128" t="e">
        <f>AND('Planilla_General_03-12-2012_9_3'!D2037,"AAAAAF53P0Q=")</f>
        <v>#VALUE!</v>
      </c>
      <c r="BR128" t="e">
        <f>AND('Planilla_General_03-12-2012_9_3'!E2037,"AAAAAF53P0U=")</f>
        <v>#VALUE!</v>
      </c>
      <c r="BS128" t="e">
        <f>AND('Planilla_General_03-12-2012_9_3'!F2037,"AAAAAF53P0Y=")</f>
        <v>#VALUE!</v>
      </c>
      <c r="BT128" t="e">
        <f>AND('Planilla_General_03-12-2012_9_3'!G2037,"AAAAAF53P0c=")</f>
        <v>#VALUE!</v>
      </c>
      <c r="BU128" t="e">
        <f>AND('Planilla_General_03-12-2012_9_3'!H2037,"AAAAAF53P0g=")</f>
        <v>#VALUE!</v>
      </c>
      <c r="BV128" t="e">
        <f>AND('Planilla_General_03-12-2012_9_3'!I2037,"AAAAAF53P0k=")</f>
        <v>#VALUE!</v>
      </c>
      <c r="BW128" t="e">
        <f>AND('Planilla_General_03-12-2012_9_3'!J2037,"AAAAAF53P0o=")</f>
        <v>#VALUE!</v>
      </c>
      <c r="BX128" t="e">
        <f>AND('Planilla_General_03-12-2012_9_3'!K2037,"AAAAAF53P0s=")</f>
        <v>#VALUE!</v>
      </c>
      <c r="BY128" t="e">
        <f>AND('Planilla_General_03-12-2012_9_3'!L2037,"AAAAAF53P0w=")</f>
        <v>#VALUE!</v>
      </c>
      <c r="BZ128" t="e">
        <f>AND('Planilla_General_03-12-2012_9_3'!M2037,"AAAAAF53P00=")</f>
        <v>#VALUE!</v>
      </c>
      <c r="CA128" t="e">
        <f>AND('Planilla_General_03-12-2012_9_3'!N2037,"AAAAAF53P04=")</f>
        <v>#VALUE!</v>
      </c>
      <c r="CB128" t="e">
        <f>AND('Planilla_General_03-12-2012_9_3'!O2037,"AAAAAF53P08=")</f>
        <v>#VALUE!</v>
      </c>
      <c r="CC128">
        <f>IF('Planilla_General_03-12-2012_9_3'!2038:2038,"AAAAAF53P1A=",0)</f>
        <v>0</v>
      </c>
      <c r="CD128" t="e">
        <f>AND('Planilla_General_03-12-2012_9_3'!A2038,"AAAAAF53P1E=")</f>
        <v>#VALUE!</v>
      </c>
      <c r="CE128" t="e">
        <f>AND('Planilla_General_03-12-2012_9_3'!B2038,"AAAAAF53P1I=")</f>
        <v>#VALUE!</v>
      </c>
      <c r="CF128" t="e">
        <f>AND('Planilla_General_03-12-2012_9_3'!C2038,"AAAAAF53P1M=")</f>
        <v>#VALUE!</v>
      </c>
      <c r="CG128" t="e">
        <f>AND('Planilla_General_03-12-2012_9_3'!D2038,"AAAAAF53P1Q=")</f>
        <v>#VALUE!</v>
      </c>
      <c r="CH128" t="e">
        <f>AND('Planilla_General_03-12-2012_9_3'!E2038,"AAAAAF53P1U=")</f>
        <v>#VALUE!</v>
      </c>
      <c r="CI128" t="e">
        <f>AND('Planilla_General_03-12-2012_9_3'!F2038,"AAAAAF53P1Y=")</f>
        <v>#VALUE!</v>
      </c>
      <c r="CJ128" t="e">
        <f>AND('Planilla_General_03-12-2012_9_3'!G2038,"AAAAAF53P1c=")</f>
        <v>#VALUE!</v>
      </c>
      <c r="CK128" t="e">
        <f>AND('Planilla_General_03-12-2012_9_3'!H2038,"AAAAAF53P1g=")</f>
        <v>#VALUE!</v>
      </c>
      <c r="CL128" t="e">
        <f>AND('Planilla_General_03-12-2012_9_3'!I2038,"AAAAAF53P1k=")</f>
        <v>#VALUE!</v>
      </c>
      <c r="CM128" t="e">
        <f>AND('Planilla_General_03-12-2012_9_3'!J2038,"AAAAAF53P1o=")</f>
        <v>#VALUE!</v>
      </c>
      <c r="CN128" t="e">
        <f>AND('Planilla_General_03-12-2012_9_3'!K2038,"AAAAAF53P1s=")</f>
        <v>#VALUE!</v>
      </c>
      <c r="CO128" t="e">
        <f>AND('Planilla_General_03-12-2012_9_3'!L2038,"AAAAAF53P1w=")</f>
        <v>#VALUE!</v>
      </c>
      <c r="CP128" t="e">
        <f>AND('Planilla_General_03-12-2012_9_3'!M2038,"AAAAAF53P10=")</f>
        <v>#VALUE!</v>
      </c>
      <c r="CQ128" t="e">
        <f>AND('Planilla_General_03-12-2012_9_3'!N2038,"AAAAAF53P14=")</f>
        <v>#VALUE!</v>
      </c>
      <c r="CR128" t="e">
        <f>AND('Planilla_General_03-12-2012_9_3'!O2038,"AAAAAF53P18=")</f>
        <v>#VALUE!</v>
      </c>
      <c r="CS128">
        <f>IF('Planilla_General_03-12-2012_9_3'!2039:2039,"AAAAAF53P2A=",0)</f>
        <v>0</v>
      </c>
      <c r="CT128" t="e">
        <f>AND('Planilla_General_03-12-2012_9_3'!A2039,"AAAAAF53P2E=")</f>
        <v>#VALUE!</v>
      </c>
      <c r="CU128" t="e">
        <f>AND('Planilla_General_03-12-2012_9_3'!B2039,"AAAAAF53P2I=")</f>
        <v>#VALUE!</v>
      </c>
      <c r="CV128" t="e">
        <f>AND('Planilla_General_03-12-2012_9_3'!C2039,"AAAAAF53P2M=")</f>
        <v>#VALUE!</v>
      </c>
      <c r="CW128" t="e">
        <f>AND('Planilla_General_03-12-2012_9_3'!D2039,"AAAAAF53P2Q=")</f>
        <v>#VALUE!</v>
      </c>
      <c r="CX128" t="e">
        <f>AND('Planilla_General_03-12-2012_9_3'!E2039,"AAAAAF53P2U=")</f>
        <v>#VALUE!</v>
      </c>
      <c r="CY128" t="e">
        <f>AND('Planilla_General_03-12-2012_9_3'!F2039,"AAAAAF53P2Y=")</f>
        <v>#VALUE!</v>
      </c>
      <c r="CZ128" t="e">
        <f>AND('Planilla_General_03-12-2012_9_3'!G2039,"AAAAAF53P2c=")</f>
        <v>#VALUE!</v>
      </c>
      <c r="DA128" t="e">
        <f>AND('Planilla_General_03-12-2012_9_3'!H2039,"AAAAAF53P2g=")</f>
        <v>#VALUE!</v>
      </c>
      <c r="DB128" t="e">
        <f>AND('Planilla_General_03-12-2012_9_3'!I2039,"AAAAAF53P2k=")</f>
        <v>#VALUE!</v>
      </c>
      <c r="DC128" t="e">
        <f>AND('Planilla_General_03-12-2012_9_3'!J2039,"AAAAAF53P2o=")</f>
        <v>#VALUE!</v>
      </c>
      <c r="DD128" t="e">
        <f>AND('Planilla_General_03-12-2012_9_3'!K2039,"AAAAAF53P2s=")</f>
        <v>#VALUE!</v>
      </c>
      <c r="DE128" t="e">
        <f>AND('Planilla_General_03-12-2012_9_3'!L2039,"AAAAAF53P2w=")</f>
        <v>#VALUE!</v>
      </c>
      <c r="DF128" t="e">
        <f>AND('Planilla_General_03-12-2012_9_3'!M2039,"AAAAAF53P20=")</f>
        <v>#VALUE!</v>
      </c>
      <c r="DG128" t="e">
        <f>AND('Planilla_General_03-12-2012_9_3'!N2039,"AAAAAF53P24=")</f>
        <v>#VALUE!</v>
      </c>
      <c r="DH128" t="e">
        <f>AND('Planilla_General_03-12-2012_9_3'!O2039,"AAAAAF53P28=")</f>
        <v>#VALUE!</v>
      </c>
      <c r="DI128">
        <f>IF('Planilla_General_03-12-2012_9_3'!2040:2040,"AAAAAF53P3A=",0)</f>
        <v>0</v>
      </c>
      <c r="DJ128" t="e">
        <f>AND('Planilla_General_03-12-2012_9_3'!A2040,"AAAAAF53P3E=")</f>
        <v>#VALUE!</v>
      </c>
      <c r="DK128" t="e">
        <f>AND('Planilla_General_03-12-2012_9_3'!B2040,"AAAAAF53P3I=")</f>
        <v>#VALUE!</v>
      </c>
      <c r="DL128" t="e">
        <f>AND('Planilla_General_03-12-2012_9_3'!C2040,"AAAAAF53P3M=")</f>
        <v>#VALUE!</v>
      </c>
      <c r="DM128" t="e">
        <f>AND('Planilla_General_03-12-2012_9_3'!D2040,"AAAAAF53P3Q=")</f>
        <v>#VALUE!</v>
      </c>
      <c r="DN128" t="e">
        <f>AND('Planilla_General_03-12-2012_9_3'!E2040,"AAAAAF53P3U=")</f>
        <v>#VALUE!</v>
      </c>
      <c r="DO128" t="e">
        <f>AND('Planilla_General_03-12-2012_9_3'!F2040,"AAAAAF53P3Y=")</f>
        <v>#VALUE!</v>
      </c>
      <c r="DP128" t="e">
        <f>AND('Planilla_General_03-12-2012_9_3'!G2040,"AAAAAF53P3c=")</f>
        <v>#VALUE!</v>
      </c>
      <c r="DQ128" t="e">
        <f>AND('Planilla_General_03-12-2012_9_3'!H2040,"AAAAAF53P3g=")</f>
        <v>#VALUE!</v>
      </c>
      <c r="DR128" t="e">
        <f>AND('Planilla_General_03-12-2012_9_3'!I2040,"AAAAAF53P3k=")</f>
        <v>#VALUE!</v>
      </c>
      <c r="DS128" t="e">
        <f>AND('Planilla_General_03-12-2012_9_3'!J2040,"AAAAAF53P3o=")</f>
        <v>#VALUE!</v>
      </c>
      <c r="DT128" t="e">
        <f>AND('Planilla_General_03-12-2012_9_3'!K2040,"AAAAAF53P3s=")</f>
        <v>#VALUE!</v>
      </c>
      <c r="DU128" t="e">
        <f>AND('Planilla_General_03-12-2012_9_3'!L2040,"AAAAAF53P3w=")</f>
        <v>#VALUE!</v>
      </c>
      <c r="DV128" t="e">
        <f>AND('Planilla_General_03-12-2012_9_3'!M2040,"AAAAAF53P30=")</f>
        <v>#VALUE!</v>
      </c>
      <c r="DW128" t="e">
        <f>AND('Planilla_General_03-12-2012_9_3'!N2040,"AAAAAF53P34=")</f>
        <v>#VALUE!</v>
      </c>
      <c r="DX128" t="e">
        <f>AND('Planilla_General_03-12-2012_9_3'!O2040,"AAAAAF53P38=")</f>
        <v>#VALUE!</v>
      </c>
      <c r="DY128">
        <f>IF('Planilla_General_03-12-2012_9_3'!2041:2041,"AAAAAF53P4A=",0)</f>
        <v>0</v>
      </c>
      <c r="DZ128" t="e">
        <f>AND('Planilla_General_03-12-2012_9_3'!A2041,"AAAAAF53P4E=")</f>
        <v>#VALUE!</v>
      </c>
      <c r="EA128" t="e">
        <f>AND('Planilla_General_03-12-2012_9_3'!B2041,"AAAAAF53P4I=")</f>
        <v>#VALUE!</v>
      </c>
      <c r="EB128" t="e">
        <f>AND('Planilla_General_03-12-2012_9_3'!C2041,"AAAAAF53P4M=")</f>
        <v>#VALUE!</v>
      </c>
      <c r="EC128" t="e">
        <f>AND('Planilla_General_03-12-2012_9_3'!D2041,"AAAAAF53P4Q=")</f>
        <v>#VALUE!</v>
      </c>
      <c r="ED128" t="e">
        <f>AND('Planilla_General_03-12-2012_9_3'!E2041,"AAAAAF53P4U=")</f>
        <v>#VALUE!</v>
      </c>
      <c r="EE128" t="e">
        <f>AND('Planilla_General_03-12-2012_9_3'!F2041,"AAAAAF53P4Y=")</f>
        <v>#VALUE!</v>
      </c>
      <c r="EF128" t="e">
        <f>AND('Planilla_General_03-12-2012_9_3'!G2041,"AAAAAF53P4c=")</f>
        <v>#VALUE!</v>
      </c>
      <c r="EG128" t="e">
        <f>AND('Planilla_General_03-12-2012_9_3'!H2041,"AAAAAF53P4g=")</f>
        <v>#VALUE!</v>
      </c>
      <c r="EH128" t="e">
        <f>AND('Planilla_General_03-12-2012_9_3'!I2041,"AAAAAF53P4k=")</f>
        <v>#VALUE!</v>
      </c>
      <c r="EI128" t="e">
        <f>AND('Planilla_General_03-12-2012_9_3'!J2041,"AAAAAF53P4o=")</f>
        <v>#VALUE!</v>
      </c>
      <c r="EJ128" t="e">
        <f>AND('Planilla_General_03-12-2012_9_3'!K2041,"AAAAAF53P4s=")</f>
        <v>#VALUE!</v>
      </c>
      <c r="EK128" t="e">
        <f>AND('Planilla_General_03-12-2012_9_3'!L2041,"AAAAAF53P4w=")</f>
        <v>#VALUE!</v>
      </c>
      <c r="EL128" t="e">
        <f>AND('Planilla_General_03-12-2012_9_3'!M2041,"AAAAAF53P40=")</f>
        <v>#VALUE!</v>
      </c>
      <c r="EM128" t="e">
        <f>AND('Planilla_General_03-12-2012_9_3'!N2041,"AAAAAF53P44=")</f>
        <v>#VALUE!</v>
      </c>
      <c r="EN128" t="e">
        <f>AND('Planilla_General_03-12-2012_9_3'!O2041,"AAAAAF53P48=")</f>
        <v>#VALUE!</v>
      </c>
      <c r="EO128">
        <f>IF('Planilla_General_03-12-2012_9_3'!2042:2042,"AAAAAF53P5A=",0)</f>
        <v>0</v>
      </c>
      <c r="EP128" t="e">
        <f>AND('Planilla_General_03-12-2012_9_3'!A2042,"AAAAAF53P5E=")</f>
        <v>#VALUE!</v>
      </c>
      <c r="EQ128" t="e">
        <f>AND('Planilla_General_03-12-2012_9_3'!B2042,"AAAAAF53P5I=")</f>
        <v>#VALUE!</v>
      </c>
      <c r="ER128" t="e">
        <f>AND('Planilla_General_03-12-2012_9_3'!C2042,"AAAAAF53P5M=")</f>
        <v>#VALUE!</v>
      </c>
      <c r="ES128" t="e">
        <f>AND('Planilla_General_03-12-2012_9_3'!D2042,"AAAAAF53P5Q=")</f>
        <v>#VALUE!</v>
      </c>
      <c r="ET128" t="e">
        <f>AND('Planilla_General_03-12-2012_9_3'!E2042,"AAAAAF53P5U=")</f>
        <v>#VALUE!</v>
      </c>
      <c r="EU128" t="e">
        <f>AND('Planilla_General_03-12-2012_9_3'!F2042,"AAAAAF53P5Y=")</f>
        <v>#VALUE!</v>
      </c>
      <c r="EV128" t="e">
        <f>AND('Planilla_General_03-12-2012_9_3'!G2042,"AAAAAF53P5c=")</f>
        <v>#VALUE!</v>
      </c>
      <c r="EW128" t="e">
        <f>AND('Planilla_General_03-12-2012_9_3'!H2042,"AAAAAF53P5g=")</f>
        <v>#VALUE!</v>
      </c>
      <c r="EX128" t="e">
        <f>AND('Planilla_General_03-12-2012_9_3'!I2042,"AAAAAF53P5k=")</f>
        <v>#VALUE!</v>
      </c>
      <c r="EY128" t="e">
        <f>AND('Planilla_General_03-12-2012_9_3'!J2042,"AAAAAF53P5o=")</f>
        <v>#VALUE!</v>
      </c>
      <c r="EZ128" t="e">
        <f>AND('Planilla_General_03-12-2012_9_3'!K2042,"AAAAAF53P5s=")</f>
        <v>#VALUE!</v>
      </c>
      <c r="FA128" t="e">
        <f>AND('Planilla_General_03-12-2012_9_3'!L2042,"AAAAAF53P5w=")</f>
        <v>#VALUE!</v>
      </c>
      <c r="FB128" t="e">
        <f>AND('Planilla_General_03-12-2012_9_3'!M2042,"AAAAAF53P50=")</f>
        <v>#VALUE!</v>
      </c>
      <c r="FC128" t="e">
        <f>AND('Planilla_General_03-12-2012_9_3'!N2042,"AAAAAF53P54=")</f>
        <v>#VALUE!</v>
      </c>
      <c r="FD128" t="e">
        <f>AND('Planilla_General_03-12-2012_9_3'!O2042,"AAAAAF53P58=")</f>
        <v>#VALUE!</v>
      </c>
      <c r="FE128">
        <f>IF('Planilla_General_03-12-2012_9_3'!2043:2043,"AAAAAF53P6A=",0)</f>
        <v>0</v>
      </c>
      <c r="FF128" t="e">
        <f>AND('Planilla_General_03-12-2012_9_3'!A2043,"AAAAAF53P6E=")</f>
        <v>#VALUE!</v>
      </c>
      <c r="FG128" t="e">
        <f>AND('Planilla_General_03-12-2012_9_3'!B2043,"AAAAAF53P6I=")</f>
        <v>#VALUE!</v>
      </c>
      <c r="FH128" t="e">
        <f>AND('Planilla_General_03-12-2012_9_3'!C2043,"AAAAAF53P6M=")</f>
        <v>#VALUE!</v>
      </c>
      <c r="FI128" t="e">
        <f>AND('Planilla_General_03-12-2012_9_3'!D2043,"AAAAAF53P6Q=")</f>
        <v>#VALUE!</v>
      </c>
      <c r="FJ128" t="e">
        <f>AND('Planilla_General_03-12-2012_9_3'!E2043,"AAAAAF53P6U=")</f>
        <v>#VALUE!</v>
      </c>
      <c r="FK128" t="e">
        <f>AND('Planilla_General_03-12-2012_9_3'!F2043,"AAAAAF53P6Y=")</f>
        <v>#VALUE!</v>
      </c>
      <c r="FL128" t="e">
        <f>AND('Planilla_General_03-12-2012_9_3'!G2043,"AAAAAF53P6c=")</f>
        <v>#VALUE!</v>
      </c>
      <c r="FM128" t="e">
        <f>AND('Planilla_General_03-12-2012_9_3'!H2043,"AAAAAF53P6g=")</f>
        <v>#VALUE!</v>
      </c>
      <c r="FN128" t="e">
        <f>AND('Planilla_General_03-12-2012_9_3'!I2043,"AAAAAF53P6k=")</f>
        <v>#VALUE!</v>
      </c>
      <c r="FO128" t="e">
        <f>AND('Planilla_General_03-12-2012_9_3'!J2043,"AAAAAF53P6o=")</f>
        <v>#VALUE!</v>
      </c>
      <c r="FP128" t="e">
        <f>AND('Planilla_General_03-12-2012_9_3'!K2043,"AAAAAF53P6s=")</f>
        <v>#VALUE!</v>
      </c>
      <c r="FQ128" t="e">
        <f>AND('Planilla_General_03-12-2012_9_3'!L2043,"AAAAAF53P6w=")</f>
        <v>#VALUE!</v>
      </c>
      <c r="FR128" t="e">
        <f>AND('Planilla_General_03-12-2012_9_3'!M2043,"AAAAAF53P60=")</f>
        <v>#VALUE!</v>
      </c>
      <c r="FS128" t="e">
        <f>AND('Planilla_General_03-12-2012_9_3'!N2043,"AAAAAF53P64=")</f>
        <v>#VALUE!</v>
      </c>
      <c r="FT128" t="e">
        <f>AND('Planilla_General_03-12-2012_9_3'!O2043,"AAAAAF53P68=")</f>
        <v>#VALUE!</v>
      </c>
      <c r="FU128">
        <f>IF('Planilla_General_03-12-2012_9_3'!2044:2044,"AAAAAF53P7A=",0)</f>
        <v>0</v>
      </c>
      <c r="FV128" t="e">
        <f>AND('Planilla_General_03-12-2012_9_3'!A2044,"AAAAAF53P7E=")</f>
        <v>#VALUE!</v>
      </c>
      <c r="FW128" t="e">
        <f>AND('Planilla_General_03-12-2012_9_3'!B2044,"AAAAAF53P7I=")</f>
        <v>#VALUE!</v>
      </c>
      <c r="FX128" t="e">
        <f>AND('Planilla_General_03-12-2012_9_3'!C2044,"AAAAAF53P7M=")</f>
        <v>#VALUE!</v>
      </c>
      <c r="FY128" t="e">
        <f>AND('Planilla_General_03-12-2012_9_3'!D2044,"AAAAAF53P7Q=")</f>
        <v>#VALUE!</v>
      </c>
      <c r="FZ128" t="e">
        <f>AND('Planilla_General_03-12-2012_9_3'!E2044,"AAAAAF53P7U=")</f>
        <v>#VALUE!</v>
      </c>
      <c r="GA128" t="e">
        <f>AND('Planilla_General_03-12-2012_9_3'!F2044,"AAAAAF53P7Y=")</f>
        <v>#VALUE!</v>
      </c>
      <c r="GB128" t="e">
        <f>AND('Planilla_General_03-12-2012_9_3'!G2044,"AAAAAF53P7c=")</f>
        <v>#VALUE!</v>
      </c>
      <c r="GC128" t="e">
        <f>AND('Planilla_General_03-12-2012_9_3'!H2044,"AAAAAF53P7g=")</f>
        <v>#VALUE!</v>
      </c>
      <c r="GD128" t="e">
        <f>AND('Planilla_General_03-12-2012_9_3'!I2044,"AAAAAF53P7k=")</f>
        <v>#VALUE!</v>
      </c>
      <c r="GE128" t="e">
        <f>AND('Planilla_General_03-12-2012_9_3'!J2044,"AAAAAF53P7o=")</f>
        <v>#VALUE!</v>
      </c>
      <c r="GF128" t="e">
        <f>AND('Planilla_General_03-12-2012_9_3'!K2044,"AAAAAF53P7s=")</f>
        <v>#VALUE!</v>
      </c>
      <c r="GG128" t="e">
        <f>AND('Planilla_General_03-12-2012_9_3'!L2044,"AAAAAF53P7w=")</f>
        <v>#VALUE!</v>
      </c>
      <c r="GH128" t="e">
        <f>AND('Planilla_General_03-12-2012_9_3'!M2044,"AAAAAF53P70=")</f>
        <v>#VALUE!</v>
      </c>
      <c r="GI128" t="e">
        <f>AND('Planilla_General_03-12-2012_9_3'!N2044,"AAAAAF53P74=")</f>
        <v>#VALUE!</v>
      </c>
      <c r="GJ128" t="e">
        <f>AND('Planilla_General_03-12-2012_9_3'!O2044,"AAAAAF53P78=")</f>
        <v>#VALUE!</v>
      </c>
      <c r="GK128">
        <f>IF('Planilla_General_03-12-2012_9_3'!2045:2045,"AAAAAF53P8A=",0)</f>
        <v>0</v>
      </c>
      <c r="GL128" t="e">
        <f>AND('Planilla_General_03-12-2012_9_3'!A2045,"AAAAAF53P8E=")</f>
        <v>#VALUE!</v>
      </c>
      <c r="GM128" t="e">
        <f>AND('Planilla_General_03-12-2012_9_3'!B2045,"AAAAAF53P8I=")</f>
        <v>#VALUE!</v>
      </c>
      <c r="GN128" t="e">
        <f>AND('Planilla_General_03-12-2012_9_3'!C2045,"AAAAAF53P8M=")</f>
        <v>#VALUE!</v>
      </c>
      <c r="GO128" t="e">
        <f>AND('Planilla_General_03-12-2012_9_3'!D2045,"AAAAAF53P8Q=")</f>
        <v>#VALUE!</v>
      </c>
      <c r="GP128" t="e">
        <f>AND('Planilla_General_03-12-2012_9_3'!E2045,"AAAAAF53P8U=")</f>
        <v>#VALUE!</v>
      </c>
      <c r="GQ128" t="e">
        <f>AND('Planilla_General_03-12-2012_9_3'!F2045,"AAAAAF53P8Y=")</f>
        <v>#VALUE!</v>
      </c>
      <c r="GR128" t="e">
        <f>AND('Planilla_General_03-12-2012_9_3'!G2045,"AAAAAF53P8c=")</f>
        <v>#VALUE!</v>
      </c>
      <c r="GS128" t="e">
        <f>AND('Planilla_General_03-12-2012_9_3'!H2045,"AAAAAF53P8g=")</f>
        <v>#VALUE!</v>
      </c>
      <c r="GT128" t="e">
        <f>AND('Planilla_General_03-12-2012_9_3'!I2045,"AAAAAF53P8k=")</f>
        <v>#VALUE!</v>
      </c>
      <c r="GU128" t="e">
        <f>AND('Planilla_General_03-12-2012_9_3'!J2045,"AAAAAF53P8o=")</f>
        <v>#VALUE!</v>
      </c>
      <c r="GV128" t="e">
        <f>AND('Planilla_General_03-12-2012_9_3'!K2045,"AAAAAF53P8s=")</f>
        <v>#VALUE!</v>
      </c>
      <c r="GW128" t="e">
        <f>AND('Planilla_General_03-12-2012_9_3'!L2045,"AAAAAF53P8w=")</f>
        <v>#VALUE!</v>
      </c>
      <c r="GX128" t="e">
        <f>AND('Planilla_General_03-12-2012_9_3'!M2045,"AAAAAF53P80=")</f>
        <v>#VALUE!</v>
      </c>
      <c r="GY128" t="e">
        <f>AND('Planilla_General_03-12-2012_9_3'!N2045,"AAAAAF53P84=")</f>
        <v>#VALUE!</v>
      </c>
      <c r="GZ128" t="e">
        <f>AND('Planilla_General_03-12-2012_9_3'!O2045,"AAAAAF53P88=")</f>
        <v>#VALUE!</v>
      </c>
      <c r="HA128">
        <f>IF('Planilla_General_03-12-2012_9_3'!2046:2046,"AAAAAF53P9A=",0)</f>
        <v>0</v>
      </c>
      <c r="HB128" t="e">
        <f>AND('Planilla_General_03-12-2012_9_3'!A2046,"AAAAAF53P9E=")</f>
        <v>#VALUE!</v>
      </c>
      <c r="HC128" t="e">
        <f>AND('Planilla_General_03-12-2012_9_3'!B2046,"AAAAAF53P9I=")</f>
        <v>#VALUE!</v>
      </c>
      <c r="HD128" t="e">
        <f>AND('Planilla_General_03-12-2012_9_3'!C2046,"AAAAAF53P9M=")</f>
        <v>#VALUE!</v>
      </c>
      <c r="HE128" t="e">
        <f>AND('Planilla_General_03-12-2012_9_3'!D2046,"AAAAAF53P9Q=")</f>
        <v>#VALUE!</v>
      </c>
      <c r="HF128" t="e">
        <f>AND('Planilla_General_03-12-2012_9_3'!E2046,"AAAAAF53P9U=")</f>
        <v>#VALUE!</v>
      </c>
      <c r="HG128" t="e">
        <f>AND('Planilla_General_03-12-2012_9_3'!F2046,"AAAAAF53P9Y=")</f>
        <v>#VALUE!</v>
      </c>
      <c r="HH128" t="e">
        <f>AND('Planilla_General_03-12-2012_9_3'!G2046,"AAAAAF53P9c=")</f>
        <v>#VALUE!</v>
      </c>
      <c r="HI128" t="e">
        <f>AND('Planilla_General_03-12-2012_9_3'!H2046,"AAAAAF53P9g=")</f>
        <v>#VALUE!</v>
      </c>
      <c r="HJ128" t="e">
        <f>AND('Planilla_General_03-12-2012_9_3'!I2046,"AAAAAF53P9k=")</f>
        <v>#VALUE!</v>
      </c>
      <c r="HK128" t="e">
        <f>AND('Planilla_General_03-12-2012_9_3'!J2046,"AAAAAF53P9o=")</f>
        <v>#VALUE!</v>
      </c>
      <c r="HL128" t="e">
        <f>AND('Planilla_General_03-12-2012_9_3'!K2046,"AAAAAF53P9s=")</f>
        <v>#VALUE!</v>
      </c>
      <c r="HM128" t="e">
        <f>AND('Planilla_General_03-12-2012_9_3'!L2046,"AAAAAF53P9w=")</f>
        <v>#VALUE!</v>
      </c>
      <c r="HN128" t="e">
        <f>AND('Planilla_General_03-12-2012_9_3'!M2046,"AAAAAF53P90=")</f>
        <v>#VALUE!</v>
      </c>
      <c r="HO128" t="e">
        <f>AND('Planilla_General_03-12-2012_9_3'!N2046,"AAAAAF53P94=")</f>
        <v>#VALUE!</v>
      </c>
      <c r="HP128" t="e">
        <f>AND('Planilla_General_03-12-2012_9_3'!O2046,"AAAAAF53P98=")</f>
        <v>#VALUE!</v>
      </c>
      <c r="HQ128">
        <f>IF('Planilla_General_03-12-2012_9_3'!2047:2047,"AAAAAF53P+A=",0)</f>
        <v>0</v>
      </c>
      <c r="HR128" t="e">
        <f>AND('Planilla_General_03-12-2012_9_3'!A2047,"AAAAAF53P+E=")</f>
        <v>#VALUE!</v>
      </c>
      <c r="HS128" t="e">
        <f>AND('Planilla_General_03-12-2012_9_3'!B2047,"AAAAAF53P+I=")</f>
        <v>#VALUE!</v>
      </c>
      <c r="HT128" t="e">
        <f>AND('Planilla_General_03-12-2012_9_3'!C2047,"AAAAAF53P+M=")</f>
        <v>#VALUE!</v>
      </c>
      <c r="HU128" t="e">
        <f>AND('Planilla_General_03-12-2012_9_3'!D2047,"AAAAAF53P+Q=")</f>
        <v>#VALUE!</v>
      </c>
      <c r="HV128" t="e">
        <f>AND('Planilla_General_03-12-2012_9_3'!E2047,"AAAAAF53P+U=")</f>
        <v>#VALUE!</v>
      </c>
      <c r="HW128" t="e">
        <f>AND('Planilla_General_03-12-2012_9_3'!F2047,"AAAAAF53P+Y=")</f>
        <v>#VALUE!</v>
      </c>
      <c r="HX128" t="e">
        <f>AND('Planilla_General_03-12-2012_9_3'!G2047,"AAAAAF53P+c=")</f>
        <v>#VALUE!</v>
      </c>
      <c r="HY128" t="e">
        <f>AND('Planilla_General_03-12-2012_9_3'!H2047,"AAAAAF53P+g=")</f>
        <v>#VALUE!</v>
      </c>
      <c r="HZ128" t="e">
        <f>AND('Planilla_General_03-12-2012_9_3'!I2047,"AAAAAF53P+k=")</f>
        <v>#VALUE!</v>
      </c>
      <c r="IA128" t="e">
        <f>AND('Planilla_General_03-12-2012_9_3'!J2047,"AAAAAF53P+o=")</f>
        <v>#VALUE!</v>
      </c>
      <c r="IB128" t="e">
        <f>AND('Planilla_General_03-12-2012_9_3'!K2047,"AAAAAF53P+s=")</f>
        <v>#VALUE!</v>
      </c>
      <c r="IC128" t="e">
        <f>AND('Planilla_General_03-12-2012_9_3'!L2047,"AAAAAF53P+w=")</f>
        <v>#VALUE!</v>
      </c>
      <c r="ID128" t="e">
        <f>AND('Planilla_General_03-12-2012_9_3'!M2047,"AAAAAF53P+0=")</f>
        <v>#VALUE!</v>
      </c>
      <c r="IE128" t="e">
        <f>AND('Planilla_General_03-12-2012_9_3'!N2047,"AAAAAF53P+4=")</f>
        <v>#VALUE!</v>
      </c>
      <c r="IF128" t="e">
        <f>AND('Planilla_General_03-12-2012_9_3'!O2047,"AAAAAF53P+8=")</f>
        <v>#VALUE!</v>
      </c>
      <c r="IG128">
        <f>IF('Planilla_General_03-12-2012_9_3'!2048:2048,"AAAAAF53P/A=",0)</f>
        <v>0</v>
      </c>
      <c r="IH128" t="e">
        <f>AND('Planilla_General_03-12-2012_9_3'!A2048,"AAAAAF53P/E=")</f>
        <v>#VALUE!</v>
      </c>
      <c r="II128" t="e">
        <f>AND('Planilla_General_03-12-2012_9_3'!B2048,"AAAAAF53P/I=")</f>
        <v>#VALUE!</v>
      </c>
      <c r="IJ128" t="e">
        <f>AND('Planilla_General_03-12-2012_9_3'!C2048,"AAAAAF53P/M=")</f>
        <v>#VALUE!</v>
      </c>
      <c r="IK128" t="e">
        <f>AND('Planilla_General_03-12-2012_9_3'!D2048,"AAAAAF53P/Q=")</f>
        <v>#VALUE!</v>
      </c>
      <c r="IL128" t="e">
        <f>AND('Planilla_General_03-12-2012_9_3'!E2048,"AAAAAF53P/U=")</f>
        <v>#VALUE!</v>
      </c>
      <c r="IM128" t="e">
        <f>AND('Planilla_General_03-12-2012_9_3'!F2048,"AAAAAF53P/Y=")</f>
        <v>#VALUE!</v>
      </c>
      <c r="IN128" t="e">
        <f>AND('Planilla_General_03-12-2012_9_3'!G2048,"AAAAAF53P/c=")</f>
        <v>#VALUE!</v>
      </c>
      <c r="IO128" t="e">
        <f>AND('Planilla_General_03-12-2012_9_3'!H2048,"AAAAAF53P/g=")</f>
        <v>#VALUE!</v>
      </c>
      <c r="IP128" t="e">
        <f>AND('Planilla_General_03-12-2012_9_3'!I2048,"AAAAAF53P/k=")</f>
        <v>#VALUE!</v>
      </c>
      <c r="IQ128" t="e">
        <f>AND('Planilla_General_03-12-2012_9_3'!J2048,"AAAAAF53P/o=")</f>
        <v>#VALUE!</v>
      </c>
      <c r="IR128" t="e">
        <f>AND('Planilla_General_03-12-2012_9_3'!K2048,"AAAAAF53P/s=")</f>
        <v>#VALUE!</v>
      </c>
      <c r="IS128" t="e">
        <f>AND('Planilla_General_03-12-2012_9_3'!L2048,"AAAAAF53P/w=")</f>
        <v>#VALUE!</v>
      </c>
      <c r="IT128" t="e">
        <f>AND('Planilla_General_03-12-2012_9_3'!M2048,"AAAAAF53P/0=")</f>
        <v>#VALUE!</v>
      </c>
      <c r="IU128" t="e">
        <f>AND('Planilla_General_03-12-2012_9_3'!N2048,"AAAAAF53P/4=")</f>
        <v>#VALUE!</v>
      </c>
      <c r="IV128" t="e">
        <f>AND('Planilla_General_03-12-2012_9_3'!O2048,"AAAAAF53P/8=")</f>
        <v>#VALUE!</v>
      </c>
    </row>
    <row r="129" spans="1:256" x14ac:dyDescent="0.25">
      <c r="A129" t="e">
        <f>IF('Planilla_General_03-12-2012_9_3'!2049:2049,"AAAAAHPufwA=",0)</f>
        <v>#VALUE!</v>
      </c>
      <c r="B129" t="e">
        <f>AND('Planilla_General_03-12-2012_9_3'!A2049,"AAAAAHPufwE=")</f>
        <v>#VALUE!</v>
      </c>
      <c r="C129" t="e">
        <f>AND('Planilla_General_03-12-2012_9_3'!B2049,"AAAAAHPufwI=")</f>
        <v>#VALUE!</v>
      </c>
      <c r="D129" t="e">
        <f>AND('Planilla_General_03-12-2012_9_3'!C2049,"AAAAAHPufwM=")</f>
        <v>#VALUE!</v>
      </c>
      <c r="E129" t="e">
        <f>AND('Planilla_General_03-12-2012_9_3'!D2049,"AAAAAHPufwQ=")</f>
        <v>#VALUE!</v>
      </c>
      <c r="F129" t="e">
        <f>AND('Planilla_General_03-12-2012_9_3'!E2049,"AAAAAHPufwU=")</f>
        <v>#VALUE!</v>
      </c>
      <c r="G129" t="e">
        <f>AND('Planilla_General_03-12-2012_9_3'!F2049,"AAAAAHPufwY=")</f>
        <v>#VALUE!</v>
      </c>
      <c r="H129" t="e">
        <f>AND('Planilla_General_03-12-2012_9_3'!G2049,"AAAAAHPufwc=")</f>
        <v>#VALUE!</v>
      </c>
      <c r="I129" t="e">
        <f>AND('Planilla_General_03-12-2012_9_3'!H2049,"AAAAAHPufwg=")</f>
        <v>#VALUE!</v>
      </c>
      <c r="J129" t="e">
        <f>AND('Planilla_General_03-12-2012_9_3'!I2049,"AAAAAHPufwk=")</f>
        <v>#VALUE!</v>
      </c>
      <c r="K129" t="e">
        <f>AND('Planilla_General_03-12-2012_9_3'!J2049,"AAAAAHPufwo=")</f>
        <v>#VALUE!</v>
      </c>
      <c r="L129" t="e">
        <f>AND('Planilla_General_03-12-2012_9_3'!K2049,"AAAAAHPufws=")</f>
        <v>#VALUE!</v>
      </c>
      <c r="M129" t="e">
        <f>AND('Planilla_General_03-12-2012_9_3'!L2049,"AAAAAHPufww=")</f>
        <v>#VALUE!</v>
      </c>
      <c r="N129" t="e">
        <f>AND('Planilla_General_03-12-2012_9_3'!M2049,"AAAAAHPufw0=")</f>
        <v>#VALUE!</v>
      </c>
      <c r="O129" t="e">
        <f>AND('Planilla_General_03-12-2012_9_3'!N2049,"AAAAAHPufw4=")</f>
        <v>#VALUE!</v>
      </c>
      <c r="P129" t="e">
        <f>AND('Planilla_General_03-12-2012_9_3'!O2049,"AAAAAHPufw8=")</f>
        <v>#VALUE!</v>
      </c>
      <c r="Q129">
        <f>IF('Planilla_General_03-12-2012_9_3'!2050:2050,"AAAAAHPufxA=",0)</f>
        <v>0</v>
      </c>
      <c r="R129" t="e">
        <f>AND('Planilla_General_03-12-2012_9_3'!A2050,"AAAAAHPufxE=")</f>
        <v>#VALUE!</v>
      </c>
      <c r="S129" t="e">
        <f>AND('Planilla_General_03-12-2012_9_3'!B2050,"AAAAAHPufxI=")</f>
        <v>#VALUE!</v>
      </c>
      <c r="T129" t="e">
        <f>AND('Planilla_General_03-12-2012_9_3'!C2050,"AAAAAHPufxM=")</f>
        <v>#VALUE!</v>
      </c>
      <c r="U129" t="e">
        <f>AND('Planilla_General_03-12-2012_9_3'!D2050,"AAAAAHPufxQ=")</f>
        <v>#VALUE!</v>
      </c>
      <c r="V129" t="e">
        <f>AND('Planilla_General_03-12-2012_9_3'!E2050,"AAAAAHPufxU=")</f>
        <v>#VALUE!</v>
      </c>
      <c r="W129" t="e">
        <f>AND('Planilla_General_03-12-2012_9_3'!F2050,"AAAAAHPufxY=")</f>
        <v>#VALUE!</v>
      </c>
      <c r="X129" t="e">
        <f>AND('Planilla_General_03-12-2012_9_3'!G2050,"AAAAAHPufxc=")</f>
        <v>#VALUE!</v>
      </c>
      <c r="Y129" t="e">
        <f>AND('Planilla_General_03-12-2012_9_3'!H2050,"AAAAAHPufxg=")</f>
        <v>#VALUE!</v>
      </c>
      <c r="Z129" t="e">
        <f>AND('Planilla_General_03-12-2012_9_3'!I2050,"AAAAAHPufxk=")</f>
        <v>#VALUE!</v>
      </c>
      <c r="AA129" t="e">
        <f>AND('Planilla_General_03-12-2012_9_3'!J2050,"AAAAAHPufxo=")</f>
        <v>#VALUE!</v>
      </c>
      <c r="AB129" t="e">
        <f>AND('Planilla_General_03-12-2012_9_3'!K2050,"AAAAAHPufxs=")</f>
        <v>#VALUE!</v>
      </c>
      <c r="AC129" t="e">
        <f>AND('Planilla_General_03-12-2012_9_3'!L2050,"AAAAAHPufxw=")</f>
        <v>#VALUE!</v>
      </c>
      <c r="AD129" t="e">
        <f>AND('Planilla_General_03-12-2012_9_3'!M2050,"AAAAAHPufx0=")</f>
        <v>#VALUE!</v>
      </c>
      <c r="AE129" t="e">
        <f>AND('Planilla_General_03-12-2012_9_3'!N2050,"AAAAAHPufx4=")</f>
        <v>#VALUE!</v>
      </c>
      <c r="AF129" t="e">
        <f>AND('Planilla_General_03-12-2012_9_3'!O2050,"AAAAAHPufx8=")</f>
        <v>#VALUE!</v>
      </c>
      <c r="AG129">
        <f>IF('Planilla_General_03-12-2012_9_3'!2051:2051,"AAAAAHPufyA=",0)</f>
        <v>0</v>
      </c>
      <c r="AH129" t="e">
        <f>AND('Planilla_General_03-12-2012_9_3'!A2051,"AAAAAHPufyE=")</f>
        <v>#VALUE!</v>
      </c>
      <c r="AI129" t="e">
        <f>AND('Planilla_General_03-12-2012_9_3'!B2051,"AAAAAHPufyI=")</f>
        <v>#VALUE!</v>
      </c>
      <c r="AJ129" t="e">
        <f>AND('Planilla_General_03-12-2012_9_3'!C2051,"AAAAAHPufyM=")</f>
        <v>#VALUE!</v>
      </c>
      <c r="AK129" t="e">
        <f>AND('Planilla_General_03-12-2012_9_3'!D2051,"AAAAAHPufyQ=")</f>
        <v>#VALUE!</v>
      </c>
      <c r="AL129" t="e">
        <f>AND('Planilla_General_03-12-2012_9_3'!E2051,"AAAAAHPufyU=")</f>
        <v>#VALUE!</v>
      </c>
      <c r="AM129" t="e">
        <f>AND('Planilla_General_03-12-2012_9_3'!F2051,"AAAAAHPufyY=")</f>
        <v>#VALUE!</v>
      </c>
      <c r="AN129" t="e">
        <f>AND('Planilla_General_03-12-2012_9_3'!G2051,"AAAAAHPufyc=")</f>
        <v>#VALUE!</v>
      </c>
      <c r="AO129" t="e">
        <f>AND('Planilla_General_03-12-2012_9_3'!H2051,"AAAAAHPufyg=")</f>
        <v>#VALUE!</v>
      </c>
      <c r="AP129" t="e">
        <f>AND('Planilla_General_03-12-2012_9_3'!I2051,"AAAAAHPufyk=")</f>
        <v>#VALUE!</v>
      </c>
      <c r="AQ129" t="e">
        <f>AND('Planilla_General_03-12-2012_9_3'!J2051,"AAAAAHPufyo=")</f>
        <v>#VALUE!</v>
      </c>
      <c r="AR129" t="e">
        <f>AND('Planilla_General_03-12-2012_9_3'!K2051,"AAAAAHPufys=")</f>
        <v>#VALUE!</v>
      </c>
      <c r="AS129" t="e">
        <f>AND('Planilla_General_03-12-2012_9_3'!L2051,"AAAAAHPufyw=")</f>
        <v>#VALUE!</v>
      </c>
      <c r="AT129" t="e">
        <f>AND('Planilla_General_03-12-2012_9_3'!M2051,"AAAAAHPufy0=")</f>
        <v>#VALUE!</v>
      </c>
      <c r="AU129" t="e">
        <f>AND('Planilla_General_03-12-2012_9_3'!N2051,"AAAAAHPufy4=")</f>
        <v>#VALUE!</v>
      </c>
      <c r="AV129" t="e">
        <f>AND('Planilla_General_03-12-2012_9_3'!O2051,"AAAAAHPufy8=")</f>
        <v>#VALUE!</v>
      </c>
      <c r="AW129">
        <f>IF('Planilla_General_03-12-2012_9_3'!2052:2052,"AAAAAHPufzA=",0)</f>
        <v>0</v>
      </c>
      <c r="AX129" t="e">
        <f>AND('Planilla_General_03-12-2012_9_3'!A2052,"AAAAAHPufzE=")</f>
        <v>#VALUE!</v>
      </c>
      <c r="AY129" t="e">
        <f>AND('Planilla_General_03-12-2012_9_3'!B2052,"AAAAAHPufzI=")</f>
        <v>#VALUE!</v>
      </c>
      <c r="AZ129" t="e">
        <f>AND('Planilla_General_03-12-2012_9_3'!C2052,"AAAAAHPufzM=")</f>
        <v>#VALUE!</v>
      </c>
      <c r="BA129" t="e">
        <f>AND('Planilla_General_03-12-2012_9_3'!D2052,"AAAAAHPufzQ=")</f>
        <v>#VALUE!</v>
      </c>
      <c r="BB129" t="e">
        <f>AND('Planilla_General_03-12-2012_9_3'!E2052,"AAAAAHPufzU=")</f>
        <v>#VALUE!</v>
      </c>
      <c r="BC129" t="e">
        <f>AND('Planilla_General_03-12-2012_9_3'!F2052,"AAAAAHPufzY=")</f>
        <v>#VALUE!</v>
      </c>
      <c r="BD129" t="e">
        <f>AND('Planilla_General_03-12-2012_9_3'!G2052,"AAAAAHPufzc=")</f>
        <v>#VALUE!</v>
      </c>
      <c r="BE129" t="e">
        <f>AND('Planilla_General_03-12-2012_9_3'!H2052,"AAAAAHPufzg=")</f>
        <v>#VALUE!</v>
      </c>
      <c r="BF129" t="e">
        <f>AND('Planilla_General_03-12-2012_9_3'!I2052,"AAAAAHPufzk=")</f>
        <v>#VALUE!</v>
      </c>
      <c r="BG129" t="e">
        <f>AND('Planilla_General_03-12-2012_9_3'!J2052,"AAAAAHPufzo=")</f>
        <v>#VALUE!</v>
      </c>
      <c r="BH129" t="e">
        <f>AND('Planilla_General_03-12-2012_9_3'!K2052,"AAAAAHPufzs=")</f>
        <v>#VALUE!</v>
      </c>
      <c r="BI129" t="e">
        <f>AND('Planilla_General_03-12-2012_9_3'!L2052,"AAAAAHPufzw=")</f>
        <v>#VALUE!</v>
      </c>
      <c r="BJ129" t="e">
        <f>AND('Planilla_General_03-12-2012_9_3'!M2052,"AAAAAHPufz0=")</f>
        <v>#VALUE!</v>
      </c>
      <c r="BK129" t="e">
        <f>AND('Planilla_General_03-12-2012_9_3'!N2052,"AAAAAHPufz4=")</f>
        <v>#VALUE!</v>
      </c>
      <c r="BL129" t="e">
        <f>AND('Planilla_General_03-12-2012_9_3'!O2052,"AAAAAHPufz8=")</f>
        <v>#VALUE!</v>
      </c>
      <c r="BM129">
        <f>IF('Planilla_General_03-12-2012_9_3'!2053:2053,"AAAAAHPuf0A=",0)</f>
        <v>0</v>
      </c>
      <c r="BN129" t="e">
        <f>AND('Planilla_General_03-12-2012_9_3'!A2053,"AAAAAHPuf0E=")</f>
        <v>#VALUE!</v>
      </c>
      <c r="BO129" t="e">
        <f>AND('Planilla_General_03-12-2012_9_3'!B2053,"AAAAAHPuf0I=")</f>
        <v>#VALUE!</v>
      </c>
      <c r="BP129" t="e">
        <f>AND('Planilla_General_03-12-2012_9_3'!C2053,"AAAAAHPuf0M=")</f>
        <v>#VALUE!</v>
      </c>
      <c r="BQ129" t="e">
        <f>AND('Planilla_General_03-12-2012_9_3'!D2053,"AAAAAHPuf0Q=")</f>
        <v>#VALUE!</v>
      </c>
      <c r="BR129" t="e">
        <f>AND('Planilla_General_03-12-2012_9_3'!E2053,"AAAAAHPuf0U=")</f>
        <v>#VALUE!</v>
      </c>
      <c r="BS129" t="e">
        <f>AND('Planilla_General_03-12-2012_9_3'!F2053,"AAAAAHPuf0Y=")</f>
        <v>#VALUE!</v>
      </c>
      <c r="BT129" t="e">
        <f>AND('Planilla_General_03-12-2012_9_3'!G2053,"AAAAAHPuf0c=")</f>
        <v>#VALUE!</v>
      </c>
      <c r="BU129" t="e">
        <f>AND('Planilla_General_03-12-2012_9_3'!H2053,"AAAAAHPuf0g=")</f>
        <v>#VALUE!</v>
      </c>
      <c r="BV129" t="e">
        <f>AND('Planilla_General_03-12-2012_9_3'!I2053,"AAAAAHPuf0k=")</f>
        <v>#VALUE!</v>
      </c>
      <c r="BW129" t="e">
        <f>AND('Planilla_General_03-12-2012_9_3'!J2053,"AAAAAHPuf0o=")</f>
        <v>#VALUE!</v>
      </c>
      <c r="BX129" t="e">
        <f>AND('Planilla_General_03-12-2012_9_3'!K2053,"AAAAAHPuf0s=")</f>
        <v>#VALUE!</v>
      </c>
      <c r="BY129" t="e">
        <f>AND('Planilla_General_03-12-2012_9_3'!L2053,"AAAAAHPuf0w=")</f>
        <v>#VALUE!</v>
      </c>
      <c r="BZ129" t="e">
        <f>AND('Planilla_General_03-12-2012_9_3'!M2053,"AAAAAHPuf00=")</f>
        <v>#VALUE!</v>
      </c>
      <c r="CA129" t="e">
        <f>AND('Planilla_General_03-12-2012_9_3'!N2053,"AAAAAHPuf04=")</f>
        <v>#VALUE!</v>
      </c>
      <c r="CB129" t="e">
        <f>AND('Planilla_General_03-12-2012_9_3'!O2053,"AAAAAHPuf08=")</f>
        <v>#VALUE!</v>
      </c>
      <c r="CC129">
        <f>IF('Planilla_General_03-12-2012_9_3'!2054:2054,"AAAAAHPuf1A=",0)</f>
        <v>0</v>
      </c>
      <c r="CD129" t="e">
        <f>AND('Planilla_General_03-12-2012_9_3'!A2054,"AAAAAHPuf1E=")</f>
        <v>#VALUE!</v>
      </c>
      <c r="CE129" t="e">
        <f>AND('Planilla_General_03-12-2012_9_3'!B2054,"AAAAAHPuf1I=")</f>
        <v>#VALUE!</v>
      </c>
      <c r="CF129" t="e">
        <f>AND('Planilla_General_03-12-2012_9_3'!C2054,"AAAAAHPuf1M=")</f>
        <v>#VALUE!</v>
      </c>
      <c r="CG129" t="e">
        <f>AND('Planilla_General_03-12-2012_9_3'!D2054,"AAAAAHPuf1Q=")</f>
        <v>#VALUE!</v>
      </c>
      <c r="CH129" t="e">
        <f>AND('Planilla_General_03-12-2012_9_3'!E2054,"AAAAAHPuf1U=")</f>
        <v>#VALUE!</v>
      </c>
      <c r="CI129" t="e">
        <f>AND('Planilla_General_03-12-2012_9_3'!F2054,"AAAAAHPuf1Y=")</f>
        <v>#VALUE!</v>
      </c>
      <c r="CJ129" t="e">
        <f>AND('Planilla_General_03-12-2012_9_3'!G2054,"AAAAAHPuf1c=")</f>
        <v>#VALUE!</v>
      </c>
      <c r="CK129" t="e">
        <f>AND('Planilla_General_03-12-2012_9_3'!H2054,"AAAAAHPuf1g=")</f>
        <v>#VALUE!</v>
      </c>
      <c r="CL129" t="e">
        <f>AND('Planilla_General_03-12-2012_9_3'!I2054,"AAAAAHPuf1k=")</f>
        <v>#VALUE!</v>
      </c>
      <c r="CM129" t="e">
        <f>AND('Planilla_General_03-12-2012_9_3'!J2054,"AAAAAHPuf1o=")</f>
        <v>#VALUE!</v>
      </c>
      <c r="CN129" t="e">
        <f>AND('Planilla_General_03-12-2012_9_3'!K2054,"AAAAAHPuf1s=")</f>
        <v>#VALUE!</v>
      </c>
      <c r="CO129" t="e">
        <f>AND('Planilla_General_03-12-2012_9_3'!L2054,"AAAAAHPuf1w=")</f>
        <v>#VALUE!</v>
      </c>
      <c r="CP129" t="e">
        <f>AND('Planilla_General_03-12-2012_9_3'!M2054,"AAAAAHPuf10=")</f>
        <v>#VALUE!</v>
      </c>
      <c r="CQ129" t="e">
        <f>AND('Planilla_General_03-12-2012_9_3'!N2054,"AAAAAHPuf14=")</f>
        <v>#VALUE!</v>
      </c>
      <c r="CR129" t="e">
        <f>AND('Planilla_General_03-12-2012_9_3'!O2054,"AAAAAHPuf18=")</f>
        <v>#VALUE!</v>
      </c>
      <c r="CS129">
        <f>IF('Planilla_General_03-12-2012_9_3'!2055:2055,"AAAAAHPuf2A=",0)</f>
        <v>0</v>
      </c>
      <c r="CT129" t="e">
        <f>AND('Planilla_General_03-12-2012_9_3'!A2055,"AAAAAHPuf2E=")</f>
        <v>#VALUE!</v>
      </c>
      <c r="CU129" t="e">
        <f>AND('Planilla_General_03-12-2012_9_3'!B2055,"AAAAAHPuf2I=")</f>
        <v>#VALUE!</v>
      </c>
      <c r="CV129" t="e">
        <f>AND('Planilla_General_03-12-2012_9_3'!C2055,"AAAAAHPuf2M=")</f>
        <v>#VALUE!</v>
      </c>
      <c r="CW129" t="e">
        <f>AND('Planilla_General_03-12-2012_9_3'!D2055,"AAAAAHPuf2Q=")</f>
        <v>#VALUE!</v>
      </c>
      <c r="CX129" t="e">
        <f>AND('Planilla_General_03-12-2012_9_3'!E2055,"AAAAAHPuf2U=")</f>
        <v>#VALUE!</v>
      </c>
      <c r="CY129" t="e">
        <f>AND('Planilla_General_03-12-2012_9_3'!F2055,"AAAAAHPuf2Y=")</f>
        <v>#VALUE!</v>
      </c>
      <c r="CZ129" t="e">
        <f>AND('Planilla_General_03-12-2012_9_3'!G2055,"AAAAAHPuf2c=")</f>
        <v>#VALUE!</v>
      </c>
      <c r="DA129" t="e">
        <f>AND('Planilla_General_03-12-2012_9_3'!H2055,"AAAAAHPuf2g=")</f>
        <v>#VALUE!</v>
      </c>
      <c r="DB129" t="e">
        <f>AND('Planilla_General_03-12-2012_9_3'!I2055,"AAAAAHPuf2k=")</f>
        <v>#VALUE!</v>
      </c>
      <c r="DC129" t="e">
        <f>AND('Planilla_General_03-12-2012_9_3'!J2055,"AAAAAHPuf2o=")</f>
        <v>#VALUE!</v>
      </c>
      <c r="DD129" t="e">
        <f>AND('Planilla_General_03-12-2012_9_3'!K2055,"AAAAAHPuf2s=")</f>
        <v>#VALUE!</v>
      </c>
      <c r="DE129" t="e">
        <f>AND('Planilla_General_03-12-2012_9_3'!L2055,"AAAAAHPuf2w=")</f>
        <v>#VALUE!</v>
      </c>
      <c r="DF129" t="e">
        <f>AND('Planilla_General_03-12-2012_9_3'!M2055,"AAAAAHPuf20=")</f>
        <v>#VALUE!</v>
      </c>
      <c r="DG129" t="e">
        <f>AND('Planilla_General_03-12-2012_9_3'!N2055,"AAAAAHPuf24=")</f>
        <v>#VALUE!</v>
      </c>
      <c r="DH129" t="e">
        <f>AND('Planilla_General_03-12-2012_9_3'!O2055,"AAAAAHPuf28=")</f>
        <v>#VALUE!</v>
      </c>
      <c r="DI129">
        <f>IF('Planilla_General_03-12-2012_9_3'!2056:2056,"AAAAAHPuf3A=",0)</f>
        <v>0</v>
      </c>
      <c r="DJ129" t="e">
        <f>AND('Planilla_General_03-12-2012_9_3'!A2056,"AAAAAHPuf3E=")</f>
        <v>#VALUE!</v>
      </c>
      <c r="DK129" t="e">
        <f>AND('Planilla_General_03-12-2012_9_3'!B2056,"AAAAAHPuf3I=")</f>
        <v>#VALUE!</v>
      </c>
      <c r="DL129" t="e">
        <f>AND('Planilla_General_03-12-2012_9_3'!C2056,"AAAAAHPuf3M=")</f>
        <v>#VALUE!</v>
      </c>
      <c r="DM129" t="e">
        <f>AND('Planilla_General_03-12-2012_9_3'!D2056,"AAAAAHPuf3Q=")</f>
        <v>#VALUE!</v>
      </c>
      <c r="DN129" t="e">
        <f>AND('Planilla_General_03-12-2012_9_3'!E2056,"AAAAAHPuf3U=")</f>
        <v>#VALUE!</v>
      </c>
      <c r="DO129" t="e">
        <f>AND('Planilla_General_03-12-2012_9_3'!F2056,"AAAAAHPuf3Y=")</f>
        <v>#VALUE!</v>
      </c>
      <c r="DP129" t="e">
        <f>AND('Planilla_General_03-12-2012_9_3'!G2056,"AAAAAHPuf3c=")</f>
        <v>#VALUE!</v>
      </c>
      <c r="DQ129" t="e">
        <f>AND('Planilla_General_03-12-2012_9_3'!H2056,"AAAAAHPuf3g=")</f>
        <v>#VALUE!</v>
      </c>
      <c r="DR129" t="e">
        <f>AND('Planilla_General_03-12-2012_9_3'!I2056,"AAAAAHPuf3k=")</f>
        <v>#VALUE!</v>
      </c>
      <c r="DS129" t="e">
        <f>AND('Planilla_General_03-12-2012_9_3'!J2056,"AAAAAHPuf3o=")</f>
        <v>#VALUE!</v>
      </c>
      <c r="DT129" t="e">
        <f>AND('Planilla_General_03-12-2012_9_3'!K2056,"AAAAAHPuf3s=")</f>
        <v>#VALUE!</v>
      </c>
      <c r="DU129" t="e">
        <f>AND('Planilla_General_03-12-2012_9_3'!L2056,"AAAAAHPuf3w=")</f>
        <v>#VALUE!</v>
      </c>
      <c r="DV129" t="e">
        <f>AND('Planilla_General_03-12-2012_9_3'!M2056,"AAAAAHPuf30=")</f>
        <v>#VALUE!</v>
      </c>
      <c r="DW129" t="e">
        <f>AND('Planilla_General_03-12-2012_9_3'!N2056,"AAAAAHPuf34=")</f>
        <v>#VALUE!</v>
      </c>
      <c r="DX129" t="e">
        <f>AND('Planilla_General_03-12-2012_9_3'!O2056,"AAAAAHPuf38=")</f>
        <v>#VALUE!</v>
      </c>
      <c r="DY129">
        <f>IF('Planilla_General_03-12-2012_9_3'!2057:2057,"AAAAAHPuf4A=",0)</f>
        <v>0</v>
      </c>
      <c r="DZ129" t="e">
        <f>AND('Planilla_General_03-12-2012_9_3'!A2057,"AAAAAHPuf4E=")</f>
        <v>#VALUE!</v>
      </c>
      <c r="EA129" t="e">
        <f>AND('Planilla_General_03-12-2012_9_3'!B2057,"AAAAAHPuf4I=")</f>
        <v>#VALUE!</v>
      </c>
      <c r="EB129" t="e">
        <f>AND('Planilla_General_03-12-2012_9_3'!C2057,"AAAAAHPuf4M=")</f>
        <v>#VALUE!</v>
      </c>
      <c r="EC129" t="e">
        <f>AND('Planilla_General_03-12-2012_9_3'!D2057,"AAAAAHPuf4Q=")</f>
        <v>#VALUE!</v>
      </c>
      <c r="ED129" t="e">
        <f>AND('Planilla_General_03-12-2012_9_3'!E2057,"AAAAAHPuf4U=")</f>
        <v>#VALUE!</v>
      </c>
      <c r="EE129" t="e">
        <f>AND('Planilla_General_03-12-2012_9_3'!F2057,"AAAAAHPuf4Y=")</f>
        <v>#VALUE!</v>
      </c>
      <c r="EF129" t="e">
        <f>AND('Planilla_General_03-12-2012_9_3'!G2057,"AAAAAHPuf4c=")</f>
        <v>#VALUE!</v>
      </c>
      <c r="EG129" t="e">
        <f>AND('Planilla_General_03-12-2012_9_3'!H2057,"AAAAAHPuf4g=")</f>
        <v>#VALUE!</v>
      </c>
      <c r="EH129" t="e">
        <f>AND('Planilla_General_03-12-2012_9_3'!I2057,"AAAAAHPuf4k=")</f>
        <v>#VALUE!</v>
      </c>
      <c r="EI129" t="e">
        <f>AND('Planilla_General_03-12-2012_9_3'!J2057,"AAAAAHPuf4o=")</f>
        <v>#VALUE!</v>
      </c>
      <c r="EJ129" t="e">
        <f>AND('Planilla_General_03-12-2012_9_3'!K2057,"AAAAAHPuf4s=")</f>
        <v>#VALUE!</v>
      </c>
      <c r="EK129" t="e">
        <f>AND('Planilla_General_03-12-2012_9_3'!L2057,"AAAAAHPuf4w=")</f>
        <v>#VALUE!</v>
      </c>
      <c r="EL129" t="e">
        <f>AND('Planilla_General_03-12-2012_9_3'!M2057,"AAAAAHPuf40=")</f>
        <v>#VALUE!</v>
      </c>
      <c r="EM129" t="e">
        <f>AND('Planilla_General_03-12-2012_9_3'!N2057,"AAAAAHPuf44=")</f>
        <v>#VALUE!</v>
      </c>
      <c r="EN129" t="e">
        <f>AND('Planilla_General_03-12-2012_9_3'!O2057,"AAAAAHPuf48=")</f>
        <v>#VALUE!</v>
      </c>
      <c r="EO129">
        <f>IF('Planilla_General_03-12-2012_9_3'!2058:2058,"AAAAAHPuf5A=",0)</f>
        <v>0</v>
      </c>
      <c r="EP129" t="e">
        <f>AND('Planilla_General_03-12-2012_9_3'!A2058,"AAAAAHPuf5E=")</f>
        <v>#VALUE!</v>
      </c>
      <c r="EQ129" t="e">
        <f>AND('Planilla_General_03-12-2012_9_3'!B2058,"AAAAAHPuf5I=")</f>
        <v>#VALUE!</v>
      </c>
      <c r="ER129" t="e">
        <f>AND('Planilla_General_03-12-2012_9_3'!C2058,"AAAAAHPuf5M=")</f>
        <v>#VALUE!</v>
      </c>
      <c r="ES129" t="e">
        <f>AND('Planilla_General_03-12-2012_9_3'!D2058,"AAAAAHPuf5Q=")</f>
        <v>#VALUE!</v>
      </c>
      <c r="ET129" t="e">
        <f>AND('Planilla_General_03-12-2012_9_3'!E2058,"AAAAAHPuf5U=")</f>
        <v>#VALUE!</v>
      </c>
      <c r="EU129" t="e">
        <f>AND('Planilla_General_03-12-2012_9_3'!F2058,"AAAAAHPuf5Y=")</f>
        <v>#VALUE!</v>
      </c>
      <c r="EV129" t="e">
        <f>AND('Planilla_General_03-12-2012_9_3'!G2058,"AAAAAHPuf5c=")</f>
        <v>#VALUE!</v>
      </c>
      <c r="EW129" t="e">
        <f>AND('Planilla_General_03-12-2012_9_3'!H2058,"AAAAAHPuf5g=")</f>
        <v>#VALUE!</v>
      </c>
      <c r="EX129" t="e">
        <f>AND('Planilla_General_03-12-2012_9_3'!I2058,"AAAAAHPuf5k=")</f>
        <v>#VALUE!</v>
      </c>
      <c r="EY129" t="e">
        <f>AND('Planilla_General_03-12-2012_9_3'!J2058,"AAAAAHPuf5o=")</f>
        <v>#VALUE!</v>
      </c>
      <c r="EZ129" t="e">
        <f>AND('Planilla_General_03-12-2012_9_3'!K2058,"AAAAAHPuf5s=")</f>
        <v>#VALUE!</v>
      </c>
      <c r="FA129" t="e">
        <f>AND('Planilla_General_03-12-2012_9_3'!L2058,"AAAAAHPuf5w=")</f>
        <v>#VALUE!</v>
      </c>
      <c r="FB129" t="e">
        <f>AND('Planilla_General_03-12-2012_9_3'!M2058,"AAAAAHPuf50=")</f>
        <v>#VALUE!</v>
      </c>
      <c r="FC129" t="e">
        <f>AND('Planilla_General_03-12-2012_9_3'!N2058,"AAAAAHPuf54=")</f>
        <v>#VALUE!</v>
      </c>
      <c r="FD129" t="e">
        <f>AND('Planilla_General_03-12-2012_9_3'!O2058,"AAAAAHPuf58=")</f>
        <v>#VALUE!</v>
      </c>
      <c r="FE129">
        <f>IF('Planilla_General_03-12-2012_9_3'!2059:2059,"AAAAAHPuf6A=",0)</f>
        <v>0</v>
      </c>
      <c r="FF129" t="e">
        <f>AND('Planilla_General_03-12-2012_9_3'!A2059,"AAAAAHPuf6E=")</f>
        <v>#VALUE!</v>
      </c>
      <c r="FG129" t="e">
        <f>AND('Planilla_General_03-12-2012_9_3'!B2059,"AAAAAHPuf6I=")</f>
        <v>#VALUE!</v>
      </c>
      <c r="FH129" t="e">
        <f>AND('Planilla_General_03-12-2012_9_3'!C2059,"AAAAAHPuf6M=")</f>
        <v>#VALUE!</v>
      </c>
      <c r="FI129" t="e">
        <f>AND('Planilla_General_03-12-2012_9_3'!D2059,"AAAAAHPuf6Q=")</f>
        <v>#VALUE!</v>
      </c>
      <c r="FJ129" t="e">
        <f>AND('Planilla_General_03-12-2012_9_3'!E2059,"AAAAAHPuf6U=")</f>
        <v>#VALUE!</v>
      </c>
      <c r="FK129" t="e">
        <f>AND('Planilla_General_03-12-2012_9_3'!F2059,"AAAAAHPuf6Y=")</f>
        <v>#VALUE!</v>
      </c>
      <c r="FL129" t="e">
        <f>AND('Planilla_General_03-12-2012_9_3'!G2059,"AAAAAHPuf6c=")</f>
        <v>#VALUE!</v>
      </c>
      <c r="FM129" t="e">
        <f>AND('Planilla_General_03-12-2012_9_3'!H2059,"AAAAAHPuf6g=")</f>
        <v>#VALUE!</v>
      </c>
      <c r="FN129" t="e">
        <f>AND('Planilla_General_03-12-2012_9_3'!I2059,"AAAAAHPuf6k=")</f>
        <v>#VALUE!</v>
      </c>
      <c r="FO129" t="e">
        <f>AND('Planilla_General_03-12-2012_9_3'!J2059,"AAAAAHPuf6o=")</f>
        <v>#VALUE!</v>
      </c>
      <c r="FP129" t="e">
        <f>AND('Planilla_General_03-12-2012_9_3'!K2059,"AAAAAHPuf6s=")</f>
        <v>#VALUE!</v>
      </c>
      <c r="FQ129" t="e">
        <f>AND('Planilla_General_03-12-2012_9_3'!L2059,"AAAAAHPuf6w=")</f>
        <v>#VALUE!</v>
      </c>
      <c r="FR129" t="e">
        <f>AND('Planilla_General_03-12-2012_9_3'!M2059,"AAAAAHPuf60=")</f>
        <v>#VALUE!</v>
      </c>
      <c r="FS129" t="e">
        <f>AND('Planilla_General_03-12-2012_9_3'!N2059,"AAAAAHPuf64=")</f>
        <v>#VALUE!</v>
      </c>
      <c r="FT129" t="e">
        <f>AND('Planilla_General_03-12-2012_9_3'!O2059,"AAAAAHPuf68=")</f>
        <v>#VALUE!</v>
      </c>
      <c r="FU129">
        <f>IF('Planilla_General_03-12-2012_9_3'!2060:2060,"AAAAAHPuf7A=",0)</f>
        <v>0</v>
      </c>
      <c r="FV129" t="e">
        <f>AND('Planilla_General_03-12-2012_9_3'!A2060,"AAAAAHPuf7E=")</f>
        <v>#VALUE!</v>
      </c>
      <c r="FW129" t="e">
        <f>AND('Planilla_General_03-12-2012_9_3'!B2060,"AAAAAHPuf7I=")</f>
        <v>#VALUE!</v>
      </c>
      <c r="FX129" t="e">
        <f>AND('Planilla_General_03-12-2012_9_3'!C2060,"AAAAAHPuf7M=")</f>
        <v>#VALUE!</v>
      </c>
      <c r="FY129" t="e">
        <f>AND('Planilla_General_03-12-2012_9_3'!D2060,"AAAAAHPuf7Q=")</f>
        <v>#VALUE!</v>
      </c>
      <c r="FZ129" t="e">
        <f>AND('Planilla_General_03-12-2012_9_3'!E2060,"AAAAAHPuf7U=")</f>
        <v>#VALUE!</v>
      </c>
      <c r="GA129" t="e">
        <f>AND('Planilla_General_03-12-2012_9_3'!F2060,"AAAAAHPuf7Y=")</f>
        <v>#VALUE!</v>
      </c>
      <c r="GB129" t="e">
        <f>AND('Planilla_General_03-12-2012_9_3'!G2060,"AAAAAHPuf7c=")</f>
        <v>#VALUE!</v>
      </c>
      <c r="GC129" t="e">
        <f>AND('Planilla_General_03-12-2012_9_3'!H2060,"AAAAAHPuf7g=")</f>
        <v>#VALUE!</v>
      </c>
      <c r="GD129" t="e">
        <f>AND('Planilla_General_03-12-2012_9_3'!I2060,"AAAAAHPuf7k=")</f>
        <v>#VALUE!</v>
      </c>
      <c r="GE129" t="e">
        <f>AND('Planilla_General_03-12-2012_9_3'!J2060,"AAAAAHPuf7o=")</f>
        <v>#VALUE!</v>
      </c>
      <c r="GF129" t="e">
        <f>AND('Planilla_General_03-12-2012_9_3'!K2060,"AAAAAHPuf7s=")</f>
        <v>#VALUE!</v>
      </c>
      <c r="GG129" t="e">
        <f>AND('Planilla_General_03-12-2012_9_3'!L2060,"AAAAAHPuf7w=")</f>
        <v>#VALUE!</v>
      </c>
      <c r="GH129" t="e">
        <f>AND('Planilla_General_03-12-2012_9_3'!M2060,"AAAAAHPuf70=")</f>
        <v>#VALUE!</v>
      </c>
      <c r="GI129" t="e">
        <f>AND('Planilla_General_03-12-2012_9_3'!N2060,"AAAAAHPuf74=")</f>
        <v>#VALUE!</v>
      </c>
      <c r="GJ129" t="e">
        <f>AND('Planilla_General_03-12-2012_9_3'!O2060,"AAAAAHPuf78=")</f>
        <v>#VALUE!</v>
      </c>
      <c r="GK129">
        <f>IF('Planilla_General_03-12-2012_9_3'!2061:2061,"AAAAAHPuf8A=",0)</f>
        <v>0</v>
      </c>
      <c r="GL129" t="e">
        <f>AND('Planilla_General_03-12-2012_9_3'!A2061,"AAAAAHPuf8E=")</f>
        <v>#VALUE!</v>
      </c>
      <c r="GM129" t="e">
        <f>AND('Planilla_General_03-12-2012_9_3'!B2061,"AAAAAHPuf8I=")</f>
        <v>#VALUE!</v>
      </c>
      <c r="GN129" t="e">
        <f>AND('Planilla_General_03-12-2012_9_3'!C2061,"AAAAAHPuf8M=")</f>
        <v>#VALUE!</v>
      </c>
      <c r="GO129" t="e">
        <f>AND('Planilla_General_03-12-2012_9_3'!D2061,"AAAAAHPuf8Q=")</f>
        <v>#VALUE!</v>
      </c>
      <c r="GP129" t="e">
        <f>AND('Planilla_General_03-12-2012_9_3'!E2061,"AAAAAHPuf8U=")</f>
        <v>#VALUE!</v>
      </c>
      <c r="GQ129" t="e">
        <f>AND('Planilla_General_03-12-2012_9_3'!F2061,"AAAAAHPuf8Y=")</f>
        <v>#VALUE!</v>
      </c>
      <c r="GR129" t="e">
        <f>AND('Planilla_General_03-12-2012_9_3'!G2061,"AAAAAHPuf8c=")</f>
        <v>#VALUE!</v>
      </c>
      <c r="GS129" t="e">
        <f>AND('Planilla_General_03-12-2012_9_3'!H2061,"AAAAAHPuf8g=")</f>
        <v>#VALUE!</v>
      </c>
      <c r="GT129" t="e">
        <f>AND('Planilla_General_03-12-2012_9_3'!I2061,"AAAAAHPuf8k=")</f>
        <v>#VALUE!</v>
      </c>
      <c r="GU129" t="e">
        <f>AND('Planilla_General_03-12-2012_9_3'!J2061,"AAAAAHPuf8o=")</f>
        <v>#VALUE!</v>
      </c>
      <c r="GV129" t="e">
        <f>AND('Planilla_General_03-12-2012_9_3'!K2061,"AAAAAHPuf8s=")</f>
        <v>#VALUE!</v>
      </c>
      <c r="GW129" t="e">
        <f>AND('Planilla_General_03-12-2012_9_3'!L2061,"AAAAAHPuf8w=")</f>
        <v>#VALUE!</v>
      </c>
      <c r="GX129" t="e">
        <f>AND('Planilla_General_03-12-2012_9_3'!M2061,"AAAAAHPuf80=")</f>
        <v>#VALUE!</v>
      </c>
      <c r="GY129" t="e">
        <f>AND('Planilla_General_03-12-2012_9_3'!N2061,"AAAAAHPuf84=")</f>
        <v>#VALUE!</v>
      </c>
      <c r="GZ129" t="e">
        <f>AND('Planilla_General_03-12-2012_9_3'!O2061,"AAAAAHPuf88=")</f>
        <v>#VALUE!</v>
      </c>
      <c r="HA129">
        <f>IF('Planilla_General_03-12-2012_9_3'!2062:2062,"AAAAAHPuf9A=",0)</f>
        <v>0</v>
      </c>
      <c r="HB129" t="e">
        <f>AND('Planilla_General_03-12-2012_9_3'!A2062,"AAAAAHPuf9E=")</f>
        <v>#VALUE!</v>
      </c>
      <c r="HC129" t="e">
        <f>AND('Planilla_General_03-12-2012_9_3'!B2062,"AAAAAHPuf9I=")</f>
        <v>#VALUE!</v>
      </c>
      <c r="HD129" t="e">
        <f>AND('Planilla_General_03-12-2012_9_3'!C2062,"AAAAAHPuf9M=")</f>
        <v>#VALUE!</v>
      </c>
      <c r="HE129" t="e">
        <f>AND('Planilla_General_03-12-2012_9_3'!D2062,"AAAAAHPuf9Q=")</f>
        <v>#VALUE!</v>
      </c>
      <c r="HF129" t="e">
        <f>AND('Planilla_General_03-12-2012_9_3'!E2062,"AAAAAHPuf9U=")</f>
        <v>#VALUE!</v>
      </c>
      <c r="HG129" t="e">
        <f>AND('Planilla_General_03-12-2012_9_3'!F2062,"AAAAAHPuf9Y=")</f>
        <v>#VALUE!</v>
      </c>
      <c r="HH129" t="e">
        <f>AND('Planilla_General_03-12-2012_9_3'!G2062,"AAAAAHPuf9c=")</f>
        <v>#VALUE!</v>
      </c>
      <c r="HI129" t="e">
        <f>AND('Planilla_General_03-12-2012_9_3'!H2062,"AAAAAHPuf9g=")</f>
        <v>#VALUE!</v>
      </c>
      <c r="HJ129" t="e">
        <f>AND('Planilla_General_03-12-2012_9_3'!I2062,"AAAAAHPuf9k=")</f>
        <v>#VALUE!</v>
      </c>
      <c r="HK129" t="e">
        <f>AND('Planilla_General_03-12-2012_9_3'!J2062,"AAAAAHPuf9o=")</f>
        <v>#VALUE!</v>
      </c>
      <c r="HL129" t="e">
        <f>AND('Planilla_General_03-12-2012_9_3'!K2062,"AAAAAHPuf9s=")</f>
        <v>#VALUE!</v>
      </c>
      <c r="HM129" t="e">
        <f>AND('Planilla_General_03-12-2012_9_3'!L2062,"AAAAAHPuf9w=")</f>
        <v>#VALUE!</v>
      </c>
      <c r="HN129" t="e">
        <f>AND('Planilla_General_03-12-2012_9_3'!M2062,"AAAAAHPuf90=")</f>
        <v>#VALUE!</v>
      </c>
      <c r="HO129" t="e">
        <f>AND('Planilla_General_03-12-2012_9_3'!N2062,"AAAAAHPuf94=")</f>
        <v>#VALUE!</v>
      </c>
      <c r="HP129" t="e">
        <f>AND('Planilla_General_03-12-2012_9_3'!O2062,"AAAAAHPuf98=")</f>
        <v>#VALUE!</v>
      </c>
      <c r="HQ129">
        <f>IF('Planilla_General_03-12-2012_9_3'!2063:2063,"AAAAAHPuf+A=",0)</f>
        <v>0</v>
      </c>
      <c r="HR129" t="e">
        <f>AND('Planilla_General_03-12-2012_9_3'!A2063,"AAAAAHPuf+E=")</f>
        <v>#VALUE!</v>
      </c>
      <c r="HS129" t="e">
        <f>AND('Planilla_General_03-12-2012_9_3'!B2063,"AAAAAHPuf+I=")</f>
        <v>#VALUE!</v>
      </c>
      <c r="HT129" t="e">
        <f>AND('Planilla_General_03-12-2012_9_3'!C2063,"AAAAAHPuf+M=")</f>
        <v>#VALUE!</v>
      </c>
      <c r="HU129" t="e">
        <f>AND('Planilla_General_03-12-2012_9_3'!D2063,"AAAAAHPuf+Q=")</f>
        <v>#VALUE!</v>
      </c>
      <c r="HV129" t="e">
        <f>AND('Planilla_General_03-12-2012_9_3'!E2063,"AAAAAHPuf+U=")</f>
        <v>#VALUE!</v>
      </c>
      <c r="HW129" t="e">
        <f>AND('Planilla_General_03-12-2012_9_3'!F2063,"AAAAAHPuf+Y=")</f>
        <v>#VALUE!</v>
      </c>
      <c r="HX129" t="e">
        <f>AND('Planilla_General_03-12-2012_9_3'!G2063,"AAAAAHPuf+c=")</f>
        <v>#VALUE!</v>
      </c>
      <c r="HY129" t="e">
        <f>AND('Planilla_General_03-12-2012_9_3'!H2063,"AAAAAHPuf+g=")</f>
        <v>#VALUE!</v>
      </c>
      <c r="HZ129" t="e">
        <f>AND('Planilla_General_03-12-2012_9_3'!I2063,"AAAAAHPuf+k=")</f>
        <v>#VALUE!</v>
      </c>
      <c r="IA129" t="e">
        <f>AND('Planilla_General_03-12-2012_9_3'!J2063,"AAAAAHPuf+o=")</f>
        <v>#VALUE!</v>
      </c>
      <c r="IB129" t="e">
        <f>AND('Planilla_General_03-12-2012_9_3'!K2063,"AAAAAHPuf+s=")</f>
        <v>#VALUE!</v>
      </c>
      <c r="IC129" t="e">
        <f>AND('Planilla_General_03-12-2012_9_3'!L2063,"AAAAAHPuf+w=")</f>
        <v>#VALUE!</v>
      </c>
      <c r="ID129" t="e">
        <f>AND('Planilla_General_03-12-2012_9_3'!M2063,"AAAAAHPuf+0=")</f>
        <v>#VALUE!</v>
      </c>
      <c r="IE129" t="e">
        <f>AND('Planilla_General_03-12-2012_9_3'!N2063,"AAAAAHPuf+4=")</f>
        <v>#VALUE!</v>
      </c>
      <c r="IF129" t="e">
        <f>AND('Planilla_General_03-12-2012_9_3'!O2063,"AAAAAHPuf+8=")</f>
        <v>#VALUE!</v>
      </c>
      <c r="IG129">
        <f>IF('Planilla_General_03-12-2012_9_3'!2064:2064,"AAAAAHPuf/A=",0)</f>
        <v>0</v>
      </c>
      <c r="IH129" t="e">
        <f>AND('Planilla_General_03-12-2012_9_3'!A2064,"AAAAAHPuf/E=")</f>
        <v>#VALUE!</v>
      </c>
      <c r="II129" t="e">
        <f>AND('Planilla_General_03-12-2012_9_3'!B2064,"AAAAAHPuf/I=")</f>
        <v>#VALUE!</v>
      </c>
      <c r="IJ129" t="e">
        <f>AND('Planilla_General_03-12-2012_9_3'!C2064,"AAAAAHPuf/M=")</f>
        <v>#VALUE!</v>
      </c>
      <c r="IK129" t="e">
        <f>AND('Planilla_General_03-12-2012_9_3'!D2064,"AAAAAHPuf/Q=")</f>
        <v>#VALUE!</v>
      </c>
      <c r="IL129" t="e">
        <f>AND('Planilla_General_03-12-2012_9_3'!E2064,"AAAAAHPuf/U=")</f>
        <v>#VALUE!</v>
      </c>
      <c r="IM129" t="e">
        <f>AND('Planilla_General_03-12-2012_9_3'!F2064,"AAAAAHPuf/Y=")</f>
        <v>#VALUE!</v>
      </c>
      <c r="IN129" t="e">
        <f>AND('Planilla_General_03-12-2012_9_3'!G2064,"AAAAAHPuf/c=")</f>
        <v>#VALUE!</v>
      </c>
      <c r="IO129" t="e">
        <f>AND('Planilla_General_03-12-2012_9_3'!H2064,"AAAAAHPuf/g=")</f>
        <v>#VALUE!</v>
      </c>
      <c r="IP129" t="e">
        <f>AND('Planilla_General_03-12-2012_9_3'!I2064,"AAAAAHPuf/k=")</f>
        <v>#VALUE!</v>
      </c>
      <c r="IQ129" t="e">
        <f>AND('Planilla_General_03-12-2012_9_3'!J2064,"AAAAAHPuf/o=")</f>
        <v>#VALUE!</v>
      </c>
      <c r="IR129" t="e">
        <f>AND('Planilla_General_03-12-2012_9_3'!K2064,"AAAAAHPuf/s=")</f>
        <v>#VALUE!</v>
      </c>
      <c r="IS129" t="e">
        <f>AND('Planilla_General_03-12-2012_9_3'!L2064,"AAAAAHPuf/w=")</f>
        <v>#VALUE!</v>
      </c>
      <c r="IT129" t="e">
        <f>AND('Planilla_General_03-12-2012_9_3'!M2064,"AAAAAHPuf/0=")</f>
        <v>#VALUE!</v>
      </c>
      <c r="IU129" t="e">
        <f>AND('Planilla_General_03-12-2012_9_3'!N2064,"AAAAAHPuf/4=")</f>
        <v>#VALUE!</v>
      </c>
      <c r="IV129" t="e">
        <f>AND('Planilla_General_03-12-2012_9_3'!O2064,"AAAAAHPuf/8=")</f>
        <v>#VALUE!</v>
      </c>
    </row>
    <row r="130" spans="1:256" x14ac:dyDescent="0.25">
      <c r="A130" t="e">
        <f>IF('Planilla_General_03-12-2012_9_3'!2065:2065,"AAAAAH/f/gA=",0)</f>
        <v>#VALUE!</v>
      </c>
      <c r="B130" t="e">
        <f>AND('Planilla_General_03-12-2012_9_3'!A2065,"AAAAAH/f/gE=")</f>
        <v>#VALUE!</v>
      </c>
      <c r="C130" t="e">
        <f>AND('Planilla_General_03-12-2012_9_3'!B2065,"AAAAAH/f/gI=")</f>
        <v>#VALUE!</v>
      </c>
      <c r="D130" t="e">
        <f>AND('Planilla_General_03-12-2012_9_3'!C2065,"AAAAAH/f/gM=")</f>
        <v>#VALUE!</v>
      </c>
      <c r="E130" t="e">
        <f>AND('Planilla_General_03-12-2012_9_3'!D2065,"AAAAAH/f/gQ=")</f>
        <v>#VALUE!</v>
      </c>
      <c r="F130" t="e">
        <f>AND('Planilla_General_03-12-2012_9_3'!E2065,"AAAAAH/f/gU=")</f>
        <v>#VALUE!</v>
      </c>
      <c r="G130" t="e">
        <f>AND('Planilla_General_03-12-2012_9_3'!F2065,"AAAAAH/f/gY=")</f>
        <v>#VALUE!</v>
      </c>
      <c r="H130" t="e">
        <f>AND('Planilla_General_03-12-2012_9_3'!G2065,"AAAAAH/f/gc=")</f>
        <v>#VALUE!</v>
      </c>
      <c r="I130" t="e">
        <f>AND('Planilla_General_03-12-2012_9_3'!H2065,"AAAAAH/f/gg=")</f>
        <v>#VALUE!</v>
      </c>
      <c r="J130" t="e">
        <f>AND('Planilla_General_03-12-2012_9_3'!I2065,"AAAAAH/f/gk=")</f>
        <v>#VALUE!</v>
      </c>
      <c r="K130" t="e">
        <f>AND('Planilla_General_03-12-2012_9_3'!J2065,"AAAAAH/f/go=")</f>
        <v>#VALUE!</v>
      </c>
      <c r="L130" t="e">
        <f>AND('Planilla_General_03-12-2012_9_3'!K2065,"AAAAAH/f/gs=")</f>
        <v>#VALUE!</v>
      </c>
      <c r="M130" t="e">
        <f>AND('Planilla_General_03-12-2012_9_3'!L2065,"AAAAAH/f/gw=")</f>
        <v>#VALUE!</v>
      </c>
      <c r="N130" t="e">
        <f>AND('Planilla_General_03-12-2012_9_3'!M2065,"AAAAAH/f/g0=")</f>
        <v>#VALUE!</v>
      </c>
      <c r="O130" t="e">
        <f>AND('Planilla_General_03-12-2012_9_3'!N2065,"AAAAAH/f/g4=")</f>
        <v>#VALUE!</v>
      </c>
      <c r="P130" t="e">
        <f>AND('Planilla_General_03-12-2012_9_3'!O2065,"AAAAAH/f/g8=")</f>
        <v>#VALUE!</v>
      </c>
      <c r="Q130">
        <f>IF('Planilla_General_03-12-2012_9_3'!2066:2066,"AAAAAH/f/hA=",0)</f>
        <v>0</v>
      </c>
      <c r="R130" t="e">
        <f>AND('Planilla_General_03-12-2012_9_3'!A2066,"AAAAAH/f/hE=")</f>
        <v>#VALUE!</v>
      </c>
      <c r="S130" t="e">
        <f>AND('Planilla_General_03-12-2012_9_3'!B2066,"AAAAAH/f/hI=")</f>
        <v>#VALUE!</v>
      </c>
      <c r="T130" t="e">
        <f>AND('Planilla_General_03-12-2012_9_3'!C2066,"AAAAAH/f/hM=")</f>
        <v>#VALUE!</v>
      </c>
      <c r="U130" t="e">
        <f>AND('Planilla_General_03-12-2012_9_3'!D2066,"AAAAAH/f/hQ=")</f>
        <v>#VALUE!</v>
      </c>
      <c r="V130" t="e">
        <f>AND('Planilla_General_03-12-2012_9_3'!E2066,"AAAAAH/f/hU=")</f>
        <v>#VALUE!</v>
      </c>
      <c r="W130" t="e">
        <f>AND('Planilla_General_03-12-2012_9_3'!F2066,"AAAAAH/f/hY=")</f>
        <v>#VALUE!</v>
      </c>
      <c r="X130" t="e">
        <f>AND('Planilla_General_03-12-2012_9_3'!G2066,"AAAAAH/f/hc=")</f>
        <v>#VALUE!</v>
      </c>
      <c r="Y130" t="e">
        <f>AND('Planilla_General_03-12-2012_9_3'!H2066,"AAAAAH/f/hg=")</f>
        <v>#VALUE!</v>
      </c>
      <c r="Z130" t="e">
        <f>AND('Planilla_General_03-12-2012_9_3'!I2066,"AAAAAH/f/hk=")</f>
        <v>#VALUE!</v>
      </c>
      <c r="AA130" t="e">
        <f>AND('Planilla_General_03-12-2012_9_3'!J2066,"AAAAAH/f/ho=")</f>
        <v>#VALUE!</v>
      </c>
      <c r="AB130" t="e">
        <f>AND('Planilla_General_03-12-2012_9_3'!K2066,"AAAAAH/f/hs=")</f>
        <v>#VALUE!</v>
      </c>
      <c r="AC130" t="e">
        <f>AND('Planilla_General_03-12-2012_9_3'!L2066,"AAAAAH/f/hw=")</f>
        <v>#VALUE!</v>
      </c>
      <c r="AD130" t="e">
        <f>AND('Planilla_General_03-12-2012_9_3'!M2066,"AAAAAH/f/h0=")</f>
        <v>#VALUE!</v>
      </c>
      <c r="AE130" t="e">
        <f>AND('Planilla_General_03-12-2012_9_3'!N2066,"AAAAAH/f/h4=")</f>
        <v>#VALUE!</v>
      </c>
      <c r="AF130" t="e">
        <f>AND('Planilla_General_03-12-2012_9_3'!O2066,"AAAAAH/f/h8=")</f>
        <v>#VALUE!</v>
      </c>
      <c r="AG130">
        <f>IF('Planilla_General_03-12-2012_9_3'!2067:2067,"AAAAAH/f/iA=",0)</f>
        <v>0</v>
      </c>
      <c r="AH130" t="e">
        <f>AND('Planilla_General_03-12-2012_9_3'!A2067,"AAAAAH/f/iE=")</f>
        <v>#VALUE!</v>
      </c>
      <c r="AI130" t="e">
        <f>AND('Planilla_General_03-12-2012_9_3'!B2067,"AAAAAH/f/iI=")</f>
        <v>#VALUE!</v>
      </c>
      <c r="AJ130" t="e">
        <f>AND('Planilla_General_03-12-2012_9_3'!C2067,"AAAAAH/f/iM=")</f>
        <v>#VALUE!</v>
      </c>
      <c r="AK130" t="e">
        <f>AND('Planilla_General_03-12-2012_9_3'!D2067,"AAAAAH/f/iQ=")</f>
        <v>#VALUE!</v>
      </c>
      <c r="AL130" t="e">
        <f>AND('Planilla_General_03-12-2012_9_3'!E2067,"AAAAAH/f/iU=")</f>
        <v>#VALUE!</v>
      </c>
      <c r="AM130" t="e">
        <f>AND('Planilla_General_03-12-2012_9_3'!F2067,"AAAAAH/f/iY=")</f>
        <v>#VALUE!</v>
      </c>
      <c r="AN130" t="e">
        <f>AND('Planilla_General_03-12-2012_9_3'!G2067,"AAAAAH/f/ic=")</f>
        <v>#VALUE!</v>
      </c>
      <c r="AO130" t="e">
        <f>AND('Planilla_General_03-12-2012_9_3'!H2067,"AAAAAH/f/ig=")</f>
        <v>#VALUE!</v>
      </c>
      <c r="AP130" t="e">
        <f>AND('Planilla_General_03-12-2012_9_3'!I2067,"AAAAAH/f/ik=")</f>
        <v>#VALUE!</v>
      </c>
      <c r="AQ130" t="e">
        <f>AND('Planilla_General_03-12-2012_9_3'!J2067,"AAAAAH/f/io=")</f>
        <v>#VALUE!</v>
      </c>
      <c r="AR130" t="e">
        <f>AND('Planilla_General_03-12-2012_9_3'!K2067,"AAAAAH/f/is=")</f>
        <v>#VALUE!</v>
      </c>
      <c r="AS130" t="e">
        <f>AND('Planilla_General_03-12-2012_9_3'!L2067,"AAAAAH/f/iw=")</f>
        <v>#VALUE!</v>
      </c>
      <c r="AT130" t="e">
        <f>AND('Planilla_General_03-12-2012_9_3'!M2067,"AAAAAH/f/i0=")</f>
        <v>#VALUE!</v>
      </c>
      <c r="AU130" t="e">
        <f>AND('Planilla_General_03-12-2012_9_3'!N2067,"AAAAAH/f/i4=")</f>
        <v>#VALUE!</v>
      </c>
      <c r="AV130" t="e">
        <f>AND('Planilla_General_03-12-2012_9_3'!O2067,"AAAAAH/f/i8=")</f>
        <v>#VALUE!</v>
      </c>
      <c r="AW130">
        <f>IF('Planilla_General_03-12-2012_9_3'!2068:2068,"AAAAAH/f/jA=",0)</f>
        <v>0</v>
      </c>
      <c r="AX130" t="e">
        <f>AND('Planilla_General_03-12-2012_9_3'!A2068,"AAAAAH/f/jE=")</f>
        <v>#VALUE!</v>
      </c>
      <c r="AY130" t="e">
        <f>AND('Planilla_General_03-12-2012_9_3'!B2068,"AAAAAH/f/jI=")</f>
        <v>#VALUE!</v>
      </c>
      <c r="AZ130" t="e">
        <f>AND('Planilla_General_03-12-2012_9_3'!C2068,"AAAAAH/f/jM=")</f>
        <v>#VALUE!</v>
      </c>
      <c r="BA130" t="e">
        <f>AND('Planilla_General_03-12-2012_9_3'!D2068,"AAAAAH/f/jQ=")</f>
        <v>#VALUE!</v>
      </c>
      <c r="BB130" t="e">
        <f>AND('Planilla_General_03-12-2012_9_3'!E2068,"AAAAAH/f/jU=")</f>
        <v>#VALUE!</v>
      </c>
      <c r="BC130" t="e">
        <f>AND('Planilla_General_03-12-2012_9_3'!F2068,"AAAAAH/f/jY=")</f>
        <v>#VALUE!</v>
      </c>
      <c r="BD130" t="e">
        <f>AND('Planilla_General_03-12-2012_9_3'!G2068,"AAAAAH/f/jc=")</f>
        <v>#VALUE!</v>
      </c>
      <c r="BE130" t="e">
        <f>AND('Planilla_General_03-12-2012_9_3'!H2068,"AAAAAH/f/jg=")</f>
        <v>#VALUE!</v>
      </c>
      <c r="BF130" t="e">
        <f>AND('Planilla_General_03-12-2012_9_3'!I2068,"AAAAAH/f/jk=")</f>
        <v>#VALUE!</v>
      </c>
      <c r="BG130" t="e">
        <f>AND('Planilla_General_03-12-2012_9_3'!J2068,"AAAAAH/f/jo=")</f>
        <v>#VALUE!</v>
      </c>
      <c r="BH130" t="e">
        <f>AND('Planilla_General_03-12-2012_9_3'!K2068,"AAAAAH/f/js=")</f>
        <v>#VALUE!</v>
      </c>
      <c r="BI130" t="e">
        <f>AND('Planilla_General_03-12-2012_9_3'!L2068,"AAAAAH/f/jw=")</f>
        <v>#VALUE!</v>
      </c>
      <c r="BJ130" t="e">
        <f>AND('Planilla_General_03-12-2012_9_3'!M2068,"AAAAAH/f/j0=")</f>
        <v>#VALUE!</v>
      </c>
      <c r="BK130" t="e">
        <f>AND('Planilla_General_03-12-2012_9_3'!N2068,"AAAAAH/f/j4=")</f>
        <v>#VALUE!</v>
      </c>
      <c r="BL130" t="e">
        <f>AND('Planilla_General_03-12-2012_9_3'!O2068,"AAAAAH/f/j8=")</f>
        <v>#VALUE!</v>
      </c>
      <c r="BM130">
        <f>IF('Planilla_General_03-12-2012_9_3'!2069:2069,"AAAAAH/f/kA=",0)</f>
        <v>0</v>
      </c>
      <c r="BN130" t="e">
        <f>AND('Planilla_General_03-12-2012_9_3'!A2069,"AAAAAH/f/kE=")</f>
        <v>#VALUE!</v>
      </c>
      <c r="BO130" t="e">
        <f>AND('Planilla_General_03-12-2012_9_3'!B2069,"AAAAAH/f/kI=")</f>
        <v>#VALUE!</v>
      </c>
      <c r="BP130" t="e">
        <f>AND('Planilla_General_03-12-2012_9_3'!C2069,"AAAAAH/f/kM=")</f>
        <v>#VALUE!</v>
      </c>
      <c r="BQ130" t="e">
        <f>AND('Planilla_General_03-12-2012_9_3'!D2069,"AAAAAH/f/kQ=")</f>
        <v>#VALUE!</v>
      </c>
      <c r="BR130" t="e">
        <f>AND('Planilla_General_03-12-2012_9_3'!E2069,"AAAAAH/f/kU=")</f>
        <v>#VALUE!</v>
      </c>
      <c r="BS130" t="e">
        <f>AND('Planilla_General_03-12-2012_9_3'!F2069,"AAAAAH/f/kY=")</f>
        <v>#VALUE!</v>
      </c>
      <c r="BT130" t="e">
        <f>AND('Planilla_General_03-12-2012_9_3'!G2069,"AAAAAH/f/kc=")</f>
        <v>#VALUE!</v>
      </c>
      <c r="BU130" t="e">
        <f>AND('Planilla_General_03-12-2012_9_3'!H2069,"AAAAAH/f/kg=")</f>
        <v>#VALUE!</v>
      </c>
      <c r="BV130" t="e">
        <f>AND('Planilla_General_03-12-2012_9_3'!I2069,"AAAAAH/f/kk=")</f>
        <v>#VALUE!</v>
      </c>
      <c r="BW130" t="e">
        <f>AND('Planilla_General_03-12-2012_9_3'!J2069,"AAAAAH/f/ko=")</f>
        <v>#VALUE!</v>
      </c>
      <c r="BX130" t="e">
        <f>AND('Planilla_General_03-12-2012_9_3'!K2069,"AAAAAH/f/ks=")</f>
        <v>#VALUE!</v>
      </c>
      <c r="BY130" t="e">
        <f>AND('Planilla_General_03-12-2012_9_3'!L2069,"AAAAAH/f/kw=")</f>
        <v>#VALUE!</v>
      </c>
      <c r="BZ130" t="e">
        <f>AND('Planilla_General_03-12-2012_9_3'!M2069,"AAAAAH/f/k0=")</f>
        <v>#VALUE!</v>
      </c>
      <c r="CA130" t="e">
        <f>AND('Planilla_General_03-12-2012_9_3'!N2069,"AAAAAH/f/k4=")</f>
        <v>#VALUE!</v>
      </c>
      <c r="CB130" t="e">
        <f>AND('Planilla_General_03-12-2012_9_3'!O2069,"AAAAAH/f/k8=")</f>
        <v>#VALUE!</v>
      </c>
      <c r="CC130">
        <f>IF('Planilla_General_03-12-2012_9_3'!2070:2070,"AAAAAH/f/lA=",0)</f>
        <v>0</v>
      </c>
      <c r="CD130" t="e">
        <f>AND('Planilla_General_03-12-2012_9_3'!A2070,"AAAAAH/f/lE=")</f>
        <v>#VALUE!</v>
      </c>
      <c r="CE130" t="e">
        <f>AND('Planilla_General_03-12-2012_9_3'!B2070,"AAAAAH/f/lI=")</f>
        <v>#VALUE!</v>
      </c>
      <c r="CF130" t="e">
        <f>AND('Planilla_General_03-12-2012_9_3'!C2070,"AAAAAH/f/lM=")</f>
        <v>#VALUE!</v>
      </c>
      <c r="CG130" t="e">
        <f>AND('Planilla_General_03-12-2012_9_3'!D2070,"AAAAAH/f/lQ=")</f>
        <v>#VALUE!</v>
      </c>
      <c r="CH130" t="e">
        <f>AND('Planilla_General_03-12-2012_9_3'!E2070,"AAAAAH/f/lU=")</f>
        <v>#VALUE!</v>
      </c>
      <c r="CI130" t="e">
        <f>AND('Planilla_General_03-12-2012_9_3'!F2070,"AAAAAH/f/lY=")</f>
        <v>#VALUE!</v>
      </c>
      <c r="CJ130" t="e">
        <f>AND('Planilla_General_03-12-2012_9_3'!G2070,"AAAAAH/f/lc=")</f>
        <v>#VALUE!</v>
      </c>
      <c r="CK130" t="e">
        <f>AND('Planilla_General_03-12-2012_9_3'!H2070,"AAAAAH/f/lg=")</f>
        <v>#VALUE!</v>
      </c>
      <c r="CL130" t="e">
        <f>AND('Planilla_General_03-12-2012_9_3'!I2070,"AAAAAH/f/lk=")</f>
        <v>#VALUE!</v>
      </c>
      <c r="CM130" t="e">
        <f>AND('Planilla_General_03-12-2012_9_3'!J2070,"AAAAAH/f/lo=")</f>
        <v>#VALUE!</v>
      </c>
      <c r="CN130" t="e">
        <f>AND('Planilla_General_03-12-2012_9_3'!K2070,"AAAAAH/f/ls=")</f>
        <v>#VALUE!</v>
      </c>
      <c r="CO130" t="e">
        <f>AND('Planilla_General_03-12-2012_9_3'!L2070,"AAAAAH/f/lw=")</f>
        <v>#VALUE!</v>
      </c>
      <c r="CP130" t="e">
        <f>AND('Planilla_General_03-12-2012_9_3'!M2070,"AAAAAH/f/l0=")</f>
        <v>#VALUE!</v>
      </c>
      <c r="CQ130" t="e">
        <f>AND('Planilla_General_03-12-2012_9_3'!N2070,"AAAAAH/f/l4=")</f>
        <v>#VALUE!</v>
      </c>
      <c r="CR130" t="e">
        <f>AND('Planilla_General_03-12-2012_9_3'!O2070,"AAAAAH/f/l8=")</f>
        <v>#VALUE!</v>
      </c>
      <c r="CS130">
        <f>IF('Planilla_General_03-12-2012_9_3'!2071:2071,"AAAAAH/f/mA=",0)</f>
        <v>0</v>
      </c>
      <c r="CT130" t="e">
        <f>AND('Planilla_General_03-12-2012_9_3'!A2071,"AAAAAH/f/mE=")</f>
        <v>#VALUE!</v>
      </c>
      <c r="CU130" t="e">
        <f>AND('Planilla_General_03-12-2012_9_3'!B2071,"AAAAAH/f/mI=")</f>
        <v>#VALUE!</v>
      </c>
      <c r="CV130" t="e">
        <f>AND('Planilla_General_03-12-2012_9_3'!C2071,"AAAAAH/f/mM=")</f>
        <v>#VALUE!</v>
      </c>
      <c r="CW130" t="e">
        <f>AND('Planilla_General_03-12-2012_9_3'!D2071,"AAAAAH/f/mQ=")</f>
        <v>#VALUE!</v>
      </c>
      <c r="CX130" t="e">
        <f>AND('Planilla_General_03-12-2012_9_3'!E2071,"AAAAAH/f/mU=")</f>
        <v>#VALUE!</v>
      </c>
      <c r="CY130" t="e">
        <f>AND('Planilla_General_03-12-2012_9_3'!F2071,"AAAAAH/f/mY=")</f>
        <v>#VALUE!</v>
      </c>
      <c r="CZ130" t="e">
        <f>AND('Planilla_General_03-12-2012_9_3'!G2071,"AAAAAH/f/mc=")</f>
        <v>#VALUE!</v>
      </c>
      <c r="DA130" t="e">
        <f>AND('Planilla_General_03-12-2012_9_3'!H2071,"AAAAAH/f/mg=")</f>
        <v>#VALUE!</v>
      </c>
      <c r="DB130" t="e">
        <f>AND('Planilla_General_03-12-2012_9_3'!I2071,"AAAAAH/f/mk=")</f>
        <v>#VALUE!</v>
      </c>
      <c r="DC130" t="e">
        <f>AND('Planilla_General_03-12-2012_9_3'!J2071,"AAAAAH/f/mo=")</f>
        <v>#VALUE!</v>
      </c>
      <c r="DD130" t="e">
        <f>AND('Planilla_General_03-12-2012_9_3'!K2071,"AAAAAH/f/ms=")</f>
        <v>#VALUE!</v>
      </c>
      <c r="DE130" t="e">
        <f>AND('Planilla_General_03-12-2012_9_3'!L2071,"AAAAAH/f/mw=")</f>
        <v>#VALUE!</v>
      </c>
      <c r="DF130" t="e">
        <f>AND('Planilla_General_03-12-2012_9_3'!M2071,"AAAAAH/f/m0=")</f>
        <v>#VALUE!</v>
      </c>
      <c r="DG130" t="e">
        <f>AND('Planilla_General_03-12-2012_9_3'!N2071,"AAAAAH/f/m4=")</f>
        <v>#VALUE!</v>
      </c>
      <c r="DH130" t="e">
        <f>AND('Planilla_General_03-12-2012_9_3'!O2071,"AAAAAH/f/m8=")</f>
        <v>#VALUE!</v>
      </c>
      <c r="DI130">
        <f>IF('Planilla_General_03-12-2012_9_3'!2072:2072,"AAAAAH/f/nA=",0)</f>
        <v>0</v>
      </c>
      <c r="DJ130" t="e">
        <f>AND('Planilla_General_03-12-2012_9_3'!A2072,"AAAAAH/f/nE=")</f>
        <v>#VALUE!</v>
      </c>
      <c r="DK130" t="e">
        <f>AND('Planilla_General_03-12-2012_9_3'!B2072,"AAAAAH/f/nI=")</f>
        <v>#VALUE!</v>
      </c>
      <c r="DL130" t="e">
        <f>AND('Planilla_General_03-12-2012_9_3'!C2072,"AAAAAH/f/nM=")</f>
        <v>#VALUE!</v>
      </c>
      <c r="DM130" t="e">
        <f>AND('Planilla_General_03-12-2012_9_3'!D2072,"AAAAAH/f/nQ=")</f>
        <v>#VALUE!</v>
      </c>
      <c r="DN130" t="e">
        <f>AND('Planilla_General_03-12-2012_9_3'!E2072,"AAAAAH/f/nU=")</f>
        <v>#VALUE!</v>
      </c>
      <c r="DO130" t="e">
        <f>AND('Planilla_General_03-12-2012_9_3'!F2072,"AAAAAH/f/nY=")</f>
        <v>#VALUE!</v>
      </c>
      <c r="DP130" t="e">
        <f>AND('Planilla_General_03-12-2012_9_3'!G2072,"AAAAAH/f/nc=")</f>
        <v>#VALUE!</v>
      </c>
      <c r="DQ130" t="e">
        <f>AND('Planilla_General_03-12-2012_9_3'!H2072,"AAAAAH/f/ng=")</f>
        <v>#VALUE!</v>
      </c>
      <c r="DR130" t="e">
        <f>AND('Planilla_General_03-12-2012_9_3'!I2072,"AAAAAH/f/nk=")</f>
        <v>#VALUE!</v>
      </c>
      <c r="DS130" t="e">
        <f>AND('Planilla_General_03-12-2012_9_3'!J2072,"AAAAAH/f/no=")</f>
        <v>#VALUE!</v>
      </c>
      <c r="DT130" t="e">
        <f>AND('Planilla_General_03-12-2012_9_3'!K2072,"AAAAAH/f/ns=")</f>
        <v>#VALUE!</v>
      </c>
      <c r="DU130" t="e">
        <f>AND('Planilla_General_03-12-2012_9_3'!L2072,"AAAAAH/f/nw=")</f>
        <v>#VALUE!</v>
      </c>
      <c r="DV130" t="e">
        <f>AND('Planilla_General_03-12-2012_9_3'!M2072,"AAAAAH/f/n0=")</f>
        <v>#VALUE!</v>
      </c>
      <c r="DW130" t="e">
        <f>AND('Planilla_General_03-12-2012_9_3'!N2072,"AAAAAH/f/n4=")</f>
        <v>#VALUE!</v>
      </c>
      <c r="DX130" t="e">
        <f>AND('Planilla_General_03-12-2012_9_3'!O2072,"AAAAAH/f/n8=")</f>
        <v>#VALUE!</v>
      </c>
      <c r="DY130">
        <f>IF('Planilla_General_03-12-2012_9_3'!2073:2073,"AAAAAH/f/oA=",0)</f>
        <v>0</v>
      </c>
      <c r="DZ130" t="e">
        <f>AND('Planilla_General_03-12-2012_9_3'!A2073,"AAAAAH/f/oE=")</f>
        <v>#VALUE!</v>
      </c>
      <c r="EA130" t="e">
        <f>AND('Planilla_General_03-12-2012_9_3'!B2073,"AAAAAH/f/oI=")</f>
        <v>#VALUE!</v>
      </c>
      <c r="EB130" t="e">
        <f>AND('Planilla_General_03-12-2012_9_3'!C2073,"AAAAAH/f/oM=")</f>
        <v>#VALUE!</v>
      </c>
      <c r="EC130" t="e">
        <f>AND('Planilla_General_03-12-2012_9_3'!D2073,"AAAAAH/f/oQ=")</f>
        <v>#VALUE!</v>
      </c>
      <c r="ED130" t="e">
        <f>AND('Planilla_General_03-12-2012_9_3'!E2073,"AAAAAH/f/oU=")</f>
        <v>#VALUE!</v>
      </c>
      <c r="EE130" t="e">
        <f>AND('Planilla_General_03-12-2012_9_3'!F2073,"AAAAAH/f/oY=")</f>
        <v>#VALUE!</v>
      </c>
      <c r="EF130" t="e">
        <f>AND('Planilla_General_03-12-2012_9_3'!G2073,"AAAAAH/f/oc=")</f>
        <v>#VALUE!</v>
      </c>
      <c r="EG130" t="e">
        <f>AND('Planilla_General_03-12-2012_9_3'!H2073,"AAAAAH/f/og=")</f>
        <v>#VALUE!</v>
      </c>
      <c r="EH130" t="e">
        <f>AND('Planilla_General_03-12-2012_9_3'!I2073,"AAAAAH/f/ok=")</f>
        <v>#VALUE!</v>
      </c>
      <c r="EI130" t="e">
        <f>AND('Planilla_General_03-12-2012_9_3'!J2073,"AAAAAH/f/oo=")</f>
        <v>#VALUE!</v>
      </c>
      <c r="EJ130" t="e">
        <f>AND('Planilla_General_03-12-2012_9_3'!K2073,"AAAAAH/f/os=")</f>
        <v>#VALUE!</v>
      </c>
      <c r="EK130" t="e">
        <f>AND('Planilla_General_03-12-2012_9_3'!L2073,"AAAAAH/f/ow=")</f>
        <v>#VALUE!</v>
      </c>
      <c r="EL130" t="e">
        <f>AND('Planilla_General_03-12-2012_9_3'!M2073,"AAAAAH/f/o0=")</f>
        <v>#VALUE!</v>
      </c>
      <c r="EM130" t="e">
        <f>AND('Planilla_General_03-12-2012_9_3'!N2073,"AAAAAH/f/o4=")</f>
        <v>#VALUE!</v>
      </c>
      <c r="EN130" t="e">
        <f>AND('Planilla_General_03-12-2012_9_3'!O2073,"AAAAAH/f/o8=")</f>
        <v>#VALUE!</v>
      </c>
      <c r="EO130">
        <f>IF('Planilla_General_03-12-2012_9_3'!2074:2074,"AAAAAH/f/pA=",0)</f>
        <v>0</v>
      </c>
      <c r="EP130" t="e">
        <f>AND('Planilla_General_03-12-2012_9_3'!A2074,"AAAAAH/f/pE=")</f>
        <v>#VALUE!</v>
      </c>
      <c r="EQ130" t="e">
        <f>AND('Planilla_General_03-12-2012_9_3'!B2074,"AAAAAH/f/pI=")</f>
        <v>#VALUE!</v>
      </c>
      <c r="ER130" t="e">
        <f>AND('Planilla_General_03-12-2012_9_3'!C2074,"AAAAAH/f/pM=")</f>
        <v>#VALUE!</v>
      </c>
      <c r="ES130" t="e">
        <f>AND('Planilla_General_03-12-2012_9_3'!D2074,"AAAAAH/f/pQ=")</f>
        <v>#VALUE!</v>
      </c>
      <c r="ET130" t="e">
        <f>AND('Planilla_General_03-12-2012_9_3'!E2074,"AAAAAH/f/pU=")</f>
        <v>#VALUE!</v>
      </c>
      <c r="EU130" t="e">
        <f>AND('Planilla_General_03-12-2012_9_3'!F2074,"AAAAAH/f/pY=")</f>
        <v>#VALUE!</v>
      </c>
      <c r="EV130" t="e">
        <f>AND('Planilla_General_03-12-2012_9_3'!G2074,"AAAAAH/f/pc=")</f>
        <v>#VALUE!</v>
      </c>
      <c r="EW130" t="e">
        <f>AND('Planilla_General_03-12-2012_9_3'!H2074,"AAAAAH/f/pg=")</f>
        <v>#VALUE!</v>
      </c>
      <c r="EX130" t="e">
        <f>AND('Planilla_General_03-12-2012_9_3'!I2074,"AAAAAH/f/pk=")</f>
        <v>#VALUE!</v>
      </c>
      <c r="EY130" t="e">
        <f>AND('Planilla_General_03-12-2012_9_3'!J2074,"AAAAAH/f/po=")</f>
        <v>#VALUE!</v>
      </c>
      <c r="EZ130" t="e">
        <f>AND('Planilla_General_03-12-2012_9_3'!K2074,"AAAAAH/f/ps=")</f>
        <v>#VALUE!</v>
      </c>
      <c r="FA130" t="e">
        <f>AND('Planilla_General_03-12-2012_9_3'!L2074,"AAAAAH/f/pw=")</f>
        <v>#VALUE!</v>
      </c>
      <c r="FB130" t="e">
        <f>AND('Planilla_General_03-12-2012_9_3'!M2074,"AAAAAH/f/p0=")</f>
        <v>#VALUE!</v>
      </c>
      <c r="FC130" t="e">
        <f>AND('Planilla_General_03-12-2012_9_3'!N2074,"AAAAAH/f/p4=")</f>
        <v>#VALUE!</v>
      </c>
      <c r="FD130" t="e">
        <f>AND('Planilla_General_03-12-2012_9_3'!O2074,"AAAAAH/f/p8=")</f>
        <v>#VALUE!</v>
      </c>
      <c r="FE130">
        <f>IF('Planilla_General_03-12-2012_9_3'!2075:2075,"AAAAAH/f/qA=",0)</f>
        <v>0</v>
      </c>
      <c r="FF130" t="e">
        <f>AND('Planilla_General_03-12-2012_9_3'!A2075,"AAAAAH/f/qE=")</f>
        <v>#VALUE!</v>
      </c>
      <c r="FG130" t="e">
        <f>AND('Planilla_General_03-12-2012_9_3'!B2075,"AAAAAH/f/qI=")</f>
        <v>#VALUE!</v>
      </c>
      <c r="FH130" t="e">
        <f>AND('Planilla_General_03-12-2012_9_3'!C2075,"AAAAAH/f/qM=")</f>
        <v>#VALUE!</v>
      </c>
      <c r="FI130" t="e">
        <f>AND('Planilla_General_03-12-2012_9_3'!D2075,"AAAAAH/f/qQ=")</f>
        <v>#VALUE!</v>
      </c>
      <c r="FJ130" t="e">
        <f>AND('Planilla_General_03-12-2012_9_3'!E2075,"AAAAAH/f/qU=")</f>
        <v>#VALUE!</v>
      </c>
      <c r="FK130" t="e">
        <f>AND('Planilla_General_03-12-2012_9_3'!F2075,"AAAAAH/f/qY=")</f>
        <v>#VALUE!</v>
      </c>
      <c r="FL130" t="e">
        <f>AND('Planilla_General_03-12-2012_9_3'!G2075,"AAAAAH/f/qc=")</f>
        <v>#VALUE!</v>
      </c>
      <c r="FM130" t="e">
        <f>AND('Planilla_General_03-12-2012_9_3'!H2075,"AAAAAH/f/qg=")</f>
        <v>#VALUE!</v>
      </c>
      <c r="FN130" t="e">
        <f>AND('Planilla_General_03-12-2012_9_3'!I2075,"AAAAAH/f/qk=")</f>
        <v>#VALUE!</v>
      </c>
      <c r="FO130" t="e">
        <f>AND('Planilla_General_03-12-2012_9_3'!J2075,"AAAAAH/f/qo=")</f>
        <v>#VALUE!</v>
      </c>
      <c r="FP130" t="e">
        <f>AND('Planilla_General_03-12-2012_9_3'!K2075,"AAAAAH/f/qs=")</f>
        <v>#VALUE!</v>
      </c>
      <c r="FQ130" t="e">
        <f>AND('Planilla_General_03-12-2012_9_3'!L2075,"AAAAAH/f/qw=")</f>
        <v>#VALUE!</v>
      </c>
      <c r="FR130" t="e">
        <f>AND('Planilla_General_03-12-2012_9_3'!M2075,"AAAAAH/f/q0=")</f>
        <v>#VALUE!</v>
      </c>
      <c r="FS130" t="e">
        <f>AND('Planilla_General_03-12-2012_9_3'!N2075,"AAAAAH/f/q4=")</f>
        <v>#VALUE!</v>
      </c>
      <c r="FT130" t="e">
        <f>AND('Planilla_General_03-12-2012_9_3'!O2075,"AAAAAH/f/q8=")</f>
        <v>#VALUE!</v>
      </c>
      <c r="FU130">
        <f>IF('Planilla_General_03-12-2012_9_3'!2076:2076,"AAAAAH/f/rA=",0)</f>
        <v>0</v>
      </c>
      <c r="FV130" t="e">
        <f>AND('Planilla_General_03-12-2012_9_3'!A2076,"AAAAAH/f/rE=")</f>
        <v>#VALUE!</v>
      </c>
      <c r="FW130" t="e">
        <f>AND('Planilla_General_03-12-2012_9_3'!B2076,"AAAAAH/f/rI=")</f>
        <v>#VALUE!</v>
      </c>
      <c r="FX130" t="e">
        <f>AND('Planilla_General_03-12-2012_9_3'!C2076,"AAAAAH/f/rM=")</f>
        <v>#VALUE!</v>
      </c>
      <c r="FY130" t="e">
        <f>AND('Planilla_General_03-12-2012_9_3'!D2076,"AAAAAH/f/rQ=")</f>
        <v>#VALUE!</v>
      </c>
      <c r="FZ130" t="e">
        <f>AND('Planilla_General_03-12-2012_9_3'!E2076,"AAAAAH/f/rU=")</f>
        <v>#VALUE!</v>
      </c>
      <c r="GA130" t="e">
        <f>AND('Planilla_General_03-12-2012_9_3'!F2076,"AAAAAH/f/rY=")</f>
        <v>#VALUE!</v>
      </c>
      <c r="GB130" t="e">
        <f>AND('Planilla_General_03-12-2012_9_3'!G2076,"AAAAAH/f/rc=")</f>
        <v>#VALUE!</v>
      </c>
      <c r="GC130" t="e">
        <f>AND('Planilla_General_03-12-2012_9_3'!H2076,"AAAAAH/f/rg=")</f>
        <v>#VALUE!</v>
      </c>
      <c r="GD130" t="e">
        <f>AND('Planilla_General_03-12-2012_9_3'!I2076,"AAAAAH/f/rk=")</f>
        <v>#VALUE!</v>
      </c>
      <c r="GE130" t="e">
        <f>AND('Planilla_General_03-12-2012_9_3'!J2076,"AAAAAH/f/ro=")</f>
        <v>#VALUE!</v>
      </c>
      <c r="GF130" t="e">
        <f>AND('Planilla_General_03-12-2012_9_3'!K2076,"AAAAAH/f/rs=")</f>
        <v>#VALUE!</v>
      </c>
      <c r="GG130" t="e">
        <f>AND('Planilla_General_03-12-2012_9_3'!L2076,"AAAAAH/f/rw=")</f>
        <v>#VALUE!</v>
      </c>
      <c r="GH130" t="e">
        <f>AND('Planilla_General_03-12-2012_9_3'!M2076,"AAAAAH/f/r0=")</f>
        <v>#VALUE!</v>
      </c>
      <c r="GI130" t="e">
        <f>AND('Planilla_General_03-12-2012_9_3'!N2076,"AAAAAH/f/r4=")</f>
        <v>#VALUE!</v>
      </c>
      <c r="GJ130" t="e">
        <f>AND('Planilla_General_03-12-2012_9_3'!O2076,"AAAAAH/f/r8=")</f>
        <v>#VALUE!</v>
      </c>
      <c r="GK130">
        <f>IF('Planilla_General_03-12-2012_9_3'!2077:2077,"AAAAAH/f/sA=",0)</f>
        <v>0</v>
      </c>
      <c r="GL130" t="e">
        <f>AND('Planilla_General_03-12-2012_9_3'!A2077,"AAAAAH/f/sE=")</f>
        <v>#VALUE!</v>
      </c>
      <c r="GM130" t="e">
        <f>AND('Planilla_General_03-12-2012_9_3'!B2077,"AAAAAH/f/sI=")</f>
        <v>#VALUE!</v>
      </c>
      <c r="GN130" t="e">
        <f>AND('Planilla_General_03-12-2012_9_3'!C2077,"AAAAAH/f/sM=")</f>
        <v>#VALUE!</v>
      </c>
      <c r="GO130" t="e">
        <f>AND('Planilla_General_03-12-2012_9_3'!D2077,"AAAAAH/f/sQ=")</f>
        <v>#VALUE!</v>
      </c>
      <c r="GP130" t="e">
        <f>AND('Planilla_General_03-12-2012_9_3'!E2077,"AAAAAH/f/sU=")</f>
        <v>#VALUE!</v>
      </c>
      <c r="GQ130" t="e">
        <f>AND('Planilla_General_03-12-2012_9_3'!F2077,"AAAAAH/f/sY=")</f>
        <v>#VALUE!</v>
      </c>
      <c r="GR130" t="e">
        <f>AND('Planilla_General_03-12-2012_9_3'!G2077,"AAAAAH/f/sc=")</f>
        <v>#VALUE!</v>
      </c>
      <c r="GS130" t="e">
        <f>AND('Planilla_General_03-12-2012_9_3'!H2077,"AAAAAH/f/sg=")</f>
        <v>#VALUE!</v>
      </c>
      <c r="GT130" t="e">
        <f>AND('Planilla_General_03-12-2012_9_3'!I2077,"AAAAAH/f/sk=")</f>
        <v>#VALUE!</v>
      </c>
      <c r="GU130" t="e">
        <f>AND('Planilla_General_03-12-2012_9_3'!J2077,"AAAAAH/f/so=")</f>
        <v>#VALUE!</v>
      </c>
      <c r="GV130" t="e">
        <f>AND('Planilla_General_03-12-2012_9_3'!K2077,"AAAAAH/f/ss=")</f>
        <v>#VALUE!</v>
      </c>
      <c r="GW130" t="e">
        <f>AND('Planilla_General_03-12-2012_9_3'!L2077,"AAAAAH/f/sw=")</f>
        <v>#VALUE!</v>
      </c>
      <c r="GX130" t="e">
        <f>AND('Planilla_General_03-12-2012_9_3'!M2077,"AAAAAH/f/s0=")</f>
        <v>#VALUE!</v>
      </c>
      <c r="GY130" t="e">
        <f>AND('Planilla_General_03-12-2012_9_3'!N2077,"AAAAAH/f/s4=")</f>
        <v>#VALUE!</v>
      </c>
      <c r="GZ130" t="e">
        <f>AND('Planilla_General_03-12-2012_9_3'!O2077,"AAAAAH/f/s8=")</f>
        <v>#VALUE!</v>
      </c>
      <c r="HA130">
        <f>IF('Planilla_General_03-12-2012_9_3'!2078:2078,"AAAAAH/f/tA=",0)</f>
        <v>0</v>
      </c>
      <c r="HB130" t="e">
        <f>AND('Planilla_General_03-12-2012_9_3'!A2078,"AAAAAH/f/tE=")</f>
        <v>#VALUE!</v>
      </c>
      <c r="HC130" t="e">
        <f>AND('Planilla_General_03-12-2012_9_3'!B2078,"AAAAAH/f/tI=")</f>
        <v>#VALUE!</v>
      </c>
      <c r="HD130" t="e">
        <f>AND('Planilla_General_03-12-2012_9_3'!C2078,"AAAAAH/f/tM=")</f>
        <v>#VALUE!</v>
      </c>
      <c r="HE130" t="e">
        <f>AND('Planilla_General_03-12-2012_9_3'!D2078,"AAAAAH/f/tQ=")</f>
        <v>#VALUE!</v>
      </c>
      <c r="HF130" t="e">
        <f>AND('Planilla_General_03-12-2012_9_3'!E2078,"AAAAAH/f/tU=")</f>
        <v>#VALUE!</v>
      </c>
      <c r="HG130" t="e">
        <f>AND('Planilla_General_03-12-2012_9_3'!F2078,"AAAAAH/f/tY=")</f>
        <v>#VALUE!</v>
      </c>
      <c r="HH130" t="e">
        <f>AND('Planilla_General_03-12-2012_9_3'!G2078,"AAAAAH/f/tc=")</f>
        <v>#VALUE!</v>
      </c>
      <c r="HI130" t="e">
        <f>AND('Planilla_General_03-12-2012_9_3'!H2078,"AAAAAH/f/tg=")</f>
        <v>#VALUE!</v>
      </c>
      <c r="HJ130" t="e">
        <f>AND('Planilla_General_03-12-2012_9_3'!I2078,"AAAAAH/f/tk=")</f>
        <v>#VALUE!</v>
      </c>
      <c r="HK130" t="e">
        <f>AND('Planilla_General_03-12-2012_9_3'!J2078,"AAAAAH/f/to=")</f>
        <v>#VALUE!</v>
      </c>
      <c r="HL130" t="e">
        <f>AND('Planilla_General_03-12-2012_9_3'!K2078,"AAAAAH/f/ts=")</f>
        <v>#VALUE!</v>
      </c>
      <c r="HM130" t="e">
        <f>AND('Planilla_General_03-12-2012_9_3'!L2078,"AAAAAH/f/tw=")</f>
        <v>#VALUE!</v>
      </c>
      <c r="HN130" t="e">
        <f>AND('Planilla_General_03-12-2012_9_3'!M2078,"AAAAAH/f/t0=")</f>
        <v>#VALUE!</v>
      </c>
      <c r="HO130" t="e">
        <f>AND('Planilla_General_03-12-2012_9_3'!N2078,"AAAAAH/f/t4=")</f>
        <v>#VALUE!</v>
      </c>
      <c r="HP130" t="e">
        <f>AND('Planilla_General_03-12-2012_9_3'!O2078,"AAAAAH/f/t8=")</f>
        <v>#VALUE!</v>
      </c>
      <c r="HQ130">
        <f>IF('Planilla_General_03-12-2012_9_3'!2079:2079,"AAAAAH/f/uA=",0)</f>
        <v>0</v>
      </c>
      <c r="HR130" t="e">
        <f>AND('Planilla_General_03-12-2012_9_3'!A2079,"AAAAAH/f/uE=")</f>
        <v>#VALUE!</v>
      </c>
      <c r="HS130" t="e">
        <f>AND('Planilla_General_03-12-2012_9_3'!B2079,"AAAAAH/f/uI=")</f>
        <v>#VALUE!</v>
      </c>
      <c r="HT130" t="e">
        <f>AND('Planilla_General_03-12-2012_9_3'!C2079,"AAAAAH/f/uM=")</f>
        <v>#VALUE!</v>
      </c>
      <c r="HU130" t="e">
        <f>AND('Planilla_General_03-12-2012_9_3'!D2079,"AAAAAH/f/uQ=")</f>
        <v>#VALUE!</v>
      </c>
      <c r="HV130" t="e">
        <f>AND('Planilla_General_03-12-2012_9_3'!E2079,"AAAAAH/f/uU=")</f>
        <v>#VALUE!</v>
      </c>
      <c r="HW130" t="e">
        <f>AND('Planilla_General_03-12-2012_9_3'!F2079,"AAAAAH/f/uY=")</f>
        <v>#VALUE!</v>
      </c>
      <c r="HX130" t="e">
        <f>AND('Planilla_General_03-12-2012_9_3'!G2079,"AAAAAH/f/uc=")</f>
        <v>#VALUE!</v>
      </c>
      <c r="HY130" t="e">
        <f>AND('Planilla_General_03-12-2012_9_3'!H2079,"AAAAAH/f/ug=")</f>
        <v>#VALUE!</v>
      </c>
      <c r="HZ130" t="e">
        <f>AND('Planilla_General_03-12-2012_9_3'!I2079,"AAAAAH/f/uk=")</f>
        <v>#VALUE!</v>
      </c>
      <c r="IA130" t="e">
        <f>AND('Planilla_General_03-12-2012_9_3'!J2079,"AAAAAH/f/uo=")</f>
        <v>#VALUE!</v>
      </c>
      <c r="IB130" t="e">
        <f>AND('Planilla_General_03-12-2012_9_3'!K2079,"AAAAAH/f/us=")</f>
        <v>#VALUE!</v>
      </c>
      <c r="IC130" t="e">
        <f>AND('Planilla_General_03-12-2012_9_3'!L2079,"AAAAAH/f/uw=")</f>
        <v>#VALUE!</v>
      </c>
      <c r="ID130" t="e">
        <f>AND('Planilla_General_03-12-2012_9_3'!M2079,"AAAAAH/f/u0=")</f>
        <v>#VALUE!</v>
      </c>
      <c r="IE130" t="e">
        <f>AND('Planilla_General_03-12-2012_9_3'!N2079,"AAAAAH/f/u4=")</f>
        <v>#VALUE!</v>
      </c>
      <c r="IF130" t="e">
        <f>AND('Planilla_General_03-12-2012_9_3'!O2079,"AAAAAH/f/u8=")</f>
        <v>#VALUE!</v>
      </c>
      <c r="IG130">
        <f>IF('Planilla_General_03-12-2012_9_3'!2080:2080,"AAAAAH/f/vA=",0)</f>
        <v>0</v>
      </c>
      <c r="IH130" t="e">
        <f>AND('Planilla_General_03-12-2012_9_3'!A2080,"AAAAAH/f/vE=")</f>
        <v>#VALUE!</v>
      </c>
      <c r="II130" t="e">
        <f>AND('Planilla_General_03-12-2012_9_3'!B2080,"AAAAAH/f/vI=")</f>
        <v>#VALUE!</v>
      </c>
      <c r="IJ130" t="e">
        <f>AND('Planilla_General_03-12-2012_9_3'!C2080,"AAAAAH/f/vM=")</f>
        <v>#VALUE!</v>
      </c>
      <c r="IK130" t="e">
        <f>AND('Planilla_General_03-12-2012_9_3'!D2080,"AAAAAH/f/vQ=")</f>
        <v>#VALUE!</v>
      </c>
      <c r="IL130" t="e">
        <f>AND('Planilla_General_03-12-2012_9_3'!E2080,"AAAAAH/f/vU=")</f>
        <v>#VALUE!</v>
      </c>
      <c r="IM130" t="e">
        <f>AND('Planilla_General_03-12-2012_9_3'!F2080,"AAAAAH/f/vY=")</f>
        <v>#VALUE!</v>
      </c>
      <c r="IN130" t="e">
        <f>AND('Planilla_General_03-12-2012_9_3'!G2080,"AAAAAH/f/vc=")</f>
        <v>#VALUE!</v>
      </c>
      <c r="IO130" t="e">
        <f>AND('Planilla_General_03-12-2012_9_3'!H2080,"AAAAAH/f/vg=")</f>
        <v>#VALUE!</v>
      </c>
      <c r="IP130" t="e">
        <f>AND('Planilla_General_03-12-2012_9_3'!I2080,"AAAAAH/f/vk=")</f>
        <v>#VALUE!</v>
      </c>
      <c r="IQ130" t="e">
        <f>AND('Planilla_General_03-12-2012_9_3'!J2080,"AAAAAH/f/vo=")</f>
        <v>#VALUE!</v>
      </c>
      <c r="IR130" t="e">
        <f>AND('Planilla_General_03-12-2012_9_3'!K2080,"AAAAAH/f/vs=")</f>
        <v>#VALUE!</v>
      </c>
      <c r="IS130" t="e">
        <f>AND('Planilla_General_03-12-2012_9_3'!L2080,"AAAAAH/f/vw=")</f>
        <v>#VALUE!</v>
      </c>
      <c r="IT130" t="e">
        <f>AND('Planilla_General_03-12-2012_9_3'!M2080,"AAAAAH/f/v0=")</f>
        <v>#VALUE!</v>
      </c>
      <c r="IU130" t="e">
        <f>AND('Planilla_General_03-12-2012_9_3'!N2080,"AAAAAH/f/v4=")</f>
        <v>#VALUE!</v>
      </c>
      <c r="IV130" t="e">
        <f>AND('Planilla_General_03-12-2012_9_3'!O2080,"AAAAAH/f/v8=")</f>
        <v>#VALUE!</v>
      </c>
    </row>
    <row r="131" spans="1:256" x14ac:dyDescent="0.25">
      <c r="A131" t="e">
        <f>IF('Planilla_General_03-12-2012_9_3'!2081:2081,"AAAAAHN/1gA=",0)</f>
        <v>#VALUE!</v>
      </c>
      <c r="B131" t="e">
        <f>AND('Planilla_General_03-12-2012_9_3'!A2081,"AAAAAHN/1gE=")</f>
        <v>#VALUE!</v>
      </c>
      <c r="C131" t="e">
        <f>AND('Planilla_General_03-12-2012_9_3'!B2081,"AAAAAHN/1gI=")</f>
        <v>#VALUE!</v>
      </c>
      <c r="D131" t="e">
        <f>AND('Planilla_General_03-12-2012_9_3'!C2081,"AAAAAHN/1gM=")</f>
        <v>#VALUE!</v>
      </c>
      <c r="E131" t="e">
        <f>AND('Planilla_General_03-12-2012_9_3'!D2081,"AAAAAHN/1gQ=")</f>
        <v>#VALUE!</v>
      </c>
      <c r="F131" t="e">
        <f>AND('Planilla_General_03-12-2012_9_3'!E2081,"AAAAAHN/1gU=")</f>
        <v>#VALUE!</v>
      </c>
      <c r="G131" t="e">
        <f>AND('Planilla_General_03-12-2012_9_3'!F2081,"AAAAAHN/1gY=")</f>
        <v>#VALUE!</v>
      </c>
      <c r="H131" t="e">
        <f>AND('Planilla_General_03-12-2012_9_3'!G2081,"AAAAAHN/1gc=")</f>
        <v>#VALUE!</v>
      </c>
      <c r="I131" t="e">
        <f>AND('Planilla_General_03-12-2012_9_3'!H2081,"AAAAAHN/1gg=")</f>
        <v>#VALUE!</v>
      </c>
      <c r="J131" t="e">
        <f>AND('Planilla_General_03-12-2012_9_3'!I2081,"AAAAAHN/1gk=")</f>
        <v>#VALUE!</v>
      </c>
      <c r="K131" t="e">
        <f>AND('Planilla_General_03-12-2012_9_3'!J2081,"AAAAAHN/1go=")</f>
        <v>#VALUE!</v>
      </c>
      <c r="L131" t="e">
        <f>AND('Planilla_General_03-12-2012_9_3'!K2081,"AAAAAHN/1gs=")</f>
        <v>#VALUE!</v>
      </c>
      <c r="M131" t="e">
        <f>AND('Planilla_General_03-12-2012_9_3'!L2081,"AAAAAHN/1gw=")</f>
        <v>#VALUE!</v>
      </c>
      <c r="N131" t="e">
        <f>AND('Planilla_General_03-12-2012_9_3'!M2081,"AAAAAHN/1g0=")</f>
        <v>#VALUE!</v>
      </c>
      <c r="O131" t="e">
        <f>AND('Planilla_General_03-12-2012_9_3'!N2081,"AAAAAHN/1g4=")</f>
        <v>#VALUE!</v>
      </c>
      <c r="P131" t="e">
        <f>AND('Planilla_General_03-12-2012_9_3'!O2081,"AAAAAHN/1g8=")</f>
        <v>#VALUE!</v>
      </c>
      <c r="Q131">
        <f>IF('Planilla_General_03-12-2012_9_3'!2082:2082,"AAAAAHN/1hA=",0)</f>
        <v>0</v>
      </c>
      <c r="R131" t="e">
        <f>AND('Planilla_General_03-12-2012_9_3'!A2082,"AAAAAHN/1hE=")</f>
        <v>#VALUE!</v>
      </c>
      <c r="S131" t="e">
        <f>AND('Planilla_General_03-12-2012_9_3'!B2082,"AAAAAHN/1hI=")</f>
        <v>#VALUE!</v>
      </c>
      <c r="T131" t="e">
        <f>AND('Planilla_General_03-12-2012_9_3'!C2082,"AAAAAHN/1hM=")</f>
        <v>#VALUE!</v>
      </c>
      <c r="U131" t="e">
        <f>AND('Planilla_General_03-12-2012_9_3'!D2082,"AAAAAHN/1hQ=")</f>
        <v>#VALUE!</v>
      </c>
      <c r="V131" t="e">
        <f>AND('Planilla_General_03-12-2012_9_3'!E2082,"AAAAAHN/1hU=")</f>
        <v>#VALUE!</v>
      </c>
      <c r="W131" t="e">
        <f>AND('Planilla_General_03-12-2012_9_3'!F2082,"AAAAAHN/1hY=")</f>
        <v>#VALUE!</v>
      </c>
      <c r="X131" t="e">
        <f>AND('Planilla_General_03-12-2012_9_3'!G2082,"AAAAAHN/1hc=")</f>
        <v>#VALUE!</v>
      </c>
      <c r="Y131" t="e">
        <f>AND('Planilla_General_03-12-2012_9_3'!H2082,"AAAAAHN/1hg=")</f>
        <v>#VALUE!</v>
      </c>
      <c r="Z131" t="e">
        <f>AND('Planilla_General_03-12-2012_9_3'!I2082,"AAAAAHN/1hk=")</f>
        <v>#VALUE!</v>
      </c>
      <c r="AA131" t="e">
        <f>AND('Planilla_General_03-12-2012_9_3'!J2082,"AAAAAHN/1ho=")</f>
        <v>#VALUE!</v>
      </c>
      <c r="AB131" t="e">
        <f>AND('Planilla_General_03-12-2012_9_3'!K2082,"AAAAAHN/1hs=")</f>
        <v>#VALUE!</v>
      </c>
      <c r="AC131" t="e">
        <f>AND('Planilla_General_03-12-2012_9_3'!L2082,"AAAAAHN/1hw=")</f>
        <v>#VALUE!</v>
      </c>
      <c r="AD131" t="e">
        <f>AND('Planilla_General_03-12-2012_9_3'!M2082,"AAAAAHN/1h0=")</f>
        <v>#VALUE!</v>
      </c>
      <c r="AE131" t="e">
        <f>AND('Planilla_General_03-12-2012_9_3'!N2082,"AAAAAHN/1h4=")</f>
        <v>#VALUE!</v>
      </c>
      <c r="AF131" t="e">
        <f>AND('Planilla_General_03-12-2012_9_3'!O2082,"AAAAAHN/1h8=")</f>
        <v>#VALUE!</v>
      </c>
      <c r="AG131">
        <f>IF('Planilla_General_03-12-2012_9_3'!2083:2083,"AAAAAHN/1iA=",0)</f>
        <v>0</v>
      </c>
      <c r="AH131" t="e">
        <f>AND('Planilla_General_03-12-2012_9_3'!A2083,"AAAAAHN/1iE=")</f>
        <v>#VALUE!</v>
      </c>
      <c r="AI131" t="e">
        <f>AND('Planilla_General_03-12-2012_9_3'!B2083,"AAAAAHN/1iI=")</f>
        <v>#VALUE!</v>
      </c>
      <c r="AJ131" t="e">
        <f>AND('Planilla_General_03-12-2012_9_3'!C2083,"AAAAAHN/1iM=")</f>
        <v>#VALUE!</v>
      </c>
      <c r="AK131" t="e">
        <f>AND('Planilla_General_03-12-2012_9_3'!D2083,"AAAAAHN/1iQ=")</f>
        <v>#VALUE!</v>
      </c>
      <c r="AL131" t="e">
        <f>AND('Planilla_General_03-12-2012_9_3'!E2083,"AAAAAHN/1iU=")</f>
        <v>#VALUE!</v>
      </c>
      <c r="AM131" t="e">
        <f>AND('Planilla_General_03-12-2012_9_3'!F2083,"AAAAAHN/1iY=")</f>
        <v>#VALUE!</v>
      </c>
      <c r="AN131" t="e">
        <f>AND('Planilla_General_03-12-2012_9_3'!G2083,"AAAAAHN/1ic=")</f>
        <v>#VALUE!</v>
      </c>
      <c r="AO131" t="e">
        <f>AND('Planilla_General_03-12-2012_9_3'!H2083,"AAAAAHN/1ig=")</f>
        <v>#VALUE!</v>
      </c>
      <c r="AP131" t="e">
        <f>AND('Planilla_General_03-12-2012_9_3'!I2083,"AAAAAHN/1ik=")</f>
        <v>#VALUE!</v>
      </c>
      <c r="AQ131" t="e">
        <f>AND('Planilla_General_03-12-2012_9_3'!J2083,"AAAAAHN/1io=")</f>
        <v>#VALUE!</v>
      </c>
      <c r="AR131" t="e">
        <f>AND('Planilla_General_03-12-2012_9_3'!K2083,"AAAAAHN/1is=")</f>
        <v>#VALUE!</v>
      </c>
      <c r="AS131" t="e">
        <f>AND('Planilla_General_03-12-2012_9_3'!L2083,"AAAAAHN/1iw=")</f>
        <v>#VALUE!</v>
      </c>
      <c r="AT131" t="e">
        <f>AND('Planilla_General_03-12-2012_9_3'!M2083,"AAAAAHN/1i0=")</f>
        <v>#VALUE!</v>
      </c>
      <c r="AU131" t="e">
        <f>AND('Planilla_General_03-12-2012_9_3'!N2083,"AAAAAHN/1i4=")</f>
        <v>#VALUE!</v>
      </c>
      <c r="AV131" t="e">
        <f>AND('Planilla_General_03-12-2012_9_3'!O2083,"AAAAAHN/1i8=")</f>
        <v>#VALUE!</v>
      </c>
      <c r="AW131">
        <f>IF('Planilla_General_03-12-2012_9_3'!2084:2084,"AAAAAHN/1jA=",0)</f>
        <v>0</v>
      </c>
      <c r="AX131" t="e">
        <f>AND('Planilla_General_03-12-2012_9_3'!A2084,"AAAAAHN/1jE=")</f>
        <v>#VALUE!</v>
      </c>
      <c r="AY131" t="e">
        <f>AND('Planilla_General_03-12-2012_9_3'!B2084,"AAAAAHN/1jI=")</f>
        <v>#VALUE!</v>
      </c>
      <c r="AZ131" t="e">
        <f>AND('Planilla_General_03-12-2012_9_3'!C2084,"AAAAAHN/1jM=")</f>
        <v>#VALUE!</v>
      </c>
      <c r="BA131" t="e">
        <f>AND('Planilla_General_03-12-2012_9_3'!D2084,"AAAAAHN/1jQ=")</f>
        <v>#VALUE!</v>
      </c>
      <c r="BB131" t="e">
        <f>AND('Planilla_General_03-12-2012_9_3'!E2084,"AAAAAHN/1jU=")</f>
        <v>#VALUE!</v>
      </c>
      <c r="BC131" t="e">
        <f>AND('Planilla_General_03-12-2012_9_3'!F2084,"AAAAAHN/1jY=")</f>
        <v>#VALUE!</v>
      </c>
      <c r="BD131" t="e">
        <f>AND('Planilla_General_03-12-2012_9_3'!G2084,"AAAAAHN/1jc=")</f>
        <v>#VALUE!</v>
      </c>
      <c r="BE131" t="e">
        <f>AND('Planilla_General_03-12-2012_9_3'!H2084,"AAAAAHN/1jg=")</f>
        <v>#VALUE!</v>
      </c>
      <c r="BF131" t="e">
        <f>AND('Planilla_General_03-12-2012_9_3'!I2084,"AAAAAHN/1jk=")</f>
        <v>#VALUE!</v>
      </c>
      <c r="BG131" t="e">
        <f>AND('Planilla_General_03-12-2012_9_3'!J2084,"AAAAAHN/1jo=")</f>
        <v>#VALUE!</v>
      </c>
      <c r="BH131" t="e">
        <f>AND('Planilla_General_03-12-2012_9_3'!K2084,"AAAAAHN/1js=")</f>
        <v>#VALUE!</v>
      </c>
      <c r="BI131" t="e">
        <f>AND('Planilla_General_03-12-2012_9_3'!L2084,"AAAAAHN/1jw=")</f>
        <v>#VALUE!</v>
      </c>
      <c r="BJ131" t="e">
        <f>AND('Planilla_General_03-12-2012_9_3'!M2084,"AAAAAHN/1j0=")</f>
        <v>#VALUE!</v>
      </c>
      <c r="BK131" t="e">
        <f>AND('Planilla_General_03-12-2012_9_3'!N2084,"AAAAAHN/1j4=")</f>
        <v>#VALUE!</v>
      </c>
      <c r="BL131" t="e">
        <f>AND('Planilla_General_03-12-2012_9_3'!O2084,"AAAAAHN/1j8=")</f>
        <v>#VALUE!</v>
      </c>
      <c r="BM131">
        <f>IF('Planilla_General_03-12-2012_9_3'!2085:2085,"AAAAAHN/1kA=",0)</f>
        <v>0</v>
      </c>
      <c r="BN131" t="e">
        <f>AND('Planilla_General_03-12-2012_9_3'!A2085,"AAAAAHN/1kE=")</f>
        <v>#VALUE!</v>
      </c>
      <c r="BO131" t="e">
        <f>AND('Planilla_General_03-12-2012_9_3'!B2085,"AAAAAHN/1kI=")</f>
        <v>#VALUE!</v>
      </c>
      <c r="BP131" t="e">
        <f>AND('Planilla_General_03-12-2012_9_3'!C2085,"AAAAAHN/1kM=")</f>
        <v>#VALUE!</v>
      </c>
      <c r="BQ131" t="e">
        <f>AND('Planilla_General_03-12-2012_9_3'!D2085,"AAAAAHN/1kQ=")</f>
        <v>#VALUE!</v>
      </c>
      <c r="BR131" t="e">
        <f>AND('Planilla_General_03-12-2012_9_3'!E2085,"AAAAAHN/1kU=")</f>
        <v>#VALUE!</v>
      </c>
      <c r="BS131" t="e">
        <f>AND('Planilla_General_03-12-2012_9_3'!F2085,"AAAAAHN/1kY=")</f>
        <v>#VALUE!</v>
      </c>
      <c r="BT131" t="e">
        <f>AND('Planilla_General_03-12-2012_9_3'!G2085,"AAAAAHN/1kc=")</f>
        <v>#VALUE!</v>
      </c>
      <c r="BU131" t="e">
        <f>AND('Planilla_General_03-12-2012_9_3'!H2085,"AAAAAHN/1kg=")</f>
        <v>#VALUE!</v>
      </c>
      <c r="BV131" t="e">
        <f>AND('Planilla_General_03-12-2012_9_3'!I2085,"AAAAAHN/1kk=")</f>
        <v>#VALUE!</v>
      </c>
      <c r="BW131" t="e">
        <f>AND('Planilla_General_03-12-2012_9_3'!J2085,"AAAAAHN/1ko=")</f>
        <v>#VALUE!</v>
      </c>
      <c r="BX131" t="e">
        <f>AND('Planilla_General_03-12-2012_9_3'!K2085,"AAAAAHN/1ks=")</f>
        <v>#VALUE!</v>
      </c>
      <c r="BY131" t="e">
        <f>AND('Planilla_General_03-12-2012_9_3'!L2085,"AAAAAHN/1kw=")</f>
        <v>#VALUE!</v>
      </c>
      <c r="BZ131" t="e">
        <f>AND('Planilla_General_03-12-2012_9_3'!M2085,"AAAAAHN/1k0=")</f>
        <v>#VALUE!</v>
      </c>
      <c r="CA131" t="e">
        <f>AND('Planilla_General_03-12-2012_9_3'!N2085,"AAAAAHN/1k4=")</f>
        <v>#VALUE!</v>
      </c>
      <c r="CB131" t="e">
        <f>AND('Planilla_General_03-12-2012_9_3'!O2085,"AAAAAHN/1k8=")</f>
        <v>#VALUE!</v>
      </c>
      <c r="CC131">
        <f>IF('Planilla_General_03-12-2012_9_3'!2086:2086,"AAAAAHN/1lA=",0)</f>
        <v>0</v>
      </c>
      <c r="CD131" t="e">
        <f>AND('Planilla_General_03-12-2012_9_3'!A2086,"AAAAAHN/1lE=")</f>
        <v>#VALUE!</v>
      </c>
      <c r="CE131" t="e">
        <f>AND('Planilla_General_03-12-2012_9_3'!B2086,"AAAAAHN/1lI=")</f>
        <v>#VALUE!</v>
      </c>
      <c r="CF131" t="e">
        <f>AND('Planilla_General_03-12-2012_9_3'!C2086,"AAAAAHN/1lM=")</f>
        <v>#VALUE!</v>
      </c>
      <c r="CG131" t="e">
        <f>AND('Planilla_General_03-12-2012_9_3'!D2086,"AAAAAHN/1lQ=")</f>
        <v>#VALUE!</v>
      </c>
      <c r="CH131" t="e">
        <f>AND('Planilla_General_03-12-2012_9_3'!E2086,"AAAAAHN/1lU=")</f>
        <v>#VALUE!</v>
      </c>
      <c r="CI131" t="e">
        <f>AND('Planilla_General_03-12-2012_9_3'!F2086,"AAAAAHN/1lY=")</f>
        <v>#VALUE!</v>
      </c>
      <c r="CJ131" t="e">
        <f>AND('Planilla_General_03-12-2012_9_3'!G2086,"AAAAAHN/1lc=")</f>
        <v>#VALUE!</v>
      </c>
      <c r="CK131" t="e">
        <f>AND('Planilla_General_03-12-2012_9_3'!H2086,"AAAAAHN/1lg=")</f>
        <v>#VALUE!</v>
      </c>
      <c r="CL131" t="e">
        <f>AND('Planilla_General_03-12-2012_9_3'!I2086,"AAAAAHN/1lk=")</f>
        <v>#VALUE!</v>
      </c>
      <c r="CM131" t="e">
        <f>AND('Planilla_General_03-12-2012_9_3'!J2086,"AAAAAHN/1lo=")</f>
        <v>#VALUE!</v>
      </c>
      <c r="CN131" t="e">
        <f>AND('Planilla_General_03-12-2012_9_3'!K2086,"AAAAAHN/1ls=")</f>
        <v>#VALUE!</v>
      </c>
      <c r="CO131" t="e">
        <f>AND('Planilla_General_03-12-2012_9_3'!L2086,"AAAAAHN/1lw=")</f>
        <v>#VALUE!</v>
      </c>
      <c r="CP131" t="e">
        <f>AND('Planilla_General_03-12-2012_9_3'!M2086,"AAAAAHN/1l0=")</f>
        <v>#VALUE!</v>
      </c>
      <c r="CQ131" t="e">
        <f>AND('Planilla_General_03-12-2012_9_3'!N2086,"AAAAAHN/1l4=")</f>
        <v>#VALUE!</v>
      </c>
      <c r="CR131" t="e">
        <f>AND('Planilla_General_03-12-2012_9_3'!O2086,"AAAAAHN/1l8=")</f>
        <v>#VALUE!</v>
      </c>
      <c r="CS131">
        <f>IF('Planilla_General_03-12-2012_9_3'!2087:2087,"AAAAAHN/1mA=",0)</f>
        <v>0</v>
      </c>
      <c r="CT131" t="e">
        <f>AND('Planilla_General_03-12-2012_9_3'!A2087,"AAAAAHN/1mE=")</f>
        <v>#VALUE!</v>
      </c>
      <c r="CU131" t="e">
        <f>AND('Planilla_General_03-12-2012_9_3'!B2087,"AAAAAHN/1mI=")</f>
        <v>#VALUE!</v>
      </c>
      <c r="CV131" t="e">
        <f>AND('Planilla_General_03-12-2012_9_3'!C2087,"AAAAAHN/1mM=")</f>
        <v>#VALUE!</v>
      </c>
      <c r="CW131" t="e">
        <f>AND('Planilla_General_03-12-2012_9_3'!D2087,"AAAAAHN/1mQ=")</f>
        <v>#VALUE!</v>
      </c>
      <c r="CX131" t="e">
        <f>AND('Planilla_General_03-12-2012_9_3'!E2087,"AAAAAHN/1mU=")</f>
        <v>#VALUE!</v>
      </c>
      <c r="CY131" t="e">
        <f>AND('Planilla_General_03-12-2012_9_3'!F2087,"AAAAAHN/1mY=")</f>
        <v>#VALUE!</v>
      </c>
      <c r="CZ131" t="e">
        <f>AND('Planilla_General_03-12-2012_9_3'!G2087,"AAAAAHN/1mc=")</f>
        <v>#VALUE!</v>
      </c>
      <c r="DA131" t="e">
        <f>AND('Planilla_General_03-12-2012_9_3'!H2087,"AAAAAHN/1mg=")</f>
        <v>#VALUE!</v>
      </c>
      <c r="DB131" t="e">
        <f>AND('Planilla_General_03-12-2012_9_3'!I2087,"AAAAAHN/1mk=")</f>
        <v>#VALUE!</v>
      </c>
      <c r="DC131" t="e">
        <f>AND('Planilla_General_03-12-2012_9_3'!J2087,"AAAAAHN/1mo=")</f>
        <v>#VALUE!</v>
      </c>
      <c r="DD131" t="e">
        <f>AND('Planilla_General_03-12-2012_9_3'!K2087,"AAAAAHN/1ms=")</f>
        <v>#VALUE!</v>
      </c>
      <c r="DE131" t="e">
        <f>AND('Planilla_General_03-12-2012_9_3'!L2087,"AAAAAHN/1mw=")</f>
        <v>#VALUE!</v>
      </c>
      <c r="DF131" t="e">
        <f>AND('Planilla_General_03-12-2012_9_3'!M2087,"AAAAAHN/1m0=")</f>
        <v>#VALUE!</v>
      </c>
      <c r="DG131" t="e">
        <f>AND('Planilla_General_03-12-2012_9_3'!N2087,"AAAAAHN/1m4=")</f>
        <v>#VALUE!</v>
      </c>
      <c r="DH131" t="e">
        <f>AND('Planilla_General_03-12-2012_9_3'!O2087,"AAAAAHN/1m8=")</f>
        <v>#VALUE!</v>
      </c>
      <c r="DI131">
        <f>IF('Planilla_General_03-12-2012_9_3'!2088:2088,"AAAAAHN/1nA=",0)</f>
        <v>0</v>
      </c>
      <c r="DJ131" t="e">
        <f>AND('Planilla_General_03-12-2012_9_3'!A2088,"AAAAAHN/1nE=")</f>
        <v>#VALUE!</v>
      </c>
      <c r="DK131" t="e">
        <f>AND('Planilla_General_03-12-2012_9_3'!B2088,"AAAAAHN/1nI=")</f>
        <v>#VALUE!</v>
      </c>
      <c r="DL131" t="e">
        <f>AND('Planilla_General_03-12-2012_9_3'!C2088,"AAAAAHN/1nM=")</f>
        <v>#VALUE!</v>
      </c>
      <c r="DM131" t="e">
        <f>AND('Planilla_General_03-12-2012_9_3'!D2088,"AAAAAHN/1nQ=")</f>
        <v>#VALUE!</v>
      </c>
      <c r="DN131" t="e">
        <f>AND('Planilla_General_03-12-2012_9_3'!E2088,"AAAAAHN/1nU=")</f>
        <v>#VALUE!</v>
      </c>
      <c r="DO131" t="e">
        <f>AND('Planilla_General_03-12-2012_9_3'!F2088,"AAAAAHN/1nY=")</f>
        <v>#VALUE!</v>
      </c>
      <c r="DP131" t="e">
        <f>AND('Planilla_General_03-12-2012_9_3'!G2088,"AAAAAHN/1nc=")</f>
        <v>#VALUE!</v>
      </c>
      <c r="DQ131" t="e">
        <f>AND('Planilla_General_03-12-2012_9_3'!H2088,"AAAAAHN/1ng=")</f>
        <v>#VALUE!</v>
      </c>
      <c r="DR131" t="e">
        <f>AND('Planilla_General_03-12-2012_9_3'!I2088,"AAAAAHN/1nk=")</f>
        <v>#VALUE!</v>
      </c>
      <c r="DS131" t="e">
        <f>AND('Planilla_General_03-12-2012_9_3'!J2088,"AAAAAHN/1no=")</f>
        <v>#VALUE!</v>
      </c>
      <c r="DT131" t="e">
        <f>AND('Planilla_General_03-12-2012_9_3'!K2088,"AAAAAHN/1ns=")</f>
        <v>#VALUE!</v>
      </c>
      <c r="DU131" t="e">
        <f>AND('Planilla_General_03-12-2012_9_3'!L2088,"AAAAAHN/1nw=")</f>
        <v>#VALUE!</v>
      </c>
      <c r="DV131" t="e">
        <f>AND('Planilla_General_03-12-2012_9_3'!M2088,"AAAAAHN/1n0=")</f>
        <v>#VALUE!</v>
      </c>
      <c r="DW131" t="e">
        <f>AND('Planilla_General_03-12-2012_9_3'!N2088,"AAAAAHN/1n4=")</f>
        <v>#VALUE!</v>
      </c>
      <c r="DX131" t="e">
        <f>AND('Planilla_General_03-12-2012_9_3'!O2088,"AAAAAHN/1n8=")</f>
        <v>#VALUE!</v>
      </c>
      <c r="DY131">
        <f>IF('Planilla_General_03-12-2012_9_3'!2089:2089,"AAAAAHN/1oA=",0)</f>
        <v>0</v>
      </c>
      <c r="DZ131" t="e">
        <f>AND('Planilla_General_03-12-2012_9_3'!A2089,"AAAAAHN/1oE=")</f>
        <v>#VALUE!</v>
      </c>
      <c r="EA131" t="e">
        <f>AND('Planilla_General_03-12-2012_9_3'!B2089,"AAAAAHN/1oI=")</f>
        <v>#VALUE!</v>
      </c>
      <c r="EB131" t="e">
        <f>AND('Planilla_General_03-12-2012_9_3'!C2089,"AAAAAHN/1oM=")</f>
        <v>#VALUE!</v>
      </c>
      <c r="EC131" t="e">
        <f>AND('Planilla_General_03-12-2012_9_3'!D2089,"AAAAAHN/1oQ=")</f>
        <v>#VALUE!</v>
      </c>
      <c r="ED131" t="e">
        <f>AND('Planilla_General_03-12-2012_9_3'!E2089,"AAAAAHN/1oU=")</f>
        <v>#VALUE!</v>
      </c>
      <c r="EE131" t="e">
        <f>AND('Planilla_General_03-12-2012_9_3'!F2089,"AAAAAHN/1oY=")</f>
        <v>#VALUE!</v>
      </c>
      <c r="EF131" t="e">
        <f>AND('Planilla_General_03-12-2012_9_3'!G2089,"AAAAAHN/1oc=")</f>
        <v>#VALUE!</v>
      </c>
      <c r="EG131" t="e">
        <f>AND('Planilla_General_03-12-2012_9_3'!H2089,"AAAAAHN/1og=")</f>
        <v>#VALUE!</v>
      </c>
      <c r="EH131" t="e">
        <f>AND('Planilla_General_03-12-2012_9_3'!I2089,"AAAAAHN/1ok=")</f>
        <v>#VALUE!</v>
      </c>
      <c r="EI131" t="e">
        <f>AND('Planilla_General_03-12-2012_9_3'!J2089,"AAAAAHN/1oo=")</f>
        <v>#VALUE!</v>
      </c>
      <c r="EJ131" t="e">
        <f>AND('Planilla_General_03-12-2012_9_3'!K2089,"AAAAAHN/1os=")</f>
        <v>#VALUE!</v>
      </c>
      <c r="EK131" t="e">
        <f>AND('Planilla_General_03-12-2012_9_3'!L2089,"AAAAAHN/1ow=")</f>
        <v>#VALUE!</v>
      </c>
      <c r="EL131" t="e">
        <f>AND('Planilla_General_03-12-2012_9_3'!M2089,"AAAAAHN/1o0=")</f>
        <v>#VALUE!</v>
      </c>
      <c r="EM131" t="e">
        <f>AND('Planilla_General_03-12-2012_9_3'!N2089,"AAAAAHN/1o4=")</f>
        <v>#VALUE!</v>
      </c>
      <c r="EN131" t="e">
        <f>AND('Planilla_General_03-12-2012_9_3'!O2089,"AAAAAHN/1o8=")</f>
        <v>#VALUE!</v>
      </c>
      <c r="EO131">
        <f>IF('Planilla_General_03-12-2012_9_3'!2090:2090,"AAAAAHN/1pA=",0)</f>
        <v>0</v>
      </c>
      <c r="EP131" t="e">
        <f>AND('Planilla_General_03-12-2012_9_3'!A2090,"AAAAAHN/1pE=")</f>
        <v>#VALUE!</v>
      </c>
      <c r="EQ131" t="e">
        <f>AND('Planilla_General_03-12-2012_9_3'!B2090,"AAAAAHN/1pI=")</f>
        <v>#VALUE!</v>
      </c>
      <c r="ER131" t="e">
        <f>AND('Planilla_General_03-12-2012_9_3'!C2090,"AAAAAHN/1pM=")</f>
        <v>#VALUE!</v>
      </c>
      <c r="ES131" t="e">
        <f>AND('Planilla_General_03-12-2012_9_3'!D2090,"AAAAAHN/1pQ=")</f>
        <v>#VALUE!</v>
      </c>
      <c r="ET131" t="e">
        <f>AND('Planilla_General_03-12-2012_9_3'!E2090,"AAAAAHN/1pU=")</f>
        <v>#VALUE!</v>
      </c>
      <c r="EU131" t="e">
        <f>AND('Planilla_General_03-12-2012_9_3'!F2090,"AAAAAHN/1pY=")</f>
        <v>#VALUE!</v>
      </c>
      <c r="EV131" t="e">
        <f>AND('Planilla_General_03-12-2012_9_3'!G2090,"AAAAAHN/1pc=")</f>
        <v>#VALUE!</v>
      </c>
      <c r="EW131" t="e">
        <f>AND('Planilla_General_03-12-2012_9_3'!H2090,"AAAAAHN/1pg=")</f>
        <v>#VALUE!</v>
      </c>
      <c r="EX131" t="e">
        <f>AND('Planilla_General_03-12-2012_9_3'!I2090,"AAAAAHN/1pk=")</f>
        <v>#VALUE!</v>
      </c>
      <c r="EY131" t="e">
        <f>AND('Planilla_General_03-12-2012_9_3'!J2090,"AAAAAHN/1po=")</f>
        <v>#VALUE!</v>
      </c>
      <c r="EZ131" t="e">
        <f>AND('Planilla_General_03-12-2012_9_3'!K2090,"AAAAAHN/1ps=")</f>
        <v>#VALUE!</v>
      </c>
      <c r="FA131" t="e">
        <f>AND('Planilla_General_03-12-2012_9_3'!L2090,"AAAAAHN/1pw=")</f>
        <v>#VALUE!</v>
      </c>
      <c r="FB131" t="e">
        <f>AND('Planilla_General_03-12-2012_9_3'!M2090,"AAAAAHN/1p0=")</f>
        <v>#VALUE!</v>
      </c>
      <c r="FC131" t="e">
        <f>AND('Planilla_General_03-12-2012_9_3'!N2090,"AAAAAHN/1p4=")</f>
        <v>#VALUE!</v>
      </c>
      <c r="FD131" t="e">
        <f>AND('Planilla_General_03-12-2012_9_3'!O2090,"AAAAAHN/1p8=")</f>
        <v>#VALUE!</v>
      </c>
      <c r="FE131">
        <f>IF('Planilla_General_03-12-2012_9_3'!2091:2091,"AAAAAHN/1qA=",0)</f>
        <v>0</v>
      </c>
      <c r="FF131" t="e">
        <f>AND('Planilla_General_03-12-2012_9_3'!A2091,"AAAAAHN/1qE=")</f>
        <v>#VALUE!</v>
      </c>
      <c r="FG131" t="e">
        <f>AND('Planilla_General_03-12-2012_9_3'!B2091,"AAAAAHN/1qI=")</f>
        <v>#VALUE!</v>
      </c>
      <c r="FH131" t="e">
        <f>AND('Planilla_General_03-12-2012_9_3'!C2091,"AAAAAHN/1qM=")</f>
        <v>#VALUE!</v>
      </c>
      <c r="FI131" t="e">
        <f>AND('Planilla_General_03-12-2012_9_3'!D2091,"AAAAAHN/1qQ=")</f>
        <v>#VALUE!</v>
      </c>
      <c r="FJ131" t="e">
        <f>AND('Planilla_General_03-12-2012_9_3'!E2091,"AAAAAHN/1qU=")</f>
        <v>#VALUE!</v>
      </c>
      <c r="FK131" t="e">
        <f>AND('Planilla_General_03-12-2012_9_3'!F2091,"AAAAAHN/1qY=")</f>
        <v>#VALUE!</v>
      </c>
      <c r="FL131" t="e">
        <f>AND('Planilla_General_03-12-2012_9_3'!G2091,"AAAAAHN/1qc=")</f>
        <v>#VALUE!</v>
      </c>
      <c r="FM131" t="e">
        <f>AND('Planilla_General_03-12-2012_9_3'!H2091,"AAAAAHN/1qg=")</f>
        <v>#VALUE!</v>
      </c>
      <c r="FN131" t="e">
        <f>AND('Planilla_General_03-12-2012_9_3'!I2091,"AAAAAHN/1qk=")</f>
        <v>#VALUE!</v>
      </c>
      <c r="FO131" t="e">
        <f>AND('Planilla_General_03-12-2012_9_3'!J2091,"AAAAAHN/1qo=")</f>
        <v>#VALUE!</v>
      </c>
      <c r="FP131" t="e">
        <f>AND('Planilla_General_03-12-2012_9_3'!K2091,"AAAAAHN/1qs=")</f>
        <v>#VALUE!</v>
      </c>
      <c r="FQ131" t="e">
        <f>AND('Planilla_General_03-12-2012_9_3'!L2091,"AAAAAHN/1qw=")</f>
        <v>#VALUE!</v>
      </c>
      <c r="FR131" t="e">
        <f>AND('Planilla_General_03-12-2012_9_3'!M2091,"AAAAAHN/1q0=")</f>
        <v>#VALUE!</v>
      </c>
      <c r="FS131" t="e">
        <f>AND('Planilla_General_03-12-2012_9_3'!N2091,"AAAAAHN/1q4=")</f>
        <v>#VALUE!</v>
      </c>
      <c r="FT131" t="e">
        <f>AND('Planilla_General_03-12-2012_9_3'!O2091,"AAAAAHN/1q8=")</f>
        <v>#VALUE!</v>
      </c>
      <c r="FU131">
        <f>IF('Planilla_General_03-12-2012_9_3'!2092:2092,"AAAAAHN/1rA=",0)</f>
        <v>0</v>
      </c>
      <c r="FV131" t="e">
        <f>AND('Planilla_General_03-12-2012_9_3'!A2092,"AAAAAHN/1rE=")</f>
        <v>#VALUE!</v>
      </c>
      <c r="FW131" t="e">
        <f>AND('Planilla_General_03-12-2012_9_3'!B2092,"AAAAAHN/1rI=")</f>
        <v>#VALUE!</v>
      </c>
      <c r="FX131" t="e">
        <f>AND('Planilla_General_03-12-2012_9_3'!C2092,"AAAAAHN/1rM=")</f>
        <v>#VALUE!</v>
      </c>
      <c r="FY131" t="e">
        <f>AND('Planilla_General_03-12-2012_9_3'!D2092,"AAAAAHN/1rQ=")</f>
        <v>#VALUE!</v>
      </c>
      <c r="FZ131" t="e">
        <f>AND('Planilla_General_03-12-2012_9_3'!E2092,"AAAAAHN/1rU=")</f>
        <v>#VALUE!</v>
      </c>
      <c r="GA131" t="e">
        <f>AND('Planilla_General_03-12-2012_9_3'!F2092,"AAAAAHN/1rY=")</f>
        <v>#VALUE!</v>
      </c>
      <c r="GB131" t="e">
        <f>AND('Planilla_General_03-12-2012_9_3'!G2092,"AAAAAHN/1rc=")</f>
        <v>#VALUE!</v>
      </c>
      <c r="GC131" t="e">
        <f>AND('Planilla_General_03-12-2012_9_3'!H2092,"AAAAAHN/1rg=")</f>
        <v>#VALUE!</v>
      </c>
      <c r="GD131" t="e">
        <f>AND('Planilla_General_03-12-2012_9_3'!I2092,"AAAAAHN/1rk=")</f>
        <v>#VALUE!</v>
      </c>
      <c r="GE131" t="e">
        <f>AND('Planilla_General_03-12-2012_9_3'!J2092,"AAAAAHN/1ro=")</f>
        <v>#VALUE!</v>
      </c>
      <c r="GF131" t="e">
        <f>AND('Planilla_General_03-12-2012_9_3'!K2092,"AAAAAHN/1rs=")</f>
        <v>#VALUE!</v>
      </c>
      <c r="GG131" t="e">
        <f>AND('Planilla_General_03-12-2012_9_3'!L2092,"AAAAAHN/1rw=")</f>
        <v>#VALUE!</v>
      </c>
      <c r="GH131" t="e">
        <f>AND('Planilla_General_03-12-2012_9_3'!M2092,"AAAAAHN/1r0=")</f>
        <v>#VALUE!</v>
      </c>
      <c r="GI131" t="e">
        <f>AND('Planilla_General_03-12-2012_9_3'!N2092,"AAAAAHN/1r4=")</f>
        <v>#VALUE!</v>
      </c>
      <c r="GJ131" t="e">
        <f>AND('Planilla_General_03-12-2012_9_3'!O2092,"AAAAAHN/1r8=")</f>
        <v>#VALUE!</v>
      </c>
      <c r="GK131">
        <f>IF('Planilla_General_03-12-2012_9_3'!2093:2093,"AAAAAHN/1sA=",0)</f>
        <v>0</v>
      </c>
      <c r="GL131" t="e">
        <f>AND('Planilla_General_03-12-2012_9_3'!A2093,"AAAAAHN/1sE=")</f>
        <v>#VALUE!</v>
      </c>
      <c r="GM131" t="e">
        <f>AND('Planilla_General_03-12-2012_9_3'!B2093,"AAAAAHN/1sI=")</f>
        <v>#VALUE!</v>
      </c>
      <c r="GN131" t="e">
        <f>AND('Planilla_General_03-12-2012_9_3'!C2093,"AAAAAHN/1sM=")</f>
        <v>#VALUE!</v>
      </c>
      <c r="GO131" t="e">
        <f>AND('Planilla_General_03-12-2012_9_3'!D2093,"AAAAAHN/1sQ=")</f>
        <v>#VALUE!</v>
      </c>
      <c r="GP131" t="e">
        <f>AND('Planilla_General_03-12-2012_9_3'!E2093,"AAAAAHN/1sU=")</f>
        <v>#VALUE!</v>
      </c>
      <c r="GQ131" t="e">
        <f>AND('Planilla_General_03-12-2012_9_3'!F2093,"AAAAAHN/1sY=")</f>
        <v>#VALUE!</v>
      </c>
      <c r="GR131" t="e">
        <f>AND('Planilla_General_03-12-2012_9_3'!G2093,"AAAAAHN/1sc=")</f>
        <v>#VALUE!</v>
      </c>
      <c r="GS131" t="e">
        <f>AND('Planilla_General_03-12-2012_9_3'!H2093,"AAAAAHN/1sg=")</f>
        <v>#VALUE!</v>
      </c>
      <c r="GT131" t="e">
        <f>AND('Planilla_General_03-12-2012_9_3'!I2093,"AAAAAHN/1sk=")</f>
        <v>#VALUE!</v>
      </c>
      <c r="GU131" t="e">
        <f>AND('Planilla_General_03-12-2012_9_3'!J2093,"AAAAAHN/1so=")</f>
        <v>#VALUE!</v>
      </c>
      <c r="GV131" t="e">
        <f>AND('Planilla_General_03-12-2012_9_3'!K2093,"AAAAAHN/1ss=")</f>
        <v>#VALUE!</v>
      </c>
      <c r="GW131" t="e">
        <f>AND('Planilla_General_03-12-2012_9_3'!L2093,"AAAAAHN/1sw=")</f>
        <v>#VALUE!</v>
      </c>
      <c r="GX131" t="e">
        <f>AND('Planilla_General_03-12-2012_9_3'!M2093,"AAAAAHN/1s0=")</f>
        <v>#VALUE!</v>
      </c>
      <c r="GY131" t="e">
        <f>AND('Planilla_General_03-12-2012_9_3'!N2093,"AAAAAHN/1s4=")</f>
        <v>#VALUE!</v>
      </c>
      <c r="GZ131" t="e">
        <f>AND('Planilla_General_03-12-2012_9_3'!O2093,"AAAAAHN/1s8=")</f>
        <v>#VALUE!</v>
      </c>
      <c r="HA131">
        <f>IF('Planilla_General_03-12-2012_9_3'!2094:2094,"AAAAAHN/1tA=",0)</f>
        <v>0</v>
      </c>
      <c r="HB131" t="e">
        <f>AND('Planilla_General_03-12-2012_9_3'!A2094,"AAAAAHN/1tE=")</f>
        <v>#VALUE!</v>
      </c>
      <c r="HC131" t="e">
        <f>AND('Planilla_General_03-12-2012_9_3'!B2094,"AAAAAHN/1tI=")</f>
        <v>#VALUE!</v>
      </c>
      <c r="HD131" t="e">
        <f>AND('Planilla_General_03-12-2012_9_3'!C2094,"AAAAAHN/1tM=")</f>
        <v>#VALUE!</v>
      </c>
      <c r="HE131" t="e">
        <f>AND('Planilla_General_03-12-2012_9_3'!D2094,"AAAAAHN/1tQ=")</f>
        <v>#VALUE!</v>
      </c>
      <c r="HF131" t="e">
        <f>AND('Planilla_General_03-12-2012_9_3'!E2094,"AAAAAHN/1tU=")</f>
        <v>#VALUE!</v>
      </c>
      <c r="HG131" t="e">
        <f>AND('Planilla_General_03-12-2012_9_3'!F2094,"AAAAAHN/1tY=")</f>
        <v>#VALUE!</v>
      </c>
      <c r="HH131" t="e">
        <f>AND('Planilla_General_03-12-2012_9_3'!G2094,"AAAAAHN/1tc=")</f>
        <v>#VALUE!</v>
      </c>
      <c r="HI131" t="e">
        <f>AND('Planilla_General_03-12-2012_9_3'!H2094,"AAAAAHN/1tg=")</f>
        <v>#VALUE!</v>
      </c>
      <c r="HJ131" t="e">
        <f>AND('Planilla_General_03-12-2012_9_3'!I2094,"AAAAAHN/1tk=")</f>
        <v>#VALUE!</v>
      </c>
      <c r="HK131" t="e">
        <f>AND('Planilla_General_03-12-2012_9_3'!J2094,"AAAAAHN/1to=")</f>
        <v>#VALUE!</v>
      </c>
      <c r="HL131" t="e">
        <f>AND('Planilla_General_03-12-2012_9_3'!K2094,"AAAAAHN/1ts=")</f>
        <v>#VALUE!</v>
      </c>
      <c r="HM131" t="e">
        <f>AND('Planilla_General_03-12-2012_9_3'!L2094,"AAAAAHN/1tw=")</f>
        <v>#VALUE!</v>
      </c>
      <c r="HN131" t="e">
        <f>AND('Planilla_General_03-12-2012_9_3'!M2094,"AAAAAHN/1t0=")</f>
        <v>#VALUE!</v>
      </c>
      <c r="HO131" t="e">
        <f>AND('Planilla_General_03-12-2012_9_3'!N2094,"AAAAAHN/1t4=")</f>
        <v>#VALUE!</v>
      </c>
      <c r="HP131" t="e">
        <f>AND('Planilla_General_03-12-2012_9_3'!O2094,"AAAAAHN/1t8=")</f>
        <v>#VALUE!</v>
      </c>
      <c r="HQ131">
        <f>IF('Planilla_General_03-12-2012_9_3'!2095:2095,"AAAAAHN/1uA=",0)</f>
        <v>0</v>
      </c>
      <c r="HR131" t="e">
        <f>AND('Planilla_General_03-12-2012_9_3'!A2095,"AAAAAHN/1uE=")</f>
        <v>#VALUE!</v>
      </c>
      <c r="HS131" t="e">
        <f>AND('Planilla_General_03-12-2012_9_3'!B2095,"AAAAAHN/1uI=")</f>
        <v>#VALUE!</v>
      </c>
      <c r="HT131" t="e">
        <f>AND('Planilla_General_03-12-2012_9_3'!C2095,"AAAAAHN/1uM=")</f>
        <v>#VALUE!</v>
      </c>
      <c r="HU131" t="e">
        <f>AND('Planilla_General_03-12-2012_9_3'!D2095,"AAAAAHN/1uQ=")</f>
        <v>#VALUE!</v>
      </c>
      <c r="HV131" t="e">
        <f>AND('Planilla_General_03-12-2012_9_3'!E2095,"AAAAAHN/1uU=")</f>
        <v>#VALUE!</v>
      </c>
      <c r="HW131" t="e">
        <f>AND('Planilla_General_03-12-2012_9_3'!F2095,"AAAAAHN/1uY=")</f>
        <v>#VALUE!</v>
      </c>
      <c r="HX131" t="e">
        <f>AND('Planilla_General_03-12-2012_9_3'!G2095,"AAAAAHN/1uc=")</f>
        <v>#VALUE!</v>
      </c>
      <c r="HY131" t="e">
        <f>AND('Planilla_General_03-12-2012_9_3'!H2095,"AAAAAHN/1ug=")</f>
        <v>#VALUE!</v>
      </c>
      <c r="HZ131" t="e">
        <f>AND('Planilla_General_03-12-2012_9_3'!I2095,"AAAAAHN/1uk=")</f>
        <v>#VALUE!</v>
      </c>
      <c r="IA131" t="e">
        <f>AND('Planilla_General_03-12-2012_9_3'!J2095,"AAAAAHN/1uo=")</f>
        <v>#VALUE!</v>
      </c>
      <c r="IB131" t="e">
        <f>AND('Planilla_General_03-12-2012_9_3'!K2095,"AAAAAHN/1us=")</f>
        <v>#VALUE!</v>
      </c>
      <c r="IC131" t="e">
        <f>AND('Planilla_General_03-12-2012_9_3'!L2095,"AAAAAHN/1uw=")</f>
        <v>#VALUE!</v>
      </c>
      <c r="ID131" t="e">
        <f>AND('Planilla_General_03-12-2012_9_3'!M2095,"AAAAAHN/1u0=")</f>
        <v>#VALUE!</v>
      </c>
      <c r="IE131" t="e">
        <f>AND('Planilla_General_03-12-2012_9_3'!N2095,"AAAAAHN/1u4=")</f>
        <v>#VALUE!</v>
      </c>
      <c r="IF131" t="e">
        <f>AND('Planilla_General_03-12-2012_9_3'!O2095,"AAAAAHN/1u8=")</f>
        <v>#VALUE!</v>
      </c>
      <c r="IG131">
        <f>IF('Planilla_General_03-12-2012_9_3'!2096:2096,"AAAAAHN/1vA=",0)</f>
        <v>0</v>
      </c>
      <c r="IH131" t="e">
        <f>AND('Planilla_General_03-12-2012_9_3'!A2096,"AAAAAHN/1vE=")</f>
        <v>#VALUE!</v>
      </c>
      <c r="II131" t="e">
        <f>AND('Planilla_General_03-12-2012_9_3'!B2096,"AAAAAHN/1vI=")</f>
        <v>#VALUE!</v>
      </c>
      <c r="IJ131" t="e">
        <f>AND('Planilla_General_03-12-2012_9_3'!C2096,"AAAAAHN/1vM=")</f>
        <v>#VALUE!</v>
      </c>
      <c r="IK131" t="e">
        <f>AND('Planilla_General_03-12-2012_9_3'!D2096,"AAAAAHN/1vQ=")</f>
        <v>#VALUE!</v>
      </c>
      <c r="IL131" t="e">
        <f>AND('Planilla_General_03-12-2012_9_3'!E2096,"AAAAAHN/1vU=")</f>
        <v>#VALUE!</v>
      </c>
      <c r="IM131" t="e">
        <f>AND('Planilla_General_03-12-2012_9_3'!F2096,"AAAAAHN/1vY=")</f>
        <v>#VALUE!</v>
      </c>
      <c r="IN131" t="e">
        <f>AND('Planilla_General_03-12-2012_9_3'!G2096,"AAAAAHN/1vc=")</f>
        <v>#VALUE!</v>
      </c>
      <c r="IO131" t="e">
        <f>AND('Planilla_General_03-12-2012_9_3'!H2096,"AAAAAHN/1vg=")</f>
        <v>#VALUE!</v>
      </c>
      <c r="IP131" t="e">
        <f>AND('Planilla_General_03-12-2012_9_3'!I2096,"AAAAAHN/1vk=")</f>
        <v>#VALUE!</v>
      </c>
      <c r="IQ131" t="e">
        <f>AND('Planilla_General_03-12-2012_9_3'!J2096,"AAAAAHN/1vo=")</f>
        <v>#VALUE!</v>
      </c>
      <c r="IR131" t="e">
        <f>AND('Planilla_General_03-12-2012_9_3'!K2096,"AAAAAHN/1vs=")</f>
        <v>#VALUE!</v>
      </c>
      <c r="IS131" t="e">
        <f>AND('Planilla_General_03-12-2012_9_3'!L2096,"AAAAAHN/1vw=")</f>
        <v>#VALUE!</v>
      </c>
      <c r="IT131" t="e">
        <f>AND('Planilla_General_03-12-2012_9_3'!M2096,"AAAAAHN/1v0=")</f>
        <v>#VALUE!</v>
      </c>
      <c r="IU131" t="e">
        <f>AND('Planilla_General_03-12-2012_9_3'!N2096,"AAAAAHN/1v4=")</f>
        <v>#VALUE!</v>
      </c>
      <c r="IV131" t="e">
        <f>AND('Planilla_General_03-12-2012_9_3'!O2096,"AAAAAHN/1v8=")</f>
        <v>#VALUE!</v>
      </c>
    </row>
    <row r="132" spans="1:256" x14ac:dyDescent="0.25">
      <c r="A132" t="e">
        <f>IF('Planilla_General_03-12-2012_9_3'!2097:2097,"AAAAADrPfwA=",0)</f>
        <v>#VALUE!</v>
      </c>
      <c r="B132" t="e">
        <f>AND('Planilla_General_03-12-2012_9_3'!A2097,"AAAAADrPfwE=")</f>
        <v>#VALUE!</v>
      </c>
      <c r="C132" t="e">
        <f>AND('Planilla_General_03-12-2012_9_3'!B2097,"AAAAADrPfwI=")</f>
        <v>#VALUE!</v>
      </c>
      <c r="D132" t="e">
        <f>AND('Planilla_General_03-12-2012_9_3'!C2097,"AAAAADrPfwM=")</f>
        <v>#VALUE!</v>
      </c>
      <c r="E132" t="e">
        <f>AND('Planilla_General_03-12-2012_9_3'!D2097,"AAAAADrPfwQ=")</f>
        <v>#VALUE!</v>
      </c>
      <c r="F132" t="e">
        <f>AND('Planilla_General_03-12-2012_9_3'!E2097,"AAAAADrPfwU=")</f>
        <v>#VALUE!</v>
      </c>
      <c r="G132" t="e">
        <f>AND('Planilla_General_03-12-2012_9_3'!F2097,"AAAAADrPfwY=")</f>
        <v>#VALUE!</v>
      </c>
      <c r="H132" t="e">
        <f>AND('Planilla_General_03-12-2012_9_3'!G2097,"AAAAADrPfwc=")</f>
        <v>#VALUE!</v>
      </c>
      <c r="I132" t="e">
        <f>AND('Planilla_General_03-12-2012_9_3'!H2097,"AAAAADrPfwg=")</f>
        <v>#VALUE!</v>
      </c>
      <c r="J132" t="e">
        <f>AND('Planilla_General_03-12-2012_9_3'!I2097,"AAAAADrPfwk=")</f>
        <v>#VALUE!</v>
      </c>
      <c r="K132" t="e">
        <f>AND('Planilla_General_03-12-2012_9_3'!J2097,"AAAAADrPfwo=")</f>
        <v>#VALUE!</v>
      </c>
      <c r="L132" t="e">
        <f>AND('Planilla_General_03-12-2012_9_3'!K2097,"AAAAADrPfws=")</f>
        <v>#VALUE!</v>
      </c>
      <c r="M132" t="e">
        <f>AND('Planilla_General_03-12-2012_9_3'!L2097,"AAAAADrPfww=")</f>
        <v>#VALUE!</v>
      </c>
      <c r="N132" t="e">
        <f>AND('Planilla_General_03-12-2012_9_3'!M2097,"AAAAADrPfw0=")</f>
        <v>#VALUE!</v>
      </c>
      <c r="O132" t="e">
        <f>AND('Planilla_General_03-12-2012_9_3'!N2097,"AAAAADrPfw4=")</f>
        <v>#VALUE!</v>
      </c>
      <c r="P132" t="e">
        <f>AND('Planilla_General_03-12-2012_9_3'!O2097,"AAAAADrPfw8=")</f>
        <v>#VALUE!</v>
      </c>
      <c r="Q132">
        <f>IF('Planilla_General_03-12-2012_9_3'!2098:2098,"AAAAADrPfxA=",0)</f>
        <v>0</v>
      </c>
      <c r="R132" t="e">
        <f>AND('Planilla_General_03-12-2012_9_3'!A2098,"AAAAADrPfxE=")</f>
        <v>#VALUE!</v>
      </c>
      <c r="S132" t="e">
        <f>AND('Planilla_General_03-12-2012_9_3'!B2098,"AAAAADrPfxI=")</f>
        <v>#VALUE!</v>
      </c>
      <c r="T132" t="e">
        <f>AND('Planilla_General_03-12-2012_9_3'!C2098,"AAAAADrPfxM=")</f>
        <v>#VALUE!</v>
      </c>
      <c r="U132" t="e">
        <f>AND('Planilla_General_03-12-2012_9_3'!D2098,"AAAAADrPfxQ=")</f>
        <v>#VALUE!</v>
      </c>
      <c r="V132" t="e">
        <f>AND('Planilla_General_03-12-2012_9_3'!E2098,"AAAAADrPfxU=")</f>
        <v>#VALUE!</v>
      </c>
      <c r="W132" t="e">
        <f>AND('Planilla_General_03-12-2012_9_3'!F2098,"AAAAADrPfxY=")</f>
        <v>#VALUE!</v>
      </c>
      <c r="X132" t="e">
        <f>AND('Planilla_General_03-12-2012_9_3'!G2098,"AAAAADrPfxc=")</f>
        <v>#VALUE!</v>
      </c>
      <c r="Y132" t="e">
        <f>AND('Planilla_General_03-12-2012_9_3'!H2098,"AAAAADrPfxg=")</f>
        <v>#VALUE!</v>
      </c>
      <c r="Z132" t="e">
        <f>AND('Planilla_General_03-12-2012_9_3'!I2098,"AAAAADrPfxk=")</f>
        <v>#VALUE!</v>
      </c>
      <c r="AA132" t="e">
        <f>AND('Planilla_General_03-12-2012_9_3'!J2098,"AAAAADrPfxo=")</f>
        <v>#VALUE!</v>
      </c>
      <c r="AB132" t="e">
        <f>AND('Planilla_General_03-12-2012_9_3'!K2098,"AAAAADrPfxs=")</f>
        <v>#VALUE!</v>
      </c>
      <c r="AC132" t="e">
        <f>AND('Planilla_General_03-12-2012_9_3'!L2098,"AAAAADrPfxw=")</f>
        <v>#VALUE!</v>
      </c>
      <c r="AD132" t="e">
        <f>AND('Planilla_General_03-12-2012_9_3'!M2098,"AAAAADrPfx0=")</f>
        <v>#VALUE!</v>
      </c>
      <c r="AE132" t="e">
        <f>AND('Planilla_General_03-12-2012_9_3'!N2098,"AAAAADrPfx4=")</f>
        <v>#VALUE!</v>
      </c>
      <c r="AF132" t="e">
        <f>AND('Planilla_General_03-12-2012_9_3'!O2098,"AAAAADrPfx8=")</f>
        <v>#VALUE!</v>
      </c>
      <c r="AG132">
        <f>IF('Planilla_General_03-12-2012_9_3'!2099:2099,"AAAAADrPfyA=",0)</f>
        <v>0</v>
      </c>
      <c r="AH132" t="e">
        <f>AND('Planilla_General_03-12-2012_9_3'!A2099,"AAAAADrPfyE=")</f>
        <v>#VALUE!</v>
      </c>
      <c r="AI132" t="e">
        <f>AND('Planilla_General_03-12-2012_9_3'!B2099,"AAAAADrPfyI=")</f>
        <v>#VALUE!</v>
      </c>
      <c r="AJ132" t="e">
        <f>AND('Planilla_General_03-12-2012_9_3'!C2099,"AAAAADrPfyM=")</f>
        <v>#VALUE!</v>
      </c>
      <c r="AK132" t="e">
        <f>AND('Planilla_General_03-12-2012_9_3'!D2099,"AAAAADrPfyQ=")</f>
        <v>#VALUE!</v>
      </c>
      <c r="AL132" t="e">
        <f>AND('Planilla_General_03-12-2012_9_3'!E2099,"AAAAADrPfyU=")</f>
        <v>#VALUE!</v>
      </c>
      <c r="AM132" t="e">
        <f>AND('Planilla_General_03-12-2012_9_3'!F2099,"AAAAADrPfyY=")</f>
        <v>#VALUE!</v>
      </c>
      <c r="AN132" t="e">
        <f>AND('Planilla_General_03-12-2012_9_3'!G2099,"AAAAADrPfyc=")</f>
        <v>#VALUE!</v>
      </c>
      <c r="AO132" t="e">
        <f>AND('Planilla_General_03-12-2012_9_3'!H2099,"AAAAADrPfyg=")</f>
        <v>#VALUE!</v>
      </c>
      <c r="AP132" t="e">
        <f>AND('Planilla_General_03-12-2012_9_3'!I2099,"AAAAADrPfyk=")</f>
        <v>#VALUE!</v>
      </c>
      <c r="AQ132" t="e">
        <f>AND('Planilla_General_03-12-2012_9_3'!J2099,"AAAAADrPfyo=")</f>
        <v>#VALUE!</v>
      </c>
      <c r="AR132" t="e">
        <f>AND('Planilla_General_03-12-2012_9_3'!K2099,"AAAAADrPfys=")</f>
        <v>#VALUE!</v>
      </c>
      <c r="AS132" t="e">
        <f>AND('Planilla_General_03-12-2012_9_3'!L2099,"AAAAADrPfyw=")</f>
        <v>#VALUE!</v>
      </c>
      <c r="AT132" t="e">
        <f>AND('Planilla_General_03-12-2012_9_3'!M2099,"AAAAADrPfy0=")</f>
        <v>#VALUE!</v>
      </c>
      <c r="AU132" t="e">
        <f>AND('Planilla_General_03-12-2012_9_3'!N2099,"AAAAADrPfy4=")</f>
        <v>#VALUE!</v>
      </c>
      <c r="AV132" t="e">
        <f>AND('Planilla_General_03-12-2012_9_3'!O2099,"AAAAADrPfy8=")</f>
        <v>#VALUE!</v>
      </c>
      <c r="AW132">
        <f>IF('Planilla_General_03-12-2012_9_3'!2100:2100,"AAAAADrPfzA=",0)</f>
        <v>0</v>
      </c>
      <c r="AX132" t="e">
        <f>AND('Planilla_General_03-12-2012_9_3'!A2100,"AAAAADrPfzE=")</f>
        <v>#VALUE!</v>
      </c>
      <c r="AY132" t="e">
        <f>AND('Planilla_General_03-12-2012_9_3'!B2100,"AAAAADrPfzI=")</f>
        <v>#VALUE!</v>
      </c>
      <c r="AZ132" t="e">
        <f>AND('Planilla_General_03-12-2012_9_3'!C2100,"AAAAADrPfzM=")</f>
        <v>#VALUE!</v>
      </c>
      <c r="BA132" t="e">
        <f>AND('Planilla_General_03-12-2012_9_3'!D2100,"AAAAADrPfzQ=")</f>
        <v>#VALUE!</v>
      </c>
      <c r="BB132" t="e">
        <f>AND('Planilla_General_03-12-2012_9_3'!E2100,"AAAAADrPfzU=")</f>
        <v>#VALUE!</v>
      </c>
      <c r="BC132" t="e">
        <f>AND('Planilla_General_03-12-2012_9_3'!F2100,"AAAAADrPfzY=")</f>
        <v>#VALUE!</v>
      </c>
      <c r="BD132" t="e">
        <f>AND('Planilla_General_03-12-2012_9_3'!G2100,"AAAAADrPfzc=")</f>
        <v>#VALUE!</v>
      </c>
      <c r="BE132" t="e">
        <f>AND('Planilla_General_03-12-2012_9_3'!H2100,"AAAAADrPfzg=")</f>
        <v>#VALUE!</v>
      </c>
      <c r="BF132" t="e">
        <f>AND('Planilla_General_03-12-2012_9_3'!I2100,"AAAAADrPfzk=")</f>
        <v>#VALUE!</v>
      </c>
      <c r="BG132" t="e">
        <f>AND('Planilla_General_03-12-2012_9_3'!J2100,"AAAAADrPfzo=")</f>
        <v>#VALUE!</v>
      </c>
      <c r="BH132" t="e">
        <f>AND('Planilla_General_03-12-2012_9_3'!K2100,"AAAAADrPfzs=")</f>
        <v>#VALUE!</v>
      </c>
      <c r="BI132" t="e">
        <f>AND('Planilla_General_03-12-2012_9_3'!L2100,"AAAAADrPfzw=")</f>
        <v>#VALUE!</v>
      </c>
      <c r="BJ132" t="e">
        <f>AND('Planilla_General_03-12-2012_9_3'!M2100,"AAAAADrPfz0=")</f>
        <v>#VALUE!</v>
      </c>
      <c r="BK132" t="e">
        <f>AND('Planilla_General_03-12-2012_9_3'!N2100,"AAAAADrPfz4=")</f>
        <v>#VALUE!</v>
      </c>
      <c r="BL132" t="e">
        <f>AND('Planilla_General_03-12-2012_9_3'!O2100,"AAAAADrPfz8=")</f>
        <v>#VALUE!</v>
      </c>
      <c r="BM132">
        <f>IF('Planilla_General_03-12-2012_9_3'!2101:2101,"AAAAADrPf0A=",0)</f>
        <v>0</v>
      </c>
      <c r="BN132" t="e">
        <f>AND('Planilla_General_03-12-2012_9_3'!A2101,"AAAAADrPf0E=")</f>
        <v>#VALUE!</v>
      </c>
      <c r="BO132" t="e">
        <f>AND('Planilla_General_03-12-2012_9_3'!B2101,"AAAAADrPf0I=")</f>
        <v>#VALUE!</v>
      </c>
      <c r="BP132" t="e">
        <f>AND('Planilla_General_03-12-2012_9_3'!C2101,"AAAAADrPf0M=")</f>
        <v>#VALUE!</v>
      </c>
      <c r="BQ132" t="e">
        <f>AND('Planilla_General_03-12-2012_9_3'!D2101,"AAAAADrPf0Q=")</f>
        <v>#VALUE!</v>
      </c>
      <c r="BR132" t="e">
        <f>AND('Planilla_General_03-12-2012_9_3'!E2101,"AAAAADrPf0U=")</f>
        <v>#VALUE!</v>
      </c>
      <c r="BS132" t="e">
        <f>AND('Planilla_General_03-12-2012_9_3'!F2101,"AAAAADrPf0Y=")</f>
        <v>#VALUE!</v>
      </c>
      <c r="BT132" t="e">
        <f>AND('Planilla_General_03-12-2012_9_3'!G2101,"AAAAADrPf0c=")</f>
        <v>#VALUE!</v>
      </c>
      <c r="BU132" t="e">
        <f>AND('Planilla_General_03-12-2012_9_3'!H2101,"AAAAADrPf0g=")</f>
        <v>#VALUE!</v>
      </c>
      <c r="BV132" t="e">
        <f>AND('Planilla_General_03-12-2012_9_3'!I2101,"AAAAADrPf0k=")</f>
        <v>#VALUE!</v>
      </c>
      <c r="BW132" t="e">
        <f>AND('Planilla_General_03-12-2012_9_3'!J2101,"AAAAADrPf0o=")</f>
        <v>#VALUE!</v>
      </c>
      <c r="BX132" t="e">
        <f>AND('Planilla_General_03-12-2012_9_3'!K2101,"AAAAADrPf0s=")</f>
        <v>#VALUE!</v>
      </c>
      <c r="BY132" t="e">
        <f>AND('Planilla_General_03-12-2012_9_3'!L2101,"AAAAADrPf0w=")</f>
        <v>#VALUE!</v>
      </c>
      <c r="BZ132" t="e">
        <f>AND('Planilla_General_03-12-2012_9_3'!M2101,"AAAAADrPf00=")</f>
        <v>#VALUE!</v>
      </c>
      <c r="CA132" t="e">
        <f>AND('Planilla_General_03-12-2012_9_3'!N2101,"AAAAADrPf04=")</f>
        <v>#VALUE!</v>
      </c>
      <c r="CB132" t="e">
        <f>AND('Planilla_General_03-12-2012_9_3'!O2101,"AAAAADrPf08=")</f>
        <v>#VALUE!</v>
      </c>
      <c r="CC132">
        <f>IF('Planilla_General_03-12-2012_9_3'!2102:2102,"AAAAADrPf1A=",0)</f>
        <v>0</v>
      </c>
      <c r="CD132" t="e">
        <f>AND('Planilla_General_03-12-2012_9_3'!A2102,"AAAAADrPf1E=")</f>
        <v>#VALUE!</v>
      </c>
      <c r="CE132" t="e">
        <f>AND('Planilla_General_03-12-2012_9_3'!B2102,"AAAAADrPf1I=")</f>
        <v>#VALUE!</v>
      </c>
      <c r="CF132" t="e">
        <f>AND('Planilla_General_03-12-2012_9_3'!C2102,"AAAAADrPf1M=")</f>
        <v>#VALUE!</v>
      </c>
      <c r="CG132" t="e">
        <f>AND('Planilla_General_03-12-2012_9_3'!D2102,"AAAAADrPf1Q=")</f>
        <v>#VALUE!</v>
      </c>
      <c r="CH132" t="e">
        <f>AND('Planilla_General_03-12-2012_9_3'!E2102,"AAAAADrPf1U=")</f>
        <v>#VALUE!</v>
      </c>
      <c r="CI132" t="e">
        <f>AND('Planilla_General_03-12-2012_9_3'!F2102,"AAAAADrPf1Y=")</f>
        <v>#VALUE!</v>
      </c>
      <c r="CJ132" t="e">
        <f>AND('Planilla_General_03-12-2012_9_3'!G2102,"AAAAADrPf1c=")</f>
        <v>#VALUE!</v>
      </c>
      <c r="CK132" t="e">
        <f>AND('Planilla_General_03-12-2012_9_3'!H2102,"AAAAADrPf1g=")</f>
        <v>#VALUE!</v>
      </c>
      <c r="CL132" t="e">
        <f>AND('Planilla_General_03-12-2012_9_3'!I2102,"AAAAADrPf1k=")</f>
        <v>#VALUE!</v>
      </c>
      <c r="CM132" t="e">
        <f>AND('Planilla_General_03-12-2012_9_3'!J2102,"AAAAADrPf1o=")</f>
        <v>#VALUE!</v>
      </c>
      <c r="CN132" t="e">
        <f>AND('Planilla_General_03-12-2012_9_3'!K2102,"AAAAADrPf1s=")</f>
        <v>#VALUE!</v>
      </c>
      <c r="CO132" t="e">
        <f>AND('Planilla_General_03-12-2012_9_3'!L2102,"AAAAADrPf1w=")</f>
        <v>#VALUE!</v>
      </c>
      <c r="CP132" t="e">
        <f>AND('Planilla_General_03-12-2012_9_3'!M2102,"AAAAADrPf10=")</f>
        <v>#VALUE!</v>
      </c>
      <c r="CQ132" t="e">
        <f>AND('Planilla_General_03-12-2012_9_3'!N2102,"AAAAADrPf14=")</f>
        <v>#VALUE!</v>
      </c>
      <c r="CR132" t="e">
        <f>AND('Planilla_General_03-12-2012_9_3'!O2102,"AAAAADrPf18=")</f>
        <v>#VALUE!</v>
      </c>
      <c r="CS132">
        <f>IF('Planilla_General_03-12-2012_9_3'!2103:2103,"AAAAADrPf2A=",0)</f>
        <v>0</v>
      </c>
      <c r="CT132" t="e">
        <f>AND('Planilla_General_03-12-2012_9_3'!A2103,"AAAAADrPf2E=")</f>
        <v>#VALUE!</v>
      </c>
      <c r="CU132" t="e">
        <f>AND('Planilla_General_03-12-2012_9_3'!B2103,"AAAAADrPf2I=")</f>
        <v>#VALUE!</v>
      </c>
      <c r="CV132" t="e">
        <f>AND('Planilla_General_03-12-2012_9_3'!C2103,"AAAAADrPf2M=")</f>
        <v>#VALUE!</v>
      </c>
      <c r="CW132" t="e">
        <f>AND('Planilla_General_03-12-2012_9_3'!D2103,"AAAAADrPf2Q=")</f>
        <v>#VALUE!</v>
      </c>
      <c r="CX132" t="e">
        <f>AND('Planilla_General_03-12-2012_9_3'!E2103,"AAAAADrPf2U=")</f>
        <v>#VALUE!</v>
      </c>
      <c r="CY132" t="e">
        <f>AND('Planilla_General_03-12-2012_9_3'!F2103,"AAAAADrPf2Y=")</f>
        <v>#VALUE!</v>
      </c>
      <c r="CZ132" t="e">
        <f>AND('Planilla_General_03-12-2012_9_3'!G2103,"AAAAADrPf2c=")</f>
        <v>#VALUE!</v>
      </c>
      <c r="DA132" t="e">
        <f>AND('Planilla_General_03-12-2012_9_3'!H2103,"AAAAADrPf2g=")</f>
        <v>#VALUE!</v>
      </c>
      <c r="DB132" t="e">
        <f>AND('Planilla_General_03-12-2012_9_3'!I2103,"AAAAADrPf2k=")</f>
        <v>#VALUE!</v>
      </c>
      <c r="DC132" t="e">
        <f>AND('Planilla_General_03-12-2012_9_3'!J2103,"AAAAADrPf2o=")</f>
        <v>#VALUE!</v>
      </c>
      <c r="DD132" t="e">
        <f>AND('Planilla_General_03-12-2012_9_3'!K2103,"AAAAADrPf2s=")</f>
        <v>#VALUE!</v>
      </c>
      <c r="DE132" t="e">
        <f>AND('Planilla_General_03-12-2012_9_3'!L2103,"AAAAADrPf2w=")</f>
        <v>#VALUE!</v>
      </c>
      <c r="DF132" t="e">
        <f>AND('Planilla_General_03-12-2012_9_3'!M2103,"AAAAADrPf20=")</f>
        <v>#VALUE!</v>
      </c>
      <c r="DG132" t="e">
        <f>AND('Planilla_General_03-12-2012_9_3'!N2103,"AAAAADrPf24=")</f>
        <v>#VALUE!</v>
      </c>
      <c r="DH132" t="e">
        <f>AND('Planilla_General_03-12-2012_9_3'!O2103,"AAAAADrPf28=")</f>
        <v>#VALUE!</v>
      </c>
      <c r="DI132">
        <f>IF('Planilla_General_03-12-2012_9_3'!2104:2104,"AAAAADrPf3A=",0)</f>
        <v>0</v>
      </c>
      <c r="DJ132" t="e">
        <f>AND('Planilla_General_03-12-2012_9_3'!A2104,"AAAAADrPf3E=")</f>
        <v>#VALUE!</v>
      </c>
      <c r="DK132" t="e">
        <f>AND('Planilla_General_03-12-2012_9_3'!B2104,"AAAAADrPf3I=")</f>
        <v>#VALUE!</v>
      </c>
      <c r="DL132" t="e">
        <f>AND('Planilla_General_03-12-2012_9_3'!C2104,"AAAAADrPf3M=")</f>
        <v>#VALUE!</v>
      </c>
      <c r="DM132" t="e">
        <f>AND('Planilla_General_03-12-2012_9_3'!D2104,"AAAAADrPf3Q=")</f>
        <v>#VALUE!</v>
      </c>
      <c r="DN132" t="e">
        <f>AND('Planilla_General_03-12-2012_9_3'!E2104,"AAAAADrPf3U=")</f>
        <v>#VALUE!</v>
      </c>
      <c r="DO132" t="e">
        <f>AND('Planilla_General_03-12-2012_9_3'!F2104,"AAAAADrPf3Y=")</f>
        <v>#VALUE!</v>
      </c>
      <c r="DP132" t="e">
        <f>AND('Planilla_General_03-12-2012_9_3'!G2104,"AAAAADrPf3c=")</f>
        <v>#VALUE!</v>
      </c>
      <c r="DQ132" t="e">
        <f>AND('Planilla_General_03-12-2012_9_3'!H2104,"AAAAADrPf3g=")</f>
        <v>#VALUE!</v>
      </c>
      <c r="DR132" t="e">
        <f>AND('Planilla_General_03-12-2012_9_3'!I2104,"AAAAADrPf3k=")</f>
        <v>#VALUE!</v>
      </c>
      <c r="DS132" t="e">
        <f>AND('Planilla_General_03-12-2012_9_3'!J2104,"AAAAADrPf3o=")</f>
        <v>#VALUE!</v>
      </c>
      <c r="DT132" t="e">
        <f>AND('Planilla_General_03-12-2012_9_3'!K2104,"AAAAADrPf3s=")</f>
        <v>#VALUE!</v>
      </c>
      <c r="DU132" t="e">
        <f>AND('Planilla_General_03-12-2012_9_3'!L2104,"AAAAADrPf3w=")</f>
        <v>#VALUE!</v>
      </c>
      <c r="DV132" t="e">
        <f>AND('Planilla_General_03-12-2012_9_3'!M2104,"AAAAADrPf30=")</f>
        <v>#VALUE!</v>
      </c>
      <c r="DW132" t="e">
        <f>AND('Planilla_General_03-12-2012_9_3'!N2104,"AAAAADrPf34=")</f>
        <v>#VALUE!</v>
      </c>
      <c r="DX132" t="e">
        <f>AND('Planilla_General_03-12-2012_9_3'!O2104,"AAAAADrPf38=")</f>
        <v>#VALUE!</v>
      </c>
      <c r="DY132">
        <f>IF('Planilla_General_03-12-2012_9_3'!2105:2105,"AAAAADrPf4A=",0)</f>
        <v>0</v>
      </c>
      <c r="DZ132" t="e">
        <f>AND('Planilla_General_03-12-2012_9_3'!A2105,"AAAAADrPf4E=")</f>
        <v>#VALUE!</v>
      </c>
      <c r="EA132" t="e">
        <f>AND('Planilla_General_03-12-2012_9_3'!B2105,"AAAAADrPf4I=")</f>
        <v>#VALUE!</v>
      </c>
      <c r="EB132" t="e">
        <f>AND('Planilla_General_03-12-2012_9_3'!C2105,"AAAAADrPf4M=")</f>
        <v>#VALUE!</v>
      </c>
      <c r="EC132" t="e">
        <f>AND('Planilla_General_03-12-2012_9_3'!D2105,"AAAAADrPf4Q=")</f>
        <v>#VALUE!</v>
      </c>
      <c r="ED132" t="e">
        <f>AND('Planilla_General_03-12-2012_9_3'!E2105,"AAAAADrPf4U=")</f>
        <v>#VALUE!</v>
      </c>
      <c r="EE132" t="e">
        <f>AND('Planilla_General_03-12-2012_9_3'!F2105,"AAAAADrPf4Y=")</f>
        <v>#VALUE!</v>
      </c>
      <c r="EF132" t="e">
        <f>AND('Planilla_General_03-12-2012_9_3'!G2105,"AAAAADrPf4c=")</f>
        <v>#VALUE!</v>
      </c>
      <c r="EG132" t="e">
        <f>AND('Planilla_General_03-12-2012_9_3'!H2105,"AAAAADrPf4g=")</f>
        <v>#VALUE!</v>
      </c>
      <c r="EH132" t="e">
        <f>AND('Planilla_General_03-12-2012_9_3'!I2105,"AAAAADrPf4k=")</f>
        <v>#VALUE!</v>
      </c>
      <c r="EI132" t="e">
        <f>AND('Planilla_General_03-12-2012_9_3'!J2105,"AAAAADrPf4o=")</f>
        <v>#VALUE!</v>
      </c>
      <c r="EJ132" t="e">
        <f>AND('Planilla_General_03-12-2012_9_3'!K2105,"AAAAADrPf4s=")</f>
        <v>#VALUE!</v>
      </c>
      <c r="EK132" t="e">
        <f>AND('Planilla_General_03-12-2012_9_3'!L2105,"AAAAADrPf4w=")</f>
        <v>#VALUE!</v>
      </c>
      <c r="EL132" t="e">
        <f>AND('Planilla_General_03-12-2012_9_3'!M2105,"AAAAADrPf40=")</f>
        <v>#VALUE!</v>
      </c>
      <c r="EM132" t="e">
        <f>AND('Planilla_General_03-12-2012_9_3'!N2105,"AAAAADrPf44=")</f>
        <v>#VALUE!</v>
      </c>
      <c r="EN132" t="e">
        <f>AND('Planilla_General_03-12-2012_9_3'!O2105,"AAAAADrPf48=")</f>
        <v>#VALUE!</v>
      </c>
      <c r="EO132">
        <f>IF('Planilla_General_03-12-2012_9_3'!2106:2106,"AAAAADrPf5A=",0)</f>
        <v>0</v>
      </c>
      <c r="EP132" t="e">
        <f>AND('Planilla_General_03-12-2012_9_3'!A2106,"AAAAADrPf5E=")</f>
        <v>#VALUE!</v>
      </c>
      <c r="EQ132" t="e">
        <f>AND('Planilla_General_03-12-2012_9_3'!B2106,"AAAAADrPf5I=")</f>
        <v>#VALUE!</v>
      </c>
      <c r="ER132" t="e">
        <f>AND('Planilla_General_03-12-2012_9_3'!C2106,"AAAAADrPf5M=")</f>
        <v>#VALUE!</v>
      </c>
      <c r="ES132" t="e">
        <f>AND('Planilla_General_03-12-2012_9_3'!D2106,"AAAAADrPf5Q=")</f>
        <v>#VALUE!</v>
      </c>
      <c r="ET132" t="e">
        <f>AND('Planilla_General_03-12-2012_9_3'!E2106,"AAAAADrPf5U=")</f>
        <v>#VALUE!</v>
      </c>
      <c r="EU132" t="e">
        <f>AND('Planilla_General_03-12-2012_9_3'!F2106,"AAAAADrPf5Y=")</f>
        <v>#VALUE!</v>
      </c>
      <c r="EV132" t="e">
        <f>AND('Planilla_General_03-12-2012_9_3'!G2106,"AAAAADrPf5c=")</f>
        <v>#VALUE!</v>
      </c>
      <c r="EW132" t="e">
        <f>AND('Planilla_General_03-12-2012_9_3'!H2106,"AAAAADrPf5g=")</f>
        <v>#VALUE!</v>
      </c>
      <c r="EX132" t="e">
        <f>AND('Planilla_General_03-12-2012_9_3'!I2106,"AAAAADrPf5k=")</f>
        <v>#VALUE!</v>
      </c>
      <c r="EY132" t="e">
        <f>AND('Planilla_General_03-12-2012_9_3'!J2106,"AAAAADrPf5o=")</f>
        <v>#VALUE!</v>
      </c>
      <c r="EZ132" t="e">
        <f>AND('Planilla_General_03-12-2012_9_3'!K2106,"AAAAADrPf5s=")</f>
        <v>#VALUE!</v>
      </c>
      <c r="FA132" t="e">
        <f>AND('Planilla_General_03-12-2012_9_3'!L2106,"AAAAADrPf5w=")</f>
        <v>#VALUE!</v>
      </c>
      <c r="FB132" t="e">
        <f>AND('Planilla_General_03-12-2012_9_3'!M2106,"AAAAADrPf50=")</f>
        <v>#VALUE!</v>
      </c>
      <c r="FC132" t="e">
        <f>AND('Planilla_General_03-12-2012_9_3'!N2106,"AAAAADrPf54=")</f>
        <v>#VALUE!</v>
      </c>
      <c r="FD132" t="e">
        <f>AND('Planilla_General_03-12-2012_9_3'!O2106,"AAAAADrPf58=")</f>
        <v>#VALUE!</v>
      </c>
      <c r="FE132">
        <f>IF('Planilla_General_03-12-2012_9_3'!2107:2107,"AAAAADrPf6A=",0)</f>
        <v>0</v>
      </c>
      <c r="FF132" t="e">
        <f>AND('Planilla_General_03-12-2012_9_3'!A2107,"AAAAADrPf6E=")</f>
        <v>#VALUE!</v>
      </c>
      <c r="FG132" t="e">
        <f>AND('Planilla_General_03-12-2012_9_3'!B2107,"AAAAADrPf6I=")</f>
        <v>#VALUE!</v>
      </c>
      <c r="FH132" t="e">
        <f>AND('Planilla_General_03-12-2012_9_3'!C2107,"AAAAADrPf6M=")</f>
        <v>#VALUE!</v>
      </c>
      <c r="FI132" t="e">
        <f>AND('Planilla_General_03-12-2012_9_3'!D2107,"AAAAADrPf6Q=")</f>
        <v>#VALUE!</v>
      </c>
      <c r="FJ132" t="e">
        <f>AND('Planilla_General_03-12-2012_9_3'!E2107,"AAAAADrPf6U=")</f>
        <v>#VALUE!</v>
      </c>
      <c r="FK132" t="e">
        <f>AND('Planilla_General_03-12-2012_9_3'!F2107,"AAAAADrPf6Y=")</f>
        <v>#VALUE!</v>
      </c>
      <c r="FL132" t="e">
        <f>AND('Planilla_General_03-12-2012_9_3'!G2107,"AAAAADrPf6c=")</f>
        <v>#VALUE!</v>
      </c>
      <c r="FM132" t="e">
        <f>AND('Planilla_General_03-12-2012_9_3'!H2107,"AAAAADrPf6g=")</f>
        <v>#VALUE!</v>
      </c>
      <c r="FN132" t="e">
        <f>AND('Planilla_General_03-12-2012_9_3'!I2107,"AAAAADrPf6k=")</f>
        <v>#VALUE!</v>
      </c>
      <c r="FO132" t="e">
        <f>AND('Planilla_General_03-12-2012_9_3'!J2107,"AAAAADrPf6o=")</f>
        <v>#VALUE!</v>
      </c>
      <c r="FP132" t="e">
        <f>AND('Planilla_General_03-12-2012_9_3'!K2107,"AAAAADrPf6s=")</f>
        <v>#VALUE!</v>
      </c>
      <c r="FQ132" t="e">
        <f>AND('Planilla_General_03-12-2012_9_3'!L2107,"AAAAADrPf6w=")</f>
        <v>#VALUE!</v>
      </c>
      <c r="FR132" t="e">
        <f>AND('Planilla_General_03-12-2012_9_3'!M2107,"AAAAADrPf60=")</f>
        <v>#VALUE!</v>
      </c>
      <c r="FS132" t="e">
        <f>AND('Planilla_General_03-12-2012_9_3'!N2107,"AAAAADrPf64=")</f>
        <v>#VALUE!</v>
      </c>
      <c r="FT132" t="e">
        <f>AND('Planilla_General_03-12-2012_9_3'!O2107,"AAAAADrPf68=")</f>
        <v>#VALUE!</v>
      </c>
      <c r="FU132">
        <f>IF('Planilla_General_03-12-2012_9_3'!2108:2108,"AAAAADrPf7A=",0)</f>
        <v>0</v>
      </c>
      <c r="FV132" t="e">
        <f>AND('Planilla_General_03-12-2012_9_3'!A2108,"AAAAADrPf7E=")</f>
        <v>#VALUE!</v>
      </c>
      <c r="FW132" t="e">
        <f>AND('Planilla_General_03-12-2012_9_3'!B2108,"AAAAADrPf7I=")</f>
        <v>#VALUE!</v>
      </c>
      <c r="FX132" t="e">
        <f>AND('Planilla_General_03-12-2012_9_3'!C2108,"AAAAADrPf7M=")</f>
        <v>#VALUE!</v>
      </c>
      <c r="FY132" t="e">
        <f>AND('Planilla_General_03-12-2012_9_3'!D2108,"AAAAADrPf7Q=")</f>
        <v>#VALUE!</v>
      </c>
      <c r="FZ132" t="e">
        <f>AND('Planilla_General_03-12-2012_9_3'!E2108,"AAAAADrPf7U=")</f>
        <v>#VALUE!</v>
      </c>
      <c r="GA132" t="e">
        <f>AND('Planilla_General_03-12-2012_9_3'!F2108,"AAAAADrPf7Y=")</f>
        <v>#VALUE!</v>
      </c>
      <c r="GB132" t="e">
        <f>AND('Planilla_General_03-12-2012_9_3'!G2108,"AAAAADrPf7c=")</f>
        <v>#VALUE!</v>
      </c>
      <c r="GC132" t="e">
        <f>AND('Planilla_General_03-12-2012_9_3'!H2108,"AAAAADrPf7g=")</f>
        <v>#VALUE!</v>
      </c>
      <c r="GD132" t="e">
        <f>AND('Planilla_General_03-12-2012_9_3'!I2108,"AAAAADrPf7k=")</f>
        <v>#VALUE!</v>
      </c>
      <c r="GE132" t="e">
        <f>AND('Planilla_General_03-12-2012_9_3'!J2108,"AAAAADrPf7o=")</f>
        <v>#VALUE!</v>
      </c>
      <c r="GF132" t="e">
        <f>AND('Planilla_General_03-12-2012_9_3'!K2108,"AAAAADrPf7s=")</f>
        <v>#VALUE!</v>
      </c>
      <c r="GG132" t="e">
        <f>AND('Planilla_General_03-12-2012_9_3'!L2108,"AAAAADrPf7w=")</f>
        <v>#VALUE!</v>
      </c>
      <c r="GH132" t="e">
        <f>AND('Planilla_General_03-12-2012_9_3'!M2108,"AAAAADrPf70=")</f>
        <v>#VALUE!</v>
      </c>
      <c r="GI132" t="e">
        <f>AND('Planilla_General_03-12-2012_9_3'!N2108,"AAAAADrPf74=")</f>
        <v>#VALUE!</v>
      </c>
      <c r="GJ132" t="e">
        <f>AND('Planilla_General_03-12-2012_9_3'!O2108,"AAAAADrPf78=")</f>
        <v>#VALUE!</v>
      </c>
      <c r="GK132">
        <f>IF('Planilla_General_03-12-2012_9_3'!2109:2109,"AAAAADrPf8A=",0)</f>
        <v>0</v>
      </c>
      <c r="GL132" t="e">
        <f>AND('Planilla_General_03-12-2012_9_3'!A2109,"AAAAADrPf8E=")</f>
        <v>#VALUE!</v>
      </c>
      <c r="GM132" t="e">
        <f>AND('Planilla_General_03-12-2012_9_3'!B2109,"AAAAADrPf8I=")</f>
        <v>#VALUE!</v>
      </c>
      <c r="GN132" t="e">
        <f>AND('Planilla_General_03-12-2012_9_3'!C2109,"AAAAADrPf8M=")</f>
        <v>#VALUE!</v>
      </c>
      <c r="GO132" t="e">
        <f>AND('Planilla_General_03-12-2012_9_3'!D2109,"AAAAADrPf8Q=")</f>
        <v>#VALUE!</v>
      </c>
      <c r="GP132" t="e">
        <f>AND('Planilla_General_03-12-2012_9_3'!E2109,"AAAAADrPf8U=")</f>
        <v>#VALUE!</v>
      </c>
      <c r="GQ132" t="e">
        <f>AND('Planilla_General_03-12-2012_9_3'!F2109,"AAAAADrPf8Y=")</f>
        <v>#VALUE!</v>
      </c>
      <c r="GR132" t="e">
        <f>AND('Planilla_General_03-12-2012_9_3'!G2109,"AAAAADrPf8c=")</f>
        <v>#VALUE!</v>
      </c>
      <c r="GS132" t="e">
        <f>AND('Planilla_General_03-12-2012_9_3'!H2109,"AAAAADrPf8g=")</f>
        <v>#VALUE!</v>
      </c>
      <c r="GT132" t="e">
        <f>AND('Planilla_General_03-12-2012_9_3'!I2109,"AAAAADrPf8k=")</f>
        <v>#VALUE!</v>
      </c>
      <c r="GU132" t="e">
        <f>AND('Planilla_General_03-12-2012_9_3'!J2109,"AAAAADrPf8o=")</f>
        <v>#VALUE!</v>
      </c>
      <c r="GV132" t="e">
        <f>AND('Planilla_General_03-12-2012_9_3'!K2109,"AAAAADrPf8s=")</f>
        <v>#VALUE!</v>
      </c>
      <c r="GW132" t="e">
        <f>AND('Planilla_General_03-12-2012_9_3'!L2109,"AAAAADrPf8w=")</f>
        <v>#VALUE!</v>
      </c>
      <c r="GX132" t="e">
        <f>AND('Planilla_General_03-12-2012_9_3'!M2109,"AAAAADrPf80=")</f>
        <v>#VALUE!</v>
      </c>
      <c r="GY132" t="e">
        <f>AND('Planilla_General_03-12-2012_9_3'!N2109,"AAAAADrPf84=")</f>
        <v>#VALUE!</v>
      </c>
      <c r="GZ132" t="e">
        <f>AND('Planilla_General_03-12-2012_9_3'!O2109,"AAAAADrPf88=")</f>
        <v>#VALUE!</v>
      </c>
      <c r="HA132">
        <f>IF('Planilla_General_03-12-2012_9_3'!2110:2110,"AAAAADrPf9A=",0)</f>
        <v>0</v>
      </c>
      <c r="HB132" t="e">
        <f>AND('Planilla_General_03-12-2012_9_3'!A2110,"AAAAADrPf9E=")</f>
        <v>#VALUE!</v>
      </c>
      <c r="HC132" t="e">
        <f>AND('Planilla_General_03-12-2012_9_3'!B2110,"AAAAADrPf9I=")</f>
        <v>#VALUE!</v>
      </c>
      <c r="HD132" t="e">
        <f>AND('Planilla_General_03-12-2012_9_3'!C2110,"AAAAADrPf9M=")</f>
        <v>#VALUE!</v>
      </c>
      <c r="HE132" t="e">
        <f>AND('Planilla_General_03-12-2012_9_3'!D2110,"AAAAADrPf9Q=")</f>
        <v>#VALUE!</v>
      </c>
      <c r="HF132" t="e">
        <f>AND('Planilla_General_03-12-2012_9_3'!E2110,"AAAAADrPf9U=")</f>
        <v>#VALUE!</v>
      </c>
      <c r="HG132" t="e">
        <f>AND('Planilla_General_03-12-2012_9_3'!F2110,"AAAAADrPf9Y=")</f>
        <v>#VALUE!</v>
      </c>
      <c r="HH132" t="e">
        <f>AND('Planilla_General_03-12-2012_9_3'!G2110,"AAAAADrPf9c=")</f>
        <v>#VALUE!</v>
      </c>
      <c r="HI132" t="e">
        <f>AND('Planilla_General_03-12-2012_9_3'!H2110,"AAAAADrPf9g=")</f>
        <v>#VALUE!</v>
      </c>
      <c r="HJ132" t="e">
        <f>AND('Planilla_General_03-12-2012_9_3'!I2110,"AAAAADrPf9k=")</f>
        <v>#VALUE!</v>
      </c>
      <c r="HK132" t="e">
        <f>AND('Planilla_General_03-12-2012_9_3'!J2110,"AAAAADrPf9o=")</f>
        <v>#VALUE!</v>
      </c>
      <c r="HL132" t="e">
        <f>AND('Planilla_General_03-12-2012_9_3'!K2110,"AAAAADrPf9s=")</f>
        <v>#VALUE!</v>
      </c>
      <c r="HM132" t="e">
        <f>AND('Planilla_General_03-12-2012_9_3'!L2110,"AAAAADrPf9w=")</f>
        <v>#VALUE!</v>
      </c>
      <c r="HN132" t="e">
        <f>AND('Planilla_General_03-12-2012_9_3'!M2110,"AAAAADrPf90=")</f>
        <v>#VALUE!</v>
      </c>
      <c r="HO132" t="e">
        <f>AND('Planilla_General_03-12-2012_9_3'!N2110,"AAAAADrPf94=")</f>
        <v>#VALUE!</v>
      </c>
      <c r="HP132" t="e">
        <f>AND('Planilla_General_03-12-2012_9_3'!O2110,"AAAAADrPf98=")</f>
        <v>#VALUE!</v>
      </c>
      <c r="HQ132">
        <f>IF('Planilla_General_03-12-2012_9_3'!2111:2111,"AAAAADrPf+A=",0)</f>
        <v>0</v>
      </c>
      <c r="HR132" t="e">
        <f>AND('Planilla_General_03-12-2012_9_3'!A2111,"AAAAADrPf+E=")</f>
        <v>#VALUE!</v>
      </c>
      <c r="HS132" t="e">
        <f>AND('Planilla_General_03-12-2012_9_3'!B2111,"AAAAADrPf+I=")</f>
        <v>#VALUE!</v>
      </c>
      <c r="HT132" t="e">
        <f>AND('Planilla_General_03-12-2012_9_3'!C2111,"AAAAADrPf+M=")</f>
        <v>#VALUE!</v>
      </c>
      <c r="HU132" t="e">
        <f>AND('Planilla_General_03-12-2012_9_3'!D2111,"AAAAADrPf+Q=")</f>
        <v>#VALUE!</v>
      </c>
      <c r="HV132" t="e">
        <f>AND('Planilla_General_03-12-2012_9_3'!E2111,"AAAAADrPf+U=")</f>
        <v>#VALUE!</v>
      </c>
      <c r="HW132" t="e">
        <f>AND('Planilla_General_03-12-2012_9_3'!F2111,"AAAAADrPf+Y=")</f>
        <v>#VALUE!</v>
      </c>
      <c r="HX132" t="e">
        <f>AND('Planilla_General_03-12-2012_9_3'!G2111,"AAAAADrPf+c=")</f>
        <v>#VALUE!</v>
      </c>
      <c r="HY132" t="e">
        <f>AND('Planilla_General_03-12-2012_9_3'!H2111,"AAAAADrPf+g=")</f>
        <v>#VALUE!</v>
      </c>
      <c r="HZ132" t="e">
        <f>AND('Planilla_General_03-12-2012_9_3'!I2111,"AAAAADrPf+k=")</f>
        <v>#VALUE!</v>
      </c>
      <c r="IA132" t="e">
        <f>AND('Planilla_General_03-12-2012_9_3'!J2111,"AAAAADrPf+o=")</f>
        <v>#VALUE!</v>
      </c>
      <c r="IB132" t="e">
        <f>AND('Planilla_General_03-12-2012_9_3'!K2111,"AAAAADrPf+s=")</f>
        <v>#VALUE!</v>
      </c>
      <c r="IC132" t="e">
        <f>AND('Planilla_General_03-12-2012_9_3'!L2111,"AAAAADrPf+w=")</f>
        <v>#VALUE!</v>
      </c>
      <c r="ID132" t="e">
        <f>AND('Planilla_General_03-12-2012_9_3'!M2111,"AAAAADrPf+0=")</f>
        <v>#VALUE!</v>
      </c>
      <c r="IE132" t="e">
        <f>AND('Planilla_General_03-12-2012_9_3'!N2111,"AAAAADrPf+4=")</f>
        <v>#VALUE!</v>
      </c>
      <c r="IF132" t="e">
        <f>AND('Planilla_General_03-12-2012_9_3'!O2111,"AAAAADrPf+8=")</f>
        <v>#VALUE!</v>
      </c>
      <c r="IG132">
        <f>IF('Planilla_General_03-12-2012_9_3'!2112:2112,"AAAAADrPf/A=",0)</f>
        <v>0</v>
      </c>
      <c r="IH132" t="e">
        <f>AND('Planilla_General_03-12-2012_9_3'!A2112,"AAAAADrPf/E=")</f>
        <v>#VALUE!</v>
      </c>
      <c r="II132" t="e">
        <f>AND('Planilla_General_03-12-2012_9_3'!B2112,"AAAAADrPf/I=")</f>
        <v>#VALUE!</v>
      </c>
      <c r="IJ132" t="e">
        <f>AND('Planilla_General_03-12-2012_9_3'!C2112,"AAAAADrPf/M=")</f>
        <v>#VALUE!</v>
      </c>
      <c r="IK132" t="e">
        <f>AND('Planilla_General_03-12-2012_9_3'!D2112,"AAAAADrPf/Q=")</f>
        <v>#VALUE!</v>
      </c>
      <c r="IL132" t="e">
        <f>AND('Planilla_General_03-12-2012_9_3'!E2112,"AAAAADrPf/U=")</f>
        <v>#VALUE!</v>
      </c>
      <c r="IM132" t="e">
        <f>AND('Planilla_General_03-12-2012_9_3'!F2112,"AAAAADrPf/Y=")</f>
        <v>#VALUE!</v>
      </c>
      <c r="IN132" t="e">
        <f>AND('Planilla_General_03-12-2012_9_3'!G2112,"AAAAADrPf/c=")</f>
        <v>#VALUE!</v>
      </c>
      <c r="IO132" t="e">
        <f>AND('Planilla_General_03-12-2012_9_3'!H2112,"AAAAADrPf/g=")</f>
        <v>#VALUE!</v>
      </c>
      <c r="IP132" t="e">
        <f>AND('Planilla_General_03-12-2012_9_3'!I2112,"AAAAADrPf/k=")</f>
        <v>#VALUE!</v>
      </c>
      <c r="IQ132" t="e">
        <f>AND('Planilla_General_03-12-2012_9_3'!J2112,"AAAAADrPf/o=")</f>
        <v>#VALUE!</v>
      </c>
      <c r="IR132" t="e">
        <f>AND('Planilla_General_03-12-2012_9_3'!K2112,"AAAAADrPf/s=")</f>
        <v>#VALUE!</v>
      </c>
      <c r="IS132" t="e">
        <f>AND('Planilla_General_03-12-2012_9_3'!L2112,"AAAAADrPf/w=")</f>
        <v>#VALUE!</v>
      </c>
      <c r="IT132" t="e">
        <f>AND('Planilla_General_03-12-2012_9_3'!M2112,"AAAAADrPf/0=")</f>
        <v>#VALUE!</v>
      </c>
      <c r="IU132" t="e">
        <f>AND('Planilla_General_03-12-2012_9_3'!N2112,"AAAAADrPf/4=")</f>
        <v>#VALUE!</v>
      </c>
      <c r="IV132" t="e">
        <f>AND('Planilla_General_03-12-2012_9_3'!O2112,"AAAAADrPf/8=")</f>
        <v>#VALUE!</v>
      </c>
    </row>
    <row r="133" spans="1:256" x14ac:dyDescent="0.25">
      <c r="A133" t="e">
        <f>IF('Planilla_General_03-12-2012_9_3'!2113:2113,"AAAAAF9P9wA=",0)</f>
        <v>#VALUE!</v>
      </c>
      <c r="B133" t="e">
        <f>AND('Planilla_General_03-12-2012_9_3'!A2113,"AAAAAF9P9wE=")</f>
        <v>#VALUE!</v>
      </c>
      <c r="C133" t="e">
        <f>AND('Planilla_General_03-12-2012_9_3'!B2113,"AAAAAF9P9wI=")</f>
        <v>#VALUE!</v>
      </c>
      <c r="D133" t="e">
        <f>AND('Planilla_General_03-12-2012_9_3'!C2113,"AAAAAF9P9wM=")</f>
        <v>#VALUE!</v>
      </c>
      <c r="E133" t="e">
        <f>AND('Planilla_General_03-12-2012_9_3'!D2113,"AAAAAF9P9wQ=")</f>
        <v>#VALUE!</v>
      </c>
      <c r="F133" t="e">
        <f>AND('Planilla_General_03-12-2012_9_3'!E2113,"AAAAAF9P9wU=")</f>
        <v>#VALUE!</v>
      </c>
      <c r="G133" t="e">
        <f>AND('Planilla_General_03-12-2012_9_3'!F2113,"AAAAAF9P9wY=")</f>
        <v>#VALUE!</v>
      </c>
      <c r="H133" t="e">
        <f>AND('Planilla_General_03-12-2012_9_3'!G2113,"AAAAAF9P9wc=")</f>
        <v>#VALUE!</v>
      </c>
      <c r="I133" t="e">
        <f>AND('Planilla_General_03-12-2012_9_3'!H2113,"AAAAAF9P9wg=")</f>
        <v>#VALUE!</v>
      </c>
      <c r="J133" t="e">
        <f>AND('Planilla_General_03-12-2012_9_3'!I2113,"AAAAAF9P9wk=")</f>
        <v>#VALUE!</v>
      </c>
      <c r="K133" t="e">
        <f>AND('Planilla_General_03-12-2012_9_3'!J2113,"AAAAAF9P9wo=")</f>
        <v>#VALUE!</v>
      </c>
      <c r="L133" t="e">
        <f>AND('Planilla_General_03-12-2012_9_3'!K2113,"AAAAAF9P9ws=")</f>
        <v>#VALUE!</v>
      </c>
      <c r="M133" t="e">
        <f>AND('Planilla_General_03-12-2012_9_3'!L2113,"AAAAAF9P9ww=")</f>
        <v>#VALUE!</v>
      </c>
      <c r="N133" t="e">
        <f>AND('Planilla_General_03-12-2012_9_3'!M2113,"AAAAAF9P9w0=")</f>
        <v>#VALUE!</v>
      </c>
      <c r="O133" t="e">
        <f>AND('Planilla_General_03-12-2012_9_3'!N2113,"AAAAAF9P9w4=")</f>
        <v>#VALUE!</v>
      </c>
      <c r="P133" t="e">
        <f>AND('Planilla_General_03-12-2012_9_3'!O2113,"AAAAAF9P9w8=")</f>
        <v>#VALUE!</v>
      </c>
      <c r="Q133">
        <f>IF('Planilla_General_03-12-2012_9_3'!2114:2114,"AAAAAF9P9xA=",0)</f>
        <v>0</v>
      </c>
      <c r="R133" t="e">
        <f>AND('Planilla_General_03-12-2012_9_3'!A2114,"AAAAAF9P9xE=")</f>
        <v>#VALUE!</v>
      </c>
      <c r="S133" t="e">
        <f>AND('Planilla_General_03-12-2012_9_3'!B2114,"AAAAAF9P9xI=")</f>
        <v>#VALUE!</v>
      </c>
      <c r="T133" t="e">
        <f>AND('Planilla_General_03-12-2012_9_3'!C2114,"AAAAAF9P9xM=")</f>
        <v>#VALUE!</v>
      </c>
      <c r="U133" t="e">
        <f>AND('Planilla_General_03-12-2012_9_3'!D2114,"AAAAAF9P9xQ=")</f>
        <v>#VALUE!</v>
      </c>
      <c r="V133" t="e">
        <f>AND('Planilla_General_03-12-2012_9_3'!E2114,"AAAAAF9P9xU=")</f>
        <v>#VALUE!</v>
      </c>
      <c r="W133" t="e">
        <f>AND('Planilla_General_03-12-2012_9_3'!F2114,"AAAAAF9P9xY=")</f>
        <v>#VALUE!</v>
      </c>
      <c r="X133" t="e">
        <f>AND('Planilla_General_03-12-2012_9_3'!G2114,"AAAAAF9P9xc=")</f>
        <v>#VALUE!</v>
      </c>
      <c r="Y133" t="e">
        <f>AND('Planilla_General_03-12-2012_9_3'!H2114,"AAAAAF9P9xg=")</f>
        <v>#VALUE!</v>
      </c>
      <c r="Z133" t="e">
        <f>AND('Planilla_General_03-12-2012_9_3'!I2114,"AAAAAF9P9xk=")</f>
        <v>#VALUE!</v>
      </c>
      <c r="AA133" t="e">
        <f>AND('Planilla_General_03-12-2012_9_3'!J2114,"AAAAAF9P9xo=")</f>
        <v>#VALUE!</v>
      </c>
      <c r="AB133" t="e">
        <f>AND('Planilla_General_03-12-2012_9_3'!K2114,"AAAAAF9P9xs=")</f>
        <v>#VALUE!</v>
      </c>
      <c r="AC133" t="e">
        <f>AND('Planilla_General_03-12-2012_9_3'!L2114,"AAAAAF9P9xw=")</f>
        <v>#VALUE!</v>
      </c>
      <c r="AD133" t="e">
        <f>AND('Planilla_General_03-12-2012_9_3'!M2114,"AAAAAF9P9x0=")</f>
        <v>#VALUE!</v>
      </c>
      <c r="AE133" t="e">
        <f>AND('Planilla_General_03-12-2012_9_3'!N2114,"AAAAAF9P9x4=")</f>
        <v>#VALUE!</v>
      </c>
      <c r="AF133" t="e">
        <f>AND('Planilla_General_03-12-2012_9_3'!O2114,"AAAAAF9P9x8=")</f>
        <v>#VALUE!</v>
      </c>
      <c r="AG133">
        <f>IF('Planilla_General_03-12-2012_9_3'!2115:2115,"AAAAAF9P9yA=",0)</f>
        <v>0</v>
      </c>
      <c r="AH133" t="e">
        <f>AND('Planilla_General_03-12-2012_9_3'!A2115,"AAAAAF9P9yE=")</f>
        <v>#VALUE!</v>
      </c>
      <c r="AI133" t="e">
        <f>AND('Planilla_General_03-12-2012_9_3'!B2115,"AAAAAF9P9yI=")</f>
        <v>#VALUE!</v>
      </c>
      <c r="AJ133" t="e">
        <f>AND('Planilla_General_03-12-2012_9_3'!C2115,"AAAAAF9P9yM=")</f>
        <v>#VALUE!</v>
      </c>
      <c r="AK133" t="e">
        <f>AND('Planilla_General_03-12-2012_9_3'!D2115,"AAAAAF9P9yQ=")</f>
        <v>#VALUE!</v>
      </c>
      <c r="AL133" t="e">
        <f>AND('Planilla_General_03-12-2012_9_3'!E2115,"AAAAAF9P9yU=")</f>
        <v>#VALUE!</v>
      </c>
      <c r="AM133" t="e">
        <f>AND('Planilla_General_03-12-2012_9_3'!F2115,"AAAAAF9P9yY=")</f>
        <v>#VALUE!</v>
      </c>
      <c r="AN133" t="e">
        <f>AND('Planilla_General_03-12-2012_9_3'!G2115,"AAAAAF9P9yc=")</f>
        <v>#VALUE!</v>
      </c>
      <c r="AO133" t="e">
        <f>AND('Planilla_General_03-12-2012_9_3'!H2115,"AAAAAF9P9yg=")</f>
        <v>#VALUE!</v>
      </c>
      <c r="AP133" t="e">
        <f>AND('Planilla_General_03-12-2012_9_3'!I2115,"AAAAAF9P9yk=")</f>
        <v>#VALUE!</v>
      </c>
      <c r="AQ133" t="e">
        <f>AND('Planilla_General_03-12-2012_9_3'!J2115,"AAAAAF9P9yo=")</f>
        <v>#VALUE!</v>
      </c>
      <c r="AR133" t="e">
        <f>AND('Planilla_General_03-12-2012_9_3'!K2115,"AAAAAF9P9ys=")</f>
        <v>#VALUE!</v>
      </c>
      <c r="AS133" t="e">
        <f>AND('Planilla_General_03-12-2012_9_3'!L2115,"AAAAAF9P9yw=")</f>
        <v>#VALUE!</v>
      </c>
      <c r="AT133" t="e">
        <f>AND('Planilla_General_03-12-2012_9_3'!M2115,"AAAAAF9P9y0=")</f>
        <v>#VALUE!</v>
      </c>
      <c r="AU133" t="e">
        <f>AND('Planilla_General_03-12-2012_9_3'!N2115,"AAAAAF9P9y4=")</f>
        <v>#VALUE!</v>
      </c>
      <c r="AV133" t="e">
        <f>AND('Planilla_General_03-12-2012_9_3'!O2115,"AAAAAF9P9y8=")</f>
        <v>#VALUE!</v>
      </c>
      <c r="AW133">
        <f>IF('Planilla_General_03-12-2012_9_3'!2116:2116,"AAAAAF9P9zA=",0)</f>
        <v>0</v>
      </c>
      <c r="AX133" t="e">
        <f>AND('Planilla_General_03-12-2012_9_3'!A2116,"AAAAAF9P9zE=")</f>
        <v>#VALUE!</v>
      </c>
      <c r="AY133" t="e">
        <f>AND('Planilla_General_03-12-2012_9_3'!B2116,"AAAAAF9P9zI=")</f>
        <v>#VALUE!</v>
      </c>
      <c r="AZ133" t="e">
        <f>AND('Planilla_General_03-12-2012_9_3'!C2116,"AAAAAF9P9zM=")</f>
        <v>#VALUE!</v>
      </c>
      <c r="BA133" t="e">
        <f>AND('Planilla_General_03-12-2012_9_3'!D2116,"AAAAAF9P9zQ=")</f>
        <v>#VALUE!</v>
      </c>
      <c r="BB133" t="e">
        <f>AND('Planilla_General_03-12-2012_9_3'!E2116,"AAAAAF9P9zU=")</f>
        <v>#VALUE!</v>
      </c>
      <c r="BC133" t="e">
        <f>AND('Planilla_General_03-12-2012_9_3'!F2116,"AAAAAF9P9zY=")</f>
        <v>#VALUE!</v>
      </c>
      <c r="BD133" t="e">
        <f>AND('Planilla_General_03-12-2012_9_3'!G2116,"AAAAAF9P9zc=")</f>
        <v>#VALUE!</v>
      </c>
      <c r="BE133" t="e">
        <f>AND('Planilla_General_03-12-2012_9_3'!H2116,"AAAAAF9P9zg=")</f>
        <v>#VALUE!</v>
      </c>
      <c r="BF133" t="e">
        <f>AND('Planilla_General_03-12-2012_9_3'!I2116,"AAAAAF9P9zk=")</f>
        <v>#VALUE!</v>
      </c>
      <c r="BG133" t="e">
        <f>AND('Planilla_General_03-12-2012_9_3'!J2116,"AAAAAF9P9zo=")</f>
        <v>#VALUE!</v>
      </c>
      <c r="BH133" t="e">
        <f>AND('Planilla_General_03-12-2012_9_3'!K2116,"AAAAAF9P9zs=")</f>
        <v>#VALUE!</v>
      </c>
      <c r="BI133" t="e">
        <f>AND('Planilla_General_03-12-2012_9_3'!L2116,"AAAAAF9P9zw=")</f>
        <v>#VALUE!</v>
      </c>
      <c r="BJ133" t="e">
        <f>AND('Planilla_General_03-12-2012_9_3'!M2116,"AAAAAF9P9z0=")</f>
        <v>#VALUE!</v>
      </c>
      <c r="BK133" t="e">
        <f>AND('Planilla_General_03-12-2012_9_3'!N2116,"AAAAAF9P9z4=")</f>
        <v>#VALUE!</v>
      </c>
      <c r="BL133" t="e">
        <f>AND('Planilla_General_03-12-2012_9_3'!O2116,"AAAAAF9P9z8=")</f>
        <v>#VALUE!</v>
      </c>
      <c r="BM133">
        <f>IF('Planilla_General_03-12-2012_9_3'!2117:2117,"AAAAAF9P90A=",0)</f>
        <v>0</v>
      </c>
      <c r="BN133" t="e">
        <f>AND('Planilla_General_03-12-2012_9_3'!A2117,"AAAAAF9P90E=")</f>
        <v>#VALUE!</v>
      </c>
      <c r="BO133" t="e">
        <f>AND('Planilla_General_03-12-2012_9_3'!B2117,"AAAAAF9P90I=")</f>
        <v>#VALUE!</v>
      </c>
      <c r="BP133" t="e">
        <f>AND('Planilla_General_03-12-2012_9_3'!C2117,"AAAAAF9P90M=")</f>
        <v>#VALUE!</v>
      </c>
      <c r="BQ133" t="e">
        <f>AND('Planilla_General_03-12-2012_9_3'!D2117,"AAAAAF9P90Q=")</f>
        <v>#VALUE!</v>
      </c>
      <c r="BR133" t="e">
        <f>AND('Planilla_General_03-12-2012_9_3'!E2117,"AAAAAF9P90U=")</f>
        <v>#VALUE!</v>
      </c>
      <c r="BS133" t="e">
        <f>AND('Planilla_General_03-12-2012_9_3'!F2117,"AAAAAF9P90Y=")</f>
        <v>#VALUE!</v>
      </c>
      <c r="BT133" t="e">
        <f>AND('Planilla_General_03-12-2012_9_3'!G2117,"AAAAAF9P90c=")</f>
        <v>#VALUE!</v>
      </c>
      <c r="BU133" t="e">
        <f>AND('Planilla_General_03-12-2012_9_3'!H2117,"AAAAAF9P90g=")</f>
        <v>#VALUE!</v>
      </c>
      <c r="BV133" t="e">
        <f>AND('Planilla_General_03-12-2012_9_3'!I2117,"AAAAAF9P90k=")</f>
        <v>#VALUE!</v>
      </c>
      <c r="BW133" t="e">
        <f>AND('Planilla_General_03-12-2012_9_3'!J2117,"AAAAAF9P90o=")</f>
        <v>#VALUE!</v>
      </c>
      <c r="BX133" t="e">
        <f>AND('Planilla_General_03-12-2012_9_3'!K2117,"AAAAAF9P90s=")</f>
        <v>#VALUE!</v>
      </c>
      <c r="BY133" t="e">
        <f>AND('Planilla_General_03-12-2012_9_3'!L2117,"AAAAAF9P90w=")</f>
        <v>#VALUE!</v>
      </c>
      <c r="BZ133" t="e">
        <f>AND('Planilla_General_03-12-2012_9_3'!M2117,"AAAAAF9P900=")</f>
        <v>#VALUE!</v>
      </c>
      <c r="CA133" t="e">
        <f>AND('Planilla_General_03-12-2012_9_3'!N2117,"AAAAAF9P904=")</f>
        <v>#VALUE!</v>
      </c>
      <c r="CB133" t="e">
        <f>AND('Planilla_General_03-12-2012_9_3'!O2117,"AAAAAF9P908=")</f>
        <v>#VALUE!</v>
      </c>
      <c r="CC133">
        <f>IF('Planilla_General_03-12-2012_9_3'!2118:2118,"AAAAAF9P91A=",0)</f>
        <v>0</v>
      </c>
      <c r="CD133" t="e">
        <f>AND('Planilla_General_03-12-2012_9_3'!A2118,"AAAAAF9P91E=")</f>
        <v>#VALUE!</v>
      </c>
      <c r="CE133" t="e">
        <f>AND('Planilla_General_03-12-2012_9_3'!B2118,"AAAAAF9P91I=")</f>
        <v>#VALUE!</v>
      </c>
      <c r="CF133" t="e">
        <f>AND('Planilla_General_03-12-2012_9_3'!C2118,"AAAAAF9P91M=")</f>
        <v>#VALUE!</v>
      </c>
      <c r="CG133" t="e">
        <f>AND('Planilla_General_03-12-2012_9_3'!D2118,"AAAAAF9P91Q=")</f>
        <v>#VALUE!</v>
      </c>
      <c r="CH133" t="e">
        <f>AND('Planilla_General_03-12-2012_9_3'!E2118,"AAAAAF9P91U=")</f>
        <v>#VALUE!</v>
      </c>
      <c r="CI133" t="e">
        <f>AND('Planilla_General_03-12-2012_9_3'!F2118,"AAAAAF9P91Y=")</f>
        <v>#VALUE!</v>
      </c>
      <c r="CJ133" t="e">
        <f>AND('Planilla_General_03-12-2012_9_3'!G2118,"AAAAAF9P91c=")</f>
        <v>#VALUE!</v>
      </c>
      <c r="CK133" t="e">
        <f>AND('Planilla_General_03-12-2012_9_3'!H2118,"AAAAAF9P91g=")</f>
        <v>#VALUE!</v>
      </c>
      <c r="CL133" t="e">
        <f>AND('Planilla_General_03-12-2012_9_3'!I2118,"AAAAAF9P91k=")</f>
        <v>#VALUE!</v>
      </c>
      <c r="CM133" t="e">
        <f>AND('Planilla_General_03-12-2012_9_3'!J2118,"AAAAAF9P91o=")</f>
        <v>#VALUE!</v>
      </c>
      <c r="CN133" t="e">
        <f>AND('Planilla_General_03-12-2012_9_3'!K2118,"AAAAAF9P91s=")</f>
        <v>#VALUE!</v>
      </c>
      <c r="CO133" t="e">
        <f>AND('Planilla_General_03-12-2012_9_3'!L2118,"AAAAAF9P91w=")</f>
        <v>#VALUE!</v>
      </c>
      <c r="CP133" t="e">
        <f>AND('Planilla_General_03-12-2012_9_3'!M2118,"AAAAAF9P910=")</f>
        <v>#VALUE!</v>
      </c>
      <c r="CQ133" t="e">
        <f>AND('Planilla_General_03-12-2012_9_3'!N2118,"AAAAAF9P914=")</f>
        <v>#VALUE!</v>
      </c>
      <c r="CR133" t="e">
        <f>AND('Planilla_General_03-12-2012_9_3'!O2118,"AAAAAF9P918=")</f>
        <v>#VALUE!</v>
      </c>
      <c r="CS133">
        <f>IF('Planilla_General_03-12-2012_9_3'!2119:2119,"AAAAAF9P92A=",0)</f>
        <v>0</v>
      </c>
      <c r="CT133" t="e">
        <f>AND('Planilla_General_03-12-2012_9_3'!A2119,"AAAAAF9P92E=")</f>
        <v>#VALUE!</v>
      </c>
      <c r="CU133" t="e">
        <f>AND('Planilla_General_03-12-2012_9_3'!B2119,"AAAAAF9P92I=")</f>
        <v>#VALUE!</v>
      </c>
      <c r="CV133" t="e">
        <f>AND('Planilla_General_03-12-2012_9_3'!C2119,"AAAAAF9P92M=")</f>
        <v>#VALUE!</v>
      </c>
      <c r="CW133" t="e">
        <f>AND('Planilla_General_03-12-2012_9_3'!D2119,"AAAAAF9P92Q=")</f>
        <v>#VALUE!</v>
      </c>
      <c r="CX133" t="e">
        <f>AND('Planilla_General_03-12-2012_9_3'!E2119,"AAAAAF9P92U=")</f>
        <v>#VALUE!</v>
      </c>
      <c r="CY133" t="e">
        <f>AND('Planilla_General_03-12-2012_9_3'!F2119,"AAAAAF9P92Y=")</f>
        <v>#VALUE!</v>
      </c>
      <c r="CZ133" t="e">
        <f>AND('Planilla_General_03-12-2012_9_3'!G2119,"AAAAAF9P92c=")</f>
        <v>#VALUE!</v>
      </c>
      <c r="DA133" t="e">
        <f>AND('Planilla_General_03-12-2012_9_3'!H2119,"AAAAAF9P92g=")</f>
        <v>#VALUE!</v>
      </c>
      <c r="DB133" t="e">
        <f>AND('Planilla_General_03-12-2012_9_3'!I2119,"AAAAAF9P92k=")</f>
        <v>#VALUE!</v>
      </c>
      <c r="DC133" t="e">
        <f>AND('Planilla_General_03-12-2012_9_3'!J2119,"AAAAAF9P92o=")</f>
        <v>#VALUE!</v>
      </c>
      <c r="DD133" t="e">
        <f>AND('Planilla_General_03-12-2012_9_3'!K2119,"AAAAAF9P92s=")</f>
        <v>#VALUE!</v>
      </c>
      <c r="DE133" t="e">
        <f>AND('Planilla_General_03-12-2012_9_3'!L2119,"AAAAAF9P92w=")</f>
        <v>#VALUE!</v>
      </c>
      <c r="DF133" t="e">
        <f>AND('Planilla_General_03-12-2012_9_3'!M2119,"AAAAAF9P920=")</f>
        <v>#VALUE!</v>
      </c>
      <c r="DG133" t="e">
        <f>AND('Planilla_General_03-12-2012_9_3'!N2119,"AAAAAF9P924=")</f>
        <v>#VALUE!</v>
      </c>
      <c r="DH133" t="e">
        <f>AND('Planilla_General_03-12-2012_9_3'!O2119,"AAAAAF9P928=")</f>
        <v>#VALUE!</v>
      </c>
      <c r="DI133">
        <f>IF('Planilla_General_03-12-2012_9_3'!2120:2120,"AAAAAF9P93A=",0)</f>
        <v>0</v>
      </c>
      <c r="DJ133" t="e">
        <f>AND('Planilla_General_03-12-2012_9_3'!A2120,"AAAAAF9P93E=")</f>
        <v>#VALUE!</v>
      </c>
      <c r="DK133" t="e">
        <f>AND('Planilla_General_03-12-2012_9_3'!B2120,"AAAAAF9P93I=")</f>
        <v>#VALUE!</v>
      </c>
      <c r="DL133" t="e">
        <f>AND('Planilla_General_03-12-2012_9_3'!C2120,"AAAAAF9P93M=")</f>
        <v>#VALUE!</v>
      </c>
      <c r="DM133" t="e">
        <f>AND('Planilla_General_03-12-2012_9_3'!D2120,"AAAAAF9P93Q=")</f>
        <v>#VALUE!</v>
      </c>
      <c r="DN133" t="e">
        <f>AND('Planilla_General_03-12-2012_9_3'!E2120,"AAAAAF9P93U=")</f>
        <v>#VALUE!</v>
      </c>
      <c r="DO133" t="e">
        <f>AND('Planilla_General_03-12-2012_9_3'!F2120,"AAAAAF9P93Y=")</f>
        <v>#VALUE!</v>
      </c>
      <c r="DP133" t="e">
        <f>AND('Planilla_General_03-12-2012_9_3'!G2120,"AAAAAF9P93c=")</f>
        <v>#VALUE!</v>
      </c>
      <c r="DQ133" t="e">
        <f>AND('Planilla_General_03-12-2012_9_3'!H2120,"AAAAAF9P93g=")</f>
        <v>#VALUE!</v>
      </c>
      <c r="DR133" t="e">
        <f>AND('Planilla_General_03-12-2012_9_3'!I2120,"AAAAAF9P93k=")</f>
        <v>#VALUE!</v>
      </c>
      <c r="DS133" t="e">
        <f>AND('Planilla_General_03-12-2012_9_3'!J2120,"AAAAAF9P93o=")</f>
        <v>#VALUE!</v>
      </c>
      <c r="DT133" t="e">
        <f>AND('Planilla_General_03-12-2012_9_3'!K2120,"AAAAAF9P93s=")</f>
        <v>#VALUE!</v>
      </c>
      <c r="DU133" t="e">
        <f>AND('Planilla_General_03-12-2012_9_3'!L2120,"AAAAAF9P93w=")</f>
        <v>#VALUE!</v>
      </c>
      <c r="DV133" t="e">
        <f>AND('Planilla_General_03-12-2012_9_3'!M2120,"AAAAAF9P930=")</f>
        <v>#VALUE!</v>
      </c>
      <c r="DW133" t="e">
        <f>AND('Planilla_General_03-12-2012_9_3'!N2120,"AAAAAF9P934=")</f>
        <v>#VALUE!</v>
      </c>
      <c r="DX133" t="e">
        <f>AND('Planilla_General_03-12-2012_9_3'!O2120,"AAAAAF9P938=")</f>
        <v>#VALUE!</v>
      </c>
      <c r="DY133">
        <f>IF('Planilla_General_03-12-2012_9_3'!2121:2121,"AAAAAF9P94A=",0)</f>
        <v>0</v>
      </c>
      <c r="DZ133" t="e">
        <f>AND('Planilla_General_03-12-2012_9_3'!A2121,"AAAAAF9P94E=")</f>
        <v>#VALUE!</v>
      </c>
      <c r="EA133" t="e">
        <f>AND('Planilla_General_03-12-2012_9_3'!B2121,"AAAAAF9P94I=")</f>
        <v>#VALUE!</v>
      </c>
      <c r="EB133" t="e">
        <f>AND('Planilla_General_03-12-2012_9_3'!C2121,"AAAAAF9P94M=")</f>
        <v>#VALUE!</v>
      </c>
      <c r="EC133" t="e">
        <f>AND('Planilla_General_03-12-2012_9_3'!D2121,"AAAAAF9P94Q=")</f>
        <v>#VALUE!</v>
      </c>
      <c r="ED133" t="e">
        <f>AND('Planilla_General_03-12-2012_9_3'!E2121,"AAAAAF9P94U=")</f>
        <v>#VALUE!</v>
      </c>
      <c r="EE133" t="e">
        <f>AND('Planilla_General_03-12-2012_9_3'!F2121,"AAAAAF9P94Y=")</f>
        <v>#VALUE!</v>
      </c>
      <c r="EF133" t="e">
        <f>AND('Planilla_General_03-12-2012_9_3'!G2121,"AAAAAF9P94c=")</f>
        <v>#VALUE!</v>
      </c>
      <c r="EG133" t="e">
        <f>AND('Planilla_General_03-12-2012_9_3'!H2121,"AAAAAF9P94g=")</f>
        <v>#VALUE!</v>
      </c>
      <c r="EH133" t="e">
        <f>AND('Planilla_General_03-12-2012_9_3'!I2121,"AAAAAF9P94k=")</f>
        <v>#VALUE!</v>
      </c>
      <c r="EI133" t="e">
        <f>AND('Planilla_General_03-12-2012_9_3'!J2121,"AAAAAF9P94o=")</f>
        <v>#VALUE!</v>
      </c>
      <c r="EJ133" t="e">
        <f>AND('Planilla_General_03-12-2012_9_3'!K2121,"AAAAAF9P94s=")</f>
        <v>#VALUE!</v>
      </c>
      <c r="EK133" t="e">
        <f>AND('Planilla_General_03-12-2012_9_3'!L2121,"AAAAAF9P94w=")</f>
        <v>#VALUE!</v>
      </c>
      <c r="EL133" t="e">
        <f>AND('Planilla_General_03-12-2012_9_3'!M2121,"AAAAAF9P940=")</f>
        <v>#VALUE!</v>
      </c>
      <c r="EM133" t="e">
        <f>AND('Planilla_General_03-12-2012_9_3'!N2121,"AAAAAF9P944=")</f>
        <v>#VALUE!</v>
      </c>
      <c r="EN133" t="e">
        <f>AND('Planilla_General_03-12-2012_9_3'!O2121,"AAAAAF9P948=")</f>
        <v>#VALUE!</v>
      </c>
      <c r="EO133">
        <f>IF('Planilla_General_03-12-2012_9_3'!2122:2122,"AAAAAF9P95A=",0)</f>
        <v>0</v>
      </c>
      <c r="EP133" t="e">
        <f>AND('Planilla_General_03-12-2012_9_3'!A2122,"AAAAAF9P95E=")</f>
        <v>#VALUE!</v>
      </c>
      <c r="EQ133" t="e">
        <f>AND('Planilla_General_03-12-2012_9_3'!B2122,"AAAAAF9P95I=")</f>
        <v>#VALUE!</v>
      </c>
      <c r="ER133" t="e">
        <f>AND('Planilla_General_03-12-2012_9_3'!C2122,"AAAAAF9P95M=")</f>
        <v>#VALUE!</v>
      </c>
      <c r="ES133" t="e">
        <f>AND('Planilla_General_03-12-2012_9_3'!D2122,"AAAAAF9P95Q=")</f>
        <v>#VALUE!</v>
      </c>
      <c r="ET133" t="e">
        <f>AND('Planilla_General_03-12-2012_9_3'!E2122,"AAAAAF9P95U=")</f>
        <v>#VALUE!</v>
      </c>
      <c r="EU133" t="e">
        <f>AND('Planilla_General_03-12-2012_9_3'!F2122,"AAAAAF9P95Y=")</f>
        <v>#VALUE!</v>
      </c>
      <c r="EV133" t="e">
        <f>AND('Planilla_General_03-12-2012_9_3'!G2122,"AAAAAF9P95c=")</f>
        <v>#VALUE!</v>
      </c>
      <c r="EW133" t="e">
        <f>AND('Planilla_General_03-12-2012_9_3'!H2122,"AAAAAF9P95g=")</f>
        <v>#VALUE!</v>
      </c>
      <c r="EX133" t="e">
        <f>AND('Planilla_General_03-12-2012_9_3'!I2122,"AAAAAF9P95k=")</f>
        <v>#VALUE!</v>
      </c>
      <c r="EY133" t="e">
        <f>AND('Planilla_General_03-12-2012_9_3'!J2122,"AAAAAF9P95o=")</f>
        <v>#VALUE!</v>
      </c>
      <c r="EZ133" t="e">
        <f>AND('Planilla_General_03-12-2012_9_3'!K2122,"AAAAAF9P95s=")</f>
        <v>#VALUE!</v>
      </c>
      <c r="FA133" t="e">
        <f>AND('Planilla_General_03-12-2012_9_3'!L2122,"AAAAAF9P95w=")</f>
        <v>#VALUE!</v>
      </c>
      <c r="FB133" t="e">
        <f>AND('Planilla_General_03-12-2012_9_3'!M2122,"AAAAAF9P950=")</f>
        <v>#VALUE!</v>
      </c>
      <c r="FC133" t="e">
        <f>AND('Planilla_General_03-12-2012_9_3'!N2122,"AAAAAF9P954=")</f>
        <v>#VALUE!</v>
      </c>
      <c r="FD133" t="e">
        <f>AND('Planilla_General_03-12-2012_9_3'!O2122,"AAAAAF9P958=")</f>
        <v>#VALUE!</v>
      </c>
      <c r="FE133">
        <f>IF('Planilla_General_03-12-2012_9_3'!2123:2123,"AAAAAF9P96A=",0)</f>
        <v>0</v>
      </c>
      <c r="FF133" t="e">
        <f>AND('Planilla_General_03-12-2012_9_3'!A2123,"AAAAAF9P96E=")</f>
        <v>#VALUE!</v>
      </c>
      <c r="FG133" t="e">
        <f>AND('Planilla_General_03-12-2012_9_3'!B2123,"AAAAAF9P96I=")</f>
        <v>#VALUE!</v>
      </c>
      <c r="FH133" t="e">
        <f>AND('Planilla_General_03-12-2012_9_3'!C2123,"AAAAAF9P96M=")</f>
        <v>#VALUE!</v>
      </c>
      <c r="FI133" t="e">
        <f>AND('Planilla_General_03-12-2012_9_3'!D2123,"AAAAAF9P96Q=")</f>
        <v>#VALUE!</v>
      </c>
      <c r="FJ133" t="e">
        <f>AND('Planilla_General_03-12-2012_9_3'!E2123,"AAAAAF9P96U=")</f>
        <v>#VALUE!</v>
      </c>
      <c r="FK133" t="e">
        <f>AND('Planilla_General_03-12-2012_9_3'!F2123,"AAAAAF9P96Y=")</f>
        <v>#VALUE!</v>
      </c>
      <c r="FL133" t="e">
        <f>AND('Planilla_General_03-12-2012_9_3'!G2123,"AAAAAF9P96c=")</f>
        <v>#VALUE!</v>
      </c>
      <c r="FM133" t="e">
        <f>AND('Planilla_General_03-12-2012_9_3'!H2123,"AAAAAF9P96g=")</f>
        <v>#VALUE!</v>
      </c>
      <c r="FN133" t="e">
        <f>AND('Planilla_General_03-12-2012_9_3'!I2123,"AAAAAF9P96k=")</f>
        <v>#VALUE!</v>
      </c>
      <c r="FO133" t="e">
        <f>AND('Planilla_General_03-12-2012_9_3'!J2123,"AAAAAF9P96o=")</f>
        <v>#VALUE!</v>
      </c>
      <c r="FP133" t="e">
        <f>AND('Planilla_General_03-12-2012_9_3'!K2123,"AAAAAF9P96s=")</f>
        <v>#VALUE!</v>
      </c>
      <c r="FQ133" t="e">
        <f>AND('Planilla_General_03-12-2012_9_3'!L2123,"AAAAAF9P96w=")</f>
        <v>#VALUE!</v>
      </c>
      <c r="FR133" t="e">
        <f>AND('Planilla_General_03-12-2012_9_3'!M2123,"AAAAAF9P960=")</f>
        <v>#VALUE!</v>
      </c>
      <c r="FS133" t="e">
        <f>AND('Planilla_General_03-12-2012_9_3'!N2123,"AAAAAF9P964=")</f>
        <v>#VALUE!</v>
      </c>
      <c r="FT133" t="e">
        <f>AND('Planilla_General_03-12-2012_9_3'!O2123,"AAAAAF9P968=")</f>
        <v>#VALUE!</v>
      </c>
      <c r="FU133">
        <f>IF('Planilla_General_03-12-2012_9_3'!2124:2124,"AAAAAF9P97A=",0)</f>
        <v>0</v>
      </c>
      <c r="FV133" t="e">
        <f>AND('Planilla_General_03-12-2012_9_3'!A2124,"AAAAAF9P97E=")</f>
        <v>#VALUE!</v>
      </c>
      <c r="FW133" t="e">
        <f>AND('Planilla_General_03-12-2012_9_3'!B2124,"AAAAAF9P97I=")</f>
        <v>#VALUE!</v>
      </c>
      <c r="FX133" t="e">
        <f>AND('Planilla_General_03-12-2012_9_3'!C2124,"AAAAAF9P97M=")</f>
        <v>#VALUE!</v>
      </c>
      <c r="FY133" t="e">
        <f>AND('Planilla_General_03-12-2012_9_3'!D2124,"AAAAAF9P97Q=")</f>
        <v>#VALUE!</v>
      </c>
      <c r="FZ133" t="e">
        <f>AND('Planilla_General_03-12-2012_9_3'!E2124,"AAAAAF9P97U=")</f>
        <v>#VALUE!</v>
      </c>
      <c r="GA133" t="e">
        <f>AND('Planilla_General_03-12-2012_9_3'!F2124,"AAAAAF9P97Y=")</f>
        <v>#VALUE!</v>
      </c>
      <c r="GB133" t="e">
        <f>AND('Planilla_General_03-12-2012_9_3'!G2124,"AAAAAF9P97c=")</f>
        <v>#VALUE!</v>
      </c>
      <c r="GC133" t="e">
        <f>AND('Planilla_General_03-12-2012_9_3'!H2124,"AAAAAF9P97g=")</f>
        <v>#VALUE!</v>
      </c>
      <c r="GD133" t="e">
        <f>AND('Planilla_General_03-12-2012_9_3'!I2124,"AAAAAF9P97k=")</f>
        <v>#VALUE!</v>
      </c>
      <c r="GE133" t="e">
        <f>AND('Planilla_General_03-12-2012_9_3'!J2124,"AAAAAF9P97o=")</f>
        <v>#VALUE!</v>
      </c>
      <c r="GF133" t="e">
        <f>AND('Planilla_General_03-12-2012_9_3'!K2124,"AAAAAF9P97s=")</f>
        <v>#VALUE!</v>
      </c>
      <c r="GG133" t="e">
        <f>AND('Planilla_General_03-12-2012_9_3'!L2124,"AAAAAF9P97w=")</f>
        <v>#VALUE!</v>
      </c>
      <c r="GH133" t="e">
        <f>AND('Planilla_General_03-12-2012_9_3'!M2124,"AAAAAF9P970=")</f>
        <v>#VALUE!</v>
      </c>
      <c r="GI133" t="e">
        <f>AND('Planilla_General_03-12-2012_9_3'!N2124,"AAAAAF9P974=")</f>
        <v>#VALUE!</v>
      </c>
      <c r="GJ133" t="e">
        <f>AND('Planilla_General_03-12-2012_9_3'!O2124,"AAAAAF9P978=")</f>
        <v>#VALUE!</v>
      </c>
      <c r="GK133">
        <f>IF('Planilla_General_03-12-2012_9_3'!2125:2125,"AAAAAF9P98A=",0)</f>
        <v>0</v>
      </c>
      <c r="GL133" t="e">
        <f>AND('Planilla_General_03-12-2012_9_3'!A2125,"AAAAAF9P98E=")</f>
        <v>#VALUE!</v>
      </c>
      <c r="GM133" t="e">
        <f>AND('Planilla_General_03-12-2012_9_3'!B2125,"AAAAAF9P98I=")</f>
        <v>#VALUE!</v>
      </c>
      <c r="GN133" t="e">
        <f>AND('Planilla_General_03-12-2012_9_3'!C2125,"AAAAAF9P98M=")</f>
        <v>#VALUE!</v>
      </c>
      <c r="GO133" t="e">
        <f>AND('Planilla_General_03-12-2012_9_3'!D2125,"AAAAAF9P98Q=")</f>
        <v>#VALUE!</v>
      </c>
      <c r="GP133" t="e">
        <f>AND('Planilla_General_03-12-2012_9_3'!E2125,"AAAAAF9P98U=")</f>
        <v>#VALUE!</v>
      </c>
      <c r="GQ133" t="e">
        <f>AND('Planilla_General_03-12-2012_9_3'!F2125,"AAAAAF9P98Y=")</f>
        <v>#VALUE!</v>
      </c>
      <c r="GR133" t="e">
        <f>AND('Planilla_General_03-12-2012_9_3'!G2125,"AAAAAF9P98c=")</f>
        <v>#VALUE!</v>
      </c>
      <c r="GS133" t="e">
        <f>AND('Planilla_General_03-12-2012_9_3'!H2125,"AAAAAF9P98g=")</f>
        <v>#VALUE!</v>
      </c>
      <c r="GT133" t="e">
        <f>AND('Planilla_General_03-12-2012_9_3'!I2125,"AAAAAF9P98k=")</f>
        <v>#VALUE!</v>
      </c>
      <c r="GU133" t="e">
        <f>AND('Planilla_General_03-12-2012_9_3'!J2125,"AAAAAF9P98o=")</f>
        <v>#VALUE!</v>
      </c>
      <c r="GV133" t="e">
        <f>AND('Planilla_General_03-12-2012_9_3'!K2125,"AAAAAF9P98s=")</f>
        <v>#VALUE!</v>
      </c>
      <c r="GW133" t="e">
        <f>AND('Planilla_General_03-12-2012_9_3'!L2125,"AAAAAF9P98w=")</f>
        <v>#VALUE!</v>
      </c>
      <c r="GX133" t="e">
        <f>AND('Planilla_General_03-12-2012_9_3'!M2125,"AAAAAF9P980=")</f>
        <v>#VALUE!</v>
      </c>
      <c r="GY133" t="e">
        <f>AND('Planilla_General_03-12-2012_9_3'!N2125,"AAAAAF9P984=")</f>
        <v>#VALUE!</v>
      </c>
      <c r="GZ133" t="e">
        <f>AND('Planilla_General_03-12-2012_9_3'!O2125,"AAAAAF9P988=")</f>
        <v>#VALUE!</v>
      </c>
      <c r="HA133">
        <f>IF('Planilla_General_03-12-2012_9_3'!2126:2126,"AAAAAF9P99A=",0)</f>
        <v>0</v>
      </c>
      <c r="HB133" t="e">
        <f>AND('Planilla_General_03-12-2012_9_3'!A2126,"AAAAAF9P99E=")</f>
        <v>#VALUE!</v>
      </c>
      <c r="HC133" t="e">
        <f>AND('Planilla_General_03-12-2012_9_3'!B2126,"AAAAAF9P99I=")</f>
        <v>#VALUE!</v>
      </c>
      <c r="HD133" t="e">
        <f>AND('Planilla_General_03-12-2012_9_3'!C2126,"AAAAAF9P99M=")</f>
        <v>#VALUE!</v>
      </c>
      <c r="HE133" t="e">
        <f>AND('Planilla_General_03-12-2012_9_3'!D2126,"AAAAAF9P99Q=")</f>
        <v>#VALUE!</v>
      </c>
      <c r="HF133" t="e">
        <f>AND('Planilla_General_03-12-2012_9_3'!E2126,"AAAAAF9P99U=")</f>
        <v>#VALUE!</v>
      </c>
      <c r="HG133" t="e">
        <f>AND('Planilla_General_03-12-2012_9_3'!F2126,"AAAAAF9P99Y=")</f>
        <v>#VALUE!</v>
      </c>
      <c r="HH133" t="e">
        <f>AND('Planilla_General_03-12-2012_9_3'!G2126,"AAAAAF9P99c=")</f>
        <v>#VALUE!</v>
      </c>
      <c r="HI133" t="e">
        <f>AND('Planilla_General_03-12-2012_9_3'!H2126,"AAAAAF9P99g=")</f>
        <v>#VALUE!</v>
      </c>
      <c r="HJ133" t="e">
        <f>AND('Planilla_General_03-12-2012_9_3'!I2126,"AAAAAF9P99k=")</f>
        <v>#VALUE!</v>
      </c>
      <c r="HK133" t="e">
        <f>AND('Planilla_General_03-12-2012_9_3'!J2126,"AAAAAF9P99o=")</f>
        <v>#VALUE!</v>
      </c>
      <c r="HL133" t="e">
        <f>AND('Planilla_General_03-12-2012_9_3'!K2126,"AAAAAF9P99s=")</f>
        <v>#VALUE!</v>
      </c>
      <c r="HM133" t="e">
        <f>AND('Planilla_General_03-12-2012_9_3'!L2126,"AAAAAF9P99w=")</f>
        <v>#VALUE!</v>
      </c>
      <c r="HN133" t="e">
        <f>AND('Planilla_General_03-12-2012_9_3'!M2126,"AAAAAF9P990=")</f>
        <v>#VALUE!</v>
      </c>
      <c r="HO133" t="e">
        <f>AND('Planilla_General_03-12-2012_9_3'!N2126,"AAAAAF9P994=")</f>
        <v>#VALUE!</v>
      </c>
      <c r="HP133" t="e">
        <f>AND('Planilla_General_03-12-2012_9_3'!O2126,"AAAAAF9P998=")</f>
        <v>#VALUE!</v>
      </c>
      <c r="HQ133">
        <f>IF('Planilla_General_03-12-2012_9_3'!2127:2127,"AAAAAF9P9+A=",0)</f>
        <v>0</v>
      </c>
      <c r="HR133" t="e">
        <f>AND('Planilla_General_03-12-2012_9_3'!A2127,"AAAAAF9P9+E=")</f>
        <v>#VALUE!</v>
      </c>
      <c r="HS133" t="e">
        <f>AND('Planilla_General_03-12-2012_9_3'!B2127,"AAAAAF9P9+I=")</f>
        <v>#VALUE!</v>
      </c>
      <c r="HT133" t="e">
        <f>AND('Planilla_General_03-12-2012_9_3'!C2127,"AAAAAF9P9+M=")</f>
        <v>#VALUE!</v>
      </c>
      <c r="HU133" t="e">
        <f>AND('Planilla_General_03-12-2012_9_3'!D2127,"AAAAAF9P9+Q=")</f>
        <v>#VALUE!</v>
      </c>
      <c r="HV133" t="e">
        <f>AND('Planilla_General_03-12-2012_9_3'!E2127,"AAAAAF9P9+U=")</f>
        <v>#VALUE!</v>
      </c>
      <c r="HW133" t="e">
        <f>AND('Planilla_General_03-12-2012_9_3'!F2127,"AAAAAF9P9+Y=")</f>
        <v>#VALUE!</v>
      </c>
      <c r="HX133" t="e">
        <f>AND('Planilla_General_03-12-2012_9_3'!G2127,"AAAAAF9P9+c=")</f>
        <v>#VALUE!</v>
      </c>
      <c r="HY133" t="e">
        <f>AND('Planilla_General_03-12-2012_9_3'!H2127,"AAAAAF9P9+g=")</f>
        <v>#VALUE!</v>
      </c>
      <c r="HZ133" t="e">
        <f>AND('Planilla_General_03-12-2012_9_3'!I2127,"AAAAAF9P9+k=")</f>
        <v>#VALUE!</v>
      </c>
      <c r="IA133" t="e">
        <f>AND('Planilla_General_03-12-2012_9_3'!J2127,"AAAAAF9P9+o=")</f>
        <v>#VALUE!</v>
      </c>
      <c r="IB133" t="e">
        <f>AND('Planilla_General_03-12-2012_9_3'!K2127,"AAAAAF9P9+s=")</f>
        <v>#VALUE!</v>
      </c>
      <c r="IC133" t="e">
        <f>AND('Planilla_General_03-12-2012_9_3'!L2127,"AAAAAF9P9+w=")</f>
        <v>#VALUE!</v>
      </c>
      <c r="ID133" t="e">
        <f>AND('Planilla_General_03-12-2012_9_3'!M2127,"AAAAAF9P9+0=")</f>
        <v>#VALUE!</v>
      </c>
      <c r="IE133" t="e">
        <f>AND('Planilla_General_03-12-2012_9_3'!N2127,"AAAAAF9P9+4=")</f>
        <v>#VALUE!</v>
      </c>
      <c r="IF133" t="e">
        <f>AND('Planilla_General_03-12-2012_9_3'!O2127,"AAAAAF9P9+8=")</f>
        <v>#VALUE!</v>
      </c>
      <c r="IG133">
        <f>IF('Planilla_General_03-12-2012_9_3'!2128:2128,"AAAAAF9P9/A=",0)</f>
        <v>0</v>
      </c>
      <c r="IH133" t="e">
        <f>AND('Planilla_General_03-12-2012_9_3'!A2128,"AAAAAF9P9/E=")</f>
        <v>#VALUE!</v>
      </c>
      <c r="II133" t="e">
        <f>AND('Planilla_General_03-12-2012_9_3'!B2128,"AAAAAF9P9/I=")</f>
        <v>#VALUE!</v>
      </c>
      <c r="IJ133" t="e">
        <f>AND('Planilla_General_03-12-2012_9_3'!C2128,"AAAAAF9P9/M=")</f>
        <v>#VALUE!</v>
      </c>
      <c r="IK133" t="e">
        <f>AND('Planilla_General_03-12-2012_9_3'!D2128,"AAAAAF9P9/Q=")</f>
        <v>#VALUE!</v>
      </c>
      <c r="IL133" t="e">
        <f>AND('Planilla_General_03-12-2012_9_3'!E2128,"AAAAAF9P9/U=")</f>
        <v>#VALUE!</v>
      </c>
      <c r="IM133" t="e">
        <f>AND('Planilla_General_03-12-2012_9_3'!F2128,"AAAAAF9P9/Y=")</f>
        <v>#VALUE!</v>
      </c>
      <c r="IN133" t="e">
        <f>AND('Planilla_General_03-12-2012_9_3'!G2128,"AAAAAF9P9/c=")</f>
        <v>#VALUE!</v>
      </c>
      <c r="IO133" t="e">
        <f>AND('Planilla_General_03-12-2012_9_3'!H2128,"AAAAAF9P9/g=")</f>
        <v>#VALUE!</v>
      </c>
      <c r="IP133" t="e">
        <f>AND('Planilla_General_03-12-2012_9_3'!I2128,"AAAAAF9P9/k=")</f>
        <v>#VALUE!</v>
      </c>
      <c r="IQ133" t="e">
        <f>AND('Planilla_General_03-12-2012_9_3'!J2128,"AAAAAF9P9/o=")</f>
        <v>#VALUE!</v>
      </c>
      <c r="IR133" t="e">
        <f>AND('Planilla_General_03-12-2012_9_3'!K2128,"AAAAAF9P9/s=")</f>
        <v>#VALUE!</v>
      </c>
      <c r="IS133" t="e">
        <f>AND('Planilla_General_03-12-2012_9_3'!L2128,"AAAAAF9P9/w=")</f>
        <v>#VALUE!</v>
      </c>
      <c r="IT133" t="e">
        <f>AND('Planilla_General_03-12-2012_9_3'!M2128,"AAAAAF9P9/0=")</f>
        <v>#VALUE!</v>
      </c>
      <c r="IU133" t="e">
        <f>AND('Planilla_General_03-12-2012_9_3'!N2128,"AAAAAF9P9/4=")</f>
        <v>#VALUE!</v>
      </c>
      <c r="IV133" t="e">
        <f>AND('Planilla_General_03-12-2012_9_3'!O2128,"AAAAAF9P9/8=")</f>
        <v>#VALUE!</v>
      </c>
    </row>
    <row r="134" spans="1:256" x14ac:dyDescent="0.25">
      <c r="A134" t="e">
        <f>IF('Planilla_General_03-12-2012_9_3'!2129:2129,"AAAAAHsfvwA=",0)</f>
        <v>#VALUE!</v>
      </c>
      <c r="B134" t="e">
        <f>AND('Planilla_General_03-12-2012_9_3'!A2129,"AAAAAHsfvwE=")</f>
        <v>#VALUE!</v>
      </c>
      <c r="C134" t="e">
        <f>AND('Planilla_General_03-12-2012_9_3'!B2129,"AAAAAHsfvwI=")</f>
        <v>#VALUE!</v>
      </c>
      <c r="D134" t="e">
        <f>AND('Planilla_General_03-12-2012_9_3'!C2129,"AAAAAHsfvwM=")</f>
        <v>#VALUE!</v>
      </c>
      <c r="E134" t="e">
        <f>AND('Planilla_General_03-12-2012_9_3'!D2129,"AAAAAHsfvwQ=")</f>
        <v>#VALUE!</v>
      </c>
      <c r="F134" t="e">
        <f>AND('Planilla_General_03-12-2012_9_3'!E2129,"AAAAAHsfvwU=")</f>
        <v>#VALUE!</v>
      </c>
      <c r="G134" t="e">
        <f>AND('Planilla_General_03-12-2012_9_3'!F2129,"AAAAAHsfvwY=")</f>
        <v>#VALUE!</v>
      </c>
      <c r="H134" t="e">
        <f>AND('Planilla_General_03-12-2012_9_3'!G2129,"AAAAAHsfvwc=")</f>
        <v>#VALUE!</v>
      </c>
      <c r="I134" t="e">
        <f>AND('Planilla_General_03-12-2012_9_3'!H2129,"AAAAAHsfvwg=")</f>
        <v>#VALUE!</v>
      </c>
      <c r="J134" t="e">
        <f>AND('Planilla_General_03-12-2012_9_3'!I2129,"AAAAAHsfvwk=")</f>
        <v>#VALUE!</v>
      </c>
      <c r="K134" t="e">
        <f>AND('Planilla_General_03-12-2012_9_3'!J2129,"AAAAAHsfvwo=")</f>
        <v>#VALUE!</v>
      </c>
      <c r="L134" t="e">
        <f>AND('Planilla_General_03-12-2012_9_3'!K2129,"AAAAAHsfvws=")</f>
        <v>#VALUE!</v>
      </c>
      <c r="M134" t="e">
        <f>AND('Planilla_General_03-12-2012_9_3'!L2129,"AAAAAHsfvww=")</f>
        <v>#VALUE!</v>
      </c>
      <c r="N134" t="e">
        <f>AND('Planilla_General_03-12-2012_9_3'!M2129,"AAAAAHsfvw0=")</f>
        <v>#VALUE!</v>
      </c>
      <c r="O134" t="e">
        <f>AND('Planilla_General_03-12-2012_9_3'!N2129,"AAAAAHsfvw4=")</f>
        <v>#VALUE!</v>
      </c>
      <c r="P134" t="e">
        <f>AND('Planilla_General_03-12-2012_9_3'!O2129,"AAAAAHsfvw8=")</f>
        <v>#VALUE!</v>
      </c>
      <c r="Q134">
        <f>IF('Planilla_General_03-12-2012_9_3'!2130:2130,"AAAAAHsfvxA=",0)</f>
        <v>0</v>
      </c>
      <c r="R134" t="e">
        <f>AND('Planilla_General_03-12-2012_9_3'!A2130,"AAAAAHsfvxE=")</f>
        <v>#VALUE!</v>
      </c>
      <c r="S134" t="e">
        <f>AND('Planilla_General_03-12-2012_9_3'!B2130,"AAAAAHsfvxI=")</f>
        <v>#VALUE!</v>
      </c>
      <c r="T134" t="e">
        <f>AND('Planilla_General_03-12-2012_9_3'!C2130,"AAAAAHsfvxM=")</f>
        <v>#VALUE!</v>
      </c>
      <c r="U134" t="e">
        <f>AND('Planilla_General_03-12-2012_9_3'!D2130,"AAAAAHsfvxQ=")</f>
        <v>#VALUE!</v>
      </c>
      <c r="V134" t="e">
        <f>AND('Planilla_General_03-12-2012_9_3'!E2130,"AAAAAHsfvxU=")</f>
        <v>#VALUE!</v>
      </c>
      <c r="W134" t="e">
        <f>AND('Planilla_General_03-12-2012_9_3'!F2130,"AAAAAHsfvxY=")</f>
        <v>#VALUE!</v>
      </c>
      <c r="X134" t="e">
        <f>AND('Planilla_General_03-12-2012_9_3'!G2130,"AAAAAHsfvxc=")</f>
        <v>#VALUE!</v>
      </c>
      <c r="Y134" t="e">
        <f>AND('Planilla_General_03-12-2012_9_3'!H2130,"AAAAAHsfvxg=")</f>
        <v>#VALUE!</v>
      </c>
      <c r="Z134" t="e">
        <f>AND('Planilla_General_03-12-2012_9_3'!I2130,"AAAAAHsfvxk=")</f>
        <v>#VALUE!</v>
      </c>
      <c r="AA134" t="e">
        <f>AND('Planilla_General_03-12-2012_9_3'!J2130,"AAAAAHsfvxo=")</f>
        <v>#VALUE!</v>
      </c>
      <c r="AB134" t="e">
        <f>AND('Planilla_General_03-12-2012_9_3'!K2130,"AAAAAHsfvxs=")</f>
        <v>#VALUE!</v>
      </c>
      <c r="AC134" t="e">
        <f>AND('Planilla_General_03-12-2012_9_3'!L2130,"AAAAAHsfvxw=")</f>
        <v>#VALUE!</v>
      </c>
      <c r="AD134" t="e">
        <f>AND('Planilla_General_03-12-2012_9_3'!M2130,"AAAAAHsfvx0=")</f>
        <v>#VALUE!</v>
      </c>
      <c r="AE134" t="e">
        <f>AND('Planilla_General_03-12-2012_9_3'!N2130,"AAAAAHsfvx4=")</f>
        <v>#VALUE!</v>
      </c>
      <c r="AF134" t="e">
        <f>AND('Planilla_General_03-12-2012_9_3'!O2130,"AAAAAHsfvx8=")</f>
        <v>#VALUE!</v>
      </c>
      <c r="AG134">
        <f>IF('Planilla_General_03-12-2012_9_3'!2131:2131,"AAAAAHsfvyA=",0)</f>
        <v>0</v>
      </c>
      <c r="AH134" t="e">
        <f>AND('Planilla_General_03-12-2012_9_3'!A2131,"AAAAAHsfvyE=")</f>
        <v>#VALUE!</v>
      </c>
      <c r="AI134" t="e">
        <f>AND('Planilla_General_03-12-2012_9_3'!B2131,"AAAAAHsfvyI=")</f>
        <v>#VALUE!</v>
      </c>
      <c r="AJ134" t="e">
        <f>AND('Planilla_General_03-12-2012_9_3'!C2131,"AAAAAHsfvyM=")</f>
        <v>#VALUE!</v>
      </c>
      <c r="AK134" t="e">
        <f>AND('Planilla_General_03-12-2012_9_3'!D2131,"AAAAAHsfvyQ=")</f>
        <v>#VALUE!</v>
      </c>
      <c r="AL134" t="e">
        <f>AND('Planilla_General_03-12-2012_9_3'!E2131,"AAAAAHsfvyU=")</f>
        <v>#VALUE!</v>
      </c>
      <c r="AM134" t="e">
        <f>AND('Planilla_General_03-12-2012_9_3'!F2131,"AAAAAHsfvyY=")</f>
        <v>#VALUE!</v>
      </c>
      <c r="AN134" t="e">
        <f>AND('Planilla_General_03-12-2012_9_3'!G2131,"AAAAAHsfvyc=")</f>
        <v>#VALUE!</v>
      </c>
      <c r="AO134" t="e">
        <f>AND('Planilla_General_03-12-2012_9_3'!H2131,"AAAAAHsfvyg=")</f>
        <v>#VALUE!</v>
      </c>
      <c r="AP134" t="e">
        <f>AND('Planilla_General_03-12-2012_9_3'!I2131,"AAAAAHsfvyk=")</f>
        <v>#VALUE!</v>
      </c>
      <c r="AQ134" t="e">
        <f>AND('Planilla_General_03-12-2012_9_3'!J2131,"AAAAAHsfvyo=")</f>
        <v>#VALUE!</v>
      </c>
      <c r="AR134" t="e">
        <f>AND('Planilla_General_03-12-2012_9_3'!K2131,"AAAAAHsfvys=")</f>
        <v>#VALUE!</v>
      </c>
      <c r="AS134" t="e">
        <f>AND('Planilla_General_03-12-2012_9_3'!L2131,"AAAAAHsfvyw=")</f>
        <v>#VALUE!</v>
      </c>
      <c r="AT134" t="e">
        <f>AND('Planilla_General_03-12-2012_9_3'!M2131,"AAAAAHsfvy0=")</f>
        <v>#VALUE!</v>
      </c>
      <c r="AU134" t="e">
        <f>AND('Planilla_General_03-12-2012_9_3'!N2131,"AAAAAHsfvy4=")</f>
        <v>#VALUE!</v>
      </c>
      <c r="AV134" t="e">
        <f>AND('Planilla_General_03-12-2012_9_3'!O2131,"AAAAAHsfvy8=")</f>
        <v>#VALUE!</v>
      </c>
      <c r="AW134">
        <f>IF('Planilla_General_03-12-2012_9_3'!2132:2132,"AAAAAHsfvzA=",0)</f>
        <v>0</v>
      </c>
      <c r="AX134" t="e">
        <f>AND('Planilla_General_03-12-2012_9_3'!A2132,"AAAAAHsfvzE=")</f>
        <v>#VALUE!</v>
      </c>
      <c r="AY134" t="e">
        <f>AND('Planilla_General_03-12-2012_9_3'!B2132,"AAAAAHsfvzI=")</f>
        <v>#VALUE!</v>
      </c>
      <c r="AZ134" t="e">
        <f>AND('Planilla_General_03-12-2012_9_3'!C2132,"AAAAAHsfvzM=")</f>
        <v>#VALUE!</v>
      </c>
      <c r="BA134" t="e">
        <f>AND('Planilla_General_03-12-2012_9_3'!D2132,"AAAAAHsfvzQ=")</f>
        <v>#VALUE!</v>
      </c>
      <c r="BB134" t="e">
        <f>AND('Planilla_General_03-12-2012_9_3'!E2132,"AAAAAHsfvzU=")</f>
        <v>#VALUE!</v>
      </c>
      <c r="BC134" t="e">
        <f>AND('Planilla_General_03-12-2012_9_3'!F2132,"AAAAAHsfvzY=")</f>
        <v>#VALUE!</v>
      </c>
      <c r="BD134" t="e">
        <f>AND('Planilla_General_03-12-2012_9_3'!G2132,"AAAAAHsfvzc=")</f>
        <v>#VALUE!</v>
      </c>
      <c r="BE134" t="e">
        <f>AND('Planilla_General_03-12-2012_9_3'!H2132,"AAAAAHsfvzg=")</f>
        <v>#VALUE!</v>
      </c>
      <c r="BF134" t="e">
        <f>AND('Planilla_General_03-12-2012_9_3'!I2132,"AAAAAHsfvzk=")</f>
        <v>#VALUE!</v>
      </c>
      <c r="BG134" t="e">
        <f>AND('Planilla_General_03-12-2012_9_3'!J2132,"AAAAAHsfvzo=")</f>
        <v>#VALUE!</v>
      </c>
      <c r="BH134" t="e">
        <f>AND('Planilla_General_03-12-2012_9_3'!K2132,"AAAAAHsfvzs=")</f>
        <v>#VALUE!</v>
      </c>
      <c r="BI134" t="e">
        <f>AND('Planilla_General_03-12-2012_9_3'!L2132,"AAAAAHsfvzw=")</f>
        <v>#VALUE!</v>
      </c>
      <c r="BJ134" t="e">
        <f>AND('Planilla_General_03-12-2012_9_3'!M2132,"AAAAAHsfvz0=")</f>
        <v>#VALUE!</v>
      </c>
      <c r="BK134" t="e">
        <f>AND('Planilla_General_03-12-2012_9_3'!N2132,"AAAAAHsfvz4=")</f>
        <v>#VALUE!</v>
      </c>
      <c r="BL134" t="e">
        <f>AND('Planilla_General_03-12-2012_9_3'!O2132,"AAAAAHsfvz8=")</f>
        <v>#VALUE!</v>
      </c>
      <c r="BM134">
        <f>IF('Planilla_General_03-12-2012_9_3'!2133:2133,"AAAAAHsfv0A=",0)</f>
        <v>0</v>
      </c>
      <c r="BN134" t="e">
        <f>AND('Planilla_General_03-12-2012_9_3'!A2133,"AAAAAHsfv0E=")</f>
        <v>#VALUE!</v>
      </c>
      <c r="BO134" t="e">
        <f>AND('Planilla_General_03-12-2012_9_3'!B2133,"AAAAAHsfv0I=")</f>
        <v>#VALUE!</v>
      </c>
      <c r="BP134" t="e">
        <f>AND('Planilla_General_03-12-2012_9_3'!C2133,"AAAAAHsfv0M=")</f>
        <v>#VALUE!</v>
      </c>
      <c r="BQ134" t="e">
        <f>AND('Planilla_General_03-12-2012_9_3'!D2133,"AAAAAHsfv0Q=")</f>
        <v>#VALUE!</v>
      </c>
      <c r="BR134" t="e">
        <f>AND('Planilla_General_03-12-2012_9_3'!E2133,"AAAAAHsfv0U=")</f>
        <v>#VALUE!</v>
      </c>
      <c r="BS134" t="e">
        <f>AND('Planilla_General_03-12-2012_9_3'!F2133,"AAAAAHsfv0Y=")</f>
        <v>#VALUE!</v>
      </c>
      <c r="BT134" t="e">
        <f>AND('Planilla_General_03-12-2012_9_3'!G2133,"AAAAAHsfv0c=")</f>
        <v>#VALUE!</v>
      </c>
      <c r="BU134" t="e">
        <f>AND('Planilla_General_03-12-2012_9_3'!H2133,"AAAAAHsfv0g=")</f>
        <v>#VALUE!</v>
      </c>
      <c r="BV134" t="e">
        <f>AND('Planilla_General_03-12-2012_9_3'!I2133,"AAAAAHsfv0k=")</f>
        <v>#VALUE!</v>
      </c>
      <c r="BW134" t="e">
        <f>AND('Planilla_General_03-12-2012_9_3'!J2133,"AAAAAHsfv0o=")</f>
        <v>#VALUE!</v>
      </c>
      <c r="BX134" t="e">
        <f>AND('Planilla_General_03-12-2012_9_3'!K2133,"AAAAAHsfv0s=")</f>
        <v>#VALUE!</v>
      </c>
      <c r="BY134" t="e">
        <f>AND('Planilla_General_03-12-2012_9_3'!L2133,"AAAAAHsfv0w=")</f>
        <v>#VALUE!</v>
      </c>
      <c r="BZ134" t="e">
        <f>AND('Planilla_General_03-12-2012_9_3'!M2133,"AAAAAHsfv00=")</f>
        <v>#VALUE!</v>
      </c>
      <c r="CA134" t="e">
        <f>AND('Planilla_General_03-12-2012_9_3'!N2133,"AAAAAHsfv04=")</f>
        <v>#VALUE!</v>
      </c>
      <c r="CB134" t="e">
        <f>AND('Planilla_General_03-12-2012_9_3'!O2133,"AAAAAHsfv08=")</f>
        <v>#VALUE!</v>
      </c>
      <c r="CC134">
        <f>IF('Planilla_General_03-12-2012_9_3'!2134:2134,"AAAAAHsfv1A=",0)</f>
        <v>0</v>
      </c>
      <c r="CD134" t="e">
        <f>AND('Planilla_General_03-12-2012_9_3'!A2134,"AAAAAHsfv1E=")</f>
        <v>#VALUE!</v>
      </c>
      <c r="CE134" t="e">
        <f>AND('Planilla_General_03-12-2012_9_3'!B2134,"AAAAAHsfv1I=")</f>
        <v>#VALUE!</v>
      </c>
      <c r="CF134" t="e">
        <f>AND('Planilla_General_03-12-2012_9_3'!C2134,"AAAAAHsfv1M=")</f>
        <v>#VALUE!</v>
      </c>
      <c r="CG134" t="e">
        <f>AND('Planilla_General_03-12-2012_9_3'!D2134,"AAAAAHsfv1Q=")</f>
        <v>#VALUE!</v>
      </c>
      <c r="CH134" t="e">
        <f>AND('Planilla_General_03-12-2012_9_3'!E2134,"AAAAAHsfv1U=")</f>
        <v>#VALUE!</v>
      </c>
      <c r="CI134" t="e">
        <f>AND('Planilla_General_03-12-2012_9_3'!F2134,"AAAAAHsfv1Y=")</f>
        <v>#VALUE!</v>
      </c>
      <c r="CJ134" t="e">
        <f>AND('Planilla_General_03-12-2012_9_3'!G2134,"AAAAAHsfv1c=")</f>
        <v>#VALUE!</v>
      </c>
      <c r="CK134" t="e">
        <f>AND('Planilla_General_03-12-2012_9_3'!H2134,"AAAAAHsfv1g=")</f>
        <v>#VALUE!</v>
      </c>
      <c r="CL134" t="e">
        <f>AND('Planilla_General_03-12-2012_9_3'!I2134,"AAAAAHsfv1k=")</f>
        <v>#VALUE!</v>
      </c>
      <c r="CM134" t="e">
        <f>AND('Planilla_General_03-12-2012_9_3'!J2134,"AAAAAHsfv1o=")</f>
        <v>#VALUE!</v>
      </c>
      <c r="CN134" t="e">
        <f>AND('Planilla_General_03-12-2012_9_3'!K2134,"AAAAAHsfv1s=")</f>
        <v>#VALUE!</v>
      </c>
      <c r="CO134" t="e">
        <f>AND('Planilla_General_03-12-2012_9_3'!L2134,"AAAAAHsfv1w=")</f>
        <v>#VALUE!</v>
      </c>
      <c r="CP134" t="e">
        <f>AND('Planilla_General_03-12-2012_9_3'!M2134,"AAAAAHsfv10=")</f>
        <v>#VALUE!</v>
      </c>
      <c r="CQ134" t="e">
        <f>AND('Planilla_General_03-12-2012_9_3'!N2134,"AAAAAHsfv14=")</f>
        <v>#VALUE!</v>
      </c>
      <c r="CR134" t="e">
        <f>AND('Planilla_General_03-12-2012_9_3'!O2134,"AAAAAHsfv18=")</f>
        <v>#VALUE!</v>
      </c>
      <c r="CS134">
        <f>IF('Planilla_General_03-12-2012_9_3'!2135:2135,"AAAAAHsfv2A=",0)</f>
        <v>0</v>
      </c>
      <c r="CT134" t="e">
        <f>AND('Planilla_General_03-12-2012_9_3'!A2135,"AAAAAHsfv2E=")</f>
        <v>#VALUE!</v>
      </c>
      <c r="CU134" t="e">
        <f>AND('Planilla_General_03-12-2012_9_3'!B2135,"AAAAAHsfv2I=")</f>
        <v>#VALUE!</v>
      </c>
      <c r="CV134" t="e">
        <f>AND('Planilla_General_03-12-2012_9_3'!C2135,"AAAAAHsfv2M=")</f>
        <v>#VALUE!</v>
      </c>
      <c r="CW134" t="e">
        <f>AND('Planilla_General_03-12-2012_9_3'!D2135,"AAAAAHsfv2Q=")</f>
        <v>#VALUE!</v>
      </c>
      <c r="CX134" t="e">
        <f>AND('Planilla_General_03-12-2012_9_3'!E2135,"AAAAAHsfv2U=")</f>
        <v>#VALUE!</v>
      </c>
      <c r="CY134" t="e">
        <f>AND('Planilla_General_03-12-2012_9_3'!F2135,"AAAAAHsfv2Y=")</f>
        <v>#VALUE!</v>
      </c>
      <c r="CZ134" t="e">
        <f>AND('Planilla_General_03-12-2012_9_3'!G2135,"AAAAAHsfv2c=")</f>
        <v>#VALUE!</v>
      </c>
      <c r="DA134" t="e">
        <f>AND('Planilla_General_03-12-2012_9_3'!H2135,"AAAAAHsfv2g=")</f>
        <v>#VALUE!</v>
      </c>
      <c r="DB134" t="e">
        <f>AND('Planilla_General_03-12-2012_9_3'!I2135,"AAAAAHsfv2k=")</f>
        <v>#VALUE!</v>
      </c>
      <c r="DC134" t="e">
        <f>AND('Planilla_General_03-12-2012_9_3'!J2135,"AAAAAHsfv2o=")</f>
        <v>#VALUE!</v>
      </c>
      <c r="DD134" t="e">
        <f>AND('Planilla_General_03-12-2012_9_3'!K2135,"AAAAAHsfv2s=")</f>
        <v>#VALUE!</v>
      </c>
      <c r="DE134" t="e">
        <f>AND('Planilla_General_03-12-2012_9_3'!L2135,"AAAAAHsfv2w=")</f>
        <v>#VALUE!</v>
      </c>
      <c r="DF134" t="e">
        <f>AND('Planilla_General_03-12-2012_9_3'!M2135,"AAAAAHsfv20=")</f>
        <v>#VALUE!</v>
      </c>
      <c r="DG134" t="e">
        <f>AND('Planilla_General_03-12-2012_9_3'!N2135,"AAAAAHsfv24=")</f>
        <v>#VALUE!</v>
      </c>
      <c r="DH134" t="e">
        <f>AND('Planilla_General_03-12-2012_9_3'!O2135,"AAAAAHsfv28=")</f>
        <v>#VALUE!</v>
      </c>
      <c r="DI134">
        <f>IF('Planilla_General_03-12-2012_9_3'!2136:2136,"AAAAAHsfv3A=",0)</f>
        <v>0</v>
      </c>
      <c r="DJ134" t="e">
        <f>AND('Planilla_General_03-12-2012_9_3'!A2136,"AAAAAHsfv3E=")</f>
        <v>#VALUE!</v>
      </c>
      <c r="DK134" t="e">
        <f>AND('Planilla_General_03-12-2012_9_3'!B2136,"AAAAAHsfv3I=")</f>
        <v>#VALUE!</v>
      </c>
      <c r="DL134" t="e">
        <f>AND('Planilla_General_03-12-2012_9_3'!C2136,"AAAAAHsfv3M=")</f>
        <v>#VALUE!</v>
      </c>
      <c r="DM134" t="e">
        <f>AND('Planilla_General_03-12-2012_9_3'!D2136,"AAAAAHsfv3Q=")</f>
        <v>#VALUE!</v>
      </c>
      <c r="DN134" t="e">
        <f>AND('Planilla_General_03-12-2012_9_3'!E2136,"AAAAAHsfv3U=")</f>
        <v>#VALUE!</v>
      </c>
      <c r="DO134" t="e">
        <f>AND('Planilla_General_03-12-2012_9_3'!F2136,"AAAAAHsfv3Y=")</f>
        <v>#VALUE!</v>
      </c>
      <c r="DP134" t="e">
        <f>AND('Planilla_General_03-12-2012_9_3'!G2136,"AAAAAHsfv3c=")</f>
        <v>#VALUE!</v>
      </c>
      <c r="DQ134" t="e">
        <f>AND('Planilla_General_03-12-2012_9_3'!H2136,"AAAAAHsfv3g=")</f>
        <v>#VALUE!</v>
      </c>
      <c r="DR134" t="e">
        <f>AND('Planilla_General_03-12-2012_9_3'!I2136,"AAAAAHsfv3k=")</f>
        <v>#VALUE!</v>
      </c>
      <c r="DS134" t="e">
        <f>AND('Planilla_General_03-12-2012_9_3'!J2136,"AAAAAHsfv3o=")</f>
        <v>#VALUE!</v>
      </c>
      <c r="DT134" t="e">
        <f>AND('Planilla_General_03-12-2012_9_3'!K2136,"AAAAAHsfv3s=")</f>
        <v>#VALUE!</v>
      </c>
      <c r="DU134" t="e">
        <f>AND('Planilla_General_03-12-2012_9_3'!L2136,"AAAAAHsfv3w=")</f>
        <v>#VALUE!</v>
      </c>
      <c r="DV134" t="e">
        <f>AND('Planilla_General_03-12-2012_9_3'!M2136,"AAAAAHsfv30=")</f>
        <v>#VALUE!</v>
      </c>
      <c r="DW134" t="e">
        <f>AND('Planilla_General_03-12-2012_9_3'!N2136,"AAAAAHsfv34=")</f>
        <v>#VALUE!</v>
      </c>
      <c r="DX134" t="e">
        <f>AND('Planilla_General_03-12-2012_9_3'!O2136,"AAAAAHsfv38=")</f>
        <v>#VALUE!</v>
      </c>
      <c r="DY134">
        <f>IF('Planilla_General_03-12-2012_9_3'!2137:2137,"AAAAAHsfv4A=",0)</f>
        <v>0</v>
      </c>
      <c r="DZ134" t="e">
        <f>AND('Planilla_General_03-12-2012_9_3'!A2137,"AAAAAHsfv4E=")</f>
        <v>#VALUE!</v>
      </c>
      <c r="EA134" t="e">
        <f>AND('Planilla_General_03-12-2012_9_3'!B2137,"AAAAAHsfv4I=")</f>
        <v>#VALUE!</v>
      </c>
      <c r="EB134" t="e">
        <f>AND('Planilla_General_03-12-2012_9_3'!C2137,"AAAAAHsfv4M=")</f>
        <v>#VALUE!</v>
      </c>
      <c r="EC134" t="e">
        <f>AND('Planilla_General_03-12-2012_9_3'!D2137,"AAAAAHsfv4Q=")</f>
        <v>#VALUE!</v>
      </c>
      <c r="ED134" t="e">
        <f>AND('Planilla_General_03-12-2012_9_3'!E2137,"AAAAAHsfv4U=")</f>
        <v>#VALUE!</v>
      </c>
      <c r="EE134" t="e">
        <f>AND('Planilla_General_03-12-2012_9_3'!F2137,"AAAAAHsfv4Y=")</f>
        <v>#VALUE!</v>
      </c>
      <c r="EF134" t="e">
        <f>AND('Planilla_General_03-12-2012_9_3'!G2137,"AAAAAHsfv4c=")</f>
        <v>#VALUE!</v>
      </c>
      <c r="EG134" t="e">
        <f>AND('Planilla_General_03-12-2012_9_3'!H2137,"AAAAAHsfv4g=")</f>
        <v>#VALUE!</v>
      </c>
      <c r="EH134" t="e">
        <f>AND('Planilla_General_03-12-2012_9_3'!I2137,"AAAAAHsfv4k=")</f>
        <v>#VALUE!</v>
      </c>
      <c r="EI134" t="e">
        <f>AND('Planilla_General_03-12-2012_9_3'!J2137,"AAAAAHsfv4o=")</f>
        <v>#VALUE!</v>
      </c>
      <c r="EJ134" t="e">
        <f>AND('Planilla_General_03-12-2012_9_3'!K2137,"AAAAAHsfv4s=")</f>
        <v>#VALUE!</v>
      </c>
      <c r="EK134" t="e">
        <f>AND('Planilla_General_03-12-2012_9_3'!L2137,"AAAAAHsfv4w=")</f>
        <v>#VALUE!</v>
      </c>
      <c r="EL134" t="e">
        <f>AND('Planilla_General_03-12-2012_9_3'!M2137,"AAAAAHsfv40=")</f>
        <v>#VALUE!</v>
      </c>
      <c r="EM134" t="e">
        <f>AND('Planilla_General_03-12-2012_9_3'!N2137,"AAAAAHsfv44=")</f>
        <v>#VALUE!</v>
      </c>
      <c r="EN134" t="e">
        <f>AND('Planilla_General_03-12-2012_9_3'!O2137,"AAAAAHsfv48=")</f>
        <v>#VALUE!</v>
      </c>
      <c r="EO134">
        <f>IF('Planilla_General_03-12-2012_9_3'!2138:2138,"AAAAAHsfv5A=",0)</f>
        <v>0</v>
      </c>
      <c r="EP134" t="e">
        <f>AND('Planilla_General_03-12-2012_9_3'!A2138,"AAAAAHsfv5E=")</f>
        <v>#VALUE!</v>
      </c>
      <c r="EQ134" t="e">
        <f>AND('Planilla_General_03-12-2012_9_3'!B2138,"AAAAAHsfv5I=")</f>
        <v>#VALUE!</v>
      </c>
      <c r="ER134" t="e">
        <f>AND('Planilla_General_03-12-2012_9_3'!C2138,"AAAAAHsfv5M=")</f>
        <v>#VALUE!</v>
      </c>
      <c r="ES134" t="e">
        <f>AND('Planilla_General_03-12-2012_9_3'!D2138,"AAAAAHsfv5Q=")</f>
        <v>#VALUE!</v>
      </c>
      <c r="ET134" t="e">
        <f>AND('Planilla_General_03-12-2012_9_3'!E2138,"AAAAAHsfv5U=")</f>
        <v>#VALUE!</v>
      </c>
      <c r="EU134" t="e">
        <f>AND('Planilla_General_03-12-2012_9_3'!F2138,"AAAAAHsfv5Y=")</f>
        <v>#VALUE!</v>
      </c>
      <c r="EV134" t="e">
        <f>AND('Planilla_General_03-12-2012_9_3'!G2138,"AAAAAHsfv5c=")</f>
        <v>#VALUE!</v>
      </c>
      <c r="EW134" t="e">
        <f>AND('Planilla_General_03-12-2012_9_3'!H2138,"AAAAAHsfv5g=")</f>
        <v>#VALUE!</v>
      </c>
      <c r="EX134" t="e">
        <f>AND('Planilla_General_03-12-2012_9_3'!I2138,"AAAAAHsfv5k=")</f>
        <v>#VALUE!</v>
      </c>
      <c r="EY134" t="e">
        <f>AND('Planilla_General_03-12-2012_9_3'!J2138,"AAAAAHsfv5o=")</f>
        <v>#VALUE!</v>
      </c>
      <c r="EZ134" t="e">
        <f>AND('Planilla_General_03-12-2012_9_3'!K2138,"AAAAAHsfv5s=")</f>
        <v>#VALUE!</v>
      </c>
      <c r="FA134" t="e">
        <f>AND('Planilla_General_03-12-2012_9_3'!L2138,"AAAAAHsfv5w=")</f>
        <v>#VALUE!</v>
      </c>
      <c r="FB134" t="e">
        <f>AND('Planilla_General_03-12-2012_9_3'!M2138,"AAAAAHsfv50=")</f>
        <v>#VALUE!</v>
      </c>
      <c r="FC134" t="e">
        <f>AND('Planilla_General_03-12-2012_9_3'!N2138,"AAAAAHsfv54=")</f>
        <v>#VALUE!</v>
      </c>
      <c r="FD134" t="e">
        <f>AND('Planilla_General_03-12-2012_9_3'!O2138,"AAAAAHsfv58=")</f>
        <v>#VALUE!</v>
      </c>
      <c r="FE134">
        <f>IF('Planilla_General_03-12-2012_9_3'!2139:2139,"AAAAAHsfv6A=",0)</f>
        <v>0</v>
      </c>
      <c r="FF134" t="e">
        <f>AND('Planilla_General_03-12-2012_9_3'!A2139,"AAAAAHsfv6E=")</f>
        <v>#VALUE!</v>
      </c>
      <c r="FG134" t="e">
        <f>AND('Planilla_General_03-12-2012_9_3'!B2139,"AAAAAHsfv6I=")</f>
        <v>#VALUE!</v>
      </c>
      <c r="FH134" t="e">
        <f>AND('Planilla_General_03-12-2012_9_3'!C2139,"AAAAAHsfv6M=")</f>
        <v>#VALUE!</v>
      </c>
      <c r="FI134" t="e">
        <f>AND('Planilla_General_03-12-2012_9_3'!D2139,"AAAAAHsfv6Q=")</f>
        <v>#VALUE!</v>
      </c>
      <c r="FJ134" t="e">
        <f>AND('Planilla_General_03-12-2012_9_3'!E2139,"AAAAAHsfv6U=")</f>
        <v>#VALUE!</v>
      </c>
      <c r="FK134" t="e">
        <f>AND('Planilla_General_03-12-2012_9_3'!F2139,"AAAAAHsfv6Y=")</f>
        <v>#VALUE!</v>
      </c>
      <c r="FL134" t="e">
        <f>AND('Planilla_General_03-12-2012_9_3'!G2139,"AAAAAHsfv6c=")</f>
        <v>#VALUE!</v>
      </c>
      <c r="FM134" t="e">
        <f>AND('Planilla_General_03-12-2012_9_3'!H2139,"AAAAAHsfv6g=")</f>
        <v>#VALUE!</v>
      </c>
      <c r="FN134" t="e">
        <f>AND('Planilla_General_03-12-2012_9_3'!I2139,"AAAAAHsfv6k=")</f>
        <v>#VALUE!</v>
      </c>
      <c r="FO134" t="e">
        <f>AND('Planilla_General_03-12-2012_9_3'!J2139,"AAAAAHsfv6o=")</f>
        <v>#VALUE!</v>
      </c>
      <c r="FP134" t="e">
        <f>AND('Planilla_General_03-12-2012_9_3'!K2139,"AAAAAHsfv6s=")</f>
        <v>#VALUE!</v>
      </c>
      <c r="FQ134" t="e">
        <f>AND('Planilla_General_03-12-2012_9_3'!L2139,"AAAAAHsfv6w=")</f>
        <v>#VALUE!</v>
      </c>
      <c r="FR134" t="e">
        <f>AND('Planilla_General_03-12-2012_9_3'!M2139,"AAAAAHsfv60=")</f>
        <v>#VALUE!</v>
      </c>
      <c r="FS134" t="e">
        <f>AND('Planilla_General_03-12-2012_9_3'!N2139,"AAAAAHsfv64=")</f>
        <v>#VALUE!</v>
      </c>
      <c r="FT134" t="e">
        <f>AND('Planilla_General_03-12-2012_9_3'!O2139,"AAAAAHsfv68=")</f>
        <v>#VALUE!</v>
      </c>
      <c r="FU134">
        <f>IF('Planilla_General_03-12-2012_9_3'!2140:2140,"AAAAAHsfv7A=",0)</f>
        <v>0</v>
      </c>
      <c r="FV134" t="e">
        <f>AND('Planilla_General_03-12-2012_9_3'!A2140,"AAAAAHsfv7E=")</f>
        <v>#VALUE!</v>
      </c>
      <c r="FW134" t="e">
        <f>AND('Planilla_General_03-12-2012_9_3'!B2140,"AAAAAHsfv7I=")</f>
        <v>#VALUE!</v>
      </c>
      <c r="FX134" t="e">
        <f>AND('Planilla_General_03-12-2012_9_3'!C2140,"AAAAAHsfv7M=")</f>
        <v>#VALUE!</v>
      </c>
      <c r="FY134" t="e">
        <f>AND('Planilla_General_03-12-2012_9_3'!D2140,"AAAAAHsfv7Q=")</f>
        <v>#VALUE!</v>
      </c>
      <c r="FZ134" t="e">
        <f>AND('Planilla_General_03-12-2012_9_3'!E2140,"AAAAAHsfv7U=")</f>
        <v>#VALUE!</v>
      </c>
      <c r="GA134" t="e">
        <f>AND('Planilla_General_03-12-2012_9_3'!F2140,"AAAAAHsfv7Y=")</f>
        <v>#VALUE!</v>
      </c>
      <c r="GB134" t="e">
        <f>AND('Planilla_General_03-12-2012_9_3'!G2140,"AAAAAHsfv7c=")</f>
        <v>#VALUE!</v>
      </c>
      <c r="GC134" t="e">
        <f>AND('Planilla_General_03-12-2012_9_3'!H2140,"AAAAAHsfv7g=")</f>
        <v>#VALUE!</v>
      </c>
      <c r="GD134" t="e">
        <f>AND('Planilla_General_03-12-2012_9_3'!I2140,"AAAAAHsfv7k=")</f>
        <v>#VALUE!</v>
      </c>
      <c r="GE134" t="e">
        <f>AND('Planilla_General_03-12-2012_9_3'!J2140,"AAAAAHsfv7o=")</f>
        <v>#VALUE!</v>
      </c>
      <c r="GF134" t="e">
        <f>AND('Planilla_General_03-12-2012_9_3'!K2140,"AAAAAHsfv7s=")</f>
        <v>#VALUE!</v>
      </c>
      <c r="GG134" t="e">
        <f>AND('Planilla_General_03-12-2012_9_3'!L2140,"AAAAAHsfv7w=")</f>
        <v>#VALUE!</v>
      </c>
      <c r="GH134" t="e">
        <f>AND('Planilla_General_03-12-2012_9_3'!M2140,"AAAAAHsfv70=")</f>
        <v>#VALUE!</v>
      </c>
      <c r="GI134" t="e">
        <f>AND('Planilla_General_03-12-2012_9_3'!N2140,"AAAAAHsfv74=")</f>
        <v>#VALUE!</v>
      </c>
      <c r="GJ134" t="e">
        <f>AND('Planilla_General_03-12-2012_9_3'!O2140,"AAAAAHsfv78=")</f>
        <v>#VALUE!</v>
      </c>
      <c r="GK134">
        <f>IF('Planilla_General_03-12-2012_9_3'!2141:2141,"AAAAAHsfv8A=",0)</f>
        <v>0</v>
      </c>
      <c r="GL134" t="e">
        <f>AND('Planilla_General_03-12-2012_9_3'!A2141,"AAAAAHsfv8E=")</f>
        <v>#VALUE!</v>
      </c>
      <c r="GM134" t="e">
        <f>AND('Planilla_General_03-12-2012_9_3'!B2141,"AAAAAHsfv8I=")</f>
        <v>#VALUE!</v>
      </c>
      <c r="GN134" t="e">
        <f>AND('Planilla_General_03-12-2012_9_3'!C2141,"AAAAAHsfv8M=")</f>
        <v>#VALUE!</v>
      </c>
      <c r="GO134" t="e">
        <f>AND('Planilla_General_03-12-2012_9_3'!D2141,"AAAAAHsfv8Q=")</f>
        <v>#VALUE!</v>
      </c>
      <c r="GP134" t="e">
        <f>AND('Planilla_General_03-12-2012_9_3'!E2141,"AAAAAHsfv8U=")</f>
        <v>#VALUE!</v>
      </c>
      <c r="GQ134" t="e">
        <f>AND('Planilla_General_03-12-2012_9_3'!F2141,"AAAAAHsfv8Y=")</f>
        <v>#VALUE!</v>
      </c>
      <c r="GR134" t="e">
        <f>AND('Planilla_General_03-12-2012_9_3'!G2141,"AAAAAHsfv8c=")</f>
        <v>#VALUE!</v>
      </c>
      <c r="GS134" t="e">
        <f>AND('Planilla_General_03-12-2012_9_3'!H2141,"AAAAAHsfv8g=")</f>
        <v>#VALUE!</v>
      </c>
      <c r="GT134" t="e">
        <f>AND('Planilla_General_03-12-2012_9_3'!I2141,"AAAAAHsfv8k=")</f>
        <v>#VALUE!</v>
      </c>
      <c r="GU134" t="e">
        <f>AND('Planilla_General_03-12-2012_9_3'!J2141,"AAAAAHsfv8o=")</f>
        <v>#VALUE!</v>
      </c>
      <c r="GV134" t="e">
        <f>AND('Planilla_General_03-12-2012_9_3'!K2141,"AAAAAHsfv8s=")</f>
        <v>#VALUE!</v>
      </c>
      <c r="GW134" t="e">
        <f>AND('Planilla_General_03-12-2012_9_3'!L2141,"AAAAAHsfv8w=")</f>
        <v>#VALUE!</v>
      </c>
      <c r="GX134" t="e">
        <f>AND('Planilla_General_03-12-2012_9_3'!M2141,"AAAAAHsfv80=")</f>
        <v>#VALUE!</v>
      </c>
      <c r="GY134" t="e">
        <f>AND('Planilla_General_03-12-2012_9_3'!N2141,"AAAAAHsfv84=")</f>
        <v>#VALUE!</v>
      </c>
      <c r="GZ134" t="e">
        <f>AND('Planilla_General_03-12-2012_9_3'!O2141,"AAAAAHsfv88=")</f>
        <v>#VALUE!</v>
      </c>
      <c r="HA134">
        <f>IF('Planilla_General_03-12-2012_9_3'!2142:2142,"AAAAAHsfv9A=",0)</f>
        <v>0</v>
      </c>
      <c r="HB134" t="e">
        <f>AND('Planilla_General_03-12-2012_9_3'!A2142,"AAAAAHsfv9E=")</f>
        <v>#VALUE!</v>
      </c>
      <c r="HC134" t="e">
        <f>AND('Planilla_General_03-12-2012_9_3'!B2142,"AAAAAHsfv9I=")</f>
        <v>#VALUE!</v>
      </c>
      <c r="HD134" t="e">
        <f>AND('Planilla_General_03-12-2012_9_3'!C2142,"AAAAAHsfv9M=")</f>
        <v>#VALUE!</v>
      </c>
      <c r="HE134" t="e">
        <f>AND('Planilla_General_03-12-2012_9_3'!D2142,"AAAAAHsfv9Q=")</f>
        <v>#VALUE!</v>
      </c>
      <c r="HF134" t="e">
        <f>AND('Planilla_General_03-12-2012_9_3'!E2142,"AAAAAHsfv9U=")</f>
        <v>#VALUE!</v>
      </c>
      <c r="HG134" t="e">
        <f>AND('Planilla_General_03-12-2012_9_3'!F2142,"AAAAAHsfv9Y=")</f>
        <v>#VALUE!</v>
      </c>
      <c r="HH134" t="e">
        <f>AND('Planilla_General_03-12-2012_9_3'!G2142,"AAAAAHsfv9c=")</f>
        <v>#VALUE!</v>
      </c>
      <c r="HI134" t="e">
        <f>AND('Planilla_General_03-12-2012_9_3'!H2142,"AAAAAHsfv9g=")</f>
        <v>#VALUE!</v>
      </c>
      <c r="HJ134" t="e">
        <f>AND('Planilla_General_03-12-2012_9_3'!I2142,"AAAAAHsfv9k=")</f>
        <v>#VALUE!</v>
      </c>
      <c r="HK134" t="e">
        <f>AND('Planilla_General_03-12-2012_9_3'!J2142,"AAAAAHsfv9o=")</f>
        <v>#VALUE!</v>
      </c>
      <c r="HL134" t="e">
        <f>AND('Planilla_General_03-12-2012_9_3'!K2142,"AAAAAHsfv9s=")</f>
        <v>#VALUE!</v>
      </c>
      <c r="HM134" t="e">
        <f>AND('Planilla_General_03-12-2012_9_3'!L2142,"AAAAAHsfv9w=")</f>
        <v>#VALUE!</v>
      </c>
      <c r="HN134" t="e">
        <f>AND('Planilla_General_03-12-2012_9_3'!M2142,"AAAAAHsfv90=")</f>
        <v>#VALUE!</v>
      </c>
      <c r="HO134" t="e">
        <f>AND('Planilla_General_03-12-2012_9_3'!N2142,"AAAAAHsfv94=")</f>
        <v>#VALUE!</v>
      </c>
      <c r="HP134" t="e">
        <f>AND('Planilla_General_03-12-2012_9_3'!O2142,"AAAAAHsfv98=")</f>
        <v>#VALUE!</v>
      </c>
      <c r="HQ134">
        <f>IF('Planilla_General_03-12-2012_9_3'!2143:2143,"AAAAAHsfv+A=",0)</f>
        <v>0</v>
      </c>
      <c r="HR134" t="e">
        <f>AND('Planilla_General_03-12-2012_9_3'!A2143,"AAAAAHsfv+E=")</f>
        <v>#VALUE!</v>
      </c>
      <c r="HS134" t="e">
        <f>AND('Planilla_General_03-12-2012_9_3'!B2143,"AAAAAHsfv+I=")</f>
        <v>#VALUE!</v>
      </c>
      <c r="HT134" t="e">
        <f>AND('Planilla_General_03-12-2012_9_3'!C2143,"AAAAAHsfv+M=")</f>
        <v>#VALUE!</v>
      </c>
      <c r="HU134" t="e">
        <f>AND('Planilla_General_03-12-2012_9_3'!D2143,"AAAAAHsfv+Q=")</f>
        <v>#VALUE!</v>
      </c>
      <c r="HV134" t="e">
        <f>AND('Planilla_General_03-12-2012_9_3'!E2143,"AAAAAHsfv+U=")</f>
        <v>#VALUE!</v>
      </c>
      <c r="HW134" t="e">
        <f>AND('Planilla_General_03-12-2012_9_3'!F2143,"AAAAAHsfv+Y=")</f>
        <v>#VALUE!</v>
      </c>
      <c r="HX134" t="e">
        <f>AND('Planilla_General_03-12-2012_9_3'!G2143,"AAAAAHsfv+c=")</f>
        <v>#VALUE!</v>
      </c>
      <c r="HY134" t="e">
        <f>AND('Planilla_General_03-12-2012_9_3'!H2143,"AAAAAHsfv+g=")</f>
        <v>#VALUE!</v>
      </c>
      <c r="HZ134" t="e">
        <f>AND('Planilla_General_03-12-2012_9_3'!I2143,"AAAAAHsfv+k=")</f>
        <v>#VALUE!</v>
      </c>
      <c r="IA134" t="e">
        <f>AND('Planilla_General_03-12-2012_9_3'!J2143,"AAAAAHsfv+o=")</f>
        <v>#VALUE!</v>
      </c>
      <c r="IB134" t="e">
        <f>AND('Planilla_General_03-12-2012_9_3'!K2143,"AAAAAHsfv+s=")</f>
        <v>#VALUE!</v>
      </c>
      <c r="IC134" t="e">
        <f>AND('Planilla_General_03-12-2012_9_3'!L2143,"AAAAAHsfv+w=")</f>
        <v>#VALUE!</v>
      </c>
      <c r="ID134" t="e">
        <f>AND('Planilla_General_03-12-2012_9_3'!M2143,"AAAAAHsfv+0=")</f>
        <v>#VALUE!</v>
      </c>
      <c r="IE134" t="e">
        <f>AND('Planilla_General_03-12-2012_9_3'!N2143,"AAAAAHsfv+4=")</f>
        <v>#VALUE!</v>
      </c>
      <c r="IF134" t="e">
        <f>AND('Planilla_General_03-12-2012_9_3'!O2143,"AAAAAHsfv+8=")</f>
        <v>#VALUE!</v>
      </c>
      <c r="IG134">
        <f>IF('Planilla_General_03-12-2012_9_3'!2144:2144,"AAAAAHsfv/A=",0)</f>
        <v>0</v>
      </c>
      <c r="IH134" t="e">
        <f>AND('Planilla_General_03-12-2012_9_3'!A2144,"AAAAAHsfv/E=")</f>
        <v>#VALUE!</v>
      </c>
      <c r="II134" t="e">
        <f>AND('Planilla_General_03-12-2012_9_3'!B2144,"AAAAAHsfv/I=")</f>
        <v>#VALUE!</v>
      </c>
      <c r="IJ134" t="e">
        <f>AND('Planilla_General_03-12-2012_9_3'!C2144,"AAAAAHsfv/M=")</f>
        <v>#VALUE!</v>
      </c>
      <c r="IK134" t="e">
        <f>AND('Planilla_General_03-12-2012_9_3'!D2144,"AAAAAHsfv/Q=")</f>
        <v>#VALUE!</v>
      </c>
      <c r="IL134" t="e">
        <f>AND('Planilla_General_03-12-2012_9_3'!E2144,"AAAAAHsfv/U=")</f>
        <v>#VALUE!</v>
      </c>
      <c r="IM134" t="e">
        <f>AND('Planilla_General_03-12-2012_9_3'!F2144,"AAAAAHsfv/Y=")</f>
        <v>#VALUE!</v>
      </c>
      <c r="IN134" t="e">
        <f>AND('Planilla_General_03-12-2012_9_3'!G2144,"AAAAAHsfv/c=")</f>
        <v>#VALUE!</v>
      </c>
      <c r="IO134" t="e">
        <f>AND('Planilla_General_03-12-2012_9_3'!H2144,"AAAAAHsfv/g=")</f>
        <v>#VALUE!</v>
      </c>
      <c r="IP134" t="e">
        <f>AND('Planilla_General_03-12-2012_9_3'!I2144,"AAAAAHsfv/k=")</f>
        <v>#VALUE!</v>
      </c>
      <c r="IQ134" t="e">
        <f>AND('Planilla_General_03-12-2012_9_3'!J2144,"AAAAAHsfv/o=")</f>
        <v>#VALUE!</v>
      </c>
      <c r="IR134" t="e">
        <f>AND('Planilla_General_03-12-2012_9_3'!K2144,"AAAAAHsfv/s=")</f>
        <v>#VALUE!</v>
      </c>
      <c r="IS134" t="e">
        <f>AND('Planilla_General_03-12-2012_9_3'!L2144,"AAAAAHsfv/w=")</f>
        <v>#VALUE!</v>
      </c>
      <c r="IT134" t="e">
        <f>AND('Planilla_General_03-12-2012_9_3'!M2144,"AAAAAHsfv/0=")</f>
        <v>#VALUE!</v>
      </c>
      <c r="IU134" t="e">
        <f>AND('Planilla_General_03-12-2012_9_3'!N2144,"AAAAAHsfv/4=")</f>
        <v>#VALUE!</v>
      </c>
      <c r="IV134" t="e">
        <f>AND('Planilla_General_03-12-2012_9_3'!O2144,"AAAAAHsfv/8=")</f>
        <v>#VALUE!</v>
      </c>
    </row>
    <row r="135" spans="1:256" x14ac:dyDescent="0.25">
      <c r="A135" t="e">
        <f>IF('Planilla_General_03-12-2012_9_3'!2145:2145,"AAAAAF/nPwA=",0)</f>
        <v>#VALUE!</v>
      </c>
      <c r="B135" t="e">
        <f>AND('Planilla_General_03-12-2012_9_3'!A2145,"AAAAAF/nPwE=")</f>
        <v>#VALUE!</v>
      </c>
      <c r="C135" t="e">
        <f>AND('Planilla_General_03-12-2012_9_3'!B2145,"AAAAAF/nPwI=")</f>
        <v>#VALUE!</v>
      </c>
      <c r="D135" t="e">
        <f>AND('Planilla_General_03-12-2012_9_3'!C2145,"AAAAAF/nPwM=")</f>
        <v>#VALUE!</v>
      </c>
      <c r="E135" t="e">
        <f>AND('Planilla_General_03-12-2012_9_3'!D2145,"AAAAAF/nPwQ=")</f>
        <v>#VALUE!</v>
      </c>
      <c r="F135" t="e">
        <f>AND('Planilla_General_03-12-2012_9_3'!E2145,"AAAAAF/nPwU=")</f>
        <v>#VALUE!</v>
      </c>
      <c r="G135" t="e">
        <f>AND('Planilla_General_03-12-2012_9_3'!F2145,"AAAAAF/nPwY=")</f>
        <v>#VALUE!</v>
      </c>
      <c r="H135" t="e">
        <f>AND('Planilla_General_03-12-2012_9_3'!G2145,"AAAAAF/nPwc=")</f>
        <v>#VALUE!</v>
      </c>
      <c r="I135" t="e">
        <f>AND('Planilla_General_03-12-2012_9_3'!H2145,"AAAAAF/nPwg=")</f>
        <v>#VALUE!</v>
      </c>
      <c r="J135" t="e">
        <f>AND('Planilla_General_03-12-2012_9_3'!I2145,"AAAAAF/nPwk=")</f>
        <v>#VALUE!</v>
      </c>
      <c r="K135" t="e">
        <f>AND('Planilla_General_03-12-2012_9_3'!J2145,"AAAAAF/nPwo=")</f>
        <v>#VALUE!</v>
      </c>
      <c r="L135" t="e">
        <f>AND('Planilla_General_03-12-2012_9_3'!K2145,"AAAAAF/nPws=")</f>
        <v>#VALUE!</v>
      </c>
      <c r="M135" t="e">
        <f>AND('Planilla_General_03-12-2012_9_3'!L2145,"AAAAAF/nPww=")</f>
        <v>#VALUE!</v>
      </c>
      <c r="N135" t="e">
        <f>AND('Planilla_General_03-12-2012_9_3'!M2145,"AAAAAF/nPw0=")</f>
        <v>#VALUE!</v>
      </c>
      <c r="O135" t="e">
        <f>AND('Planilla_General_03-12-2012_9_3'!N2145,"AAAAAF/nPw4=")</f>
        <v>#VALUE!</v>
      </c>
      <c r="P135" t="e">
        <f>AND('Planilla_General_03-12-2012_9_3'!O2145,"AAAAAF/nPw8=")</f>
        <v>#VALUE!</v>
      </c>
      <c r="Q135">
        <f>IF('Planilla_General_03-12-2012_9_3'!2146:2146,"AAAAAF/nPxA=",0)</f>
        <v>0</v>
      </c>
      <c r="R135" t="e">
        <f>AND('Planilla_General_03-12-2012_9_3'!A2146,"AAAAAF/nPxE=")</f>
        <v>#VALUE!</v>
      </c>
      <c r="S135" t="e">
        <f>AND('Planilla_General_03-12-2012_9_3'!B2146,"AAAAAF/nPxI=")</f>
        <v>#VALUE!</v>
      </c>
      <c r="T135" t="e">
        <f>AND('Planilla_General_03-12-2012_9_3'!C2146,"AAAAAF/nPxM=")</f>
        <v>#VALUE!</v>
      </c>
      <c r="U135" t="e">
        <f>AND('Planilla_General_03-12-2012_9_3'!D2146,"AAAAAF/nPxQ=")</f>
        <v>#VALUE!</v>
      </c>
      <c r="V135" t="e">
        <f>AND('Planilla_General_03-12-2012_9_3'!E2146,"AAAAAF/nPxU=")</f>
        <v>#VALUE!</v>
      </c>
      <c r="W135" t="e">
        <f>AND('Planilla_General_03-12-2012_9_3'!F2146,"AAAAAF/nPxY=")</f>
        <v>#VALUE!</v>
      </c>
      <c r="X135" t="e">
        <f>AND('Planilla_General_03-12-2012_9_3'!G2146,"AAAAAF/nPxc=")</f>
        <v>#VALUE!</v>
      </c>
      <c r="Y135" t="e">
        <f>AND('Planilla_General_03-12-2012_9_3'!H2146,"AAAAAF/nPxg=")</f>
        <v>#VALUE!</v>
      </c>
      <c r="Z135" t="e">
        <f>AND('Planilla_General_03-12-2012_9_3'!I2146,"AAAAAF/nPxk=")</f>
        <v>#VALUE!</v>
      </c>
      <c r="AA135" t="e">
        <f>AND('Planilla_General_03-12-2012_9_3'!J2146,"AAAAAF/nPxo=")</f>
        <v>#VALUE!</v>
      </c>
      <c r="AB135" t="e">
        <f>AND('Planilla_General_03-12-2012_9_3'!K2146,"AAAAAF/nPxs=")</f>
        <v>#VALUE!</v>
      </c>
      <c r="AC135" t="e">
        <f>AND('Planilla_General_03-12-2012_9_3'!L2146,"AAAAAF/nPxw=")</f>
        <v>#VALUE!</v>
      </c>
      <c r="AD135" t="e">
        <f>AND('Planilla_General_03-12-2012_9_3'!M2146,"AAAAAF/nPx0=")</f>
        <v>#VALUE!</v>
      </c>
      <c r="AE135" t="e">
        <f>AND('Planilla_General_03-12-2012_9_3'!N2146,"AAAAAF/nPx4=")</f>
        <v>#VALUE!</v>
      </c>
      <c r="AF135" t="e">
        <f>AND('Planilla_General_03-12-2012_9_3'!O2146,"AAAAAF/nPx8=")</f>
        <v>#VALUE!</v>
      </c>
      <c r="AG135">
        <f>IF('Planilla_General_03-12-2012_9_3'!2147:2147,"AAAAAF/nPyA=",0)</f>
        <v>0</v>
      </c>
      <c r="AH135" t="e">
        <f>AND('Planilla_General_03-12-2012_9_3'!A2147,"AAAAAF/nPyE=")</f>
        <v>#VALUE!</v>
      </c>
      <c r="AI135" t="e">
        <f>AND('Planilla_General_03-12-2012_9_3'!B2147,"AAAAAF/nPyI=")</f>
        <v>#VALUE!</v>
      </c>
      <c r="AJ135" t="e">
        <f>AND('Planilla_General_03-12-2012_9_3'!C2147,"AAAAAF/nPyM=")</f>
        <v>#VALUE!</v>
      </c>
      <c r="AK135" t="e">
        <f>AND('Planilla_General_03-12-2012_9_3'!D2147,"AAAAAF/nPyQ=")</f>
        <v>#VALUE!</v>
      </c>
      <c r="AL135" t="e">
        <f>AND('Planilla_General_03-12-2012_9_3'!E2147,"AAAAAF/nPyU=")</f>
        <v>#VALUE!</v>
      </c>
      <c r="AM135" t="e">
        <f>AND('Planilla_General_03-12-2012_9_3'!F2147,"AAAAAF/nPyY=")</f>
        <v>#VALUE!</v>
      </c>
      <c r="AN135" t="e">
        <f>AND('Planilla_General_03-12-2012_9_3'!G2147,"AAAAAF/nPyc=")</f>
        <v>#VALUE!</v>
      </c>
      <c r="AO135" t="e">
        <f>AND('Planilla_General_03-12-2012_9_3'!H2147,"AAAAAF/nPyg=")</f>
        <v>#VALUE!</v>
      </c>
      <c r="AP135" t="e">
        <f>AND('Planilla_General_03-12-2012_9_3'!I2147,"AAAAAF/nPyk=")</f>
        <v>#VALUE!</v>
      </c>
      <c r="AQ135" t="e">
        <f>AND('Planilla_General_03-12-2012_9_3'!J2147,"AAAAAF/nPyo=")</f>
        <v>#VALUE!</v>
      </c>
      <c r="AR135" t="e">
        <f>AND('Planilla_General_03-12-2012_9_3'!K2147,"AAAAAF/nPys=")</f>
        <v>#VALUE!</v>
      </c>
      <c r="AS135" t="e">
        <f>AND('Planilla_General_03-12-2012_9_3'!L2147,"AAAAAF/nPyw=")</f>
        <v>#VALUE!</v>
      </c>
      <c r="AT135" t="e">
        <f>AND('Planilla_General_03-12-2012_9_3'!M2147,"AAAAAF/nPy0=")</f>
        <v>#VALUE!</v>
      </c>
      <c r="AU135" t="e">
        <f>AND('Planilla_General_03-12-2012_9_3'!N2147,"AAAAAF/nPy4=")</f>
        <v>#VALUE!</v>
      </c>
      <c r="AV135" t="e">
        <f>AND('Planilla_General_03-12-2012_9_3'!O2147,"AAAAAF/nPy8=")</f>
        <v>#VALUE!</v>
      </c>
      <c r="AW135">
        <f>IF('Planilla_General_03-12-2012_9_3'!2148:2148,"AAAAAF/nPzA=",0)</f>
        <v>0</v>
      </c>
      <c r="AX135" t="e">
        <f>AND('Planilla_General_03-12-2012_9_3'!A2148,"AAAAAF/nPzE=")</f>
        <v>#VALUE!</v>
      </c>
      <c r="AY135" t="e">
        <f>AND('Planilla_General_03-12-2012_9_3'!B2148,"AAAAAF/nPzI=")</f>
        <v>#VALUE!</v>
      </c>
      <c r="AZ135" t="e">
        <f>AND('Planilla_General_03-12-2012_9_3'!C2148,"AAAAAF/nPzM=")</f>
        <v>#VALUE!</v>
      </c>
      <c r="BA135" t="e">
        <f>AND('Planilla_General_03-12-2012_9_3'!D2148,"AAAAAF/nPzQ=")</f>
        <v>#VALUE!</v>
      </c>
      <c r="BB135" t="e">
        <f>AND('Planilla_General_03-12-2012_9_3'!E2148,"AAAAAF/nPzU=")</f>
        <v>#VALUE!</v>
      </c>
      <c r="BC135" t="e">
        <f>AND('Planilla_General_03-12-2012_9_3'!F2148,"AAAAAF/nPzY=")</f>
        <v>#VALUE!</v>
      </c>
      <c r="BD135" t="e">
        <f>AND('Planilla_General_03-12-2012_9_3'!G2148,"AAAAAF/nPzc=")</f>
        <v>#VALUE!</v>
      </c>
      <c r="BE135" t="e">
        <f>AND('Planilla_General_03-12-2012_9_3'!H2148,"AAAAAF/nPzg=")</f>
        <v>#VALUE!</v>
      </c>
      <c r="BF135" t="e">
        <f>AND('Planilla_General_03-12-2012_9_3'!I2148,"AAAAAF/nPzk=")</f>
        <v>#VALUE!</v>
      </c>
      <c r="BG135" t="e">
        <f>AND('Planilla_General_03-12-2012_9_3'!J2148,"AAAAAF/nPzo=")</f>
        <v>#VALUE!</v>
      </c>
      <c r="BH135" t="e">
        <f>AND('Planilla_General_03-12-2012_9_3'!K2148,"AAAAAF/nPzs=")</f>
        <v>#VALUE!</v>
      </c>
      <c r="BI135" t="e">
        <f>AND('Planilla_General_03-12-2012_9_3'!L2148,"AAAAAF/nPzw=")</f>
        <v>#VALUE!</v>
      </c>
      <c r="BJ135" t="e">
        <f>AND('Planilla_General_03-12-2012_9_3'!M2148,"AAAAAF/nPz0=")</f>
        <v>#VALUE!</v>
      </c>
      <c r="BK135" t="e">
        <f>AND('Planilla_General_03-12-2012_9_3'!N2148,"AAAAAF/nPz4=")</f>
        <v>#VALUE!</v>
      </c>
      <c r="BL135" t="e">
        <f>AND('Planilla_General_03-12-2012_9_3'!O2148,"AAAAAF/nPz8=")</f>
        <v>#VALUE!</v>
      </c>
      <c r="BM135">
        <f>IF('Planilla_General_03-12-2012_9_3'!2149:2149,"AAAAAF/nP0A=",0)</f>
        <v>0</v>
      </c>
      <c r="BN135" t="e">
        <f>AND('Planilla_General_03-12-2012_9_3'!A2149,"AAAAAF/nP0E=")</f>
        <v>#VALUE!</v>
      </c>
      <c r="BO135" t="e">
        <f>AND('Planilla_General_03-12-2012_9_3'!B2149,"AAAAAF/nP0I=")</f>
        <v>#VALUE!</v>
      </c>
      <c r="BP135" t="e">
        <f>AND('Planilla_General_03-12-2012_9_3'!C2149,"AAAAAF/nP0M=")</f>
        <v>#VALUE!</v>
      </c>
      <c r="BQ135" t="e">
        <f>AND('Planilla_General_03-12-2012_9_3'!D2149,"AAAAAF/nP0Q=")</f>
        <v>#VALUE!</v>
      </c>
      <c r="BR135" t="e">
        <f>AND('Planilla_General_03-12-2012_9_3'!E2149,"AAAAAF/nP0U=")</f>
        <v>#VALUE!</v>
      </c>
      <c r="BS135" t="e">
        <f>AND('Planilla_General_03-12-2012_9_3'!F2149,"AAAAAF/nP0Y=")</f>
        <v>#VALUE!</v>
      </c>
      <c r="BT135" t="e">
        <f>AND('Planilla_General_03-12-2012_9_3'!G2149,"AAAAAF/nP0c=")</f>
        <v>#VALUE!</v>
      </c>
      <c r="BU135" t="e">
        <f>AND('Planilla_General_03-12-2012_9_3'!H2149,"AAAAAF/nP0g=")</f>
        <v>#VALUE!</v>
      </c>
      <c r="BV135" t="e">
        <f>AND('Planilla_General_03-12-2012_9_3'!I2149,"AAAAAF/nP0k=")</f>
        <v>#VALUE!</v>
      </c>
      <c r="BW135" t="e">
        <f>AND('Planilla_General_03-12-2012_9_3'!J2149,"AAAAAF/nP0o=")</f>
        <v>#VALUE!</v>
      </c>
      <c r="BX135" t="e">
        <f>AND('Planilla_General_03-12-2012_9_3'!K2149,"AAAAAF/nP0s=")</f>
        <v>#VALUE!</v>
      </c>
      <c r="BY135" t="e">
        <f>AND('Planilla_General_03-12-2012_9_3'!L2149,"AAAAAF/nP0w=")</f>
        <v>#VALUE!</v>
      </c>
      <c r="BZ135" t="e">
        <f>AND('Planilla_General_03-12-2012_9_3'!M2149,"AAAAAF/nP00=")</f>
        <v>#VALUE!</v>
      </c>
      <c r="CA135" t="e">
        <f>AND('Planilla_General_03-12-2012_9_3'!N2149,"AAAAAF/nP04=")</f>
        <v>#VALUE!</v>
      </c>
      <c r="CB135" t="e">
        <f>AND('Planilla_General_03-12-2012_9_3'!O2149,"AAAAAF/nP08=")</f>
        <v>#VALUE!</v>
      </c>
      <c r="CC135">
        <f>IF('Planilla_General_03-12-2012_9_3'!2150:2150,"AAAAAF/nP1A=",0)</f>
        <v>0</v>
      </c>
      <c r="CD135" t="e">
        <f>AND('Planilla_General_03-12-2012_9_3'!A2150,"AAAAAF/nP1E=")</f>
        <v>#VALUE!</v>
      </c>
      <c r="CE135" t="e">
        <f>AND('Planilla_General_03-12-2012_9_3'!B2150,"AAAAAF/nP1I=")</f>
        <v>#VALUE!</v>
      </c>
      <c r="CF135" t="e">
        <f>AND('Planilla_General_03-12-2012_9_3'!C2150,"AAAAAF/nP1M=")</f>
        <v>#VALUE!</v>
      </c>
      <c r="CG135" t="e">
        <f>AND('Planilla_General_03-12-2012_9_3'!D2150,"AAAAAF/nP1Q=")</f>
        <v>#VALUE!</v>
      </c>
      <c r="CH135" t="e">
        <f>AND('Planilla_General_03-12-2012_9_3'!E2150,"AAAAAF/nP1U=")</f>
        <v>#VALUE!</v>
      </c>
      <c r="CI135" t="e">
        <f>AND('Planilla_General_03-12-2012_9_3'!F2150,"AAAAAF/nP1Y=")</f>
        <v>#VALUE!</v>
      </c>
      <c r="CJ135" t="e">
        <f>AND('Planilla_General_03-12-2012_9_3'!G2150,"AAAAAF/nP1c=")</f>
        <v>#VALUE!</v>
      </c>
      <c r="CK135" t="e">
        <f>AND('Planilla_General_03-12-2012_9_3'!H2150,"AAAAAF/nP1g=")</f>
        <v>#VALUE!</v>
      </c>
      <c r="CL135" t="e">
        <f>AND('Planilla_General_03-12-2012_9_3'!I2150,"AAAAAF/nP1k=")</f>
        <v>#VALUE!</v>
      </c>
      <c r="CM135" t="e">
        <f>AND('Planilla_General_03-12-2012_9_3'!J2150,"AAAAAF/nP1o=")</f>
        <v>#VALUE!</v>
      </c>
      <c r="CN135" t="e">
        <f>AND('Planilla_General_03-12-2012_9_3'!K2150,"AAAAAF/nP1s=")</f>
        <v>#VALUE!</v>
      </c>
      <c r="CO135" t="e">
        <f>AND('Planilla_General_03-12-2012_9_3'!L2150,"AAAAAF/nP1w=")</f>
        <v>#VALUE!</v>
      </c>
      <c r="CP135" t="e">
        <f>AND('Planilla_General_03-12-2012_9_3'!M2150,"AAAAAF/nP10=")</f>
        <v>#VALUE!</v>
      </c>
      <c r="CQ135" t="e">
        <f>AND('Planilla_General_03-12-2012_9_3'!N2150,"AAAAAF/nP14=")</f>
        <v>#VALUE!</v>
      </c>
      <c r="CR135" t="e">
        <f>AND('Planilla_General_03-12-2012_9_3'!O2150,"AAAAAF/nP18=")</f>
        <v>#VALUE!</v>
      </c>
      <c r="CS135">
        <f>IF('Planilla_General_03-12-2012_9_3'!2151:2151,"AAAAAF/nP2A=",0)</f>
        <v>0</v>
      </c>
      <c r="CT135" t="e">
        <f>AND('Planilla_General_03-12-2012_9_3'!A2151,"AAAAAF/nP2E=")</f>
        <v>#VALUE!</v>
      </c>
      <c r="CU135" t="e">
        <f>AND('Planilla_General_03-12-2012_9_3'!B2151,"AAAAAF/nP2I=")</f>
        <v>#VALUE!</v>
      </c>
      <c r="CV135" t="e">
        <f>AND('Planilla_General_03-12-2012_9_3'!C2151,"AAAAAF/nP2M=")</f>
        <v>#VALUE!</v>
      </c>
      <c r="CW135" t="e">
        <f>AND('Planilla_General_03-12-2012_9_3'!D2151,"AAAAAF/nP2Q=")</f>
        <v>#VALUE!</v>
      </c>
      <c r="CX135" t="e">
        <f>AND('Planilla_General_03-12-2012_9_3'!E2151,"AAAAAF/nP2U=")</f>
        <v>#VALUE!</v>
      </c>
      <c r="CY135" t="e">
        <f>AND('Planilla_General_03-12-2012_9_3'!F2151,"AAAAAF/nP2Y=")</f>
        <v>#VALUE!</v>
      </c>
      <c r="CZ135" t="e">
        <f>AND('Planilla_General_03-12-2012_9_3'!G2151,"AAAAAF/nP2c=")</f>
        <v>#VALUE!</v>
      </c>
      <c r="DA135" t="e">
        <f>AND('Planilla_General_03-12-2012_9_3'!H2151,"AAAAAF/nP2g=")</f>
        <v>#VALUE!</v>
      </c>
      <c r="DB135" t="e">
        <f>AND('Planilla_General_03-12-2012_9_3'!I2151,"AAAAAF/nP2k=")</f>
        <v>#VALUE!</v>
      </c>
      <c r="DC135" t="e">
        <f>AND('Planilla_General_03-12-2012_9_3'!J2151,"AAAAAF/nP2o=")</f>
        <v>#VALUE!</v>
      </c>
      <c r="DD135" t="e">
        <f>AND('Planilla_General_03-12-2012_9_3'!K2151,"AAAAAF/nP2s=")</f>
        <v>#VALUE!</v>
      </c>
      <c r="DE135" t="e">
        <f>AND('Planilla_General_03-12-2012_9_3'!L2151,"AAAAAF/nP2w=")</f>
        <v>#VALUE!</v>
      </c>
      <c r="DF135" t="e">
        <f>AND('Planilla_General_03-12-2012_9_3'!M2151,"AAAAAF/nP20=")</f>
        <v>#VALUE!</v>
      </c>
      <c r="DG135" t="e">
        <f>AND('Planilla_General_03-12-2012_9_3'!N2151,"AAAAAF/nP24=")</f>
        <v>#VALUE!</v>
      </c>
      <c r="DH135" t="e">
        <f>AND('Planilla_General_03-12-2012_9_3'!O2151,"AAAAAF/nP28=")</f>
        <v>#VALUE!</v>
      </c>
      <c r="DI135">
        <f>IF('Planilla_General_03-12-2012_9_3'!2152:2152,"AAAAAF/nP3A=",0)</f>
        <v>0</v>
      </c>
      <c r="DJ135" t="e">
        <f>AND('Planilla_General_03-12-2012_9_3'!A2152,"AAAAAF/nP3E=")</f>
        <v>#VALUE!</v>
      </c>
      <c r="DK135" t="e">
        <f>AND('Planilla_General_03-12-2012_9_3'!B2152,"AAAAAF/nP3I=")</f>
        <v>#VALUE!</v>
      </c>
      <c r="DL135" t="e">
        <f>AND('Planilla_General_03-12-2012_9_3'!C2152,"AAAAAF/nP3M=")</f>
        <v>#VALUE!</v>
      </c>
      <c r="DM135" t="e">
        <f>AND('Planilla_General_03-12-2012_9_3'!D2152,"AAAAAF/nP3Q=")</f>
        <v>#VALUE!</v>
      </c>
      <c r="DN135" t="e">
        <f>AND('Planilla_General_03-12-2012_9_3'!E2152,"AAAAAF/nP3U=")</f>
        <v>#VALUE!</v>
      </c>
      <c r="DO135" t="e">
        <f>AND('Planilla_General_03-12-2012_9_3'!F2152,"AAAAAF/nP3Y=")</f>
        <v>#VALUE!</v>
      </c>
      <c r="DP135" t="e">
        <f>AND('Planilla_General_03-12-2012_9_3'!G2152,"AAAAAF/nP3c=")</f>
        <v>#VALUE!</v>
      </c>
      <c r="DQ135" t="e">
        <f>AND('Planilla_General_03-12-2012_9_3'!H2152,"AAAAAF/nP3g=")</f>
        <v>#VALUE!</v>
      </c>
      <c r="DR135" t="e">
        <f>AND('Planilla_General_03-12-2012_9_3'!I2152,"AAAAAF/nP3k=")</f>
        <v>#VALUE!</v>
      </c>
      <c r="DS135" t="e">
        <f>AND('Planilla_General_03-12-2012_9_3'!J2152,"AAAAAF/nP3o=")</f>
        <v>#VALUE!</v>
      </c>
      <c r="DT135" t="e">
        <f>AND('Planilla_General_03-12-2012_9_3'!K2152,"AAAAAF/nP3s=")</f>
        <v>#VALUE!</v>
      </c>
      <c r="DU135" t="e">
        <f>AND('Planilla_General_03-12-2012_9_3'!L2152,"AAAAAF/nP3w=")</f>
        <v>#VALUE!</v>
      </c>
      <c r="DV135" t="e">
        <f>AND('Planilla_General_03-12-2012_9_3'!M2152,"AAAAAF/nP30=")</f>
        <v>#VALUE!</v>
      </c>
      <c r="DW135" t="e">
        <f>AND('Planilla_General_03-12-2012_9_3'!N2152,"AAAAAF/nP34=")</f>
        <v>#VALUE!</v>
      </c>
      <c r="DX135" t="e">
        <f>AND('Planilla_General_03-12-2012_9_3'!O2152,"AAAAAF/nP38=")</f>
        <v>#VALUE!</v>
      </c>
      <c r="DY135">
        <f>IF('Planilla_General_03-12-2012_9_3'!2153:2153,"AAAAAF/nP4A=",0)</f>
        <v>0</v>
      </c>
      <c r="DZ135" t="e">
        <f>AND('Planilla_General_03-12-2012_9_3'!A2153,"AAAAAF/nP4E=")</f>
        <v>#VALUE!</v>
      </c>
      <c r="EA135" t="e">
        <f>AND('Planilla_General_03-12-2012_9_3'!B2153,"AAAAAF/nP4I=")</f>
        <v>#VALUE!</v>
      </c>
      <c r="EB135" t="e">
        <f>AND('Planilla_General_03-12-2012_9_3'!C2153,"AAAAAF/nP4M=")</f>
        <v>#VALUE!</v>
      </c>
      <c r="EC135" t="e">
        <f>AND('Planilla_General_03-12-2012_9_3'!D2153,"AAAAAF/nP4Q=")</f>
        <v>#VALUE!</v>
      </c>
      <c r="ED135" t="e">
        <f>AND('Planilla_General_03-12-2012_9_3'!E2153,"AAAAAF/nP4U=")</f>
        <v>#VALUE!</v>
      </c>
      <c r="EE135" t="e">
        <f>AND('Planilla_General_03-12-2012_9_3'!F2153,"AAAAAF/nP4Y=")</f>
        <v>#VALUE!</v>
      </c>
      <c r="EF135" t="e">
        <f>AND('Planilla_General_03-12-2012_9_3'!G2153,"AAAAAF/nP4c=")</f>
        <v>#VALUE!</v>
      </c>
      <c r="EG135" t="e">
        <f>AND('Planilla_General_03-12-2012_9_3'!H2153,"AAAAAF/nP4g=")</f>
        <v>#VALUE!</v>
      </c>
      <c r="EH135" t="e">
        <f>AND('Planilla_General_03-12-2012_9_3'!I2153,"AAAAAF/nP4k=")</f>
        <v>#VALUE!</v>
      </c>
      <c r="EI135" t="e">
        <f>AND('Planilla_General_03-12-2012_9_3'!J2153,"AAAAAF/nP4o=")</f>
        <v>#VALUE!</v>
      </c>
      <c r="EJ135" t="e">
        <f>AND('Planilla_General_03-12-2012_9_3'!K2153,"AAAAAF/nP4s=")</f>
        <v>#VALUE!</v>
      </c>
      <c r="EK135" t="e">
        <f>AND('Planilla_General_03-12-2012_9_3'!L2153,"AAAAAF/nP4w=")</f>
        <v>#VALUE!</v>
      </c>
      <c r="EL135" t="e">
        <f>AND('Planilla_General_03-12-2012_9_3'!M2153,"AAAAAF/nP40=")</f>
        <v>#VALUE!</v>
      </c>
      <c r="EM135" t="e">
        <f>AND('Planilla_General_03-12-2012_9_3'!N2153,"AAAAAF/nP44=")</f>
        <v>#VALUE!</v>
      </c>
      <c r="EN135" t="e">
        <f>AND('Planilla_General_03-12-2012_9_3'!O2153,"AAAAAF/nP48=")</f>
        <v>#VALUE!</v>
      </c>
      <c r="EO135">
        <f>IF('Planilla_General_03-12-2012_9_3'!2154:2154,"AAAAAF/nP5A=",0)</f>
        <v>0</v>
      </c>
      <c r="EP135" t="e">
        <f>AND('Planilla_General_03-12-2012_9_3'!A2154,"AAAAAF/nP5E=")</f>
        <v>#VALUE!</v>
      </c>
      <c r="EQ135" t="e">
        <f>AND('Planilla_General_03-12-2012_9_3'!B2154,"AAAAAF/nP5I=")</f>
        <v>#VALUE!</v>
      </c>
      <c r="ER135" t="e">
        <f>AND('Planilla_General_03-12-2012_9_3'!C2154,"AAAAAF/nP5M=")</f>
        <v>#VALUE!</v>
      </c>
      <c r="ES135" t="e">
        <f>AND('Planilla_General_03-12-2012_9_3'!D2154,"AAAAAF/nP5Q=")</f>
        <v>#VALUE!</v>
      </c>
      <c r="ET135" t="e">
        <f>AND('Planilla_General_03-12-2012_9_3'!E2154,"AAAAAF/nP5U=")</f>
        <v>#VALUE!</v>
      </c>
      <c r="EU135" t="e">
        <f>AND('Planilla_General_03-12-2012_9_3'!F2154,"AAAAAF/nP5Y=")</f>
        <v>#VALUE!</v>
      </c>
      <c r="EV135" t="e">
        <f>AND('Planilla_General_03-12-2012_9_3'!G2154,"AAAAAF/nP5c=")</f>
        <v>#VALUE!</v>
      </c>
      <c r="EW135" t="e">
        <f>AND('Planilla_General_03-12-2012_9_3'!H2154,"AAAAAF/nP5g=")</f>
        <v>#VALUE!</v>
      </c>
      <c r="EX135" t="e">
        <f>AND('Planilla_General_03-12-2012_9_3'!I2154,"AAAAAF/nP5k=")</f>
        <v>#VALUE!</v>
      </c>
      <c r="EY135" t="e">
        <f>AND('Planilla_General_03-12-2012_9_3'!J2154,"AAAAAF/nP5o=")</f>
        <v>#VALUE!</v>
      </c>
      <c r="EZ135" t="e">
        <f>AND('Planilla_General_03-12-2012_9_3'!K2154,"AAAAAF/nP5s=")</f>
        <v>#VALUE!</v>
      </c>
      <c r="FA135" t="e">
        <f>AND('Planilla_General_03-12-2012_9_3'!L2154,"AAAAAF/nP5w=")</f>
        <v>#VALUE!</v>
      </c>
      <c r="FB135" t="e">
        <f>AND('Planilla_General_03-12-2012_9_3'!M2154,"AAAAAF/nP50=")</f>
        <v>#VALUE!</v>
      </c>
      <c r="FC135" t="e">
        <f>AND('Planilla_General_03-12-2012_9_3'!N2154,"AAAAAF/nP54=")</f>
        <v>#VALUE!</v>
      </c>
      <c r="FD135" t="e">
        <f>AND('Planilla_General_03-12-2012_9_3'!O2154,"AAAAAF/nP58=")</f>
        <v>#VALUE!</v>
      </c>
      <c r="FE135">
        <f>IF('Planilla_General_03-12-2012_9_3'!2155:2155,"AAAAAF/nP6A=",0)</f>
        <v>0</v>
      </c>
      <c r="FF135" t="e">
        <f>AND('Planilla_General_03-12-2012_9_3'!A2155,"AAAAAF/nP6E=")</f>
        <v>#VALUE!</v>
      </c>
      <c r="FG135" t="e">
        <f>AND('Planilla_General_03-12-2012_9_3'!B2155,"AAAAAF/nP6I=")</f>
        <v>#VALUE!</v>
      </c>
      <c r="FH135" t="e">
        <f>AND('Planilla_General_03-12-2012_9_3'!C2155,"AAAAAF/nP6M=")</f>
        <v>#VALUE!</v>
      </c>
      <c r="FI135" t="e">
        <f>AND('Planilla_General_03-12-2012_9_3'!D2155,"AAAAAF/nP6Q=")</f>
        <v>#VALUE!</v>
      </c>
      <c r="FJ135" t="e">
        <f>AND('Planilla_General_03-12-2012_9_3'!E2155,"AAAAAF/nP6U=")</f>
        <v>#VALUE!</v>
      </c>
      <c r="FK135" t="e">
        <f>AND('Planilla_General_03-12-2012_9_3'!F2155,"AAAAAF/nP6Y=")</f>
        <v>#VALUE!</v>
      </c>
      <c r="FL135" t="e">
        <f>AND('Planilla_General_03-12-2012_9_3'!G2155,"AAAAAF/nP6c=")</f>
        <v>#VALUE!</v>
      </c>
      <c r="FM135" t="e">
        <f>AND('Planilla_General_03-12-2012_9_3'!H2155,"AAAAAF/nP6g=")</f>
        <v>#VALUE!</v>
      </c>
      <c r="FN135" t="e">
        <f>AND('Planilla_General_03-12-2012_9_3'!I2155,"AAAAAF/nP6k=")</f>
        <v>#VALUE!</v>
      </c>
      <c r="FO135" t="e">
        <f>AND('Planilla_General_03-12-2012_9_3'!J2155,"AAAAAF/nP6o=")</f>
        <v>#VALUE!</v>
      </c>
      <c r="FP135" t="e">
        <f>AND('Planilla_General_03-12-2012_9_3'!K2155,"AAAAAF/nP6s=")</f>
        <v>#VALUE!</v>
      </c>
      <c r="FQ135" t="e">
        <f>AND('Planilla_General_03-12-2012_9_3'!L2155,"AAAAAF/nP6w=")</f>
        <v>#VALUE!</v>
      </c>
      <c r="FR135" t="e">
        <f>AND('Planilla_General_03-12-2012_9_3'!M2155,"AAAAAF/nP60=")</f>
        <v>#VALUE!</v>
      </c>
      <c r="FS135" t="e">
        <f>AND('Planilla_General_03-12-2012_9_3'!N2155,"AAAAAF/nP64=")</f>
        <v>#VALUE!</v>
      </c>
      <c r="FT135" t="e">
        <f>AND('Planilla_General_03-12-2012_9_3'!O2155,"AAAAAF/nP68=")</f>
        <v>#VALUE!</v>
      </c>
      <c r="FU135">
        <f>IF('Planilla_General_03-12-2012_9_3'!2156:2156,"AAAAAF/nP7A=",0)</f>
        <v>0</v>
      </c>
      <c r="FV135" t="e">
        <f>AND('Planilla_General_03-12-2012_9_3'!A2156,"AAAAAF/nP7E=")</f>
        <v>#VALUE!</v>
      </c>
      <c r="FW135" t="e">
        <f>AND('Planilla_General_03-12-2012_9_3'!B2156,"AAAAAF/nP7I=")</f>
        <v>#VALUE!</v>
      </c>
      <c r="FX135" t="e">
        <f>AND('Planilla_General_03-12-2012_9_3'!C2156,"AAAAAF/nP7M=")</f>
        <v>#VALUE!</v>
      </c>
      <c r="FY135" t="e">
        <f>AND('Planilla_General_03-12-2012_9_3'!D2156,"AAAAAF/nP7Q=")</f>
        <v>#VALUE!</v>
      </c>
      <c r="FZ135" t="e">
        <f>AND('Planilla_General_03-12-2012_9_3'!E2156,"AAAAAF/nP7U=")</f>
        <v>#VALUE!</v>
      </c>
      <c r="GA135" t="e">
        <f>AND('Planilla_General_03-12-2012_9_3'!F2156,"AAAAAF/nP7Y=")</f>
        <v>#VALUE!</v>
      </c>
      <c r="GB135" t="e">
        <f>AND('Planilla_General_03-12-2012_9_3'!G2156,"AAAAAF/nP7c=")</f>
        <v>#VALUE!</v>
      </c>
      <c r="GC135" t="e">
        <f>AND('Planilla_General_03-12-2012_9_3'!H2156,"AAAAAF/nP7g=")</f>
        <v>#VALUE!</v>
      </c>
      <c r="GD135" t="e">
        <f>AND('Planilla_General_03-12-2012_9_3'!I2156,"AAAAAF/nP7k=")</f>
        <v>#VALUE!</v>
      </c>
      <c r="GE135" t="e">
        <f>AND('Planilla_General_03-12-2012_9_3'!J2156,"AAAAAF/nP7o=")</f>
        <v>#VALUE!</v>
      </c>
      <c r="GF135" t="e">
        <f>AND('Planilla_General_03-12-2012_9_3'!K2156,"AAAAAF/nP7s=")</f>
        <v>#VALUE!</v>
      </c>
      <c r="GG135" t="e">
        <f>AND('Planilla_General_03-12-2012_9_3'!L2156,"AAAAAF/nP7w=")</f>
        <v>#VALUE!</v>
      </c>
      <c r="GH135" t="e">
        <f>AND('Planilla_General_03-12-2012_9_3'!M2156,"AAAAAF/nP70=")</f>
        <v>#VALUE!</v>
      </c>
      <c r="GI135" t="e">
        <f>AND('Planilla_General_03-12-2012_9_3'!N2156,"AAAAAF/nP74=")</f>
        <v>#VALUE!</v>
      </c>
      <c r="GJ135" t="e">
        <f>AND('Planilla_General_03-12-2012_9_3'!O2156,"AAAAAF/nP78=")</f>
        <v>#VALUE!</v>
      </c>
      <c r="GK135">
        <f>IF('Planilla_General_03-12-2012_9_3'!2157:2157,"AAAAAF/nP8A=",0)</f>
        <v>0</v>
      </c>
      <c r="GL135" t="e">
        <f>AND('Planilla_General_03-12-2012_9_3'!A2157,"AAAAAF/nP8E=")</f>
        <v>#VALUE!</v>
      </c>
      <c r="GM135" t="e">
        <f>AND('Planilla_General_03-12-2012_9_3'!B2157,"AAAAAF/nP8I=")</f>
        <v>#VALUE!</v>
      </c>
      <c r="GN135" t="e">
        <f>AND('Planilla_General_03-12-2012_9_3'!C2157,"AAAAAF/nP8M=")</f>
        <v>#VALUE!</v>
      </c>
      <c r="GO135" t="e">
        <f>AND('Planilla_General_03-12-2012_9_3'!D2157,"AAAAAF/nP8Q=")</f>
        <v>#VALUE!</v>
      </c>
      <c r="GP135" t="e">
        <f>AND('Planilla_General_03-12-2012_9_3'!E2157,"AAAAAF/nP8U=")</f>
        <v>#VALUE!</v>
      </c>
      <c r="GQ135" t="e">
        <f>AND('Planilla_General_03-12-2012_9_3'!F2157,"AAAAAF/nP8Y=")</f>
        <v>#VALUE!</v>
      </c>
      <c r="GR135" t="e">
        <f>AND('Planilla_General_03-12-2012_9_3'!G2157,"AAAAAF/nP8c=")</f>
        <v>#VALUE!</v>
      </c>
      <c r="GS135" t="e">
        <f>AND('Planilla_General_03-12-2012_9_3'!H2157,"AAAAAF/nP8g=")</f>
        <v>#VALUE!</v>
      </c>
      <c r="GT135" t="e">
        <f>AND('Planilla_General_03-12-2012_9_3'!I2157,"AAAAAF/nP8k=")</f>
        <v>#VALUE!</v>
      </c>
      <c r="GU135" t="e">
        <f>AND('Planilla_General_03-12-2012_9_3'!J2157,"AAAAAF/nP8o=")</f>
        <v>#VALUE!</v>
      </c>
      <c r="GV135" t="e">
        <f>AND('Planilla_General_03-12-2012_9_3'!K2157,"AAAAAF/nP8s=")</f>
        <v>#VALUE!</v>
      </c>
      <c r="GW135" t="e">
        <f>AND('Planilla_General_03-12-2012_9_3'!L2157,"AAAAAF/nP8w=")</f>
        <v>#VALUE!</v>
      </c>
      <c r="GX135" t="e">
        <f>AND('Planilla_General_03-12-2012_9_3'!M2157,"AAAAAF/nP80=")</f>
        <v>#VALUE!</v>
      </c>
      <c r="GY135" t="e">
        <f>AND('Planilla_General_03-12-2012_9_3'!N2157,"AAAAAF/nP84=")</f>
        <v>#VALUE!</v>
      </c>
      <c r="GZ135" t="e">
        <f>AND('Planilla_General_03-12-2012_9_3'!O2157,"AAAAAF/nP88=")</f>
        <v>#VALUE!</v>
      </c>
      <c r="HA135">
        <f>IF('Planilla_General_03-12-2012_9_3'!2158:2158,"AAAAAF/nP9A=",0)</f>
        <v>0</v>
      </c>
      <c r="HB135" t="e">
        <f>AND('Planilla_General_03-12-2012_9_3'!A2158,"AAAAAF/nP9E=")</f>
        <v>#VALUE!</v>
      </c>
      <c r="HC135" t="e">
        <f>AND('Planilla_General_03-12-2012_9_3'!B2158,"AAAAAF/nP9I=")</f>
        <v>#VALUE!</v>
      </c>
      <c r="HD135" t="e">
        <f>AND('Planilla_General_03-12-2012_9_3'!C2158,"AAAAAF/nP9M=")</f>
        <v>#VALUE!</v>
      </c>
      <c r="HE135" t="e">
        <f>AND('Planilla_General_03-12-2012_9_3'!D2158,"AAAAAF/nP9Q=")</f>
        <v>#VALUE!</v>
      </c>
      <c r="HF135" t="e">
        <f>AND('Planilla_General_03-12-2012_9_3'!E2158,"AAAAAF/nP9U=")</f>
        <v>#VALUE!</v>
      </c>
      <c r="HG135" t="e">
        <f>AND('Planilla_General_03-12-2012_9_3'!F2158,"AAAAAF/nP9Y=")</f>
        <v>#VALUE!</v>
      </c>
      <c r="HH135" t="e">
        <f>AND('Planilla_General_03-12-2012_9_3'!G2158,"AAAAAF/nP9c=")</f>
        <v>#VALUE!</v>
      </c>
      <c r="HI135" t="e">
        <f>AND('Planilla_General_03-12-2012_9_3'!H2158,"AAAAAF/nP9g=")</f>
        <v>#VALUE!</v>
      </c>
      <c r="HJ135" t="e">
        <f>AND('Planilla_General_03-12-2012_9_3'!I2158,"AAAAAF/nP9k=")</f>
        <v>#VALUE!</v>
      </c>
      <c r="HK135" t="e">
        <f>AND('Planilla_General_03-12-2012_9_3'!J2158,"AAAAAF/nP9o=")</f>
        <v>#VALUE!</v>
      </c>
      <c r="HL135" t="e">
        <f>AND('Planilla_General_03-12-2012_9_3'!K2158,"AAAAAF/nP9s=")</f>
        <v>#VALUE!</v>
      </c>
      <c r="HM135" t="e">
        <f>AND('Planilla_General_03-12-2012_9_3'!L2158,"AAAAAF/nP9w=")</f>
        <v>#VALUE!</v>
      </c>
      <c r="HN135" t="e">
        <f>AND('Planilla_General_03-12-2012_9_3'!M2158,"AAAAAF/nP90=")</f>
        <v>#VALUE!</v>
      </c>
      <c r="HO135" t="e">
        <f>AND('Planilla_General_03-12-2012_9_3'!N2158,"AAAAAF/nP94=")</f>
        <v>#VALUE!</v>
      </c>
      <c r="HP135" t="e">
        <f>AND('Planilla_General_03-12-2012_9_3'!O2158,"AAAAAF/nP98=")</f>
        <v>#VALUE!</v>
      </c>
      <c r="HQ135">
        <f>IF('Planilla_General_03-12-2012_9_3'!2159:2159,"AAAAAF/nP+A=",0)</f>
        <v>0</v>
      </c>
      <c r="HR135" t="e">
        <f>AND('Planilla_General_03-12-2012_9_3'!A2159,"AAAAAF/nP+E=")</f>
        <v>#VALUE!</v>
      </c>
      <c r="HS135" t="e">
        <f>AND('Planilla_General_03-12-2012_9_3'!B2159,"AAAAAF/nP+I=")</f>
        <v>#VALUE!</v>
      </c>
      <c r="HT135" t="e">
        <f>AND('Planilla_General_03-12-2012_9_3'!C2159,"AAAAAF/nP+M=")</f>
        <v>#VALUE!</v>
      </c>
      <c r="HU135" t="e">
        <f>AND('Planilla_General_03-12-2012_9_3'!D2159,"AAAAAF/nP+Q=")</f>
        <v>#VALUE!</v>
      </c>
      <c r="HV135" t="e">
        <f>AND('Planilla_General_03-12-2012_9_3'!E2159,"AAAAAF/nP+U=")</f>
        <v>#VALUE!</v>
      </c>
      <c r="HW135" t="e">
        <f>AND('Planilla_General_03-12-2012_9_3'!F2159,"AAAAAF/nP+Y=")</f>
        <v>#VALUE!</v>
      </c>
      <c r="HX135" t="e">
        <f>AND('Planilla_General_03-12-2012_9_3'!G2159,"AAAAAF/nP+c=")</f>
        <v>#VALUE!</v>
      </c>
      <c r="HY135" t="e">
        <f>AND('Planilla_General_03-12-2012_9_3'!H2159,"AAAAAF/nP+g=")</f>
        <v>#VALUE!</v>
      </c>
      <c r="HZ135" t="e">
        <f>AND('Planilla_General_03-12-2012_9_3'!I2159,"AAAAAF/nP+k=")</f>
        <v>#VALUE!</v>
      </c>
      <c r="IA135" t="e">
        <f>AND('Planilla_General_03-12-2012_9_3'!J2159,"AAAAAF/nP+o=")</f>
        <v>#VALUE!</v>
      </c>
      <c r="IB135" t="e">
        <f>AND('Planilla_General_03-12-2012_9_3'!K2159,"AAAAAF/nP+s=")</f>
        <v>#VALUE!</v>
      </c>
      <c r="IC135" t="e">
        <f>AND('Planilla_General_03-12-2012_9_3'!L2159,"AAAAAF/nP+w=")</f>
        <v>#VALUE!</v>
      </c>
      <c r="ID135" t="e">
        <f>AND('Planilla_General_03-12-2012_9_3'!M2159,"AAAAAF/nP+0=")</f>
        <v>#VALUE!</v>
      </c>
      <c r="IE135" t="e">
        <f>AND('Planilla_General_03-12-2012_9_3'!N2159,"AAAAAF/nP+4=")</f>
        <v>#VALUE!</v>
      </c>
      <c r="IF135" t="e">
        <f>AND('Planilla_General_03-12-2012_9_3'!O2159,"AAAAAF/nP+8=")</f>
        <v>#VALUE!</v>
      </c>
      <c r="IG135">
        <f>IF('Planilla_General_03-12-2012_9_3'!2160:2160,"AAAAAF/nP/A=",0)</f>
        <v>0</v>
      </c>
      <c r="IH135" t="e">
        <f>AND('Planilla_General_03-12-2012_9_3'!A2160,"AAAAAF/nP/E=")</f>
        <v>#VALUE!</v>
      </c>
      <c r="II135" t="e">
        <f>AND('Planilla_General_03-12-2012_9_3'!B2160,"AAAAAF/nP/I=")</f>
        <v>#VALUE!</v>
      </c>
      <c r="IJ135" t="e">
        <f>AND('Planilla_General_03-12-2012_9_3'!C2160,"AAAAAF/nP/M=")</f>
        <v>#VALUE!</v>
      </c>
      <c r="IK135" t="e">
        <f>AND('Planilla_General_03-12-2012_9_3'!D2160,"AAAAAF/nP/Q=")</f>
        <v>#VALUE!</v>
      </c>
      <c r="IL135" t="e">
        <f>AND('Planilla_General_03-12-2012_9_3'!E2160,"AAAAAF/nP/U=")</f>
        <v>#VALUE!</v>
      </c>
      <c r="IM135" t="e">
        <f>AND('Planilla_General_03-12-2012_9_3'!F2160,"AAAAAF/nP/Y=")</f>
        <v>#VALUE!</v>
      </c>
      <c r="IN135" t="e">
        <f>AND('Planilla_General_03-12-2012_9_3'!G2160,"AAAAAF/nP/c=")</f>
        <v>#VALUE!</v>
      </c>
      <c r="IO135" t="e">
        <f>AND('Planilla_General_03-12-2012_9_3'!H2160,"AAAAAF/nP/g=")</f>
        <v>#VALUE!</v>
      </c>
      <c r="IP135" t="e">
        <f>AND('Planilla_General_03-12-2012_9_3'!I2160,"AAAAAF/nP/k=")</f>
        <v>#VALUE!</v>
      </c>
      <c r="IQ135" t="e">
        <f>AND('Planilla_General_03-12-2012_9_3'!J2160,"AAAAAF/nP/o=")</f>
        <v>#VALUE!</v>
      </c>
      <c r="IR135" t="e">
        <f>AND('Planilla_General_03-12-2012_9_3'!K2160,"AAAAAF/nP/s=")</f>
        <v>#VALUE!</v>
      </c>
      <c r="IS135" t="e">
        <f>AND('Planilla_General_03-12-2012_9_3'!L2160,"AAAAAF/nP/w=")</f>
        <v>#VALUE!</v>
      </c>
      <c r="IT135" t="e">
        <f>AND('Planilla_General_03-12-2012_9_3'!M2160,"AAAAAF/nP/0=")</f>
        <v>#VALUE!</v>
      </c>
      <c r="IU135" t="e">
        <f>AND('Planilla_General_03-12-2012_9_3'!N2160,"AAAAAF/nP/4=")</f>
        <v>#VALUE!</v>
      </c>
      <c r="IV135" t="e">
        <f>AND('Planilla_General_03-12-2012_9_3'!O2160,"AAAAAF/nP/8=")</f>
        <v>#VALUE!</v>
      </c>
    </row>
    <row r="136" spans="1:256" x14ac:dyDescent="0.25">
      <c r="A136" t="e">
        <f>IF('Planilla_General_03-12-2012_9_3'!2161:2161,"AAAAADD9iQA=",0)</f>
        <v>#VALUE!</v>
      </c>
      <c r="B136" t="e">
        <f>AND('Planilla_General_03-12-2012_9_3'!A2161,"AAAAADD9iQE=")</f>
        <v>#VALUE!</v>
      </c>
      <c r="C136" t="e">
        <f>AND('Planilla_General_03-12-2012_9_3'!B2161,"AAAAADD9iQI=")</f>
        <v>#VALUE!</v>
      </c>
      <c r="D136" t="e">
        <f>AND('Planilla_General_03-12-2012_9_3'!C2161,"AAAAADD9iQM=")</f>
        <v>#VALUE!</v>
      </c>
      <c r="E136" t="e">
        <f>AND('Planilla_General_03-12-2012_9_3'!D2161,"AAAAADD9iQQ=")</f>
        <v>#VALUE!</v>
      </c>
      <c r="F136" t="e">
        <f>AND('Planilla_General_03-12-2012_9_3'!E2161,"AAAAADD9iQU=")</f>
        <v>#VALUE!</v>
      </c>
      <c r="G136" t="e">
        <f>AND('Planilla_General_03-12-2012_9_3'!F2161,"AAAAADD9iQY=")</f>
        <v>#VALUE!</v>
      </c>
      <c r="H136" t="e">
        <f>AND('Planilla_General_03-12-2012_9_3'!G2161,"AAAAADD9iQc=")</f>
        <v>#VALUE!</v>
      </c>
      <c r="I136" t="e">
        <f>AND('Planilla_General_03-12-2012_9_3'!H2161,"AAAAADD9iQg=")</f>
        <v>#VALUE!</v>
      </c>
      <c r="J136" t="e">
        <f>AND('Planilla_General_03-12-2012_9_3'!I2161,"AAAAADD9iQk=")</f>
        <v>#VALUE!</v>
      </c>
      <c r="K136" t="e">
        <f>AND('Planilla_General_03-12-2012_9_3'!J2161,"AAAAADD9iQo=")</f>
        <v>#VALUE!</v>
      </c>
      <c r="L136" t="e">
        <f>AND('Planilla_General_03-12-2012_9_3'!K2161,"AAAAADD9iQs=")</f>
        <v>#VALUE!</v>
      </c>
      <c r="M136" t="e">
        <f>AND('Planilla_General_03-12-2012_9_3'!L2161,"AAAAADD9iQw=")</f>
        <v>#VALUE!</v>
      </c>
      <c r="N136" t="e">
        <f>AND('Planilla_General_03-12-2012_9_3'!M2161,"AAAAADD9iQ0=")</f>
        <v>#VALUE!</v>
      </c>
      <c r="O136" t="e">
        <f>AND('Planilla_General_03-12-2012_9_3'!N2161,"AAAAADD9iQ4=")</f>
        <v>#VALUE!</v>
      </c>
      <c r="P136" t="e">
        <f>AND('Planilla_General_03-12-2012_9_3'!O2161,"AAAAADD9iQ8=")</f>
        <v>#VALUE!</v>
      </c>
      <c r="Q136">
        <f>IF('Planilla_General_03-12-2012_9_3'!2162:2162,"AAAAADD9iRA=",0)</f>
        <v>0</v>
      </c>
      <c r="R136" t="e">
        <f>AND('Planilla_General_03-12-2012_9_3'!A2162,"AAAAADD9iRE=")</f>
        <v>#VALUE!</v>
      </c>
      <c r="S136" t="e">
        <f>AND('Planilla_General_03-12-2012_9_3'!B2162,"AAAAADD9iRI=")</f>
        <v>#VALUE!</v>
      </c>
      <c r="T136" t="e">
        <f>AND('Planilla_General_03-12-2012_9_3'!C2162,"AAAAADD9iRM=")</f>
        <v>#VALUE!</v>
      </c>
      <c r="U136" t="e">
        <f>AND('Planilla_General_03-12-2012_9_3'!D2162,"AAAAADD9iRQ=")</f>
        <v>#VALUE!</v>
      </c>
      <c r="V136" t="e">
        <f>AND('Planilla_General_03-12-2012_9_3'!E2162,"AAAAADD9iRU=")</f>
        <v>#VALUE!</v>
      </c>
      <c r="W136" t="e">
        <f>AND('Planilla_General_03-12-2012_9_3'!F2162,"AAAAADD9iRY=")</f>
        <v>#VALUE!</v>
      </c>
      <c r="X136" t="e">
        <f>AND('Planilla_General_03-12-2012_9_3'!G2162,"AAAAADD9iRc=")</f>
        <v>#VALUE!</v>
      </c>
      <c r="Y136" t="e">
        <f>AND('Planilla_General_03-12-2012_9_3'!H2162,"AAAAADD9iRg=")</f>
        <v>#VALUE!</v>
      </c>
      <c r="Z136" t="e">
        <f>AND('Planilla_General_03-12-2012_9_3'!I2162,"AAAAADD9iRk=")</f>
        <v>#VALUE!</v>
      </c>
      <c r="AA136" t="e">
        <f>AND('Planilla_General_03-12-2012_9_3'!J2162,"AAAAADD9iRo=")</f>
        <v>#VALUE!</v>
      </c>
      <c r="AB136" t="e">
        <f>AND('Planilla_General_03-12-2012_9_3'!K2162,"AAAAADD9iRs=")</f>
        <v>#VALUE!</v>
      </c>
      <c r="AC136" t="e">
        <f>AND('Planilla_General_03-12-2012_9_3'!L2162,"AAAAADD9iRw=")</f>
        <v>#VALUE!</v>
      </c>
      <c r="AD136" t="e">
        <f>AND('Planilla_General_03-12-2012_9_3'!M2162,"AAAAADD9iR0=")</f>
        <v>#VALUE!</v>
      </c>
      <c r="AE136" t="e">
        <f>AND('Planilla_General_03-12-2012_9_3'!N2162,"AAAAADD9iR4=")</f>
        <v>#VALUE!</v>
      </c>
      <c r="AF136" t="e">
        <f>AND('Planilla_General_03-12-2012_9_3'!O2162,"AAAAADD9iR8=")</f>
        <v>#VALUE!</v>
      </c>
      <c r="AG136">
        <f>IF('Planilla_General_03-12-2012_9_3'!2163:2163,"AAAAADD9iSA=",0)</f>
        <v>0</v>
      </c>
      <c r="AH136" t="e">
        <f>AND('Planilla_General_03-12-2012_9_3'!A2163,"AAAAADD9iSE=")</f>
        <v>#VALUE!</v>
      </c>
      <c r="AI136" t="e">
        <f>AND('Planilla_General_03-12-2012_9_3'!B2163,"AAAAADD9iSI=")</f>
        <v>#VALUE!</v>
      </c>
      <c r="AJ136" t="e">
        <f>AND('Planilla_General_03-12-2012_9_3'!C2163,"AAAAADD9iSM=")</f>
        <v>#VALUE!</v>
      </c>
      <c r="AK136" t="e">
        <f>AND('Planilla_General_03-12-2012_9_3'!D2163,"AAAAADD9iSQ=")</f>
        <v>#VALUE!</v>
      </c>
      <c r="AL136" t="e">
        <f>AND('Planilla_General_03-12-2012_9_3'!E2163,"AAAAADD9iSU=")</f>
        <v>#VALUE!</v>
      </c>
      <c r="AM136" t="e">
        <f>AND('Planilla_General_03-12-2012_9_3'!F2163,"AAAAADD9iSY=")</f>
        <v>#VALUE!</v>
      </c>
      <c r="AN136" t="e">
        <f>AND('Planilla_General_03-12-2012_9_3'!G2163,"AAAAADD9iSc=")</f>
        <v>#VALUE!</v>
      </c>
      <c r="AO136" t="e">
        <f>AND('Planilla_General_03-12-2012_9_3'!H2163,"AAAAADD9iSg=")</f>
        <v>#VALUE!</v>
      </c>
      <c r="AP136" t="e">
        <f>AND('Planilla_General_03-12-2012_9_3'!I2163,"AAAAADD9iSk=")</f>
        <v>#VALUE!</v>
      </c>
      <c r="AQ136" t="e">
        <f>AND('Planilla_General_03-12-2012_9_3'!J2163,"AAAAADD9iSo=")</f>
        <v>#VALUE!</v>
      </c>
      <c r="AR136" t="e">
        <f>AND('Planilla_General_03-12-2012_9_3'!K2163,"AAAAADD9iSs=")</f>
        <v>#VALUE!</v>
      </c>
      <c r="AS136" t="e">
        <f>AND('Planilla_General_03-12-2012_9_3'!L2163,"AAAAADD9iSw=")</f>
        <v>#VALUE!</v>
      </c>
      <c r="AT136" t="e">
        <f>AND('Planilla_General_03-12-2012_9_3'!M2163,"AAAAADD9iS0=")</f>
        <v>#VALUE!</v>
      </c>
      <c r="AU136" t="e">
        <f>AND('Planilla_General_03-12-2012_9_3'!N2163,"AAAAADD9iS4=")</f>
        <v>#VALUE!</v>
      </c>
      <c r="AV136" t="e">
        <f>AND('Planilla_General_03-12-2012_9_3'!O2163,"AAAAADD9iS8=")</f>
        <v>#VALUE!</v>
      </c>
      <c r="AW136">
        <f>IF('Planilla_General_03-12-2012_9_3'!2164:2164,"AAAAADD9iTA=",0)</f>
        <v>0</v>
      </c>
      <c r="AX136" t="e">
        <f>AND('Planilla_General_03-12-2012_9_3'!A2164,"AAAAADD9iTE=")</f>
        <v>#VALUE!</v>
      </c>
      <c r="AY136" t="e">
        <f>AND('Planilla_General_03-12-2012_9_3'!B2164,"AAAAADD9iTI=")</f>
        <v>#VALUE!</v>
      </c>
      <c r="AZ136" t="e">
        <f>AND('Planilla_General_03-12-2012_9_3'!C2164,"AAAAADD9iTM=")</f>
        <v>#VALUE!</v>
      </c>
      <c r="BA136" t="e">
        <f>AND('Planilla_General_03-12-2012_9_3'!D2164,"AAAAADD9iTQ=")</f>
        <v>#VALUE!</v>
      </c>
      <c r="BB136" t="e">
        <f>AND('Planilla_General_03-12-2012_9_3'!E2164,"AAAAADD9iTU=")</f>
        <v>#VALUE!</v>
      </c>
      <c r="BC136" t="e">
        <f>AND('Planilla_General_03-12-2012_9_3'!F2164,"AAAAADD9iTY=")</f>
        <v>#VALUE!</v>
      </c>
      <c r="BD136" t="e">
        <f>AND('Planilla_General_03-12-2012_9_3'!G2164,"AAAAADD9iTc=")</f>
        <v>#VALUE!</v>
      </c>
      <c r="BE136" t="e">
        <f>AND('Planilla_General_03-12-2012_9_3'!H2164,"AAAAADD9iTg=")</f>
        <v>#VALUE!</v>
      </c>
      <c r="BF136" t="e">
        <f>AND('Planilla_General_03-12-2012_9_3'!I2164,"AAAAADD9iTk=")</f>
        <v>#VALUE!</v>
      </c>
      <c r="BG136" t="e">
        <f>AND('Planilla_General_03-12-2012_9_3'!J2164,"AAAAADD9iTo=")</f>
        <v>#VALUE!</v>
      </c>
      <c r="BH136" t="e">
        <f>AND('Planilla_General_03-12-2012_9_3'!K2164,"AAAAADD9iTs=")</f>
        <v>#VALUE!</v>
      </c>
      <c r="BI136" t="e">
        <f>AND('Planilla_General_03-12-2012_9_3'!L2164,"AAAAADD9iTw=")</f>
        <v>#VALUE!</v>
      </c>
      <c r="BJ136" t="e">
        <f>AND('Planilla_General_03-12-2012_9_3'!M2164,"AAAAADD9iT0=")</f>
        <v>#VALUE!</v>
      </c>
      <c r="BK136" t="e">
        <f>AND('Planilla_General_03-12-2012_9_3'!N2164,"AAAAADD9iT4=")</f>
        <v>#VALUE!</v>
      </c>
      <c r="BL136" t="e">
        <f>AND('Planilla_General_03-12-2012_9_3'!O2164,"AAAAADD9iT8=")</f>
        <v>#VALUE!</v>
      </c>
      <c r="BM136">
        <f>IF('Planilla_General_03-12-2012_9_3'!2165:2165,"AAAAADD9iUA=",0)</f>
        <v>0</v>
      </c>
      <c r="BN136" t="e">
        <f>AND('Planilla_General_03-12-2012_9_3'!A2165,"AAAAADD9iUE=")</f>
        <v>#VALUE!</v>
      </c>
      <c r="BO136" t="e">
        <f>AND('Planilla_General_03-12-2012_9_3'!B2165,"AAAAADD9iUI=")</f>
        <v>#VALUE!</v>
      </c>
      <c r="BP136" t="e">
        <f>AND('Planilla_General_03-12-2012_9_3'!C2165,"AAAAADD9iUM=")</f>
        <v>#VALUE!</v>
      </c>
      <c r="BQ136" t="e">
        <f>AND('Planilla_General_03-12-2012_9_3'!D2165,"AAAAADD9iUQ=")</f>
        <v>#VALUE!</v>
      </c>
      <c r="BR136" t="e">
        <f>AND('Planilla_General_03-12-2012_9_3'!E2165,"AAAAADD9iUU=")</f>
        <v>#VALUE!</v>
      </c>
      <c r="BS136" t="e">
        <f>AND('Planilla_General_03-12-2012_9_3'!F2165,"AAAAADD9iUY=")</f>
        <v>#VALUE!</v>
      </c>
      <c r="BT136" t="e">
        <f>AND('Planilla_General_03-12-2012_9_3'!G2165,"AAAAADD9iUc=")</f>
        <v>#VALUE!</v>
      </c>
      <c r="BU136" t="e">
        <f>AND('Planilla_General_03-12-2012_9_3'!H2165,"AAAAADD9iUg=")</f>
        <v>#VALUE!</v>
      </c>
      <c r="BV136" t="e">
        <f>AND('Planilla_General_03-12-2012_9_3'!I2165,"AAAAADD9iUk=")</f>
        <v>#VALUE!</v>
      </c>
      <c r="BW136" t="e">
        <f>AND('Planilla_General_03-12-2012_9_3'!J2165,"AAAAADD9iUo=")</f>
        <v>#VALUE!</v>
      </c>
      <c r="BX136" t="e">
        <f>AND('Planilla_General_03-12-2012_9_3'!K2165,"AAAAADD9iUs=")</f>
        <v>#VALUE!</v>
      </c>
      <c r="BY136" t="e">
        <f>AND('Planilla_General_03-12-2012_9_3'!L2165,"AAAAADD9iUw=")</f>
        <v>#VALUE!</v>
      </c>
      <c r="BZ136" t="e">
        <f>AND('Planilla_General_03-12-2012_9_3'!M2165,"AAAAADD9iU0=")</f>
        <v>#VALUE!</v>
      </c>
      <c r="CA136" t="e">
        <f>AND('Planilla_General_03-12-2012_9_3'!N2165,"AAAAADD9iU4=")</f>
        <v>#VALUE!</v>
      </c>
      <c r="CB136" t="e">
        <f>AND('Planilla_General_03-12-2012_9_3'!O2165,"AAAAADD9iU8=")</f>
        <v>#VALUE!</v>
      </c>
      <c r="CC136">
        <f>IF('Planilla_General_03-12-2012_9_3'!2166:2166,"AAAAADD9iVA=",0)</f>
        <v>0</v>
      </c>
      <c r="CD136" t="e">
        <f>AND('Planilla_General_03-12-2012_9_3'!A2166,"AAAAADD9iVE=")</f>
        <v>#VALUE!</v>
      </c>
      <c r="CE136" t="e">
        <f>AND('Planilla_General_03-12-2012_9_3'!B2166,"AAAAADD9iVI=")</f>
        <v>#VALUE!</v>
      </c>
      <c r="CF136" t="e">
        <f>AND('Planilla_General_03-12-2012_9_3'!C2166,"AAAAADD9iVM=")</f>
        <v>#VALUE!</v>
      </c>
      <c r="CG136" t="e">
        <f>AND('Planilla_General_03-12-2012_9_3'!D2166,"AAAAADD9iVQ=")</f>
        <v>#VALUE!</v>
      </c>
      <c r="CH136" t="e">
        <f>AND('Planilla_General_03-12-2012_9_3'!E2166,"AAAAADD9iVU=")</f>
        <v>#VALUE!</v>
      </c>
      <c r="CI136" t="e">
        <f>AND('Planilla_General_03-12-2012_9_3'!F2166,"AAAAADD9iVY=")</f>
        <v>#VALUE!</v>
      </c>
      <c r="CJ136" t="e">
        <f>AND('Planilla_General_03-12-2012_9_3'!G2166,"AAAAADD9iVc=")</f>
        <v>#VALUE!</v>
      </c>
      <c r="CK136" t="e">
        <f>AND('Planilla_General_03-12-2012_9_3'!H2166,"AAAAADD9iVg=")</f>
        <v>#VALUE!</v>
      </c>
      <c r="CL136" t="e">
        <f>AND('Planilla_General_03-12-2012_9_3'!I2166,"AAAAADD9iVk=")</f>
        <v>#VALUE!</v>
      </c>
      <c r="CM136" t="e">
        <f>AND('Planilla_General_03-12-2012_9_3'!J2166,"AAAAADD9iVo=")</f>
        <v>#VALUE!</v>
      </c>
      <c r="CN136" t="e">
        <f>AND('Planilla_General_03-12-2012_9_3'!K2166,"AAAAADD9iVs=")</f>
        <v>#VALUE!</v>
      </c>
      <c r="CO136" t="e">
        <f>AND('Planilla_General_03-12-2012_9_3'!L2166,"AAAAADD9iVw=")</f>
        <v>#VALUE!</v>
      </c>
      <c r="CP136" t="e">
        <f>AND('Planilla_General_03-12-2012_9_3'!M2166,"AAAAADD9iV0=")</f>
        <v>#VALUE!</v>
      </c>
      <c r="CQ136" t="e">
        <f>AND('Planilla_General_03-12-2012_9_3'!N2166,"AAAAADD9iV4=")</f>
        <v>#VALUE!</v>
      </c>
      <c r="CR136" t="e">
        <f>AND('Planilla_General_03-12-2012_9_3'!O2166,"AAAAADD9iV8=")</f>
        <v>#VALUE!</v>
      </c>
      <c r="CS136">
        <f>IF('Planilla_General_03-12-2012_9_3'!2167:2167,"AAAAADD9iWA=",0)</f>
        <v>0</v>
      </c>
      <c r="CT136" t="e">
        <f>AND('Planilla_General_03-12-2012_9_3'!A2167,"AAAAADD9iWE=")</f>
        <v>#VALUE!</v>
      </c>
      <c r="CU136" t="e">
        <f>AND('Planilla_General_03-12-2012_9_3'!B2167,"AAAAADD9iWI=")</f>
        <v>#VALUE!</v>
      </c>
      <c r="CV136" t="e">
        <f>AND('Planilla_General_03-12-2012_9_3'!C2167,"AAAAADD9iWM=")</f>
        <v>#VALUE!</v>
      </c>
      <c r="CW136" t="e">
        <f>AND('Planilla_General_03-12-2012_9_3'!D2167,"AAAAADD9iWQ=")</f>
        <v>#VALUE!</v>
      </c>
      <c r="CX136" t="e">
        <f>AND('Planilla_General_03-12-2012_9_3'!E2167,"AAAAADD9iWU=")</f>
        <v>#VALUE!</v>
      </c>
      <c r="CY136" t="e">
        <f>AND('Planilla_General_03-12-2012_9_3'!F2167,"AAAAADD9iWY=")</f>
        <v>#VALUE!</v>
      </c>
      <c r="CZ136" t="e">
        <f>AND('Planilla_General_03-12-2012_9_3'!G2167,"AAAAADD9iWc=")</f>
        <v>#VALUE!</v>
      </c>
      <c r="DA136" t="e">
        <f>AND('Planilla_General_03-12-2012_9_3'!H2167,"AAAAADD9iWg=")</f>
        <v>#VALUE!</v>
      </c>
      <c r="DB136" t="e">
        <f>AND('Planilla_General_03-12-2012_9_3'!I2167,"AAAAADD9iWk=")</f>
        <v>#VALUE!</v>
      </c>
      <c r="DC136" t="e">
        <f>AND('Planilla_General_03-12-2012_9_3'!J2167,"AAAAADD9iWo=")</f>
        <v>#VALUE!</v>
      </c>
      <c r="DD136" t="e">
        <f>AND('Planilla_General_03-12-2012_9_3'!K2167,"AAAAADD9iWs=")</f>
        <v>#VALUE!</v>
      </c>
      <c r="DE136" t="e">
        <f>AND('Planilla_General_03-12-2012_9_3'!L2167,"AAAAADD9iWw=")</f>
        <v>#VALUE!</v>
      </c>
      <c r="DF136" t="e">
        <f>AND('Planilla_General_03-12-2012_9_3'!M2167,"AAAAADD9iW0=")</f>
        <v>#VALUE!</v>
      </c>
      <c r="DG136" t="e">
        <f>AND('Planilla_General_03-12-2012_9_3'!N2167,"AAAAADD9iW4=")</f>
        <v>#VALUE!</v>
      </c>
      <c r="DH136" t="e">
        <f>AND('Planilla_General_03-12-2012_9_3'!O2167,"AAAAADD9iW8=")</f>
        <v>#VALUE!</v>
      </c>
      <c r="DI136">
        <f>IF('Planilla_General_03-12-2012_9_3'!2168:2168,"AAAAADD9iXA=",0)</f>
        <v>0</v>
      </c>
      <c r="DJ136" t="e">
        <f>AND('Planilla_General_03-12-2012_9_3'!A2168,"AAAAADD9iXE=")</f>
        <v>#VALUE!</v>
      </c>
      <c r="DK136" t="e">
        <f>AND('Planilla_General_03-12-2012_9_3'!B2168,"AAAAADD9iXI=")</f>
        <v>#VALUE!</v>
      </c>
      <c r="DL136" t="e">
        <f>AND('Planilla_General_03-12-2012_9_3'!C2168,"AAAAADD9iXM=")</f>
        <v>#VALUE!</v>
      </c>
      <c r="DM136" t="e">
        <f>AND('Planilla_General_03-12-2012_9_3'!D2168,"AAAAADD9iXQ=")</f>
        <v>#VALUE!</v>
      </c>
      <c r="DN136" t="e">
        <f>AND('Planilla_General_03-12-2012_9_3'!E2168,"AAAAADD9iXU=")</f>
        <v>#VALUE!</v>
      </c>
      <c r="DO136" t="e">
        <f>AND('Planilla_General_03-12-2012_9_3'!F2168,"AAAAADD9iXY=")</f>
        <v>#VALUE!</v>
      </c>
      <c r="DP136" t="e">
        <f>AND('Planilla_General_03-12-2012_9_3'!G2168,"AAAAADD9iXc=")</f>
        <v>#VALUE!</v>
      </c>
      <c r="DQ136" t="e">
        <f>AND('Planilla_General_03-12-2012_9_3'!H2168,"AAAAADD9iXg=")</f>
        <v>#VALUE!</v>
      </c>
      <c r="DR136" t="e">
        <f>AND('Planilla_General_03-12-2012_9_3'!I2168,"AAAAADD9iXk=")</f>
        <v>#VALUE!</v>
      </c>
      <c r="DS136" t="e">
        <f>AND('Planilla_General_03-12-2012_9_3'!J2168,"AAAAADD9iXo=")</f>
        <v>#VALUE!</v>
      </c>
      <c r="DT136" t="e">
        <f>AND('Planilla_General_03-12-2012_9_3'!K2168,"AAAAADD9iXs=")</f>
        <v>#VALUE!</v>
      </c>
      <c r="DU136" t="e">
        <f>AND('Planilla_General_03-12-2012_9_3'!L2168,"AAAAADD9iXw=")</f>
        <v>#VALUE!</v>
      </c>
      <c r="DV136" t="e">
        <f>AND('Planilla_General_03-12-2012_9_3'!M2168,"AAAAADD9iX0=")</f>
        <v>#VALUE!</v>
      </c>
      <c r="DW136" t="e">
        <f>AND('Planilla_General_03-12-2012_9_3'!N2168,"AAAAADD9iX4=")</f>
        <v>#VALUE!</v>
      </c>
      <c r="DX136" t="e">
        <f>AND('Planilla_General_03-12-2012_9_3'!O2168,"AAAAADD9iX8=")</f>
        <v>#VALUE!</v>
      </c>
      <c r="DY136">
        <f>IF('Planilla_General_03-12-2012_9_3'!2169:2169,"AAAAADD9iYA=",0)</f>
        <v>0</v>
      </c>
      <c r="DZ136" t="e">
        <f>AND('Planilla_General_03-12-2012_9_3'!A2169,"AAAAADD9iYE=")</f>
        <v>#VALUE!</v>
      </c>
      <c r="EA136" t="e">
        <f>AND('Planilla_General_03-12-2012_9_3'!B2169,"AAAAADD9iYI=")</f>
        <v>#VALUE!</v>
      </c>
      <c r="EB136" t="e">
        <f>AND('Planilla_General_03-12-2012_9_3'!C2169,"AAAAADD9iYM=")</f>
        <v>#VALUE!</v>
      </c>
      <c r="EC136" t="e">
        <f>AND('Planilla_General_03-12-2012_9_3'!D2169,"AAAAADD9iYQ=")</f>
        <v>#VALUE!</v>
      </c>
      <c r="ED136" t="e">
        <f>AND('Planilla_General_03-12-2012_9_3'!E2169,"AAAAADD9iYU=")</f>
        <v>#VALUE!</v>
      </c>
      <c r="EE136" t="e">
        <f>AND('Planilla_General_03-12-2012_9_3'!F2169,"AAAAADD9iYY=")</f>
        <v>#VALUE!</v>
      </c>
      <c r="EF136" t="e">
        <f>AND('Planilla_General_03-12-2012_9_3'!G2169,"AAAAADD9iYc=")</f>
        <v>#VALUE!</v>
      </c>
      <c r="EG136" t="e">
        <f>AND('Planilla_General_03-12-2012_9_3'!H2169,"AAAAADD9iYg=")</f>
        <v>#VALUE!</v>
      </c>
      <c r="EH136" t="e">
        <f>AND('Planilla_General_03-12-2012_9_3'!I2169,"AAAAADD9iYk=")</f>
        <v>#VALUE!</v>
      </c>
      <c r="EI136" t="e">
        <f>AND('Planilla_General_03-12-2012_9_3'!J2169,"AAAAADD9iYo=")</f>
        <v>#VALUE!</v>
      </c>
      <c r="EJ136" t="e">
        <f>AND('Planilla_General_03-12-2012_9_3'!K2169,"AAAAADD9iYs=")</f>
        <v>#VALUE!</v>
      </c>
      <c r="EK136" t="e">
        <f>AND('Planilla_General_03-12-2012_9_3'!L2169,"AAAAADD9iYw=")</f>
        <v>#VALUE!</v>
      </c>
      <c r="EL136" t="e">
        <f>AND('Planilla_General_03-12-2012_9_3'!M2169,"AAAAADD9iY0=")</f>
        <v>#VALUE!</v>
      </c>
      <c r="EM136" t="e">
        <f>AND('Planilla_General_03-12-2012_9_3'!N2169,"AAAAADD9iY4=")</f>
        <v>#VALUE!</v>
      </c>
      <c r="EN136" t="e">
        <f>AND('Planilla_General_03-12-2012_9_3'!O2169,"AAAAADD9iY8=")</f>
        <v>#VALUE!</v>
      </c>
      <c r="EO136">
        <f>IF('Planilla_General_03-12-2012_9_3'!2170:2170,"AAAAADD9iZA=",0)</f>
        <v>0</v>
      </c>
      <c r="EP136" t="e">
        <f>AND('Planilla_General_03-12-2012_9_3'!A2170,"AAAAADD9iZE=")</f>
        <v>#VALUE!</v>
      </c>
      <c r="EQ136" t="e">
        <f>AND('Planilla_General_03-12-2012_9_3'!B2170,"AAAAADD9iZI=")</f>
        <v>#VALUE!</v>
      </c>
      <c r="ER136" t="e">
        <f>AND('Planilla_General_03-12-2012_9_3'!C2170,"AAAAADD9iZM=")</f>
        <v>#VALUE!</v>
      </c>
      <c r="ES136" t="e">
        <f>AND('Planilla_General_03-12-2012_9_3'!D2170,"AAAAADD9iZQ=")</f>
        <v>#VALUE!</v>
      </c>
      <c r="ET136" t="e">
        <f>AND('Planilla_General_03-12-2012_9_3'!E2170,"AAAAADD9iZU=")</f>
        <v>#VALUE!</v>
      </c>
      <c r="EU136" t="e">
        <f>AND('Planilla_General_03-12-2012_9_3'!F2170,"AAAAADD9iZY=")</f>
        <v>#VALUE!</v>
      </c>
      <c r="EV136" t="e">
        <f>AND('Planilla_General_03-12-2012_9_3'!G2170,"AAAAADD9iZc=")</f>
        <v>#VALUE!</v>
      </c>
      <c r="EW136" t="e">
        <f>AND('Planilla_General_03-12-2012_9_3'!H2170,"AAAAADD9iZg=")</f>
        <v>#VALUE!</v>
      </c>
      <c r="EX136" t="e">
        <f>AND('Planilla_General_03-12-2012_9_3'!I2170,"AAAAADD9iZk=")</f>
        <v>#VALUE!</v>
      </c>
      <c r="EY136" t="e">
        <f>AND('Planilla_General_03-12-2012_9_3'!J2170,"AAAAADD9iZo=")</f>
        <v>#VALUE!</v>
      </c>
      <c r="EZ136" t="e">
        <f>AND('Planilla_General_03-12-2012_9_3'!K2170,"AAAAADD9iZs=")</f>
        <v>#VALUE!</v>
      </c>
      <c r="FA136" t="e">
        <f>AND('Planilla_General_03-12-2012_9_3'!L2170,"AAAAADD9iZw=")</f>
        <v>#VALUE!</v>
      </c>
      <c r="FB136" t="e">
        <f>AND('Planilla_General_03-12-2012_9_3'!M2170,"AAAAADD9iZ0=")</f>
        <v>#VALUE!</v>
      </c>
      <c r="FC136" t="e">
        <f>AND('Planilla_General_03-12-2012_9_3'!N2170,"AAAAADD9iZ4=")</f>
        <v>#VALUE!</v>
      </c>
      <c r="FD136" t="e">
        <f>AND('Planilla_General_03-12-2012_9_3'!O2170,"AAAAADD9iZ8=")</f>
        <v>#VALUE!</v>
      </c>
      <c r="FE136">
        <f>IF('Planilla_General_03-12-2012_9_3'!2171:2171,"AAAAADD9iaA=",0)</f>
        <v>0</v>
      </c>
      <c r="FF136" t="e">
        <f>AND('Planilla_General_03-12-2012_9_3'!A2171,"AAAAADD9iaE=")</f>
        <v>#VALUE!</v>
      </c>
      <c r="FG136" t="e">
        <f>AND('Planilla_General_03-12-2012_9_3'!B2171,"AAAAADD9iaI=")</f>
        <v>#VALUE!</v>
      </c>
      <c r="FH136" t="e">
        <f>AND('Planilla_General_03-12-2012_9_3'!C2171,"AAAAADD9iaM=")</f>
        <v>#VALUE!</v>
      </c>
      <c r="FI136" t="e">
        <f>AND('Planilla_General_03-12-2012_9_3'!D2171,"AAAAADD9iaQ=")</f>
        <v>#VALUE!</v>
      </c>
      <c r="FJ136" t="e">
        <f>AND('Planilla_General_03-12-2012_9_3'!E2171,"AAAAADD9iaU=")</f>
        <v>#VALUE!</v>
      </c>
      <c r="FK136" t="e">
        <f>AND('Planilla_General_03-12-2012_9_3'!F2171,"AAAAADD9iaY=")</f>
        <v>#VALUE!</v>
      </c>
      <c r="FL136" t="e">
        <f>AND('Planilla_General_03-12-2012_9_3'!G2171,"AAAAADD9iac=")</f>
        <v>#VALUE!</v>
      </c>
      <c r="FM136" t="e">
        <f>AND('Planilla_General_03-12-2012_9_3'!H2171,"AAAAADD9iag=")</f>
        <v>#VALUE!</v>
      </c>
      <c r="FN136" t="e">
        <f>AND('Planilla_General_03-12-2012_9_3'!I2171,"AAAAADD9iak=")</f>
        <v>#VALUE!</v>
      </c>
      <c r="FO136" t="e">
        <f>AND('Planilla_General_03-12-2012_9_3'!J2171,"AAAAADD9iao=")</f>
        <v>#VALUE!</v>
      </c>
      <c r="FP136" t="e">
        <f>AND('Planilla_General_03-12-2012_9_3'!K2171,"AAAAADD9ias=")</f>
        <v>#VALUE!</v>
      </c>
      <c r="FQ136" t="e">
        <f>AND('Planilla_General_03-12-2012_9_3'!L2171,"AAAAADD9iaw=")</f>
        <v>#VALUE!</v>
      </c>
      <c r="FR136" t="e">
        <f>AND('Planilla_General_03-12-2012_9_3'!M2171,"AAAAADD9ia0=")</f>
        <v>#VALUE!</v>
      </c>
      <c r="FS136" t="e">
        <f>AND('Planilla_General_03-12-2012_9_3'!N2171,"AAAAADD9ia4=")</f>
        <v>#VALUE!</v>
      </c>
      <c r="FT136" t="e">
        <f>AND('Planilla_General_03-12-2012_9_3'!O2171,"AAAAADD9ia8=")</f>
        <v>#VALUE!</v>
      </c>
      <c r="FU136">
        <f>IF('Planilla_General_03-12-2012_9_3'!2172:2172,"AAAAADD9ibA=",0)</f>
        <v>0</v>
      </c>
      <c r="FV136" t="e">
        <f>AND('Planilla_General_03-12-2012_9_3'!A2172,"AAAAADD9ibE=")</f>
        <v>#VALUE!</v>
      </c>
      <c r="FW136" t="e">
        <f>AND('Planilla_General_03-12-2012_9_3'!B2172,"AAAAADD9ibI=")</f>
        <v>#VALUE!</v>
      </c>
      <c r="FX136" t="e">
        <f>AND('Planilla_General_03-12-2012_9_3'!C2172,"AAAAADD9ibM=")</f>
        <v>#VALUE!</v>
      </c>
      <c r="FY136" t="e">
        <f>AND('Planilla_General_03-12-2012_9_3'!D2172,"AAAAADD9ibQ=")</f>
        <v>#VALUE!</v>
      </c>
      <c r="FZ136" t="e">
        <f>AND('Planilla_General_03-12-2012_9_3'!E2172,"AAAAADD9ibU=")</f>
        <v>#VALUE!</v>
      </c>
      <c r="GA136" t="e">
        <f>AND('Planilla_General_03-12-2012_9_3'!F2172,"AAAAADD9ibY=")</f>
        <v>#VALUE!</v>
      </c>
      <c r="GB136" t="e">
        <f>AND('Planilla_General_03-12-2012_9_3'!G2172,"AAAAADD9ibc=")</f>
        <v>#VALUE!</v>
      </c>
      <c r="GC136" t="e">
        <f>AND('Planilla_General_03-12-2012_9_3'!H2172,"AAAAADD9ibg=")</f>
        <v>#VALUE!</v>
      </c>
      <c r="GD136" t="e">
        <f>AND('Planilla_General_03-12-2012_9_3'!I2172,"AAAAADD9ibk=")</f>
        <v>#VALUE!</v>
      </c>
      <c r="GE136" t="e">
        <f>AND('Planilla_General_03-12-2012_9_3'!J2172,"AAAAADD9ibo=")</f>
        <v>#VALUE!</v>
      </c>
      <c r="GF136" t="e">
        <f>AND('Planilla_General_03-12-2012_9_3'!K2172,"AAAAADD9ibs=")</f>
        <v>#VALUE!</v>
      </c>
      <c r="GG136" t="e">
        <f>AND('Planilla_General_03-12-2012_9_3'!L2172,"AAAAADD9ibw=")</f>
        <v>#VALUE!</v>
      </c>
      <c r="GH136" t="e">
        <f>AND('Planilla_General_03-12-2012_9_3'!M2172,"AAAAADD9ib0=")</f>
        <v>#VALUE!</v>
      </c>
      <c r="GI136" t="e">
        <f>AND('Planilla_General_03-12-2012_9_3'!N2172,"AAAAADD9ib4=")</f>
        <v>#VALUE!</v>
      </c>
      <c r="GJ136" t="e">
        <f>AND('Planilla_General_03-12-2012_9_3'!O2172,"AAAAADD9ib8=")</f>
        <v>#VALUE!</v>
      </c>
      <c r="GK136">
        <f>IF('Planilla_General_03-12-2012_9_3'!2173:2173,"AAAAADD9icA=",0)</f>
        <v>0</v>
      </c>
      <c r="GL136" t="e">
        <f>AND('Planilla_General_03-12-2012_9_3'!A2173,"AAAAADD9icE=")</f>
        <v>#VALUE!</v>
      </c>
      <c r="GM136" t="e">
        <f>AND('Planilla_General_03-12-2012_9_3'!B2173,"AAAAADD9icI=")</f>
        <v>#VALUE!</v>
      </c>
      <c r="GN136" t="e">
        <f>AND('Planilla_General_03-12-2012_9_3'!C2173,"AAAAADD9icM=")</f>
        <v>#VALUE!</v>
      </c>
      <c r="GO136" t="e">
        <f>AND('Planilla_General_03-12-2012_9_3'!D2173,"AAAAADD9icQ=")</f>
        <v>#VALUE!</v>
      </c>
      <c r="GP136" t="e">
        <f>AND('Planilla_General_03-12-2012_9_3'!E2173,"AAAAADD9icU=")</f>
        <v>#VALUE!</v>
      </c>
      <c r="GQ136" t="e">
        <f>AND('Planilla_General_03-12-2012_9_3'!F2173,"AAAAADD9icY=")</f>
        <v>#VALUE!</v>
      </c>
      <c r="GR136" t="e">
        <f>AND('Planilla_General_03-12-2012_9_3'!G2173,"AAAAADD9icc=")</f>
        <v>#VALUE!</v>
      </c>
      <c r="GS136" t="e">
        <f>AND('Planilla_General_03-12-2012_9_3'!H2173,"AAAAADD9icg=")</f>
        <v>#VALUE!</v>
      </c>
      <c r="GT136" t="e">
        <f>AND('Planilla_General_03-12-2012_9_3'!I2173,"AAAAADD9ick=")</f>
        <v>#VALUE!</v>
      </c>
      <c r="GU136" t="e">
        <f>AND('Planilla_General_03-12-2012_9_3'!J2173,"AAAAADD9ico=")</f>
        <v>#VALUE!</v>
      </c>
      <c r="GV136" t="e">
        <f>AND('Planilla_General_03-12-2012_9_3'!K2173,"AAAAADD9ics=")</f>
        <v>#VALUE!</v>
      </c>
      <c r="GW136" t="e">
        <f>AND('Planilla_General_03-12-2012_9_3'!L2173,"AAAAADD9icw=")</f>
        <v>#VALUE!</v>
      </c>
      <c r="GX136" t="e">
        <f>AND('Planilla_General_03-12-2012_9_3'!M2173,"AAAAADD9ic0=")</f>
        <v>#VALUE!</v>
      </c>
      <c r="GY136" t="e">
        <f>AND('Planilla_General_03-12-2012_9_3'!N2173,"AAAAADD9ic4=")</f>
        <v>#VALUE!</v>
      </c>
      <c r="GZ136" t="e">
        <f>AND('Planilla_General_03-12-2012_9_3'!O2173,"AAAAADD9ic8=")</f>
        <v>#VALUE!</v>
      </c>
      <c r="HA136">
        <f>IF('Planilla_General_03-12-2012_9_3'!2174:2174,"AAAAADD9idA=",0)</f>
        <v>0</v>
      </c>
      <c r="HB136" t="e">
        <f>AND('Planilla_General_03-12-2012_9_3'!A2174,"AAAAADD9idE=")</f>
        <v>#VALUE!</v>
      </c>
      <c r="HC136" t="e">
        <f>AND('Planilla_General_03-12-2012_9_3'!B2174,"AAAAADD9idI=")</f>
        <v>#VALUE!</v>
      </c>
      <c r="HD136" t="e">
        <f>AND('Planilla_General_03-12-2012_9_3'!C2174,"AAAAADD9idM=")</f>
        <v>#VALUE!</v>
      </c>
      <c r="HE136" t="e">
        <f>AND('Planilla_General_03-12-2012_9_3'!D2174,"AAAAADD9idQ=")</f>
        <v>#VALUE!</v>
      </c>
      <c r="HF136" t="e">
        <f>AND('Planilla_General_03-12-2012_9_3'!E2174,"AAAAADD9idU=")</f>
        <v>#VALUE!</v>
      </c>
      <c r="HG136" t="e">
        <f>AND('Planilla_General_03-12-2012_9_3'!F2174,"AAAAADD9idY=")</f>
        <v>#VALUE!</v>
      </c>
      <c r="HH136" t="e">
        <f>AND('Planilla_General_03-12-2012_9_3'!G2174,"AAAAADD9idc=")</f>
        <v>#VALUE!</v>
      </c>
      <c r="HI136" t="e">
        <f>AND('Planilla_General_03-12-2012_9_3'!H2174,"AAAAADD9idg=")</f>
        <v>#VALUE!</v>
      </c>
      <c r="HJ136" t="e">
        <f>AND('Planilla_General_03-12-2012_9_3'!I2174,"AAAAADD9idk=")</f>
        <v>#VALUE!</v>
      </c>
      <c r="HK136" t="e">
        <f>AND('Planilla_General_03-12-2012_9_3'!J2174,"AAAAADD9ido=")</f>
        <v>#VALUE!</v>
      </c>
      <c r="HL136" t="e">
        <f>AND('Planilla_General_03-12-2012_9_3'!K2174,"AAAAADD9ids=")</f>
        <v>#VALUE!</v>
      </c>
      <c r="HM136" t="e">
        <f>AND('Planilla_General_03-12-2012_9_3'!L2174,"AAAAADD9idw=")</f>
        <v>#VALUE!</v>
      </c>
      <c r="HN136" t="e">
        <f>AND('Planilla_General_03-12-2012_9_3'!M2174,"AAAAADD9id0=")</f>
        <v>#VALUE!</v>
      </c>
      <c r="HO136" t="e">
        <f>AND('Planilla_General_03-12-2012_9_3'!N2174,"AAAAADD9id4=")</f>
        <v>#VALUE!</v>
      </c>
      <c r="HP136" t="e">
        <f>AND('Planilla_General_03-12-2012_9_3'!O2174,"AAAAADD9id8=")</f>
        <v>#VALUE!</v>
      </c>
      <c r="HQ136">
        <f>IF('Planilla_General_03-12-2012_9_3'!2175:2175,"AAAAADD9ieA=",0)</f>
        <v>0</v>
      </c>
      <c r="HR136" t="e">
        <f>AND('Planilla_General_03-12-2012_9_3'!A2175,"AAAAADD9ieE=")</f>
        <v>#VALUE!</v>
      </c>
      <c r="HS136" t="e">
        <f>AND('Planilla_General_03-12-2012_9_3'!B2175,"AAAAADD9ieI=")</f>
        <v>#VALUE!</v>
      </c>
      <c r="HT136" t="e">
        <f>AND('Planilla_General_03-12-2012_9_3'!C2175,"AAAAADD9ieM=")</f>
        <v>#VALUE!</v>
      </c>
      <c r="HU136" t="e">
        <f>AND('Planilla_General_03-12-2012_9_3'!D2175,"AAAAADD9ieQ=")</f>
        <v>#VALUE!</v>
      </c>
      <c r="HV136" t="e">
        <f>AND('Planilla_General_03-12-2012_9_3'!E2175,"AAAAADD9ieU=")</f>
        <v>#VALUE!</v>
      </c>
      <c r="HW136" t="e">
        <f>AND('Planilla_General_03-12-2012_9_3'!F2175,"AAAAADD9ieY=")</f>
        <v>#VALUE!</v>
      </c>
      <c r="HX136" t="e">
        <f>AND('Planilla_General_03-12-2012_9_3'!G2175,"AAAAADD9iec=")</f>
        <v>#VALUE!</v>
      </c>
      <c r="HY136" t="e">
        <f>AND('Planilla_General_03-12-2012_9_3'!H2175,"AAAAADD9ieg=")</f>
        <v>#VALUE!</v>
      </c>
      <c r="HZ136" t="e">
        <f>AND('Planilla_General_03-12-2012_9_3'!I2175,"AAAAADD9iek=")</f>
        <v>#VALUE!</v>
      </c>
      <c r="IA136" t="e">
        <f>AND('Planilla_General_03-12-2012_9_3'!J2175,"AAAAADD9ieo=")</f>
        <v>#VALUE!</v>
      </c>
      <c r="IB136" t="e">
        <f>AND('Planilla_General_03-12-2012_9_3'!K2175,"AAAAADD9ies=")</f>
        <v>#VALUE!</v>
      </c>
      <c r="IC136" t="e">
        <f>AND('Planilla_General_03-12-2012_9_3'!L2175,"AAAAADD9iew=")</f>
        <v>#VALUE!</v>
      </c>
      <c r="ID136" t="e">
        <f>AND('Planilla_General_03-12-2012_9_3'!M2175,"AAAAADD9ie0=")</f>
        <v>#VALUE!</v>
      </c>
      <c r="IE136" t="e">
        <f>AND('Planilla_General_03-12-2012_9_3'!N2175,"AAAAADD9ie4=")</f>
        <v>#VALUE!</v>
      </c>
      <c r="IF136" t="e">
        <f>AND('Planilla_General_03-12-2012_9_3'!O2175,"AAAAADD9ie8=")</f>
        <v>#VALUE!</v>
      </c>
      <c r="IG136">
        <f>IF('Planilla_General_03-12-2012_9_3'!2176:2176,"AAAAADD9ifA=",0)</f>
        <v>0</v>
      </c>
      <c r="IH136" t="e">
        <f>AND('Planilla_General_03-12-2012_9_3'!A2176,"AAAAADD9ifE=")</f>
        <v>#VALUE!</v>
      </c>
      <c r="II136" t="e">
        <f>AND('Planilla_General_03-12-2012_9_3'!B2176,"AAAAADD9ifI=")</f>
        <v>#VALUE!</v>
      </c>
      <c r="IJ136" t="e">
        <f>AND('Planilla_General_03-12-2012_9_3'!C2176,"AAAAADD9ifM=")</f>
        <v>#VALUE!</v>
      </c>
      <c r="IK136" t="e">
        <f>AND('Planilla_General_03-12-2012_9_3'!D2176,"AAAAADD9ifQ=")</f>
        <v>#VALUE!</v>
      </c>
      <c r="IL136" t="e">
        <f>AND('Planilla_General_03-12-2012_9_3'!E2176,"AAAAADD9ifU=")</f>
        <v>#VALUE!</v>
      </c>
      <c r="IM136" t="e">
        <f>AND('Planilla_General_03-12-2012_9_3'!F2176,"AAAAADD9ifY=")</f>
        <v>#VALUE!</v>
      </c>
      <c r="IN136" t="e">
        <f>AND('Planilla_General_03-12-2012_9_3'!G2176,"AAAAADD9ifc=")</f>
        <v>#VALUE!</v>
      </c>
      <c r="IO136" t="e">
        <f>AND('Planilla_General_03-12-2012_9_3'!H2176,"AAAAADD9ifg=")</f>
        <v>#VALUE!</v>
      </c>
      <c r="IP136" t="e">
        <f>AND('Planilla_General_03-12-2012_9_3'!I2176,"AAAAADD9ifk=")</f>
        <v>#VALUE!</v>
      </c>
      <c r="IQ136" t="e">
        <f>AND('Planilla_General_03-12-2012_9_3'!J2176,"AAAAADD9ifo=")</f>
        <v>#VALUE!</v>
      </c>
      <c r="IR136" t="e">
        <f>AND('Planilla_General_03-12-2012_9_3'!K2176,"AAAAADD9ifs=")</f>
        <v>#VALUE!</v>
      </c>
      <c r="IS136" t="e">
        <f>AND('Planilla_General_03-12-2012_9_3'!L2176,"AAAAADD9ifw=")</f>
        <v>#VALUE!</v>
      </c>
      <c r="IT136" t="e">
        <f>AND('Planilla_General_03-12-2012_9_3'!M2176,"AAAAADD9if0=")</f>
        <v>#VALUE!</v>
      </c>
      <c r="IU136" t="e">
        <f>AND('Planilla_General_03-12-2012_9_3'!N2176,"AAAAADD9if4=")</f>
        <v>#VALUE!</v>
      </c>
      <c r="IV136" t="e">
        <f>AND('Planilla_General_03-12-2012_9_3'!O2176,"AAAAADD9if8=")</f>
        <v>#VALUE!</v>
      </c>
    </row>
    <row r="137" spans="1:256" x14ac:dyDescent="0.25">
      <c r="A137" t="e">
        <f>IF('Planilla_General_03-12-2012_9_3'!2177:2177,"AAAAAH9ffwA=",0)</f>
        <v>#VALUE!</v>
      </c>
      <c r="B137" t="e">
        <f>AND('Planilla_General_03-12-2012_9_3'!A2177,"AAAAAH9ffwE=")</f>
        <v>#VALUE!</v>
      </c>
      <c r="C137" t="e">
        <f>AND('Planilla_General_03-12-2012_9_3'!B2177,"AAAAAH9ffwI=")</f>
        <v>#VALUE!</v>
      </c>
      <c r="D137" t="e">
        <f>AND('Planilla_General_03-12-2012_9_3'!C2177,"AAAAAH9ffwM=")</f>
        <v>#VALUE!</v>
      </c>
      <c r="E137" t="e">
        <f>AND('Planilla_General_03-12-2012_9_3'!D2177,"AAAAAH9ffwQ=")</f>
        <v>#VALUE!</v>
      </c>
      <c r="F137" t="e">
        <f>AND('Planilla_General_03-12-2012_9_3'!E2177,"AAAAAH9ffwU=")</f>
        <v>#VALUE!</v>
      </c>
      <c r="G137" t="e">
        <f>AND('Planilla_General_03-12-2012_9_3'!F2177,"AAAAAH9ffwY=")</f>
        <v>#VALUE!</v>
      </c>
      <c r="H137" t="e">
        <f>AND('Planilla_General_03-12-2012_9_3'!G2177,"AAAAAH9ffwc=")</f>
        <v>#VALUE!</v>
      </c>
      <c r="I137" t="e">
        <f>AND('Planilla_General_03-12-2012_9_3'!H2177,"AAAAAH9ffwg=")</f>
        <v>#VALUE!</v>
      </c>
      <c r="J137" t="e">
        <f>AND('Planilla_General_03-12-2012_9_3'!I2177,"AAAAAH9ffwk=")</f>
        <v>#VALUE!</v>
      </c>
      <c r="K137" t="e">
        <f>AND('Planilla_General_03-12-2012_9_3'!J2177,"AAAAAH9ffwo=")</f>
        <v>#VALUE!</v>
      </c>
      <c r="L137" t="e">
        <f>AND('Planilla_General_03-12-2012_9_3'!K2177,"AAAAAH9ffws=")</f>
        <v>#VALUE!</v>
      </c>
      <c r="M137" t="e">
        <f>AND('Planilla_General_03-12-2012_9_3'!L2177,"AAAAAH9ffww=")</f>
        <v>#VALUE!</v>
      </c>
      <c r="N137" t="e">
        <f>AND('Planilla_General_03-12-2012_9_3'!M2177,"AAAAAH9ffw0=")</f>
        <v>#VALUE!</v>
      </c>
      <c r="O137" t="e">
        <f>AND('Planilla_General_03-12-2012_9_3'!N2177,"AAAAAH9ffw4=")</f>
        <v>#VALUE!</v>
      </c>
      <c r="P137" t="e">
        <f>AND('Planilla_General_03-12-2012_9_3'!O2177,"AAAAAH9ffw8=")</f>
        <v>#VALUE!</v>
      </c>
      <c r="Q137">
        <f>IF('Planilla_General_03-12-2012_9_3'!2178:2178,"AAAAAH9ffxA=",0)</f>
        <v>0</v>
      </c>
      <c r="R137" t="e">
        <f>AND('Planilla_General_03-12-2012_9_3'!A2178,"AAAAAH9ffxE=")</f>
        <v>#VALUE!</v>
      </c>
      <c r="S137" t="e">
        <f>AND('Planilla_General_03-12-2012_9_3'!B2178,"AAAAAH9ffxI=")</f>
        <v>#VALUE!</v>
      </c>
      <c r="T137" t="e">
        <f>AND('Planilla_General_03-12-2012_9_3'!C2178,"AAAAAH9ffxM=")</f>
        <v>#VALUE!</v>
      </c>
      <c r="U137" t="e">
        <f>AND('Planilla_General_03-12-2012_9_3'!D2178,"AAAAAH9ffxQ=")</f>
        <v>#VALUE!</v>
      </c>
      <c r="V137" t="e">
        <f>AND('Planilla_General_03-12-2012_9_3'!E2178,"AAAAAH9ffxU=")</f>
        <v>#VALUE!</v>
      </c>
      <c r="W137" t="e">
        <f>AND('Planilla_General_03-12-2012_9_3'!F2178,"AAAAAH9ffxY=")</f>
        <v>#VALUE!</v>
      </c>
      <c r="X137" t="e">
        <f>AND('Planilla_General_03-12-2012_9_3'!G2178,"AAAAAH9ffxc=")</f>
        <v>#VALUE!</v>
      </c>
      <c r="Y137" t="e">
        <f>AND('Planilla_General_03-12-2012_9_3'!H2178,"AAAAAH9ffxg=")</f>
        <v>#VALUE!</v>
      </c>
      <c r="Z137" t="e">
        <f>AND('Planilla_General_03-12-2012_9_3'!I2178,"AAAAAH9ffxk=")</f>
        <v>#VALUE!</v>
      </c>
      <c r="AA137" t="e">
        <f>AND('Planilla_General_03-12-2012_9_3'!J2178,"AAAAAH9ffxo=")</f>
        <v>#VALUE!</v>
      </c>
      <c r="AB137" t="e">
        <f>AND('Planilla_General_03-12-2012_9_3'!K2178,"AAAAAH9ffxs=")</f>
        <v>#VALUE!</v>
      </c>
      <c r="AC137" t="e">
        <f>AND('Planilla_General_03-12-2012_9_3'!L2178,"AAAAAH9ffxw=")</f>
        <v>#VALUE!</v>
      </c>
      <c r="AD137" t="e">
        <f>AND('Planilla_General_03-12-2012_9_3'!M2178,"AAAAAH9ffx0=")</f>
        <v>#VALUE!</v>
      </c>
      <c r="AE137" t="e">
        <f>AND('Planilla_General_03-12-2012_9_3'!N2178,"AAAAAH9ffx4=")</f>
        <v>#VALUE!</v>
      </c>
      <c r="AF137" t="e">
        <f>AND('Planilla_General_03-12-2012_9_3'!O2178,"AAAAAH9ffx8=")</f>
        <v>#VALUE!</v>
      </c>
      <c r="AG137">
        <f>IF('Planilla_General_03-12-2012_9_3'!2179:2179,"AAAAAH9ffyA=",0)</f>
        <v>0</v>
      </c>
      <c r="AH137" t="e">
        <f>AND('Planilla_General_03-12-2012_9_3'!A2179,"AAAAAH9ffyE=")</f>
        <v>#VALUE!</v>
      </c>
      <c r="AI137" t="e">
        <f>AND('Planilla_General_03-12-2012_9_3'!B2179,"AAAAAH9ffyI=")</f>
        <v>#VALUE!</v>
      </c>
      <c r="AJ137" t="e">
        <f>AND('Planilla_General_03-12-2012_9_3'!C2179,"AAAAAH9ffyM=")</f>
        <v>#VALUE!</v>
      </c>
      <c r="AK137" t="e">
        <f>AND('Planilla_General_03-12-2012_9_3'!D2179,"AAAAAH9ffyQ=")</f>
        <v>#VALUE!</v>
      </c>
      <c r="AL137" t="e">
        <f>AND('Planilla_General_03-12-2012_9_3'!E2179,"AAAAAH9ffyU=")</f>
        <v>#VALUE!</v>
      </c>
      <c r="AM137" t="e">
        <f>AND('Planilla_General_03-12-2012_9_3'!F2179,"AAAAAH9ffyY=")</f>
        <v>#VALUE!</v>
      </c>
      <c r="AN137" t="e">
        <f>AND('Planilla_General_03-12-2012_9_3'!G2179,"AAAAAH9ffyc=")</f>
        <v>#VALUE!</v>
      </c>
      <c r="AO137" t="e">
        <f>AND('Planilla_General_03-12-2012_9_3'!H2179,"AAAAAH9ffyg=")</f>
        <v>#VALUE!</v>
      </c>
      <c r="AP137" t="e">
        <f>AND('Planilla_General_03-12-2012_9_3'!I2179,"AAAAAH9ffyk=")</f>
        <v>#VALUE!</v>
      </c>
      <c r="AQ137" t="e">
        <f>AND('Planilla_General_03-12-2012_9_3'!J2179,"AAAAAH9ffyo=")</f>
        <v>#VALUE!</v>
      </c>
      <c r="AR137" t="e">
        <f>AND('Planilla_General_03-12-2012_9_3'!K2179,"AAAAAH9ffys=")</f>
        <v>#VALUE!</v>
      </c>
      <c r="AS137" t="e">
        <f>AND('Planilla_General_03-12-2012_9_3'!L2179,"AAAAAH9ffyw=")</f>
        <v>#VALUE!</v>
      </c>
      <c r="AT137" t="e">
        <f>AND('Planilla_General_03-12-2012_9_3'!M2179,"AAAAAH9ffy0=")</f>
        <v>#VALUE!</v>
      </c>
      <c r="AU137" t="e">
        <f>AND('Planilla_General_03-12-2012_9_3'!N2179,"AAAAAH9ffy4=")</f>
        <v>#VALUE!</v>
      </c>
      <c r="AV137" t="e">
        <f>AND('Planilla_General_03-12-2012_9_3'!O2179,"AAAAAH9ffy8=")</f>
        <v>#VALUE!</v>
      </c>
      <c r="AW137">
        <f>IF('Planilla_General_03-12-2012_9_3'!2180:2180,"AAAAAH9ffzA=",0)</f>
        <v>0</v>
      </c>
      <c r="AX137" t="e">
        <f>AND('Planilla_General_03-12-2012_9_3'!A2180,"AAAAAH9ffzE=")</f>
        <v>#VALUE!</v>
      </c>
      <c r="AY137" t="e">
        <f>AND('Planilla_General_03-12-2012_9_3'!B2180,"AAAAAH9ffzI=")</f>
        <v>#VALUE!</v>
      </c>
      <c r="AZ137" t="e">
        <f>AND('Planilla_General_03-12-2012_9_3'!C2180,"AAAAAH9ffzM=")</f>
        <v>#VALUE!</v>
      </c>
      <c r="BA137" t="e">
        <f>AND('Planilla_General_03-12-2012_9_3'!D2180,"AAAAAH9ffzQ=")</f>
        <v>#VALUE!</v>
      </c>
      <c r="BB137" t="e">
        <f>AND('Planilla_General_03-12-2012_9_3'!E2180,"AAAAAH9ffzU=")</f>
        <v>#VALUE!</v>
      </c>
      <c r="BC137" t="e">
        <f>AND('Planilla_General_03-12-2012_9_3'!F2180,"AAAAAH9ffzY=")</f>
        <v>#VALUE!</v>
      </c>
      <c r="BD137" t="e">
        <f>AND('Planilla_General_03-12-2012_9_3'!G2180,"AAAAAH9ffzc=")</f>
        <v>#VALUE!</v>
      </c>
      <c r="BE137" t="e">
        <f>AND('Planilla_General_03-12-2012_9_3'!H2180,"AAAAAH9ffzg=")</f>
        <v>#VALUE!</v>
      </c>
      <c r="BF137" t="e">
        <f>AND('Planilla_General_03-12-2012_9_3'!I2180,"AAAAAH9ffzk=")</f>
        <v>#VALUE!</v>
      </c>
      <c r="BG137" t="e">
        <f>AND('Planilla_General_03-12-2012_9_3'!J2180,"AAAAAH9ffzo=")</f>
        <v>#VALUE!</v>
      </c>
      <c r="BH137" t="e">
        <f>AND('Planilla_General_03-12-2012_9_3'!K2180,"AAAAAH9ffzs=")</f>
        <v>#VALUE!</v>
      </c>
      <c r="BI137" t="e">
        <f>AND('Planilla_General_03-12-2012_9_3'!L2180,"AAAAAH9ffzw=")</f>
        <v>#VALUE!</v>
      </c>
      <c r="BJ137" t="e">
        <f>AND('Planilla_General_03-12-2012_9_3'!M2180,"AAAAAH9ffz0=")</f>
        <v>#VALUE!</v>
      </c>
      <c r="BK137" t="e">
        <f>AND('Planilla_General_03-12-2012_9_3'!N2180,"AAAAAH9ffz4=")</f>
        <v>#VALUE!</v>
      </c>
      <c r="BL137" t="e">
        <f>AND('Planilla_General_03-12-2012_9_3'!O2180,"AAAAAH9ffz8=")</f>
        <v>#VALUE!</v>
      </c>
      <c r="BM137">
        <f>IF('Planilla_General_03-12-2012_9_3'!2181:2181,"AAAAAH9ff0A=",0)</f>
        <v>0</v>
      </c>
      <c r="BN137" t="e">
        <f>AND('Planilla_General_03-12-2012_9_3'!A2181,"AAAAAH9ff0E=")</f>
        <v>#VALUE!</v>
      </c>
      <c r="BO137" t="e">
        <f>AND('Planilla_General_03-12-2012_9_3'!B2181,"AAAAAH9ff0I=")</f>
        <v>#VALUE!</v>
      </c>
      <c r="BP137" t="e">
        <f>AND('Planilla_General_03-12-2012_9_3'!C2181,"AAAAAH9ff0M=")</f>
        <v>#VALUE!</v>
      </c>
      <c r="BQ137" t="e">
        <f>AND('Planilla_General_03-12-2012_9_3'!D2181,"AAAAAH9ff0Q=")</f>
        <v>#VALUE!</v>
      </c>
      <c r="BR137" t="e">
        <f>AND('Planilla_General_03-12-2012_9_3'!E2181,"AAAAAH9ff0U=")</f>
        <v>#VALUE!</v>
      </c>
      <c r="BS137" t="e">
        <f>AND('Planilla_General_03-12-2012_9_3'!F2181,"AAAAAH9ff0Y=")</f>
        <v>#VALUE!</v>
      </c>
      <c r="BT137" t="e">
        <f>AND('Planilla_General_03-12-2012_9_3'!G2181,"AAAAAH9ff0c=")</f>
        <v>#VALUE!</v>
      </c>
      <c r="BU137" t="e">
        <f>AND('Planilla_General_03-12-2012_9_3'!H2181,"AAAAAH9ff0g=")</f>
        <v>#VALUE!</v>
      </c>
      <c r="BV137" t="e">
        <f>AND('Planilla_General_03-12-2012_9_3'!I2181,"AAAAAH9ff0k=")</f>
        <v>#VALUE!</v>
      </c>
      <c r="BW137" t="e">
        <f>AND('Planilla_General_03-12-2012_9_3'!J2181,"AAAAAH9ff0o=")</f>
        <v>#VALUE!</v>
      </c>
      <c r="BX137" t="e">
        <f>AND('Planilla_General_03-12-2012_9_3'!K2181,"AAAAAH9ff0s=")</f>
        <v>#VALUE!</v>
      </c>
      <c r="BY137" t="e">
        <f>AND('Planilla_General_03-12-2012_9_3'!L2181,"AAAAAH9ff0w=")</f>
        <v>#VALUE!</v>
      </c>
      <c r="BZ137" t="e">
        <f>AND('Planilla_General_03-12-2012_9_3'!M2181,"AAAAAH9ff00=")</f>
        <v>#VALUE!</v>
      </c>
      <c r="CA137" t="e">
        <f>AND('Planilla_General_03-12-2012_9_3'!N2181,"AAAAAH9ff04=")</f>
        <v>#VALUE!</v>
      </c>
      <c r="CB137" t="e">
        <f>AND('Planilla_General_03-12-2012_9_3'!O2181,"AAAAAH9ff08=")</f>
        <v>#VALUE!</v>
      </c>
      <c r="CC137">
        <f>IF('Planilla_General_03-12-2012_9_3'!2182:2182,"AAAAAH9ff1A=",0)</f>
        <v>0</v>
      </c>
      <c r="CD137" t="e">
        <f>AND('Planilla_General_03-12-2012_9_3'!A2182,"AAAAAH9ff1E=")</f>
        <v>#VALUE!</v>
      </c>
      <c r="CE137" t="e">
        <f>AND('Planilla_General_03-12-2012_9_3'!B2182,"AAAAAH9ff1I=")</f>
        <v>#VALUE!</v>
      </c>
      <c r="CF137" t="e">
        <f>AND('Planilla_General_03-12-2012_9_3'!C2182,"AAAAAH9ff1M=")</f>
        <v>#VALUE!</v>
      </c>
      <c r="CG137" t="e">
        <f>AND('Planilla_General_03-12-2012_9_3'!D2182,"AAAAAH9ff1Q=")</f>
        <v>#VALUE!</v>
      </c>
      <c r="CH137" t="e">
        <f>AND('Planilla_General_03-12-2012_9_3'!E2182,"AAAAAH9ff1U=")</f>
        <v>#VALUE!</v>
      </c>
      <c r="CI137" t="e">
        <f>AND('Planilla_General_03-12-2012_9_3'!F2182,"AAAAAH9ff1Y=")</f>
        <v>#VALUE!</v>
      </c>
      <c r="CJ137" t="e">
        <f>AND('Planilla_General_03-12-2012_9_3'!G2182,"AAAAAH9ff1c=")</f>
        <v>#VALUE!</v>
      </c>
      <c r="CK137" t="e">
        <f>AND('Planilla_General_03-12-2012_9_3'!H2182,"AAAAAH9ff1g=")</f>
        <v>#VALUE!</v>
      </c>
      <c r="CL137" t="e">
        <f>AND('Planilla_General_03-12-2012_9_3'!I2182,"AAAAAH9ff1k=")</f>
        <v>#VALUE!</v>
      </c>
      <c r="CM137" t="e">
        <f>AND('Planilla_General_03-12-2012_9_3'!J2182,"AAAAAH9ff1o=")</f>
        <v>#VALUE!</v>
      </c>
      <c r="CN137" t="e">
        <f>AND('Planilla_General_03-12-2012_9_3'!K2182,"AAAAAH9ff1s=")</f>
        <v>#VALUE!</v>
      </c>
      <c r="CO137" t="e">
        <f>AND('Planilla_General_03-12-2012_9_3'!L2182,"AAAAAH9ff1w=")</f>
        <v>#VALUE!</v>
      </c>
      <c r="CP137" t="e">
        <f>AND('Planilla_General_03-12-2012_9_3'!M2182,"AAAAAH9ff10=")</f>
        <v>#VALUE!</v>
      </c>
      <c r="CQ137" t="e">
        <f>AND('Planilla_General_03-12-2012_9_3'!N2182,"AAAAAH9ff14=")</f>
        <v>#VALUE!</v>
      </c>
      <c r="CR137" t="e">
        <f>AND('Planilla_General_03-12-2012_9_3'!O2182,"AAAAAH9ff18=")</f>
        <v>#VALUE!</v>
      </c>
      <c r="CS137">
        <f>IF('Planilla_General_03-12-2012_9_3'!2183:2183,"AAAAAH9ff2A=",0)</f>
        <v>0</v>
      </c>
      <c r="CT137" t="e">
        <f>AND('Planilla_General_03-12-2012_9_3'!A2183,"AAAAAH9ff2E=")</f>
        <v>#VALUE!</v>
      </c>
      <c r="CU137" t="e">
        <f>AND('Planilla_General_03-12-2012_9_3'!B2183,"AAAAAH9ff2I=")</f>
        <v>#VALUE!</v>
      </c>
      <c r="CV137" t="e">
        <f>AND('Planilla_General_03-12-2012_9_3'!C2183,"AAAAAH9ff2M=")</f>
        <v>#VALUE!</v>
      </c>
      <c r="CW137" t="e">
        <f>AND('Planilla_General_03-12-2012_9_3'!D2183,"AAAAAH9ff2Q=")</f>
        <v>#VALUE!</v>
      </c>
      <c r="CX137" t="e">
        <f>AND('Planilla_General_03-12-2012_9_3'!E2183,"AAAAAH9ff2U=")</f>
        <v>#VALUE!</v>
      </c>
      <c r="CY137" t="e">
        <f>AND('Planilla_General_03-12-2012_9_3'!F2183,"AAAAAH9ff2Y=")</f>
        <v>#VALUE!</v>
      </c>
      <c r="CZ137" t="e">
        <f>AND('Planilla_General_03-12-2012_9_3'!G2183,"AAAAAH9ff2c=")</f>
        <v>#VALUE!</v>
      </c>
      <c r="DA137" t="e">
        <f>AND('Planilla_General_03-12-2012_9_3'!H2183,"AAAAAH9ff2g=")</f>
        <v>#VALUE!</v>
      </c>
      <c r="DB137" t="e">
        <f>AND('Planilla_General_03-12-2012_9_3'!I2183,"AAAAAH9ff2k=")</f>
        <v>#VALUE!</v>
      </c>
      <c r="DC137" t="e">
        <f>AND('Planilla_General_03-12-2012_9_3'!J2183,"AAAAAH9ff2o=")</f>
        <v>#VALUE!</v>
      </c>
      <c r="DD137" t="e">
        <f>AND('Planilla_General_03-12-2012_9_3'!K2183,"AAAAAH9ff2s=")</f>
        <v>#VALUE!</v>
      </c>
      <c r="DE137" t="e">
        <f>AND('Planilla_General_03-12-2012_9_3'!L2183,"AAAAAH9ff2w=")</f>
        <v>#VALUE!</v>
      </c>
      <c r="DF137" t="e">
        <f>AND('Planilla_General_03-12-2012_9_3'!M2183,"AAAAAH9ff20=")</f>
        <v>#VALUE!</v>
      </c>
      <c r="DG137" t="e">
        <f>AND('Planilla_General_03-12-2012_9_3'!N2183,"AAAAAH9ff24=")</f>
        <v>#VALUE!</v>
      </c>
      <c r="DH137" t="e">
        <f>AND('Planilla_General_03-12-2012_9_3'!O2183,"AAAAAH9ff28=")</f>
        <v>#VALUE!</v>
      </c>
      <c r="DI137">
        <f>IF('Planilla_General_03-12-2012_9_3'!2184:2184,"AAAAAH9ff3A=",0)</f>
        <v>0</v>
      </c>
      <c r="DJ137" t="e">
        <f>AND('Planilla_General_03-12-2012_9_3'!A2184,"AAAAAH9ff3E=")</f>
        <v>#VALUE!</v>
      </c>
      <c r="DK137" t="e">
        <f>AND('Planilla_General_03-12-2012_9_3'!B2184,"AAAAAH9ff3I=")</f>
        <v>#VALUE!</v>
      </c>
      <c r="DL137" t="e">
        <f>AND('Planilla_General_03-12-2012_9_3'!C2184,"AAAAAH9ff3M=")</f>
        <v>#VALUE!</v>
      </c>
      <c r="DM137" t="e">
        <f>AND('Planilla_General_03-12-2012_9_3'!D2184,"AAAAAH9ff3Q=")</f>
        <v>#VALUE!</v>
      </c>
      <c r="DN137" t="e">
        <f>AND('Planilla_General_03-12-2012_9_3'!E2184,"AAAAAH9ff3U=")</f>
        <v>#VALUE!</v>
      </c>
      <c r="DO137" t="e">
        <f>AND('Planilla_General_03-12-2012_9_3'!F2184,"AAAAAH9ff3Y=")</f>
        <v>#VALUE!</v>
      </c>
      <c r="DP137" t="e">
        <f>AND('Planilla_General_03-12-2012_9_3'!G2184,"AAAAAH9ff3c=")</f>
        <v>#VALUE!</v>
      </c>
      <c r="DQ137" t="e">
        <f>AND('Planilla_General_03-12-2012_9_3'!H2184,"AAAAAH9ff3g=")</f>
        <v>#VALUE!</v>
      </c>
      <c r="DR137" t="e">
        <f>AND('Planilla_General_03-12-2012_9_3'!I2184,"AAAAAH9ff3k=")</f>
        <v>#VALUE!</v>
      </c>
      <c r="DS137" t="e">
        <f>AND('Planilla_General_03-12-2012_9_3'!J2184,"AAAAAH9ff3o=")</f>
        <v>#VALUE!</v>
      </c>
      <c r="DT137" t="e">
        <f>AND('Planilla_General_03-12-2012_9_3'!K2184,"AAAAAH9ff3s=")</f>
        <v>#VALUE!</v>
      </c>
      <c r="DU137" t="e">
        <f>AND('Planilla_General_03-12-2012_9_3'!L2184,"AAAAAH9ff3w=")</f>
        <v>#VALUE!</v>
      </c>
      <c r="DV137" t="e">
        <f>AND('Planilla_General_03-12-2012_9_3'!M2184,"AAAAAH9ff30=")</f>
        <v>#VALUE!</v>
      </c>
      <c r="DW137" t="e">
        <f>AND('Planilla_General_03-12-2012_9_3'!N2184,"AAAAAH9ff34=")</f>
        <v>#VALUE!</v>
      </c>
      <c r="DX137" t="e">
        <f>AND('Planilla_General_03-12-2012_9_3'!O2184,"AAAAAH9ff38=")</f>
        <v>#VALUE!</v>
      </c>
      <c r="DY137">
        <f>IF('Planilla_General_03-12-2012_9_3'!2185:2185,"AAAAAH9ff4A=",0)</f>
        <v>0</v>
      </c>
      <c r="DZ137" t="e">
        <f>AND('Planilla_General_03-12-2012_9_3'!A2185,"AAAAAH9ff4E=")</f>
        <v>#VALUE!</v>
      </c>
      <c r="EA137" t="e">
        <f>AND('Planilla_General_03-12-2012_9_3'!B2185,"AAAAAH9ff4I=")</f>
        <v>#VALUE!</v>
      </c>
      <c r="EB137" t="e">
        <f>AND('Planilla_General_03-12-2012_9_3'!C2185,"AAAAAH9ff4M=")</f>
        <v>#VALUE!</v>
      </c>
      <c r="EC137" t="e">
        <f>AND('Planilla_General_03-12-2012_9_3'!D2185,"AAAAAH9ff4Q=")</f>
        <v>#VALUE!</v>
      </c>
      <c r="ED137" t="e">
        <f>AND('Planilla_General_03-12-2012_9_3'!E2185,"AAAAAH9ff4U=")</f>
        <v>#VALUE!</v>
      </c>
      <c r="EE137" t="e">
        <f>AND('Planilla_General_03-12-2012_9_3'!F2185,"AAAAAH9ff4Y=")</f>
        <v>#VALUE!</v>
      </c>
      <c r="EF137" t="e">
        <f>AND('Planilla_General_03-12-2012_9_3'!G2185,"AAAAAH9ff4c=")</f>
        <v>#VALUE!</v>
      </c>
      <c r="EG137" t="e">
        <f>AND('Planilla_General_03-12-2012_9_3'!H2185,"AAAAAH9ff4g=")</f>
        <v>#VALUE!</v>
      </c>
      <c r="EH137" t="e">
        <f>AND('Planilla_General_03-12-2012_9_3'!I2185,"AAAAAH9ff4k=")</f>
        <v>#VALUE!</v>
      </c>
      <c r="EI137" t="e">
        <f>AND('Planilla_General_03-12-2012_9_3'!J2185,"AAAAAH9ff4o=")</f>
        <v>#VALUE!</v>
      </c>
      <c r="EJ137" t="e">
        <f>AND('Planilla_General_03-12-2012_9_3'!K2185,"AAAAAH9ff4s=")</f>
        <v>#VALUE!</v>
      </c>
      <c r="EK137" t="e">
        <f>AND('Planilla_General_03-12-2012_9_3'!L2185,"AAAAAH9ff4w=")</f>
        <v>#VALUE!</v>
      </c>
      <c r="EL137" t="e">
        <f>AND('Planilla_General_03-12-2012_9_3'!M2185,"AAAAAH9ff40=")</f>
        <v>#VALUE!</v>
      </c>
      <c r="EM137" t="e">
        <f>AND('Planilla_General_03-12-2012_9_3'!N2185,"AAAAAH9ff44=")</f>
        <v>#VALUE!</v>
      </c>
      <c r="EN137" t="e">
        <f>AND('Planilla_General_03-12-2012_9_3'!O2185,"AAAAAH9ff48=")</f>
        <v>#VALUE!</v>
      </c>
      <c r="EO137">
        <f>IF('Planilla_General_03-12-2012_9_3'!2186:2186,"AAAAAH9ff5A=",0)</f>
        <v>0</v>
      </c>
      <c r="EP137" t="e">
        <f>AND('Planilla_General_03-12-2012_9_3'!A2186,"AAAAAH9ff5E=")</f>
        <v>#VALUE!</v>
      </c>
      <c r="EQ137" t="e">
        <f>AND('Planilla_General_03-12-2012_9_3'!B2186,"AAAAAH9ff5I=")</f>
        <v>#VALUE!</v>
      </c>
      <c r="ER137" t="e">
        <f>AND('Planilla_General_03-12-2012_9_3'!C2186,"AAAAAH9ff5M=")</f>
        <v>#VALUE!</v>
      </c>
      <c r="ES137" t="e">
        <f>AND('Planilla_General_03-12-2012_9_3'!D2186,"AAAAAH9ff5Q=")</f>
        <v>#VALUE!</v>
      </c>
      <c r="ET137" t="e">
        <f>AND('Planilla_General_03-12-2012_9_3'!E2186,"AAAAAH9ff5U=")</f>
        <v>#VALUE!</v>
      </c>
      <c r="EU137" t="e">
        <f>AND('Planilla_General_03-12-2012_9_3'!F2186,"AAAAAH9ff5Y=")</f>
        <v>#VALUE!</v>
      </c>
      <c r="EV137" t="e">
        <f>AND('Planilla_General_03-12-2012_9_3'!G2186,"AAAAAH9ff5c=")</f>
        <v>#VALUE!</v>
      </c>
      <c r="EW137" t="e">
        <f>AND('Planilla_General_03-12-2012_9_3'!H2186,"AAAAAH9ff5g=")</f>
        <v>#VALUE!</v>
      </c>
      <c r="EX137" t="e">
        <f>AND('Planilla_General_03-12-2012_9_3'!I2186,"AAAAAH9ff5k=")</f>
        <v>#VALUE!</v>
      </c>
      <c r="EY137" t="e">
        <f>AND('Planilla_General_03-12-2012_9_3'!J2186,"AAAAAH9ff5o=")</f>
        <v>#VALUE!</v>
      </c>
      <c r="EZ137" t="e">
        <f>AND('Planilla_General_03-12-2012_9_3'!K2186,"AAAAAH9ff5s=")</f>
        <v>#VALUE!</v>
      </c>
      <c r="FA137" t="e">
        <f>AND('Planilla_General_03-12-2012_9_3'!L2186,"AAAAAH9ff5w=")</f>
        <v>#VALUE!</v>
      </c>
      <c r="FB137" t="e">
        <f>AND('Planilla_General_03-12-2012_9_3'!M2186,"AAAAAH9ff50=")</f>
        <v>#VALUE!</v>
      </c>
      <c r="FC137" t="e">
        <f>AND('Planilla_General_03-12-2012_9_3'!N2186,"AAAAAH9ff54=")</f>
        <v>#VALUE!</v>
      </c>
      <c r="FD137" t="e">
        <f>AND('Planilla_General_03-12-2012_9_3'!O2186,"AAAAAH9ff58=")</f>
        <v>#VALUE!</v>
      </c>
      <c r="FE137">
        <f>IF('Planilla_General_03-12-2012_9_3'!2187:2187,"AAAAAH9ff6A=",0)</f>
        <v>0</v>
      </c>
      <c r="FF137" t="e">
        <f>AND('Planilla_General_03-12-2012_9_3'!A2187,"AAAAAH9ff6E=")</f>
        <v>#VALUE!</v>
      </c>
      <c r="FG137" t="e">
        <f>AND('Planilla_General_03-12-2012_9_3'!B2187,"AAAAAH9ff6I=")</f>
        <v>#VALUE!</v>
      </c>
      <c r="FH137" t="e">
        <f>AND('Planilla_General_03-12-2012_9_3'!C2187,"AAAAAH9ff6M=")</f>
        <v>#VALUE!</v>
      </c>
      <c r="FI137" t="e">
        <f>AND('Planilla_General_03-12-2012_9_3'!D2187,"AAAAAH9ff6Q=")</f>
        <v>#VALUE!</v>
      </c>
      <c r="FJ137" t="e">
        <f>AND('Planilla_General_03-12-2012_9_3'!E2187,"AAAAAH9ff6U=")</f>
        <v>#VALUE!</v>
      </c>
      <c r="FK137" t="e">
        <f>AND('Planilla_General_03-12-2012_9_3'!F2187,"AAAAAH9ff6Y=")</f>
        <v>#VALUE!</v>
      </c>
      <c r="FL137" t="e">
        <f>AND('Planilla_General_03-12-2012_9_3'!G2187,"AAAAAH9ff6c=")</f>
        <v>#VALUE!</v>
      </c>
      <c r="FM137" t="e">
        <f>AND('Planilla_General_03-12-2012_9_3'!H2187,"AAAAAH9ff6g=")</f>
        <v>#VALUE!</v>
      </c>
      <c r="FN137" t="e">
        <f>AND('Planilla_General_03-12-2012_9_3'!I2187,"AAAAAH9ff6k=")</f>
        <v>#VALUE!</v>
      </c>
      <c r="FO137" t="e">
        <f>AND('Planilla_General_03-12-2012_9_3'!J2187,"AAAAAH9ff6o=")</f>
        <v>#VALUE!</v>
      </c>
      <c r="FP137" t="e">
        <f>AND('Planilla_General_03-12-2012_9_3'!K2187,"AAAAAH9ff6s=")</f>
        <v>#VALUE!</v>
      </c>
      <c r="FQ137" t="e">
        <f>AND('Planilla_General_03-12-2012_9_3'!L2187,"AAAAAH9ff6w=")</f>
        <v>#VALUE!</v>
      </c>
      <c r="FR137" t="e">
        <f>AND('Planilla_General_03-12-2012_9_3'!M2187,"AAAAAH9ff60=")</f>
        <v>#VALUE!</v>
      </c>
      <c r="FS137" t="e">
        <f>AND('Planilla_General_03-12-2012_9_3'!N2187,"AAAAAH9ff64=")</f>
        <v>#VALUE!</v>
      </c>
      <c r="FT137" t="e">
        <f>AND('Planilla_General_03-12-2012_9_3'!O2187,"AAAAAH9ff68=")</f>
        <v>#VALUE!</v>
      </c>
      <c r="FU137">
        <f>IF('Planilla_General_03-12-2012_9_3'!2188:2188,"AAAAAH9ff7A=",0)</f>
        <v>0</v>
      </c>
      <c r="FV137" t="e">
        <f>AND('Planilla_General_03-12-2012_9_3'!A2188,"AAAAAH9ff7E=")</f>
        <v>#VALUE!</v>
      </c>
      <c r="FW137" t="e">
        <f>AND('Planilla_General_03-12-2012_9_3'!B2188,"AAAAAH9ff7I=")</f>
        <v>#VALUE!</v>
      </c>
      <c r="FX137" t="e">
        <f>AND('Planilla_General_03-12-2012_9_3'!C2188,"AAAAAH9ff7M=")</f>
        <v>#VALUE!</v>
      </c>
      <c r="FY137" t="e">
        <f>AND('Planilla_General_03-12-2012_9_3'!D2188,"AAAAAH9ff7Q=")</f>
        <v>#VALUE!</v>
      </c>
      <c r="FZ137" t="e">
        <f>AND('Planilla_General_03-12-2012_9_3'!E2188,"AAAAAH9ff7U=")</f>
        <v>#VALUE!</v>
      </c>
      <c r="GA137" t="e">
        <f>AND('Planilla_General_03-12-2012_9_3'!F2188,"AAAAAH9ff7Y=")</f>
        <v>#VALUE!</v>
      </c>
      <c r="GB137" t="e">
        <f>AND('Planilla_General_03-12-2012_9_3'!G2188,"AAAAAH9ff7c=")</f>
        <v>#VALUE!</v>
      </c>
      <c r="GC137" t="e">
        <f>AND('Planilla_General_03-12-2012_9_3'!H2188,"AAAAAH9ff7g=")</f>
        <v>#VALUE!</v>
      </c>
      <c r="GD137" t="e">
        <f>AND('Planilla_General_03-12-2012_9_3'!I2188,"AAAAAH9ff7k=")</f>
        <v>#VALUE!</v>
      </c>
      <c r="GE137" t="e">
        <f>AND('Planilla_General_03-12-2012_9_3'!J2188,"AAAAAH9ff7o=")</f>
        <v>#VALUE!</v>
      </c>
      <c r="GF137" t="e">
        <f>AND('Planilla_General_03-12-2012_9_3'!K2188,"AAAAAH9ff7s=")</f>
        <v>#VALUE!</v>
      </c>
      <c r="GG137" t="e">
        <f>AND('Planilla_General_03-12-2012_9_3'!L2188,"AAAAAH9ff7w=")</f>
        <v>#VALUE!</v>
      </c>
      <c r="GH137" t="e">
        <f>AND('Planilla_General_03-12-2012_9_3'!M2188,"AAAAAH9ff70=")</f>
        <v>#VALUE!</v>
      </c>
      <c r="GI137" t="e">
        <f>AND('Planilla_General_03-12-2012_9_3'!N2188,"AAAAAH9ff74=")</f>
        <v>#VALUE!</v>
      </c>
      <c r="GJ137" t="e">
        <f>AND('Planilla_General_03-12-2012_9_3'!O2188,"AAAAAH9ff78=")</f>
        <v>#VALUE!</v>
      </c>
      <c r="GK137">
        <f>IF('Planilla_General_03-12-2012_9_3'!2189:2189,"AAAAAH9ff8A=",0)</f>
        <v>0</v>
      </c>
      <c r="GL137" t="e">
        <f>AND('Planilla_General_03-12-2012_9_3'!A2189,"AAAAAH9ff8E=")</f>
        <v>#VALUE!</v>
      </c>
      <c r="GM137" t="e">
        <f>AND('Planilla_General_03-12-2012_9_3'!B2189,"AAAAAH9ff8I=")</f>
        <v>#VALUE!</v>
      </c>
      <c r="GN137" t="e">
        <f>AND('Planilla_General_03-12-2012_9_3'!C2189,"AAAAAH9ff8M=")</f>
        <v>#VALUE!</v>
      </c>
      <c r="GO137" t="e">
        <f>AND('Planilla_General_03-12-2012_9_3'!D2189,"AAAAAH9ff8Q=")</f>
        <v>#VALUE!</v>
      </c>
      <c r="GP137" t="e">
        <f>AND('Planilla_General_03-12-2012_9_3'!E2189,"AAAAAH9ff8U=")</f>
        <v>#VALUE!</v>
      </c>
      <c r="GQ137" t="e">
        <f>AND('Planilla_General_03-12-2012_9_3'!F2189,"AAAAAH9ff8Y=")</f>
        <v>#VALUE!</v>
      </c>
      <c r="GR137" t="e">
        <f>AND('Planilla_General_03-12-2012_9_3'!G2189,"AAAAAH9ff8c=")</f>
        <v>#VALUE!</v>
      </c>
      <c r="GS137" t="e">
        <f>AND('Planilla_General_03-12-2012_9_3'!H2189,"AAAAAH9ff8g=")</f>
        <v>#VALUE!</v>
      </c>
      <c r="GT137" t="e">
        <f>AND('Planilla_General_03-12-2012_9_3'!I2189,"AAAAAH9ff8k=")</f>
        <v>#VALUE!</v>
      </c>
      <c r="GU137" t="e">
        <f>AND('Planilla_General_03-12-2012_9_3'!J2189,"AAAAAH9ff8o=")</f>
        <v>#VALUE!</v>
      </c>
      <c r="GV137" t="e">
        <f>AND('Planilla_General_03-12-2012_9_3'!K2189,"AAAAAH9ff8s=")</f>
        <v>#VALUE!</v>
      </c>
      <c r="GW137" t="e">
        <f>AND('Planilla_General_03-12-2012_9_3'!L2189,"AAAAAH9ff8w=")</f>
        <v>#VALUE!</v>
      </c>
      <c r="GX137" t="e">
        <f>AND('Planilla_General_03-12-2012_9_3'!M2189,"AAAAAH9ff80=")</f>
        <v>#VALUE!</v>
      </c>
      <c r="GY137" t="e">
        <f>AND('Planilla_General_03-12-2012_9_3'!N2189,"AAAAAH9ff84=")</f>
        <v>#VALUE!</v>
      </c>
      <c r="GZ137" t="e">
        <f>AND('Planilla_General_03-12-2012_9_3'!O2189,"AAAAAH9ff88=")</f>
        <v>#VALUE!</v>
      </c>
      <c r="HA137">
        <f>IF('Planilla_General_03-12-2012_9_3'!2190:2190,"AAAAAH9ff9A=",0)</f>
        <v>0</v>
      </c>
      <c r="HB137" t="e">
        <f>AND('Planilla_General_03-12-2012_9_3'!A2190,"AAAAAH9ff9E=")</f>
        <v>#VALUE!</v>
      </c>
      <c r="HC137" t="e">
        <f>AND('Planilla_General_03-12-2012_9_3'!B2190,"AAAAAH9ff9I=")</f>
        <v>#VALUE!</v>
      </c>
      <c r="HD137" t="e">
        <f>AND('Planilla_General_03-12-2012_9_3'!C2190,"AAAAAH9ff9M=")</f>
        <v>#VALUE!</v>
      </c>
      <c r="HE137" t="e">
        <f>AND('Planilla_General_03-12-2012_9_3'!D2190,"AAAAAH9ff9Q=")</f>
        <v>#VALUE!</v>
      </c>
      <c r="HF137" t="e">
        <f>AND('Planilla_General_03-12-2012_9_3'!E2190,"AAAAAH9ff9U=")</f>
        <v>#VALUE!</v>
      </c>
      <c r="HG137" t="e">
        <f>AND('Planilla_General_03-12-2012_9_3'!F2190,"AAAAAH9ff9Y=")</f>
        <v>#VALUE!</v>
      </c>
      <c r="HH137" t="e">
        <f>AND('Planilla_General_03-12-2012_9_3'!G2190,"AAAAAH9ff9c=")</f>
        <v>#VALUE!</v>
      </c>
      <c r="HI137" t="e">
        <f>AND('Planilla_General_03-12-2012_9_3'!H2190,"AAAAAH9ff9g=")</f>
        <v>#VALUE!</v>
      </c>
      <c r="HJ137" t="e">
        <f>AND('Planilla_General_03-12-2012_9_3'!I2190,"AAAAAH9ff9k=")</f>
        <v>#VALUE!</v>
      </c>
      <c r="HK137" t="e">
        <f>AND('Planilla_General_03-12-2012_9_3'!J2190,"AAAAAH9ff9o=")</f>
        <v>#VALUE!</v>
      </c>
      <c r="HL137" t="e">
        <f>AND('Planilla_General_03-12-2012_9_3'!K2190,"AAAAAH9ff9s=")</f>
        <v>#VALUE!</v>
      </c>
      <c r="HM137" t="e">
        <f>AND('Planilla_General_03-12-2012_9_3'!L2190,"AAAAAH9ff9w=")</f>
        <v>#VALUE!</v>
      </c>
      <c r="HN137" t="e">
        <f>AND('Planilla_General_03-12-2012_9_3'!M2190,"AAAAAH9ff90=")</f>
        <v>#VALUE!</v>
      </c>
      <c r="HO137" t="e">
        <f>AND('Planilla_General_03-12-2012_9_3'!N2190,"AAAAAH9ff94=")</f>
        <v>#VALUE!</v>
      </c>
      <c r="HP137" t="e">
        <f>AND('Planilla_General_03-12-2012_9_3'!O2190,"AAAAAH9ff98=")</f>
        <v>#VALUE!</v>
      </c>
      <c r="HQ137">
        <f>IF('Planilla_General_03-12-2012_9_3'!2191:2191,"AAAAAH9ff+A=",0)</f>
        <v>0</v>
      </c>
      <c r="HR137" t="e">
        <f>AND('Planilla_General_03-12-2012_9_3'!A2191,"AAAAAH9ff+E=")</f>
        <v>#VALUE!</v>
      </c>
      <c r="HS137" t="e">
        <f>AND('Planilla_General_03-12-2012_9_3'!B2191,"AAAAAH9ff+I=")</f>
        <v>#VALUE!</v>
      </c>
      <c r="HT137" t="e">
        <f>AND('Planilla_General_03-12-2012_9_3'!C2191,"AAAAAH9ff+M=")</f>
        <v>#VALUE!</v>
      </c>
      <c r="HU137" t="e">
        <f>AND('Planilla_General_03-12-2012_9_3'!D2191,"AAAAAH9ff+Q=")</f>
        <v>#VALUE!</v>
      </c>
      <c r="HV137" t="e">
        <f>AND('Planilla_General_03-12-2012_9_3'!E2191,"AAAAAH9ff+U=")</f>
        <v>#VALUE!</v>
      </c>
      <c r="HW137" t="e">
        <f>AND('Planilla_General_03-12-2012_9_3'!F2191,"AAAAAH9ff+Y=")</f>
        <v>#VALUE!</v>
      </c>
      <c r="HX137" t="e">
        <f>AND('Planilla_General_03-12-2012_9_3'!G2191,"AAAAAH9ff+c=")</f>
        <v>#VALUE!</v>
      </c>
      <c r="HY137" t="e">
        <f>AND('Planilla_General_03-12-2012_9_3'!H2191,"AAAAAH9ff+g=")</f>
        <v>#VALUE!</v>
      </c>
      <c r="HZ137" t="e">
        <f>AND('Planilla_General_03-12-2012_9_3'!I2191,"AAAAAH9ff+k=")</f>
        <v>#VALUE!</v>
      </c>
      <c r="IA137" t="e">
        <f>AND('Planilla_General_03-12-2012_9_3'!J2191,"AAAAAH9ff+o=")</f>
        <v>#VALUE!</v>
      </c>
      <c r="IB137" t="e">
        <f>AND('Planilla_General_03-12-2012_9_3'!K2191,"AAAAAH9ff+s=")</f>
        <v>#VALUE!</v>
      </c>
      <c r="IC137" t="e">
        <f>AND('Planilla_General_03-12-2012_9_3'!L2191,"AAAAAH9ff+w=")</f>
        <v>#VALUE!</v>
      </c>
      <c r="ID137" t="e">
        <f>AND('Planilla_General_03-12-2012_9_3'!M2191,"AAAAAH9ff+0=")</f>
        <v>#VALUE!</v>
      </c>
      <c r="IE137" t="e">
        <f>AND('Planilla_General_03-12-2012_9_3'!N2191,"AAAAAH9ff+4=")</f>
        <v>#VALUE!</v>
      </c>
      <c r="IF137" t="e">
        <f>AND('Planilla_General_03-12-2012_9_3'!O2191,"AAAAAH9ff+8=")</f>
        <v>#VALUE!</v>
      </c>
      <c r="IG137">
        <f>IF('Planilla_General_03-12-2012_9_3'!2192:2192,"AAAAAH9ff/A=",0)</f>
        <v>0</v>
      </c>
      <c r="IH137" t="e">
        <f>AND('Planilla_General_03-12-2012_9_3'!A2192,"AAAAAH9ff/E=")</f>
        <v>#VALUE!</v>
      </c>
      <c r="II137" t="e">
        <f>AND('Planilla_General_03-12-2012_9_3'!B2192,"AAAAAH9ff/I=")</f>
        <v>#VALUE!</v>
      </c>
      <c r="IJ137" t="e">
        <f>AND('Planilla_General_03-12-2012_9_3'!C2192,"AAAAAH9ff/M=")</f>
        <v>#VALUE!</v>
      </c>
      <c r="IK137" t="e">
        <f>AND('Planilla_General_03-12-2012_9_3'!D2192,"AAAAAH9ff/Q=")</f>
        <v>#VALUE!</v>
      </c>
      <c r="IL137" t="e">
        <f>AND('Planilla_General_03-12-2012_9_3'!E2192,"AAAAAH9ff/U=")</f>
        <v>#VALUE!</v>
      </c>
      <c r="IM137" t="e">
        <f>AND('Planilla_General_03-12-2012_9_3'!F2192,"AAAAAH9ff/Y=")</f>
        <v>#VALUE!</v>
      </c>
      <c r="IN137" t="e">
        <f>AND('Planilla_General_03-12-2012_9_3'!G2192,"AAAAAH9ff/c=")</f>
        <v>#VALUE!</v>
      </c>
      <c r="IO137" t="e">
        <f>AND('Planilla_General_03-12-2012_9_3'!H2192,"AAAAAH9ff/g=")</f>
        <v>#VALUE!</v>
      </c>
      <c r="IP137" t="e">
        <f>AND('Planilla_General_03-12-2012_9_3'!I2192,"AAAAAH9ff/k=")</f>
        <v>#VALUE!</v>
      </c>
      <c r="IQ137" t="e">
        <f>AND('Planilla_General_03-12-2012_9_3'!J2192,"AAAAAH9ff/o=")</f>
        <v>#VALUE!</v>
      </c>
      <c r="IR137" t="e">
        <f>AND('Planilla_General_03-12-2012_9_3'!K2192,"AAAAAH9ff/s=")</f>
        <v>#VALUE!</v>
      </c>
      <c r="IS137" t="e">
        <f>AND('Planilla_General_03-12-2012_9_3'!L2192,"AAAAAH9ff/w=")</f>
        <v>#VALUE!</v>
      </c>
      <c r="IT137" t="e">
        <f>AND('Planilla_General_03-12-2012_9_3'!M2192,"AAAAAH9ff/0=")</f>
        <v>#VALUE!</v>
      </c>
      <c r="IU137" t="e">
        <f>AND('Planilla_General_03-12-2012_9_3'!N2192,"AAAAAH9ff/4=")</f>
        <v>#VALUE!</v>
      </c>
      <c r="IV137" t="e">
        <f>AND('Planilla_General_03-12-2012_9_3'!O2192,"AAAAAH9ff/8=")</f>
        <v>#VALUE!</v>
      </c>
    </row>
    <row r="138" spans="1:256" x14ac:dyDescent="0.25">
      <c r="A138" t="e">
        <f>IF('Planilla_General_03-12-2012_9_3'!2193:2193,"AAAAADu81gA=",0)</f>
        <v>#VALUE!</v>
      </c>
      <c r="B138" t="e">
        <f>AND('Planilla_General_03-12-2012_9_3'!A2193,"AAAAADu81gE=")</f>
        <v>#VALUE!</v>
      </c>
      <c r="C138" t="e">
        <f>AND('Planilla_General_03-12-2012_9_3'!B2193,"AAAAADu81gI=")</f>
        <v>#VALUE!</v>
      </c>
      <c r="D138" t="e">
        <f>AND('Planilla_General_03-12-2012_9_3'!C2193,"AAAAADu81gM=")</f>
        <v>#VALUE!</v>
      </c>
      <c r="E138" t="e">
        <f>AND('Planilla_General_03-12-2012_9_3'!D2193,"AAAAADu81gQ=")</f>
        <v>#VALUE!</v>
      </c>
      <c r="F138" t="e">
        <f>AND('Planilla_General_03-12-2012_9_3'!E2193,"AAAAADu81gU=")</f>
        <v>#VALUE!</v>
      </c>
      <c r="G138" t="e">
        <f>AND('Planilla_General_03-12-2012_9_3'!F2193,"AAAAADu81gY=")</f>
        <v>#VALUE!</v>
      </c>
      <c r="H138" t="e">
        <f>AND('Planilla_General_03-12-2012_9_3'!G2193,"AAAAADu81gc=")</f>
        <v>#VALUE!</v>
      </c>
      <c r="I138" t="e">
        <f>AND('Planilla_General_03-12-2012_9_3'!H2193,"AAAAADu81gg=")</f>
        <v>#VALUE!</v>
      </c>
      <c r="J138" t="e">
        <f>AND('Planilla_General_03-12-2012_9_3'!I2193,"AAAAADu81gk=")</f>
        <v>#VALUE!</v>
      </c>
      <c r="K138" t="e">
        <f>AND('Planilla_General_03-12-2012_9_3'!J2193,"AAAAADu81go=")</f>
        <v>#VALUE!</v>
      </c>
      <c r="L138" t="e">
        <f>AND('Planilla_General_03-12-2012_9_3'!K2193,"AAAAADu81gs=")</f>
        <v>#VALUE!</v>
      </c>
      <c r="M138" t="e">
        <f>AND('Planilla_General_03-12-2012_9_3'!L2193,"AAAAADu81gw=")</f>
        <v>#VALUE!</v>
      </c>
      <c r="N138" t="e">
        <f>AND('Planilla_General_03-12-2012_9_3'!M2193,"AAAAADu81g0=")</f>
        <v>#VALUE!</v>
      </c>
      <c r="O138" t="e">
        <f>AND('Planilla_General_03-12-2012_9_3'!N2193,"AAAAADu81g4=")</f>
        <v>#VALUE!</v>
      </c>
      <c r="P138" t="e">
        <f>AND('Planilla_General_03-12-2012_9_3'!O2193,"AAAAADu81g8=")</f>
        <v>#VALUE!</v>
      </c>
      <c r="Q138">
        <f>IF('Planilla_General_03-12-2012_9_3'!2194:2194,"AAAAADu81hA=",0)</f>
        <v>0</v>
      </c>
      <c r="R138" t="e">
        <f>AND('Planilla_General_03-12-2012_9_3'!A2194,"AAAAADu81hE=")</f>
        <v>#VALUE!</v>
      </c>
      <c r="S138" t="e">
        <f>AND('Planilla_General_03-12-2012_9_3'!B2194,"AAAAADu81hI=")</f>
        <v>#VALUE!</v>
      </c>
      <c r="T138" t="e">
        <f>AND('Planilla_General_03-12-2012_9_3'!C2194,"AAAAADu81hM=")</f>
        <v>#VALUE!</v>
      </c>
      <c r="U138" t="e">
        <f>AND('Planilla_General_03-12-2012_9_3'!D2194,"AAAAADu81hQ=")</f>
        <v>#VALUE!</v>
      </c>
      <c r="V138" t="e">
        <f>AND('Planilla_General_03-12-2012_9_3'!E2194,"AAAAADu81hU=")</f>
        <v>#VALUE!</v>
      </c>
      <c r="W138" t="e">
        <f>AND('Planilla_General_03-12-2012_9_3'!F2194,"AAAAADu81hY=")</f>
        <v>#VALUE!</v>
      </c>
      <c r="X138" t="e">
        <f>AND('Planilla_General_03-12-2012_9_3'!G2194,"AAAAADu81hc=")</f>
        <v>#VALUE!</v>
      </c>
      <c r="Y138" t="e">
        <f>AND('Planilla_General_03-12-2012_9_3'!H2194,"AAAAADu81hg=")</f>
        <v>#VALUE!</v>
      </c>
      <c r="Z138" t="e">
        <f>AND('Planilla_General_03-12-2012_9_3'!I2194,"AAAAADu81hk=")</f>
        <v>#VALUE!</v>
      </c>
      <c r="AA138" t="e">
        <f>AND('Planilla_General_03-12-2012_9_3'!J2194,"AAAAADu81ho=")</f>
        <v>#VALUE!</v>
      </c>
      <c r="AB138" t="e">
        <f>AND('Planilla_General_03-12-2012_9_3'!K2194,"AAAAADu81hs=")</f>
        <v>#VALUE!</v>
      </c>
      <c r="AC138" t="e">
        <f>AND('Planilla_General_03-12-2012_9_3'!L2194,"AAAAADu81hw=")</f>
        <v>#VALUE!</v>
      </c>
      <c r="AD138" t="e">
        <f>AND('Planilla_General_03-12-2012_9_3'!M2194,"AAAAADu81h0=")</f>
        <v>#VALUE!</v>
      </c>
      <c r="AE138" t="e">
        <f>AND('Planilla_General_03-12-2012_9_3'!N2194,"AAAAADu81h4=")</f>
        <v>#VALUE!</v>
      </c>
      <c r="AF138" t="e">
        <f>AND('Planilla_General_03-12-2012_9_3'!O2194,"AAAAADu81h8=")</f>
        <v>#VALUE!</v>
      </c>
      <c r="AG138">
        <f>IF('Planilla_General_03-12-2012_9_3'!2195:2195,"AAAAADu81iA=",0)</f>
        <v>0</v>
      </c>
      <c r="AH138" t="e">
        <f>AND('Planilla_General_03-12-2012_9_3'!A2195,"AAAAADu81iE=")</f>
        <v>#VALUE!</v>
      </c>
      <c r="AI138" t="e">
        <f>AND('Planilla_General_03-12-2012_9_3'!B2195,"AAAAADu81iI=")</f>
        <v>#VALUE!</v>
      </c>
      <c r="AJ138" t="e">
        <f>AND('Planilla_General_03-12-2012_9_3'!C2195,"AAAAADu81iM=")</f>
        <v>#VALUE!</v>
      </c>
      <c r="AK138" t="e">
        <f>AND('Planilla_General_03-12-2012_9_3'!D2195,"AAAAADu81iQ=")</f>
        <v>#VALUE!</v>
      </c>
      <c r="AL138" t="e">
        <f>AND('Planilla_General_03-12-2012_9_3'!E2195,"AAAAADu81iU=")</f>
        <v>#VALUE!</v>
      </c>
      <c r="AM138" t="e">
        <f>AND('Planilla_General_03-12-2012_9_3'!F2195,"AAAAADu81iY=")</f>
        <v>#VALUE!</v>
      </c>
      <c r="AN138" t="e">
        <f>AND('Planilla_General_03-12-2012_9_3'!G2195,"AAAAADu81ic=")</f>
        <v>#VALUE!</v>
      </c>
      <c r="AO138" t="e">
        <f>AND('Planilla_General_03-12-2012_9_3'!H2195,"AAAAADu81ig=")</f>
        <v>#VALUE!</v>
      </c>
      <c r="AP138" t="e">
        <f>AND('Planilla_General_03-12-2012_9_3'!I2195,"AAAAADu81ik=")</f>
        <v>#VALUE!</v>
      </c>
      <c r="AQ138" t="e">
        <f>AND('Planilla_General_03-12-2012_9_3'!J2195,"AAAAADu81io=")</f>
        <v>#VALUE!</v>
      </c>
      <c r="AR138" t="e">
        <f>AND('Planilla_General_03-12-2012_9_3'!K2195,"AAAAADu81is=")</f>
        <v>#VALUE!</v>
      </c>
      <c r="AS138" t="e">
        <f>AND('Planilla_General_03-12-2012_9_3'!L2195,"AAAAADu81iw=")</f>
        <v>#VALUE!</v>
      </c>
      <c r="AT138" t="e">
        <f>AND('Planilla_General_03-12-2012_9_3'!M2195,"AAAAADu81i0=")</f>
        <v>#VALUE!</v>
      </c>
      <c r="AU138" t="e">
        <f>AND('Planilla_General_03-12-2012_9_3'!N2195,"AAAAADu81i4=")</f>
        <v>#VALUE!</v>
      </c>
      <c r="AV138" t="e">
        <f>AND('Planilla_General_03-12-2012_9_3'!O2195,"AAAAADu81i8=")</f>
        <v>#VALUE!</v>
      </c>
      <c r="AW138">
        <f>IF('Planilla_General_03-12-2012_9_3'!2196:2196,"AAAAADu81jA=",0)</f>
        <v>0</v>
      </c>
      <c r="AX138" t="e">
        <f>AND('Planilla_General_03-12-2012_9_3'!A2196,"AAAAADu81jE=")</f>
        <v>#VALUE!</v>
      </c>
      <c r="AY138" t="e">
        <f>AND('Planilla_General_03-12-2012_9_3'!B2196,"AAAAADu81jI=")</f>
        <v>#VALUE!</v>
      </c>
      <c r="AZ138" t="e">
        <f>AND('Planilla_General_03-12-2012_9_3'!C2196,"AAAAADu81jM=")</f>
        <v>#VALUE!</v>
      </c>
      <c r="BA138" t="e">
        <f>AND('Planilla_General_03-12-2012_9_3'!D2196,"AAAAADu81jQ=")</f>
        <v>#VALUE!</v>
      </c>
      <c r="BB138" t="e">
        <f>AND('Planilla_General_03-12-2012_9_3'!E2196,"AAAAADu81jU=")</f>
        <v>#VALUE!</v>
      </c>
      <c r="BC138" t="e">
        <f>AND('Planilla_General_03-12-2012_9_3'!F2196,"AAAAADu81jY=")</f>
        <v>#VALUE!</v>
      </c>
      <c r="BD138" t="e">
        <f>AND('Planilla_General_03-12-2012_9_3'!G2196,"AAAAADu81jc=")</f>
        <v>#VALUE!</v>
      </c>
      <c r="BE138" t="e">
        <f>AND('Planilla_General_03-12-2012_9_3'!H2196,"AAAAADu81jg=")</f>
        <v>#VALUE!</v>
      </c>
      <c r="BF138" t="e">
        <f>AND('Planilla_General_03-12-2012_9_3'!I2196,"AAAAADu81jk=")</f>
        <v>#VALUE!</v>
      </c>
      <c r="BG138" t="e">
        <f>AND('Planilla_General_03-12-2012_9_3'!J2196,"AAAAADu81jo=")</f>
        <v>#VALUE!</v>
      </c>
      <c r="BH138" t="e">
        <f>AND('Planilla_General_03-12-2012_9_3'!K2196,"AAAAADu81js=")</f>
        <v>#VALUE!</v>
      </c>
      <c r="BI138" t="e">
        <f>AND('Planilla_General_03-12-2012_9_3'!L2196,"AAAAADu81jw=")</f>
        <v>#VALUE!</v>
      </c>
      <c r="BJ138" t="e">
        <f>AND('Planilla_General_03-12-2012_9_3'!M2196,"AAAAADu81j0=")</f>
        <v>#VALUE!</v>
      </c>
      <c r="BK138" t="e">
        <f>AND('Planilla_General_03-12-2012_9_3'!N2196,"AAAAADu81j4=")</f>
        <v>#VALUE!</v>
      </c>
      <c r="BL138" t="e">
        <f>AND('Planilla_General_03-12-2012_9_3'!O2196,"AAAAADu81j8=")</f>
        <v>#VALUE!</v>
      </c>
      <c r="BM138">
        <f>IF('Planilla_General_03-12-2012_9_3'!2197:2197,"AAAAADu81kA=",0)</f>
        <v>0</v>
      </c>
      <c r="BN138" t="e">
        <f>AND('Planilla_General_03-12-2012_9_3'!A2197,"AAAAADu81kE=")</f>
        <v>#VALUE!</v>
      </c>
      <c r="BO138" t="e">
        <f>AND('Planilla_General_03-12-2012_9_3'!B2197,"AAAAADu81kI=")</f>
        <v>#VALUE!</v>
      </c>
      <c r="BP138" t="e">
        <f>AND('Planilla_General_03-12-2012_9_3'!C2197,"AAAAADu81kM=")</f>
        <v>#VALUE!</v>
      </c>
      <c r="BQ138" t="e">
        <f>AND('Planilla_General_03-12-2012_9_3'!D2197,"AAAAADu81kQ=")</f>
        <v>#VALUE!</v>
      </c>
      <c r="BR138" t="e">
        <f>AND('Planilla_General_03-12-2012_9_3'!E2197,"AAAAADu81kU=")</f>
        <v>#VALUE!</v>
      </c>
      <c r="BS138" t="e">
        <f>AND('Planilla_General_03-12-2012_9_3'!F2197,"AAAAADu81kY=")</f>
        <v>#VALUE!</v>
      </c>
      <c r="BT138" t="e">
        <f>AND('Planilla_General_03-12-2012_9_3'!G2197,"AAAAADu81kc=")</f>
        <v>#VALUE!</v>
      </c>
      <c r="BU138" t="e">
        <f>AND('Planilla_General_03-12-2012_9_3'!H2197,"AAAAADu81kg=")</f>
        <v>#VALUE!</v>
      </c>
      <c r="BV138" t="e">
        <f>AND('Planilla_General_03-12-2012_9_3'!I2197,"AAAAADu81kk=")</f>
        <v>#VALUE!</v>
      </c>
      <c r="BW138" t="e">
        <f>AND('Planilla_General_03-12-2012_9_3'!J2197,"AAAAADu81ko=")</f>
        <v>#VALUE!</v>
      </c>
      <c r="BX138" t="e">
        <f>AND('Planilla_General_03-12-2012_9_3'!K2197,"AAAAADu81ks=")</f>
        <v>#VALUE!</v>
      </c>
      <c r="BY138" t="e">
        <f>AND('Planilla_General_03-12-2012_9_3'!L2197,"AAAAADu81kw=")</f>
        <v>#VALUE!</v>
      </c>
      <c r="BZ138" t="e">
        <f>AND('Planilla_General_03-12-2012_9_3'!M2197,"AAAAADu81k0=")</f>
        <v>#VALUE!</v>
      </c>
      <c r="CA138" t="e">
        <f>AND('Planilla_General_03-12-2012_9_3'!N2197,"AAAAADu81k4=")</f>
        <v>#VALUE!</v>
      </c>
      <c r="CB138" t="e">
        <f>AND('Planilla_General_03-12-2012_9_3'!O2197,"AAAAADu81k8=")</f>
        <v>#VALUE!</v>
      </c>
      <c r="CC138">
        <f>IF('Planilla_General_03-12-2012_9_3'!2198:2198,"AAAAADu81lA=",0)</f>
        <v>0</v>
      </c>
      <c r="CD138" t="e">
        <f>AND('Planilla_General_03-12-2012_9_3'!A2198,"AAAAADu81lE=")</f>
        <v>#VALUE!</v>
      </c>
      <c r="CE138" t="e">
        <f>AND('Planilla_General_03-12-2012_9_3'!B2198,"AAAAADu81lI=")</f>
        <v>#VALUE!</v>
      </c>
      <c r="CF138" t="e">
        <f>AND('Planilla_General_03-12-2012_9_3'!C2198,"AAAAADu81lM=")</f>
        <v>#VALUE!</v>
      </c>
      <c r="CG138" t="e">
        <f>AND('Planilla_General_03-12-2012_9_3'!D2198,"AAAAADu81lQ=")</f>
        <v>#VALUE!</v>
      </c>
      <c r="CH138" t="e">
        <f>AND('Planilla_General_03-12-2012_9_3'!E2198,"AAAAADu81lU=")</f>
        <v>#VALUE!</v>
      </c>
      <c r="CI138" t="e">
        <f>AND('Planilla_General_03-12-2012_9_3'!F2198,"AAAAADu81lY=")</f>
        <v>#VALUE!</v>
      </c>
      <c r="CJ138" t="e">
        <f>AND('Planilla_General_03-12-2012_9_3'!G2198,"AAAAADu81lc=")</f>
        <v>#VALUE!</v>
      </c>
      <c r="CK138" t="e">
        <f>AND('Planilla_General_03-12-2012_9_3'!H2198,"AAAAADu81lg=")</f>
        <v>#VALUE!</v>
      </c>
      <c r="CL138" t="e">
        <f>AND('Planilla_General_03-12-2012_9_3'!I2198,"AAAAADu81lk=")</f>
        <v>#VALUE!</v>
      </c>
      <c r="CM138" t="e">
        <f>AND('Planilla_General_03-12-2012_9_3'!J2198,"AAAAADu81lo=")</f>
        <v>#VALUE!</v>
      </c>
      <c r="CN138" t="e">
        <f>AND('Planilla_General_03-12-2012_9_3'!K2198,"AAAAADu81ls=")</f>
        <v>#VALUE!</v>
      </c>
      <c r="CO138" t="e">
        <f>AND('Planilla_General_03-12-2012_9_3'!L2198,"AAAAADu81lw=")</f>
        <v>#VALUE!</v>
      </c>
      <c r="CP138" t="e">
        <f>AND('Planilla_General_03-12-2012_9_3'!M2198,"AAAAADu81l0=")</f>
        <v>#VALUE!</v>
      </c>
      <c r="CQ138" t="e">
        <f>AND('Planilla_General_03-12-2012_9_3'!N2198,"AAAAADu81l4=")</f>
        <v>#VALUE!</v>
      </c>
      <c r="CR138" t="e">
        <f>AND('Planilla_General_03-12-2012_9_3'!O2198,"AAAAADu81l8=")</f>
        <v>#VALUE!</v>
      </c>
      <c r="CS138">
        <f>IF('Planilla_General_03-12-2012_9_3'!2199:2199,"AAAAADu81mA=",0)</f>
        <v>0</v>
      </c>
      <c r="CT138" t="e">
        <f>AND('Planilla_General_03-12-2012_9_3'!A2199,"AAAAADu81mE=")</f>
        <v>#VALUE!</v>
      </c>
      <c r="CU138" t="e">
        <f>AND('Planilla_General_03-12-2012_9_3'!B2199,"AAAAADu81mI=")</f>
        <v>#VALUE!</v>
      </c>
      <c r="CV138" t="e">
        <f>AND('Planilla_General_03-12-2012_9_3'!C2199,"AAAAADu81mM=")</f>
        <v>#VALUE!</v>
      </c>
      <c r="CW138" t="e">
        <f>AND('Planilla_General_03-12-2012_9_3'!D2199,"AAAAADu81mQ=")</f>
        <v>#VALUE!</v>
      </c>
      <c r="CX138" t="e">
        <f>AND('Planilla_General_03-12-2012_9_3'!E2199,"AAAAADu81mU=")</f>
        <v>#VALUE!</v>
      </c>
      <c r="CY138" t="e">
        <f>AND('Planilla_General_03-12-2012_9_3'!F2199,"AAAAADu81mY=")</f>
        <v>#VALUE!</v>
      </c>
      <c r="CZ138" t="e">
        <f>AND('Planilla_General_03-12-2012_9_3'!G2199,"AAAAADu81mc=")</f>
        <v>#VALUE!</v>
      </c>
      <c r="DA138" t="e">
        <f>AND('Planilla_General_03-12-2012_9_3'!H2199,"AAAAADu81mg=")</f>
        <v>#VALUE!</v>
      </c>
      <c r="DB138" t="e">
        <f>AND('Planilla_General_03-12-2012_9_3'!I2199,"AAAAADu81mk=")</f>
        <v>#VALUE!</v>
      </c>
      <c r="DC138" t="e">
        <f>AND('Planilla_General_03-12-2012_9_3'!J2199,"AAAAADu81mo=")</f>
        <v>#VALUE!</v>
      </c>
      <c r="DD138" t="e">
        <f>AND('Planilla_General_03-12-2012_9_3'!K2199,"AAAAADu81ms=")</f>
        <v>#VALUE!</v>
      </c>
      <c r="DE138" t="e">
        <f>AND('Planilla_General_03-12-2012_9_3'!L2199,"AAAAADu81mw=")</f>
        <v>#VALUE!</v>
      </c>
      <c r="DF138" t="e">
        <f>AND('Planilla_General_03-12-2012_9_3'!M2199,"AAAAADu81m0=")</f>
        <v>#VALUE!</v>
      </c>
      <c r="DG138" t="e">
        <f>AND('Planilla_General_03-12-2012_9_3'!N2199,"AAAAADu81m4=")</f>
        <v>#VALUE!</v>
      </c>
      <c r="DH138" t="e">
        <f>AND('Planilla_General_03-12-2012_9_3'!O2199,"AAAAADu81m8=")</f>
        <v>#VALUE!</v>
      </c>
      <c r="DI138">
        <f>IF('Planilla_General_03-12-2012_9_3'!2200:2200,"AAAAADu81nA=",0)</f>
        <v>0</v>
      </c>
      <c r="DJ138" t="e">
        <f>AND('Planilla_General_03-12-2012_9_3'!A2200,"AAAAADu81nE=")</f>
        <v>#VALUE!</v>
      </c>
      <c r="DK138" t="e">
        <f>AND('Planilla_General_03-12-2012_9_3'!B2200,"AAAAADu81nI=")</f>
        <v>#VALUE!</v>
      </c>
      <c r="DL138" t="e">
        <f>AND('Planilla_General_03-12-2012_9_3'!C2200,"AAAAADu81nM=")</f>
        <v>#VALUE!</v>
      </c>
      <c r="DM138" t="e">
        <f>AND('Planilla_General_03-12-2012_9_3'!D2200,"AAAAADu81nQ=")</f>
        <v>#VALUE!</v>
      </c>
      <c r="DN138" t="e">
        <f>AND('Planilla_General_03-12-2012_9_3'!E2200,"AAAAADu81nU=")</f>
        <v>#VALUE!</v>
      </c>
      <c r="DO138" t="e">
        <f>AND('Planilla_General_03-12-2012_9_3'!F2200,"AAAAADu81nY=")</f>
        <v>#VALUE!</v>
      </c>
      <c r="DP138" t="e">
        <f>AND('Planilla_General_03-12-2012_9_3'!G2200,"AAAAADu81nc=")</f>
        <v>#VALUE!</v>
      </c>
      <c r="DQ138" t="e">
        <f>AND('Planilla_General_03-12-2012_9_3'!H2200,"AAAAADu81ng=")</f>
        <v>#VALUE!</v>
      </c>
      <c r="DR138" t="e">
        <f>AND('Planilla_General_03-12-2012_9_3'!I2200,"AAAAADu81nk=")</f>
        <v>#VALUE!</v>
      </c>
      <c r="DS138" t="e">
        <f>AND('Planilla_General_03-12-2012_9_3'!J2200,"AAAAADu81no=")</f>
        <v>#VALUE!</v>
      </c>
      <c r="DT138" t="e">
        <f>AND('Planilla_General_03-12-2012_9_3'!K2200,"AAAAADu81ns=")</f>
        <v>#VALUE!</v>
      </c>
      <c r="DU138" t="e">
        <f>AND('Planilla_General_03-12-2012_9_3'!L2200,"AAAAADu81nw=")</f>
        <v>#VALUE!</v>
      </c>
      <c r="DV138" t="e">
        <f>AND('Planilla_General_03-12-2012_9_3'!M2200,"AAAAADu81n0=")</f>
        <v>#VALUE!</v>
      </c>
      <c r="DW138" t="e">
        <f>AND('Planilla_General_03-12-2012_9_3'!N2200,"AAAAADu81n4=")</f>
        <v>#VALUE!</v>
      </c>
      <c r="DX138" t="e">
        <f>AND('Planilla_General_03-12-2012_9_3'!O2200,"AAAAADu81n8=")</f>
        <v>#VALUE!</v>
      </c>
      <c r="DY138">
        <f>IF('Planilla_General_03-12-2012_9_3'!2201:2201,"AAAAADu81oA=",0)</f>
        <v>0</v>
      </c>
      <c r="DZ138" t="e">
        <f>AND('Planilla_General_03-12-2012_9_3'!A2201,"AAAAADu81oE=")</f>
        <v>#VALUE!</v>
      </c>
      <c r="EA138" t="e">
        <f>AND('Planilla_General_03-12-2012_9_3'!B2201,"AAAAADu81oI=")</f>
        <v>#VALUE!</v>
      </c>
      <c r="EB138" t="e">
        <f>AND('Planilla_General_03-12-2012_9_3'!C2201,"AAAAADu81oM=")</f>
        <v>#VALUE!</v>
      </c>
      <c r="EC138" t="e">
        <f>AND('Planilla_General_03-12-2012_9_3'!D2201,"AAAAADu81oQ=")</f>
        <v>#VALUE!</v>
      </c>
      <c r="ED138" t="e">
        <f>AND('Planilla_General_03-12-2012_9_3'!E2201,"AAAAADu81oU=")</f>
        <v>#VALUE!</v>
      </c>
      <c r="EE138" t="e">
        <f>AND('Planilla_General_03-12-2012_9_3'!F2201,"AAAAADu81oY=")</f>
        <v>#VALUE!</v>
      </c>
      <c r="EF138" t="e">
        <f>AND('Planilla_General_03-12-2012_9_3'!G2201,"AAAAADu81oc=")</f>
        <v>#VALUE!</v>
      </c>
      <c r="EG138" t="e">
        <f>AND('Planilla_General_03-12-2012_9_3'!H2201,"AAAAADu81og=")</f>
        <v>#VALUE!</v>
      </c>
      <c r="EH138" t="e">
        <f>AND('Planilla_General_03-12-2012_9_3'!I2201,"AAAAADu81ok=")</f>
        <v>#VALUE!</v>
      </c>
      <c r="EI138" t="e">
        <f>AND('Planilla_General_03-12-2012_9_3'!J2201,"AAAAADu81oo=")</f>
        <v>#VALUE!</v>
      </c>
      <c r="EJ138" t="e">
        <f>AND('Planilla_General_03-12-2012_9_3'!K2201,"AAAAADu81os=")</f>
        <v>#VALUE!</v>
      </c>
      <c r="EK138" t="e">
        <f>AND('Planilla_General_03-12-2012_9_3'!L2201,"AAAAADu81ow=")</f>
        <v>#VALUE!</v>
      </c>
      <c r="EL138" t="e">
        <f>AND('Planilla_General_03-12-2012_9_3'!M2201,"AAAAADu81o0=")</f>
        <v>#VALUE!</v>
      </c>
      <c r="EM138" t="e">
        <f>AND('Planilla_General_03-12-2012_9_3'!N2201,"AAAAADu81o4=")</f>
        <v>#VALUE!</v>
      </c>
      <c r="EN138" t="e">
        <f>AND('Planilla_General_03-12-2012_9_3'!O2201,"AAAAADu81o8=")</f>
        <v>#VALUE!</v>
      </c>
      <c r="EO138">
        <f>IF('Planilla_General_03-12-2012_9_3'!2202:2202,"AAAAADu81pA=",0)</f>
        <v>0</v>
      </c>
      <c r="EP138" t="e">
        <f>AND('Planilla_General_03-12-2012_9_3'!A2202,"AAAAADu81pE=")</f>
        <v>#VALUE!</v>
      </c>
      <c r="EQ138" t="e">
        <f>AND('Planilla_General_03-12-2012_9_3'!B2202,"AAAAADu81pI=")</f>
        <v>#VALUE!</v>
      </c>
      <c r="ER138" t="e">
        <f>AND('Planilla_General_03-12-2012_9_3'!C2202,"AAAAADu81pM=")</f>
        <v>#VALUE!</v>
      </c>
      <c r="ES138" t="e">
        <f>AND('Planilla_General_03-12-2012_9_3'!D2202,"AAAAADu81pQ=")</f>
        <v>#VALUE!</v>
      </c>
      <c r="ET138" t="e">
        <f>AND('Planilla_General_03-12-2012_9_3'!E2202,"AAAAADu81pU=")</f>
        <v>#VALUE!</v>
      </c>
      <c r="EU138" t="e">
        <f>AND('Planilla_General_03-12-2012_9_3'!F2202,"AAAAADu81pY=")</f>
        <v>#VALUE!</v>
      </c>
      <c r="EV138" t="e">
        <f>AND('Planilla_General_03-12-2012_9_3'!G2202,"AAAAADu81pc=")</f>
        <v>#VALUE!</v>
      </c>
      <c r="EW138" t="e">
        <f>AND('Planilla_General_03-12-2012_9_3'!H2202,"AAAAADu81pg=")</f>
        <v>#VALUE!</v>
      </c>
      <c r="EX138" t="e">
        <f>AND('Planilla_General_03-12-2012_9_3'!I2202,"AAAAADu81pk=")</f>
        <v>#VALUE!</v>
      </c>
      <c r="EY138" t="e">
        <f>AND('Planilla_General_03-12-2012_9_3'!J2202,"AAAAADu81po=")</f>
        <v>#VALUE!</v>
      </c>
      <c r="EZ138" t="e">
        <f>AND('Planilla_General_03-12-2012_9_3'!K2202,"AAAAADu81ps=")</f>
        <v>#VALUE!</v>
      </c>
      <c r="FA138" t="e">
        <f>AND('Planilla_General_03-12-2012_9_3'!L2202,"AAAAADu81pw=")</f>
        <v>#VALUE!</v>
      </c>
      <c r="FB138" t="e">
        <f>AND('Planilla_General_03-12-2012_9_3'!M2202,"AAAAADu81p0=")</f>
        <v>#VALUE!</v>
      </c>
      <c r="FC138" t="e">
        <f>AND('Planilla_General_03-12-2012_9_3'!N2202,"AAAAADu81p4=")</f>
        <v>#VALUE!</v>
      </c>
      <c r="FD138" t="e">
        <f>AND('Planilla_General_03-12-2012_9_3'!O2202,"AAAAADu81p8=")</f>
        <v>#VALUE!</v>
      </c>
      <c r="FE138">
        <f>IF('Planilla_General_03-12-2012_9_3'!2203:2203,"AAAAADu81qA=",0)</f>
        <v>0</v>
      </c>
      <c r="FF138" t="e">
        <f>AND('Planilla_General_03-12-2012_9_3'!A2203,"AAAAADu81qE=")</f>
        <v>#VALUE!</v>
      </c>
      <c r="FG138" t="e">
        <f>AND('Planilla_General_03-12-2012_9_3'!B2203,"AAAAADu81qI=")</f>
        <v>#VALUE!</v>
      </c>
      <c r="FH138" t="e">
        <f>AND('Planilla_General_03-12-2012_9_3'!C2203,"AAAAADu81qM=")</f>
        <v>#VALUE!</v>
      </c>
      <c r="FI138" t="e">
        <f>AND('Planilla_General_03-12-2012_9_3'!D2203,"AAAAADu81qQ=")</f>
        <v>#VALUE!</v>
      </c>
      <c r="FJ138" t="e">
        <f>AND('Planilla_General_03-12-2012_9_3'!E2203,"AAAAADu81qU=")</f>
        <v>#VALUE!</v>
      </c>
      <c r="FK138" t="e">
        <f>AND('Planilla_General_03-12-2012_9_3'!F2203,"AAAAADu81qY=")</f>
        <v>#VALUE!</v>
      </c>
      <c r="FL138" t="e">
        <f>AND('Planilla_General_03-12-2012_9_3'!G2203,"AAAAADu81qc=")</f>
        <v>#VALUE!</v>
      </c>
      <c r="FM138" t="e">
        <f>AND('Planilla_General_03-12-2012_9_3'!H2203,"AAAAADu81qg=")</f>
        <v>#VALUE!</v>
      </c>
      <c r="FN138" t="e">
        <f>AND('Planilla_General_03-12-2012_9_3'!I2203,"AAAAADu81qk=")</f>
        <v>#VALUE!</v>
      </c>
      <c r="FO138" t="e">
        <f>AND('Planilla_General_03-12-2012_9_3'!J2203,"AAAAADu81qo=")</f>
        <v>#VALUE!</v>
      </c>
      <c r="FP138" t="e">
        <f>AND('Planilla_General_03-12-2012_9_3'!K2203,"AAAAADu81qs=")</f>
        <v>#VALUE!</v>
      </c>
      <c r="FQ138" t="e">
        <f>AND('Planilla_General_03-12-2012_9_3'!L2203,"AAAAADu81qw=")</f>
        <v>#VALUE!</v>
      </c>
      <c r="FR138" t="e">
        <f>AND('Planilla_General_03-12-2012_9_3'!M2203,"AAAAADu81q0=")</f>
        <v>#VALUE!</v>
      </c>
      <c r="FS138" t="e">
        <f>AND('Planilla_General_03-12-2012_9_3'!N2203,"AAAAADu81q4=")</f>
        <v>#VALUE!</v>
      </c>
      <c r="FT138" t="e">
        <f>AND('Planilla_General_03-12-2012_9_3'!O2203,"AAAAADu81q8=")</f>
        <v>#VALUE!</v>
      </c>
      <c r="FU138">
        <f>IF('Planilla_General_03-12-2012_9_3'!2204:2204,"AAAAADu81rA=",0)</f>
        <v>0</v>
      </c>
      <c r="FV138" t="e">
        <f>AND('Planilla_General_03-12-2012_9_3'!A2204,"AAAAADu81rE=")</f>
        <v>#VALUE!</v>
      </c>
      <c r="FW138" t="e">
        <f>AND('Planilla_General_03-12-2012_9_3'!B2204,"AAAAADu81rI=")</f>
        <v>#VALUE!</v>
      </c>
      <c r="FX138" t="e">
        <f>AND('Planilla_General_03-12-2012_9_3'!C2204,"AAAAADu81rM=")</f>
        <v>#VALUE!</v>
      </c>
      <c r="FY138" t="e">
        <f>AND('Planilla_General_03-12-2012_9_3'!D2204,"AAAAADu81rQ=")</f>
        <v>#VALUE!</v>
      </c>
      <c r="FZ138" t="e">
        <f>AND('Planilla_General_03-12-2012_9_3'!E2204,"AAAAADu81rU=")</f>
        <v>#VALUE!</v>
      </c>
      <c r="GA138" t="e">
        <f>AND('Planilla_General_03-12-2012_9_3'!F2204,"AAAAADu81rY=")</f>
        <v>#VALUE!</v>
      </c>
      <c r="GB138" t="e">
        <f>AND('Planilla_General_03-12-2012_9_3'!G2204,"AAAAADu81rc=")</f>
        <v>#VALUE!</v>
      </c>
      <c r="GC138" t="e">
        <f>AND('Planilla_General_03-12-2012_9_3'!H2204,"AAAAADu81rg=")</f>
        <v>#VALUE!</v>
      </c>
      <c r="GD138" t="e">
        <f>AND('Planilla_General_03-12-2012_9_3'!I2204,"AAAAADu81rk=")</f>
        <v>#VALUE!</v>
      </c>
      <c r="GE138" t="e">
        <f>AND('Planilla_General_03-12-2012_9_3'!J2204,"AAAAADu81ro=")</f>
        <v>#VALUE!</v>
      </c>
      <c r="GF138" t="e">
        <f>AND('Planilla_General_03-12-2012_9_3'!K2204,"AAAAADu81rs=")</f>
        <v>#VALUE!</v>
      </c>
      <c r="GG138" t="e">
        <f>AND('Planilla_General_03-12-2012_9_3'!L2204,"AAAAADu81rw=")</f>
        <v>#VALUE!</v>
      </c>
      <c r="GH138" t="e">
        <f>AND('Planilla_General_03-12-2012_9_3'!M2204,"AAAAADu81r0=")</f>
        <v>#VALUE!</v>
      </c>
      <c r="GI138" t="e">
        <f>AND('Planilla_General_03-12-2012_9_3'!N2204,"AAAAADu81r4=")</f>
        <v>#VALUE!</v>
      </c>
      <c r="GJ138" t="e">
        <f>AND('Planilla_General_03-12-2012_9_3'!O2204,"AAAAADu81r8=")</f>
        <v>#VALUE!</v>
      </c>
      <c r="GK138">
        <f>IF('Planilla_General_03-12-2012_9_3'!2205:2205,"AAAAADu81sA=",0)</f>
        <v>0</v>
      </c>
      <c r="GL138" t="e">
        <f>AND('Planilla_General_03-12-2012_9_3'!A2205,"AAAAADu81sE=")</f>
        <v>#VALUE!</v>
      </c>
      <c r="GM138" t="e">
        <f>AND('Planilla_General_03-12-2012_9_3'!B2205,"AAAAADu81sI=")</f>
        <v>#VALUE!</v>
      </c>
      <c r="GN138" t="e">
        <f>AND('Planilla_General_03-12-2012_9_3'!C2205,"AAAAADu81sM=")</f>
        <v>#VALUE!</v>
      </c>
      <c r="GO138" t="e">
        <f>AND('Planilla_General_03-12-2012_9_3'!D2205,"AAAAADu81sQ=")</f>
        <v>#VALUE!</v>
      </c>
      <c r="GP138" t="e">
        <f>AND('Planilla_General_03-12-2012_9_3'!E2205,"AAAAADu81sU=")</f>
        <v>#VALUE!</v>
      </c>
      <c r="GQ138" t="e">
        <f>AND('Planilla_General_03-12-2012_9_3'!F2205,"AAAAADu81sY=")</f>
        <v>#VALUE!</v>
      </c>
      <c r="GR138" t="e">
        <f>AND('Planilla_General_03-12-2012_9_3'!G2205,"AAAAADu81sc=")</f>
        <v>#VALUE!</v>
      </c>
      <c r="GS138" t="e">
        <f>AND('Planilla_General_03-12-2012_9_3'!H2205,"AAAAADu81sg=")</f>
        <v>#VALUE!</v>
      </c>
      <c r="GT138" t="e">
        <f>AND('Planilla_General_03-12-2012_9_3'!I2205,"AAAAADu81sk=")</f>
        <v>#VALUE!</v>
      </c>
      <c r="GU138" t="e">
        <f>AND('Planilla_General_03-12-2012_9_3'!J2205,"AAAAADu81so=")</f>
        <v>#VALUE!</v>
      </c>
      <c r="GV138" t="e">
        <f>AND('Planilla_General_03-12-2012_9_3'!K2205,"AAAAADu81ss=")</f>
        <v>#VALUE!</v>
      </c>
      <c r="GW138" t="e">
        <f>AND('Planilla_General_03-12-2012_9_3'!L2205,"AAAAADu81sw=")</f>
        <v>#VALUE!</v>
      </c>
      <c r="GX138" t="e">
        <f>AND('Planilla_General_03-12-2012_9_3'!M2205,"AAAAADu81s0=")</f>
        <v>#VALUE!</v>
      </c>
      <c r="GY138" t="e">
        <f>AND('Planilla_General_03-12-2012_9_3'!N2205,"AAAAADu81s4=")</f>
        <v>#VALUE!</v>
      </c>
      <c r="GZ138" t="e">
        <f>AND('Planilla_General_03-12-2012_9_3'!O2205,"AAAAADu81s8=")</f>
        <v>#VALUE!</v>
      </c>
      <c r="HA138">
        <f>IF('Planilla_General_03-12-2012_9_3'!2206:2206,"AAAAADu81tA=",0)</f>
        <v>0</v>
      </c>
      <c r="HB138" t="e">
        <f>AND('Planilla_General_03-12-2012_9_3'!A2206,"AAAAADu81tE=")</f>
        <v>#VALUE!</v>
      </c>
      <c r="HC138" t="e">
        <f>AND('Planilla_General_03-12-2012_9_3'!B2206,"AAAAADu81tI=")</f>
        <v>#VALUE!</v>
      </c>
      <c r="HD138" t="e">
        <f>AND('Planilla_General_03-12-2012_9_3'!C2206,"AAAAADu81tM=")</f>
        <v>#VALUE!</v>
      </c>
      <c r="HE138" t="e">
        <f>AND('Planilla_General_03-12-2012_9_3'!D2206,"AAAAADu81tQ=")</f>
        <v>#VALUE!</v>
      </c>
      <c r="HF138" t="e">
        <f>AND('Planilla_General_03-12-2012_9_3'!E2206,"AAAAADu81tU=")</f>
        <v>#VALUE!</v>
      </c>
      <c r="HG138" t="e">
        <f>AND('Planilla_General_03-12-2012_9_3'!F2206,"AAAAADu81tY=")</f>
        <v>#VALUE!</v>
      </c>
      <c r="HH138" t="e">
        <f>AND('Planilla_General_03-12-2012_9_3'!G2206,"AAAAADu81tc=")</f>
        <v>#VALUE!</v>
      </c>
      <c r="HI138" t="e">
        <f>AND('Planilla_General_03-12-2012_9_3'!H2206,"AAAAADu81tg=")</f>
        <v>#VALUE!</v>
      </c>
      <c r="HJ138" t="e">
        <f>AND('Planilla_General_03-12-2012_9_3'!I2206,"AAAAADu81tk=")</f>
        <v>#VALUE!</v>
      </c>
      <c r="HK138" t="e">
        <f>AND('Planilla_General_03-12-2012_9_3'!J2206,"AAAAADu81to=")</f>
        <v>#VALUE!</v>
      </c>
      <c r="HL138" t="e">
        <f>AND('Planilla_General_03-12-2012_9_3'!K2206,"AAAAADu81ts=")</f>
        <v>#VALUE!</v>
      </c>
      <c r="HM138" t="e">
        <f>AND('Planilla_General_03-12-2012_9_3'!L2206,"AAAAADu81tw=")</f>
        <v>#VALUE!</v>
      </c>
      <c r="HN138" t="e">
        <f>AND('Planilla_General_03-12-2012_9_3'!M2206,"AAAAADu81t0=")</f>
        <v>#VALUE!</v>
      </c>
      <c r="HO138" t="e">
        <f>AND('Planilla_General_03-12-2012_9_3'!N2206,"AAAAADu81t4=")</f>
        <v>#VALUE!</v>
      </c>
      <c r="HP138" t="e">
        <f>AND('Planilla_General_03-12-2012_9_3'!O2206,"AAAAADu81t8=")</f>
        <v>#VALUE!</v>
      </c>
      <c r="HQ138">
        <f>IF('Planilla_General_03-12-2012_9_3'!2207:2207,"AAAAADu81uA=",0)</f>
        <v>0</v>
      </c>
      <c r="HR138" t="e">
        <f>AND('Planilla_General_03-12-2012_9_3'!A2207,"AAAAADu81uE=")</f>
        <v>#VALUE!</v>
      </c>
      <c r="HS138" t="e">
        <f>AND('Planilla_General_03-12-2012_9_3'!B2207,"AAAAADu81uI=")</f>
        <v>#VALUE!</v>
      </c>
      <c r="HT138" t="e">
        <f>AND('Planilla_General_03-12-2012_9_3'!C2207,"AAAAADu81uM=")</f>
        <v>#VALUE!</v>
      </c>
      <c r="HU138" t="e">
        <f>AND('Planilla_General_03-12-2012_9_3'!D2207,"AAAAADu81uQ=")</f>
        <v>#VALUE!</v>
      </c>
      <c r="HV138" t="e">
        <f>AND('Planilla_General_03-12-2012_9_3'!E2207,"AAAAADu81uU=")</f>
        <v>#VALUE!</v>
      </c>
      <c r="HW138" t="e">
        <f>AND('Planilla_General_03-12-2012_9_3'!F2207,"AAAAADu81uY=")</f>
        <v>#VALUE!</v>
      </c>
      <c r="HX138" t="e">
        <f>AND('Planilla_General_03-12-2012_9_3'!G2207,"AAAAADu81uc=")</f>
        <v>#VALUE!</v>
      </c>
      <c r="HY138" t="e">
        <f>AND('Planilla_General_03-12-2012_9_3'!H2207,"AAAAADu81ug=")</f>
        <v>#VALUE!</v>
      </c>
      <c r="HZ138" t="e">
        <f>AND('Planilla_General_03-12-2012_9_3'!I2207,"AAAAADu81uk=")</f>
        <v>#VALUE!</v>
      </c>
      <c r="IA138" t="e">
        <f>AND('Planilla_General_03-12-2012_9_3'!J2207,"AAAAADu81uo=")</f>
        <v>#VALUE!</v>
      </c>
      <c r="IB138" t="e">
        <f>AND('Planilla_General_03-12-2012_9_3'!K2207,"AAAAADu81us=")</f>
        <v>#VALUE!</v>
      </c>
      <c r="IC138" t="e">
        <f>AND('Planilla_General_03-12-2012_9_3'!L2207,"AAAAADu81uw=")</f>
        <v>#VALUE!</v>
      </c>
      <c r="ID138" t="e">
        <f>AND('Planilla_General_03-12-2012_9_3'!M2207,"AAAAADu81u0=")</f>
        <v>#VALUE!</v>
      </c>
      <c r="IE138" t="e">
        <f>AND('Planilla_General_03-12-2012_9_3'!N2207,"AAAAADu81u4=")</f>
        <v>#VALUE!</v>
      </c>
      <c r="IF138" t="e">
        <f>AND('Planilla_General_03-12-2012_9_3'!O2207,"AAAAADu81u8=")</f>
        <v>#VALUE!</v>
      </c>
      <c r="IG138">
        <f>IF('Planilla_General_03-12-2012_9_3'!2208:2208,"AAAAADu81vA=",0)</f>
        <v>0</v>
      </c>
      <c r="IH138" t="e">
        <f>AND('Planilla_General_03-12-2012_9_3'!A2208,"AAAAADu81vE=")</f>
        <v>#VALUE!</v>
      </c>
      <c r="II138" t="e">
        <f>AND('Planilla_General_03-12-2012_9_3'!B2208,"AAAAADu81vI=")</f>
        <v>#VALUE!</v>
      </c>
      <c r="IJ138" t="e">
        <f>AND('Planilla_General_03-12-2012_9_3'!C2208,"AAAAADu81vM=")</f>
        <v>#VALUE!</v>
      </c>
      <c r="IK138" t="e">
        <f>AND('Planilla_General_03-12-2012_9_3'!D2208,"AAAAADu81vQ=")</f>
        <v>#VALUE!</v>
      </c>
      <c r="IL138" t="e">
        <f>AND('Planilla_General_03-12-2012_9_3'!E2208,"AAAAADu81vU=")</f>
        <v>#VALUE!</v>
      </c>
      <c r="IM138" t="e">
        <f>AND('Planilla_General_03-12-2012_9_3'!F2208,"AAAAADu81vY=")</f>
        <v>#VALUE!</v>
      </c>
      <c r="IN138" t="e">
        <f>AND('Planilla_General_03-12-2012_9_3'!G2208,"AAAAADu81vc=")</f>
        <v>#VALUE!</v>
      </c>
      <c r="IO138" t="e">
        <f>AND('Planilla_General_03-12-2012_9_3'!H2208,"AAAAADu81vg=")</f>
        <v>#VALUE!</v>
      </c>
      <c r="IP138" t="e">
        <f>AND('Planilla_General_03-12-2012_9_3'!I2208,"AAAAADu81vk=")</f>
        <v>#VALUE!</v>
      </c>
      <c r="IQ138" t="e">
        <f>AND('Planilla_General_03-12-2012_9_3'!J2208,"AAAAADu81vo=")</f>
        <v>#VALUE!</v>
      </c>
      <c r="IR138" t="e">
        <f>AND('Planilla_General_03-12-2012_9_3'!K2208,"AAAAADu81vs=")</f>
        <v>#VALUE!</v>
      </c>
      <c r="IS138" t="e">
        <f>AND('Planilla_General_03-12-2012_9_3'!L2208,"AAAAADu81vw=")</f>
        <v>#VALUE!</v>
      </c>
      <c r="IT138" t="e">
        <f>AND('Planilla_General_03-12-2012_9_3'!M2208,"AAAAADu81v0=")</f>
        <v>#VALUE!</v>
      </c>
      <c r="IU138" t="e">
        <f>AND('Planilla_General_03-12-2012_9_3'!N2208,"AAAAADu81v4=")</f>
        <v>#VALUE!</v>
      </c>
      <c r="IV138" t="e">
        <f>AND('Planilla_General_03-12-2012_9_3'!O2208,"AAAAADu81v8=")</f>
        <v>#VALUE!</v>
      </c>
    </row>
    <row r="139" spans="1:256" x14ac:dyDescent="0.25">
      <c r="A139" t="e">
        <f>IF('Planilla_General_03-12-2012_9_3'!2209:2209,"AAAAAHnz/gA=",0)</f>
        <v>#VALUE!</v>
      </c>
      <c r="B139" t="e">
        <f>AND('Planilla_General_03-12-2012_9_3'!A2209,"AAAAAHnz/gE=")</f>
        <v>#VALUE!</v>
      </c>
      <c r="C139" t="e">
        <f>AND('Planilla_General_03-12-2012_9_3'!B2209,"AAAAAHnz/gI=")</f>
        <v>#VALUE!</v>
      </c>
      <c r="D139" t="e">
        <f>AND('Planilla_General_03-12-2012_9_3'!C2209,"AAAAAHnz/gM=")</f>
        <v>#VALUE!</v>
      </c>
      <c r="E139" t="e">
        <f>AND('Planilla_General_03-12-2012_9_3'!D2209,"AAAAAHnz/gQ=")</f>
        <v>#VALUE!</v>
      </c>
      <c r="F139" t="e">
        <f>AND('Planilla_General_03-12-2012_9_3'!E2209,"AAAAAHnz/gU=")</f>
        <v>#VALUE!</v>
      </c>
      <c r="G139" t="e">
        <f>AND('Planilla_General_03-12-2012_9_3'!F2209,"AAAAAHnz/gY=")</f>
        <v>#VALUE!</v>
      </c>
      <c r="H139" t="e">
        <f>AND('Planilla_General_03-12-2012_9_3'!G2209,"AAAAAHnz/gc=")</f>
        <v>#VALUE!</v>
      </c>
      <c r="I139" t="e">
        <f>AND('Planilla_General_03-12-2012_9_3'!H2209,"AAAAAHnz/gg=")</f>
        <v>#VALUE!</v>
      </c>
      <c r="J139" t="e">
        <f>AND('Planilla_General_03-12-2012_9_3'!I2209,"AAAAAHnz/gk=")</f>
        <v>#VALUE!</v>
      </c>
      <c r="K139" t="e">
        <f>AND('Planilla_General_03-12-2012_9_3'!J2209,"AAAAAHnz/go=")</f>
        <v>#VALUE!</v>
      </c>
      <c r="L139" t="e">
        <f>AND('Planilla_General_03-12-2012_9_3'!K2209,"AAAAAHnz/gs=")</f>
        <v>#VALUE!</v>
      </c>
      <c r="M139" t="e">
        <f>AND('Planilla_General_03-12-2012_9_3'!L2209,"AAAAAHnz/gw=")</f>
        <v>#VALUE!</v>
      </c>
      <c r="N139" t="e">
        <f>AND('Planilla_General_03-12-2012_9_3'!M2209,"AAAAAHnz/g0=")</f>
        <v>#VALUE!</v>
      </c>
      <c r="O139" t="e">
        <f>AND('Planilla_General_03-12-2012_9_3'!N2209,"AAAAAHnz/g4=")</f>
        <v>#VALUE!</v>
      </c>
      <c r="P139" t="e">
        <f>AND('Planilla_General_03-12-2012_9_3'!O2209,"AAAAAHnz/g8=")</f>
        <v>#VALUE!</v>
      </c>
      <c r="Q139">
        <f>IF('Planilla_General_03-12-2012_9_3'!2210:2210,"AAAAAHnz/hA=",0)</f>
        <v>0</v>
      </c>
      <c r="R139" t="e">
        <f>AND('Planilla_General_03-12-2012_9_3'!A2210,"AAAAAHnz/hE=")</f>
        <v>#VALUE!</v>
      </c>
      <c r="S139" t="e">
        <f>AND('Planilla_General_03-12-2012_9_3'!B2210,"AAAAAHnz/hI=")</f>
        <v>#VALUE!</v>
      </c>
      <c r="T139" t="e">
        <f>AND('Planilla_General_03-12-2012_9_3'!C2210,"AAAAAHnz/hM=")</f>
        <v>#VALUE!</v>
      </c>
      <c r="U139" t="e">
        <f>AND('Planilla_General_03-12-2012_9_3'!D2210,"AAAAAHnz/hQ=")</f>
        <v>#VALUE!</v>
      </c>
      <c r="V139" t="e">
        <f>AND('Planilla_General_03-12-2012_9_3'!E2210,"AAAAAHnz/hU=")</f>
        <v>#VALUE!</v>
      </c>
      <c r="W139" t="e">
        <f>AND('Planilla_General_03-12-2012_9_3'!F2210,"AAAAAHnz/hY=")</f>
        <v>#VALUE!</v>
      </c>
      <c r="X139" t="e">
        <f>AND('Planilla_General_03-12-2012_9_3'!G2210,"AAAAAHnz/hc=")</f>
        <v>#VALUE!</v>
      </c>
      <c r="Y139" t="e">
        <f>AND('Planilla_General_03-12-2012_9_3'!H2210,"AAAAAHnz/hg=")</f>
        <v>#VALUE!</v>
      </c>
      <c r="Z139" t="e">
        <f>AND('Planilla_General_03-12-2012_9_3'!I2210,"AAAAAHnz/hk=")</f>
        <v>#VALUE!</v>
      </c>
      <c r="AA139" t="e">
        <f>AND('Planilla_General_03-12-2012_9_3'!J2210,"AAAAAHnz/ho=")</f>
        <v>#VALUE!</v>
      </c>
      <c r="AB139" t="e">
        <f>AND('Planilla_General_03-12-2012_9_3'!K2210,"AAAAAHnz/hs=")</f>
        <v>#VALUE!</v>
      </c>
      <c r="AC139" t="e">
        <f>AND('Planilla_General_03-12-2012_9_3'!L2210,"AAAAAHnz/hw=")</f>
        <v>#VALUE!</v>
      </c>
      <c r="AD139" t="e">
        <f>AND('Planilla_General_03-12-2012_9_3'!M2210,"AAAAAHnz/h0=")</f>
        <v>#VALUE!</v>
      </c>
      <c r="AE139" t="e">
        <f>AND('Planilla_General_03-12-2012_9_3'!N2210,"AAAAAHnz/h4=")</f>
        <v>#VALUE!</v>
      </c>
      <c r="AF139" t="e">
        <f>AND('Planilla_General_03-12-2012_9_3'!O2210,"AAAAAHnz/h8=")</f>
        <v>#VALUE!</v>
      </c>
      <c r="AG139">
        <f>IF('Planilla_General_03-12-2012_9_3'!2211:2211,"AAAAAHnz/iA=",0)</f>
        <v>0</v>
      </c>
      <c r="AH139" t="e">
        <f>AND('Planilla_General_03-12-2012_9_3'!A2211,"AAAAAHnz/iE=")</f>
        <v>#VALUE!</v>
      </c>
      <c r="AI139" t="e">
        <f>AND('Planilla_General_03-12-2012_9_3'!B2211,"AAAAAHnz/iI=")</f>
        <v>#VALUE!</v>
      </c>
      <c r="AJ139" t="e">
        <f>AND('Planilla_General_03-12-2012_9_3'!C2211,"AAAAAHnz/iM=")</f>
        <v>#VALUE!</v>
      </c>
      <c r="AK139" t="e">
        <f>AND('Planilla_General_03-12-2012_9_3'!D2211,"AAAAAHnz/iQ=")</f>
        <v>#VALUE!</v>
      </c>
      <c r="AL139" t="e">
        <f>AND('Planilla_General_03-12-2012_9_3'!E2211,"AAAAAHnz/iU=")</f>
        <v>#VALUE!</v>
      </c>
      <c r="AM139" t="e">
        <f>AND('Planilla_General_03-12-2012_9_3'!F2211,"AAAAAHnz/iY=")</f>
        <v>#VALUE!</v>
      </c>
      <c r="AN139" t="e">
        <f>AND('Planilla_General_03-12-2012_9_3'!G2211,"AAAAAHnz/ic=")</f>
        <v>#VALUE!</v>
      </c>
      <c r="AO139" t="e">
        <f>AND('Planilla_General_03-12-2012_9_3'!H2211,"AAAAAHnz/ig=")</f>
        <v>#VALUE!</v>
      </c>
      <c r="AP139" t="e">
        <f>AND('Planilla_General_03-12-2012_9_3'!I2211,"AAAAAHnz/ik=")</f>
        <v>#VALUE!</v>
      </c>
      <c r="AQ139" t="e">
        <f>AND('Planilla_General_03-12-2012_9_3'!J2211,"AAAAAHnz/io=")</f>
        <v>#VALUE!</v>
      </c>
      <c r="AR139" t="e">
        <f>AND('Planilla_General_03-12-2012_9_3'!K2211,"AAAAAHnz/is=")</f>
        <v>#VALUE!</v>
      </c>
      <c r="AS139" t="e">
        <f>AND('Planilla_General_03-12-2012_9_3'!L2211,"AAAAAHnz/iw=")</f>
        <v>#VALUE!</v>
      </c>
      <c r="AT139" t="e">
        <f>AND('Planilla_General_03-12-2012_9_3'!M2211,"AAAAAHnz/i0=")</f>
        <v>#VALUE!</v>
      </c>
      <c r="AU139" t="e">
        <f>AND('Planilla_General_03-12-2012_9_3'!N2211,"AAAAAHnz/i4=")</f>
        <v>#VALUE!</v>
      </c>
      <c r="AV139" t="e">
        <f>AND('Planilla_General_03-12-2012_9_3'!O2211,"AAAAAHnz/i8=")</f>
        <v>#VALUE!</v>
      </c>
      <c r="AW139">
        <f>IF('Planilla_General_03-12-2012_9_3'!2212:2212,"AAAAAHnz/jA=",0)</f>
        <v>0</v>
      </c>
      <c r="AX139" t="e">
        <f>AND('Planilla_General_03-12-2012_9_3'!A2212,"AAAAAHnz/jE=")</f>
        <v>#VALUE!</v>
      </c>
      <c r="AY139" t="e">
        <f>AND('Planilla_General_03-12-2012_9_3'!B2212,"AAAAAHnz/jI=")</f>
        <v>#VALUE!</v>
      </c>
      <c r="AZ139" t="e">
        <f>AND('Planilla_General_03-12-2012_9_3'!C2212,"AAAAAHnz/jM=")</f>
        <v>#VALUE!</v>
      </c>
      <c r="BA139" t="e">
        <f>AND('Planilla_General_03-12-2012_9_3'!D2212,"AAAAAHnz/jQ=")</f>
        <v>#VALUE!</v>
      </c>
      <c r="BB139" t="e">
        <f>AND('Planilla_General_03-12-2012_9_3'!E2212,"AAAAAHnz/jU=")</f>
        <v>#VALUE!</v>
      </c>
      <c r="BC139" t="e">
        <f>AND('Planilla_General_03-12-2012_9_3'!F2212,"AAAAAHnz/jY=")</f>
        <v>#VALUE!</v>
      </c>
      <c r="BD139" t="e">
        <f>AND('Planilla_General_03-12-2012_9_3'!G2212,"AAAAAHnz/jc=")</f>
        <v>#VALUE!</v>
      </c>
      <c r="BE139" t="e">
        <f>AND('Planilla_General_03-12-2012_9_3'!H2212,"AAAAAHnz/jg=")</f>
        <v>#VALUE!</v>
      </c>
      <c r="BF139" t="e">
        <f>AND('Planilla_General_03-12-2012_9_3'!I2212,"AAAAAHnz/jk=")</f>
        <v>#VALUE!</v>
      </c>
      <c r="BG139" t="e">
        <f>AND('Planilla_General_03-12-2012_9_3'!J2212,"AAAAAHnz/jo=")</f>
        <v>#VALUE!</v>
      </c>
      <c r="BH139" t="e">
        <f>AND('Planilla_General_03-12-2012_9_3'!K2212,"AAAAAHnz/js=")</f>
        <v>#VALUE!</v>
      </c>
      <c r="BI139" t="e">
        <f>AND('Planilla_General_03-12-2012_9_3'!L2212,"AAAAAHnz/jw=")</f>
        <v>#VALUE!</v>
      </c>
      <c r="BJ139" t="e">
        <f>AND('Planilla_General_03-12-2012_9_3'!M2212,"AAAAAHnz/j0=")</f>
        <v>#VALUE!</v>
      </c>
      <c r="BK139" t="e">
        <f>AND('Planilla_General_03-12-2012_9_3'!N2212,"AAAAAHnz/j4=")</f>
        <v>#VALUE!</v>
      </c>
      <c r="BL139" t="e">
        <f>AND('Planilla_General_03-12-2012_9_3'!O2212,"AAAAAHnz/j8=")</f>
        <v>#VALUE!</v>
      </c>
      <c r="BM139">
        <f>IF('Planilla_General_03-12-2012_9_3'!2213:2213,"AAAAAHnz/kA=",0)</f>
        <v>0</v>
      </c>
      <c r="BN139" t="e">
        <f>AND('Planilla_General_03-12-2012_9_3'!A2213,"AAAAAHnz/kE=")</f>
        <v>#VALUE!</v>
      </c>
      <c r="BO139" t="e">
        <f>AND('Planilla_General_03-12-2012_9_3'!B2213,"AAAAAHnz/kI=")</f>
        <v>#VALUE!</v>
      </c>
      <c r="BP139" t="e">
        <f>AND('Planilla_General_03-12-2012_9_3'!C2213,"AAAAAHnz/kM=")</f>
        <v>#VALUE!</v>
      </c>
      <c r="BQ139" t="e">
        <f>AND('Planilla_General_03-12-2012_9_3'!D2213,"AAAAAHnz/kQ=")</f>
        <v>#VALUE!</v>
      </c>
      <c r="BR139" t="e">
        <f>AND('Planilla_General_03-12-2012_9_3'!E2213,"AAAAAHnz/kU=")</f>
        <v>#VALUE!</v>
      </c>
      <c r="BS139" t="e">
        <f>AND('Planilla_General_03-12-2012_9_3'!F2213,"AAAAAHnz/kY=")</f>
        <v>#VALUE!</v>
      </c>
      <c r="BT139" t="e">
        <f>AND('Planilla_General_03-12-2012_9_3'!G2213,"AAAAAHnz/kc=")</f>
        <v>#VALUE!</v>
      </c>
      <c r="BU139" t="e">
        <f>AND('Planilla_General_03-12-2012_9_3'!H2213,"AAAAAHnz/kg=")</f>
        <v>#VALUE!</v>
      </c>
      <c r="BV139" t="e">
        <f>AND('Planilla_General_03-12-2012_9_3'!I2213,"AAAAAHnz/kk=")</f>
        <v>#VALUE!</v>
      </c>
      <c r="BW139" t="e">
        <f>AND('Planilla_General_03-12-2012_9_3'!J2213,"AAAAAHnz/ko=")</f>
        <v>#VALUE!</v>
      </c>
      <c r="BX139" t="e">
        <f>AND('Planilla_General_03-12-2012_9_3'!K2213,"AAAAAHnz/ks=")</f>
        <v>#VALUE!</v>
      </c>
      <c r="BY139" t="e">
        <f>AND('Planilla_General_03-12-2012_9_3'!L2213,"AAAAAHnz/kw=")</f>
        <v>#VALUE!</v>
      </c>
      <c r="BZ139" t="e">
        <f>AND('Planilla_General_03-12-2012_9_3'!M2213,"AAAAAHnz/k0=")</f>
        <v>#VALUE!</v>
      </c>
      <c r="CA139" t="e">
        <f>AND('Planilla_General_03-12-2012_9_3'!N2213,"AAAAAHnz/k4=")</f>
        <v>#VALUE!</v>
      </c>
      <c r="CB139" t="e">
        <f>AND('Planilla_General_03-12-2012_9_3'!O2213,"AAAAAHnz/k8=")</f>
        <v>#VALUE!</v>
      </c>
      <c r="CC139">
        <f>IF('Planilla_General_03-12-2012_9_3'!2214:2214,"AAAAAHnz/lA=",0)</f>
        <v>0</v>
      </c>
      <c r="CD139" t="e">
        <f>AND('Planilla_General_03-12-2012_9_3'!A2214,"AAAAAHnz/lE=")</f>
        <v>#VALUE!</v>
      </c>
      <c r="CE139" t="e">
        <f>AND('Planilla_General_03-12-2012_9_3'!B2214,"AAAAAHnz/lI=")</f>
        <v>#VALUE!</v>
      </c>
      <c r="CF139" t="e">
        <f>AND('Planilla_General_03-12-2012_9_3'!C2214,"AAAAAHnz/lM=")</f>
        <v>#VALUE!</v>
      </c>
      <c r="CG139" t="e">
        <f>AND('Planilla_General_03-12-2012_9_3'!D2214,"AAAAAHnz/lQ=")</f>
        <v>#VALUE!</v>
      </c>
      <c r="CH139" t="e">
        <f>AND('Planilla_General_03-12-2012_9_3'!E2214,"AAAAAHnz/lU=")</f>
        <v>#VALUE!</v>
      </c>
      <c r="CI139" t="e">
        <f>AND('Planilla_General_03-12-2012_9_3'!F2214,"AAAAAHnz/lY=")</f>
        <v>#VALUE!</v>
      </c>
      <c r="CJ139" t="e">
        <f>AND('Planilla_General_03-12-2012_9_3'!G2214,"AAAAAHnz/lc=")</f>
        <v>#VALUE!</v>
      </c>
      <c r="CK139" t="e">
        <f>AND('Planilla_General_03-12-2012_9_3'!H2214,"AAAAAHnz/lg=")</f>
        <v>#VALUE!</v>
      </c>
      <c r="CL139" t="e">
        <f>AND('Planilla_General_03-12-2012_9_3'!I2214,"AAAAAHnz/lk=")</f>
        <v>#VALUE!</v>
      </c>
      <c r="CM139" t="e">
        <f>AND('Planilla_General_03-12-2012_9_3'!J2214,"AAAAAHnz/lo=")</f>
        <v>#VALUE!</v>
      </c>
      <c r="CN139" t="e">
        <f>AND('Planilla_General_03-12-2012_9_3'!K2214,"AAAAAHnz/ls=")</f>
        <v>#VALUE!</v>
      </c>
      <c r="CO139" t="e">
        <f>AND('Planilla_General_03-12-2012_9_3'!L2214,"AAAAAHnz/lw=")</f>
        <v>#VALUE!</v>
      </c>
      <c r="CP139" t="e">
        <f>AND('Planilla_General_03-12-2012_9_3'!M2214,"AAAAAHnz/l0=")</f>
        <v>#VALUE!</v>
      </c>
      <c r="CQ139" t="e">
        <f>AND('Planilla_General_03-12-2012_9_3'!N2214,"AAAAAHnz/l4=")</f>
        <v>#VALUE!</v>
      </c>
      <c r="CR139" t="e">
        <f>AND('Planilla_General_03-12-2012_9_3'!O2214,"AAAAAHnz/l8=")</f>
        <v>#VALUE!</v>
      </c>
      <c r="CS139">
        <f>IF('Planilla_General_03-12-2012_9_3'!2215:2215,"AAAAAHnz/mA=",0)</f>
        <v>0</v>
      </c>
      <c r="CT139" t="e">
        <f>AND('Planilla_General_03-12-2012_9_3'!A2215,"AAAAAHnz/mE=")</f>
        <v>#VALUE!</v>
      </c>
      <c r="CU139" t="e">
        <f>AND('Planilla_General_03-12-2012_9_3'!B2215,"AAAAAHnz/mI=")</f>
        <v>#VALUE!</v>
      </c>
      <c r="CV139" t="e">
        <f>AND('Planilla_General_03-12-2012_9_3'!C2215,"AAAAAHnz/mM=")</f>
        <v>#VALUE!</v>
      </c>
      <c r="CW139" t="e">
        <f>AND('Planilla_General_03-12-2012_9_3'!D2215,"AAAAAHnz/mQ=")</f>
        <v>#VALUE!</v>
      </c>
      <c r="CX139" t="e">
        <f>AND('Planilla_General_03-12-2012_9_3'!E2215,"AAAAAHnz/mU=")</f>
        <v>#VALUE!</v>
      </c>
      <c r="CY139" t="e">
        <f>AND('Planilla_General_03-12-2012_9_3'!F2215,"AAAAAHnz/mY=")</f>
        <v>#VALUE!</v>
      </c>
      <c r="CZ139" t="e">
        <f>AND('Planilla_General_03-12-2012_9_3'!G2215,"AAAAAHnz/mc=")</f>
        <v>#VALUE!</v>
      </c>
      <c r="DA139" t="e">
        <f>AND('Planilla_General_03-12-2012_9_3'!H2215,"AAAAAHnz/mg=")</f>
        <v>#VALUE!</v>
      </c>
      <c r="DB139" t="e">
        <f>AND('Planilla_General_03-12-2012_9_3'!I2215,"AAAAAHnz/mk=")</f>
        <v>#VALUE!</v>
      </c>
      <c r="DC139" t="e">
        <f>AND('Planilla_General_03-12-2012_9_3'!J2215,"AAAAAHnz/mo=")</f>
        <v>#VALUE!</v>
      </c>
      <c r="DD139" t="e">
        <f>AND('Planilla_General_03-12-2012_9_3'!K2215,"AAAAAHnz/ms=")</f>
        <v>#VALUE!</v>
      </c>
      <c r="DE139" t="e">
        <f>AND('Planilla_General_03-12-2012_9_3'!L2215,"AAAAAHnz/mw=")</f>
        <v>#VALUE!</v>
      </c>
      <c r="DF139" t="e">
        <f>AND('Planilla_General_03-12-2012_9_3'!M2215,"AAAAAHnz/m0=")</f>
        <v>#VALUE!</v>
      </c>
      <c r="DG139" t="e">
        <f>AND('Planilla_General_03-12-2012_9_3'!N2215,"AAAAAHnz/m4=")</f>
        <v>#VALUE!</v>
      </c>
      <c r="DH139" t="e">
        <f>AND('Planilla_General_03-12-2012_9_3'!O2215,"AAAAAHnz/m8=")</f>
        <v>#VALUE!</v>
      </c>
      <c r="DI139">
        <f>IF('Planilla_General_03-12-2012_9_3'!2216:2216,"AAAAAHnz/nA=",0)</f>
        <v>0</v>
      </c>
      <c r="DJ139" t="e">
        <f>AND('Planilla_General_03-12-2012_9_3'!A2216,"AAAAAHnz/nE=")</f>
        <v>#VALUE!</v>
      </c>
      <c r="DK139" t="e">
        <f>AND('Planilla_General_03-12-2012_9_3'!B2216,"AAAAAHnz/nI=")</f>
        <v>#VALUE!</v>
      </c>
      <c r="DL139" t="e">
        <f>AND('Planilla_General_03-12-2012_9_3'!C2216,"AAAAAHnz/nM=")</f>
        <v>#VALUE!</v>
      </c>
      <c r="DM139" t="e">
        <f>AND('Planilla_General_03-12-2012_9_3'!D2216,"AAAAAHnz/nQ=")</f>
        <v>#VALUE!</v>
      </c>
      <c r="DN139" t="e">
        <f>AND('Planilla_General_03-12-2012_9_3'!E2216,"AAAAAHnz/nU=")</f>
        <v>#VALUE!</v>
      </c>
      <c r="DO139" t="e">
        <f>AND('Planilla_General_03-12-2012_9_3'!F2216,"AAAAAHnz/nY=")</f>
        <v>#VALUE!</v>
      </c>
      <c r="DP139" t="e">
        <f>AND('Planilla_General_03-12-2012_9_3'!G2216,"AAAAAHnz/nc=")</f>
        <v>#VALUE!</v>
      </c>
      <c r="DQ139" t="e">
        <f>AND('Planilla_General_03-12-2012_9_3'!H2216,"AAAAAHnz/ng=")</f>
        <v>#VALUE!</v>
      </c>
      <c r="DR139" t="e">
        <f>AND('Planilla_General_03-12-2012_9_3'!I2216,"AAAAAHnz/nk=")</f>
        <v>#VALUE!</v>
      </c>
      <c r="DS139" t="e">
        <f>AND('Planilla_General_03-12-2012_9_3'!J2216,"AAAAAHnz/no=")</f>
        <v>#VALUE!</v>
      </c>
      <c r="DT139" t="e">
        <f>AND('Planilla_General_03-12-2012_9_3'!K2216,"AAAAAHnz/ns=")</f>
        <v>#VALUE!</v>
      </c>
      <c r="DU139" t="e">
        <f>AND('Planilla_General_03-12-2012_9_3'!L2216,"AAAAAHnz/nw=")</f>
        <v>#VALUE!</v>
      </c>
      <c r="DV139" t="e">
        <f>AND('Planilla_General_03-12-2012_9_3'!M2216,"AAAAAHnz/n0=")</f>
        <v>#VALUE!</v>
      </c>
      <c r="DW139" t="e">
        <f>AND('Planilla_General_03-12-2012_9_3'!N2216,"AAAAAHnz/n4=")</f>
        <v>#VALUE!</v>
      </c>
      <c r="DX139" t="e">
        <f>AND('Planilla_General_03-12-2012_9_3'!O2216,"AAAAAHnz/n8=")</f>
        <v>#VALUE!</v>
      </c>
      <c r="DY139">
        <f>IF('Planilla_General_03-12-2012_9_3'!2217:2217,"AAAAAHnz/oA=",0)</f>
        <v>0</v>
      </c>
      <c r="DZ139" t="e">
        <f>AND('Planilla_General_03-12-2012_9_3'!A2217,"AAAAAHnz/oE=")</f>
        <v>#VALUE!</v>
      </c>
      <c r="EA139" t="e">
        <f>AND('Planilla_General_03-12-2012_9_3'!B2217,"AAAAAHnz/oI=")</f>
        <v>#VALUE!</v>
      </c>
      <c r="EB139" t="e">
        <f>AND('Planilla_General_03-12-2012_9_3'!C2217,"AAAAAHnz/oM=")</f>
        <v>#VALUE!</v>
      </c>
      <c r="EC139" t="e">
        <f>AND('Planilla_General_03-12-2012_9_3'!D2217,"AAAAAHnz/oQ=")</f>
        <v>#VALUE!</v>
      </c>
      <c r="ED139" t="e">
        <f>AND('Planilla_General_03-12-2012_9_3'!E2217,"AAAAAHnz/oU=")</f>
        <v>#VALUE!</v>
      </c>
      <c r="EE139" t="e">
        <f>AND('Planilla_General_03-12-2012_9_3'!F2217,"AAAAAHnz/oY=")</f>
        <v>#VALUE!</v>
      </c>
      <c r="EF139" t="e">
        <f>AND('Planilla_General_03-12-2012_9_3'!G2217,"AAAAAHnz/oc=")</f>
        <v>#VALUE!</v>
      </c>
      <c r="EG139" t="e">
        <f>AND('Planilla_General_03-12-2012_9_3'!H2217,"AAAAAHnz/og=")</f>
        <v>#VALUE!</v>
      </c>
      <c r="EH139" t="e">
        <f>AND('Planilla_General_03-12-2012_9_3'!I2217,"AAAAAHnz/ok=")</f>
        <v>#VALUE!</v>
      </c>
      <c r="EI139" t="e">
        <f>AND('Planilla_General_03-12-2012_9_3'!J2217,"AAAAAHnz/oo=")</f>
        <v>#VALUE!</v>
      </c>
      <c r="EJ139" t="e">
        <f>AND('Planilla_General_03-12-2012_9_3'!K2217,"AAAAAHnz/os=")</f>
        <v>#VALUE!</v>
      </c>
      <c r="EK139" t="e">
        <f>AND('Planilla_General_03-12-2012_9_3'!L2217,"AAAAAHnz/ow=")</f>
        <v>#VALUE!</v>
      </c>
      <c r="EL139" t="e">
        <f>AND('Planilla_General_03-12-2012_9_3'!M2217,"AAAAAHnz/o0=")</f>
        <v>#VALUE!</v>
      </c>
      <c r="EM139" t="e">
        <f>AND('Planilla_General_03-12-2012_9_3'!N2217,"AAAAAHnz/o4=")</f>
        <v>#VALUE!</v>
      </c>
      <c r="EN139" t="e">
        <f>AND('Planilla_General_03-12-2012_9_3'!O2217,"AAAAAHnz/o8=")</f>
        <v>#VALUE!</v>
      </c>
      <c r="EO139">
        <f>IF('Planilla_General_03-12-2012_9_3'!2218:2218,"AAAAAHnz/pA=",0)</f>
        <v>0</v>
      </c>
      <c r="EP139" t="e">
        <f>AND('Planilla_General_03-12-2012_9_3'!A2218,"AAAAAHnz/pE=")</f>
        <v>#VALUE!</v>
      </c>
      <c r="EQ139" t="e">
        <f>AND('Planilla_General_03-12-2012_9_3'!B2218,"AAAAAHnz/pI=")</f>
        <v>#VALUE!</v>
      </c>
      <c r="ER139" t="e">
        <f>AND('Planilla_General_03-12-2012_9_3'!C2218,"AAAAAHnz/pM=")</f>
        <v>#VALUE!</v>
      </c>
      <c r="ES139" t="e">
        <f>AND('Planilla_General_03-12-2012_9_3'!D2218,"AAAAAHnz/pQ=")</f>
        <v>#VALUE!</v>
      </c>
      <c r="ET139" t="e">
        <f>AND('Planilla_General_03-12-2012_9_3'!E2218,"AAAAAHnz/pU=")</f>
        <v>#VALUE!</v>
      </c>
      <c r="EU139" t="e">
        <f>AND('Planilla_General_03-12-2012_9_3'!F2218,"AAAAAHnz/pY=")</f>
        <v>#VALUE!</v>
      </c>
      <c r="EV139" t="e">
        <f>AND('Planilla_General_03-12-2012_9_3'!G2218,"AAAAAHnz/pc=")</f>
        <v>#VALUE!</v>
      </c>
      <c r="EW139" t="e">
        <f>AND('Planilla_General_03-12-2012_9_3'!H2218,"AAAAAHnz/pg=")</f>
        <v>#VALUE!</v>
      </c>
      <c r="EX139" t="e">
        <f>AND('Planilla_General_03-12-2012_9_3'!I2218,"AAAAAHnz/pk=")</f>
        <v>#VALUE!</v>
      </c>
      <c r="EY139" t="e">
        <f>AND('Planilla_General_03-12-2012_9_3'!J2218,"AAAAAHnz/po=")</f>
        <v>#VALUE!</v>
      </c>
      <c r="EZ139" t="e">
        <f>AND('Planilla_General_03-12-2012_9_3'!K2218,"AAAAAHnz/ps=")</f>
        <v>#VALUE!</v>
      </c>
      <c r="FA139" t="e">
        <f>AND('Planilla_General_03-12-2012_9_3'!L2218,"AAAAAHnz/pw=")</f>
        <v>#VALUE!</v>
      </c>
      <c r="FB139" t="e">
        <f>AND('Planilla_General_03-12-2012_9_3'!M2218,"AAAAAHnz/p0=")</f>
        <v>#VALUE!</v>
      </c>
      <c r="FC139" t="e">
        <f>AND('Planilla_General_03-12-2012_9_3'!N2218,"AAAAAHnz/p4=")</f>
        <v>#VALUE!</v>
      </c>
      <c r="FD139" t="e">
        <f>AND('Planilla_General_03-12-2012_9_3'!O2218,"AAAAAHnz/p8=")</f>
        <v>#VALUE!</v>
      </c>
      <c r="FE139">
        <f>IF('Planilla_General_03-12-2012_9_3'!2219:2219,"AAAAAHnz/qA=",0)</f>
        <v>0</v>
      </c>
      <c r="FF139" t="e">
        <f>AND('Planilla_General_03-12-2012_9_3'!A2219,"AAAAAHnz/qE=")</f>
        <v>#VALUE!</v>
      </c>
      <c r="FG139" t="e">
        <f>AND('Planilla_General_03-12-2012_9_3'!B2219,"AAAAAHnz/qI=")</f>
        <v>#VALUE!</v>
      </c>
      <c r="FH139" t="e">
        <f>AND('Planilla_General_03-12-2012_9_3'!C2219,"AAAAAHnz/qM=")</f>
        <v>#VALUE!</v>
      </c>
      <c r="FI139" t="e">
        <f>AND('Planilla_General_03-12-2012_9_3'!D2219,"AAAAAHnz/qQ=")</f>
        <v>#VALUE!</v>
      </c>
      <c r="FJ139" t="e">
        <f>AND('Planilla_General_03-12-2012_9_3'!E2219,"AAAAAHnz/qU=")</f>
        <v>#VALUE!</v>
      </c>
      <c r="FK139" t="e">
        <f>AND('Planilla_General_03-12-2012_9_3'!F2219,"AAAAAHnz/qY=")</f>
        <v>#VALUE!</v>
      </c>
      <c r="FL139" t="e">
        <f>AND('Planilla_General_03-12-2012_9_3'!G2219,"AAAAAHnz/qc=")</f>
        <v>#VALUE!</v>
      </c>
      <c r="FM139" t="e">
        <f>AND('Planilla_General_03-12-2012_9_3'!H2219,"AAAAAHnz/qg=")</f>
        <v>#VALUE!</v>
      </c>
      <c r="FN139" t="e">
        <f>AND('Planilla_General_03-12-2012_9_3'!I2219,"AAAAAHnz/qk=")</f>
        <v>#VALUE!</v>
      </c>
      <c r="FO139" t="e">
        <f>AND('Planilla_General_03-12-2012_9_3'!J2219,"AAAAAHnz/qo=")</f>
        <v>#VALUE!</v>
      </c>
      <c r="FP139" t="e">
        <f>AND('Planilla_General_03-12-2012_9_3'!K2219,"AAAAAHnz/qs=")</f>
        <v>#VALUE!</v>
      </c>
      <c r="FQ139" t="e">
        <f>AND('Planilla_General_03-12-2012_9_3'!L2219,"AAAAAHnz/qw=")</f>
        <v>#VALUE!</v>
      </c>
      <c r="FR139" t="e">
        <f>AND('Planilla_General_03-12-2012_9_3'!M2219,"AAAAAHnz/q0=")</f>
        <v>#VALUE!</v>
      </c>
      <c r="FS139" t="e">
        <f>AND('Planilla_General_03-12-2012_9_3'!N2219,"AAAAAHnz/q4=")</f>
        <v>#VALUE!</v>
      </c>
      <c r="FT139" t="e">
        <f>AND('Planilla_General_03-12-2012_9_3'!O2219,"AAAAAHnz/q8=")</f>
        <v>#VALUE!</v>
      </c>
      <c r="FU139">
        <f>IF('Planilla_General_03-12-2012_9_3'!2220:2220,"AAAAAHnz/rA=",0)</f>
        <v>0</v>
      </c>
      <c r="FV139" t="e">
        <f>AND('Planilla_General_03-12-2012_9_3'!A2220,"AAAAAHnz/rE=")</f>
        <v>#VALUE!</v>
      </c>
      <c r="FW139" t="e">
        <f>AND('Planilla_General_03-12-2012_9_3'!B2220,"AAAAAHnz/rI=")</f>
        <v>#VALUE!</v>
      </c>
      <c r="FX139" t="e">
        <f>AND('Planilla_General_03-12-2012_9_3'!C2220,"AAAAAHnz/rM=")</f>
        <v>#VALUE!</v>
      </c>
      <c r="FY139" t="e">
        <f>AND('Planilla_General_03-12-2012_9_3'!D2220,"AAAAAHnz/rQ=")</f>
        <v>#VALUE!</v>
      </c>
      <c r="FZ139" t="e">
        <f>AND('Planilla_General_03-12-2012_9_3'!E2220,"AAAAAHnz/rU=")</f>
        <v>#VALUE!</v>
      </c>
      <c r="GA139" t="e">
        <f>AND('Planilla_General_03-12-2012_9_3'!F2220,"AAAAAHnz/rY=")</f>
        <v>#VALUE!</v>
      </c>
      <c r="GB139" t="e">
        <f>AND('Planilla_General_03-12-2012_9_3'!G2220,"AAAAAHnz/rc=")</f>
        <v>#VALUE!</v>
      </c>
      <c r="GC139" t="e">
        <f>AND('Planilla_General_03-12-2012_9_3'!H2220,"AAAAAHnz/rg=")</f>
        <v>#VALUE!</v>
      </c>
      <c r="GD139" t="e">
        <f>AND('Planilla_General_03-12-2012_9_3'!I2220,"AAAAAHnz/rk=")</f>
        <v>#VALUE!</v>
      </c>
      <c r="GE139" t="e">
        <f>AND('Planilla_General_03-12-2012_9_3'!J2220,"AAAAAHnz/ro=")</f>
        <v>#VALUE!</v>
      </c>
      <c r="GF139" t="e">
        <f>AND('Planilla_General_03-12-2012_9_3'!K2220,"AAAAAHnz/rs=")</f>
        <v>#VALUE!</v>
      </c>
      <c r="GG139" t="e">
        <f>AND('Planilla_General_03-12-2012_9_3'!L2220,"AAAAAHnz/rw=")</f>
        <v>#VALUE!</v>
      </c>
      <c r="GH139" t="e">
        <f>AND('Planilla_General_03-12-2012_9_3'!M2220,"AAAAAHnz/r0=")</f>
        <v>#VALUE!</v>
      </c>
      <c r="GI139" t="e">
        <f>AND('Planilla_General_03-12-2012_9_3'!N2220,"AAAAAHnz/r4=")</f>
        <v>#VALUE!</v>
      </c>
      <c r="GJ139" t="e">
        <f>AND('Planilla_General_03-12-2012_9_3'!O2220,"AAAAAHnz/r8=")</f>
        <v>#VALUE!</v>
      </c>
      <c r="GK139">
        <f>IF('Planilla_General_03-12-2012_9_3'!2221:2221,"AAAAAHnz/sA=",0)</f>
        <v>0</v>
      </c>
      <c r="GL139" t="e">
        <f>AND('Planilla_General_03-12-2012_9_3'!A2221,"AAAAAHnz/sE=")</f>
        <v>#VALUE!</v>
      </c>
      <c r="GM139" t="e">
        <f>AND('Planilla_General_03-12-2012_9_3'!B2221,"AAAAAHnz/sI=")</f>
        <v>#VALUE!</v>
      </c>
      <c r="GN139" t="e">
        <f>AND('Planilla_General_03-12-2012_9_3'!C2221,"AAAAAHnz/sM=")</f>
        <v>#VALUE!</v>
      </c>
      <c r="GO139" t="e">
        <f>AND('Planilla_General_03-12-2012_9_3'!D2221,"AAAAAHnz/sQ=")</f>
        <v>#VALUE!</v>
      </c>
      <c r="GP139" t="e">
        <f>AND('Planilla_General_03-12-2012_9_3'!E2221,"AAAAAHnz/sU=")</f>
        <v>#VALUE!</v>
      </c>
      <c r="GQ139" t="e">
        <f>AND('Planilla_General_03-12-2012_9_3'!F2221,"AAAAAHnz/sY=")</f>
        <v>#VALUE!</v>
      </c>
      <c r="GR139" t="e">
        <f>AND('Planilla_General_03-12-2012_9_3'!G2221,"AAAAAHnz/sc=")</f>
        <v>#VALUE!</v>
      </c>
      <c r="GS139" t="e">
        <f>AND('Planilla_General_03-12-2012_9_3'!H2221,"AAAAAHnz/sg=")</f>
        <v>#VALUE!</v>
      </c>
      <c r="GT139" t="e">
        <f>AND('Planilla_General_03-12-2012_9_3'!I2221,"AAAAAHnz/sk=")</f>
        <v>#VALUE!</v>
      </c>
      <c r="GU139" t="e">
        <f>AND('Planilla_General_03-12-2012_9_3'!J2221,"AAAAAHnz/so=")</f>
        <v>#VALUE!</v>
      </c>
      <c r="GV139" t="e">
        <f>AND('Planilla_General_03-12-2012_9_3'!K2221,"AAAAAHnz/ss=")</f>
        <v>#VALUE!</v>
      </c>
      <c r="GW139" t="e">
        <f>AND('Planilla_General_03-12-2012_9_3'!L2221,"AAAAAHnz/sw=")</f>
        <v>#VALUE!</v>
      </c>
      <c r="GX139" t="e">
        <f>AND('Planilla_General_03-12-2012_9_3'!M2221,"AAAAAHnz/s0=")</f>
        <v>#VALUE!</v>
      </c>
      <c r="GY139" t="e">
        <f>AND('Planilla_General_03-12-2012_9_3'!N2221,"AAAAAHnz/s4=")</f>
        <v>#VALUE!</v>
      </c>
      <c r="GZ139" t="e">
        <f>AND('Planilla_General_03-12-2012_9_3'!O2221,"AAAAAHnz/s8=")</f>
        <v>#VALUE!</v>
      </c>
      <c r="HA139">
        <f>IF('Planilla_General_03-12-2012_9_3'!2222:2222,"AAAAAHnz/tA=",0)</f>
        <v>0</v>
      </c>
      <c r="HB139" t="e">
        <f>AND('Planilla_General_03-12-2012_9_3'!A2222,"AAAAAHnz/tE=")</f>
        <v>#VALUE!</v>
      </c>
      <c r="HC139" t="e">
        <f>AND('Planilla_General_03-12-2012_9_3'!B2222,"AAAAAHnz/tI=")</f>
        <v>#VALUE!</v>
      </c>
      <c r="HD139" t="e">
        <f>AND('Planilla_General_03-12-2012_9_3'!C2222,"AAAAAHnz/tM=")</f>
        <v>#VALUE!</v>
      </c>
      <c r="HE139" t="e">
        <f>AND('Planilla_General_03-12-2012_9_3'!D2222,"AAAAAHnz/tQ=")</f>
        <v>#VALUE!</v>
      </c>
      <c r="HF139" t="e">
        <f>AND('Planilla_General_03-12-2012_9_3'!E2222,"AAAAAHnz/tU=")</f>
        <v>#VALUE!</v>
      </c>
      <c r="HG139" t="e">
        <f>AND('Planilla_General_03-12-2012_9_3'!F2222,"AAAAAHnz/tY=")</f>
        <v>#VALUE!</v>
      </c>
      <c r="HH139" t="e">
        <f>AND('Planilla_General_03-12-2012_9_3'!G2222,"AAAAAHnz/tc=")</f>
        <v>#VALUE!</v>
      </c>
      <c r="HI139" t="e">
        <f>AND('Planilla_General_03-12-2012_9_3'!H2222,"AAAAAHnz/tg=")</f>
        <v>#VALUE!</v>
      </c>
      <c r="HJ139" t="e">
        <f>AND('Planilla_General_03-12-2012_9_3'!I2222,"AAAAAHnz/tk=")</f>
        <v>#VALUE!</v>
      </c>
      <c r="HK139" t="e">
        <f>AND('Planilla_General_03-12-2012_9_3'!J2222,"AAAAAHnz/to=")</f>
        <v>#VALUE!</v>
      </c>
      <c r="HL139" t="e">
        <f>AND('Planilla_General_03-12-2012_9_3'!K2222,"AAAAAHnz/ts=")</f>
        <v>#VALUE!</v>
      </c>
      <c r="HM139" t="e">
        <f>AND('Planilla_General_03-12-2012_9_3'!L2222,"AAAAAHnz/tw=")</f>
        <v>#VALUE!</v>
      </c>
      <c r="HN139" t="e">
        <f>AND('Planilla_General_03-12-2012_9_3'!M2222,"AAAAAHnz/t0=")</f>
        <v>#VALUE!</v>
      </c>
      <c r="HO139" t="e">
        <f>AND('Planilla_General_03-12-2012_9_3'!N2222,"AAAAAHnz/t4=")</f>
        <v>#VALUE!</v>
      </c>
      <c r="HP139" t="e">
        <f>AND('Planilla_General_03-12-2012_9_3'!O2222,"AAAAAHnz/t8=")</f>
        <v>#VALUE!</v>
      </c>
      <c r="HQ139">
        <f>IF('Planilla_General_03-12-2012_9_3'!2223:2223,"AAAAAHnz/uA=",0)</f>
        <v>0</v>
      </c>
      <c r="HR139" t="e">
        <f>AND('Planilla_General_03-12-2012_9_3'!A2223,"AAAAAHnz/uE=")</f>
        <v>#VALUE!</v>
      </c>
      <c r="HS139" t="e">
        <f>AND('Planilla_General_03-12-2012_9_3'!B2223,"AAAAAHnz/uI=")</f>
        <v>#VALUE!</v>
      </c>
      <c r="HT139" t="e">
        <f>AND('Planilla_General_03-12-2012_9_3'!C2223,"AAAAAHnz/uM=")</f>
        <v>#VALUE!</v>
      </c>
      <c r="HU139" t="e">
        <f>AND('Planilla_General_03-12-2012_9_3'!D2223,"AAAAAHnz/uQ=")</f>
        <v>#VALUE!</v>
      </c>
      <c r="HV139" t="e">
        <f>AND('Planilla_General_03-12-2012_9_3'!E2223,"AAAAAHnz/uU=")</f>
        <v>#VALUE!</v>
      </c>
      <c r="HW139" t="e">
        <f>AND('Planilla_General_03-12-2012_9_3'!F2223,"AAAAAHnz/uY=")</f>
        <v>#VALUE!</v>
      </c>
      <c r="HX139" t="e">
        <f>AND('Planilla_General_03-12-2012_9_3'!G2223,"AAAAAHnz/uc=")</f>
        <v>#VALUE!</v>
      </c>
      <c r="HY139" t="e">
        <f>AND('Planilla_General_03-12-2012_9_3'!H2223,"AAAAAHnz/ug=")</f>
        <v>#VALUE!</v>
      </c>
      <c r="HZ139" t="e">
        <f>AND('Planilla_General_03-12-2012_9_3'!I2223,"AAAAAHnz/uk=")</f>
        <v>#VALUE!</v>
      </c>
      <c r="IA139" t="e">
        <f>AND('Planilla_General_03-12-2012_9_3'!J2223,"AAAAAHnz/uo=")</f>
        <v>#VALUE!</v>
      </c>
      <c r="IB139" t="e">
        <f>AND('Planilla_General_03-12-2012_9_3'!K2223,"AAAAAHnz/us=")</f>
        <v>#VALUE!</v>
      </c>
      <c r="IC139" t="e">
        <f>AND('Planilla_General_03-12-2012_9_3'!L2223,"AAAAAHnz/uw=")</f>
        <v>#VALUE!</v>
      </c>
      <c r="ID139" t="e">
        <f>AND('Planilla_General_03-12-2012_9_3'!M2223,"AAAAAHnz/u0=")</f>
        <v>#VALUE!</v>
      </c>
      <c r="IE139" t="e">
        <f>AND('Planilla_General_03-12-2012_9_3'!N2223,"AAAAAHnz/u4=")</f>
        <v>#VALUE!</v>
      </c>
      <c r="IF139" t="e">
        <f>AND('Planilla_General_03-12-2012_9_3'!O2223,"AAAAAHnz/u8=")</f>
        <v>#VALUE!</v>
      </c>
      <c r="IG139">
        <f>IF('Planilla_General_03-12-2012_9_3'!2224:2224,"AAAAAHnz/vA=",0)</f>
        <v>0</v>
      </c>
      <c r="IH139" t="e">
        <f>AND('Planilla_General_03-12-2012_9_3'!A2224,"AAAAAHnz/vE=")</f>
        <v>#VALUE!</v>
      </c>
      <c r="II139" t="e">
        <f>AND('Planilla_General_03-12-2012_9_3'!B2224,"AAAAAHnz/vI=")</f>
        <v>#VALUE!</v>
      </c>
      <c r="IJ139" t="e">
        <f>AND('Planilla_General_03-12-2012_9_3'!C2224,"AAAAAHnz/vM=")</f>
        <v>#VALUE!</v>
      </c>
      <c r="IK139" t="e">
        <f>AND('Planilla_General_03-12-2012_9_3'!D2224,"AAAAAHnz/vQ=")</f>
        <v>#VALUE!</v>
      </c>
      <c r="IL139" t="e">
        <f>AND('Planilla_General_03-12-2012_9_3'!E2224,"AAAAAHnz/vU=")</f>
        <v>#VALUE!</v>
      </c>
      <c r="IM139" t="e">
        <f>AND('Planilla_General_03-12-2012_9_3'!F2224,"AAAAAHnz/vY=")</f>
        <v>#VALUE!</v>
      </c>
      <c r="IN139" t="e">
        <f>AND('Planilla_General_03-12-2012_9_3'!G2224,"AAAAAHnz/vc=")</f>
        <v>#VALUE!</v>
      </c>
      <c r="IO139" t="e">
        <f>AND('Planilla_General_03-12-2012_9_3'!H2224,"AAAAAHnz/vg=")</f>
        <v>#VALUE!</v>
      </c>
      <c r="IP139" t="e">
        <f>AND('Planilla_General_03-12-2012_9_3'!I2224,"AAAAAHnz/vk=")</f>
        <v>#VALUE!</v>
      </c>
      <c r="IQ139" t="e">
        <f>AND('Planilla_General_03-12-2012_9_3'!J2224,"AAAAAHnz/vo=")</f>
        <v>#VALUE!</v>
      </c>
      <c r="IR139" t="e">
        <f>AND('Planilla_General_03-12-2012_9_3'!K2224,"AAAAAHnz/vs=")</f>
        <v>#VALUE!</v>
      </c>
      <c r="IS139" t="e">
        <f>AND('Planilla_General_03-12-2012_9_3'!L2224,"AAAAAHnz/vw=")</f>
        <v>#VALUE!</v>
      </c>
      <c r="IT139" t="e">
        <f>AND('Planilla_General_03-12-2012_9_3'!M2224,"AAAAAHnz/v0=")</f>
        <v>#VALUE!</v>
      </c>
      <c r="IU139" t="e">
        <f>AND('Planilla_General_03-12-2012_9_3'!N2224,"AAAAAHnz/v4=")</f>
        <v>#VALUE!</v>
      </c>
      <c r="IV139" t="e">
        <f>AND('Planilla_General_03-12-2012_9_3'!O2224,"AAAAAHnz/v8=")</f>
        <v>#VALUE!</v>
      </c>
    </row>
    <row r="140" spans="1:256" x14ac:dyDescent="0.25">
      <c r="A140" t="e">
        <f>IF('Planilla_General_03-12-2012_9_3'!2225:2225,"AAAAAHfvvgA=",0)</f>
        <v>#VALUE!</v>
      </c>
      <c r="B140" t="e">
        <f>AND('Planilla_General_03-12-2012_9_3'!A2225,"AAAAAHfvvgE=")</f>
        <v>#VALUE!</v>
      </c>
      <c r="C140" t="e">
        <f>AND('Planilla_General_03-12-2012_9_3'!B2225,"AAAAAHfvvgI=")</f>
        <v>#VALUE!</v>
      </c>
      <c r="D140" t="e">
        <f>AND('Planilla_General_03-12-2012_9_3'!C2225,"AAAAAHfvvgM=")</f>
        <v>#VALUE!</v>
      </c>
      <c r="E140" t="e">
        <f>AND('Planilla_General_03-12-2012_9_3'!D2225,"AAAAAHfvvgQ=")</f>
        <v>#VALUE!</v>
      </c>
      <c r="F140" t="e">
        <f>AND('Planilla_General_03-12-2012_9_3'!E2225,"AAAAAHfvvgU=")</f>
        <v>#VALUE!</v>
      </c>
      <c r="G140" t="e">
        <f>AND('Planilla_General_03-12-2012_9_3'!F2225,"AAAAAHfvvgY=")</f>
        <v>#VALUE!</v>
      </c>
      <c r="H140" t="e">
        <f>AND('Planilla_General_03-12-2012_9_3'!G2225,"AAAAAHfvvgc=")</f>
        <v>#VALUE!</v>
      </c>
      <c r="I140" t="e">
        <f>AND('Planilla_General_03-12-2012_9_3'!H2225,"AAAAAHfvvgg=")</f>
        <v>#VALUE!</v>
      </c>
      <c r="J140" t="e">
        <f>AND('Planilla_General_03-12-2012_9_3'!I2225,"AAAAAHfvvgk=")</f>
        <v>#VALUE!</v>
      </c>
      <c r="K140" t="e">
        <f>AND('Planilla_General_03-12-2012_9_3'!J2225,"AAAAAHfvvgo=")</f>
        <v>#VALUE!</v>
      </c>
      <c r="L140" t="e">
        <f>AND('Planilla_General_03-12-2012_9_3'!K2225,"AAAAAHfvvgs=")</f>
        <v>#VALUE!</v>
      </c>
      <c r="M140" t="e">
        <f>AND('Planilla_General_03-12-2012_9_3'!L2225,"AAAAAHfvvgw=")</f>
        <v>#VALUE!</v>
      </c>
      <c r="N140" t="e">
        <f>AND('Planilla_General_03-12-2012_9_3'!M2225,"AAAAAHfvvg0=")</f>
        <v>#VALUE!</v>
      </c>
      <c r="O140" t="e">
        <f>AND('Planilla_General_03-12-2012_9_3'!N2225,"AAAAAHfvvg4=")</f>
        <v>#VALUE!</v>
      </c>
      <c r="P140" t="e">
        <f>AND('Planilla_General_03-12-2012_9_3'!O2225,"AAAAAHfvvg8=")</f>
        <v>#VALUE!</v>
      </c>
      <c r="Q140">
        <f>IF('Planilla_General_03-12-2012_9_3'!2226:2226,"AAAAAHfvvhA=",0)</f>
        <v>0</v>
      </c>
      <c r="R140" t="e">
        <f>AND('Planilla_General_03-12-2012_9_3'!A2226,"AAAAAHfvvhE=")</f>
        <v>#VALUE!</v>
      </c>
      <c r="S140" t="e">
        <f>AND('Planilla_General_03-12-2012_9_3'!B2226,"AAAAAHfvvhI=")</f>
        <v>#VALUE!</v>
      </c>
      <c r="T140" t="e">
        <f>AND('Planilla_General_03-12-2012_9_3'!C2226,"AAAAAHfvvhM=")</f>
        <v>#VALUE!</v>
      </c>
      <c r="U140" t="e">
        <f>AND('Planilla_General_03-12-2012_9_3'!D2226,"AAAAAHfvvhQ=")</f>
        <v>#VALUE!</v>
      </c>
      <c r="V140" t="e">
        <f>AND('Planilla_General_03-12-2012_9_3'!E2226,"AAAAAHfvvhU=")</f>
        <v>#VALUE!</v>
      </c>
      <c r="W140" t="e">
        <f>AND('Planilla_General_03-12-2012_9_3'!F2226,"AAAAAHfvvhY=")</f>
        <v>#VALUE!</v>
      </c>
      <c r="X140" t="e">
        <f>AND('Planilla_General_03-12-2012_9_3'!G2226,"AAAAAHfvvhc=")</f>
        <v>#VALUE!</v>
      </c>
      <c r="Y140" t="e">
        <f>AND('Planilla_General_03-12-2012_9_3'!H2226,"AAAAAHfvvhg=")</f>
        <v>#VALUE!</v>
      </c>
      <c r="Z140" t="e">
        <f>AND('Planilla_General_03-12-2012_9_3'!I2226,"AAAAAHfvvhk=")</f>
        <v>#VALUE!</v>
      </c>
      <c r="AA140" t="e">
        <f>AND('Planilla_General_03-12-2012_9_3'!J2226,"AAAAAHfvvho=")</f>
        <v>#VALUE!</v>
      </c>
      <c r="AB140" t="e">
        <f>AND('Planilla_General_03-12-2012_9_3'!K2226,"AAAAAHfvvhs=")</f>
        <v>#VALUE!</v>
      </c>
      <c r="AC140" t="e">
        <f>AND('Planilla_General_03-12-2012_9_3'!L2226,"AAAAAHfvvhw=")</f>
        <v>#VALUE!</v>
      </c>
      <c r="AD140" t="e">
        <f>AND('Planilla_General_03-12-2012_9_3'!M2226,"AAAAAHfvvh0=")</f>
        <v>#VALUE!</v>
      </c>
      <c r="AE140" t="e">
        <f>AND('Planilla_General_03-12-2012_9_3'!N2226,"AAAAAHfvvh4=")</f>
        <v>#VALUE!</v>
      </c>
      <c r="AF140" t="e">
        <f>AND('Planilla_General_03-12-2012_9_3'!O2226,"AAAAAHfvvh8=")</f>
        <v>#VALUE!</v>
      </c>
      <c r="AG140">
        <f>IF('Planilla_General_03-12-2012_9_3'!2227:2227,"AAAAAHfvviA=",0)</f>
        <v>0</v>
      </c>
      <c r="AH140" t="e">
        <f>AND('Planilla_General_03-12-2012_9_3'!A2227,"AAAAAHfvviE=")</f>
        <v>#VALUE!</v>
      </c>
      <c r="AI140" t="e">
        <f>AND('Planilla_General_03-12-2012_9_3'!B2227,"AAAAAHfvviI=")</f>
        <v>#VALUE!</v>
      </c>
      <c r="AJ140" t="e">
        <f>AND('Planilla_General_03-12-2012_9_3'!C2227,"AAAAAHfvviM=")</f>
        <v>#VALUE!</v>
      </c>
      <c r="AK140" t="e">
        <f>AND('Planilla_General_03-12-2012_9_3'!D2227,"AAAAAHfvviQ=")</f>
        <v>#VALUE!</v>
      </c>
      <c r="AL140" t="e">
        <f>AND('Planilla_General_03-12-2012_9_3'!E2227,"AAAAAHfvviU=")</f>
        <v>#VALUE!</v>
      </c>
      <c r="AM140" t="e">
        <f>AND('Planilla_General_03-12-2012_9_3'!F2227,"AAAAAHfvviY=")</f>
        <v>#VALUE!</v>
      </c>
      <c r="AN140" t="e">
        <f>AND('Planilla_General_03-12-2012_9_3'!G2227,"AAAAAHfvvic=")</f>
        <v>#VALUE!</v>
      </c>
      <c r="AO140" t="e">
        <f>AND('Planilla_General_03-12-2012_9_3'!H2227,"AAAAAHfvvig=")</f>
        <v>#VALUE!</v>
      </c>
      <c r="AP140" t="e">
        <f>AND('Planilla_General_03-12-2012_9_3'!I2227,"AAAAAHfvvik=")</f>
        <v>#VALUE!</v>
      </c>
      <c r="AQ140" t="e">
        <f>AND('Planilla_General_03-12-2012_9_3'!J2227,"AAAAAHfvvio=")</f>
        <v>#VALUE!</v>
      </c>
      <c r="AR140" t="e">
        <f>AND('Planilla_General_03-12-2012_9_3'!K2227,"AAAAAHfvvis=")</f>
        <v>#VALUE!</v>
      </c>
      <c r="AS140" t="e">
        <f>AND('Planilla_General_03-12-2012_9_3'!L2227,"AAAAAHfvviw=")</f>
        <v>#VALUE!</v>
      </c>
      <c r="AT140" t="e">
        <f>AND('Planilla_General_03-12-2012_9_3'!M2227,"AAAAAHfvvi0=")</f>
        <v>#VALUE!</v>
      </c>
      <c r="AU140" t="e">
        <f>AND('Planilla_General_03-12-2012_9_3'!N2227,"AAAAAHfvvi4=")</f>
        <v>#VALUE!</v>
      </c>
      <c r="AV140" t="e">
        <f>AND('Planilla_General_03-12-2012_9_3'!O2227,"AAAAAHfvvi8=")</f>
        <v>#VALUE!</v>
      </c>
      <c r="AW140">
        <f>IF('Planilla_General_03-12-2012_9_3'!2228:2228,"AAAAAHfvvjA=",0)</f>
        <v>0</v>
      </c>
      <c r="AX140" t="e">
        <f>AND('Planilla_General_03-12-2012_9_3'!A2228,"AAAAAHfvvjE=")</f>
        <v>#VALUE!</v>
      </c>
      <c r="AY140" t="e">
        <f>AND('Planilla_General_03-12-2012_9_3'!B2228,"AAAAAHfvvjI=")</f>
        <v>#VALUE!</v>
      </c>
      <c r="AZ140" t="e">
        <f>AND('Planilla_General_03-12-2012_9_3'!C2228,"AAAAAHfvvjM=")</f>
        <v>#VALUE!</v>
      </c>
      <c r="BA140" t="e">
        <f>AND('Planilla_General_03-12-2012_9_3'!D2228,"AAAAAHfvvjQ=")</f>
        <v>#VALUE!</v>
      </c>
      <c r="BB140" t="e">
        <f>AND('Planilla_General_03-12-2012_9_3'!E2228,"AAAAAHfvvjU=")</f>
        <v>#VALUE!</v>
      </c>
      <c r="BC140" t="e">
        <f>AND('Planilla_General_03-12-2012_9_3'!F2228,"AAAAAHfvvjY=")</f>
        <v>#VALUE!</v>
      </c>
      <c r="BD140" t="e">
        <f>AND('Planilla_General_03-12-2012_9_3'!G2228,"AAAAAHfvvjc=")</f>
        <v>#VALUE!</v>
      </c>
      <c r="BE140" t="e">
        <f>AND('Planilla_General_03-12-2012_9_3'!H2228,"AAAAAHfvvjg=")</f>
        <v>#VALUE!</v>
      </c>
      <c r="BF140" t="e">
        <f>AND('Planilla_General_03-12-2012_9_3'!I2228,"AAAAAHfvvjk=")</f>
        <v>#VALUE!</v>
      </c>
      <c r="BG140" t="e">
        <f>AND('Planilla_General_03-12-2012_9_3'!J2228,"AAAAAHfvvjo=")</f>
        <v>#VALUE!</v>
      </c>
      <c r="BH140" t="e">
        <f>AND('Planilla_General_03-12-2012_9_3'!K2228,"AAAAAHfvvjs=")</f>
        <v>#VALUE!</v>
      </c>
      <c r="BI140" t="e">
        <f>AND('Planilla_General_03-12-2012_9_3'!L2228,"AAAAAHfvvjw=")</f>
        <v>#VALUE!</v>
      </c>
      <c r="BJ140" t="e">
        <f>AND('Planilla_General_03-12-2012_9_3'!M2228,"AAAAAHfvvj0=")</f>
        <v>#VALUE!</v>
      </c>
      <c r="BK140" t="e">
        <f>AND('Planilla_General_03-12-2012_9_3'!N2228,"AAAAAHfvvj4=")</f>
        <v>#VALUE!</v>
      </c>
      <c r="BL140" t="e">
        <f>AND('Planilla_General_03-12-2012_9_3'!O2228,"AAAAAHfvvj8=")</f>
        <v>#VALUE!</v>
      </c>
      <c r="BM140">
        <f>IF('Planilla_General_03-12-2012_9_3'!2229:2229,"AAAAAHfvvkA=",0)</f>
        <v>0</v>
      </c>
      <c r="BN140" t="e">
        <f>AND('Planilla_General_03-12-2012_9_3'!A2229,"AAAAAHfvvkE=")</f>
        <v>#VALUE!</v>
      </c>
      <c r="BO140" t="e">
        <f>AND('Planilla_General_03-12-2012_9_3'!B2229,"AAAAAHfvvkI=")</f>
        <v>#VALUE!</v>
      </c>
      <c r="BP140" t="e">
        <f>AND('Planilla_General_03-12-2012_9_3'!C2229,"AAAAAHfvvkM=")</f>
        <v>#VALUE!</v>
      </c>
      <c r="BQ140" t="e">
        <f>AND('Planilla_General_03-12-2012_9_3'!D2229,"AAAAAHfvvkQ=")</f>
        <v>#VALUE!</v>
      </c>
      <c r="BR140" t="e">
        <f>AND('Planilla_General_03-12-2012_9_3'!E2229,"AAAAAHfvvkU=")</f>
        <v>#VALUE!</v>
      </c>
      <c r="BS140" t="e">
        <f>AND('Planilla_General_03-12-2012_9_3'!F2229,"AAAAAHfvvkY=")</f>
        <v>#VALUE!</v>
      </c>
      <c r="BT140" t="e">
        <f>AND('Planilla_General_03-12-2012_9_3'!G2229,"AAAAAHfvvkc=")</f>
        <v>#VALUE!</v>
      </c>
      <c r="BU140" t="e">
        <f>AND('Planilla_General_03-12-2012_9_3'!H2229,"AAAAAHfvvkg=")</f>
        <v>#VALUE!</v>
      </c>
      <c r="BV140" t="e">
        <f>AND('Planilla_General_03-12-2012_9_3'!I2229,"AAAAAHfvvkk=")</f>
        <v>#VALUE!</v>
      </c>
      <c r="BW140" t="e">
        <f>AND('Planilla_General_03-12-2012_9_3'!J2229,"AAAAAHfvvko=")</f>
        <v>#VALUE!</v>
      </c>
      <c r="BX140" t="e">
        <f>AND('Planilla_General_03-12-2012_9_3'!K2229,"AAAAAHfvvks=")</f>
        <v>#VALUE!</v>
      </c>
      <c r="BY140" t="e">
        <f>AND('Planilla_General_03-12-2012_9_3'!L2229,"AAAAAHfvvkw=")</f>
        <v>#VALUE!</v>
      </c>
      <c r="BZ140" t="e">
        <f>AND('Planilla_General_03-12-2012_9_3'!M2229,"AAAAAHfvvk0=")</f>
        <v>#VALUE!</v>
      </c>
      <c r="CA140" t="e">
        <f>AND('Planilla_General_03-12-2012_9_3'!N2229,"AAAAAHfvvk4=")</f>
        <v>#VALUE!</v>
      </c>
      <c r="CB140" t="e">
        <f>AND('Planilla_General_03-12-2012_9_3'!O2229,"AAAAAHfvvk8=")</f>
        <v>#VALUE!</v>
      </c>
      <c r="CC140">
        <f>IF('Planilla_General_03-12-2012_9_3'!2230:2230,"AAAAAHfvvlA=",0)</f>
        <v>0</v>
      </c>
      <c r="CD140" t="e">
        <f>AND('Planilla_General_03-12-2012_9_3'!A2230,"AAAAAHfvvlE=")</f>
        <v>#VALUE!</v>
      </c>
      <c r="CE140" t="e">
        <f>AND('Planilla_General_03-12-2012_9_3'!B2230,"AAAAAHfvvlI=")</f>
        <v>#VALUE!</v>
      </c>
      <c r="CF140" t="e">
        <f>AND('Planilla_General_03-12-2012_9_3'!C2230,"AAAAAHfvvlM=")</f>
        <v>#VALUE!</v>
      </c>
      <c r="CG140" t="e">
        <f>AND('Planilla_General_03-12-2012_9_3'!D2230,"AAAAAHfvvlQ=")</f>
        <v>#VALUE!</v>
      </c>
      <c r="CH140" t="e">
        <f>AND('Planilla_General_03-12-2012_9_3'!E2230,"AAAAAHfvvlU=")</f>
        <v>#VALUE!</v>
      </c>
      <c r="CI140" t="e">
        <f>AND('Planilla_General_03-12-2012_9_3'!F2230,"AAAAAHfvvlY=")</f>
        <v>#VALUE!</v>
      </c>
      <c r="CJ140" t="e">
        <f>AND('Planilla_General_03-12-2012_9_3'!G2230,"AAAAAHfvvlc=")</f>
        <v>#VALUE!</v>
      </c>
      <c r="CK140" t="e">
        <f>AND('Planilla_General_03-12-2012_9_3'!H2230,"AAAAAHfvvlg=")</f>
        <v>#VALUE!</v>
      </c>
      <c r="CL140" t="e">
        <f>AND('Planilla_General_03-12-2012_9_3'!I2230,"AAAAAHfvvlk=")</f>
        <v>#VALUE!</v>
      </c>
      <c r="CM140" t="e">
        <f>AND('Planilla_General_03-12-2012_9_3'!J2230,"AAAAAHfvvlo=")</f>
        <v>#VALUE!</v>
      </c>
      <c r="CN140" t="e">
        <f>AND('Planilla_General_03-12-2012_9_3'!K2230,"AAAAAHfvvls=")</f>
        <v>#VALUE!</v>
      </c>
      <c r="CO140" t="e">
        <f>AND('Planilla_General_03-12-2012_9_3'!L2230,"AAAAAHfvvlw=")</f>
        <v>#VALUE!</v>
      </c>
      <c r="CP140" t="e">
        <f>AND('Planilla_General_03-12-2012_9_3'!M2230,"AAAAAHfvvl0=")</f>
        <v>#VALUE!</v>
      </c>
      <c r="CQ140" t="e">
        <f>AND('Planilla_General_03-12-2012_9_3'!N2230,"AAAAAHfvvl4=")</f>
        <v>#VALUE!</v>
      </c>
      <c r="CR140" t="e">
        <f>AND('Planilla_General_03-12-2012_9_3'!O2230,"AAAAAHfvvl8=")</f>
        <v>#VALUE!</v>
      </c>
      <c r="CS140">
        <f>IF('Planilla_General_03-12-2012_9_3'!2231:2231,"AAAAAHfvvmA=",0)</f>
        <v>0</v>
      </c>
      <c r="CT140" t="e">
        <f>AND('Planilla_General_03-12-2012_9_3'!A2231,"AAAAAHfvvmE=")</f>
        <v>#VALUE!</v>
      </c>
      <c r="CU140" t="e">
        <f>AND('Planilla_General_03-12-2012_9_3'!B2231,"AAAAAHfvvmI=")</f>
        <v>#VALUE!</v>
      </c>
      <c r="CV140" t="e">
        <f>AND('Planilla_General_03-12-2012_9_3'!C2231,"AAAAAHfvvmM=")</f>
        <v>#VALUE!</v>
      </c>
      <c r="CW140" t="e">
        <f>AND('Planilla_General_03-12-2012_9_3'!D2231,"AAAAAHfvvmQ=")</f>
        <v>#VALUE!</v>
      </c>
      <c r="CX140" t="e">
        <f>AND('Planilla_General_03-12-2012_9_3'!E2231,"AAAAAHfvvmU=")</f>
        <v>#VALUE!</v>
      </c>
      <c r="CY140" t="e">
        <f>AND('Planilla_General_03-12-2012_9_3'!F2231,"AAAAAHfvvmY=")</f>
        <v>#VALUE!</v>
      </c>
      <c r="CZ140" t="e">
        <f>AND('Planilla_General_03-12-2012_9_3'!G2231,"AAAAAHfvvmc=")</f>
        <v>#VALUE!</v>
      </c>
      <c r="DA140" t="e">
        <f>AND('Planilla_General_03-12-2012_9_3'!H2231,"AAAAAHfvvmg=")</f>
        <v>#VALUE!</v>
      </c>
      <c r="DB140" t="e">
        <f>AND('Planilla_General_03-12-2012_9_3'!I2231,"AAAAAHfvvmk=")</f>
        <v>#VALUE!</v>
      </c>
      <c r="DC140" t="e">
        <f>AND('Planilla_General_03-12-2012_9_3'!J2231,"AAAAAHfvvmo=")</f>
        <v>#VALUE!</v>
      </c>
      <c r="DD140" t="e">
        <f>AND('Planilla_General_03-12-2012_9_3'!K2231,"AAAAAHfvvms=")</f>
        <v>#VALUE!</v>
      </c>
      <c r="DE140" t="e">
        <f>AND('Planilla_General_03-12-2012_9_3'!L2231,"AAAAAHfvvmw=")</f>
        <v>#VALUE!</v>
      </c>
      <c r="DF140" t="e">
        <f>AND('Planilla_General_03-12-2012_9_3'!M2231,"AAAAAHfvvm0=")</f>
        <v>#VALUE!</v>
      </c>
      <c r="DG140" t="e">
        <f>AND('Planilla_General_03-12-2012_9_3'!N2231,"AAAAAHfvvm4=")</f>
        <v>#VALUE!</v>
      </c>
      <c r="DH140" t="e">
        <f>AND('Planilla_General_03-12-2012_9_3'!O2231,"AAAAAHfvvm8=")</f>
        <v>#VALUE!</v>
      </c>
      <c r="DI140">
        <f>IF('Planilla_General_03-12-2012_9_3'!2232:2232,"AAAAAHfvvnA=",0)</f>
        <v>0</v>
      </c>
      <c r="DJ140" t="e">
        <f>AND('Planilla_General_03-12-2012_9_3'!A2232,"AAAAAHfvvnE=")</f>
        <v>#VALUE!</v>
      </c>
      <c r="DK140" t="e">
        <f>AND('Planilla_General_03-12-2012_9_3'!B2232,"AAAAAHfvvnI=")</f>
        <v>#VALUE!</v>
      </c>
      <c r="DL140" t="e">
        <f>AND('Planilla_General_03-12-2012_9_3'!C2232,"AAAAAHfvvnM=")</f>
        <v>#VALUE!</v>
      </c>
      <c r="DM140" t="e">
        <f>AND('Planilla_General_03-12-2012_9_3'!D2232,"AAAAAHfvvnQ=")</f>
        <v>#VALUE!</v>
      </c>
      <c r="DN140" t="e">
        <f>AND('Planilla_General_03-12-2012_9_3'!E2232,"AAAAAHfvvnU=")</f>
        <v>#VALUE!</v>
      </c>
      <c r="DO140" t="e">
        <f>AND('Planilla_General_03-12-2012_9_3'!F2232,"AAAAAHfvvnY=")</f>
        <v>#VALUE!</v>
      </c>
      <c r="DP140" t="e">
        <f>AND('Planilla_General_03-12-2012_9_3'!G2232,"AAAAAHfvvnc=")</f>
        <v>#VALUE!</v>
      </c>
      <c r="DQ140" t="e">
        <f>AND('Planilla_General_03-12-2012_9_3'!H2232,"AAAAAHfvvng=")</f>
        <v>#VALUE!</v>
      </c>
      <c r="DR140" t="e">
        <f>AND('Planilla_General_03-12-2012_9_3'!I2232,"AAAAAHfvvnk=")</f>
        <v>#VALUE!</v>
      </c>
      <c r="DS140" t="e">
        <f>AND('Planilla_General_03-12-2012_9_3'!J2232,"AAAAAHfvvno=")</f>
        <v>#VALUE!</v>
      </c>
      <c r="DT140" t="e">
        <f>AND('Planilla_General_03-12-2012_9_3'!K2232,"AAAAAHfvvns=")</f>
        <v>#VALUE!</v>
      </c>
      <c r="DU140" t="e">
        <f>AND('Planilla_General_03-12-2012_9_3'!L2232,"AAAAAHfvvnw=")</f>
        <v>#VALUE!</v>
      </c>
      <c r="DV140" t="e">
        <f>AND('Planilla_General_03-12-2012_9_3'!M2232,"AAAAAHfvvn0=")</f>
        <v>#VALUE!</v>
      </c>
      <c r="DW140" t="e">
        <f>AND('Planilla_General_03-12-2012_9_3'!N2232,"AAAAAHfvvn4=")</f>
        <v>#VALUE!</v>
      </c>
      <c r="DX140" t="e">
        <f>AND('Planilla_General_03-12-2012_9_3'!O2232,"AAAAAHfvvn8=")</f>
        <v>#VALUE!</v>
      </c>
      <c r="DY140">
        <f>IF('Planilla_General_03-12-2012_9_3'!2233:2233,"AAAAAHfvvoA=",0)</f>
        <v>0</v>
      </c>
      <c r="DZ140" t="e">
        <f>AND('Planilla_General_03-12-2012_9_3'!A2233,"AAAAAHfvvoE=")</f>
        <v>#VALUE!</v>
      </c>
      <c r="EA140" t="e">
        <f>AND('Planilla_General_03-12-2012_9_3'!B2233,"AAAAAHfvvoI=")</f>
        <v>#VALUE!</v>
      </c>
      <c r="EB140" t="e">
        <f>AND('Planilla_General_03-12-2012_9_3'!C2233,"AAAAAHfvvoM=")</f>
        <v>#VALUE!</v>
      </c>
      <c r="EC140" t="e">
        <f>AND('Planilla_General_03-12-2012_9_3'!D2233,"AAAAAHfvvoQ=")</f>
        <v>#VALUE!</v>
      </c>
      <c r="ED140" t="e">
        <f>AND('Planilla_General_03-12-2012_9_3'!E2233,"AAAAAHfvvoU=")</f>
        <v>#VALUE!</v>
      </c>
      <c r="EE140" t="e">
        <f>AND('Planilla_General_03-12-2012_9_3'!F2233,"AAAAAHfvvoY=")</f>
        <v>#VALUE!</v>
      </c>
      <c r="EF140" t="e">
        <f>AND('Planilla_General_03-12-2012_9_3'!G2233,"AAAAAHfvvoc=")</f>
        <v>#VALUE!</v>
      </c>
      <c r="EG140" t="e">
        <f>AND('Planilla_General_03-12-2012_9_3'!H2233,"AAAAAHfvvog=")</f>
        <v>#VALUE!</v>
      </c>
      <c r="EH140" t="e">
        <f>AND('Planilla_General_03-12-2012_9_3'!I2233,"AAAAAHfvvok=")</f>
        <v>#VALUE!</v>
      </c>
      <c r="EI140" t="e">
        <f>AND('Planilla_General_03-12-2012_9_3'!J2233,"AAAAAHfvvoo=")</f>
        <v>#VALUE!</v>
      </c>
      <c r="EJ140" t="e">
        <f>AND('Planilla_General_03-12-2012_9_3'!K2233,"AAAAAHfvvos=")</f>
        <v>#VALUE!</v>
      </c>
      <c r="EK140" t="e">
        <f>AND('Planilla_General_03-12-2012_9_3'!L2233,"AAAAAHfvvow=")</f>
        <v>#VALUE!</v>
      </c>
      <c r="EL140" t="e">
        <f>AND('Planilla_General_03-12-2012_9_3'!M2233,"AAAAAHfvvo0=")</f>
        <v>#VALUE!</v>
      </c>
      <c r="EM140" t="e">
        <f>AND('Planilla_General_03-12-2012_9_3'!N2233,"AAAAAHfvvo4=")</f>
        <v>#VALUE!</v>
      </c>
      <c r="EN140" t="e">
        <f>AND('Planilla_General_03-12-2012_9_3'!O2233,"AAAAAHfvvo8=")</f>
        <v>#VALUE!</v>
      </c>
      <c r="EO140">
        <f>IF('Planilla_General_03-12-2012_9_3'!2234:2234,"AAAAAHfvvpA=",0)</f>
        <v>0</v>
      </c>
      <c r="EP140" t="e">
        <f>AND('Planilla_General_03-12-2012_9_3'!A2234,"AAAAAHfvvpE=")</f>
        <v>#VALUE!</v>
      </c>
      <c r="EQ140" t="e">
        <f>AND('Planilla_General_03-12-2012_9_3'!B2234,"AAAAAHfvvpI=")</f>
        <v>#VALUE!</v>
      </c>
      <c r="ER140" t="e">
        <f>AND('Planilla_General_03-12-2012_9_3'!C2234,"AAAAAHfvvpM=")</f>
        <v>#VALUE!</v>
      </c>
      <c r="ES140" t="e">
        <f>AND('Planilla_General_03-12-2012_9_3'!D2234,"AAAAAHfvvpQ=")</f>
        <v>#VALUE!</v>
      </c>
      <c r="ET140" t="e">
        <f>AND('Planilla_General_03-12-2012_9_3'!E2234,"AAAAAHfvvpU=")</f>
        <v>#VALUE!</v>
      </c>
      <c r="EU140" t="e">
        <f>AND('Planilla_General_03-12-2012_9_3'!F2234,"AAAAAHfvvpY=")</f>
        <v>#VALUE!</v>
      </c>
      <c r="EV140" t="e">
        <f>AND('Planilla_General_03-12-2012_9_3'!G2234,"AAAAAHfvvpc=")</f>
        <v>#VALUE!</v>
      </c>
      <c r="EW140" t="e">
        <f>AND('Planilla_General_03-12-2012_9_3'!H2234,"AAAAAHfvvpg=")</f>
        <v>#VALUE!</v>
      </c>
      <c r="EX140" t="e">
        <f>AND('Planilla_General_03-12-2012_9_3'!I2234,"AAAAAHfvvpk=")</f>
        <v>#VALUE!</v>
      </c>
      <c r="EY140" t="e">
        <f>AND('Planilla_General_03-12-2012_9_3'!J2234,"AAAAAHfvvpo=")</f>
        <v>#VALUE!</v>
      </c>
      <c r="EZ140" t="e">
        <f>AND('Planilla_General_03-12-2012_9_3'!K2234,"AAAAAHfvvps=")</f>
        <v>#VALUE!</v>
      </c>
      <c r="FA140" t="e">
        <f>AND('Planilla_General_03-12-2012_9_3'!L2234,"AAAAAHfvvpw=")</f>
        <v>#VALUE!</v>
      </c>
      <c r="FB140" t="e">
        <f>AND('Planilla_General_03-12-2012_9_3'!M2234,"AAAAAHfvvp0=")</f>
        <v>#VALUE!</v>
      </c>
      <c r="FC140" t="e">
        <f>AND('Planilla_General_03-12-2012_9_3'!N2234,"AAAAAHfvvp4=")</f>
        <v>#VALUE!</v>
      </c>
      <c r="FD140" t="e">
        <f>AND('Planilla_General_03-12-2012_9_3'!O2234,"AAAAAHfvvp8=")</f>
        <v>#VALUE!</v>
      </c>
      <c r="FE140">
        <f>IF('Planilla_General_03-12-2012_9_3'!2235:2235,"AAAAAHfvvqA=",0)</f>
        <v>0</v>
      </c>
      <c r="FF140" t="e">
        <f>AND('Planilla_General_03-12-2012_9_3'!A2235,"AAAAAHfvvqE=")</f>
        <v>#VALUE!</v>
      </c>
      <c r="FG140" t="e">
        <f>AND('Planilla_General_03-12-2012_9_3'!B2235,"AAAAAHfvvqI=")</f>
        <v>#VALUE!</v>
      </c>
      <c r="FH140" t="e">
        <f>AND('Planilla_General_03-12-2012_9_3'!C2235,"AAAAAHfvvqM=")</f>
        <v>#VALUE!</v>
      </c>
      <c r="FI140" t="e">
        <f>AND('Planilla_General_03-12-2012_9_3'!D2235,"AAAAAHfvvqQ=")</f>
        <v>#VALUE!</v>
      </c>
      <c r="FJ140" t="e">
        <f>AND('Planilla_General_03-12-2012_9_3'!E2235,"AAAAAHfvvqU=")</f>
        <v>#VALUE!</v>
      </c>
      <c r="FK140" t="e">
        <f>AND('Planilla_General_03-12-2012_9_3'!F2235,"AAAAAHfvvqY=")</f>
        <v>#VALUE!</v>
      </c>
      <c r="FL140" t="e">
        <f>AND('Planilla_General_03-12-2012_9_3'!G2235,"AAAAAHfvvqc=")</f>
        <v>#VALUE!</v>
      </c>
      <c r="FM140" t="e">
        <f>AND('Planilla_General_03-12-2012_9_3'!H2235,"AAAAAHfvvqg=")</f>
        <v>#VALUE!</v>
      </c>
      <c r="FN140" t="e">
        <f>AND('Planilla_General_03-12-2012_9_3'!I2235,"AAAAAHfvvqk=")</f>
        <v>#VALUE!</v>
      </c>
      <c r="FO140" t="e">
        <f>AND('Planilla_General_03-12-2012_9_3'!J2235,"AAAAAHfvvqo=")</f>
        <v>#VALUE!</v>
      </c>
      <c r="FP140" t="e">
        <f>AND('Planilla_General_03-12-2012_9_3'!K2235,"AAAAAHfvvqs=")</f>
        <v>#VALUE!</v>
      </c>
      <c r="FQ140" t="e">
        <f>AND('Planilla_General_03-12-2012_9_3'!L2235,"AAAAAHfvvqw=")</f>
        <v>#VALUE!</v>
      </c>
      <c r="FR140" t="e">
        <f>AND('Planilla_General_03-12-2012_9_3'!M2235,"AAAAAHfvvq0=")</f>
        <v>#VALUE!</v>
      </c>
      <c r="FS140" t="e">
        <f>AND('Planilla_General_03-12-2012_9_3'!N2235,"AAAAAHfvvq4=")</f>
        <v>#VALUE!</v>
      </c>
      <c r="FT140" t="e">
        <f>AND('Planilla_General_03-12-2012_9_3'!O2235,"AAAAAHfvvq8=")</f>
        <v>#VALUE!</v>
      </c>
      <c r="FU140">
        <f>IF('Planilla_General_03-12-2012_9_3'!2236:2236,"AAAAAHfvvrA=",0)</f>
        <v>0</v>
      </c>
      <c r="FV140" t="e">
        <f>AND('Planilla_General_03-12-2012_9_3'!A2236,"AAAAAHfvvrE=")</f>
        <v>#VALUE!</v>
      </c>
      <c r="FW140" t="e">
        <f>AND('Planilla_General_03-12-2012_9_3'!B2236,"AAAAAHfvvrI=")</f>
        <v>#VALUE!</v>
      </c>
      <c r="FX140" t="e">
        <f>AND('Planilla_General_03-12-2012_9_3'!C2236,"AAAAAHfvvrM=")</f>
        <v>#VALUE!</v>
      </c>
      <c r="FY140" t="e">
        <f>AND('Planilla_General_03-12-2012_9_3'!D2236,"AAAAAHfvvrQ=")</f>
        <v>#VALUE!</v>
      </c>
      <c r="FZ140" t="e">
        <f>AND('Planilla_General_03-12-2012_9_3'!E2236,"AAAAAHfvvrU=")</f>
        <v>#VALUE!</v>
      </c>
      <c r="GA140" t="e">
        <f>AND('Planilla_General_03-12-2012_9_3'!F2236,"AAAAAHfvvrY=")</f>
        <v>#VALUE!</v>
      </c>
      <c r="GB140" t="e">
        <f>AND('Planilla_General_03-12-2012_9_3'!G2236,"AAAAAHfvvrc=")</f>
        <v>#VALUE!</v>
      </c>
      <c r="GC140" t="e">
        <f>AND('Planilla_General_03-12-2012_9_3'!H2236,"AAAAAHfvvrg=")</f>
        <v>#VALUE!</v>
      </c>
      <c r="GD140" t="e">
        <f>AND('Planilla_General_03-12-2012_9_3'!I2236,"AAAAAHfvvrk=")</f>
        <v>#VALUE!</v>
      </c>
      <c r="GE140" t="e">
        <f>AND('Planilla_General_03-12-2012_9_3'!J2236,"AAAAAHfvvro=")</f>
        <v>#VALUE!</v>
      </c>
      <c r="GF140" t="e">
        <f>AND('Planilla_General_03-12-2012_9_3'!K2236,"AAAAAHfvvrs=")</f>
        <v>#VALUE!</v>
      </c>
      <c r="GG140" t="e">
        <f>AND('Planilla_General_03-12-2012_9_3'!L2236,"AAAAAHfvvrw=")</f>
        <v>#VALUE!</v>
      </c>
      <c r="GH140" t="e">
        <f>AND('Planilla_General_03-12-2012_9_3'!M2236,"AAAAAHfvvr0=")</f>
        <v>#VALUE!</v>
      </c>
      <c r="GI140" t="e">
        <f>AND('Planilla_General_03-12-2012_9_3'!N2236,"AAAAAHfvvr4=")</f>
        <v>#VALUE!</v>
      </c>
      <c r="GJ140" t="e">
        <f>AND('Planilla_General_03-12-2012_9_3'!O2236,"AAAAAHfvvr8=")</f>
        <v>#VALUE!</v>
      </c>
      <c r="GK140">
        <f>IF('Planilla_General_03-12-2012_9_3'!2237:2237,"AAAAAHfvvsA=",0)</f>
        <v>0</v>
      </c>
      <c r="GL140" t="e">
        <f>AND('Planilla_General_03-12-2012_9_3'!A2237,"AAAAAHfvvsE=")</f>
        <v>#VALUE!</v>
      </c>
      <c r="GM140" t="e">
        <f>AND('Planilla_General_03-12-2012_9_3'!B2237,"AAAAAHfvvsI=")</f>
        <v>#VALUE!</v>
      </c>
      <c r="GN140" t="e">
        <f>AND('Planilla_General_03-12-2012_9_3'!C2237,"AAAAAHfvvsM=")</f>
        <v>#VALUE!</v>
      </c>
      <c r="GO140" t="e">
        <f>AND('Planilla_General_03-12-2012_9_3'!D2237,"AAAAAHfvvsQ=")</f>
        <v>#VALUE!</v>
      </c>
      <c r="GP140" t="e">
        <f>AND('Planilla_General_03-12-2012_9_3'!E2237,"AAAAAHfvvsU=")</f>
        <v>#VALUE!</v>
      </c>
      <c r="GQ140" t="e">
        <f>AND('Planilla_General_03-12-2012_9_3'!F2237,"AAAAAHfvvsY=")</f>
        <v>#VALUE!</v>
      </c>
      <c r="GR140" t="e">
        <f>AND('Planilla_General_03-12-2012_9_3'!G2237,"AAAAAHfvvsc=")</f>
        <v>#VALUE!</v>
      </c>
      <c r="GS140" t="e">
        <f>AND('Planilla_General_03-12-2012_9_3'!H2237,"AAAAAHfvvsg=")</f>
        <v>#VALUE!</v>
      </c>
      <c r="GT140" t="e">
        <f>AND('Planilla_General_03-12-2012_9_3'!I2237,"AAAAAHfvvsk=")</f>
        <v>#VALUE!</v>
      </c>
      <c r="GU140" t="e">
        <f>AND('Planilla_General_03-12-2012_9_3'!J2237,"AAAAAHfvvso=")</f>
        <v>#VALUE!</v>
      </c>
      <c r="GV140" t="e">
        <f>AND('Planilla_General_03-12-2012_9_3'!K2237,"AAAAAHfvvss=")</f>
        <v>#VALUE!</v>
      </c>
      <c r="GW140" t="e">
        <f>AND('Planilla_General_03-12-2012_9_3'!L2237,"AAAAAHfvvsw=")</f>
        <v>#VALUE!</v>
      </c>
      <c r="GX140" t="e">
        <f>AND('Planilla_General_03-12-2012_9_3'!M2237,"AAAAAHfvvs0=")</f>
        <v>#VALUE!</v>
      </c>
      <c r="GY140" t="e">
        <f>AND('Planilla_General_03-12-2012_9_3'!N2237,"AAAAAHfvvs4=")</f>
        <v>#VALUE!</v>
      </c>
      <c r="GZ140" t="e">
        <f>AND('Planilla_General_03-12-2012_9_3'!O2237,"AAAAAHfvvs8=")</f>
        <v>#VALUE!</v>
      </c>
      <c r="HA140">
        <f>IF('Planilla_General_03-12-2012_9_3'!2238:2238,"AAAAAHfvvtA=",0)</f>
        <v>0</v>
      </c>
      <c r="HB140" t="e">
        <f>AND('Planilla_General_03-12-2012_9_3'!A2238,"AAAAAHfvvtE=")</f>
        <v>#VALUE!</v>
      </c>
      <c r="HC140" t="e">
        <f>AND('Planilla_General_03-12-2012_9_3'!B2238,"AAAAAHfvvtI=")</f>
        <v>#VALUE!</v>
      </c>
      <c r="HD140" t="e">
        <f>AND('Planilla_General_03-12-2012_9_3'!C2238,"AAAAAHfvvtM=")</f>
        <v>#VALUE!</v>
      </c>
      <c r="HE140" t="e">
        <f>AND('Planilla_General_03-12-2012_9_3'!D2238,"AAAAAHfvvtQ=")</f>
        <v>#VALUE!</v>
      </c>
      <c r="HF140" t="e">
        <f>AND('Planilla_General_03-12-2012_9_3'!E2238,"AAAAAHfvvtU=")</f>
        <v>#VALUE!</v>
      </c>
      <c r="HG140" t="e">
        <f>AND('Planilla_General_03-12-2012_9_3'!F2238,"AAAAAHfvvtY=")</f>
        <v>#VALUE!</v>
      </c>
      <c r="HH140" t="e">
        <f>AND('Planilla_General_03-12-2012_9_3'!G2238,"AAAAAHfvvtc=")</f>
        <v>#VALUE!</v>
      </c>
      <c r="HI140" t="e">
        <f>AND('Planilla_General_03-12-2012_9_3'!H2238,"AAAAAHfvvtg=")</f>
        <v>#VALUE!</v>
      </c>
      <c r="HJ140" t="e">
        <f>AND('Planilla_General_03-12-2012_9_3'!I2238,"AAAAAHfvvtk=")</f>
        <v>#VALUE!</v>
      </c>
      <c r="HK140" t="e">
        <f>AND('Planilla_General_03-12-2012_9_3'!J2238,"AAAAAHfvvto=")</f>
        <v>#VALUE!</v>
      </c>
      <c r="HL140" t="e">
        <f>AND('Planilla_General_03-12-2012_9_3'!K2238,"AAAAAHfvvts=")</f>
        <v>#VALUE!</v>
      </c>
      <c r="HM140" t="e">
        <f>AND('Planilla_General_03-12-2012_9_3'!L2238,"AAAAAHfvvtw=")</f>
        <v>#VALUE!</v>
      </c>
      <c r="HN140" t="e">
        <f>AND('Planilla_General_03-12-2012_9_3'!M2238,"AAAAAHfvvt0=")</f>
        <v>#VALUE!</v>
      </c>
      <c r="HO140" t="e">
        <f>AND('Planilla_General_03-12-2012_9_3'!N2238,"AAAAAHfvvt4=")</f>
        <v>#VALUE!</v>
      </c>
      <c r="HP140" t="e">
        <f>AND('Planilla_General_03-12-2012_9_3'!O2238,"AAAAAHfvvt8=")</f>
        <v>#VALUE!</v>
      </c>
      <c r="HQ140">
        <f>IF('Planilla_General_03-12-2012_9_3'!2239:2239,"AAAAAHfvvuA=",0)</f>
        <v>0</v>
      </c>
      <c r="HR140" t="e">
        <f>AND('Planilla_General_03-12-2012_9_3'!A2239,"AAAAAHfvvuE=")</f>
        <v>#VALUE!</v>
      </c>
      <c r="HS140" t="e">
        <f>AND('Planilla_General_03-12-2012_9_3'!B2239,"AAAAAHfvvuI=")</f>
        <v>#VALUE!</v>
      </c>
      <c r="HT140" t="e">
        <f>AND('Planilla_General_03-12-2012_9_3'!C2239,"AAAAAHfvvuM=")</f>
        <v>#VALUE!</v>
      </c>
      <c r="HU140" t="e">
        <f>AND('Planilla_General_03-12-2012_9_3'!D2239,"AAAAAHfvvuQ=")</f>
        <v>#VALUE!</v>
      </c>
      <c r="HV140" t="e">
        <f>AND('Planilla_General_03-12-2012_9_3'!E2239,"AAAAAHfvvuU=")</f>
        <v>#VALUE!</v>
      </c>
      <c r="HW140" t="e">
        <f>AND('Planilla_General_03-12-2012_9_3'!F2239,"AAAAAHfvvuY=")</f>
        <v>#VALUE!</v>
      </c>
      <c r="HX140" t="e">
        <f>AND('Planilla_General_03-12-2012_9_3'!G2239,"AAAAAHfvvuc=")</f>
        <v>#VALUE!</v>
      </c>
      <c r="HY140" t="e">
        <f>AND('Planilla_General_03-12-2012_9_3'!H2239,"AAAAAHfvvug=")</f>
        <v>#VALUE!</v>
      </c>
      <c r="HZ140" t="e">
        <f>AND('Planilla_General_03-12-2012_9_3'!I2239,"AAAAAHfvvuk=")</f>
        <v>#VALUE!</v>
      </c>
      <c r="IA140" t="e">
        <f>AND('Planilla_General_03-12-2012_9_3'!J2239,"AAAAAHfvvuo=")</f>
        <v>#VALUE!</v>
      </c>
      <c r="IB140" t="e">
        <f>AND('Planilla_General_03-12-2012_9_3'!K2239,"AAAAAHfvvus=")</f>
        <v>#VALUE!</v>
      </c>
      <c r="IC140" t="e">
        <f>AND('Planilla_General_03-12-2012_9_3'!L2239,"AAAAAHfvvuw=")</f>
        <v>#VALUE!</v>
      </c>
      <c r="ID140" t="e">
        <f>AND('Planilla_General_03-12-2012_9_3'!M2239,"AAAAAHfvvu0=")</f>
        <v>#VALUE!</v>
      </c>
      <c r="IE140" t="e">
        <f>AND('Planilla_General_03-12-2012_9_3'!N2239,"AAAAAHfvvu4=")</f>
        <v>#VALUE!</v>
      </c>
      <c r="IF140" t="e">
        <f>AND('Planilla_General_03-12-2012_9_3'!O2239,"AAAAAHfvvu8=")</f>
        <v>#VALUE!</v>
      </c>
      <c r="IG140">
        <f>IF('Planilla_General_03-12-2012_9_3'!2240:2240,"AAAAAHfvvvA=",0)</f>
        <v>0</v>
      </c>
      <c r="IH140" t="e">
        <f>AND('Planilla_General_03-12-2012_9_3'!A2240,"AAAAAHfvvvE=")</f>
        <v>#VALUE!</v>
      </c>
      <c r="II140" t="e">
        <f>AND('Planilla_General_03-12-2012_9_3'!B2240,"AAAAAHfvvvI=")</f>
        <v>#VALUE!</v>
      </c>
      <c r="IJ140" t="e">
        <f>AND('Planilla_General_03-12-2012_9_3'!C2240,"AAAAAHfvvvM=")</f>
        <v>#VALUE!</v>
      </c>
      <c r="IK140" t="e">
        <f>AND('Planilla_General_03-12-2012_9_3'!D2240,"AAAAAHfvvvQ=")</f>
        <v>#VALUE!</v>
      </c>
      <c r="IL140" t="e">
        <f>AND('Planilla_General_03-12-2012_9_3'!E2240,"AAAAAHfvvvU=")</f>
        <v>#VALUE!</v>
      </c>
      <c r="IM140" t="e">
        <f>AND('Planilla_General_03-12-2012_9_3'!F2240,"AAAAAHfvvvY=")</f>
        <v>#VALUE!</v>
      </c>
      <c r="IN140" t="e">
        <f>AND('Planilla_General_03-12-2012_9_3'!G2240,"AAAAAHfvvvc=")</f>
        <v>#VALUE!</v>
      </c>
      <c r="IO140" t="e">
        <f>AND('Planilla_General_03-12-2012_9_3'!H2240,"AAAAAHfvvvg=")</f>
        <v>#VALUE!</v>
      </c>
      <c r="IP140" t="e">
        <f>AND('Planilla_General_03-12-2012_9_3'!I2240,"AAAAAHfvvvk=")</f>
        <v>#VALUE!</v>
      </c>
      <c r="IQ140" t="e">
        <f>AND('Planilla_General_03-12-2012_9_3'!J2240,"AAAAAHfvvvo=")</f>
        <v>#VALUE!</v>
      </c>
      <c r="IR140" t="e">
        <f>AND('Planilla_General_03-12-2012_9_3'!K2240,"AAAAAHfvvvs=")</f>
        <v>#VALUE!</v>
      </c>
      <c r="IS140" t="e">
        <f>AND('Planilla_General_03-12-2012_9_3'!L2240,"AAAAAHfvvvw=")</f>
        <v>#VALUE!</v>
      </c>
      <c r="IT140" t="e">
        <f>AND('Planilla_General_03-12-2012_9_3'!M2240,"AAAAAHfvvv0=")</f>
        <v>#VALUE!</v>
      </c>
      <c r="IU140" t="e">
        <f>AND('Planilla_General_03-12-2012_9_3'!N2240,"AAAAAHfvvv4=")</f>
        <v>#VALUE!</v>
      </c>
      <c r="IV140" t="e">
        <f>AND('Planilla_General_03-12-2012_9_3'!O2240,"AAAAAHfvvv8=")</f>
        <v>#VALUE!</v>
      </c>
    </row>
    <row r="141" spans="1:256" x14ac:dyDescent="0.25">
      <c r="A141" t="e">
        <f>IF('Planilla_General_03-12-2012_9_3'!2241:2241,"AAAAACr/2wA=",0)</f>
        <v>#VALUE!</v>
      </c>
      <c r="B141" t="e">
        <f>AND('Planilla_General_03-12-2012_9_3'!A2241,"AAAAACr/2wE=")</f>
        <v>#VALUE!</v>
      </c>
      <c r="C141" t="e">
        <f>AND('Planilla_General_03-12-2012_9_3'!B2241,"AAAAACr/2wI=")</f>
        <v>#VALUE!</v>
      </c>
      <c r="D141" t="e">
        <f>AND('Planilla_General_03-12-2012_9_3'!C2241,"AAAAACr/2wM=")</f>
        <v>#VALUE!</v>
      </c>
      <c r="E141" t="e">
        <f>AND('Planilla_General_03-12-2012_9_3'!D2241,"AAAAACr/2wQ=")</f>
        <v>#VALUE!</v>
      </c>
      <c r="F141" t="e">
        <f>AND('Planilla_General_03-12-2012_9_3'!E2241,"AAAAACr/2wU=")</f>
        <v>#VALUE!</v>
      </c>
      <c r="G141" t="e">
        <f>AND('Planilla_General_03-12-2012_9_3'!F2241,"AAAAACr/2wY=")</f>
        <v>#VALUE!</v>
      </c>
      <c r="H141" t="e">
        <f>AND('Planilla_General_03-12-2012_9_3'!G2241,"AAAAACr/2wc=")</f>
        <v>#VALUE!</v>
      </c>
      <c r="I141" t="e">
        <f>AND('Planilla_General_03-12-2012_9_3'!H2241,"AAAAACr/2wg=")</f>
        <v>#VALUE!</v>
      </c>
      <c r="J141" t="e">
        <f>AND('Planilla_General_03-12-2012_9_3'!I2241,"AAAAACr/2wk=")</f>
        <v>#VALUE!</v>
      </c>
      <c r="K141" t="e">
        <f>AND('Planilla_General_03-12-2012_9_3'!J2241,"AAAAACr/2wo=")</f>
        <v>#VALUE!</v>
      </c>
      <c r="L141" t="e">
        <f>AND('Planilla_General_03-12-2012_9_3'!K2241,"AAAAACr/2ws=")</f>
        <v>#VALUE!</v>
      </c>
      <c r="M141" t="e">
        <f>AND('Planilla_General_03-12-2012_9_3'!L2241,"AAAAACr/2ww=")</f>
        <v>#VALUE!</v>
      </c>
      <c r="N141" t="e">
        <f>AND('Planilla_General_03-12-2012_9_3'!M2241,"AAAAACr/2w0=")</f>
        <v>#VALUE!</v>
      </c>
      <c r="O141" t="e">
        <f>AND('Planilla_General_03-12-2012_9_3'!N2241,"AAAAACr/2w4=")</f>
        <v>#VALUE!</v>
      </c>
      <c r="P141" t="e">
        <f>AND('Planilla_General_03-12-2012_9_3'!O2241,"AAAAACr/2w8=")</f>
        <v>#VALUE!</v>
      </c>
      <c r="Q141">
        <f>IF('Planilla_General_03-12-2012_9_3'!2242:2242,"AAAAACr/2xA=",0)</f>
        <v>0</v>
      </c>
      <c r="R141" t="e">
        <f>AND('Planilla_General_03-12-2012_9_3'!A2242,"AAAAACr/2xE=")</f>
        <v>#VALUE!</v>
      </c>
      <c r="S141" t="e">
        <f>AND('Planilla_General_03-12-2012_9_3'!B2242,"AAAAACr/2xI=")</f>
        <v>#VALUE!</v>
      </c>
      <c r="T141" t="e">
        <f>AND('Planilla_General_03-12-2012_9_3'!C2242,"AAAAACr/2xM=")</f>
        <v>#VALUE!</v>
      </c>
      <c r="U141" t="e">
        <f>AND('Planilla_General_03-12-2012_9_3'!D2242,"AAAAACr/2xQ=")</f>
        <v>#VALUE!</v>
      </c>
      <c r="V141" t="e">
        <f>AND('Planilla_General_03-12-2012_9_3'!E2242,"AAAAACr/2xU=")</f>
        <v>#VALUE!</v>
      </c>
      <c r="W141" t="e">
        <f>AND('Planilla_General_03-12-2012_9_3'!F2242,"AAAAACr/2xY=")</f>
        <v>#VALUE!</v>
      </c>
      <c r="X141" t="e">
        <f>AND('Planilla_General_03-12-2012_9_3'!G2242,"AAAAACr/2xc=")</f>
        <v>#VALUE!</v>
      </c>
      <c r="Y141" t="e">
        <f>AND('Planilla_General_03-12-2012_9_3'!H2242,"AAAAACr/2xg=")</f>
        <v>#VALUE!</v>
      </c>
      <c r="Z141" t="e">
        <f>AND('Planilla_General_03-12-2012_9_3'!I2242,"AAAAACr/2xk=")</f>
        <v>#VALUE!</v>
      </c>
      <c r="AA141" t="e">
        <f>AND('Planilla_General_03-12-2012_9_3'!J2242,"AAAAACr/2xo=")</f>
        <v>#VALUE!</v>
      </c>
      <c r="AB141" t="e">
        <f>AND('Planilla_General_03-12-2012_9_3'!K2242,"AAAAACr/2xs=")</f>
        <v>#VALUE!</v>
      </c>
      <c r="AC141" t="e">
        <f>AND('Planilla_General_03-12-2012_9_3'!L2242,"AAAAACr/2xw=")</f>
        <v>#VALUE!</v>
      </c>
      <c r="AD141" t="e">
        <f>AND('Planilla_General_03-12-2012_9_3'!M2242,"AAAAACr/2x0=")</f>
        <v>#VALUE!</v>
      </c>
      <c r="AE141" t="e">
        <f>AND('Planilla_General_03-12-2012_9_3'!N2242,"AAAAACr/2x4=")</f>
        <v>#VALUE!</v>
      </c>
      <c r="AF141" t="e">
        <f>AND('Planilla_General_03-12-2012_9_3'!O2242,"AAAAACr/2x8=")</f>
        <v>#VALUE!</v>
      </c>
      <c r="AG141">
        <f>IF('Planilla_General_03-12-2012_9_3'!2243:2243,"AAAAACr/2yA=",0)</f>
        <v>0</v>
      </c>
      <c r="AH141" t="e">
        <f>AND('Planilla_General_03-12-2012_9_3'!A2243,"AAAAACr/2yE=")</f>
        <v>#VALUE!</v>
      </c>
      <c r="AI141" t="e">
        <f>AND('Planilla_General_03-12-2012_9_3'!B2243,"AAAAACr/2yI=")</f>
        <v>#VALUE!</v>
      </c>
      <c r="AJ141" t="e">
        <f>AND('Planilla_General_03-12-2012_9_3'!C2243,"AAAAACr/2yM=")</f>
        <v>#VALUE!</v>
      </c>
      <c r="AK141" t="e">
        <f>AND('Planilla_General_03-12-2012_9_3'!D2243,"AAAAACr/2yQ=")</f>
        <v>#VALUE!</v>
      </c>
      <c r="AL141" t="e">
        <f>AND('Planilla_General_03-12-2012_9_3'!E2243,"AAAAACr/2yU=")</f>
        <v>#VALUE!</v>
      </c>
      <c r="AM141" t="e">
        <f>AND('Planilla_General_03-12-2012_9_3'!F2243,"AAAAACr/2yY=")</f>
        <v>#VALUE!</v>
      </c>
      <c r="AN141" t="e">
        <f>AND('Planilla_General_03-12-2012_9_3'!G2243,"AAAAACr/2yc=")</f>
        <v>#VALUE!</v>
      </c>
      <c r="AO141" t="e">
        <f>AND('Planilla_General_03-12-2012_9_3'!H2243,"AAAAACr/2yg=")</f>
        <v>#VALUE!</v>
      </c>
      <c r="AP141" t="e">
        <f>AND('Planilla_General_03-12-2012_9_3'!I2243,"AAAAACr/2yk=")</f>
        <v>#VALUE!</v>
      </c>
      <c r="AQ141" t="e">
        <f>AND('Planilla_General_03-12-2012_9_3'!J2243,"AAAAACr/2yo=")</f>
        <v>#VALUE!</v>
      </c>
      <c r="AR141" t="e">
        <f>AND('Planilla_General_03-12-2012_9_3'!K2243,"AAAAACr/2ys=")</f>
        <v>#VALUE!</v>
      </c>
      <c r="AS141" t="e">
        <f>AND('Planilla_General_03-12-2012_9_3'!L2243,"AAAAACr/2yw=")</f>
        <v>#VALUE!</v>
      </c>
      <c r="AT141" t="e">
        <f>AND('Planilla_General_03-12-2012_9_3'!M2243,"AAAAACr/2y0=")</f>
        <v>#VALUE!</v>
      </c>
      <c r="AU141" t="e">
        <f>AND('Planilla_General_03-12-2012_9_3'!N2243,"AAAAACr/2y4=")</f>
        <v>#VALUE!</v>
      </c>
      <c r="AV141" t="e">
        <f>AND('Planilla_General_03-12-2012_9_3'!O2243,"AAAAACr/2y8=")</f>
        <v>#VALUE!</v>
      </c>
      <c r="AW141">
        <f>IF('Planilla_General_03-12-2012_9_3'!2244:2244,"AAAAACr/2zA=",0)</f>
        <v>0</v>
      </c>
      <c r="AX141" t="e">
        <f>AND('Planilla_General_03-12-2012_9_3'!A2244,"AAAAACr/2zE=")</f>
        <v>#VALUE!</v>
      </c>
      <c r="AY141" t="e">
        <f>AND('Planilla_General_03-12-2012_9_3'!B2244,"AAAAACr/2zI=")</f>
        <v>#VALUE!</v>
      </c>
      <c r="AZ141" t="e">
        <f>AND('Planilla_General_03-12-2012_9_3'!C2244,"AAAAACr/2zM=")</f>
        <v>#VALUE!</v>
      </c>
      <c r="BA141" t="e">
        <f>AND('Planilla_General_03-12-2012_9_3'!D2244,"AAAAACr/2zQ=")</f>
        <v>#VALUE!</v>
      </c>
      <c r="BB141" t="e">
        <f>AND('Planilla_General_03-12-2012_9_3'!E2244,"AAAAACr/2zU=")</f>
        <v>#VALUE!</v>
      </c>
      <c r="BC141" t="e">
        <f>AND('Planilla_General_03-12-2012_9_3'!F2244,"AAAAACr/2zY=")</f>
        <v>#VALUE!</v>
      </c>
      <c r="BD141" t="e">
        <f>AND('Planilla_General_03-12-2012_9_3'!G2244,"AAAAACr/2zc=")</f>
        <v>#VALUE!</v>
      </c>
      <c r="BE141" t="e">
        <f>AND('Planilla_General_03-12-2012_9_3'!H2244,"AAAAACr/2zg=")</f>
        <v>#VALUE!</v>
      </c>
      <c r="BF141" t="e">
        <f>AND('Planilla_General_03-12-2012_9_3'!I2244,"AAAAACr/2zk=")</f>
        <v>#VALUE!</v>
      </c>
      <c r="BG141" t="e">
        <f>AND('Planilla_General_03-12-2012_9_3'!J2244,"AAAAACr/2zo=")</f>
        <v>#VALUE!</v>
      </c>
      <c r="BH141" t="e">
        <f>AND('Planilla_General_03-12-2012_9_3'!K2244,"AAAAACr/2zs=")</f>
        <v>#VALUE!</v>
      </c>
      <c r="BI141" t="e">
        <f>AND('Planilla_General_03-12-2012_9_3'!L2244,"AAAAACr/2zw=")</f>
        <v>#VALUE!</v>
      </c>
      <c r="BJ141" t="e">
        <f>AND('Planilla_General_03-12-2012_9_3'!M2244,"AAAAACr/2z0=")</f>
        <v>#VALUE!</v>
      </c>
      <c r="BK141" t="e">
        <f>AND('Planilla_General_03-12-2012_9_3'!N2244,"AAAAACr/2z4=")</f>
        <v>#VALUE!</v>
      </c>
      <c r="BL141" t="e">
        <f>AND('Planilla_General_03-12-2012_9_3'!O2244,"AAAAACr/2z8=")</f>
        <v>#VALUE!</v>
      </c>
      <c r="BM141">
        <f>IF('Planilla_General_03-12-2012_9_3'!2245:2245,"AAAAACr/20A=",0)</f>
        <v>0</v>
      </c>
      <c r="BN141" t="e">
        <f>AND('Planilla_General_03-12-2012_9_3'!A2245,"AAAAACr/20E=")</f>
        <v>#VALUE!</v>
      </c>
      <c r="BO141" t="e">
        <f>AND('Planilla_General_03-12-2012_9_3'!B2245,"AAAAACr/20I=")</f>
        <v>#VALUE!</v>
      </c>
      <c r="BP141" t="e">
        <f>AND('Planilla_General_03-12-2012_9_3'!C2245,"AAAAACr/20M=")</f>
        <v>#VALUE!</v>
      </c>
      <c r="BQ141" t="e">
        <f>AND('Planilla_General_03-12-2012_9_3'!D2245,"AAAAACr/20Q=")</f>
        <v>#VALUE!</v>
      </c>
      <c r="BR141" t="e">
        <f>AND('Planilla_General_03-12-2012_9_3'!E2245,"AAAAACr/20U=")</f>
        <v>#VALUE!</v>
      </c>
      <c r="BS141" t="e">
        <f>AND('Planilla_General_03-12-2012_9_3'!F2245,"AAAAACr/20Y=")</f>
        <v>#VALUE!</v>
      </c>
      <c r="BT141" t="e">
        <f>AND('Planilla_General_03-12-2012_9_3'!G2245,"AAAAACr/20c=")</f>
        <v>#VALUE!</v>
      </c>
      <c r="BU141" t="e">
        <f>AND('Planilla_General_03-12-2012_9_3'!H2245,"AAAAACr/20g=")</f>
        <v>#VALUE!</v>
      </c>
      <c r="BV141" t="e">
        <f>AND('Planilla_General_03-12-2012_9_3'!I2245,"AAAAACr/20k=")</f>
        <v>#VALUE!</v>
      </c>
      <c r="BW141" t="e">
        <f>AND('Planilla_General_03-12-2012_9_3'!J2245,"AAAAACr/20o=")</f>
        <v>#VALUE!</v>
      </c>
      <c r="BX141" t="e">
        <f>AND('Planilla_General_03-12-2012_9_3'!K2245,"AAAAACr/20s=")</f>
        <v>#VALUE!</v>
      </c>
      <c r="BY141" t="e">
        <f>AND('Planilla_General_03-12-2012_9_3'!L2245,"AAAAACr/20w=")</f>
        <v>#VALUE!</v>
      </c>
      <c r="BZ141" t="e">
        <f>AND('Planilla_General_03-12-2012_9_3'!M2245,"AAAAACr/200=")</f>
        <v>#VALUE!</v>
      </c>
      <c r="CA141" t="e">
        <f>AND('Planilla_General_03-12-2012_9_3'!N2245,"AAAAACr/204=")</f>
        <v>#VALUE!</v>
      </c>
      <c r="CB141" t="e">
        <f>AND('Planilla_General_03-12-2012_9_3'!O2245,"AAAAACr/208=")</f>
        <v>#VALUE!</v>
      </c>
      <c r="CC141">
        <f>IF('Planilla_General_03-12-2012_9_3'!2246:2246,"AAAAACr/21A=",0)</f>
        <v>0</v>
      </c>
      <c r="CD141" t="e">
        <f>AND('Planilla_General_03-12-2012_9_3'!A2246,"AAAAACr/21E=")</f>
        <v>#VALUE!</v>
      </c>
      <c r="CE141" t="e">
        <f>AND('Planilla_General_03-12-2012_9_3'!B2246,"AAAAACr/21I=")</f>
        <v>#VALUE!</v>
      </c>
      <c r="CF141" t="e">
        <f>AND('Planilla_General_03-12-2012_9_3'!C2246,"AAAAACr/21M=")</f>
        <v>#VALUE!</v>
      </c>
      <c r="CG141" t="e">
        <f>AND('Planilla_General_03-12-2012_9_3'!D2246,"AAAAACr/21Q=")</f>
        <v>#VALUE!</v>
      </c>
      <c r="CH141" t="e">
        <f>AND('Planilla_General_03-12-2012_9_3'!E2246,"AAAAACr/21U=")</f>
        <v>#VALUE!</v>
      </c>
      <c r="CI141" t="e">
        <f>AND('Planilla_General_03-12-2012_9_3'!F2246,"AAAAACr/21Y=")</f>
        <v>#VALUE!</v>
      </c>
      <c r="CJ141" t="e">
        <f>AND('Planilla_General_03-12-2012_9_3'!G2246,"AAAAACr/21c=")</f>
        <v>#VALUE!</v>
      </c>
      <c r="CK141" t="e">
        <f>AND('Planilla_General_03-12-2012_9_3'!H2246,"AAAAACr/21g=")</f>
        <v>#VALUE!</v>
      </c>
      <c r="CL141" t="e">
        <f>AND('Planilla_General_03-12-2012_9_3'!I2246,"AAAAACr/21k=")</f>
        <v>#VALUE!</v>
      </c>
      <c r="CM141" t="e">
        <f>AND('Planilla_General_03-12-2012_9_3'!J2246,"AAAAACr/21o=")</f>
        <v>#VALUE!</v>
      </c>
      <c r="CN141" t="e">
        <f>AND('Planilla_General_03-12-2012_9_3'!K2246,"AAAAACr/21s=")</f>
        <v>#VALUE!</v>
      </c>
      <c r="CO141" t="e">
        <f>AND('Planilla_General_03-12-2012_9_3'!L2246,"AAAAACr/21w=")</f>
        <v>#VALUE!</v>
      </c>
      <c r="CP141" t="e">
        <f>AND('Planilla_General_03-12-2012_9_3'!M2246,"AAAAACr/210=")</f>
        <v>#VALUE!</v>
      </c>
      <c r="CQ141" t="e">
        <f>AND('Planilla_General_03-12-2012_9_3'!N2246,"AAAAACr/214=")</f>
        <v>#VALUE!</v>
      </c>
      <c r="CR141" t="e">
        <f>AND('Planilla_General_03-12-2012_9_3'!O2246,"AAAAACr/218=")</f>
        <v>#VALUE!</v>
      </c>
      <c r="CS141">
        <f>IF('Planilla_General_03-12-2012_9_3'!2247:2247,"AAAAACr/22A=",0)</f>
        <v>0</v>
      </c>
      <c r="CT141" t="e">
        <f>AND('Planilla_General_03-12-2012_9_3'!A2247,"AAAAACr/22E=")</f>
        <v>#VALUE!</v>
      </c>
      <c r="CU141" t="e">
        <f>AND('Planilla_General_03-12-2012_9_3'!B2247,"AAAAACr/22I=")</f>
        <v>#VALUE!</v>
      </c>
      <c r="CV141" t="e">
        <f>AND('Planilla_General_03-12-2012_9_3'!C2247,"AAAAACr/22M=")</f>
        <v>#VALUE!</v>
      </c>
      <c r="CW141" t="e">
        <f>AND('Planilla_General_03-12-2012_9_3'!D2247,"AAAAACr/22Q=")</f>
        <v>#VALUE!</v>
      </c>
      <c r="CX141" t="e">
        <f>AND('Planilla_General_03-12-2012_9_3'!E2247,"AAAAACr/22U=")</f>
        <v>#VALUE!</v>
      </c>
      <c r="CY141" t="e">
        <f>AND('Planilla_General_03-12-2012_9_3'!F2247,"AAAAACr/22Y=")</f>
        <v>#VALUE!</v>
      </c>
      <c r="CZ141" t="e">
        <f>AND('Planilla_General_03-12-2012_9_3'!G2247,"AAAAACr/22c=")</f>
        <v>#VALUE!</v>
      </c>
      <c r="DA141" t="e">
        <f>AND('Planilla_General_03-12-2012_9_3'!H2247,"AAAAACr/22g=")</f>
        <v>#VALUE!</v>
      </c>
      <c r="DB141" t="e">
        <f>AND('Planilla_General_03-12-2012_9_3'!I2247,"AAAAACr/22k=")</f>
        <v>#VALUE!</v>
      </c>
      <c r="DC141" t="e">
        <f>AND('Planilla_General_03-12-2012_9_3'!J2247,"AAAAACr/22o=")</f>
        <v>#VALUE!</v>
      </c>
      <c r="DD141" t="e">
        <f>AND('Planilla_General_03-12-2012_9_3'!K2247,"AAAAACr/22s=")</f>
        <v>#VALUE!</v>
      </c>
      <c r="DE141" t="e">
        <f>AND('Planilla_General_03-12-2012_9_3'!L2247,"AAAAACr/22w=")</f>
        <v>#VALUE!</v>
      </c>
      <c r="DF141" t="e">
        <f>AND('Planilla_General_03-12-2012_9_3'!M2247,"AAAAACr/220=")</f>
        <v>#VALUE!</v>
      </c>
      <c r="DG141" t="e">
        <f>AND('Planilla_General_03-12-2012_9_3'!N2247,"AAAAACr/224=")</f>
        <v>#VALUE!</v>
      </c>
      <c r="DH141" t="e">
        <f>AND('Planilla_General_03-12-2012_9_3'!O2247,"AAAAACr/228=")</f>
        <v>#VALUE!</v>
      </c>
      <c r="DI141">
        <f>IF('Planilla_General_03-12-2012_9_3'!2248:2248,"AAAAACr/23A=",0)</f>
        <v>0</v>
      </c>
      <c r="DJ141" t="e">
        <f>AND('Planilla_General_03-12-2012_9_3'!A2248,"AAAAACr/23E=")</f>
        <v>#VALUE!</v>
      </c>
      <c r="DK141" t="e">
        <f>AND('Planilla_General_03-12-2012_9_3'!B2248,"AAAAACr/23I=")</f>
        <v>#VALUE!</v>
      </c>
      <c r="DL141" t="e">
        <f>AND('Planilla_General_03-12-2012_9_3'!C2248,"AAAAACr/23M=")</f>
        <v>#VALUE!</v>
      </c>
      <c r="DM141" t="e">
        <f>AND('Planilla_General_03-12-2012_9_3'!D2248,"AAAAACr/23Q=")</f>
        <v>#VALUE!</v>
      </c>
      <c r="DN141" t="e">
        <f>AND('Planilla_General_03-12-2012_9_3'!E2248,"AAAAACr/23U=")</f>
        <v>#VALUE!</v>
      </c>
      <c r="DO141" t="e">
        <f>AND('Planilla_General_03-12-2012_9_3'!F2248,"AAAAACr/23Y=")</f>
        <v>#VALUE!</v>
      </c>
      <c r="DP141" t="e">
        <f>AND('Planilla_General_03-12-2012_9_3'!G2248,"AAAAACr/23c=")</f>
        <v>#VALUE!</v>
      </c>
      <c r="DQ141" t="e">
        <f>AND('Planilla_General_03-12-2012_9_3'!H2248,"AAAAACr/23g=")</f>
        <v>#VALUE!</v>
      </c>
      <c r="DR141" t="e">
        <f>AND('Planilla_General_03-12-2012_9_3'!I2248,"AAAAACr/23k=")</f>
        <v>#VALUE!</v>
      </c>
      <c r="DS141" t="e">
        <f>AND('Planilla_General_03-12-2012_9_3'!J2248,"AAAAACr/23o=")</f>
        <v>#VALUE!</v>
      </c>
      <c r="DT141" t="e">
        <f>AND('Planilla_General_03-12-2012_9_3'!K2248,"AAAAACr/23s=")</f>
        <v>#VALUE!</v>
      </c>
      <c r="DU141" t="e">
        <f>AND('Planilla_General_03-12-2012_9_3'!L2248,"AAAAACr/23w=")</f>
        <v>#VALUE!</v>
      </c>
      <c r="DV141" t="e">
        <f>AND('Planilla_General_03-12-2012_9_3'!M2248,"AAAAACr/230=")</f>
        <v>#VALUE!</v>
      </c>
      <c r="DW141" t="e">
        <f>AND('Planilla_General_03-12-2012_9_3'!N2248,"AAAAACr/234=")</f>
        <v>#VALUE!</v>
      </c>
      <c r="DX141" t="e">
        <f>AND('Planilla_General_03-12-2012_9_3'!O2248,"AAAAACr/238=")</f>
        <v>#VALUE!</v>
      </c>
      <c r="DY141">
        <f>IF('Planilla_General_03-12-2012_9_3'!2249:2249,"AAAAACr/24A=",0)</f>
        <v>0</v>
      </c>
      <c r="DZ141" t="e">
        <f>AND('Planilla_General_03-12-2012_9_3'!A2249,"AAAAACr/24E=")</f>
        <v>#VALUE!</v>
      </c>
      <c r="EA141" t="e">
        <f>AND('Planilla_General_03-12-2012_9_3'!B2249,"AAAAACr/24I=")</f>
        <v>#VALUE!</v>
      </c>
      <c r="EB141" t="e">
        <f>AND('Planilla_General_03-12-2012_9_3'!C2249,"AAAAACr/24M=")</f>
        <v>#VALUE!</v>
      </c>
      <c r="EC141" t="e">
        <f>AND('Planilla_General_03-12-2012_9_3'!D2249,"AAAAACr/24Q=")</f>
        <v>#VALUE!</v>
      </c>
      <c r="ED141" t="e">
        <f>AND('Planilla_General_03-12-2012_9_3'!E2249,"AAAAACr/24U=")</f>
        <v>#VALUE!</v>
      </c>
      <c r="EE141" t="e">
        <f>AND('Planilla_General_03-12-2012_9_3'!F2249,"AAAAACr/24Y=")</f>
        <v>#VALUE!</v>
      </c>
      <c r="EF141" t="e">
        <f>AND('Planilla_General_03-12-2012_9_3'!G2249,"AAAAACr/24c=")</f>
        <v>#VALUE!</v>
      </c>
      <c r="EG141" t="e">
        <f>AND('Planilla_General_03-12-2012_9_3'!H2249,"AAAAACr/24g=")</f>
        <v>#VALUE!</v>
      </c>
      <c r="EH141" t="e">
        <f>AND('Planilla_General_03-12-2012_9_3'!I2249,"AAAAACr/24k=")</f>
        <v>#VALUE!</v>
      </c>
      <c r="EI141" t="e">
        <f>AND('Planilla_General_03-12-2012_9_3'!J2249,"AAAAACr/24o=")</f>
        <v>#VALUE!</v>
      </c>
      <c r="EJ141" t="e">
        <f>AND('Planilla_General_03-12-2012_9_3'!K2249,"AAAAACr/24s=")</f>
        <v>#VALUE!</v>
      </c>
      <c r="EK141" t="e">
        <f>AND('Planilla_General_03-12-2012_9_3'!L2249,"AAAAACr/24w=")</f>
        <v>#VALUE!</v>
      </c>
      <c r="EL141" t="e">
        <f>AND('Planilla_General_03-12-2012_9_3'!M2249,"AAAAACr/240=")</f>
        <v>#VALUE!</v>
      </c>
      <c r="EM141" t="e">
        <f>AND('Planilla_General_03-12-2012_9_3'!N2249,"AAAAACr/244=")</f>
        <v>#VALUE!</v>
      </c>
      <c r="EN141" t="e">
        <f>AND('Planilla_General_03-12-2012_9_3'!O2249,"AAAAACr/248=")</f>
        <v>#VALUE!</v>
      </c>
      <c r="EO141">
        <f>IF('Planilla_General_03-12-2012_9_3'!2250:2250,"AAAAACr/25A=",0)</f>
        <v>0</v>
      </c>
      <c r="EP141" t="e">
        <f>AND('Planilla_General_03-12-2012_9_3'!A2250,"AAAAACr/25E=")</f>
        <v>#VALUE!</v>
      </c>
      <c r="EQ141" t="e">
        <f>AND('Planilla_General_03-12-2012_9_3'!B2250,"AAAAACr/25I=")</f>
        <v>#VALUE!</v>
      </c>
      <c r="ER141" t="e">
        <f>AND('Planilla_General_03-12-2012_9_3'!C2250,"AAAAACr/25M=")</f>
        <v>#VALUE!</v>
      </c>
      <c r="ES141" t="e">
        <f>AND('Planilla_General_03-12-2012_9_3'!D2250,"AAAAACr/25Q=")</f>
        <v>#VALUE!</v>
      </c>
      <c r="ET141" t="e">
        <f>AND('Planilla_General_03-12-2012_9_3'!E2250,"AAAAACr/25U=")</f>
        <v>#VALUE!</v>
      </c>
      <c r="EU141" t="e">
        <f>AND('Planilla_General_03-12-2012_9_3'!F2250,"AAAAACr/25Y=")</f>
        <v>#VALUE!</v>
      </c>
      <c r="EV141" t="e">
        <f>AND('Planilla_General_03-12-2012_9_3'!G2250,"AAAAACr/25c=")</f>
        <v>#VALUE!</v>
      </c>
      <c r="EW141" t="e">
        <f>AND('Planilla_General_03-12-2012_9_3'!H2250,"AAAAACr/25g=")</f>
        <v>#VALUE!</v>
      </c>
      <c r="EX141" t="e">
        <f>AND('Planilla_General_03-12-2012_9_3'!I2250,"AAAAACr/25k=")</f>
        <v>#VALUE!</v>
      </c>
      <c r="EY141" t="e">
        <f>AND('Planilla_General_03-12-2012_9_3'!J2250,"AAAAACr/25o=")</f>
        <v>#VALUE!</v>
      </c>
      <c r="EZ141" t="e">
        <f>AND('Planilla_General_03-12-2012_9_3'!K2250,"AAAAACr/25s=")</f>
        <v>#VALUE!</v>
      </c>
      <c r="FA141" t="e">
        <f>AND('Planilla_General_03-12-2012_9_3'!L2250,"AAAAACr/25w=")</f>
        <v>#VALUE!</v>
      </c>
      <c r="FB141" t="e">
        <f>AND('Planilla_General_03-12-2012_9_3'!M2250,"AAAAACr/250=")</f>
        <v>#VALUE!</v>
      </c>
      <c r="FC141" t="e">
        <f>AND('Planilla_General_03-12-2012_9_3'!N2250,"AAAAACr/254=")</f>
        <v>#VALUE!</v>
      </c>
      <c r="FD141" t="e">
        <f>AND('Planilla_General_03-12-2012_9_3'!O2250,"AAAAACr/258=")</f>
        <v>#VALUE!</v>
      </c>
      <c r="FE141">
        <f>IF('Planilla_General_03-12-2012_9_3'!2251:2251,"AAAAACr/26A=",0)</f>
        <v>0</v>
      </c>
      <c r="FF141" t="e">
        <f>AND('Planilla_General_03-12-2012_9_3'!A2251,"AAAAACr/26E=")</f>
        <v>#VALUE!</v>
      </c>
      <c r="FG141" t="e">
        <f>AND('Planilla_General_03-12-2012_9_3'!B2251,"AAAAACr/26I=")</f>
        <v>#VALUE!</v>
      </c>
      <c r="FH141" t="e">
        <f>AND('Planilla_General_03-12-2012_9_3'!C2251,"AAAAACr/26M=")</f>
        <v>#VALUE!</v>
      </c>
      <c r="FI141" t="e">
        <f>AND('Planilla_General_03-12-2012_9_3'!D2251,"AAAAACr/26Q=")</f>
        <v>#VALUE!</v>
      </c>
      <c r="FJ141" t="e">
        <f>AND('Planilla_General_03-12-2012_9_3'!E2251,"AAAAACr/26U=")</f>
        <v>#VALUE!</v>
      </c>
      <c r="FK141" t="e">
        <f>AND('Planilla_General_03-12-2012_9_3'!F2251,"AAAAACr/26Y=")</f>
        <v>#VALUE!</v>
      </c>
      <c r="FL141" t="e">
        <f>AND('Planilla_General_03-12-2012_9_3'!G2251,"AAAAACr/26c=")</f>
        <v>#VALUE!</v>
      </c>
      <c r="FM141" t="e">
        <f>AND('Planilla_General_03-12-2012_9_3'!H2251,"AAAAACr/26g=")</f>
        <v>#VALUE!</v>
      </c>
      <c r="FN141" t="e">
        <f>AND('Planilla_General_03-12-2012_9_3'!I2251,"AAAAACr/26k=")</f>
        <v>#VALUE!</v>
      </c>
      <c r="FO141" t="e">
        <f>AND('Planilla_General_03-12-2012_9_3'!J2251,"AAAAACr/26o=")</f>
        <v>#VALUE!</v>
      </c>
      <c r="FP141" t="e">
        <f>AND('Planilla_General_03-12-2012_9_3'!K2251,"AAAAACr/26s=")</f>
        <v>#VALUE!</v>
      </c>
      <c r="FQ141" t="e">
        <f>AND('Planilla_General_03-12-2012_9_3'!L2251,"AAAAACr/26w=")</f>
        <v>#VALUE!</v>
      </c>
      <c r="FR141" t="e">
        <f>AND('Planilla_General_03-12-2012_9_3'!M2251,"AAAAACr/260=")</f>
        <v>#VALUE!</v>
      </c>
      <c r="FS141" t="e">
        <f>AND('Planilla_General_03-12-2012_9_3'!N2251,"AAAAACr/264=")</f>
        <v>#VALUE!</v>
      </c>
      <c r="FT141" t="e">
        <f>AND('Planilla_General_03-12-2012_9_3'!O2251,"AAAAACr/268=")</f>
        <v>#VALUE!</v>
      </c>
      <c r="FU141">
        <f>IF('Planilla_General_03-12-2012_9_3'!2252:2252,"AAAAACr/27A=",0)</f>
        <v>0</v>
      </c>
      <c r="FV141" t="e">
        <f>AND('Planilla_General_03-12-2012_9_3'!A2252,"AAAAACr/27E=")</f>
        <v>#VALUE!</v>
      </c>
      <c r="FW141" t="e">
        <f>AND('Planilla_General_03-12-2012_9_3'!B2252,"AAAAACr/27I=")</f>
        <v>#VALUE!</v>
      </c>
      <c r="FX141" t="e">
        <f>AND('Planilla_General_03-12-2012_9_3'!C2252,"AAAAACr/27M=")</f>
        <v>#VALUE!</v>
      </c>
      <c r="FY141" t="e">
        <f>AND('Planilla_General_03-12-2012_9_3'!D2252,"AAAAACr/27Q=")</f>
        <v>#VALUE!</v>
      </c>
      <c r="FZ141" t="e">
        <f>AND('Planilla_General_03-12-2012_9_3'!E2252,"AAAAACr/27U=")</f>
        <v>#VALUE!</v>
      </c>
      <c r="GA141" t="e">
        <f>AND('Planilla_General_03-12-2012_9_3'!F2252,"AAAAACr/27Y=")</f>
        <v>#VALUE!</v>
      </c>
      <c r="GB141" t="e">
        <f>AND('Planilla_General_03-12-2012_9_3'!G2252,"AAAAACr/27c=")</f>
        <v>#VALUE!</v>
      </c>
      <c r="GC141" t="e">
        <f>AND('Planilla_General_03-12-2012_9_3'!H2252,"AAAAACr/27g=")</f>
        <v>#VALUE!</v>
      </c>
      <c r="GD141" t="e">
        <f>AND('Planilla_General_03-12-2012_9_3'!I2252,"AAAAACr/27k=")</f>
        <v>#VALUE!</v>
      </c>
      <c r="GE141" t="e">
        <f>AND('Planilla_General_03-12-2012_9_3'!J2252,"AAAAACr/27o=")</f>
        <v>#VALUE!</v>
      </c>
      <c r="GF141" t="e">
        <f>AND('Planilla_General_03-12-2012_9_3'!K2252,"AAAAACr/27s=")</f>
        <v>#VALUE!</v>
      </c>
      <c r="GG141" t="e">
        <f>AND('Planilla_General_03-12-2012_9_3'!L2252,"AAAAACr/27w=")</f>
        <v>#VALUE!</v>
      </c>
      <c r="GH141" t="e">
        <f>AND('Planilla_General_03-12-2012_9_3'!M2252,"AAAAACr/270=")</f>
        <v>#VALUE!</v>
      </c>
      <c r="GI141" t="e">
        <f>AND('Planilla_General_03-12-2012_9_3'!N2252,"AAAAACr/274=")</f>
        <v>#VALUE!</v>
      </c>
      <c r="GJ141" t="e">
        <f>AND('Planilla_General_03-12-2012_9_3'!O2252,"AAAAACr/278=")</f>
        <v>#VALUE!</v>
      </c>
      <c r="GK141">
        <f>IF('Planilla_General_03-12-2012_9_3'!2253:2253,"AAAAACr/28A=",0)</f>
        <v>0</v>
      </c>
      <c r="GL141" t="e">
        <f>AND('Planilla_General_03-12-2012_9_3'!A2253,"AAAAACr/28E=")</f>
        <v>#VALUE!</v>
      </c>
      <c r="GM141" t="e">
        <f>AND('Planilla_General_03-12-2012_9_3'!B2253,"AAAAACr/28I=")</f>
        <v>#VALUE!</v>
      </c>
      <c r="GN141" t="e">
        <f>AND('Planilla_General_03-12-2012_9_3'!C2253,"AAAAACr/28M=")</f>
        <v>#VALUE!</v>
      </c>
      <c r="GO141" t="e">
        <f>AND('Planilla_General_03-12-2012_9_3'!D2253,"AAAAACr/28Q=")</f>
        <v>#VALUE!</v>
      </c>
      <c r="GP141" t="e">
        <f>AND('Planilla_General_03-12-2012_9_3'!E2253,"AAAAACr/28U=")</f>
        <v>#VALUE!</v>
      </c>
      <c r="GQ141" t="e">
        <f>AND('Planilla_General_03-12-2012_9_3'!F2253,"AAAAACr/28Y=")</f>
        <v>#VALUE!</v>
      </c>
      <c r="GR141" t="e">
        <f>AND('Planilla_General_03-12-2012_9_3'!G2253,"AAAAACr/28c=")</f>
        <v>#VALUE!</v>
      </c>
      <c r="GS141" t="e">
        <f>AND('Planilla_General_03-12-2012_9_3'!H2253,"AAAAACr/28g=")</f>
        <v>#VALUE!</v>
      </c>
      <c r="GT141" t="e">
        <f>AND('Planilla_General_03-12-2012_9_3'!I2253,"AAAAACr/28k=")</f>
        <v>#VALUE!</v>
      </c>
      <c r="GU141" t="e">
        <f>AND('Planilla_General_03-12-2012_9_3'!J2253,"AAAAACr/28o=")</f>
        <v>#VALUE!</v>
      </c>
      <c r="GV141" t="e">
        <f>AND('Planilla_General_03-12-2012_9_3'!K2253,"AAAAACr/28s=")</f>
        <v>#VALUE!</v>
      </c>
      <c r="GW141" t="e">
        <f>AND('Planilla_General_03-12-2012_9_3'!L2253,"AAAAACr/28w=")</f>
        <v>#VALUE!</v>
      </c>
      <c r="GX141" t="e">
        <f>AND('Planilla_General_03-12-2012_9_3'!M2253,"AAAAACr/280=")</f>
        <v>#VALUE!</v>
      </c>
      <c r="GY141" t="e">
        <f>AND('Planilla_General_03-12-2012_9_3'!N2253,"AAAAACr/284=")</f>
        <v>#VALUE!</v>
      </c>
      <c r="GZ141" t="e">
        <f>AND('Planilla_General_03-12-2012_9_3'!O2253,"AAAAACr/288=")</f>
        <v>#VALUE!</v>
      </c>
      <c r="HA141">
        <f>IF('Planilla_General_03-12-2012_9_3'!2254:2254,"AAAAACr/29A=",0)</f>
        <v>0</v>
      </c>
      <c r="HB141" t="e">
        <f>AND('Planilla_General_03-12-2012_9_3'!A2254,"AAAAACr/29E=")</f>
        <v>#VALUE!</v>
      </c>
      <c r="HC141" t="e">
        <f>AND('Planilla_General_03-12-2012_9_3'!B2254,"AAAAACr/29I=")</f>
        <v>#VALUE!</v>
      </c>
      <c r="HD141" t="e">
        <f>AND('Planilla_General_03-12-2012_9_3'!C2254,"AAAAACr/29M=")</f>
        <v>#VALUE!</v>
      </c>
      <c r="HE141" t="e">
        <f>AND('Planilla_General_03-12-2012_9_3'!D2254,"AAAAACr/29Q=")</f>
        <v>#VALUE!</v>
      </c>
      <c r="HF141" t="e">
        <f>AND('Planilla_General_03-12-2012_9_3'!E2254,"AAAAACr/29U=")</f>
        <v>#VALUE!</v>
      </c>
      <c r="HG141" t="e">
        <f>AND('Planilla_General_03-12-2012_9_3'!F2254,"AAAAACr/29Y=")</f>
        <v>#VALUE!</v>
      </c>
      <c r="HH141" t="e">
        <f>AND('Planilla_General_03-12-2012_9_3'!G2254,"AAAAACr/29c=")</f>
        <v>#VALUE!</v>
      </c>
      <c r="HI141" t="e">
        <f>AND('Planilla_General_03-12-2012_9_3'!H2254,"AAAAACr/29g=")</f>
        <v>#VALUE!</v>
      </c>
      <c r="HJ141" t="e">
        <f>AND('Planilla_General_03-12-2012_9_3'!I2254,"AAAAACr/29k=")</f>
        <v>#VALUE!</v>
      </c>
      <c r="HK141" t="e">
        <f>AND('Planilla_General_03-12-2012_9_3'!J2254,"AAAAACr/29o=")</f>
        <v>#VALUE!</v>
      </c>
      <c r="HL141" t="e">
        <f>AND('Planilla_General_03-12-2012_9_3'!K2254,"AAAAACr/29s=")</f>
        <v>#VALUE!</v>
      </c>
      <c r="HM141" t="e">
        <f>AND('Planilla_General_03-12-2012_9_3'!L2254,"AAAAACr/29w=")</f>
        <v>#VALUE!</v>
      </c>
      <c r="HN141" t="e">
        <f>AND('Planilla_General_03-12-2012_9_3'!M2254,"AAAAACr/290=")</f>
        <v>#VALUE!</v>
      </c>
      <c r="HO141" t="e">
        <f>AND('Planilla_General_03-12-2012_9_3'!N2254,"AAAAACr/294=")</f>
        <v>#VALUE!</v>
      </c>
      <c r="HP141" t="e">
        <f>AND('Planilla_General_03-12-2012_9_3'!O2254,"AAAAACr/298=")</f>
        <v>#VALUE!</v>
      </c>
      <c r="HQ141">
        <f>IF('Planilla_General_03-12-2012_9_3'!2255:2255,"AAAAACr/2+A=",0)</f>
        <v>0</v>
      </c>
      <c r="HR141" t="e">
        <f>AND('Planilla_General_03-12-2012_9_3'!A2255,"AAAAACr/2+E=")</f>
        <v>#VALUE!</v>
      </c>
      <c r="HS141" t="e">
        <f>AND('Planilla_General_03-12-2012_9_3'!B2255,"AAAAACr/2+I=")</f>
        <v>#VALUE!</v>
      </c>
      <c r="HT141" t="e">
        <f>AND('Planilla_General_03-12-2012_9_3'!C2255,"AAAAACr/2+M=")</f>
        <v>#VALUE!</v>
      </c>
      <c r="HU141" t="e">
        <f>AND('Planilla_General_03-12-2012_9_3'!D2255,"AAAAACr/2+Q=")</f>
        <v>#VALUE!</v>
      </c>
      <c r="HV141" t="e">
        <f>AND('Planilla_General_03-12-2012_9_3'!E2255,"AAAAACr/2+U=")</f>
        <v>#VALUE!</v>
      </c>
      <c r="HW141" t="e">
        <f>AND('Planilla_General_03-12-2012_9_3'!F2255,"AAAAACr/2+Y=")</f>
        <v>#VALUE!</v>
      </c>
      <c r="HX141" t="e">
        <f>AND('Planilla_General_03-12-2012_9_3'!G2255,"AAAAACr/2+c=")</f>
        <v>#VALUE!</v>
      </c>
      <c r="HY141" t="e">
        <f>AND('Planilla_General_03-12-2012_9_3'!H2255,"AAAAACr/2+g=")</f>
        <v>#VALUE!</v>
      </c>
      <c r="HZ141" t="e">
        <f>AND('Planilla_General_03-12-2012_9_3'!I2255,"AAAAACr/2+k=")</f>
        <v>#VALUE!</v>
      </c>
      <c r="IA141" t="e">
        <f>AND('Planilla_General_03-12-2012_9_3'!J2255,"AAAAACr/2+o=")</f>
        <v>#VALUE!</v>
      </c>
      <c r="IB141" t="e">
        <f>AND('Planilla_General_03-12-2012_9_3'!K2255,"AAAAACr/2+s=")</f>
        <v>#VALUE!</v>
      </c>
      <c r="IC141" t="e">
        <f>AND('Planilla_General_03-12-2012_9_3'!L2255,"AAAAACr/2+w=")</f>
        <v>#VALUE!</v>
      </c>
      <c r="ID141" t="e">
        <f>AND('Planilla_General_03-12-2012_9_3'!M2255,"AAAAACr/2+0=")</f>
        <v>#VALUE!</v>
      </c>
      <c r="IE141" t="e">
        <f>AND('Planilla_General_03-12-2012_9_3'!N2255,"AAAAACr/2+4=")</f>
        <v>#VALUE!</v>
      </c>
      <c r="IF141" t="e">
        <f>AND('Planilla_General_03-12-2012_9_3'!O2255,"AAAAACr/2+8=")</f>
        <v>#VALUE!</v>
      </c>
      <c r="IG141">
        <f>IF('Planilla_General_03-12-2012_9_3'!2256:2256,"AAAAACr/2/A=",0)</f>
        <v>0</v>
      </c>
      <c r="IH141" t="e">
        <f>AND('Planilla_General_03-12-2012_9_3'!A2256,"AAAAACr/2/E=")</f>
        <v>#VALUE!</v>
      </c>
      <c r="II141" t="e">
        <f>AND('Planilla_General_03-12-2012_9_3'!B2256,"AAAAACr/2/I=")</f>
        <v>#VALUE!</v>
      </c>
      <c r="IJ141" t="e">
        <f>AND('Planilla_General_03-12-2012_9_3'!C2256,"AAAAACr/2/M=")</f>
        <v>#VALUE!</v>
      </c>
      <c r="IK141" t="e">
        <f>AND('Planilla_General_03-12-2012_9_3'!D2256,"AAAAACr/2/Q=")</f>
        <v>#VALUE!</v>
      </c>
      <c r="IL141" t="e">
        <f>AND('Planilla_General_03-12-2012_9_3'!E2256,"AAAAACr/2/U=")</f>
        <v>#VALUE!</v>
      </c>
      <c r="IM141" t="e">
        <f>AND('Planilla_General_03-12-2012_9_3'!F2256,"AAAAACr/2/Y=")</f>
        <v>#VALUE!</v>
      </c>
      <c r="IN141" t="e">
        <f>AND('Planilla_General_03-12-2012_9_3'!G2256,"AAAAACr/2/c=")</f>
        <v>#VALUE!</v>
      </c>
      <c r="IO141" t="e">
        <f>AND('Planilla_General_03-12-2012_9_3'!H2256,"AAAAACr/2/g=")</f>
        <v>#VALUE!</v>
      </c>
      <c r="IP141" t="e">
        <f>AND('Planilla_General_03-12-2012_9_3'!I2256,"AAAAACr/2/k=")</f>
        <v>#VALUE!</v>
      </c>
      <c r="IQ141" t="e">
        <f>AND('Planilla_General_03-12-2012_9_3'!J2256,"AAAAACr/2/o=")</f>
        <v>#VALUE!</v>
      </c>
      <c r="IR141" t="e">
        <f>AND('Planilla_General_03-12-2012_9_3'!K2256,"AAAAACr/2/s=")</f>
        <v>#VALUE!</v>
      </c>
      <c r="IS141" t="e">
        <f>AND('Planilla_General_03-12-2012_9_3'!L2256,"AAAAACr/2/w=")</f>
        <v>#VALUE!</v>
      </c>
      <c r="IT141" t="e">
        <f>AND('Planilla_General_03-12-2012_9_3'!M2256,"AAAAACr/2/0=")</f>
        <v>#VALUE!</v>
      </c>
      <c r="IU141" t="e">
        <f>AND('Planilla_General_03-12-2012_9_3'!N2256,"AAAAACr/2/4=")</f>
        <v>#VALUE!</v>
      </c>
      <c r="IV141" t="e">
        <f>AND('Planilla_General_03-12-2012_9_3'!O2256,"AAAAACr/2/8=")</f>
        <v>#VALUE!</v>
      </c>
    </row>
    <row r="142" spans="1:256" x14ac:dyDescent="0.25">
      <c r="A142" t="e">
        <f>IF('Planilla_General_03-12-2012_9_3'!2257:2257,"AAAAADb8bwA=",0)</f>
        <v>#VALUE!</v>
      </c>
      <c r="B142" t="e">
        <f>AND('Planilla_General_03-12-2012_9_3'!A2257,"AAAAADb8bwE=")</f>
        <v>#VALUE!</v>
      </c>
      <c r="C142" t="e">
        <f>AND('Planilla_General_03-12-2012_9_3'!B2257,"AAAAADb8bwI=")</f>
        <v>#VALUE!</v>
      </c>
      <c r="D142" t="e">
        <f>AND('Planilla_General_03-12-2012_9_3'!C2257,"AAAAADb8bwM=")</f>
        <v>#VALUE!</v>
      </c>
      <c r="E142" t="e">
        <f>AND('Planilla_General_03-12-2012_9_3'!D2257,"AAAAADb8bwQ=")</f>
        <v>#VALUE!</v>
      </c>
      <c r="F142" t="e">
        <f>AND('Planilla_General_03-12-2012_9_3'!E2257,"AAAAADb8bwU=")</f>
        <v>#VALUE!</v>
      </c>
      <c r="G142" t="e">
        <f>AND('Planilla_General_03-12-2012_9_3'!F2257,"AAAAADb8bwY=")</f>
        <v>#VALUE!</v>
      </c>
      <c r="H142" t="e">
        <f>AND('Planilla_General_03-12-2012_9_3'!G2257,"AAAAADb8bwc=")</f>
        <v>#VALUE!</v>
      </c>
      <c r="I142" t="e">
        <f>AND('Planilla_General_03-12-2012_9_3'!H2257,"AAAAADb8bwg=")</f>
        <v>#VALUE!</v>
      </c>
      <c r="J142" t="e">
        <f>AND('Planilla_General_03-12-2012_9_3'!I2257,"AAAAADb8bwk=")</f>
        <v>#VALUE!</v>
      </c>
      <c r="K142" t="e">
        <f>AND('Planilla_General_03-12-2012_9_3'!J2257,"AAAAADb8bwo=")</f>
        <v>#VALUE!</v>
      </c>
      <c r="L142" t="e">
        <f>AND('Planilla_General_03-12-2012_9_3'!K2257,"AAAAADb8bws=")</f>
        <v>#VALUE!</v>
      </c>
      <c r="M142" t="e">
        <f>AND('Planilla_General_03-12-2012_9_3'!L2257,"AAAAADb8bww=")</f>
        <v>#VALUE!</v>
      </c>
      <c r="N142" t="e">
        <f>AND('Planilla_General_03-12-2012_9_3'!M2257,"AAAAADb8bw0=")</f>
        <v>#VALUE!</v>
      </c>
      <c r="O142" t="e">
        <f>AND('Planilla_General_03-12-2012_9_3'!N2257,"AAAAADb8bw4=")</f>
        <v>#VALUE!</v>
      </c>
      <c r="P142" t="e">
        <f>AND('Planilla_General_03-12-2012_9_3'!O2257,"AAAAADb8bw8=")</f>
        <v>#VALUE!</v>
      </c>
      <c r="Q142">
        <f>IF('Planilla_General_03-12-2012_9_3'!2258:2258,"AAAAADb8bxA=",0)</f>
        <v>0</v>
      </c>
      <c r="R142" t="e">
        <f>AND('Planilla_General_03-12-2012_9_3'!A2258,"AAAAADb8bxE=")</f>
        <v>#VALUE!</v>
      </c>
      <c r="S142" t="e">
        <f>AND('Planilla_General_03-12-2012_9_3'!B2258,"AAAAADb8bxI=")</f>
        <v>#VALUE!</v>
      </c>
      <c r="T142" t="e">
        <f>AND('Planilla_General_03-12-2012_9_3'!C2258,"AAAAADb8bxM=")</f>
        <v>#VALUE!</v>
      </c>
      <c r="U142" t="e">
        <f>AND('Planilla_General_03-12-2012_9_3'!D2258,"AAAAADb8bxQ=")</f>
        <v>#VALUE!</v>
      </c>
      <c r="V142" t="e">
        <f>AND('Planilla_General_03-12-2012_9_3'!E2258,"AAAAADb8bxU=")</f>
        <v>#VALUE!</v>
      </c>
      <c r="W142" t="e">
        <f>AND('Planilla_General_03-12-2012_9_3'!F2258,"AAAAADb8bxY=")</f>
        <v>#VALUE!</v>
      </c>
      <c r="X142" t="e">
        <f>AND('Planilla_General_03-12-2012_9_3'!G2258,"AAAAADb8bxc=")</f>
        <v>#VALUE!</v>
      </c>
      <c r="Y142" t="e">
        <f>AND('Planilla_General_03-12-2012_9_3'!H2258,"AAAAADb8bxg=")</f>
        <v>#VALUE!</v>
      </c>
      <c r="Z142" t="e">
        <f>AND('Planilla_General_03-12-2012_9_3'!I2258,"AAAAADb8bxk=")</f>
        <v>#VALUE!</v>
      </c>
      <c r="AA142" t="e">
        <f>AND('Planilla_General_03-12-2012_9_3'!J2258,"AAAAADb8bxo=")</f>
        <v>#VALUE!</v>
      </c>
      <c r="AB142" t="e">
        <f>AND('Planilla_General_03-12-2012_9_3'!K2258,"AAAAADb8bxs=")</f>
        <v>#VALUE!</v>
      </c>
      <c r="AC142" t="e">
        <f>AND('Planilla_General_03-12-2012_9_3'!L2258,"AAAAADb8bxw=")</f>
        <v>#VALUE!</v>
      </c>
      <c r="AD142" t="e">
        <f>AND('Planilla_General_03-12-2012_9_3'!M2258,"AAAAADb8bx0=")</f>
        <v>#VALUE!</v>
      </c>
      <c r="AE142" t="e">
        <f>AND('Planilla_General_03-12-2012_9_3'!N2258,"AAAAADb8bx4=")</f>
        <v>#VALUE!</v>
      </c>
      <c r="AF142" t="e">
        <f>AND('Planilla_General_03-12-2012_9_3'!O2258,"AAAAADb8bx8=")</f>
        <v>#VALUE!</v>
      </c>
      <c r="AG142">
        <f>IF('Planilla_General_03-12-2012_9_3'!2259:2259,"AAAAADb8byA=",0)</f>
        <v>0</v>
      </c>
      <c r="AH142" t="e">
        <f>AND('Planilla_General_03-12-2012_9_3'!A2259,"AAAAADb8byE=")</f>
        <v>#VALUE!</v>
      </c>
      <c r="AI142" t="e">
        <f>AND('Planilla_General_03-12-2012_9_3'!B2259,"AAAAADb8byI=")</f>
        <v>#VALUE!</v>
      </c>
      <c r="AJ142" t="e">
        <f>AND('Planilla_General_03-12-2012_9_3'!C2259,"AAAAADb8byM=")</f>
        <v>#VALUE!</v>
      </c>
      <c r="AK142" t="e">
        <f>AND('Planilla_General_03-12-2012_9_3'!D2259,"AAAAADb8byQ=")</f>
        <v>#VALUE!</v>
      </c>
      <c r="AL142" t="e">
        <f>AND('Planilla_General_03-12-2012_9_3'!E2259,"AAAAADb8byU=")</f>
        <v>#VALUE!</v>
      </c>
      <c r="AM142" t="e">
        <f>AND('Planilla_General_03-12-2012_9_3'!F2259,"AAAAADb8byY=")</f>
        <v>#VALUE!</v>
      </c>
      <c r="AN142" t="e">
        <f>AND('Planilla_General_03-12-2012_9_3'!G2259,"AAAAADb8byc=")</f>
        <v>#VALUE!</v>
      </c>
      <c r="AO142" t="e">
        <f>AND('Planilla_General_03-12-2012_9_3'!H2259,"AAAAADb8byg=")</f>
        <v>#VALUE!</v>
      </c>
      <c r="AP142" t="e">
        <f>AND('Planilla_General_03-12-2012_9_3'!I2259,"AAAAADb8byk=")</f>
        <v>#VALUE!</v>
      </c>
      <c r="AQ142" t="e">
        <f>AND('Planilla_General_03-12-2012_9_3'!J2259,"AAAAADb8byo=")</f>
        <v>#VALUE!</v>
      </c>
      <c r="AR142" t="e">
        <f>AND('Planilla_General_03-12-2012_9_3'!K2259,"AAAAADb8bys=")</f>
        <v>#VALUE!</v>
      </c>
      <c r="AS142" t="e">
        <f>AND('Planilla_General_03-12-2012_9_3'!L2259,"AAAAADb8byw=")</f>
        <v>#VALUE!</v>
      </c>
      <c r="AT142" t="e">
        <f>AND('Planilla_General_03-12-2012_9_3'!M2259,"AAAAADb8by0=")</f>
        <v>#VALUE!</v>
      </c>
      <c r="AU142" t="e">
        <f>AND('Planilla_General_03-12-2012_9_3'!N2259,"AAAAADb8by4=")</f>
        <v>#VALUE!</v>
      </c>
      <c r="AV142" t="e">
        <f>AND('Planilla_General_03-12-2012_9_3'!O2259,"AAAAADb8by8=")</f>
        <v>#VALUE!</v>
      </c>
      <c r="AW142">
        <f>IF('Planilla_General_03-12-2012_9_3'!2260:2260,"AAAAADb8bzA=",0)</f>
        <v>0</v>
      </c>
      <c r="AX142" t="e">
        <f>AND('Planilla_General_03-12-2012_9_3'!A2260,"AAAAADb8bzE=")</f>
        <v>#VALUE!</v>
      </c>
      <c r="AY142" t="e">
        <f>AND('Planilla_General_03-12-2012_9_3'!B2260,"AAAAADb8bzI=")</f>
        <v>#VALUE!</v>
      </c>
      <c r="AZ142" t="e">
        <f>AND('Planilla_General_03-12-2012_9_3'!C2260,"AAAAADb8bzM=")</f>
        <v>#VALUE!</v>
      </c>
      <c r="BA142" t="e">
        <f>AND('Planilla_General_03-12-2012_9_3'!D2260,"AAAAADb8bzQ=")</f>
        <v>#VALUE!</v>
      </c>
      <c r="BB142" t="e">
        <f>AND('Planilla_General_03-12-2012_9_3'!E2260,"AAAAADb8bzU=")</f>
        <v>#VALUE!</v>
      </c>
      <c r="BC142" t="e">
        <f>AND('Planilla_General_03-12-2012_9_3'!F2260,"AAAAADb8bzY=")</f>
        <v>#VALUE!</v>
      </c>
      <c r="BD142" t="e">
        <f>AND('Planilla_General_03-12-2012_9_3'!G2260,"AAAAADb8bzc=")</f>
        <v>#VALUE!</v>
      </c>
      <c r="BE142" t="e">
        <f>AND('Planilla_General_03-12-2012_9_3'!H2260,"AAAAADb8bzg=")</f>
        <v>#VALUE!</v>
      </c>
      <c r="BF142" t="e">
        <f>AND('Planilla_General_03-12-2012_9_3'!I2260,"AAAAADb8bzk=")</f>
        <v>#VALUE!</v>
      </c>
      <c r="BG142" t="e">
        <f>AND('Planilla_General_03-12-2012_9_3'!J2260,"AAAAADb8bzo=")</f>
        <v>#VALUE!</v>
      </c>
      <c r="BH142" t="e">
        <f>AND('Planilla_General_03-12-2012_9_3'!K2260,"AAAAADb8bzs=")</f>
        <v>#VALUE!</v>
      </c>
      <c r="BI142" t="e">
        <f>AND('Planilla_General_03-12-2012_9_3'!L2260,"AAAAADb8bzw=")</f>
        <v>#VALUE!</v>
      </c>
      <c r="BJ142" t="e">
        <f>AND('Planilla_General_03-12-2012_9_3'!M2260,"AAAAADb8bz0=")</f>
        <v>#VALUE!</v>
      </c>
      <c r="BK142" t="e">
        <f>AND('Planilla_General_03-12-2012_9_3'!N2260,"AAAAADb8bz4=")</f>
        <v>#VALUE!</v>
      </c>
      <c r="BL142" t="e">
        <f>AND('Planilla_General_03-12-2012_9_3'!O2260,"AAAAADb8bz8=")</f>
        <v>#VALUE!</v>
      </c>
      <c r="BM142">
        <f>IF('Planilla_General_03-12-2012_9_3'!2261:2261,"AAAAADb8b0A=",0)</f>
        <v>0</v>
      </c>
      <c r="BN142" t="e">
        <f>AND('Planilla_General_03-12-2012_9_3'!A2261,"AAAAADb8b0E=")</f>
        <v>#VALUE!</v>
      </c>
      <c r="BO142" t="e">
        <f>AND('Planilla_General_03-12-2012_9_3'!B2261,"AAAAADb8b0I=")</f>
        <v>#VALUE!</v>
      </c>
      <c r="BP142" t="e">
        <f>AND('Planilla_General_03-12-2012_9_3'!C2261,"AAAAADb8b0M=")</f>
        <v>#VALUE!</v>
      </c>
      <c r="BQ142" t="e">
        <f>AND('Planilla_General_03-12-2012_9_3'!D2261,"AAAAADb8b0Q=")</f>
        <v>#VALUE!</v>
      </c>
      <c r="BR142" t="e">
        <f>AND('Planilla_General_03-12-2012_9_3'!E2261,"AAAAADb8b0U=")</f>
        <v>#VALUE!</v>
      </c>
      <c r="BS142" t="e">
        <f>AND('Planilla_General_03-12-2012_9_3'!F2261,"AAAAADb8b0Y=")</f>
        <v>#VALUE!</v>
      </c>
      <c r="BT142" t="e">
        <f>AND('Planilla_General_03-12-2012_9_3'!G2261,"AAAAADb8b0c=")</f>
        <v>#VALUE!</v>
      </c>
      <c r="BU142" t="e">
        <f>AND('Planilla_General_03-12-2012_9_3'!H2261,"AAAAADb8b0g=")</f>
        <v>#VALUE!</v>
      </c>
      <c r="BV142" t="e">
        <f>AND('Planilla_General_03-12-2012_9_3'!I2261,"AAAAADb8b0k=")</f>
        <v>#VALUE!</v>
      </c>
      <c r="BW142" t="e">
        <f>AND('Planilla_General_03-12-2012_9_3'!J2261,"AAAAADb8b0o=")</f>
        <v>#VALUE!</v>
      </c>
      <c r="BX142" t="e">
        <f>AND('Planilla_General_03-12-2012_9_3'!K2261,"AAAAADb8b0s=")</f>
        <v>#VALUE!</v>
      </c>
      <c r="BY142" t="e">
        <f>AND('Planilla_General_03-12-2012_9_3'!L2261,"AAAAADb8b0w=")</f>
        <v>#VALUE!</v>
      </c>
      <c r="BZ142" t="e">
        <f>AND('Planilla_General_03-12-2012_9_3'!M2261,"AAAAADb8b00=")</f>
        <v>#VALUE!</v>
      </c>
      <c r="CA142" t="e">
        <f>AND('Planilla_General_03-12-2012_9_3'!N2261,"AAAAADb8b04=")</f>
        <v>#VALUE!</v>
      </c>
      <c r="CB142" t="e">
        <f>AND('Planilla_General_03-12-2012_9_3'!O2261,"AAAAADb8b08=")</f>
        <v>#VALUE!</v>
      </c>
      <c r="CC142">
        <f>IF('Planilla_General_03-12-2012_9_3'!2262:2262,"AAAAADb8b1A=",0)</f>
        <v>0</v>
      </c>
      <c r="CD142" t="e">
        <f>AND('Planilla_General_03-12-2012_9_3'!A2262,"AAAAADb8b1E=")</f>
        <v>#VALUE!</v>
      </c>
      <c r="CE142" t="e">
        <f>AND('Planilla_General_03-12-2012_9_3'!B2262,"AAAAADb8b1I=")</f>
        <v>#VALUE!</v>
      </c>
      <c r="CF142" t="e">
        <f>AND('Planilla_General_03-12-2012_9_3'!C2262,"AAAAADb8b1M=")</f>
        <v>#VALUE!</v>
      </c>
      <c r="CG142" t="e">
        <f>AND('Planilla_General_03-12-2012_9_3'!D2262,"AAAAADb8b1Q=")</f>
        <v>#VALUE!</v>
      </c>
      <c r="CH142" t="e">
        <f>AND('Planilla_General_03-12-2012_9_3'!E2262,"AAAAADb8b1U=")</f>
        <v>#VALUE!</v>
      </c>
      <c r="CI142" t="e">
        <f>AND('Planilla_General_03-12-2012_9_3'!F2262,"AAAAADb8b1Y=")</f>
        <v>#VALUE!</v>
      </c>
      <c r="CJ142" t="e">
        <f>AND('Planilla_General_03-12-2012_9_3'!G2262,"AAAAADb8b1c=")</f>
        <v>#VALUE!</v>
      </c>
      <c r="CK142" t="e">
        <f>AND('Planilla_General_03-12-2012_9_3'!H2262,"AAAAADb8b1g=")</f>
        <v>#VALUE!</v>
      </c>
      <c r="CL142" t="e">
        <f>AND('Planilla_General_03-12-2012_9_3'!I2262,"AAAAADb8b1k=")</f>
        <v>#VALUE!</v>
      </c>
      <c r="CM142" t="e">
        <f>AND('Planilla_General_03-12-2012_9_3'!J2262,"AAAAADb8b1o=")</f>
        <v>#VALUE!</v>
      </c>
      <c r="CN142" t="e">
        <f>AND('Planilla_General_03-12-2012_9_3'!K2262,"AAAAADb8b1s=")</f>
        <v>#VALUE!</v>
      </c>
      <c r="CO142" t="e">
        <f>AND('Planilla_General_03-12-2012_9_3'!L2262,"AAAAADb8b1w=")</f>
        <v>#VALUE!</v>
      </c>
      <c r="CP142" t="e">
        <f>AND('Planilla_General_03-12-2012_9_3'!M2262,"AAAAADb8b10=")</f>
        <v>#VALUE!</v>
      </c>
      <c r="CQ142" t="e">
        <f>AND('Planilla_General_03-12-2012_9_3'!N2262,"AAAAADb8b14=")</f>
        <v>#VALUE!</v>
      </c>
      <c r="CR142" t="e">
        <f>AND('Planilla_General_03-12-2012_9_3'!O2262,"AAAAADb8b18=")</f>
        <v>#VALUE!</v>
      </c>
      <c r="CS142">
        <f>IF('Planilla_General_03-12-2012_9_3'!2263:2263,"AAAAADb8b2A=",0)</f>
        <v>0</v>
      </c>
      <c r="CT142" t="e">
        <f>AND('Planilla_General_03-12-2012_9_3'!A2263,"AAAAADb8b2E=")</f>
        <v>#VALUE!</v>
      </c>
      <c r="CU142" t="e">
        <f>AND('Planilla_General_03-12-2012_9_3'!B2263,"AAAAADb8b2I=")</f>
        <v>#VALUE!</v>
      </c>
      <c r="CV142" t="e">
        <f>AND('Planilla_General_03-12-2012_9_3'!C2263,"AAAAADb8b2M=")</f>
        <v>#VALUE!</v>
      </c>
      <c r="CW142" t="e">
        <f>AND('Planilla_General_03-12-2012_9_3'!D2263,"AAAAADb8b2Q=")</f>
        <v>#VALUE!</v>
      </c>
      <c r="CX142" t="e">
        <f>AND('Planilla_General_03-12-2012_9_3'!E2263,"AAAAADb8b2U=")</f>
        <v>#VALUE!</v>
      </c>
      <c r="CY142" t="e">
        <f>AND('Planilla_General_03-12-2012_9_3'!F2263,"AAAAADb8b2Y=")</f>
        <v>#VALUE!</v>
      </c>
      <c r="CZ142" t="e">
        <f>AND('Planilla_General_03-12-2012_9_3'!G2263,"AAAAADb8b2c=")</f>
        <v>#VALUE!</v>
      </c>
      <c r="DA142" t="e">
        <f>AND('Planilla_General_03-12-2012_9_3'!H2263,"AAAAADb8b2g=")</f>
        <v>#VALUE!</v>
      </c>
      <c r="DB142" t="e">
        <f>AND('Planilla_General_03-12-2012_9_3'!I2263,"AAAAADb8b2k=")</f>
        <v>#VALUE!</v>
      </c>
      <c r="DC142" t="e">
        <f>AND('Planilla_General_03-12-2012_9_3'!J2263,"AAAAADb8b2o=")</f>
        <v>#VALUE!</v>
      </c>
      <c r="DD142" t="e">
        <f>AND('Planilla_General_03-12-2012_9_3'!K2263,"AAAAADb8b2s=")</f>
        <v>#VALUE!</v>
      </c>
      <c r="DE142" t="e">
        <f>AND('Planilla_General_03-12-2012_9_3'!L2263,"AAAAADb8b2w=")</f>
        <v>#VALUE!</v>
      </c>
      <c r="DF142" t="e">
        <f>AND('Planilla_General_03-12-2012_9_3'!M2263,"AAAAADb8b20=")</f>
        <v>#VALUE!</v>
      </c>
      <c r="DG142" t="e">
        <f>AND('Planilla_General_03-12-2012_9_3'!N2263,"AAAAADb8b24=")</f>
        <v>#VALUE!</v>
      </c>
      <c r="DH142" t="e">
        <f>AND('Planilla_General_03-12-2012_9_3'!O2263,"AAAAADb8b28=")</f>
        <v>#VALUE!</v>
      </c>
      <c r="DI142">
        <f>IF('Planilla_General_03-12-2012_9_3'!2264:2264,"AAAAADb8b3A=",0)</f>
        <v>0</v>
      </c>
      <c r="DJ142" t="e">
        <f>AND('Planilla_General_03-12-2012_9_3'!A2264,"AAAAADb8b3E=")</f>
        <v>#VALUE!</v>
      </c>
      <c r="DK142" t="e">
        <f>AND('Planilla_General_03-12-2012_9_3'!B2264,"AAAAADb8b3I=")</f>
        <v>#VALUE!</v>
      </c>
      <c r="DL142" t="e">
        <f>AND('Planilla_General_03-12-2012_9_3'!C2264,"AAAAADb8b3M=")</f>
        <v>#VALUE!</v>
      </c>
      <c r="DM142" t="e">
        <f>AND('Planilla_General_03-12-2012_9_3'!D2264,"AAAAADb8b3Q=")</f>
        <v>#VALUE!</v>
      </c>
      <c r="DN142" t="e">
        <f>AND('Planilla_General_03-12-2012_9_3'!E2264,"AAAAADb8b3U=")</f>
        <v>#VALUE!</v>
      </c>
      <c r="DO142" t="e">
        <f>AND('Planilla_General_03-12-2012_9_3'!F2264,"AAAAADb8b3Y=")</f>
        <v>#VALUE!</v>
      </c>
      <c r="DP142" t="e">
        <f>AND('Planilla_General_03-12-2012_9_3'!G2264,"AAAAADb8b3c=")</f>
        <v>#VALUE!</v>
      </c>
      <c r="DQ142" t="e">
        <f>AND('Planilla_General_03-12-2012_9_3'!H2264,"AAAAADb8b3g=")</f>
        <v>#VALUE!</v>
      </c>
      <c r="DR142" t="e">
        <f>AND('Planilla_General_03-12-2012_9_3'!I2264,"AAAAADb8b3k=")</f>
        <v>#VALUE!</v>
      </c>
      <c r="DS142" t="e">
        <f>AND('Planilla_General_03-12-2012_9_3'!J2264,"AAAAADb8b3o=")</f>
        <v>#VALUE!</v>
      </c>
      <c r="DT142" t="e">
        <f>AND('Planilla_General_03-12-2012_9_3'!K2264,"AAAAADb8b3s=")</f>
        <v>#VALUE!</v>
      </c>
      <c r="DU142" t="e">
        <f>AND('Planilla_General_03-12-2012_9_3'!L2264,"AAAAADb8b3w=")</f>
        <v>#VALUE!</v>
      </c>
      <c r="DV142" t="e">
        <f>AND('Planilla_General_03-12-2012_9_3'!M2264,"AAAAADb8b30=")</f>
        <v>#VALUE!</v>
      </c>
      <c r="DW142" t="e">
        <f>AND('Planilla_General_03-12-2012_9_3'!N2264,"AAAAADb8b34=")</f>
        <v>#VALUE!</v>
      </c>
      <c r="DX142" t="e">
        <f>AND('Planilla_General_03-12-2012_9_3'!O2264,"AAAAADb8b38=")</f>
        <v>#VALUE!</v>
      </c>
      <c r="DY142">
        <f>IF('Planilla_General_03-12-2012_9_3'!2265:2265,"AAAAADb8b4A=",0)</f>
        <v>0</v>
      </c>
      <c r="DZ142" t="e">
        <f>AND('Planilla_General_03-12-2012_9_3'!A2265,"AAAAADb8b4E=")</f>
        <v>#VALUE!</v>
      </c>
      <c r="EA142" t="e">
        <f>AND('Planilla_General_03-12-2012_9_3'!B2265,"AAAAADb8b4I=")</f>
        <v>#VALUE!</v>
      </c>
      <c r="EB142" t="e">
        <f>AND('Planilla_General_03-12-2012_9_3'!C2265,"AAAAADb8b4M=")</f>
        <v>#VALUE!</v>
      </c>
      <c r="EC142" t="e">
        <f>AND('Planilla_General_03-12-2012_9_3'!D2265,"AAAAADb8b4Q=")</f>
        <v>#VALUE!</v>
      </c>
      <c r="ED142" t="e">
        <f>AND('Planilla_General_03-12-2012_9_3'!E2265,"AAAAADb8b4U=")</f>
        <v>#VALUE!</v>
      </c>
      <c r="EE142" t="e">
        <f>AND('Planilla_General_03-12-2012_9_3'!F2265,"AAAAADb8b4Y=")</f>
        <v>#VALUE!</v>
      </c>
      <c r="EF142" t="e">
        <f>AND('Planilla_General_03-12-2012_9_3'!G2265,"AAAAADb8b4c=")</f>
        <v>#VALUE!</v>
      </c>
      <c r="EG142" t="e">
        <f>AND('Planilla_General_03-12-2012_9_3'!H2265,"AAAAADb8b4g=")</f>
        <v>#VALUE!</v>
      </c>
      <c r="EH142" t="e">
        <f>AND('Planilla_General_03-12-2012_9_3'!I2265,"AAAAADb8b4k=")</f>
        <v>#VALUE!</v>
      </c>
      <c r="EI142" t="e">
        <f>AND('Planilla_General_03-12-2012_9_3'!J2265,"AAAAADb8b4o=")</f>
        <v>#VALUE!</v>
      </c>
      <c r="EJ142" t="e">
        <f>AND('Planilla_General_03-12-2012_9_3'!K2265,"AAAAADb8b4s=")</f>
        <v>#VALUE!</v>
      </c>
      <c r="EK142" t="e">
        <f>AND('Planilla_General_03-12-2012_9_3'!L2265,"AAAAADb8b4w=")</f>
        <v>#VALUE!</v>
      </c>
      <c r="EL142" t="e">
        <f>AND('Planilla_General_03-12-2012_9_3'!M2265,"AAAAADb8b40=")</f>
        <v>#VALUE!</v>
      </c>
      <c r="EM142" t="e">
        <f>AND('Planilla_General_03-12-2012_9_3'!N2265,"AAAAADb8b44=")</f>
        <v>#VALUE!</v>
      </c>
      <c r="EN142" t="e">
        <f>AND('Planilla_General_03-12-2012_9_3'!O2265,"AAAAADb8b48=")</f>
        <v>#VALUE!</v>
      </c>
      <c r="EO142">
        <f>IF('Planilla_General_03-12-2012_9_3'!2266:2266,"AAAAADb8b5A=",0)</f>
        <v>0</v>
      </c>
      <c r="EP142" t="e">
        <f>AND('Planilla_General_03-12-2012_9_3'!A2266,"AAAAADb8b5E=")</f>
        <v>#VALUE!</v>
      </c>
      <c r="EQ142" t="e">
        <f>AND('Planilla_General_03-12-2012_9_3'!B2266,"AAAAADb8b5I=")</f>
        <v>#VALUE!</v>
      </c>
      <c r="ER142" t="e">
        <f>AND('Planilla_General_03-12-2012_9_3'!C2266,"AAAAADb8b5M=")</f>
        <v>#VALUE!</v>
      </c>
      <c r="ES142" t="e">
        <f>AND('Planilla_General_03-12-2012_9_3'!D2266,"AAAAADb8b5Q=")</f>
        <v>#VALUE!</v>
      </c>
      <c r="ET142" t="e">
        <f>AND('Planilla_General_03-12-2012_9_3'!E2266,"AAAAADb8b5U=")</f>
        <v>#VALUE!</v>
      </c>
      <c r="EU142" t="e">
        <f>AND('Planilla_General_03-12-2012_9_3'!F2266,"AAAAADb8b5Y=")</f>
        <v>#VALUE!</v>
      </c>
      <c r="EV142" t="e">
        <f>AND('Planilla_General_03-12-2012_9_3'!G2266,"AAAAADb8b5c=")</f>
        <v>#VALUE!</v>
      </c>
      <c r="EW142" t="e">
        <f>AND('Planilla_General_03-12-2012_9_3'!H2266,"AAAAADb8b5g=")</f>
        <v>#VALUE!</v>
      </c>
      <c r="EX142" t="e">
        <f>AND('Planilla_General_03-12-2012_9_3'!I2266,"AAAAADb8b5k=")</f>
        <v>#VALUE!</v>
      </c>
      <c r="EY142" t="e">
        <f>AND('Planilla_General_03-12-2012_9_3'!J2266,"AAAAADb8b5o=")</f>
        <v>#VALUE!</v>
      </c>
      <c r="EZ142" t="e">
        <f>AND('Planilla_General_03-12-2012_9_3'!K2266,"AAAAADb8b5s=")</f>
        <v>#VALUE!</v>
      </c>
      <c r="FA142" t="e">
        <f>AND('Planilla_General_03-12-2012_9_3'!L2266,"AAAAADb8b5w=")</f>
        <v>#VALUE!</v>
      </c>
      <c r="FB142" t="e">
        <f>AND('Planilla_General_03-12-2012_9_3'!M2266,"AAAAADb8b50=")</f>
        <v>#VALUE!</v>
      </c>
      <c r="FC142" t="e">
        <f>AND('Planilla_General_03-12-2012_9_3'!N2266,"AAAAADb8b54=")</f>
        <v>#VALUE!</v>
      </c>
      <c r="FD142" t="e">
        <f>AND('Planilla_General_03-12-2012_9_3'!O2266,"AAAAADb8b58=")</f>
        <v>#VALUE!</v>
      </c>
      <c r="FE142">
        <f>IF('Planilla_General_03-12-2012_9_3'!2267:2267,"AAAAADb8b6A=",0)</f>
        <v>0</v>
      </c>
      <c r="FF142" t="e">
        <f>AND('Planilla_General_03-12-2012_9_3'!A2267,"AAAAADb8b6E=")</f>
        <v>#VALUE!</v>
      </c>
      <c r="FG142" t="e">
        <f>AND('Planilla_General_03-12-2012_9_3'!B2267,"AAAAADb8b6I=")</f>
        <v>#VALUE!</v>
      </c>
      <c r="FH142" t="e">
        <f>AND('Planilla_General_03-12-2012_9_3'!C2267,"AAAAADb8b6M=")</f>
        <v>#VALUE!</v>
      </c>
      <c r="FI142" t="e">
        <f>AND('Planilla_General_03-12-2012_9_3'!D2267,"AAAAADb8b6Q=")</f>
        <v>#VALUE!</v>
      </c>
      <c r="FJ142" t="e">
        <f>AND('Planilla_General_03-12-2012_9_3'!E2267,"AAAAADb8b6U=")</f>
        <v>#VALUE!</v>
      </c>
      <c r="FK142" t="e">
        <f>AND('Planilla_General_03-12-2012_9_3'!F2267,"AAAAADb8b6Y=")</f>
        <v>#VALUE!</v>
      </c>
      <c r="FL142" t="e">
        <f>AND('Planilla_General_03-12-2012_9_3'!G2267,"AAAAADb8b6c=")</f>
        <v>#VALUE!</v>
      </c>
      <c r="FM142" t="e">
        <f>AND('Planilla_General_03-12-2012_9_3'!H2267,"AAAAADb8b6g=")</f>
        <v>#VALUE!</v>
      </c>
      <c r="FN142" t="e">
        <f>AND('Planilla_General_03-12-2012_9_3'!I2267,"AAAAADb8b6k=")</f>
        <v>#VALUE!</v>
      </c>
      <c r="FO142" t="e">
        <f>AND('Planilla_General_03-12-2012_9_3'!J2267,"AAAAADb8b6o=")</f>
        <v>#VALUE!</v>
      </c>
      <c r="FP142" t="e">
        <f>AND('Planilla_General_03-12-2012_9_3'!K2267,"AAAAADb8b6s=")</f>
        <v>#VALUE!</v>
      </c>
      <c r="FQ142" t="e">
        <f>AND('Planilla_General_03-12-2012_9_3'!L2267,"AAAAADb8b6w=")</f>
        <v>#VALUE!</v>
      </c>
      <c r="FR142" t="e">
        <f>AND('Planilla_General_03-12-2012_9_3'!M2267,"AAAAADb8b60=")</f>
        <v>#VALUE!</v>
      </c>
      <c r="FS142" t="e">
        <f>AND('Planilla_General_03-12-2012_9_3'!N2267,"AAAAADb8b64=")</f>
        <v>#VALUE!</v>
      </c>
      <c r="FT142" t="e">
        <f>AND('Planilla_General_03-12-2012_9_3'!O2267,"AAAAADb8b68=")</f>
        <v>#VALUE!</v>
      </c>
      <c r="FU142">
        <f>IF('Planilla_General_03-12-2012_9_3'!2268:2268,"AAAAADb8b7A=",0)</f>
        <v>0</v>
      </c>
      <c r="FV142" t="e">
        <f>AND('Planilla_General_03-12-2012_9_3'!A2268,"AAAAADb8b7E=")</f>
        <v>#VALUE!</v>
      </c>
      <c r="FW142" t="e">
        <f>AND('Planilla_General_03-12-2012_9_3'!B2268,"AAAAADb8b7I=")</f>
        <v>#VALUE!</v>
      </c>
      <c r="FX142" t="e">
        <f>AND('Planilla_General_03-12-2012_9_3'!C2268,"AAAAADb8b7M=")</f>
        <v>#VALUE!</v>
      </c>
      <c r="FY142" t="e">
        <f>AND('Planilla_General_03-12-2012_9_3'!D2268,"AAAAADb8b7Q=")</f>
        <v>#VALUE!</v>
      </c>
      <c r="FZ142" t="e">
        <f>AND('Planilla_General_03-12-2012_9_3'!E2268,"AAAAADb8b7U=")</f>
        <v>#VALUE!</v>
      </c>
      <c r="GA142" t="e">
        <f>AND('Planilla_General_03-12-2012_9_3'!F2268,"AAAAADb8b7Y=")</f>
        <v>#VALUE!</v>
      </c>
      <c r="GB142" t="e">
        <f>AND('Planilla_General_03-12-2012_9_3'!G2268,"AAAAADb8b7c=")</f>
        <v>#VALUE!</v>
      </c>
      <c r="GC142" t="e">
        <f>AND('Planilla_General_03-12-2012_9_3'!H2268,"AAAAADb8b7g=")</f>
        <v>#VALUE!</v>
      </c>
      <c r="GD142" t="e">
        <f>AND('Planilla_General_03-12-2012_9_3'!I2268,"AAAAADb8b7k=")</f>
        <v>#VALUE!</v>
      </c>
      <c r="GE142" t="e">
        <f>AND('Planilla_General_03-12-2012_9_3'!J2268,"AAAAADb8b7o=")</f>
        <v>#VALUE!</v>
      </c>
      <c r="GF142" t="e">
        <f>AND('Planilla_General_03-12-2012_9_3'!K2268,"AAAAADb8b7s=")</f>
        <v>#VALUE!</v>
      </c>
      <c r="GG142" t="e">
        <f>AND('Planilla_General_03-12-2012_9_3'!L2268,"AAAAADb8b7w=")</f>
        <v>#VALUE!</v>
      </c>
      <c r="GH142" t="e">
        <f>AND('Planilla_General_03-12-2012_9_3'!M2268,"AAAAADb8b70=")</f>
        <v>#VALUE!</v>
      </c>
      <c r="GI142" t="e">
        <f>AND('Planilla_General_03-12-2012_9_3'!N2268,"AAAAADb8b74=")</f>
        <v>#VALUE!</v>
      </c>
      <c r="GJ142" t="e">
        <f>AND('Planilla_General_03-12-2012_9_3'!O2268,"AAAAADb8b78=")</f>
        <v>#VALUE!</v>
      </c>
      <c r="GK142">
        <f>IF('Planilla_General_03-12-2012_9_3'!2269:2269,"AAAAADb8b8A=",0)</f>
        <v>0</v>
      </c>
      <c r="GL142" t="e">
        <f>AND('Planilla_General_03-12-2012_9_3'!A2269,"AAAAADb8b8E=")</f>
        <v>#VALUE!</v>
      </c>
      <c r="GM142" t="e">
        <f>AND('Planilla_General_03-12-2012_9_3'!B2269,"AAAAADb8b8I=")</f>
        <v>#VALUE!</v>
      </c>
      <c r="GN142" t="e">
        <f>AND('Planilla_General_03-12-2012_9_3'!C2269,"AAAAADb8b8M=")</f>
        <v>#VALUE!</v>
      </c>
      <c r="GO142" t="e">
        <f>AND('Planilla_General_03-12-2012_9_3'!D2269,"AAAAADb8b8Q=")</f>
        <v>#VALUE!</v>
      </c>
      <c r="GP142" t="e">
        <f>AND('Planilla_General_03-12-2012_9_3'!E2269,"AAAAADb8b8U=")</f>
        <v>#VALUE!</v>
      </c>
      <c r="GQ142" t="e">
        <f>AND('Planilla_General_03-12-2012_9_3'!F2269,"AAAAADb8b8Y=")</f>
        <v>#VALUE!</v>
      </c>
      <c r="GR142" t="e">
        <f>AND('Planilla_General_03-12-2012_9_3'!G2269,"AAAAADb8b8c=")</f>
        <v>#VALUE!</v>
      </c>
      <c r="GS142" t="e">
        <f>AND('Planilla_General_03-12-2012_9_3'!H2269,"AAAAADb8b8g=")</f>
        <v>#VALUE!</v>
      </c>
      <c r="GT142" t="e">
        <f>AND('Planilla_General_03-12-2012_9_3'!I2269,"AAAAADb8b8k=")</f>
        <v>#VALUE!</v>
      </c>
      <c r="GU142" t="e">
        <f>AND('Planilla_General_03-12-2012_9_3'!J2269,"AAAAADb8b8o=")</f>
        <v>#VALUE!</v>
      </c>
      <c r="GV142" t="e">
        <f>AND('Planilla_General_03-12-2012_9_3'!K2269,"AAAAADb8b8s=")</f>
        <v>#VALUE!</v>
      </c>
      <c r="GW142" t="e">
        <f>AND('Planilla_General_03-12-2012_9_3'!L2269,"AAAAADb8b8w=")</f>
        <v>#VALUE!</v>
      </c>
      <c r="GX142" t="e">
        <f>AND('Planilla_General_03-12-2012_9_3'!M2269,"AAAAADb8b80=")</f>
        <v>#VALUE!</v>
      </c>
      <c r="GY142" t="e">
        <f>AND('Planilla_General_03-12-2012_9_3'!N2269,"AAAAADb8b84=")</f>
        <v>#VALUE!</v>
      </c>
      <c r="GZ142" t="e">
        <f>AND('Planilla_General_03-12-2012_9_3'!O2269,"AAAAADb8b88=")</f>
        <v>#VALUE!</v>
      </c>
      <c r="HA142">
        <f>IF('Planilla_General_03-12-2012_9_3'!2270:2270,"AAAAADb8b9A=",0)</f>
        <v>0</v>
      </c>
      <c r="HB142" t="e">
        <f>AND('Planilla_General_03-12-2012_9_3'!A2270,"AAAAADb8b9E=")</f>
        <v>#VALUE!</v>
      </c>
      <c r="HC142" t="e">
        <f>AND('Planilla_General_03-12-2012_9_3'!B2270,"AAAAADb8b9I=")</f>
        <v>#VALUE!</v>
      </c>
      <c r="HD142" t="e">
        <f>AND('Planilla_General_03-12-2012_9_3'!C2270,"AAAAADb8b9M=")</f>
        <v>#VALUE!</v>
      </c>
      <c r="HE142" t="e">
        <f>AND('Planilla_General_03-12-2012_9_3'!D2270,"AAAAADb8b9Q=")</f>
        <v>#VALUE!</v>
      </c>
      <c r="HF142" t="e">
        <f>AND('Planilla_General_03-12-2012_9_3'!E2270,"AAAAADb8b9U=")</f>
        <v>#VALUE!</v>
      </c>
      <c r="HG142" t="e">
        <f>AND('Planilla_General_03-12-2012_9_3'!F2270,"AAAAADb8b9Y=")</f>
        <v>#VALUE!</v>
      </c>
      <c r="HH142" t="e">
        <f>AND('Planilla_General_03-12-2012_9_3'!G2270,"AAAAADb8b9c=")</f>
        <v>#VALUE!</v>
      </c>
      <c r="HI142" t="e">
        <f>AND('Planilla_General_03-12-2012_9_3'!H2270,"AAAAADb8b9g=")</f>
        <v>#VALUE!</v>
      </c>
      <c r="HJ142" t="e">
        <f>AND('Planilla_General_03-12-2012_9_3'!I2270,"AAAAADb8b9k=")</f>
        <v>#VALUE!</v>
      </c>
      <c r="HK142" t="e">
        <f>AND('Planilla_General_03-12-2012_9_3'!J2270,"AAAAADb8b9o=")</f>
        <v>#VALUE!</v>
      </c>
      <c r="HL142" t="e">
        <f>AND('Planilla_General_03-12-2012_9_3'!K2270,"AAAAADb8b9s=")</f>
        <v>#VALUE!</v>
      </c>
      <c r="HM142" t="e">
        <f>AND('Planilla_General_03-12-2012_9_3'!L2270,"AAAAADb8b9w=")</f>
        <v>#VALUE!</v>
      </c>
      <c r="HN142" t="e">
        <f>AND('Planilla_General_03-12-2012_9_3'!M2270,"AAAAADb8b90=")</f>
        <v>#VALUE!</v>
      </c>
      <c r="HO142" t="e">
        <f>AND('Planilla_General_03-12-2012_9_3'!N2270,"AAAAADb8b94=")</f>
        <v>#VALUE!</v>
      </c>
      <c r="HP142" t="e">
        <f>AND('Planilla_General_03-12-2012_9_3'!O2270,"AAAAADb8b98=")</f>
        <v>#VALUE!</v>
      </c>
      <c r="HQ142">
        <f>IF('Planilla_General_03-12-2012_9_3'!2271:2271,"AAAAADb8b+A=",0)</f>
        <v>0</v>
      </c>
      <c r="HR142" t="e">
        <f>AND('Planilla_General_03-12-2012_9_3'!A2271,"AAAAADb8b+E=")</f>
        <v>#VALUE!</v>
      </c>
      <c r="HS142" t="e">
        <f>AND('Planilla_General_03-12-2012_9_3'!B2271,"AAAAADb8b+I=")</f>
        <v>#VALUE!</v>
      </c>
      <c r="HT142" t="e">
        <f>AND('Planilla_General_03-12-2012_9_3'!C2271,"AAAAADb8b+M=")</f>
        <v>#VALUE!</v>
      </c>
      <c r="HU142" t="e">
        <f>AND('Planilla_General_03-12-2012_9_3'!D2271,"AAAAADb8b+Q=")</f>
        <v>#VALUE!</v>
      </c>
      <c r="HV142" t="e">
        <f>AND('Planilla_General_03-12-2012_9_3'!E2271,"AAAAADb8b+U=")</f>
        <v>#VALUE!</v>
      </c>
      <c r="HW142" t="e">
        <f>AND('Planilla_General_03-12-2012_9_3'!F2271,"AAAAADb8b+Y=")</f>
        <v>#VALUE!</v>
      </c>
      <c r="HX142" t="e">
        <f>AND('Planilla_General_03-12-2012_9_3'!G2271,"AAAAADb8b+c=")</f>
        <v>#VALUE!</v>
      </c>
      <c r="HY142" t="e">
        <f>AND('Planilla_General_03-12-2012_9_3'!H2271,"AAAAADb8b+g=")</f>
        <v>#VALUE!</v>
      </c>
      <c r="HZ142" t="e">
        <f>AND('Planilla_General_03-12-2012_9_3'!I2271,"AAAAADb8b+k=")</f>
        <v>#VALUE!</v>
      </c>
      <c r="IA142" t="e">
        <f>AND('Planilla_General_03-12-2012_9_3'!J2271,"AAAAADb8b+o=")</f>
        <v>#VALUE!</v>
      </c>
      <c r="IB142" t="e">
        <f>AND('Planilla_General_03-12-2012_9_3'!K2271,"AAAAADb8b+s=")</f>
        <v>#VALUE!</v>
      </c>
      <c r="IC142" t="e">
        <f>AND('Planilla_General_03-12-2012_9_3'!L2271,"AAAAADb8b+w=")</f>
        <v>#VALUE!</v>
      </c>
      <c r="ID142" t="e">
        <f>AND('Planilla_General_03-12-2012_9_3'!M2271,"AAAAADb8b+0=")</f>
        <v>#VALUE!</v>
      </c>
      <c r="IE142" t="e">
        <f>AND('Planilla_General_03-12-2012_9_3'!N2271,"AAAAADb8b+4=")</f>
        <v>#VALUE!</v>
      </c>
      <c r="IF142" t="e">
        <f>AND('Planilla_General_03-12-2012_9_3'!O2271,"AAAAADb8b+8=")</f>
        <v>#VALUE!</v>
      </c>
      <c r="IG142">
        <f>IF('Planilla_General_03-12-2012_9_3'!2272:2272,"AAAAADb8b/A=",0)</f>
        <v>0</v>
      </c>
      <c r="IH142" t="e">
        <f>AND('Planilla_General_03-12-2012_9_3'!A2272,"AAAAADb8b/E=")</f>
        <v>#VALUE!</v>
      </c>
      <c r="II142" t="e">
        <f>AND('Planilla_General_03-12-2012_9_3'!B2272,"AAAAADb8b/I=")</f>
        <v>#VALUE!</v>
      </c>
      <c r="IJ142" t="e">
        <f>AND('Planilla_General_03-12-2012_9_3'!C2272,"AAAAADb8b/M=")</f>
        <v>#VALUE!</v>
      </c>
      <c r="IK142" t="e">
        <f>AND('Planilla_General_03-12-2012_9_3'!D2272,"AAAAADb8b/Q=")</f>
        <v>#VALUE!</v>
      </c>
      <c r="IL142" t="e">
        <f>AND('Planilla_General_03-12-2012_9_3'!E2272,"AAAAADb8b/U=")</f>
        <v>#VALUE!</v>
      </c>
      <c r="IM142" t="e">
        <f>AND('Planilla_General_03-12-2012_9_3'!F2272,"AAAAADb8b/Y=")</f>
        <v>#VALUE!</v>
      </c>
      <c r="IN142" t="e">
        <f>AND('Planilla_General_03-12-2012_9_3'!G2272,"AAAAADb8b/c=")</f>
        <v>#VALUE!</v>
      </c>
      <c r="IO142" t="e">
        <f>AND('Planilla_General_03-12-2012_9_3'!H2272,"AAAAADb8b/g=")</f>
        <v>#VALUE!</v>
      </c>
      <c r="IP142" t="e">
        <f>AND('Planilla_General_03-12-2012_9_3'!I2272,"AAAAADb8b/k=")</f>
        <v>#VALUE!</v>
      </c>
      <c r="IQ142" t="e">
        <f>AND('Planilla_General_03-12-2012_9_3'!J2272,"AAAAADb8b/o=")</f>
        <v>#VALUE!</v>
      </c>
      <c r="IR142" t="e">
        <f>AND('Planilla_General_03-12-2012_9_3'!K2272,"AAAAADb8b/s=")</f>
        <v>#VALUE!</v>
      </c>
      <c r="IS142" t="e">
        <f>AND('Planilla_General_03-12-2012_9_3'!L2272,"AAAAADb8b/w=")</f>
        <v>#VALUE!</v>
      </c>
      <c r="IT142" t="e">
        <f>AND('Planilla_General_03-12-2012_9_3'!M2272,"AAAAADb8b/0=")</f>
        <v>#VALUE!</v>
      </c>
      <c r="IU142" t="e">
        <f>AND('Planilla_General_03-12-2012_9_3'!N2272,"AAAAADb8b/4=")</f>
        <v>#VALUE!</v>
      </c>
      <c r="IV142" t="e">
        <f>AND('Planilla_General_03-12-2012_9_3'!O2272,"AAAAADb8b/8=")</f>
        <v>#VALUE!</v>
      </c>
    </row>
    <row r="143" spans="1:256" x14ac:dyDescent="0.25">
      <c r="A143" t="e">
        <f>IF('Planilla_General_03-12-2012_9_3'!2273:2273,"AAAAAD32/wA=",0)</f>
        <v>#VALUE!</v>
      </c>
      <c r="B143" t="e">
        <f>AND('Planilla_General_03-12-2012_9_3'!A2273,"AAAAAD32/wE=")</f>
        <v>#VALUE!</v>
      </c>
      <c r="C143" t="e">
        <f>AND('Planilla_General_03-12-2012_9_3'!B2273,"AAAAAD32/wI=")</f>
        <v>#VALUE!</v>
      </c>
      <c r="D143" t="e">
        <f>AND('Planilla_General_03-12-2012_9_3'!C2273,"AAAAAD32/wM=")</f>
        <v>#VALUE!</v>
      </c>
      <c r="E143" t="e">
        <f>AND('Planilla_General_03-12-2012_9_3'!D2273,"AAAAAD32/wQ=")</f>
        <v>#VALUE!</v>
      </c>
      <c r="F143" t="e">
        <f>AND('Planilla_General_03-12-2012_9_3'!E2273,"AAAAAD32/wU=")</f>
        <v>#VALUE!</v>
      </c>
      <c r="G143" t="e">
        <f>AND('Planilla_General_03-12-2012_9_3'!F2273,"AAAAAD32/wY=")</f>
        <v>#VALUE!</v>
      </c>
      <c r="H143" t="e">
        <f>AND('Planilla_General_03-12-2012_9_3'!G2273,"AAAAAD32/wc=")</f>
        <v>#VALUE!</v>
      </c>
      <c r="I143" t="e">
        <f>AND('Planilla_General_03-12-2012_9_3'!H2273,"AAAAAD32/wg=")</f>
        <v>#VALUE!</v>
      </c>
      <c r="J143" t="e">
        <f>AND('Planilla_General_03-12-2012_9_3'!I2273,"AAAAAD32/wk=")</f>
        <v>#VALUE!</v>
      </c>
      <c r="K143" t="e">
        <f>AND('Planilla_General_03-12-2012_9_3'!J2273,"AAAAAD32/wo=")</f>
        <v>#VALUE!</v>
      </c>
      <c r="L143" t="e">
        <f>AND('Planilla_General_03-12-2012_9_3'!K2273,"AAAAAD32/ws=")</f>
        <v>#VALUE!</v>
      </c>
      <c r="M143" t="e">
        <f>AND('Planilla_General_03-12-2012_9_3'!L2273,"AAAAAD32/ww=")</f>
        <v>#VALUE!</v>
      </c>
      <c r="N143" t="e">
        <f>AND('Planilla_General_03-12-2012_9_3'!M2273,"AAAAAD32/w0=")</f>
        <v>#VALUE!</v>
      </c>
      <c r="O143" t="e">
        <f>AND('Planilla_General_03-12-2012_9_3'!N2273,"AAAAAD32/w4=")</f>
        <v>#VALUE!</v>
      </c>
      <c r="P143" t="e">
        <f>AND('Planilla_General_03-12-2012_9_3'!O2273,"AAAAAD32/w8=")</f>
        <v>#VALUE!</v>
      </c>
      <c r="Q143">
        <f>IF('Planilla_General_03-12-2012_9_3'!2274:2274,"AAAAAD32/xA=",0)</f>
        <v>0</v>
      </c>
      <c r="R143" t="e">
        <f>AND('Planilla_General_03-12-2012_9_3'!A2274,"AAAAAD32/xE=")</f>
        <v>#VALUE!</v>
      </c>
      <c r="S143" t="e">
        <f>AND('Planilla_General_03-12-2012_9_3'!B2274,"AAAAAD32/xI=")</f>
        <v>#VALUE!</v>
      </c>
      <c r="T143" t="e">
        <f>AND('Planilla_General_03-12-2012_9_3'!C2274,"AAAAAD32/xM=")</f>
        <v>#VALUE!</v>
      </c>
      <c r="U143" t="e">
        <f>AND('Planilla_General_03-12-2012_9_3'!D2274,"AAAAAD32/xQ=")</f>
        <v>#VALUE!</v>
      </c>
      <c r="V143" t="e">
        <f>AND('Planilla_General_03-12-2012_9_3'!E2274,"AAAAAD32/xU=")</f>
        <v>#VALUE!</v>
      </c>
      <c r="W143" t="e">
        <f>AND('Planilla_General_03-12-2012_9_3'!F2274,"AAAAAD32/xY=")</f>
        <v>#VALUE!</v>
      </c>
      <c r="X143" t="e">
        <f>AND('Planilla_General_03-12-2012_9_3'!G2274,"AAAAAD32/xc=")</f>
        <v>#VALUE!</v>
      </c>
      <c r="Y143" t="e">
        <f>AND('Planilla_General_03-12-2012_9_3'!H2274,"AAAAAD32/xg=")</f>
        <v>#VALUE!</v>
      </c>
      <c r="Z143" t="e">
        <f>AND('Planilla_General_03-12-2012_9_3'!I2274,"AAAAAD32/xk=")</f>
        <v>#VALUE!</v>
      </c>
      <c r="AA143" t="e">
        <f>AND('Planilla_General_03-12-2012_9_3'!J2274,"AAAAAD32/xo=")</f>
        <v>#VALUE!</v>
      </c>
      <c r="AB143" t="e">
        <f>AND('Planilla_General_03-12-2012_9_3'!K2274,"AAAAAD32/xs=")</f>
        <v>#VALUE!</v>
      </c>
      <c r="AC143" t="e">
        <f>AND('Planilla_General_03-12-2012_9_3'!L2274,"AAAAAD32/xw=")</f>
        <v>#VALUE!</v>
      </c>
      <c r="AD143" t="e">
        <f>AND('Planilla_General_03-12-2012_9_3'!M2274,"AAAAAD32/x0=")</f>
        <v>#VALUE!</v>
      </c>
      <c r="AE143" t="e">
        <f>AND('Planilla_General_03-12-2012_9_3'!N2274,"AAAAAD32/x4=")</f>
        <v>#VALUE!</v>
      </c>
      <c r="AF143" t="e">
        <f>AND('Planilla_General_03-12-2012_9_3'!O2274,"AAAAAD32/x8=")</f>
        <v>#VALUE!</v>
      </c>
      <c r="AG143">
        <f>IF('Planilla_General_03-12-2012_9_3'!2275:2275,"AAAAAD32/yA=",0)</f>
        <v>0</v>
      </c>
      <c r="AH143" t="e">
        <f>AND('Planilla_General_03-12-2012_9_3'!A2275,"AAAAAD32/yE=")</f>
        <v>#VALUE!</v>
      </c>
      <c r="AI143" t="e">
        <f>AND('Planilla_General_03-12-2012_9_3'!B2275,"AAAAAD32/yI=")</f>
        <v>#VALUE!</v>
      </c>
      <c r="AJ143" t="e">
        <f>AND('Planilla_General_03-12-2012_9_3'!C2275,"AAAAAD32/yM=")</f>
        <v>#VALUE!</v>
      </c>
      <c r="AK143" t="e">
        <f>AND('Planilla_General_03-12-2012_9_3'!D2275,"AAAAAD32/yQ=")</f>
        <v>#VALUE!</v>
      </c>
      <c r="AL143" t="e">
        <f>AND('Planilla_General_03-12-2012_9_3'!E2275,"AAAAAD32/yU=")</f>
        <v>#VALUE!</v>
      </c>
      <c r="AM143" t="e">
        <f>AND('Planilla_General_03-12-2012_9_3'!F2275,"AAAAAD32/yY=")</f>
        <v>#VALUE!</v>
      </c>
      <c r="AN143" t="e">
        <f>AND('Planilla_General_03-12-2012_9_3'!G2275,"AAAAAD32/yc=")</f>
        <v>#VALUE!</v>
      </c>
      <c r="AO143" t="e">
        <f>AND('Planilla_General_03-12-2012_9_3'!H2275,"AAAAAD32/yg=")</f>
        <v>#VALUE!</v>
      </c>
      <c r="AP143" t="e">
        <f>AND('Planilla_General_03-12-2012_9_3'!I2275,"AAAAAD32/yk=")</f>
        <v>#VALUE!</v>
      </c>
      <c r="AQ143" t="e">
        <f>AND('Planilla_General_03-12-2012_9_3'!J2275,"AAAAAD32/yo=")</f>
        <v>#VALUE!</v>
      </c>
      <c r="AR143" t="e">
        <f>AND('Planilla_General_03-12-2012_9_3'!K2275,"AAAAAD32/ys=")</f>
        <v>#VALUE!</v>
      </c>
      <c r="AS143" t="e">
        <f>AND('Planilla_General_03-12-2012_9_3'!L2275,"AAAAAD32/yw=")</f>
        <v>#VALUE!</v>
      </c>
      <c r="AT143" t="e">
        <f>AND('Planilla_General_03-12-2012_9_3'!M2275,"AAAAAD32/y0=")</f>
        <v>#VALUE!</v>
      </c>
      <c r="AU143" t="e">
        <f>AND('Planilla_General_03-12-2012_9_3'!N2275,"AAAAAD32/y4=")</f>
        <v>#VALUE!</v>
      </c>
      <c r="AV143" t="e">
        <f>AND('Planilla_General_03-12-2012_9_3'!O2275,"AAAAAD32/y8=")</f>
        <v>#VALUE!</v>
      </c>
      <c r="AW143">
        <f>IF('Planilla_General_03-12-2012_9_3'!2276:2276,"AAAAAD32/zA=",0)</f>
        <v>0</v>
      </c>
      <c r="AX143" t="e">
        <f>AND('Planilla_General_03-12-2012_9_3'!A2276,"AAAAAD32/zE=")</f>
        <v>#VALUE!</v>
      </c>
      <c r="AY143" t="e">
        <f>AND('Planilla_General_03-12-2012_9_3'!B2276,"AAAAAD32/zI=")</f>
        <v>#VALUE!</v>
      </c>
      <c r="AZ143" t="e">
        <f>AND('Planilla_General_03-12-2012_9_3'!C2276,"AAAAAD32/zM=")</f>
        <v>#VALUE!</v>
      </c>
      <c r="BA143" t="e">
        <f>AND('Planilla_General_03-12-2012_9_3'!D2276,"AAAAAD32/zQ=")</f>
        <v>#VALUE!</v>
      </c>
      <c r="BB143" t="e">
        <f>AND('Planilla_General_03-12-2012_9_3'!E2276,"AAAAAD32/zU=")</f>
        <v>#VALUE!</v>
      </c>
      <c r="BC143" t="e">
        <f>AND('Planilla_General_03-12-2012_9_3'!F2276,"AAAAAD32/zY=")</f>
        <v>#VALUE!</v>
      </c>
      <c r="BD143" t="e">
        <f>AND('Planilla_General_03-12-2012_9_3'!G2276,"AAAAAD32/zc=")</f>
        <v>#VALUE!</v>
      </c>
      <c r="BE143" t="e">
        <f>AND('Planilla_General_03-12-2012_9_3'!H2276,"AAAAAD32/zg=")</f>
        <v>#VALUE!</v>
      </c>
      <c r="BF143" t="e">
        <f>AND('Planilla_General_03-12-2012_9_3'!I2276,"AAAAAD32/zk=")</f>
        <v>#VALUE!</v>
      </c>
      <c r="BG143" t="e">
        <f>AND('Planilla_General_03-12-2012_9_3'!J2276,"AAAAAD32/zo=")</f>
        <v>#VALUE!</v>
      </c>
      <c r="BH143" t="e">
        <f>AND('Planilla_General_03-12-2012_9_3'!K2276,"AAAAAD32/zs=")</f>
        <v>#VALUE!</v>
      </c>
      <c r="BI143" t="e">
        <f>AND('Planilla_General_03-12-2012_9_3'!L2276,"AAAAAD32/zw=")</f>
        <v>#VALUE!</v>
      </c>
      <c r="BJ143" t="e">
        <f>AND('Planilla_General_03-12-2012_9_3'!M2276,"AAAAAD32/z0=")</f>
        <v>#VALUE!</v>
      </c>
      <c r="BK143" t="e">
        <f>AND('Planilla_General_03-12-2012_9_3'!N2276,"AAAAAD32/z4=")</f>
        <v>#VALUE!</v>
      </c>
      <c r="BL143" t="e">
        <f>AND('Planilla_General_03-12-2012_9_3'!O2276,"AAAAAD32/z8=")</f>
        <v>#VALUE!</v>
      </c>
      <c r="BM143">
        <f>IF('Planilla_General_03-12-2012_9_3'!2277:2277,"AAAAAD32/0A=",0)</f>
        <v>0</v>
      </c>
      <c r="BN143" t="e">
        <f>AND('Planilla_General_03-12-2012_9_3'!A2277,"AAAAAD32/0E=")</f>
        <v>#VALUE!</v>
      </c>
      <c r="BO143" t="e">
        <f>AND('Planilla_General_03-12-2012_9_3'!B2277,"AAAAAD32/0I=")</f>
        <v>#VALUE!</v>
      </c>
      <c r="BP143" t="e">
        <f>AND('Planilla_General_03-12-2012_9_3'!C2277,"AAAAAD32/0M=")</f>
        <v>#VALUE!</v>
      </c>
      <c r="BQ143" t="e">
        <f>AND('Planilla_General_03-12-2012_9_3'!D2277,"AAAAAD32/0Q=")</f>
        <v>#VALUE!</v>
      </c>
      <c r="BR143" t="e">
        <f>AND('Planilla_General_03-12-2012_9_3'!E2277,"AAAAAD32/0U=")</f>
        <v>#VALUE!</v>
      </c>
      <c r="BS143" t="e">
        <f>AND('Planilla_General_03-12-2012_9_3'!F2277,"AAAAAD32/0Y=")</f>
        <v>#VALUE!</v>
      </c>
      <c r="BT143" t="e">
        <f>AND('Planilla_General_03-12-2012_9_3'!G2277,"AAAAAD32/0c=")</f>
        <v>#VALUE!</v>
      </c>
      <c r="BU143" t="e">
        <f>AND('Planilla_General_03-12-2012_9_3'!H2277,"AAAAAD32/0g=")</f>
        <v>#VALUE!</v>
      </c>
      <c r="BV143" t="e">
        <f>AND('Planilla_General_03-12-2012_9_3'!I2277,"AAAAAD32/0k=")</f>
        <v>#VALUE!</v>
      </c>
      <c r="BW143" t="e">
        <f>AND('Planilla_General_03-12-2012_9_3'!J2277,"AAAAAD32/0o=")</f>
        <v>#VALUE!</v>
      </c>
      <c r="BX143" t="e">
        <f>AND('Planilla_General_03-12-2012_9_3'!K2277,"AAAAAD32/0s=")</f>
        <v>#VALUE!</v>
      </c>
      <c r="BY143" t="e">
        <f>AND('Planilla_General_03-12-2012_9_3'!L2277,"AAAAAD32/0w=")</f>
        <v>#VALUE!</v>
      </c>
      <c r="BZ143" t="e">
        <f>AND('Planilla_General_03-12-2012_9_3'!M2277,"AAAAAD32/00=")</f>
        <v>#VALUE!</v>
      </c>
      <c r="CA143" t="e">
        <f>AND('Planilla_General_03-12-2012_9_3'!N2277,"AAAAAD32/04=")</f>
        <v>#VALUE!</v>
      </c>
      <c r="CB143" t="e">
        <f>AND('Planilla_General_03-12-2012_9_3'!O2277,"AAAAAD32/08=")</f>
        <v>#VALUE!</v>
      </c>
      <c r="CC143">
        <f>IF('Planilla_General_03-12-2012_9_3'!2278:2278,"AAAAAD32/1A=",0)</f>
        <v>0</v>
      </c>
      <c r="CD143" t="e">
        <f>AND('Planilla_General_03-12-2012_9_3'!A2278,"AAAAAD32/1E=")</f>
        <v>#VALUE!</v>
      </c>
      <c r="CE143" t="e">
        <f>AND('Planilla_General_03-12-2012_9_3'!B2278,"AAAAAD32/1I=")</f>
        <v>#VALUE!</v>
      </c>
      <c r="CF143" t="e">
        <f>AND('Planilla_General_03-12-2012_9_3'!C2278,"AAAAAD32/1M=")</f>
        <v>#VALUE!</v>
      </c>
      <c r="CG143" t="e">
        <f>AND('Planilla_General_03-12-2012_9_3'!D2278,"AAAAAD32/1Q=")</f>
        <v>#VALUE!</v>
      </c>
      <c r="CH143" t="e">
        <f>AND('Planilla_General_03-12-2012_9_3'!E2278,"AAAAAD32/1U=")</f>
        <v>#VALUE!</v>
      </c>
      <c r="CI143" t="e">
        <f>AND('Planilla_General_03-12-2012_9_3'!F2278,"AAAAAD32/1Y=")</f>
        <v>#VALUE!</v>
      </c>
      <c r="CJ143" t="e">
        <f>AND('Planilla_General_03-12-2012_9_3'!G2278,"AAAAAD32/1c=")</f>
        <v>#VALUE!</v>
      </c>
      <c r="CK143" t="e">
        <f>AND('Planilla_General_03-12-2012_9_3'!H2278,"AAAAAD32/1g=")</f>
        <v>#VALUE!</v>
      </c>
      <c r="CL143" t="e">
        <f>AND('Planilla_General_03-12-2012_9_3'!I2278,"AAAAAD32/1k=")</f>
        <v>#VALUE!</v>
      </c>
      <c r="CM143" t="e">
        <f>AND('Planilla_General_03-12-2012_9_3'!J2278,"AAAAAD32/1o=")</f>
        <v>#VALUE!</v>
      </c>
      <c r="CN143" t="e">
        <f>AND('Planilla_General_03-12-2012_9_3'!K2278,"AAAAAD32/1s=")</f>
        <v>#VALUE!</v>
      </c>
      <c r="CO143" t="e">
        <f>AND('Planilla_General_03-12-2012_9_3'!L2278,"AAAAAD32/1w=")</f>
        <v>#VALUE!</v>
      </c>
      <c r="CP143" t="e">
        <f>AND('Planilla_General_03-12-2012_9_3'!M2278,"AAAAAD32/10=")</f>
        <v>#VALUE!</v>
      </c>
      <c r="CQ143" t="e">
        <f>AND('Planilla_General_03-12-2012_9_3'!N2278,"AAAAAD32/14=")</f>
        <v>#VALUE!</v>
      </c>
      <c r="CR143" t="e">
        <f>AND('Planilla_General_03-12-2012_9_3'!O2278,"AAAAAD32/18=")</f>
        <v>#VALUE!</v>
      </c>
      <c r="CS143">
        <f>IF('Planilla_General_03-12-2012_9_3'!2279:2279,"AAAAAD32/2A=",0)</f>
        <v>0</v>
      </c>
      <c r="CT143" t="e">
        <f>AND('Planilla_General_03-12-2012_9_3'!A2279,"AAAAAD32/2E=")</f>
        <v>#VALUE!</v>
      </c>
      <c r="CU143" t="e">
        <f>AND('Planilla_General_03-12-2012_9_3'!B2279,"AAAAAD32/2I=")</f>
        <v>#VALUE!</v>
      </c>
      <c r="CV143" t="e">
        <f>AND('Planilla_General_03-12-2012_9_3'!C2279,"AAAAAD32/2M=")</f>
        <v>#VALUE!</v>
      </c>
      <c r="CW143" t="e">
        <f>AND('Planilla_General_03-12-2012_9_3'!D2279,"AAAAAD32/2Q=")</f>
        <v>#VALUE!</v>
      </c>
      <c r="CX143" t="e">
        <f>AND('Planilla_General_03-12-2012_9_3'!E2279,"AAAAAD32/2U=")</f>
        <v>#VALUE!</v>
      </c>
      <c r="CY143" t="e">
        <f>AND('Planilla_General_03-12-2012_9_3'!F2279,"AAAAAD32/2Y=")</f>
        <v>#VALUE!</v>
      </c>
      <c r="CZ143" t="e">
        <f>AND('Planilla_General_03-12-2012_9_3'!G2279,"AAAAAD32/2c=")</f>
        <v>#VALUE!</v>
      </c>
      <c r="DA143" t="e">
        <f>AND('Planilla_General_03-12-2012_9_3'!H2279,"AAAAAD32/2g=")</f>
        <v>#VALUE!</v>
      </c>
      <c r="DB143" t="e">
        <f>AND('Planilla_General_03-12-2012_9_3'!I2279,"AAAAAD32/2k=")</f>
        <v>#VALUE!</v>
      </c>
      <c r="DC143" t="e">
        <f>AND('Planilla_General_03-12-2012_9_3'!J2279,"AAAAAD32/2o=")</f>
        <v>#VALUE!</v>
      </c>
      <c r="DD143" t="e">
        <f>AND('Planilla_General_03-12-2012_9_3'!K2279,"AAAAAD32/2s=")</f>
        <v>#VALUE!</v>
      </c>
      <c r="DE143" t="e">
        <f>AND('Planilla_General_03-12-2012_9_3'!L2279,"AAAAAD32/2w=")</f>
        <v>#VALUE!</v>
      </c>
      <c r="DF143" t="e">
        <f>AND('Planilla_General_03-12-2012_9_3'!M2279,"AAAAAD32/20=")</f>
        <v>#VALUE!</v>
      </c>
      <c r="DG143" t="e">
        <f>AND('Planilla_General_03-12-2012_9_3'!N2279,"AAAAAD32/24=")</f>
        <v>#VALUE!</v>
      </c>
      <c r="DH143" t="e">
        <f>AND('Planilla_General_03-12-2012_9_3'!O2279,"AAAAAD32/28=")</f>
        <v>#VALUE!</v>
      </c>
      <c r="DI143">
        <f>IF('Planilla_General_03-12-2012_9_3'!2280:2280,"AAAAAD32/3A=",0)</f>
        <v>0</v>
      </c>
      <c r="DJ143" t="e">
        <f>AND('Planilla_General_03-12-2012_9_3'!A2280,"AAAAAD32/3E=")</f>
        <v>#VALUE!</v>
      </c>
      <c r="DK143" t="e">
        <f>AND('Planilla_General_03-12-2012_9_3'!B2280,"AAAAAD32/3I=")</f>
        <v>#VALUE!</v>
      </c>
      <c r="DL143" t="e">
        <f>AND('Planilla_General_03-12-2012_9_3'!C2280,"AAAAAD32/3M=")</f>
        <v>#VALUE!</v>
      </c>
      <c r="DM143" t="e">
        <f>AND('Planilla_General_03-12-2012_9_3'!D2280,"AAAAAD32/3Q=")</f>
        <v>#VALUE!</v>
      </c>
      <c r="DN143" t="e">
        <f>AND('Planilla_General_03-12-2012_9_3'!E2280,"AAAAAD32/3U=")</f>
        <v>#VALUE!</v>
      </c>
      <c r="DO143" t="e">
        <f>AND('Planilla_General_03-12-2012_9_3'!F2280,"AAAAAD32/3Y=")</f>
        <v>#VALUE!</v>
      </c>
      <c r="DP143" t="e">
        <f>AND('Planilla_General_03-12-2012_9_3'!G2280,"AAAAAD32/3c=")</f>
        <v>#VALUE!</v>
      </c>
      <c r="DQ143" t="e">
        <f>AND('Planilla_General_03-12-2012_9_3'!H2280,"AAAAAD32/3g=")</f>
        <v>#VALUE!</v>
      </c>
      <c r="DR143" t="e">
        <f>AND('Planilla_General_03-12-2012_9_3'!I2280,"AAAAAD32/3k=")</f>
        <v>#VALUE!</v>
      </c>
      <c r="DS143" t="e">
        <f>AND('Planilla_General_03-12-2012_9_3'!J2280,"AAAAAD32/3o=")</f>
        <v>#VALUE!</v>
      </c>
      <c r="DT143" t="e">
        <f>AND('Planilla_General_03-12-2012_9_3'!K2280,"AAAAAD32/3s=")</f>
        <v>#VALUE!</v>
      </c>
      <c r="DU143" t="e">
        <f>AND('Planilla_General_03-12-2012_9_3'!L2280,"AAAAAD32/3w=")</f>
        <v>#VALUE!</v>
      </c>
      <c r="DV143" t="e">
        <f>AND('Planilla_General_03-12-2012_9_3'!M2280,"AAAAAD32/30=")</f>
        <v>#VALUE!</v>
      </c>
      <c r="DW143" t="e">
        <f>AND('Planilla_General_03-12-2012_9_3'!N2280,"AAAAAD32/34=")</f>
        <v>#VALUE!</v>
      </c>
      <c r="DX143" t="e">
        <f>AND('Planilla_General_03-12-2012_9_3'!O2280,"AAAAAD32/38=")</f>
        <v>#VALUE!</v>
      </c>
      <c r="DY143">
        <f>IF('Planilla_General_03-12-2012_9_3'!2281:2281,"AAAAAD32/4A=",0)</f>
        <v>0</v>
      </c>
      <c r="DZ143" t="e">
        <f>AND('Planilla_General_03-12-2012_9_3'!A2281,"AAAAAD32/4E=")</f>
        <v>#VALUE!</v>
      </c>
      <c r="EA143" t="e">
        <f>AND('Planilla_General_03-12-2012_9_3'!B2281,"AAAAAD32/4I=")</f>
        <v>#VALUE!</v>
      </c>
      <c r="EB143" t="e">
        <f>AND('Planilla_General_03-12-2012_9_3'!C2281,"AAAAAD32/4M=")</f>
        <v>#VALUE!</v>
      </c>
      <c r="EC143" t="e">
        <f>AND('Planilla_General_03-12-2012_9_3'!D2281,"AAAAAD32/4Q=")</f>
        <v>#VALUE!</v>
      </c>
      <c r="ED143" t="e">
        <f>AND('Planilla_General_03-12-2012_9_3'!E2281,"AAAAAD32/4U=")</f>
        <v>#VALUE!</v>
      </c>
      <c r="EE143" t="e">
        <f>AND('Planilla_General_03-12-2012_9_3'!F2281,"AAAAAD32/4Y=")</f>
        <v>#VALUE!</v>
      </c>
      <c r="EF143" t="e">
        <f>AND('Planilla_General_03-12-2012_9_3'!G2281,"AAAAAD32/4c=")</f>
        <v>#VALUE!</v>
      </c>
      <c r="EG143" t="e">
        <f>AND('Planilla_General_03-12-2012_9_3'!H2281,"AAAAAD32/4g=")</f>
        <v>#VALUE!</v>
      </c>
      <c r="EH143" t="e">
        <f>AND('Planilla_General_03-12-2012_9_3'!I2281,"AAAAAD32/4k=")</f>
        <v>#VALUE!</v>
      </c>
      <c r="EI143" t="e">
        <f>AND('Planilla_General_03-12-2012_9_3'!J2281,"AAAAAD32/4o=")</f>
        <v>#VALUE!</v>
      </c>
      <c r="EJ143" t="e">
        <f>AND('Planilla_General_03-12-2012_9_3'!K2281,"AAAAAD32/4s=")</f>
        <v>#VALUE!</v>
      </c>
      <c r="EK143" t="e">
        <f>AND('Planilla_General_03-12-2012_9_3'!L2281,"AAAAAD32/4w=")</f>
        <v>#VALUE!</v>
      </c>
      <c r="EL143" t="e">
        <f>AND('Planilla_General_03-12-2012_9_3'!M2281,"AAAAAD32/40=")</f>
        <v>#VALUE!</v>
      </c>
      <c r="EM143" t="e">
        <f>AND('Planilla_General_03-12-2012_9_3'!N2281,"AAAAAD32/44=")</f>
        <v>#VALUE!</v>
      </c>
      <c r="EN143" t="e">
        <f>AND('Planilla_General_03-12-2012_9_3'!O2281,"AAAAAD32/48=")</f>
        <v>#VALUE!</v>
      </c>
      <c r="EO143">
        <f>IF('Planilla_General_03-12-2012_9_3'!2282:2282,"AAAAAD32/5A=",0)</f>
        <v>0</v>
      </c>
      <c r="EP143" t="e">
        <f>AND('Planilla_General_03-12-2012_9_3'!A2282,"AAAAAD32/5E=")</f>
        <v>#VALUE!</v>
      </c>
      <c r="EQ143" t="e">
        <f>AND('Planilla_General_03-12-2012_9_3'!B2282,"AAAAAD32/5I=")</f>
        <v>#VALUE!</v>
      </c>
      <c r="ER143" t="e">
        <f>AND('Planilla_General_03-12-2012_9_3'!C2282,"AAAAAD32/5M=")</f>
        <v>#VALUE!</v>
      </c>
      <c r="ES143" t="e">
        <f>AND('Planilla_General_03-12-2012_9_3'!D2282,"AAAAAD32/5Q=")</f>
        <v>#VALUE!</v>
      </c>
      <c r="ET143" t="e">
        <f>AND('Planilla_General_03-12-2012_9_3'!E2282,"AAAAAD32/5U=")</f>
        <v>#VALUE!</v>
      </c>
      <c r="EU143" t="e">
        <f>AND('Planilla_General_03-12-2012_9_3'!F2282,"AAAAAD32/5Y=")</f>
        <v>#VALUE!</v>
      </c>
      <c r="EV143" t="e">
        <f>AND('Planilla_General_03-12-2012_9_3'!G2282,"AAAAAD32/5c=")</f>
        <v>#VALUE!</v>
      </c>
      <c r="EW143" t="e">
        <f>AND('Planilla_General_03-12-2012_9_3'!H2282,"AAAAAD32/5g=")</f>
        <v>#VALUE!</v>
      </c>
      <c r="EX143" t="e">
        <f>AND('Planilla_General_03-12-2012_9_3'!I2282,"AAAAAD32/5k=")</f>
        <v>#VALUE!</v>
      </c>
      <c r="EY143" t="e">
        <f>AND('Planilla_General_03-12-2012_9_3'!J2282,"AAAAAD32/5o=")</f>
        <v>#VALUE!</v>
      </c>
      <c r="EZ143" t="e">
        <f>AND('Planilla_General_03-12-2012_9_3'!K2282,"AAAAAD32/5s=")</f>
        <v>#VALUE!</v>
      </c>
      <c r="FA143" t="e">
        <f>AND('Planilla_General_03-12-2012_9_3'!L2282,"AAAAAD32/5w=")</f>
        <v>#VALUE!</v>
      </c>
      <c r="FB143" t="e">
        <f>AND('Planilla_General_03-12-2012_9_3'!M2282,"AAAAAD32/50=")</f>
        <v>#VALUE!</v>
      </c>
      <c r="FC143" t="e">
        <f>AND('Planilla_General_03-12-2012_9_3'!N2282,"AAAAAD32/54=")</f>
        <v>#VALUE!</v>
      </c>
      <c r="FD143" t="e">
        <f>AND('Planilla_General_03-12-2012_9_3'!O2282,"AAAAAD32/58=")</f>
        <v>#VALUE!</v>
      </c>
      <c r="FE143">
        <f>IF('Planilla_General_03-12-2012_9_3'!2283:2283,"AAAAAD32/6A=",0)</f>
        <v>0</v>
      </c>
      <c r="FF143" t="e">
        <f>AND('Planilla_General_03-12-2012_9_3'!A2283,"AAAAAD32/6E=")</f>
        <v>#VALUE!</v>
      </c>
      <c r="FG143" t="e">
        <f>AND('Planilla_General_03-12-2012_9_3'!B2283,"AAAAAD32/6I=")</f>
        <v>#VALUE!</v>
      </c>
      <c r="FH143" t="e">
        <f>AND('Planilla_General_03-12-2012_9_3'!C2283,"AAAAAD32/6M=")</f>
        <v>#VALUE!</v>
      </c>
      <c r="FI143" t="e">
        <f>AND('Planilla_General_03-12-2012_9_3'!D2283,"AAAAAD32/6Q=")</f>
        <v>#VALUE!</v>
      </c>
      <c r="FJ143" t="e">
        <f>AND('Planilla_General_03-12-2012_9_3'!E2283,"AAAAAD32/6U=")</f>
        <v>#VALUE!</v>
      </c>
      <c r="FK143" t="e">
        <f>AND('Planilla_General_03-12-2012_9_3'!F2283,"AAAAAD32/6Y=")</f>
        <v>#VALUE!</v>
      </c>
      <c r="FL143" t="e">
        <f>AND('Planilla_General_03-12-2012_9_3'!G2283,"AAAAAD32/6c=")</f>
        <v>#VALUE!</v>
      </c>
      <c r="FM143" t="e">
        <f>AND('Planilla_General_03-12-2012_9_3'!H2283,"AAAAAD32/6g=")</f>
        <v>#VALUE!</v>
      </c>
      <c r="FN143" t="e">
        <f>AND('Planilla_General_03-12-2012_9_3'!I2283,"AAAAAD32/6k=")</f>
        <v>#VALUE!</v>
      </c>
      <c r="FO143" t="e">
        <f>AND('Planilla_General_03-12-2012_9_3'!J2283,"AAAAAD32/6o=")</f>
        <v>#VALUE!</v>
      </c>
      <c r="FP143" t="e">
        <f>AND('Planilla_General_03-12-2012_9_3'!K2283,"AAAAAD32/6s=")</f>
        <v>#VALUE!</v>
      </c>
      <c r="FQ143" t="e">
        <f>AND('Planilla_General_03-12-2012_9_3'!L2283,"AAAAAD32/6w=")</f>
        <v>#VALUE!</v>
      </c>
      <c r="FR143" t="e">
        <f>AND('Planilla_General_03-12-2012_9_3'!M2283,"AAAAAD32/60=")</f>
        <v>#VALUE!</v>
      </c>
      <c r="FS143" t="e">
        <f>AND('Planilla_General_03-12-2012_9_3'!N2283,"AAAAAD32/64=")</f>
        <v>#VALUE!</v>
      </c>
      <c r="FT143" t="e">
        <f>AND('Planilla_General_03-12-2012_9_3'!O2283,"AAAAAD32/68=")</f>
        <v>#VALUE!</v>
      </c>
      <c r="FU143">
        <f>IF('Planilla_General_03-12-2012_9_3'!2284:2284,"AAAAAD32/7A=",0)</f>
        <v>0</v>
      </c>
      <c r="FV143" t="e">
        <f>AND('Planilla_General_03-12-2012_9_3'!A2284,"AAAAAD32/7E=")</f>
        <v>#VALUE!</v>
      </c>
      <c r="FW143" t="e">
        <f>AND('Planilla_General_03-12-2012_9_3'!B2284,"AAAAAD32/7I=")</f>
        <v>#VALUE!</v>
      </c>
      <c r="FX143" t="e">
        <f>AND('Planilla_General_03-12-2012_9_3'!C2284,"AAAAAD32/7M=")</f>
        <v>#VALUE!</v>
      </c>
      <c r="FY143" t="e">
        <f>AND('Planilla_General_03-12-2012_9_3'!D2284,"AAAAAD32/7Q=")</f>
        <v>#VALUE!</v>
      </c>
      <c r="FZ143" t="e">
        <f>AND('Planilla_General_03-12-2012_9_3'!E2284,"AAAAAD32/7U=")</f>
        <v>#VALUE!</v>
      </c>
      <c r="GA143" t="e">
        <f>AND('Planilla_General_03-12-2012_9_3'!F2284,"AAAAAD32/7Y=")</f>
        <v>#VALUE!</v>
      </c>
      <c r="GB143" t="e">
        <f>AND('Planilla_General_03-12-2012_9_3'!G2284,"AAAAAD32/7c=")</f>
        <v>#VALUE!</v>
      </c>
      <c r="GC143" t="e">
        <f>AND('Planilla_General_03-12-2012_9_3'!H2284,"AAAAAD32/7g=")</f>
        <v>#VALUE!</v>
      </c>
      <c r="GD143" t="e">
        <f>AND('Planilla_General_03-12-2012_9_3'!I2284,"AAAAAD32/7k=")</f>
        <v>#VALUE!</v>
      </c>
      <c r="GE143" t="e">
        <f>AND('Planilla_General_03-12-2012_9_3'!J2284,"AAAAAD32/7o=")</f>
        <v>#VALUE!</v>
      </c>
      <c r="GF143" t="e">
        <f>AND('Planilla_General_03-12-2012_9_3'!K2284,"AAAAAD32/7s=")</f>
        <v>#VALUE!</v>
      </c>
      <c r="GG143" t="e">
        <f>AND('Planilla_General_03-12-2012_9_3'!L2284,"AAAAAD32/7w=")</f>
        <v>#VALUE!</v>
      </c>
      <c r="GH143" t="e">
        <f>AND('Planilla_General_03-12-2012_9_3'!M2284,"AAAAAD32/70=")</f>
        <v>#VALUE!</v>
      </c>
      <c r="GI143" t="e">
        <f>AND('Planilla_General_03-12-2012_9_3'!N2284,"AAAAAD32/74=")</f>
        <v>#VALUE!</v>
      </c>
      <c r="GJ143" t="e">
        <f>AND('Planilla_General_03-12-2012_9_3'!O2284,"AAAAAD32/78=")</f>
        <v>#VALUE!</v>
      </c>
      <c r="GK143">
        <f>IF('Planilla_General_03-12-2012_9_3'!2285:2285,"AAAAAD32/8A=",0)</f>
        <v>0</v>
      </c>
      <c r="GL143" t="e">
        <f>AND('Planilla_General_03-12-2012_9_3'!A2285,"AAAAAD32/8E=")</f>
        <v>#VALUE!</v>
      </c>
      <c r="GM143" t="e">
        <f>AND('Planilla_General_03-12-2012_9_3'!B2285,"AAAAAD32/8I=")</f>
        <v>#VALUE!</v>
      </c>
      <c r="GN143" t="e">
        <f>AND('Planilla_General_03-12-2012_9_3'!C2285,"AAAAAD32/8M=")</f>
        <v>#VALUE!</v>
      </c>
      <c r="GO143" t="e">
        <f>AND('Planilla_General_03-12-2012_9_3'!D2285,"AAAAAD32/8Q=")</f>
        <v>#VALUE!</v>
      </c>
      <c r="GP143" t="e">
        <f>AND('Planilla_General_03-12-2012_9_3'!E2285,"AAAAAD32/8U=")</f>
        <v>#VALUE!</v>
      </c>
      <c r="GQ143" t="e">
        <f>AND('Planilla_General_03-12-2012_9_3'!F2285,"AAAAAD32/8Y=")</f>
        <v>#VALUE!</v>
      </c>
      <c r="GR143" t="e">
        <f>AND('Planilla_General_03-12-2012_9_3'!G2285,"AAAAAD32/8c=")</f>
        <v>#VALUE!</v>
      </c>
      <c r="GS143" t="e">
        <f>AND('Planilla_General_03-12-2012_9_3'!H2285,"AAAAAD32/8g=")</f>
        <v>#VALUE!</v>
      </c>
      <c r="GT143" t="e">
        <f>AND('Planilla_General_03-12-2012_9_3'!I2285,"AAAAAD32/8k=")</f>
        <v>#VALUE!</v>
      </c>
      <c r="GU143" t="e">
        <f>AND('Planilla_General_03-12-2012_9_3'!J2285,"AAAAAD32/8o=")</f>
        <v>#VALUE!</v>
      </c>
      <c r="GV143" t="e">
        <f>AND('Planilla_General_03-12-2012_9_3'!K2285,"AAAAAD32/8s=")</f>
        <v>#VALUE!</v>
      </c>
      <c r="GW143" t="e">
        <f>AND('Planilla_General_03-12-2012_9_3'!L2285,"AAAAAD32/8w=")</f>
        <v>#VALUE!</v>
      </c>
      <c r="GX143" t="e">
        <f>AND('Planilla_General_03-12-2012_9_3'!M2285,"AAAAAD32/80=")</f>
        <v>#VALUE!</v>
      </c>
      <c r="GY143" t="e">
        <f>AND('Planilla_General_03-12-2012_9_3'!N2285,"AAAAAD32/84=")</f>
        <v>#VALUE!</v>
      </c>
      <c r="GZ143" t="e">
        <f>AND('Planilla_General_03-12-2012_9_3'!O2285,"AAAAAD32/88=")</f>
        <v>#VALUE!</v>
      </c>
      <c r="HA143">
        <f>IF('Planilla_General_03-12-2012_9_3'!2286:2286,"AAAAAD32/9A=",0)</f>
        <v>0</v>
      </c>
      <c r="HB143" t="e">
        <f>AND('Planilla_General_03-12-2012_9_3'!A2286,"AAAAAD32/9E=")</f>
        <v>#VALUE!</v>
      </c>
      <c r="HC143" t="e">
        <f>AND('Planilla_General_03-12-2012_9_3'!B2286,"AAAAAD32/9I=")</f>
        <v>#VALUE!</v>
      </c>
      <c r="HD143" t="e">
        <f>AND('Planilla_General_03-12-2012_9_3'!C2286,"AAAAAD32/9M=")</f>
        <v>#VALUE!</v>
      </c>
      <c r="HE143" t="e">
        <f>AND('Planilla_General_03-12-2012_9_3'!D2286,"AAAAAD32/9Q=")</f>
        <v>#VALUE!</v>
      </c>
      <c r="HF143" t="e">
        <f>AND('Planilla_General_03-12-2012_9_3'!E2286,"AAAAAD32/9U=")</f>
        <v>#VALUE!</v>
      </c>
      <c r="HG143" t="e">
        <f>AND('Planilla_General_03-12-2012_9_3'!F2286,"AAAAAD32/9Y=")</f>
        <v>#VALUE!</v>
      </c>
      <c r="HH143" t="e">
        <f>AND('Planilla_General_03-12-2012_9_3'!G2286,"AAAAAD32/9c=")</f>
        <v>#VALUE!</v>
      </c>
      <c r="HI143" t="e">
        <f>AND('Planilla_General_03-12-2012_9_3'!H2286,"AAAAAD32/9g=")</f>
        <v>#VALUE!</v>
      </c>
      <c r="HJ143" t="e">
        <f>AND('Planilla_General_03-12-2012_9_3'!I2286,"AAAAAD32/9k=")</f>
        <v>#VALUE!</v>
      </c>
      <c r="HK143" t="e">
        <f>AND('Planilla_General_03-12-2012_9_3'!J2286,"AAAAAD32/9o=")</f>
        <v>#VALUE!</v>
      </c>
      <c r="HL143" t="e">
        <f>AND('Planilla_General_03-12-2012_9_3'!K2286,"AAAAAD32/9s=")</f>
        <v>#VALUE!</v>
      </c>
      <c r="HM143" t="e">
        <f>AND('Planilla_General_03-12-2012_9_3'!L2286,"AAAAAD32/9w=")</f>
        <v>#VALUE!</v>
      </c>
      <c r="HN143" t="e">
        <f>AND('Planilla_General_03-12-2012_9_3'!M2286,"AAAAAD32/90=")</f>
        <v>#VALUE!</v>
      </c>
      <c r="HO143" t="e">
        <f>AND('Planilla_General_03-12-2012_9_3'!N2286,"AAAAAD32/94=")</f>
        <v>#VALUE!</v>
      </c>
      <c r="HP143" t="e">
        <f>AND('Planilla_General_03-12-2012_9_3'!O2286,"AAAAAD32/98=")</f>
        <v>#VALUE!</v>
      </c>
      <c r="HQ143">
        <f>IF('Planilla_General_03-12-2012_9_3'!2287:2287,"AAAAAD32/+A=",0)</f>
        <v>0</v>
      </c>
      <c r="HR143" t="e">
        <f>AND('Planilla_General_03-12-2012_9_3'!A2287,"AAAAAD32/+E=")</f>
        <v>#VALUE!</v>
      </c>
      <c r="HS143" t="e">
        <f>AND('Planilla_General_03-12-2012_9_3'!B2287,"AAAAAD32/+I=")</f>
        <v>#VALUE!</v>
      </c>
      <c r="HT143" t="e">
        <f>AND('Planilla_General_03-12-2012_9_3'!C2287,"AAAAAD32/+M=")</f>
        <v>#VALUE!</v>
      </c>
      <c r="HU143" t="e">
        <f>AND('Planilla_General_03-12-2012_9_3'!D2287,"AAAAAD32/+Q=")</f>
        <v>#VALUE!</v>
      </c>
      <c r="HV143" t="e">
        <f>AND('Planilla_General_03-12-2012_9_3'!E2287,"AAAAAD32/+U=")</f>
        <v>#VALUE!</v>
      </c>
      <c r="HW143" t="e">
        <f>AND('Planilla_General_03-12-2012_9_3'!F2287,"AAAAAD32/+Y=")</f>
        <v>#VALUE!</v>
      </c>
      <c r="HX143" t="e">
        <f>AND('Planilla_General_03-12-2012_9_3'!G2287,"AAAAAD32/+c=")</f>
        <v>#VALUE!</v>
      </c>
      <c r="HY143" t="e">
        <f>AND('Planilla_General_03-12-2012_9_3'!H2287,"AAAAAD32/+g=")</f>
        <v>#VALUE!</v>
      </c>
      <c r="HZ143" t="e">
        <f>AND('Planilla_General_03-12-2012_9_3'!I2287,"AAAAAD32/+k=")</f>
        <v>#VALUE!</v>
      </c>
      <c r="IA143" t="e">
        <f>AND('Planilla_General_03-12-2012_9_3'!J2287,"AAAAAD32/+o=")</f>
        <v>#VALUE!</v>
      </c>
      <c r="IB143" t="e">
        <f>AND('Planilla_General_03-12-2012_9_3'!K2287,"AAAAAD32/+s=")</f>
        <v>#VALUE!</v>
      </c>
      <c r="IC143" t="e">
        <f>AND('Planilla_General_03-12-2012_9_3'!L2287,"AAAAAD32/+w=")</f>
        <v>#VALUE!</v>
      </c>
      <c r="ID143" t="e">
        <f>AND('Planilla_General_03-12-2012_9_3'!M2287,"AAAAAD32/+0=")</f>
        <v>#VALUE!</v>
      </c>
      <c r="IE143" t="e">
        <f>AND('Planilla_General_03-12-2012_9_3'!N2287,"AAAAAD32/+4=")</f>
        <v>#VALUE!</v>
      </c>
      <c r="IF143" t="e">
        <f>AND('Planilla_General_03-12-2012_9_3'!O2287,"AAAAAD32/+8=")</f>
        <v>#VALUE!</v>
      </c>
      <c r="IG143">
        <f>IF('Planilla_General_03-12-2012_9_3'!2288:2288,"AAAAAD32//A=",0)</f>
        <v>0</v>
      </c>
      <c r="IH143" t="e">
        <f>AND('Planilla_General_03-12-2012_9_3'!A2288,"AAAAAD32//E=")</f>
        <v>#VALUE!</v>
      </c>
      <c r="II143" t="e">
        <f>AND('Planilla_General_03-12-2012_9_3'!B2288,"AAAAAD32//I=")</f>
        <v>#VALUE!</v>
      </c>
      <c r="IJ143" t="e">
        <f>AND('Planilla_General_03-12-2012_9_3'!C2288,"AAAAAD32//M=")</f>
        <v>#VALUE!</v>
      </c>
      <c r="IK143" t="e">
        <f>AND('Planilla_General_03-12-2012_9_3'!D2288,"AAAAAD32//Q=")</f>
        <v>#VALUE!</v>
      </c>
      <c r="IL143" t="e">
        <f>AND('Planilla_General_03-12-2012_9_3'!E2288,"AAAAAD32//U=")</f>
        <v>#VALUE!</v>
      </c>
      <c r="IM143" t="e">
        <f>AND('Planilla_General_03-12-2012_9_3'!F2288,"AAAAAD32//Y=")</f>
        <v>#VALUE!</v>
      </c>
      <c r="IN143" t="e">
        <f>AND('Planilla_General_03-12-2012_9_3'!G2288,"AAAAAD32//c=")</f>
        <v>#VALUE!</v>
      </c>
      <c r="IO143" t="e">
        <f>AND('Planilla_General_03-12-2012_9_3'!H2288,"AAAAAD32//g=")</f>
        <v>#VALUE!</v>
      </c>
      <c r="IP143" t="e">
        <f>AND('Planilla_General_03-12-2012_9_3'!I2288,"AAAAAD32//k=")</f>
        <v>#VALUE!</v>
      </c>
      <c r="IQ143" t="e">
        <f>AND('Planilla_General_03-12-2012_9_3'!J2288,"AAAAAD32//o=")</f>
        <v>#VALUE!</v>
      </c>
      <c r="IR143" t="e">
        <f>AND('Planilla_General_03-12-2012_9_3'!K2288,"AAAAAD32//s=")</f>
        <v>#VALUE!</v>
      </c>
      <c r="IS143" t="e">
        <f>AND('Planilla_General_03-12-2012_9_3'!L2288,"AAAAAD32//w=")</f>
        <v>#VALUE!</v>
      </c>
      <c r="IT143" t="e">
        <f>AND('Planilla_General_03-12-2012_9_3'!M2288,"AAAAAD32//0=")</f>
        <v>#VALUE!</v>
      </c>
      <c r="IU143" t="e">
        <f>AND('Planilla_General_03-12-2012_9_3'!N2288,"AAAAAD32//4=")</f>
        <v>#VALUE!</v>
      </c>
      <c r="IV143" t="e">
        <f>AND('Planilla_General_03-12-2012_9_3'!O2288,"AAAAAD32//8=")</f>
        <v>#VALUE!</v>
      </c>
    </row>
    <row r="144" spans="1:256" x14ac:dyDescent="0.25">
      <c r="A144" t="e">
        <f>IF('Planilla_General_03-12-2012_9_3'!2289:2289,"AAAAAD36/wA=",0)</f>
        <v>#VALUE!</v>
      </c>
      <c r="B144" t="e">
        <f>AND('Planilla_General_03-12-2012_9_3'!A2289,"AAAAAD36/wE=")</f>
        <v>#VALUE!</v>
      </c>
      <c r="C144" t="e">
        <f>AND('Planilla_General_03-12-2012_9_3'!B2289,"AAAAAD36/wI=")</f>
        <v>#VALUE!</v>
      </c>
      <c r="D144" t="e">
        <f>AND('Planilla_General_03-12-2012_9_3'!C2289,"AAAAAD36/wM=")</f>
        <v>#VALUE!</v>
      </c>
      <c r="E144" t="e">
        <f>AND('Planilla_General_03-12-2012_9_3'!D2289,"AAAAAD36/wQ=")</f>
        <v>#VALUE!</v>
      </c>
      <c r="F144" t="e">
        <f>AND('Planilla_General_03-12-2012_9_3'!E2289,"AAAAAD36/wU=")</f>
        <v>#VALUE!</v>
      </c>
      <c r="G144" t="e">
        <f>AND('Planilla_General_03-12-2012_9_3'!F2289,"AAAAAD36/wY=")</f>
        <v>#VALUE!</v>
      </c>
      <c r="H144" t="e">
        <f>AND('Planilla_General_03-12-2012_9_3'!G2289,"AAAAAD36/wc=")</f>
        <v>#VALUE!</v>
      </c>
      <c r="I144" t="e">
        <f>AND('Planilla_General_03-12-2012_9_3'!H2289,"AAAAAD36/wg=")</f>
        <v>#VALUE!</v>
      </c>
      <c r="J144" t="e">
        <f>AND('Planilla_General_03-12-2012_9_3'!I2289,"AAAAAD36/wk=")</f>
        <v>#VALUE!</v>
      </c>
      <c r="K144" t="e">
        <f>AND('Planilla_General_03-12-2012_9_3'!J2289,"AAAAAD36/wo=")</f>
        <v>#VALUE!</v>
      </c>
      <c r="L144" t="e">
        <f>AND('Planilla_General_03-12-2012_9_3'!K2289,"AAAAAD36/ws=")</f>
        <v>#VALUE!</v>
      </c>
      <c r="M144" t="e">
        <f>AND('Planilla_General_03-12-2012_9_3'!L2289,"AAAAAD36/ww=")</f>
        <v>#VALUE!</v>
      </c>
      <c r="N144" t="e">
        <f>AND('Planilla_General_03-12-2012_9_3'!M2289,"AAAAAD36/w0=")</f>
        <v>#VALUE!</v>
      </c>
      <c r="O144" t="e">
        <f>AND('Planilla_General_03-12-2012_9_3'!N2289,"AAAAAD36/w4=")</f>
        <v>#VALUE!</v>
      </c>
      <c r="P144" t="e">
        <f>AND('Planilla_General_03-12-2012_9_3'!O2289,"AAAAAD36/w8=")</f>
        <v>#VALUE!</v>
      </c>
      <c r="Q144">
        <f>IF('Planilla_General_03-12-2012_9_3'!2290:2290,"AAAAAD36/xA=",0)</f>
        <v>0</v>
      </c>
      <c r="R144" t="e">
        <f>AND('Planilla_General_03-12-2012_9_3'!A2290,"AAAAAD36/xE=")</f>
        <v>#VALUE!</v>
      </c>
      <c r="S144" t="e">
        <f>AND('Planilla_General_03-12-2012_9_3'!B2290,"AAAAAD36/xI=")</f>
        <v>#VALUE!</v>
      </c>
      <c r="T144" t="e">
        <f>AND('Planilla_General_03-12-2012_9_3'!C2290,"AAAAAD36/xM=")</f>
        <v>#VALUE!</v>
      </c>
      <c r="U144" t="e">
        <f>AND('Planilla_General_03-12-2012_9_3'!D2290,"AAAAAD36/xQ=")</f>
        <v>#VALUE!</v>
      </c>
      <c r="V144" t="e">
        <f>AND('Planilla_General_03-12-2012_9_3'!E2290,"AAAAAD36/xU=")</f>
        <v>#VALUE!</v>
      </c>
      <c r="W144" t="e">
        <f>AND('Planilla_General_03-12-2012_9_3'!F2290,"AAAAAD36/xY=")</f>
        <v>#VALUE!</v>
      </c>
      <c r="X144" t="e">
        <f>AND('Planilla_General_03-12-2012_9_3'!G2290,"AAAAAD36/xc=")</f>
        <v>#VALUE!</v>
      </c>
      <c r="Y144" t="e">
        <f>AND('Planilla_General_03-12-2012_9_3'!H2290,"AAAAAD36/xg=")</f>
        <v>#VALUE!</v>
      </c>
      <c r="Z144" t="e">
        <f>AND('Planilla_General_03-12-2012_9_3'!I2290,"AAAAAD36/xk=")</f>
        <v>#VALUE!</v>
      </c>
      <c r="AA144" t="e">
        <f>AND('Planilla_General_03-12-2012_9_3'!J2290,"AAAAAD36/xo=")</f>
        <v>#VALUE!</v>
      </c>
      <c r="AB144" t="e">
        <f>AND('Planilla_General_03-12-2012_9_3'!K2290,"AAAAAD36/xs=")</f>
        <v>#VALUE!</v>
      </c>
      <c r="AC144" t="e">
        <f>AND('Planilla_General_03-12-2012_9_3'!L2290,"AAAAAD36/xw=")</f>
        <v>#VALUE!</v>
      </c>
      <c r="AD144" t="e">
        <f>AND('Planilla_General_03-12-2012_9_3'!M2290,"AAAAAD36/x0=")</f>
        <v>#VALUE!</v>
      </c>
      <c r="AE144" t="e">
        <f>AND('Planilla_General_03-12-2012_9_3'!N2290,"AAAAAD36/x4=")</f>
        <v>#VALUE!</v>
      </c>
      <c r="AF144" t="e">
        <f>AND('Planilla_General_03-12-2012_9_3'!O2290,"AAAAAD36/x8=")</f>
        <v>#VALUE!</v>
      </c>
      <c r="AG144">
        <f>IF('Planilla_General_03-12-2012_9_3'!2291:2291,"AAAAAD36/yA=",0)</f>
        <v>0</v>
      </c>
      <c r="AH144" t="e">
        <f>AND('Planilla_General_03-12-2012_9_3'!A2291,"AAAAAD36/yE=")</f>
        <v>#VALUE!</v>
      </c>
      <c r="AI144" t="e">
        <f>AND('Planilla_General_03-12-2012_9_3'!B2291,"AAAAAD36/yI=")</f>
        <v>#VALUE!</v>
      </c>
      <c r="AJ144" t="e">
        <f>AND('Planilla_General_03-12-2012_9_3'!C2291,"AAAAAD36/yM=")</f>
        <v>#VALUE!</v>
      </c>
      <c r="AK144" t="e">
        <f>AND('Planilla_General_03-12-2012_9_3'!D2291,"AAAAAD36/yQ=")</f>
        <v>#VALUE!</v>
      </c>
      <c r="AL144" t="e">
        <f>AND('Planilla_General_03-12-2012_9_3'!E2291,"AAAAAD36/yU=")</f>
        <v>#VALUE!</v>
      </c>
      <c r="AM144" t="e">
        <f>AND('Planilla_General_03-12-2012_9_3'!F2291,"AAAAAD36/yY=")</f>
        <v>#VALUE!</v>
      </c>
      <c r="AN144" t="e">
        <f>AND('Planilla_General_03-12-2012_9_3'!G2291,"AAAAAD36/yc=")</f>
        <v>#VALUE!</v>
      </c>
      <c r="AO144" t="e">
        <f>AND('Planilla_General_03-12-2012_9_3'!H2291,"AAAAAD36/yg=")</f>
        <v>#VALUE!</v>
      </c>
      <c r="AP144" t="e">
        <f>AND('Planilla_General_03-12-2012_9_3'!I2291,"AAAAAD36/yk=")</f>
        <v>#VALUE!</v>
      </c>
      <c r="AQ144" t="e">
        <f>AND('Planilla_General_03-12-2012_9_3'!J2291,"AAAAAD36/yo=")</f>
        <v>#VALUE!</v>
      </c>
      <c r="AR144" t="e">
        <f>AND('Planilla_General_03-12-2012_9_3'!K2291,"AAAAAD36/ys=")</f>
        <v>#VALUE!</v>
      </c>
      <c r="AS144" t="e">
        <f>AND('Planilla_General_03-12-2012_9_3'!L2291,"AAAAAD36/yw=")</f>
        <v>#VALUE!</v>
      </c>
      <c r="AT144" t="e">
        <f>AND('Planilla_General_03-12-2012_9_3'!M2291,"AAAAAD36/y0=")</f>
        <v>#VALUE!</v>
      </c>
      <c r="AU144" t="e">
        <f>AND('Planilla_General_03-12-2012_9_3'!N2291,"AAAAAD36/y4=")</f>
        <v>#VALUE!</v>
      </c>
      <c r="AV144" t="e">
        <f>AND('Planilla_General_03-12-2012_9_3'!O2291,"AAAAAD36/y8=")</f>
        <v>#VALUE!</v>
      </c>
      <c r="AW144">
        <f>IF('Planilla_General_03-12-2012_9_3'!2292:2292,"AAAAAD36/zA=",0)</f>
        <v>0</v>
      </c>
      <c r="AX144" t="e">
        <f>AND('Planilla_General_03-12-2012_9_3'!A2292,"AAAAAD36/zE=")</f>
        <v>#VALUE!</v>
      </c>
      <c r="AY144" t="e">
        <f>AND('Planilla_General_03-12-2012_9_3'!B2292,"AAAAAD36/zI=")</f>
        <v>#VALUE!</v>
      </c>
      <c r="AZ144" t="e">
        <f>AND('Planilla_General_03-12-2012_9_3'!C2292,"AAAAAD36/zM=")</f>
        <v>#VALUE!</v>
      </c>
      <c r="BA144" t="e">
        <f>AND('Planilla_General_03-12-2012_9_3'!D2292,"AAAAAD36/zQ=")</f>
        <v>#VALUE!</v>
      </c>
      <c r="BB144" t="e">
        <f>AND('Planilla_General_03-12-2012_9_3'!E2292,"AAAAAD36/zU=")</f>
        <v>#VALUE!</v>
      </c>
      <c r="BC144" t="e">
        <f>AND('Planilla_General_03-12-2012_9_3'!F2292,"AAAAAD36/zY=")</f>
        <v>#VALUE!</v>
      </c>
      <c r="BD144" t="e">
        <f>AND('Planilla_General_03-12-2012_9_3'!G2292,"AAAAAD36/zc=")</f>
        <v>#VALUE!</v>
      </c>
      <c r="BE144" t="e">
        <f>AND('Planilla_General_03-12-2012_9_3'!H2292,"AAAAAD36/zg=")</f>
        <v>#VALUE!</v>
      </c>
      <c r="BF144" t="e">
        <f>AND('Planilla_General_03-12-2012_9_3'!I2292,"AAAAAD36/zk=")</f>
        <v>#VALUE!</v>
      </c>
      <c r="BG144" t="e">
        <f>AND('Planilla_General_03-12-2012_9_3'!J2292,"AAAAAD36/zo=")</f>
        <v>#VALUE!</v>
      </c>
      <c r="BH144" t="e">
        <f>AND('Planilla_General_03-12-2012_9_3'!K2292,"AAAAAD36/zs=")</f>
        <v>#VALUE!</v>
      </c>
      <c r="BI144" t="e">
        <f>AND('Planilla_General_03-12-2012_9_3'!L2292,"AAAAAD36/zw=")</f>
        <v>#VALUE!</v>
      </c>
      <c r="BJ144" t="e">
        <f>AND('Planilla_General_03-12-2012_9_3'!M2292,"AAAAAD36/z0=")</f>
        <v>#VALUE!</v>
      </c>
      <c r="BK144" t="e">
        <f>AND('Planilla_General_03-12-2012_9_3'!N2292,"AAAAAD36/z4=")</f>
        <v>#VALUE!</v>
      </c>
      <c r="BL144" t="e">
        <f>AND('Planilla_General_03-12-2012_9_3'!O2292,"AAAAAD36/z8=")</f>
        <v>#VALUE!</v>
      </c>
      <c r="BM144">
        <f>IF('Planilla_General_03-12-2012_9_3'!2293:2293,"AAAAAD36/0A=",0)</f>
        <v>0</v>
      </c>
      <c r="BN144" t="e">
        <f>AND('Planilla_General_03-12-2012_9_3'!A2293,"AAAAAD36/0E=")</f>
        <v>#VALUE!</v>
      </c>
      <c r="BO144" t="e">
        <f>AND('Planilla_General_03-12-2012_9_3'!B2293,"AAAAAD36/0I=")</f>
        <v>#VALUE!</v>
      </c>
      <c r="BP144" t="e">
        <f>AND('Planilla_General_03-12-2012_9_3'!C2293,"AAAAAD36/0M=")</f>
        <v>#VALUE!</v>
      </c>
      <c r="BQ144" t="e">
        <f>AND('Planilla_General_03-12-2012_9_3'!D2293,"AAAAAD36/0Q=")</f>
        <v>#VALUE!</v>
      </c>
      <c r="BR144" t="e">
        <f>AND('Planilla_General_03-12-2012_9_3'!E2293,"AAAAAD36/0U=")</f>
        <v>#VALUE!</v>
      </c>
      <c r="BS144" t="e">
        <f>AND('Planilla_General_03-12-2012_9_3'!F2293,"AAAAAD36/0Y=")</f>
        <v>#VALUE!</v>
      </c>
      <c r="BT144" t="e">
        <f>AND('Planilla_General_03-12-2012_9_3'!G2293,"AAAAAD36/0c=")</f>
        <v>#VALUE!</v>
      </c>
      <c r="BU144" t="e">
        <f>AND('Planilla_General_03-12-2012_9_3'!H2293,"AAAAAD36/0g=")</f>
        <v>#VALUE!</v>
      </c>
      <c r="BV144" t="e">
        <f>AND('Planilla_General_03-12-2012_9_3'!I2293,"AAAAAD36/0k=")</f>
        <v>#VALUE!</v>
      </c>
      <c r="BW144" t="e">
        <f>AND('Planilla_General_03-12-2012_9_3'!J2293,"AAAAAD36/0o=")</f>
        <v>#VALUE!</v>
      </c>
      <c r="BX144" t="e">
        <f>AND('Planilla_General_03-12-2012_9_3'!K2293,"AAAAAD36/0s=")</f>
        <v>#VALUE!</v>
      </c>
      <c r="BY144" t="e">
        <f>AND('Planilla_General_03-12-2012_9_3'!L2293,"AAAAAD36/0w=")</f>
        <v>#VALUE!</v>
      </c>
      <c r="BZ144" t="e">
        <f>AND('Planilla_General_03-12-2012_9_3'!M2293,"AAAAAD36/00=")</f>
        <v>#VALUE!</v>
      </c>
      <c r="CA144" t="e">
        <f>AND('Planilla_General_03-12-2012_9_3'!N2293,"AAAAAD36/04=")</f>
        <v>#VALUE!</v>
      </c>
      <c r="CB144" t="e">
        <f>AND('Planilla_General_03-12-2012_9_3'!O2293,"AAAAAD36/08=")</f>
        <v>#VALUE!</v>
      </c>
      <c r="CC144">
        <f>IF('Planilla_General_03-12-2012_9_3'!2294:2294,"AAAAAD36/1A=",0)</f>
        <v>0</v>
      </c>
      <c r="CD144" t="e">
        <f>AND('Planilla_General_03-12-2012_9_3'!A2294,"AAAAAD36/1E=")</f>
        <v>#VALUE!</v>
      </c>
      <c r="CE144" t="e">
        <f>AND('Planilla_General_03-12-2012_9_3'!B2294,"AAAAAD36/1I=")</f>
        <v>#VALUE!</v>
      </c>
      <c r="CF144" t="e">
        <f>AND('Planilla_General_03-12-2012_9_3'!C2294,"AAAAAD36/1M=")</f>
        <v>#VALUE!</v>
      </c>
      <c r="CG144" t="e">
        <f>AND('Planilla_General_03-12-2012_9_3'!D2294,"AAAAAD36/1Q=")</f>
        <v>#VALUE!</v>
      </c>
      <c r="CH144" t="e">
        <f>AND('Planilla_General_03-12-2012_9_3'!E2294,"AAAAAD36/1U=")</f>
        <v>#VALUE!</v>
      </c>
      <c r="CI144" t="e">
        <f>AND('Planilla_General_03-12-2012_9_3'!F2294,"AAAAAD36/1Y=")</f>
        <v>#VALUE!</v>
      </c>
      <c r="CJ144" t="e">
        <f>AND('Planilla_General_03-12-2012_9_3'!G2294,"AAAAAD36/1c=")</f>
        <v>#VALUE!</v>
      </c>
      <c r="CK144" t="e">
        <f>AND('Planilla_General_03-12-2012_9_3'!H2294,"AAAAAD36/1g=")</f>
        <v>#VALUE!</v>
      </c>
      <c r="CL144" t="e">
        <f>AND('Planilla_General_03-12-2012_9_3'!I2294,"AAAAAD36/1k=")</f>
        <v>#VALUE!</v>
      </c>
      <c r="CM144" t="e">
        <f>AND('Planilla_General_03-12-2012_9_3'!J2294,"AAAAAD36/1o=")</f>
        <v>#VALUE!</v>
      </c>
      <c r="CN144" t="e">
        <f>AND('Planilla_General_03-12-2012_9_3'!K2294,"AAAAAD36/1s=")</f>
        <v>#VALUE!</v>
      </c>
      <c r="CO144" t="e">
        <f>AND('Planilla_General_03-12-2012_9_3'!L2294,"AAAAAD36/1w=")</f>
        <v>#VALUE!</v>
      </c>
      <c r="CP144" t="e">
        <f>AND('Planilla_General_03-12-2012_9_3'!M2294,"AAAAAD36/10=")</f>
        <v>#VALUE!</v>
      </c>
      <c r="CQ144" t="e">
        <f>AND('Planilla_General_03-12-2012_9_3'!N2294,"AAAAAD36/14=")</f>
        <v>#VALUE!</v>
      </c>
      <c r="CR144" t="e">
        <f>AND('Planilla_General_03-12-2012_9_3'!O2294,"AAAAAD36/18=")</f>
        <v>#VALUE!</v>
      </c>
      <c r="CS144">
        <f>IF('Planilla_General_03-12-2012_9_3'!2295:2295,"AAAAAD36/2A=",0)</f>
        <v>0</v>
      </c>
      <c r="CT144" t="e">
        <f>AND('Planilla_General_03-12-2012_9_3'!A2295,"AAAAAD36/2E=")</f>
        <v>#VALUE!</v>
      </c>
      <c r="CU144" t="e">
        <f>AND('Planilla_General_03-12-2012_9_3'!B2295,"AAAAAD36/2I=")</f>
        <v>#VALUE!</v>
      </c>
      <c r="CV144" t="e">
        <f>AND('Planilla_General_03-12-2012_9_3'!C2295,"AAAAAD36/2M=")</f>
        <v>#VALUE!</v>
      </c>
      <c r="CW144" t="e">
        <f>AND('Planilla_General_03-12-2012_9_3'!D2295,"AAAAAD36/2Q=")</f>
        <v>#VALUE!</v>
      </c>
      <c r="CX144" t="e">
        <f>AND('Planilla_General_03-12-2012_9_3'!E2295,"AAAAAD36/2U=")</f>
        <v>#VALUE!</v>
      </c>
      <c r="CY144" t="e">
        <f>AND('Planilla_General_03-12-2012_9_3'!F2295,"AAAAAD36/2Y=")</f>
        <v>#VALUE!</v>
      </c>
      <c r="CZ144" t="e">
        <f>AND('Planilla_General_03-12-2012_9_3'!G2295,"AAAAAD36/2c=")</f>
        <v>#VALUE!</v>
      </c>
      <c r="DA144" t="e">
        <f>AND('Planilla_General_03-12-2012_9_3'!H2295,"AAAAAD36/2g=")</f>
        <v>#VALUE!</v>
      </c>
      <c r="DB144" t="e">
        <f>AND('Planilla_General_03-12-2012_9_3'!I2295,"AAAAAD36/2k=")</f>
        <v>#VALUE!</v>
      </c>
      <c r="DC144" t="e">
        <f>AND('Planilla_General_03-12-2012_9_3'!J2295,"AAAAAD36/2o=")</f>
        <v>#VALUE!</v>
      </c>
      <c r="DD144" t="e">
        <f>AND('Planilla_General_03-12-2012_9_3'!K2295,"AAAAAD36/2s=")</f>
        <v>#VALUE!</v>
      </c>
      <c r="DE144" t="e">
        <f>AND('Planilla_General_03-12-2012_9_3'!L2295,"AAAAAD36/2w=")</f>
        <v>#VALUE!</v>
      </c>
      <c r="DF144" t="e">
        <f>AND('Planilla_General_03-12-2012_9_3'!M2295,"AAAAAD36/20=")</f>
        <v>#VALUE!</v>
      </c>
      <c r="DG144" t="e">
        <f>AND('Planilla_General_03-12-2012_9_3'!N2295,"AAAAAD36/24=")</f>
        <v>#VALUE!</v>
      </c>
      <c r="DH144" t="e">
        <f>AND('Planilla_General_03-12-2012_9_3'!O2295,"AAAAAD36/28=")</f>
        <v>#VALUE!</v>
      </c>
      <c r="DI144">
        <f>IF('Planilla_General_03-12-2012_9_3'!2296:2296,"AAAAAD36/3A=",0)</f>
        <v>0</v>
      </c>
      <c r="DJ144" t="e">
        <f>AND('Planilla_General_03-12-2012_9_3'!A2296,"AAAAAD36/3E=")</f>
        <v>#VALUE!</v>
      </c>
      <c r="DK144" t="e">
        <f>AND('Planilla_General_03-12-2012_9_3'!B2296,"AAAAAD36/3I=")</f>
        <v>#VALUE!</v>
      </c>
      <c r="DL144" t="e">
        <f>AND('Planilla_General_03-12-2012_9_3'!C2296,"AAAAAD36/3M=")</f>
        <v>#VALUE!</v>
      </c>
      <c r="DM144" t="e">
        <f>AND('Planilla_General_03-12-2012_9_3'!D2296,"AAAAAD36/3Q=")</f>
        <v>#VALUE!</v>
      </c>
      <c r="DN144" t="e">
        <f>AND('Planilla_General_03-12-2012_9_3'!E2296,"AAAAAD36/3U=")</f>
        <v>#VALUE!</v>
      </c>
      <c r="DO144" t="e">
        <f>AND('Planilla_General_03-12-2012_9_3'!F2296,"AAAAAD36/3Y=")</f>
        <v>#VALUE!</v>
      </c>
      <c r="DP144" t="e">
        <f>AND('Planilla_General_03-12-2012_9_3'!G2296,"AAAAAD36/3c=")</f>
        <v>#VALUE!</v>
      </c>
      <c r="DQ144" t="e">
        <f>AND('Planilla_General_03-12-2012_9_3'!H2296,"AAAAAD36/3g=")</f>
        <v>#VALUE!</v>
      </c>
      <c r="DR144" t="e">
        <f>AND('Planilla_General_03-12-2012_9_3'!I2296,"AAAAAD36/3k=")</f>
        <v>#VALUE!</v>
      </c>
      <c r="DS144" t="e">
        <f>AND('Planilla_General_03-12-2012_9_3'!J2296,"AAAAAD36/3o=")</f>
        <v>#VALUE!</v>
      </c>
      <c r="DT144" t="e">
        <f>AND('Planilla_General_03-12-2012_9_3'!K2296,"AAAAAD36/3s=")</f>
        <v>#VALUE!</v>
      </c>
      <c r="DU144" t="e">
        <f>AND('Planilla_General_03-12-2012_9_3'!L2296,"AAAAAD36/3w=")</f>
        <v>#VALUE!</v>
      </c>
      <c r="DV144" t="e">
        <f>AND('Planilla_General_03-12-2012_9_3'!M2296,"AAAAAD36/30=")</f>
        <v>#VALUE!</v>
      </c>
      <c r="DW144" t="e">
        <f>AND('Planilla_General_03-12-2012_9_3'!N2296,"AAAAAD36/34=")</f>
        <v>#VALUE!</v>
      </c>
      <c r="DX144" t="e">
        <f>AND('Planilla_General_03-12-2012_9_3'!O2296,"AAAAAD36/38=")</f>
        <v>#VALUE!</v>
      </c>
      <c r="DY144">
        <f>IF('Planilla_General_03-12-2012_9_3'!2297:2297,"AAAAAD36/4A=",0)</f>
        <v>0</v>
      </c>
      <c r="DZ144" t="e">
        <f>AND('Planilla_General_03-12-2012_9_3'!A2297,"AAAAAD36/4E=")</f>
        <v>#VALUE!</v>
      </c>
      <c r="EA144" t="e">
        <f>AND('Planilla_General_03-12-2012_9_3'!B2297,"AAAAAD36/4I=")</f>
        <v>#VALUE!</v>
      </c>
      <c r="EB144" t="e">
        <f>AND('Planilla_General_03-12-2012_9_3'!C2297,"AAAAAD36/4M=")</f>
        <v>#VALUE!</v>
      </c>
      <c r="EC144" t="e">
        <f>AND('Planilla_General_03-12-2012_9_3'!D2297,"AAAAAD36/4Q=")</f>
        <v>#VALUE!</v>
      </c>
      <c r="ED144" t="e">
        <f>AND('Planilla_General_03-12-2012_9_3'!E2297,"AAAAAD36/4U=")</f>
        <v>#VALUE!</v>
      </c>
      <c r="EE144" t="e">
        <f>AND('Planilla_General_03-12-2012_9_3'!F2297,"AAAAAD36/4Y=")</f>
        <v>#VALUE!</v>
      </c>
      <c r="EF144" t="e">
        <f>AND('Planilla_General_03-12-2012_9_3'!G2297,"AAAAAD36/4c=")</f>
        <v>#VALUE!</v>
      </c>
      <c r="EG144" t="e">
        <f>AND('Planilla_General_03-12-2012_9_3'!H2297,"AAAAAD36/4g=")</f>
        <v>#VALUE!</v>
      </c>
      <c r="EH144" t="e">
        <f>AND('Planilla_General_03-12-2012_9_3'!I2297,"AAAAAD36/4k=")</f>
        <v>#VALUE!</v>
      </c>
      <c r="EI144" t="e">
        <f>AND('Planilla_General_03-12-2012_9_3'!J2297,"AAAAAD36/4o=")</f>
        <v>#VALUE!</v>
      </c>
      <c r="EJ144" t="e">
        <f>AND('Planilla_General_03-12-2012_9_3'!K2297,"AAAAAD36/4s=")</f>
        <v>#VALUE!</v>
      </c>
      <c r="EK144" t="e">
        <f>AND('Planilla_General_03-12-2012_9_3'!L2297,"AAAAAD36/4w=")</f>
        <v>#VALUE!</v>
      </c>
      <c r="EL144" t="e">
        <f>AND('Planilla_General_03-12-2012_9_3'!M2297,"AAAAAD36/40=")</f>
        <v>#VALUE!</v>
      </c>
      <c r="EM144" t="e">
        <f>AND('Planilla_General_03-12-2012_9_3'!N2297,"AAAAAD36/44=")</f>
        <v>#VALUE!</v>
      </c>
      <c r="EN144" t="e">
        <f>AND('Planilla_General_03-12-2012_9_3'!O2297,"AAAAAD36/48=")</f>
        <v>#VALUE!</v>
      </c>
      <c r="EO144">
        <f>IF('Planilla_General_03-12-2012_9_3'!2298:2298,"AAAAAD36/5A=",0)</f>
        <v>0</v>
      </c>
      <c r="EP144" t="e">
        <f>AND('Planilla_General_03-12-2012_9_3'!A2298,"AAAAAD36/5E=")</f>
        <v>#VALUE!</v>
      </c>
      <c r="EQ144" t="e">
        <f>AND('Planilla_General_03-12-2012_9_3'!B2298,"AAAAAD36/5I=")</f>
        <v>#VALUE!</v>
      </c>
      <c r="ER144" t="e">
        <f>AND('Planilla_General_03-12-2012_9_3'!C2298,"AAAAAD36/5M=")</f>
        <v>#VALUE!</v>
      </c>
      <c r="ES144" t="e">
        <f>AND('Planilla_General_03-12-2012_9_3'!D2298,"AAAAAD36/5Q=")</f>
        <v>#VALUE!</v>
      </c>
      <c r="ET144" t="e">
        <f>AND('Planilla_General_03-12-2012_9_3'!E2298,"AAAAAD36/5U=")</f>
        <v>#VALUE!</v>
      </c>
      <c r="EU144" t="e">
        <f>AND('Planilla_General_03-12-2012_9_3'!F2298,"AAAAAD36/5Y=")</f>
        <v>#VALUE!</v>
      </c>
      <c r="EV144" t="e">
        <f>AND('Planilla_General_03-12-2012_9_3'!G2298,"AAAAAD36/5c=")</f>
        <v>#VALUE!</v>
      </c>
      <c r="EW144" t="e">
        <f>AND('Planilla_General_03-12-2012_9_3'!H2298,"AAAAAD36/5g=")</f>
        <v>#VALUE!</v>
      </c>
      <c r="EX144" t="e">
        <f>AND('Planilla_General_03-12-2012_9_3'!I2298,"AAAAAD36/5k=")</f>
        <v>#VALUE!</v>
      </c>
      <c r="EY144" t="e">
        <f>AND('Planilla_General_03-12-2012_9_3'!J2298,"AAAAAD36/5o=")</f>
        <v>#VALUE!</v>
      </c>
      <c r="EZ144" t="e">
        <f>AND('Planilla_General_03-12-2012_9_3'!K2298,"AAAAAD36/5s=")</f>
        <v>#VALUE!</v>
      </c>
      <c r="FA144" t="e">
        <f>AND('Planilla_General_03-12-2012_9_3'!L2298,"AAAAAD36/5w=")</f>
        <v>#VALUE!</v>
      </c>
      <c r="FB144" t="e">
        <f>AND('Planilla_General_03-12-2012_9_3'!M2298,"AAAAAD36/50=")</f>
        <v>#VALUE!</v>
      </c>
      <c r="FC144" t="e">
        <f>AND('Planilla_General_03-12-2012_9_3'!N2298,"AAAAAD36/54=")</f>
        <v>#VALUE!</v>
      </c>
      <c r="FD144" t="e">
        <f>AND('Planilla_General_03-12-2012_9_3'!O2298,"AAAAAD36/58=")</f>
        <v>#VALUE!</v>
      </c>
      <c r="FE144">
        <f>IF('Planilla_General_03-12-2012_9_3'!2299:2299,"AAAAAD36/6A=",0)</f>
        <v>0</v>
      </c>
      <c r="FF144" t="e">
        <f>AND('Planilla_General_03-12-2012_9_3'!A2299,"AAAAAD36/6E=")</f>
        <v>#VALUE!</v>
      </c>
      <c r="FG144" t="e">
        <f>AND('Planilla_General_03-12-2012_9_3'!B2299,"AAAAAD36/6I=")</f>
        <v>#VALUE!</v>
      </c>
      <c r="FH144" t="e">
        <f>AND('Planilla_General_03-12-2012_9_3'!C2299,"AAAAAD36/6M=")</f>
        <v>#VALUE!</v>
      </c>
      <c r="FI144" t="e">
        <f>AND('Planilla_General_03-12-2012_9_3'!D2299,"AAAAAD36/6Q=")</f>
        <v>#VALUE!</v>
      </c>
      <c r="FJ144" t="e">
        <f>AND('Planilla_General_03-12-2012_9_3'!E2299,"AAAAAD36/6U=")</f>
        <v>#VALUE!</v>
      </c>
      <c r="FK144" t="e">
        <f>AND('Planilla_General_03-12-2012_9_3'!F2299,"AAAAAD36/6Y=")</f>
        <v>#VALUE!</v>
      </c>
      <c r="FL144" t="e">
        <f>AND('Planilla_General_03-12-2012_9_3'!G2299,"AAAAAD36/6c=")</f>
        <v>#VALUE!</v>
      </c>
      <c r="FM144" t="e">
        <f>AND('Planilla_General_03-12-2012_9_3'!H2299,"AAAAAD36/6g=")</f>
        <v>#VALUE!</v>
      </c>
      <c r="FN144" t="e">
        <f>AND('Planilla_General_03-12-2012_9_3'!I2299,"AAAAAD36/6k=")</f>
        <v>#VALUE!</v>
      </c>
      <c r="FO144" t="e">
        <f>AND('Planilla_General_03-12-2012_9_3'!J2299,"AAAAAD36/6o=")</f>
        <v>#VALUE!</v>
      </c>
      <c r="FP144" t="e">
        <f>AND('Planilla_General_03-12-2012_9_3'!K2299,"AAAAAD36/6s=")</f>
        <v>#VALUE!</v>
      </c>
      <c r="FQ144" t="e">
        <f>AND('Planilla_General_03-12-2012_9_3'!L2299,"AAAAAD36/6w=")</f>
        <v>#VALUE!</v>
      </c>
      <c r="FR144" t="e">
        <f>AND('Planilla_General_03-12-2012_9_3'!M2299,"AAAAAD36/60=")</f>
        <v>#VALUE!</v>
      </c>
      <c r="FS144" t="e">
        <f>AND('Planilla_General_03-12-2012_9_3'!N2299,"AAAAAD36/64=")</f>
        <v>#VALUE!</v>
      </c>
      <c r="FT144" t="e">
        <f>AND('Planilla_General_03-12-2012_9_3'!O2299,"AAAAAD36/68=")</f>
        <v>#VALUE!</v>
      </c>
      <c r="FU144">
        <f>IF('Planilla_General_03-12-2012_9_3'!2300:2300,"AAAAAD36/7A=",0)</f>
        <v>0</v>
      </c>
      <c r="FV144" t="e">
        <f>AND('Planilla_General_03-12-2012_9_3'!A2300,"AAAAAD36/7E=")</f>
        <v>#VALUE!</v>
      </c>
      <c r="FW144" t="e">
        <f>AND('Planilla_General_03-12-2012_9_3'!B2300,"AAAAAD36/7I=")</f>
        <v>#VALUE!</v>
      </c>
      <c r="FX144" t="e">
        <f>AND('Planilla_General_03-12-2012_9_3'!C2300,"AAAAAD36/7M=")</f>
        <v>#VALUE!</v>
      </c>
      <c r="FY144" t="e">
        <f>AND('Planilla_General_03-12-2012_9_3'!D2300,"AAAAAD36/7Q=")</f>
        <v>#VALUE!</v>
      </c>
      <c r="FZ144" t="e">
        <f>AND('Planilla_General_03-12-2012_9_3'!E2300,"AAAAAD36/7U=")</f>
        <v>#VALUE!</v>
      </c>
      <c r="GA144" t="e">
        <f>AND('Planilla_General_03-12-2012_9_3'!F2300,"AAAAAD36/7Y=")</f>
        <v>#VALUE!</v>
      </c>
      <c r="GB144" t="e">
        <f>AND('Planilla_General_03-12-2012_9_3'!G2300,"AAAAAD36/7c=")</f>
        <v>#VALUE!</v>
      </c>
      <c r="GC144" t="e">
        <f>AND('Planilla_General_03-12-2012_9_3'!H2300,"AAAAAD36/7g=")</f>
        <v>#VALUE!</v>
      </c>
      <c r="GD144" t="e">
        <f>AND('Planilla_General_03-12-2012_9_3'!I2300,"AAAAAD36/7k=")</f>
        <v>#VALUE!</v>
      </c>
      <c r="GE144" t="e">
        <f>AND('Planilla_General_03-12-2012_9_3'!J2300,"AAAAAD36/7o=")</f>
        <v>#VALUE!</v>
      </c>
      <c r="GF144" t="e">
        <f>AND('Planilla_General_03-12-2012_9_3'!K2300,"AAAAAD36/7s=")</f>
        <v>#VALUE!</v>
      </c>
      <c r="GG144" t="e">
        <f>AND('Planilla_General_03-12-2012_9_3'!L2300,"AAAAAD36/7w=")</f>
        <v>#VALUE!</v>
      </c>
      <c r="GH144" t="e">
        <f>AND('Planilla_General_03-12-2012_9_3'!M2300,"AAAAAD36/70=")</f>
        <v>#VALUE!</v>
      </c>
      <c r="GI144" t="e">
        <f>AND('Planilla_General_03-12-2012_9_3'!N2300,"AAAAAD36/74=")</f>
        <v>#VALUE!</v>
      </c>
      <c r="GJ144" t="e">
        <f>AND('Planilla_General_03-12-2012_9_3'!O2300,"AAAAAD36/78=")</f>
        <v>#VALUE!</v>
      </c>
      <c r="GK144">
        <f>IF('Planilla_General_03-12-2012_9_3'!2301:2301,"AAAAAD36/8A=",0)</f>
        <v>0</v>
      </c>
      <c r="GL144" t="e">
        <f>AND('Planilla_General_03-12-2012_9_3'!A2301,"AAAAAD36/8E=")</f>
        <v>#VALUE!</v>
      </c>
      <c r="GM144" t="e">
        <f>AND('Planilla_General_03-12-2012_9_3'!B2301,"AAAAAD36/8I=")</f>
        <v>#VALUE!</v>
      </c>
      <c r="GN144" t="e">
        <f>AND('Planilla_General_03-12-2012_9_3'!C2301,"AAAAAD36/8M=")</f>
        <v>#VALUE!</v>
      </c>
      <c r="GO144" t="e">
        <f>AND('Planilla_General_03-12-2012_9_3'!D2301,"AAAAAD36/8Q=")</f>
        <v>#VALUE!</v>
      </c>
      <c r="GP144" t="e">
        <f>AND('Planilla_General_03-12-2012_9_3'!E2301,"AAAAAD36/8U=")</f>
        <v>#VALUE!</v>
      </c>
      <c r="GQ144" t="e">
        <f>AND('Planilla_General_03-12-2012_9_3'!F2301,"AAAAAD36/8Y=")</f>
        <v>#VALUE!</v>
      </c>
      <c r="GR144" t="e">
        <f>AND('Planilla_General_03-12-2012_9_3'!G2301,"AAAAAD36/8c=")</f>
        <v>#VALUE!</v>
      </c>
      <c r="GS144" t="e">
        <f>AND('Planilla_General_03-12-2012_9_3'!H2301,"AAAAAD36/8g=")</f>
        <v>#VALUE!</v>
      </c>
      <c r="GT144" t="e">
        <f>AND('Planilla_General_03-12-2012_9_3'!I2301,"AAAAAD36/8k=")</f>
        <v>#VALUE!</v>
      </c>
      <c r="GU144" t="e">
        <f>AND('Planilla_General_03-12-2012_9_3'!J2301,"AAAAAD36/8o=")</f>
        <v>#VALUE!</v>
      </c>
      <c r="GV144" t="e">
        <f>AND('Planilla_General_03-12-2012_9_3'!K2301,"AAAAAD36/8s=")</f>
        <v>#VALUE!</v>
      </c>
      <c r="GW144" t="e">
        <f>AND('Planilla_General_03-12-2012_9_3'!L2301,"AAAAAD36/8w=")</f>
        <v>#VALUE!</v>
      </c>
      <c r="GX144" t="e">
        <f>AND('Planilla_General_03-12-2012_9_3'!M2301,"AAAAAD36/80=")</f>
        <v>#VALUE!</v>
      </c>
      <c r="GY144" t="e">
        <f>AND('Planilla_General_03-12-2012_9_3'!N2301,"AAAAAD36/84=")</f>
        <v>#VALUE!</v>
      </c>
      <c r="GZ144" t="e">
        <f>AND('Planilla_General_03-12-2012_9_3'!O2301,"AAAAAD36/88=")</f>
        <v>#VALUE!</v>
      </c>
      <c r="HA144">
        <f>IF('Planilla_General_03-12-2012_9_3'!2302:2302,"AAAAAD36/9A=",0)</f>
        <v>0</v>
      </c>
      <c r="HB144" t="e">
        <f>AND('Planilla_General_03-12-2012_9_3'!A2302,"AAAAAD36/9E=")</f>
        <v>#VALUE!</v>
      </c>
      <c r="HC144" t="e">
        <f>AND('Planilla_General_03-12-2012_9_3'!B2302,"AAAAAD36/9I=")</f>
        <v>#VALUE!</v>
      </c>
      <c r="HD144" t="e">
        <f>AND('Planilla_General_03-12-2012_9_3'!C2302,"AAAAAD36/9M=")</f>
        <v>#VALUE!</v>
      </c>
      <c r="HE144" t="e">
        <f>AND('Planilla_General_03-12-2012_9_3'!D2302,"AAAAAD36/9Q=")</f>
        <v>#VALUE!</v>
      </c>
      <c r="HF144" t="e">
        <f>AND('Planilla_General_03-12-2012_9_3'!E2302,"AAAAAD36/9U=")</f>
        <v>#VALUE!</v>
      </c>
      <c r="HG144" t="e">
        <f>AND('Planilla_General_03-12-2012_9_3'!F2302,"AAAAAD36/9Y=")</f>
        <v>#VALUE!</v>
      </c>
      <c r="HH144" t="e">
        <f>AND('Planilla_General_03-12-2012_9_3'!G2302,"AAAAAD36/9c=")</f>
        <v>#VALUE!</v>
      </c>
      <c r="HI144" t="e">
        <f>AND('Planilla_General_03-12-2012_9_3'!H2302,"AAAAAD36/9g=")</f>
        <v>#VALUE!</v>
      </c>
      <c r="HJ144" t="e">
        <f>AND('Planilla_General_03-12-2012_9_3'!I2302,"AAAAAD36/9k=")</f>
        <v>#VALUE!</v>
      </c>
      <c r="HK144" t="e">
        <f>AND('Planilla_General_03-12-2012_9_3'!J2302,"AAAAAD36/9o=")</f>
        <v>#VALUE!</v>
      </c>
      <c r="HL144" t="e">
        <f>AND('Planilla_General_03-12-2012_9_3'!K2302,"AAAAAD36/9s=")</f>
        <v>#VALUE!</v>
      </c>
      <c r="HM144" t="e">
        <f>AND('Planilla_General_03-12-2012_9_3'!L2302,"AAAAAD36/9w=")</f>
        <v>#VALUE!</v>
      </c>
      <c r="HN144" t="e">
        <f>AND('Planilla_General_03-12-2012_9_3'!M2302,"AAAAAD36/90=")</f>
        <v>#VALUE!</v>
      </c>
      <c r="HO144" t="e">
        <f>AND('Planilla_General_03-12-2012_9_3'!N2302,"AAAAAD36/94=")</f>
        <v>#VALUE!</v>
      </c>
      <c r="HP144" t="e">
        <f>AND('Planilla_General_03-12-2012_9_3'!O2302,"AAAAAD36/98=")</f>
        <v>#VALUE!</v>
      </c>
      <c r="HQ144">
        <f>IF('Planilla_General_03-12-2012_9_3'!2303:2303,"AAAAAD36/+A=",0)</f>
        <v>0</v>
      </c>
      <c r="HR144" t="e">
        <f>AND('Planilla_General_03-12-2012_9_3'!A2303,"AAAAAD36/+E=")</f>
        <v>#VALUE!</v>
      </c>
      <c r="HS144" t="e">
        <f>AND('Planilla_General_03-12-2012_9_3'!B2303,"AAAAAD36/+I=")</f>
        <v>#VALUE!</v>
      </c>
      <c r="HT144" t="e">
        <f>AND('Planilla_General_03-12-2012_9_3'!C2303,"AAAAAD36/+M=")</f>
        <v>#VALUE!</v>
      </c>
      <c r="HU144" t="e">
        <f>AND('Planilla_General_03-12-2012_9_3'!D2303,"AAAAAD36/+Q=")</f>
        <v>#VALUE!</v>
      </c>
      <c r="HV144" t="e">
        <f>AND('Planilla_General_03-12-2012_9_3'!E2303,"AAAAAD36/+U=")</f>
        <v>#VALUE!</v>
      </c>
      <c r="HW144" t="e">
        <f>AND('Planilla_General_03-12-2012_9_3'!F2303,"AAAAAD36/+Y=")</f>
        <v>#VALUE!</v>
      </c>
      <c r="HX144" t="e">
        <f>AND('Planilla_General_03-12-2012_9_3'!G2303,"AAAAAD36/+c=")</f>
        <v>#VALUE!</v>
      </c>
      <c r="HY144" t="e">
        <f>AND('Planilla_General_03-12-2012_9_3'!H2303,"AAAAAD36/+g=")</f>
        <v>#VALUE!</v>
      </c>
      <c r="HZ144" t="e">
        <f>AND('Planilla_General_03-12-2012_9_3'!I2303,"AAAAAD36/+k=")</f>
        <v>#VALUE!</v>
      </c>
      <c r="IA144" t="e">
        <f>AND('Planilla_General_03-12-2012_9_3'!J2303,"AAAAAD36/+o=")</f>
        <v>#VALUE!</v>
      </c>
      <c r="IB144" t="e">
        <f>AND('Planilla_General_03-12-2012_9_3'!K2303,"AAAAAD36/+s=")</f>
        <v>#VALUE!</v>
      </c>
      <c r="IC144" t="e">
        <f>AND('Planilla_General_03-12-2012_9_3'!L2303,"AAAAAD36/+w=")</f>
        <v>#VALUE!</v>
      </c>
      <c r="ID144" t="e">
        <f>AND('Planilla_General_03-12-2012_9_3'!M2303,"AAAAAD36/+0=")</f>
        <v>#VALUE!</v>
      </c>
      <c r="IE144" t="e">
        <f>AND('Planilla_General_03-12-2012_9_3'!N2303,"AAAAAD36/+4=")</f>
        <v>#VALUE!</v>
      </c>
      <c r="IF144" t="e">
        <f>AND('Planilla_General_03-12-2012_9_3'!O2303,"AAAAAD36/+8=")</f>
        <v>#VALUE!</v>
      </c>
      <c r="IG144">
        <f>IF('Planilla_General_03-12-2012_9_3'!2304:2304,"AAAAAD36//A=",0)</f>
        <v>0</v>
      </c>
      <c r="IH144" t="e">
        <f>AND('Planilla_General_03-12-2012_9_3'!A2304,"AAAAAD36//E=")</f>
        <v>#VALUE!</v>
      </c>
      <c r="II144" t="e">
        <f>AND('Planilla_General_03-12-2012_9_3'!B2304,"AAAAAD36//I=")</f>
        <v>#VALUE!</v>
      </c>
      <c r="IJ144" t="e">
        <f>AND('Planilla_General_03-12-2012_9_3'!C2304,"AAAAAD36//M=")</f>
        <v>#VALUE!</v>
      </c>
      <c r="IK144" t="e">
        <f>AND('Planilla_General_03-12-2012_9_3'!D2304,"AAAAAD36//Q=")</f>
        <v>#VALUE!</v>
      </c>
      <c r="IL144" t="e">
        <f>AND('Planilla_General_03-12-2012_9_3'!E2304,"AAAAAD36//U=")</f>
        <v>#VALUE!</v>
      </c>
      <c r="IM144" t="e">
        <f>AND('Planilla_General_03-12-2012_9_3'!F2304,"AAAAAD36//Y=")</f>
        <v>#VALUE!</v>
      </c>
      <c r="IN144" t="e">
        <f>AND('Planilla_General_03-12-2012_9_3'!G2304,"AAAAAD36//c=")</f>
        <v>#VALUE!</v>
      </c>
      <c r="IO144" t="e">
        <f>AND('Planilla_General_03-12-2012_9_3'!H2304,"AAAAAD36//g=")</f>
        <v>#VALUE!</v>
      </c>
      <c r="IP144" t="e">
        <f>AND('Planilla_General_03-12-2012_9_3'!I2304,"AAAAAD36//k=")</f>
        <v>#VALUE!</v>
      </c>
      <c r="IQ144" t="e">
        <f>AND('Planilla_General_03-12-2012_9_3'!J2304,"AAAAAD36//o=")</f>
        <v>#VALUE!</v>
      </c>
      <c r="IR144" t="e">
        <f>AND('Planilla_General_03-12-2012_9_3'!K2304,"AAAAAD36//s=")</f>
        <v>#VALUE!</v>
      </c>
      <c r="IS144" t="e">
        <f>AND('Planilla_General_03-12-2012_9_3'!L2304,"AAAAAD36//w=")</f>
        <v>#VALUE!</v>
      </c>
      <c r="IT144" t="e">
        <f>AND('Planilla_General_03-12-2012_9_3'!M2304,"AAAAAD36//0=")</f>
        <v>#VALUE!</v>
      </c>
      <c r="IU144" t="e">
        <f>AND('Planilla_General_03-12-2012_9_3'!N2304,"AAAAAD36//4=")</f>
        <v>#VALUE!</v>
      </c>
      <c r="IV144" t="e">
        <f>AND('Planilla_General_03-12-2012_9_3'!O2304,"AAAAAD36//8=")</f>
        <v>#VALUE!</v>
      </c>
    </row>
    <row r="145" spans="1:256" x14ac:dyDescent="0.25">
      <c r="A145" t="e">
        <f>IF('Planilla_General_03-12-2012_9_3'!2305:2305,"AAAAAGs//wA=",0)</f>
        <v>#VALUE!</v>
      </c>
      <c r="B145" t="e">
        <f>AND('Planilla_General_03-12-2012_9_3'!A2305,"AAAAAGs//wE=")</f>
        <v>#VALUE!</v>
      </c>
      <c r="C145" t="e">
        <f>AND('Planilla_General_03-12-2012_9_3'!B2305,"AAAAAGs//wI=")</f>
        <v>#VALUE!</v>
      </c>
      <c r="D145" t="e">
        <f>AND('Planilla_General_03-12-2012_9_3'!C2305,"AAAAAGs//wM=")</f>
        <v>#VALUE!</v>
      </c>
      <c r="E145" t="e">
        <f>AND('Planilla_General_03-12-2012_9_3'!D2305,"AAAAAGs//wQ=")</f>
        <v>#VALUE!</v>
      </c>
      <c r="F145" t="e">
        <f>AND('Planilla_General_03-12-2012_9_3'!E2305,"AAAAAGs//wU=")</f>
        <v>#VALUE!</v>
      </c>
      <c r="G145" t="e">
        <f>AND('Planilla_General_03-12-2012_9_3'!F2305,"AAAAAGs//wY=")</f>
        <v>#VALUE!</v>
      </c>
      <c r="H145" t="e">
        <f>AND('Planilla_General_03-12-2012_9_3'!G2305,"AAAAAGs//wc=")</f>
        <v>#VALUE!</v>
      </c>
      <c r="I145" t="e">
        <f>AND('Planilla_General_03-12-2012_9_3'!H2305,"AAAAAGs//wg=")</f>
        <v>#VALUE!</v>
      </c>
      <c r="J145" t="e">
        <f>AND('Planilla_General_03-12-2012_9_3'!I2305,"AAAAAGs//wk=")</f>
        <v>#VALUE!</v>
      </c>
      <c r="K145" t="e">
        <f>AND('Planilla_General_03-12-2012_9_3'!J2305,"AAAAAGs//wo=")</f>
        <v>#VALUE!</v>
      </c>
      <c r="L145" t="e">
        <f>AND('Planilla_General_03-12-2012_9_3'!K2305,"AAAAAGs//ws=")</f>
        <v>#VALUE!</v>
      </c>
      <c r="M145" t="e">
        <f>AND('Planilla_General_03-12-2012_9_3'!L2305,"AAAAAGs//ww=")</f>
        <v>#VALUE!</v>
      </c>
      <c r="N145" t="e">
        <f>AND('Planilla_General_03-12-2012_9_3'!M2305,"AAAAAGs//w0=")</f>
        <v>#VALUE!</v>
      </c>
      <c r="O145" t="e">
        <f>AND('Planilla_General_03-12-2012_9_3'!N2305,"AAAAAGs//w4=")</f>
        <v>#VALUE!</v>
      </c>
      <c r="P145" t="e">
        <f>AND('Planilla_General_03-12-2012_9_3'!O2305,"AAAAAGs//w8=")</f>
        <v>#VALUE!</v>
      </c>
      <c r="Q145">
        <f>IF('Planilla_General_03-12-2012_9_3'!2306:2306,"AAAAAGs//xA=",0)</f>
        <v>0</v>
      </c>
      <c r="R145" t="e">
        <f>AND('Planilla_General_03-12-2012_9_3'!A2306,"AAAAAGs//xE=")</f>
        <v>#VALUE!</v>
      </c>
      <c r="S145" t="e">
        <f>AND('Planilla_General_03-12-2012_9_3'!B2306,"AAAAAGs//xI=")</f>
        <v>#VALUE!</v>
      </c>
      <c r="T145" t="e">
        <f>AND('Planilla_General_03-12-2012_9_3'!C2306,"AAAAAGs//xM=")</f>
        <v>#VALUE!</v>
      </c>
      <c r="U145" t="e">
        <f>AND('Planilla_General_03-12-2012_9_3'!D2306,"AAAAAGs//xQ=")</f>
        <v>#VALUE!</v>
      </c>
      <c r="V145" t="e">
        <f>AND('Planilla_General_03-12-2012_9_3'!E2306,"AAAAAGs//xU=")</f>
        <v>#VALUE!</v>
      </c>
      <c r="W145" t="e">
        <f>AND('Planilla_General_03-12-2012_9_3'!F2306,"AAAAAGs//xY=")</f>
        <v>#VALUE!</v>
      </c>
      <c r="X145" t="e">
        <f>AND('Planilla_General_03-12-2012_9_3'!G2306,"AAAAAGs//xc=")</f>
        <v>#VALUE!</v>
      </c>
      <c r="Y145" t="e">
        <f>AND('Planilla_General_03-12-2012_9_3'!H2306,"AAAAAGs//xg=")</f>
        <v>#VALUE!</v>
      </c>
      <c r="Z145" t="e">
        <f>AND('Planilla_General_03-12-2012_9_3'!I2306,"AAAAAGs//xk=")</f>
        <v>#VALUE!</v>
      </c>
      <c r="AA145" t="e">
        <f>AND('Planilla_General_03-12-2012_9_3'!J2306,"AAAAAGs//xo=")</f>
        <v>#VALUE!</v>
      </c>
      <c r="AB145" t="e">
        <f>AND('Planilla_General_03-12-2012_9_3'!K2306,"AAAAAGs//xs=")</f>
        <v>#VALUE!</v>
      </c>
      <c r="AC145" t="e">
        <f>AND('Planilla_General_03-12-2012_9_3'!L2306,"AAAAAGs//xw=")</f>
        <v>#VALUE!</v>
      </c>
      <c r="AD145" t="e">
        <f>AND('Planilla_General_03-12-2012_9_3'!M2306,"AAAAAGs//x0=")</f>
        <v>#VALUE!</v>
      </c>
      <c r="AE145" t="e">
        <f>AND('Planilla_General_03-12-2012_9_3'!N2306,"AAAAAGs//x4=")</f>
        <v>#VALUE!</v>
      </c>
      <c r="AF145" t="e">
        <f>AND('Planilla_General_03-12-2012_9_3'!O2306,"AAAAAGs//x8=")</f>
        <v>#VALUE!</v>
      </c>
      <c r="AG145">
        <f>IF('Planilla_General_03-12-2012_9_3'!2307:2307,"AAAAAGs//yA=",0)</f>
        <v>0</v>
      </c>
      <c r="AH145" t="e">
        <f>AND('Planilla_General_03-12-2012_9_3'!A2307,"AAAAAGs//yE=")</f>
        <v>#VALUE!</v>
      </c>
      <c r="AI145" t="e">
        <f>AND('Planilla_General_03-12-2012_9_3'!B2307,"AAAAAGs//yI=")</f>
        <v>#VALUE!</v>
      </c>
      <c r="AJ145" t="e">
        <f>AND('Planilla_General_03-12-2012_9_3'!C2307,"AAAAAGs//yM=")</f>
        <v>#VALUE!</v>
      </c>
      <c r="AK145" t="e">
        <f>AND('Planilla_General_03-12-2012_9_3'!D2307,"AAAAAGs//yQ=")</f>
        <v>#VALUE!</v>
      </c>
      <c r="AL145" t="e">
        <f>AND('Planilla_General_03-12-2012_9_3'!E2307,"AAAAAGs//yU=")</f>
        <v>#VALUE!</v>
      </c>
      <c r="AM145" t="e">
        <f>AND('Planilla_General_03-12-2012_9_3'!F2307,"AAAAAGs//yY=")</f>
        <v>#VALUE!</v>
      </c>
      <c r="AN145" t="e">
        <f>AND('Planilla_General_03-12-2012_9_3'!G2307,"AAAAAGs//yc=")</f>
        <v>#VALUE!</v>
      </c>
      <c r="AO145" t="e">
        <f>AND('Planilla_General_03-12-2012_9_3'!H2307,"AAAAAGs//yg=")</f>
        <v>#VALUE!</v>
      </c>
      <c r="AP145" t="e">
        <f>AND('Planilla_General_03-12-2012_9_3'!I2307,"AAAAAGs//yk=")</f>
        <v>#VALUE!</v>
      </c>
      <c r="AQ145" t="e">
        <f>AND('Planilla_General_03-12-2012_9_3'!J2307,"AAAAAGs//yo=")</f>
        <v>#VALUE!</v>
      </c>
      <c r="AR145" t="e">
        <f>AND('Planilla_General_03-12-2012_9_3'!K2307,"AAAAAGs//ys=")</f>
        <v>#VALUE!</v>
      </c>
      <c r="AS145" t="e">
        <f>AND('Planilla_General_03-12-2012_9_3'!L2307,"AAAAAGs//yw=")</f>
        <v>#VALUE!</v>
      </c>
      <c r="AT145" t="e">
        <f>AND('Planilla_General_03-12-2012_9_3'!M2307,"AAAAAGs//y0=")</f>
        <v>#VALUE!</v>
      </c>
      <c r="AU145" t="e">
        <f>AND('Planilla_General_03-12-2012_9_3'!N2307,"AAAAAGs//y4=")</f>
        <v>#VALUE!</v>
      </c>
      <c r="AV145" t="e">
        <f>AND('Planilla_General_03-12-2012_9_3'!O2307,"AAAAAGs//y8=")</f>
        <v>#VALUE!</v>
      </c>
      <c r="AW145">
        <f>IF('Planilla_General_03-12-2012_9_3'!2308:2308,"AAAAAGs//zA=",0)</f>
        <v>0</v>
      </c>
      <c r="AX145" t="e">
        <f>AND('Planilla_General_03-12-2012_9_3'!A2308,"AAAAAGs//zE=")</f>
        <v>#VALUE!</v>
      </c>
      <c r="AY145" t="e">
        <f>AND('Planilla_General_03-12-2012_9_3'!B2308,"AAAAAGs//zI=")</f>
        <v>#VALUE!</v>
      </c>
      <c r="AZ145" t="e">
        <f>AND('Planilla_General_03-12-2012_9_3'!C2308,"AAAAAGs//zM=")</f>
        <v>#VALUE!</v>
      </c>
      <c r="BA145" t="e">
        <f>AND('Planilla_General_03-12-2012_9_3'!D2308,"AAAAAGs//zQ=")</f>
        <v>#VALUE!</v>
      </c>
      <c r="BB145" t="e">
        <f>AND('Planilla_General_03-12-2012_9_3'!E2308,"AAAAAGs//zU=")</f>
        <v>#VALUE!</v>
      </c>
      <c r="BC145" t="e">
        <f>AND('Planilla_General_03-12-2012_9_3'!F2308,"AAAAAGs//zY=")</f>
        <v>#VALUE!</v>
      </c>
      <c r="BD145" t="e">
        <f>AND('Planilla_General_03-12-2012_9_3'!G2308,"AAAAAGs//zc=")</f>
        <v>#VALUE!</v>
      </c>
      <c r="BE145" t="e">
        <f>AND('Planilla_General_03-12-2012_9_3'!H2308,"AAAAAGs//zg=")</f>
        <v>#VALUE!</v>
      </c>
      <c r="BF145" t="e">
        <f>AND('Planilla_General_03-12-2012_9_3'!I2308,"AAAAAGs//zk=")</f>
        <v>#VALUE!</v>
      </c>
      <c r="BG145" t="e">
        <f>AND('Planilla_General_03-12-2012_9_3'!J2308,"AAAAAGs//zo=")</f>
        <v>#VALUE!</v>
      </c>
      <c r="BH145" t="e">
        <f>AND('Planilla_General_03-12-2012_9_3'!K2308,"AAAAAGs//zs=")</f>
        <v>#VALUE!</v>
      </c>
      <c r="BI145" t="e">
        <f>AND('Planilla_General_03-12-2012_9_3'!L2308,"AAAAAGs//zw=")</f>
        <v>#VALUE!</v>
      </c>
      <c r="BJ145" t="e">
        <f>AND('Planilla_General_03-12-2012_9_3'!M2308,"AAAAAGs//z0=")</f>
        <v>#VALUE!</v>
      </c>
      <c r="BK145" t="e">
        <f>AND('Planilla_General_03-12-2012_9_3'!N2308,"AAAAAGs//z4=")</f>
        <v>#VALUE!</v>
      </c>
      <c r="BL145" t="e">
        <f>AND('Planilla_General_03-12-2012_9_3'!O2308,"AAAAAGs//z8=")</f>
        <v>#VALUE!</v>
      </c>
      <c r="BM145">
        <f>IF('Planilla_General_03-12-2012_9_3'!2309:2309,"AAAAAGs//0A=",0)</f>
        <v>0</v>
      </c>
      <c r="BN145" t="e">
        <f>AND('Planilla_General_03-12-2012_9_3'!A2309,"AAAAAGs//0E=")</f>
        <v>#VALUE!</v>
      </c>
      <c r="BO145" t="e">
        <f>AND('Planilla_General_03-12-2012_9_3'!B2309,"AAAAAGs//0I=")</f>
        <v>#VALUE!</v>
      </c>
      <c r="BP145" t="e">
        <f>AND('Planilla_General_03-12-2012_9_3'!C2309,"AAAAAGs//0M=")</f>
        <v>#VALUE!</v>
      </c>
      <c r="BQ145" t="e">
        <f>AND('Planilla_General_03-12-2012_9_3'!D2309,"AAAAAGs//0Q=")</f>
        <v>#VALUE!</v>
      </c>
      <c r="BR145" t="e">
        <f>AND('Planilla_General_03-12-2012_9_3'!E2309,"AAAAAGs//0U=")</f>
        <v>#VALUE!</v>
      </c>
      <c r="BS145" t="e">
        <f>AND('Planilla_General_03-12-2012_9_3'!F2309,"AAAAAGs//0Y=")</f>
        <v>#VALUE!</v>
      </c>
      <c r="BT145" t="e">
        <f>AND('Planilla_General_03-12-2012_9_3'!G2309,"AAAAAGs//0c=")</f>
        <v>#VALUE!</v>
      </c>
      <c r="BU145" t="e">
        <f>AND('Planilla_General_03-12-2012_9_3'!H2309,"AAAAAGs//0g=")</f>
        <v>#VALUE!</v>
      </c>
      <c r="BV145" t="e">
        <f>AND('Planilla_General_03-12-2012_9_3'!I2309,"AAAAAGs//0k=")</f>
        <v>#VALUE!</v>
      </c>
      <c r="BW145" t="e">
        <f>AND('Planilla_General_03-12-2012_9_3'!J2309,"AAAAAGs//0o=")</f>
        <v>#VALUE!</v>
      </c>
      <c r="BX145" t="e">
        <f>AND('Planilla_General_03-12-2012_9_3'!K2309,"AAAAAGs//0s=")</f>
        <v>#VALUE!</v>
      </c>
      <c r="BY145" t="e">
        <f>AND('Planilla_General_03-12-2012_9_3'!L2309,"AAAAAGs//0w=")</f>
        <v>#VALUE!</v>
      </c>
      <c r="BZ145" t="e">
        <f>AND('Planilla_General_03-12-2012_9_3'!M2309,"AAAAAGs//00=")</f>
        <v>#VALUE!</v>
      </c>
      <c r="CA145" t="e">
        <f>AND('Planilla_General_03-12-2012_9_3'!N2309,"AAAAAGs//04=")</f>
        <v>#VALUE!</v>
      </c>
      <c r="CB145" t="e">
        <f>AND('Planilla_General_03-12-2012_9_3'!O2309,"AAAAAGs//08=")</f>
        <v>#VALUE!</v>
      </c>
      <c r="CC145">
        <f>IF('Planilla_General_03-12-2012_9_3'!2310:2310,"AAAAAGs//1A=",0)</f>
        <v>0</v>
      </c>
      <c r="CD145" t="e">
        <f>AND('Planilla_General_03-12-2012_9_3'!A2310,"AAAAAGs//1E=")</f>
        <v>#VALUE!</v>
      </c>
      <c r="CE145" t="e">
        <f>AND('Planilla_General_03-12-2012_9_3'!B2310,"AAAAAGs//1I=")</f>
        <v>#VALUE!</v>
      </c>
      <c r="CF145" t="e">
        <f>AND('Planilla_General_03-12-2012_9_3'!C2310,"AAAAAGs//1M=")</f>
        <v>#VALUE!</v>
      </c>
      <c r="CG145" t="e">
        <f>AND('Planilla_General_03-12-2012_9_3'!D2310,"AAAAAGs//1Q=")</f>
        <v>#VALUE!</v>
      </c>
      <c r="CH145" t="e">
        <f>AND('Planilla_General_03-12-2012_9_3'!E2310,"AAAAAGs//1U=")</f>
        <v>#VALUE!</v>
      </c>
      <c r="CI145" t="e">
        <f>AND('Planilla_General_03-12-2012_9_3'!F2310,"AAAAAGs//1Y=")</f>
        <v>#VALUE!</v>
      </c>
      <c r="CJ145" t="e">
        <f>AND('Planilla_General_03-12-2012_9_3'!G2310,"AAAAAGs//1c=")</f>
        <v>#VALUE!</v>
      </c>
      <c r="CK145" t="e">
        <f>AND('Planilla_General_03-12-2012_9_3'!H2310,"AAAAAGs//1g=")</f>
        <v>#VALUE!</v>
      </c>
      <c r="CL145" t="e">
        <f>AND('Planilla_General_03-12-2012_9_3'!I2310,"AAAAAGs//1k=")</f>
        <v>#VALUE!</v>
      </c>
      <c r="CM145" t="e">
        <f>AND('Planilla_General_03-12-2012_9_3'!J2310,"AAAAAGs//1o=")</f>
        <v>#VALUE!</v>
      </c>
      <c r="CN145" t="e">
        <f>AND('Planilla_General_03-12-2012_9_3'!K2310,"AAAAAGs//1s=")</f>
        <v>#VALUE!</v>
      </c>
      <c r="CO145" t="e">
        <f>AND('Planilla_General_03-12-2012_9_3'!L2310,"AAAAAGs//1w=")</f>
        <v>#VALUE!</v>
      </c>
      <c r="CP145" t="e">
        <f>AND('Planilla_General_03-12-2012_9_3'!M2310,"AAAAAGs//10=")</f>
        <v>#VALUE!</v>
      </c>
      <c r="CQ145" t="e">
        <f>AND('Planilla_General_03-12-2012_9_3'!N2310,"AAAAAGs//14=")</f>
        <v>#VALUE!</v>
      </c>
      <c r="CR145" t="e">
        <f>AND('Planilla_General_03-12-2012_9_3'!O2310,"AAAAAGs//18=")</f>
        <v>#VALUE!</v>
      </c>
      <c r="CS145">
        <f>IF('Planilla_General_03-12-2012_9_3'!2311:2311,"AAAAAGs//2A=",0)</f>
        <v>0</v>
      </c>
      <c r="CT145" t="e">
        <f>AND('Planilla_General_03-12-2012_9_3'!A2311,"AAAAAGs//2E=")</f>
        <v>#VALUE!</v>
      </c>
      <c r="CU145" t="e">
        <f>AND('Planilla_General_03-12-2012_9_3'!B2311,"AAAAAGs//2I=")</f>
        <v>#VALUE!</v>
      </c>
      <c r="CV145" t="e">
        <f>AND('Planilla_General_03-12-2012_9_3'!C2311,"AAAAAGs//2M=")</f>
        <v>#VALUE!</v>
      </c>
      <c r="CW145" t="e">
        <f>AND('Planilla_General_03-12-2012_9_3'!D2311,"AAAAAGs//2Q=")</f>
        <v>#VALUE!</v>
      </c>
      <c r="CX145" t="e">
        <f>AND('Planilla_General_03-12-2012_9_3'!E2311,"AAAAAGs//2U=")</f>
        <v>#VALUE!</v>
      </c>
      <c r="CY145" t="e">
        <f>AND('Planilla_General_03-12-2012_9_3'!F2311,"AAAAAGs//2Y=")</f>
        <v>#VALUE!</v>
      </c>
      <c r="CZ145" t="e">
        <f>AND('Planilla_General_03-12-2012_9_3'!G2311,"AAAAAGs//2c=")</f>
        <v>#VALUE!</v>
      </c>
      <c r="DA145" t="e">
        <f>AND('Planilla_General_03-12-2012_9_3'!H2311,"AAAAAGs//2g=")</f>
        <v>#VALUE!</v>
      </c>
      <c r="DB145" t="e">
        <f>AND('Planilla_General_03-12-2012_9_3'!I2311,"AAAAAGs//2k=")</f>
        <v>#VALUE!</v>
      </c>
      <c r="DC145" t="e">
        <f>AND('Planilla_General_03-12-2012_9_3'!J2311,"AAAAAGs//2o=")</f>
        <v>#VALUE!</v>
      </c>
      <c r="DD145" t="e">
        <f>AND('Planilla_General_03-12-2012_9_3'!K2311,"AAAAAGs//2s=")</f>
        <v>#VALUE!</v>
      </c>
      <c r="DE145" t="e">
        <f>AND('Planilla_General_03-12-2012_9_3'!L2311,"AAAAAGs//2w=")</f>
        <v>#VALUE!</v>
      </c>
      <c r="DF145" t="e">
        <f>AND('Planilla_General_03-12-2012_9_3'!M2311,"AAAAAGs//20=")</f>
        <v>#VALUE!</v>
      </c>
      <c r="DG145" t="e">
        <f>AND('Planilla_General_03-12-2012_9_3'!N2311,"AAAAAGs//24=")</f>
        <v>#VALUE!</v>
      </c>
      <c r="DH145" t="e">
        <f>AND('Planilla_General_03-12-2012_9_3'!O2311,"AAAAAGs//28=")</f>
        <v>#VALUE!</v>
      </c>
      <c r="DI145">
        <f>IF('Planilla_General_03-12-2012_9_3'!2312:2312,"AAAAAGs//3A=",0)</f>
        <v>0</v>
      </c>
      <c r="DJ145" t="e">
        <f>AND('Planilla_General_03-12-2012_9_3'!A2312,"AAAAAGs//3E=")</f>
        <v>#VALUE!</v>
      </c>
      <c r="DK145" t="e">
        <f>AND('Planilla_General_03-12-2012_9_3'!B2312,"AAAAAGs//3I=")</f>
        <v>#VALUE!</v>
      </c>
      <c r="DL145" t="e">
        <f>AND('Planilla_General_03-12-2012_9_3'!C2312,"AAAAAGs//3M=")</f>
        <v>#VALUE!</v>
      </c>
      <c r="DM145" t="e">
        <f>AND('Planilla_General_03-12-2012_9_3'!D2312,"AAAAAGs//3Q=")</f>
        <v>#VALUE!</v>
      </c>
      <c r="DN145" t="e">
        <f>AND('Planilla_General_03-12-2012_9_3'!E2312,"AAAAAGs//3U=")</f>
        <v>#VALUE!</v>
      </c>
      <c r="DO145" t="e">
        <f>AND('Planilla_General_03-12-2012_9_3'!F2312,"AAAAAGs//3Y=")</f>
        <v>#VALUE!</v>
      </c>
      <c r="DP145" t="e">
        <f>AND('Planilla_General_03-12-2012_9_3'!G2312,"AAAAAGs//3c=")</f>
        <v>#VALUE!</v>
      </c>
      <c r="DQ145" t="e">
        <f>AND('Planilla_General_03-12-2012_9_3'!H2312,"AAAAAGs//3g=")</f>
        <v>#VALUE!</v>
      </c>
      <c r="DR145" t="e">
        <f>AND('Planilla_General_03-12-2012_9_3'!I2312,"AAAAAGs//3k=")</f>
        <v>#VALUE!</v>
      </c>
      <c r="DS145" t="e">
        <f>AND('Planilla_General_03-12-2012_9_3'!J2312,"AAAAAGs//3o=")</f>
        <v>#VALUE!</v>
      </c>
      <c r="DT145" t="e">
        <f>AND('Planilla_General_03-12-2012_9_3'!K2312,"AAAAAGs//3s=")</f>
        <v>#VALUE!</v>
      </c>
      <c r="DU145" t="e">
        <f>AND('Planilla_General_03-12-2012_9_3'!L2312,"AAAAAGs//3w=")</f>
        <v>#VALUE!</v>
      </c>
      <c r="DV145" t="e">
        <f>AND('Planilla_General_03-12-2012_9_3'!M2312,"AAAAAGs//30=")</f>
        <v>#VALUE!</v>
      </c>
      <c r="DW145" t="e">
        <f>AND('Planilla_General_03-12-2012_9_3'!N2312,"AAAAAGs//34=")</f>
        <v>#VALUE!</v>
      </c>
      <c r="DX145" t="e">
        <f>AND('Planilla_General_03-12-2012_9_3'!O2312,"AAAAAGs//38=")</f>
        <v>#VALUE!</v>
      </c>
      <c r="DY145">
        <f>IF('Planilla_General_03-12-2012_9_3'!2313:2313,"AAAAAGs//4A=",0)</f>
        <v>0</v>
      </c>
      <c r="DZ145" t="e">
        <f>AND('Planilla_General_03-12-2012_9_3'!A2313,"AAAAAGs//4E=")</f>
        <v>#VALUE!</v>
      </c>
      <c r="EA145" t="e">
        <f>AND('Planilla_General_03-12-2012_9_3'!B2313,"AAAAAGs//4I=")</f>
        <v>#VALUE!</v>
      </c>
      <c r="EB145" t="e">
        <f>AND('Planilla_General_03-12-2012_9_3'!C2313,"AAAAAGs//4M=")</f>
        <v>#VALUE!</v>
      </c>
      <c r="EC145" t="e">
        <f>AND('Planilla_General_03-12-2012_9_3'!D2313,"AAAAAGs//4Q=")</f>
        <v>#VALUE!</v>
      </c>
      <c r="ED145" t="e">
        <f>AND('Planilla_General_03-12-2012_9_3'!E2313,"AAAAAGs//4U=")</f>
        <v>#VALUE!</v>
      </c>
      <c r="EE145" t="e">
        <f>AND('Planilla_General_03-12-2012_9_3'!F2313,"AAAAAGs//4Y=")</f>
        <v>#VALUE!</v>
      </c>
      <c r="EF145" t="e">
        <f>AND('Planilla_General_03-12-2012_9_3'!G2313,"AAAAAGs//4c=")</f>
        <v>#VALUE!</v>
      </c>
      <c r="EG145" t="e">
        <f>AND('Planilla_General_03-12-2012_9_3'!H2313,"AAAAAGs//4g=")</f>
        <v>#VALUE!</v>
      </c>
      <c r="EH145" t="e">
        <f>AND('Planilla_General_03-12-2012_9_3'!I2313,"AAAAAGs//4k=")</f>
        <v>#VALUE!</v>
      </c>
      <c r="EI145" t="e">
        <f>AND('Planilla_General_03-12-2012_9_3'!J2313,"AAAAAGs//4o=")</f>
        <v>#VALUE!</v>
      </c>
      <c r="EJ145" t="e">
        <f>AND('Planilla_General_03-12-2012_9_3'!K2313,"AAAAAGs//4s=")</f>
        <v>#VALUE!</v>
      </c>
      <c r="EK145" t="e">
        <f>AND('Planilla_General_03-12-2012_9_3'!L2313,"AAAAAGs//4w=")</f>
        <v>#VALUE!</v>
      </c>
      <c r="EL145" t="e">
        <f>AND('Planilla_General_03-12-2012_9_3'!M2313,"AAAAAGs//40=")</f>
        <v>#VALUE!</v>
      </c>
      <c r="EM145" t="e">
        <f>AND('Planilla_General_03-12-2012_9_3'!N2313,"AAAAAGs//44=")</f>
        <v>#VALUE!</v>
      </c>
      <c r="EN145" t="e">
        <f>AND('Planilla_General_03-12-2012_9_3'!O2313,"AAAAAGs//48=")</f>
        <v>#VALUE!</v>
      </c>
      <c r="EO145">
        <f>IF('Planilla_General_03-12-2012_9_3'!2314:2314,"AAAAAGs//5A=",0)</f>
        <v>0</v>
      </c>
      <c r="EP145" t="e">
        <f>AND('Planilla_General_03-12-2012_9_3'!A2314,"AAAAAGs//5E=")</f>
        <v>#VALUE!</v>
      </c>
      <c r="EQ145" t="e">
        <f>AND('Planilla_General_03-12-2012_9_3'!B2314,"AAAAAGs//5I=")</f>
        <v>#VALUE!</v>
      </c>
      <c r="ER145" t="e">
        <f>AND('Planilla_General_03-12-2012_9_3'!C2314,"AAAAAGs//5M=")</f>
        <v>#VALUE!</v>
      </c>
      <c r="ES145" t="e">
        <f>AND('Planilla_General_03-12-2012_9_3'!D2314,"AAAAAGs//5Q=")</f>
        <v>#VALUE!</v>
      </c>
      <c r="ET145" t="e">
        <f>AND('Planilla_General_03-12-2012_9_3'!E2314,"AAAAAGs//5U=")</f>
        <v>#VALUE!</v>
      </c>
      <c r="EU145" t="e">
        <f>AND('Planilla_General_03-12-2012_9_3'!F2314,"AAAAAGs//5Y=")</f>
        <v>#VALUE!</v>
      </c>
      <c r="EV145" t="e">
        <f>AND('Planilla_General_03-12-2012_9_3'!G2314,"AAAAAGs//5c=")</f>
        <v>#VALUE!</v>
      </c>
      <c r="EW145" t="e">
        <f>AND('Planilla_General_03-12-2012_9_3'!H2314,"AAAAAGs//5g=")</f>
        <v>#VALUE!</v>
      </c>
      <c r="EX145" t="e">
        <f>AND('Planilla_General_03-12-2012_9_3'!I2314,"AAAAAGs//5k=")</f>
        <v>#VALUE!</v>
      </c>
      <c r="EY145" t="e">
        <f>AND('Planilla_General_03-12-2012_9_3'!J2314,"AAAAAGs//5o=")</f>
        <v>#VALUE!</v>
      </c>
      <c r="EZ145" t="e">
        <f>AND('Planilla_General_03-12-2012_9_3'!K2314,"AAAAAGs//5s=")</f>
        <v>#VALUE!</v>
      </c>
      <c r="FA145" t="e">
        <f>AND('Planilla_General_03-12-2012_9_3'!L2314,"AAAAAGs//5w=")</f>
        <v>#VALUE!</v>
      </c>
      <c r="FB145" t="e">
        <f>AND('Planilla_General_03-12-2012_9_3'!M2314,"AAAAAGs//50=")</f>
        <v>#VALUE!</v>
      </c>
      <c r="FC145" t="e">
        <f>AND('Planilla_General_03-12-2012_9_3'!N2314,"AAAAAGs//54=")</f>
        <v>#VALUE!</v>
      </c>
      <c r="FD145" t="e">
        <f>AND('Planilla_General_03-12-2012_9_3'!O2314,"AAAAAGs//58=")</f>
        <v>#VALUE!</v>
      </c>
      <c r="FE145">
        <f>IF('Planilla_General_03-12-2012_9_3'!2315:2315,"AAAAAGs//6A=",0)</f>
        <v>0</v>
      </c>
      <c r="FF145" t="e">
        <f>AND('Planilla_General_03-12-2012_9_3'!A2315,"AAAAAGs//6E=")</f>
        <v>#VALUE!</v>
      </c>
      <c r="FG145" t="e">
        <f>AND('Planilla_General_03-12-2012_9_3'!B2315,"AAAAAGs//6I=")</f>
        <v>#VALUE!</v>
      </c>
      <c r="FH145" t="e">
        <f>AND('Planilla_General_03-12-2012_9_3'!C2315,"AAAAAGs//6M=")</f>
        <v>#VALUE!</v>
      </c>
      <c r="FI145" t="e">
        <f>AND('Planilla_General_03-12-2012_9_3'!D2315,"AAAAAGs//6Q=")</f>
        <v>#VALUE!</v>
      </c>
      <c r="FJ145" t="e">
        <f>AND('Planilla_General_03-12-2012_9_3'!E2315,"AAAAAGs//6U=")</f>
        <v>#VALUE!</v>
      </c>
      <c r="FK145" t="e">
        <f>AND('Planilla_General_03-12-2012_9_3'!F2315,"AAAAAGs//6Y=")</f>
        <v>#VALUE!</v>
      </c>
      <c r="FL145" t="e">
        <f>AND('Planilla_General_03-12-2012_9_3'!G2315,"AAAAAGs//6c=")</f>
        <v>#VALUE!</v>
      </c>
      <c r="FM145" t="e">
        <f>AND('Planilla_General_03-12-2012_9_3'!H2315,"AAAAAGs//6g=")</f>
        <v>#VALUE!</v>
      </c>
      <c r="FN145" t="e">
        <f>AND('Planilla_General_03-12-2012_9_3'!I2315,"AAAAAGs//6k=")</f>
        <v>#VALUE!</v>
      </c>
      <c r="FO145" t="e">
        <f>AND('Planilla_General_03-12-2012_9_3'!J2315,"AAAAAGs//6o=")</f>
        <v>#VALUE!</v>
      </c>
      <c r="FP145" t="e">
        <f>AND('Planilla_General_03-12-2012_9_3'!K2315,"AAAAAGs//6s=")</f>
        <v>#VALUE!</v>
      </c>
      <c r="FQ145" t="e">
        <f>AND('Planilla_General_03-12-2012_9_3'!L2315,"AAAAAGs//6w=")</f>
        <v>#VALUE!</v>
      </c>
      <c r="FR145" t="e">
        <f>AND('Planilla_General_03-12-2012_9_3'!M2315,"AAAAAGs//60=")</f>
        <v>#VALUE!</v>
      </c>
      <c r="FS145" t="e">
        <f>AND('Planilla_General_03-12-2012_9_3'!N2315,"AAAAAGs//64=")</f>
        <v>#VALUE!</v>
      </c>
      <c r="FT145" t="e">
        <f>AND('Planilla_General_03-12-2012_9_3'!O2315,"AAAAAGs//68=")</f>
        <v>#VALUE!</v>
      </c>
      <c r="FU145">
        <f>IF('Planilla_General_03-12-2012_9_3'!2316:2316,"AAAAAGs//7A=",0)</f>
        <v>0</v>
      </c>
      <c r="FV145" t="e">
        <f>AND('Planilla_General_03-12-2012_9_3'!A2316,"AAAAAGs//7E=")</f>
        <v>#VALUE!</v>
      </c>
      <c r="FW145" t="e">
        <f>AND('Planilla_General_03-12-2012_9_3'!B2316,"AAAAAGs//7I=")</f>
        <v>#VALUE!</v>
      </c>
      <c r="FX145" t="e">
        <f>AND('Planilla_General_03-12-2012_9_3'!C2316,"AAAAAGs//7M=")</f>
        <v>#VALUE!</v>
      </c>
      <c r="FY145" t="e">
        <f>AND('Planilla_General_03-12-2012_9_3'!D2316,"AAAAAGs//7Q=")</f>
        <v>#VALUE!</v>
      </c>
      <c r="FZ145" t="e">
        <f>AND('Planilla_General_03-12-2012_9_3'!E2316,"AAAAAGs//7U=")</f>
        <v>#VALUE!</v>
      </c>
      <c r="GA145" t="e">
        <f>AND('Planilla_General_03-12-2012_9_3'!F2316,"AAAAAGs//7Y=")</f>
        <v>#VALUE!</v>
      </c>
      <c r="GB145" t="e">
        <f>AND('Planilla_General_03-12-2012_9_3'!G2316,"AAAAAGs//7c=")</f>
        <v>#VALUE!</v>
      </c>
      <c r="GC145" t="e">
        <f>AND('Planilla_General_03-12-2012_9_3'!H2316,"AAAAAGs//7g=")</f>
        <v>#VALUE!</v>
      </c>
      <c r="GD145" t="e">
        <f>AND('Planilla_General_03-12-2012_9_3'!I2316,"AAAAAGs//7k=")</f>
        <v>#VALUE!</v>
      </c>
      <c r="GE145" t="e">
        <f>AND('Planilla_General_03-12-2012_9_3'!J2316,"AAAAAGs//7o=")</f>
        <v>#VALUE!</v>
      </c>
      <c r="GF145" t="e">
        <f>AND('Planilla_General_03-12-2012_9_3'!K2316,"AAAAAGs//7s=")</f>
        <v>#VALUE!</v>
      </c>
      <c r="GG145" t="e">
        <f>AND('Planilla_General_03-12-2012_9_3'!L2316,"AAAAAGs//7w=")</f>
        <v>#VALUE!</v>
      </c>
      <c r="GH145" t="e">
        <f>AND('Planilla_General_03-12-2012_9_3'!M2316,"AAAAAGs//70=")</f>
        <v>#VALUE!</v>
      </c>
      <c r="GI145" t="e">
        <f>AND('Planilla_General_03-12-2012_9_3'!N2316,"AAAAAGs//74=")</f>
        <v>#VALUE!</v>
      </c>
      <c r="GJ145" t="e">
        <f>AND('Planilla_General_03-12-2012_9_3'!O2316,"AAAAAGs//78=")</f>
        <v>#VALUE!</v>
      </c>
      <c r="GK145">
        <f>IF('Planilla_General_03-12-2012_9_3'!2317:2317,"AAAAAGs//8A=",0)</f>
        <v>0</v>
      </c>
      <c r="GL145" t="e">
        <f>AND('Planilla_General_03-12-2012_9_3'!A2317,"AAAAAGs//8E=")</f>
        <v>#VALUE!</v>
      </c>
      <c r="GM145" t="e">
        <f>AND('Planilla_General_03-12-2012_9_3'!B2317,"AAAAAGs//8I=")</f>
        <v>#VALUE!</v>
      </c>
      <c r="GN145" t="e">
        <f>AND('Planilla_General_03-12-2012_9_3'!C2317,"AAAAAGs//8M=")</f>
        <v>#VALUE!</v>
      </c>
      <c r="GO145" t="e">
        <f>AND('Planilla_General_03-12-2012_9_3'!D2317,"AAAAAGs//8Q=")</f>
        <v>#VALUE!</v>
      </c>
      <c r="GP145" t="e">
        <f>AND('Planilla_General_03-12-2012_9_3'!E2317,"AAAAAGs//8U=")</f>
        <v>#VALUE!</v>
      </c>
      <c r="GQ145" t="e">
        <f>AND('Planilla_General_03-12-2012_9_3'!F2317,"AAAAAGs//8Y=")</f>
        <v>#VALUE!</v>
      </c>
      <c r="GR145" t="e">
        <f>AND('Planilla_General_03-12-2012_9_3'!G2317,"AAAAAGs//8c=")</f>
        <v>#VALUE!</v>
      </c>
      <c r="GS145" t="e">
        <f>AND('Planilla_General_03-12-2012_9_3'!H2317,"AAAAAGs//8g=")</f>
        <v>#VALUE!</v>
      </c>
      <c r="GT145" t="e">
        <f>AND('Planilla_General_03-12-2012_9_3'!I2317,"AAAAAGs//8k=")</f>
        <v>#VALUE!</v>
      </c>
      <c r="GU145" t="e">
        <f>AND('Planilla_General_03-12-2012_9_3'!J2317,"AAAAAGs//8o=")</f>
        <v>#VALUE!</v>
      </c>
      <c r="GV145" t="e">
        <f>AND('Planilla_General_03-12-2012_9_3'!K2317,"AAAAAGs//8s=")</f>
        <v>#VALUE!</v>
      </c>
      <c r="GW145" t="e">
        <f>AND('Planilla_General_03-12-2012_9_3'!L2317,"AAAAAGs//8w=")</f>
        <v>#VALUE!</v>
      </c>
      <c r="GX145" t="e">
        <f>AND('Planilla_General_03-12-2012_9_3'!M2317,"AAAAAGs//80=")</f>
        <v>#VALUE!</v>
      </c>
      <c r="GY145" t="e">
        <f>AND('Planilla_General_03-12-2012_9_3'!N2317,"AAAAAGs//84=")</f>
        <v>#VALUE!</v>
      </c>
      <c r="GZ145" t="e">
        <f>AND('Planilla_General_03-12-2012_9_3'!O2317,"AAAAAGs//88=")</f>
        <v>#VALUE!</v>
      </c>
      <c r="HA145">
        <f>IF('Planilla_General_03-12-2012_9_3'!2318:2318,"AAAAAGs//9A=",0)</f>
        <v>0</v>
      </c>
      <c r="HB145" t="e">
        <f>AND('Planilla_General_03-12-2012_9_3'!A2318,"AAAAAGs//9E=")</f>
        <v>#VALUE!</v>
      </c>
      <c r="HC145" t="e">
        <f>AND('Planilla_General_03-12-2012_9_3'!B2318,"AAAAAGs//9I=")</f>
        <v>#VALUE!</v>
      </c>
      <c r="HD145" t="e">
        <f>AND('Planilla_General_03-12-2012_9_3'!C2318,"AAAAAGs//9M=")</f>
        <v>#VALUE!</v>
      </c>
      <c r="HE145" t="e">
        <f>AND('Planilla_General_03-12-2012_9_3'!D2318,"AAAAAGs//9Q=")</f>
        <v>#VALUE!</v>
      </c>
      <c r="HF145" t="e">
        <f>AND('Planilla_General_03-12-2012_9_3'!E2318,"AAAAAGs//9U=")</f>
        <v>#VALUE!</v>
      </c>
      <c r="HG145" t="e">
        <f>AND('Planilla_General_03-12-2012_9_3'!F2318,"AAAAAGs//9Y=")</f>
        <v>#VALUE!</v>
      </c>
      <c r="HH145" t="e">
        <f>AND('Planilla_General_03-12-2012_9_3'!G2318,"AAAAAGs//9c=")</f>
        <v>#VALUE!</v>
      </c>
      <c r="HI145" t="e">
        <f>AND('Planilla_General_03-12-2012_9_3'!H2318,"AAAAAGs//9g=")</f>
        <v>#VALUE!</v>
      </c>
      <c r="HJ145" t="e">
        <f>AND('Planilla_General_03-12-2012_9_3'!I2318,"AAAAAGs//9k=")</f>
        <v>#VALUE!</v>
      </c>
      <c r="HK145" t="e">
        <f>AND('Planilla_General_03-12-2012_9_3'!J2318,"AAAAAGs//9o=")</f>
        <v>#VALUE!</v>
      </c>
      <c r="HL145" t="e">
        <f>AND('Planilla_General_03-12-2012_9_3'!K2318,"AAAAAGs//9s=")</f>
        <v>#VALUE!</v>
      </c>
      <c r="HM145" t="e">
        <f>AND('Planilla_General_03-12-2012_9_3'!L2318,"AAAAAGs//9w=")</f>
        <v>#VALUE!</v>
      </c>
      <c r="HN145" t="e">
        <f>AND('Planilla_General_03-12-2012_9_3'!M2318,"AAAAAGs//90=")</f>
        <v>#VALUE!</v>
      </c>
      <c r="HO145" t="e">
        <f>AND('Planilla_General_03-12-2012_9_3'!N2318,"AAAAAGs//94=")</f>
        <v>#VALUE!</v>
      </c>
      <c r="HP145" t="e">
        <f>AND('Planilla_General_03-12-2012_9_3'!O2318,"AAAAAGs//98=")</f>
        <v>#VALUE!</v>
      </c>
      <c r="HQ145">
        <f>IF('Planilla_General_03-12-2012_9_3'!2319:2319,"AAAAAGs//+A=",0)</f>
        <v>0</v>
      </c>
      <c r="HR145" t="e">
        <f>AND('Planilla_General_03-12-2012_9_3'!A2319,"AAAAAGs//+E=")</f>
        <v>#VALUE!</v>
      </c>
      <c r="HS145" t="e">
        <f>AND('Planilla_General_03-12-2012_9_3'!B2319,"AAAAAGs//+I=")</f>
        <v>#VALUE!</v>
      </c>
      <c r="HT145" t="e">
        <f>AND('Planilla_General_03-12-2012_9_3'!C2319,"AAAAAGs//+M=")</f>
        <v>#VALUE!</v>
      </c>
      <c r="HU145" t="e">
        <f>AND('Planilla_General_03-12-2012_9_3'!D2319,"AAAAAGs//+Q=")</f>
        <v>#VALUE!</v>
      </c>
      <c r="HV145" t="e">
        <f>AND('Planilla_General_03-12-2012_9_3'!E2319,"AAAAAGs//+U=")</f>
        <v>#VALUE!</v>
      </c>
      <c r="HW145" t="e">
        <f>AND('Planilla_General_03-12-2012_9_3'!F2319,"AAAAAGs//+Y=")</f>
        <v>#VALUE!</v>
      </c>
      <c r="HX145" t="e">
        <f>AND('Planilla_General_03-12-2012_9_3'!G2319,"AAAAAGs//+c=")</f>
        <v>#VALUE!</v>
      </c>
      <c r="HY145" t="e">
        <f>AND('Planilla_General_03-12-2012_9_3'!H2319,"AAAAAGs//+g=")</f>
        <v>#VALUE!</v>
      </c>
      <c r="HZ145" t="e">
        <f>AND('Planilla_General_03-12-2012_9_3'!I2319,"AAAAAGs//+k=")</f>
        <v>#VALUE!</v>
      </c>
      <c r="IA145" t="e">
        <f>AND('Planilla_General_03-12-2012_9_3'!J2319,"AAAAAGs//+o=")</f>
        <v>#VALUE!</v>
      </c>
      <c r="IB145" t="e">
        <f>AND('Planilla_General_03-12-2012_9_3'!K2319,"AAAAAGs//+s=")</f>
        <v>#VALUE!</v>
      </c>
      <c r="IC145" t="e">
        <f>AND('Planilla_General_03-12-2012_9_3'!L2319,"AAAAAGs//+w=")</f>
        <v>#VALUE!</v>
      </c>
      <c r="ID145" t="e">
        <f>AND('Planilla_General_03-12-2012_9_3'!M2319,"AAAAAGs//+0=")</f>
        <v>#VALUE!</v>
      </c>
      <c r="IE145" t="e">
        <f>AND('Planilla_General_03-12-2012_9_3'!N2319,"AAAAAGs//+4=")</f>
        <v>#VALUE!</v>
      </c>
      <c r="IF145" t="e">
        <f>AND('Planilla_General_03-12-2012_9_3'!O2319,"AAAAAGs//+8=")</f>
        <v>#VALUE!</v>
      </c>
      <c r="IG145">
        <f>IF('Planilla_General_03-12-2012_9_3'!2320:2320,"AAAAAGs///A=",0)</f>
        <v>0</v>
      </c>
      <c r="IH145" t="e">
        <f>AND('Planilla_General_03-12-2012_9_3'!A2320,"AAAAAGs///E=")</f>
        <v>#VALUE!</v>
      </c>
      <c r="II145" t="e">
        <f>AND('Planilla_General_03-12-2012_9_3'!B2320,"AAAAAGs///I=")</f>
        <v>#VALUE!</v>
      </c>
      <c r="IJ145" t="e">
        <f>AND('Planilla_General_03-12-2012_9_3'!C2320,"AAAAAGs///M=")</f>
        <v>#VALUE!</v>
      </c>
      <c r="IK145" t="e">
        <f>AND('Planilla_General_03-12-2012_9_3'!D2320,"AAAAAGs///Q=")</f>
        <v>#VALUE!</v>
      </c>
      <c r="IL145" t="e">
        <f>AND('Planilla_General_03-12-2012_9_3'!E2320,"AAAAAGs///U=")</f>
        <v>#VALUE!</v>
      </c>
      <c r="IM145" t="e">
        <f>AND('Planilla_General_03-12-2012_9_3'!F2320,"AAAAAGs///Y=")</f>
        <v>#VALUE!</v>
      </c>
      <c r="IN145" t="e">
        <f>AND('Planilla_General_03-12-2012_9_3'!G2320,"AAAAAGs///c=")</f>
        <v>#VALUE!</v>
      </c>
      <c r="IO145" t="e">
        <f>AND('Planilla_General_03-12-2012_9_3'!H2320,"AAAAAGs///g=")</f>
        <v>#VALUE!</v>
      </c>
      <c r="IP145" t="e">
        <f>AND('Planilla_General_03-12-2012_9_3'!I2320,"AAAAAGs///k=")</f>
        <v>#VALUE!</v>
      </c>
      <c r="IQ145" t="e">
        <f>AND('Planilla_General_03-12-2012_9_3'!J2320,"AAAAAGs///o=")</f>
        <v>#VALUE!</v>
      </c>
      <c r="IR145" t="e">
        <f>AND('Planilla_General_03-12-2012_9_3'!K2320,"AAAAAGs///s=")</f>
        <v>#VALUE!</v>
      </c>
      <c r="IS145" t="e">
        <f>AND('Planilla_General_03-12-2012_9_3'!L2320,"AAAAAGs///w=")</f>
        <v>#VALUE!</v>
      </c>
      <c r="IT145" t="e">
        <f>AND('Planilla_General_03-12-2012_9_3'!M2320,"AAAAAGs///0=")</f>
        <v>#VALUE!</v>
      </c>
      <c r="IU145" t="e">
        <f>AND('Planilla_General_03-12-2012_9_3'!N2320,"AAAAAGs///4=")</f>
        <v>#VALUE!</v>
      </c>
      <c r="IV145" t="e">
        <f>AND('Planilla_General_03-12-2012_9_3'!O2320,"AAAAAGs///8=")</f>
        <v>#VALUE!</v>
      </c>
    </row>
    <row r="146" spans="1:256" x14ac:dyDescent="0.25">
      <c r="A146" t="e">
        <f>IF('Planilla_General_03-12-2012_9_3'!2321:2321,"AAAAAHX9xwA=",0)</f>
        <v>#VALUE!</v>
      </c>
      <c r="B146" t="e">
        <f>AND('Planilla_General_03-12-2012_9_3'!A2321,"AAAAAHX9xwE=")</f>
        <v>#VALUE!</v>
      </c>
      <c r="C146" t="e">
        <f>AND('Planilla_General_03-12-2012_9_3'!B2321,"AAAAAHX9xwI=")</f>
        <v>#VALUE!</v>
      </c>
      <c r="D146" t="e">
        <f>AND('Planilla_General_03-12-2012_9_3'!C2321,"AAAAAHX9xwM=")</f>
        <v>#VALUE!</v>
      </c>
      <c r="E146" t="e">
        <f>AND('Planilla_General_03-12-2012_9_3'!D2321,"AAAAAHX9xwQ=")</f>
        <v>#VALUE!</v>
      </c>
      <c r="F146" t="e">
        <f>AND('Planilla_General_03-12-2012_9_3'!E2321,"AAAAAHX9xwU=")</f>
        <v>#VALUE!</v>
      </c>
      <c r="G146" t="e">
        <f>AND('Planilla_General_03-12-2012_9_3'!F2321,"AAAAAHX9xwY=")</f>
        <v>#VALUE!</v>
      </c>
      <c r="H146" t="e">
        <f>AND('Planilla_General_03-12-2012_9_3'!G2321,"AAAAAHX9xwc=")</f>
        <v>#VALUE!</v>
      </c>
      <c r="I146" t="e">
        <f>AND('Planilla_General_03-12-2012_9_3'!H2321,"AAAAAHX9xwg=")</f>
        <v>#VALUE!</v>
      </c>
      <c r="J146" t="e">
        <f>AND('Planilla_General_03-12-2012_9_3'!I2321,"AAAAAHX9xwk=")</f>
        <v>#VALUE!</v>
      </c>
      <c r="K146" t="e">
        <f>AND('Planilla_General_03-12-2012_9_3'!J2321,"AAAAAHX9xwo=")</f>
        <v>#VALUE!</v>
      </c>
      <c r="L146" t="e">
        <f>AND('Planilla_General_03-12-2012_9_3'!K2321,"AAAAAHX9xws=")</f>
        <v>#VALUE!</v>
      </c>
      <c r="M146" t="e">
        <f>AND('Planilla_General_03-12-2012_9_3'!L2321,"AAAAAHX9xww=")</f>
        <v>#VALUE!</v>
      </c>
      <c r="N146" t="e">
        <f>AND('Planilla_General_03-12-2012_9_3'!M2321,"AAAAAHX9xw0=")</f>
        <v>#VALUE!</v>
      </c>
      <c r="O146" t="e">
        <f>AND('Planilla_General_03-12-2012_9_3'!N2321,"AAAAAHX9xw4=")</f>
        <v>#VALUE!</v>
      </c>
      <c r="P146" t="e">
        <f>AND('Planilla_General_03-12-2012_9_3'!O2321,"AAAAAHX9xw8=")</f>
        <v>#VALUE!</v>
      </c>
      <c r="Q146">
        <f>IF('Planilla_General_03-12-2012_9_3'!2322:2322,"AAAAAHX9xxA=",0)</f>
        <v>0</v>
      </c>
      <c r="R146" t="e">
        <f>AND('Planilla_General_03-12-2012_9_3'!A2322,"AAAAAHX9xxE=")</f>
        <v>#VALUE!</v>
      </c>
      <c r="S146" t="e">
        <f>AND('Planilla_General_03-12-2012_9_3'!B2322,"AAAAAHX9xxI=")</f>
        <v>#VALUE!</v>
      </c>
      <c r="T146" t="e">
        <f>AND('Planilla_General_03-12-2012_9_3'!C2322,"AAAAAHX9xxM=")</f>
        <v>#VALUE!</v>
      </c>
      <c r="U146" t="e">
        <f>AND('Planilla_General_03-12-2012_9_3'!D2322,"AAAAAHX9xxQ=")</f>
        <v>#VALUE!</v>
      </c>
      <c r="V146" t="e">
        <f>AND('Planilla_General_03-12-2012_9_3'!E2322,"AAAAAHX9xxU=")</f>
        <v>#VALUE!</v>
      </c>
      <c r="W146" t="e">
        <f>AND('Planilla_General_03-12-2012_9_3'!F2322,"AAAAAHX9xxY=")</f>
        <v>#VALUE!</v>
      </c>
      <c r="X146" t="e">
        <f>AND('Planilla_General_03-12-2012_9_3'!G2322,"AAAAAHX9xxc=")</f>
        <v>#VALUE!</v>
      </c>
      <c r="Y146" t="e">
        <f>AND('Planilla_General_03-12-2012_9_3'!H2322,"AAAAAHX9xxg=")</f>
        <v>#VALUE!</v>
      </c>
      <c r="Z146" t="e">
        <f>AND('Planilla_General_03-12-2012_9_3'!I2322,"AAAAAHX9xxk=")</f>
        <v>#VALUE!</v>
      </c>
      <c r="AA146" t="e">
        <f>AND('Planilla_General_03-12-2012_9_3'!J2322,"AAAAAHX9xxo=")</f>
        <v>#VALUE!</v>
      </c>
      <c r="AB146" t="e">
        <f>AND('Planilla_General_03-12-2012_9_3'!K2322,"AAAAAHX9xxs=")</f>
        <v>#VALUE!</v>
      </c>
      <c r="AC146" t="e">
        <f>AND('Planilla_General_03-12-2012_9_3'!L2322,"AAAAAHX9xxw=")</f>
        <v>#VALUE!</v>
      </c>
      <c r="AD146" t="e">
        <f>AND('Planilla_General_03-12-2012_9_3'!M2322,"AAAAAHX9xx0=")</f>
        <v>#VALUE!</v>
      </c>
      <c r="AE146" t="e">
        <f>AND('Planilla_General_03-12-2012_9_3'!N2322,"AAAAAHX9xx4=")</f>
        <v>#VALUE!</v>
      </c>
      <c r="AF146" t="e">
        <f>AND('Planilla_General_03-12-2012_9_3'!O2322,"AAAAAHX9xx8=")</f>
        <v>#VALUE!</v>
      </c>
      <c r="AG146">
        <f>IF('Planilla_General_03-12-2012_9_3'!2323:2323,"AAAAAHX9xyA=",0)</f>
        <v>0</v>
      </c>
      <c r="AH146" t="e">
        <f>AND('Planilla_General_03-12-2012_9_3'!A2323,"AAAAAHX9xyE=")</f>
        <v>#VALUE!</v>
      </c>
      <c r="AI146" t="e">
        <f>AND('Planilla_General_03-12-2012_9_3'!B2323,"AAAAAHX9xyI=")</f>
        <v>#VALUE!</v>
      </c>
      <c r="AJ146" t="e">
        <f>AND('Planilla_General_03-12-2012_9_3'!C2323,"AAAAAHX9xyM=")</f>
        <v>#VALUE!</v>
      </c>
      <c r="AK146" t="e">
        <f>AND('Planilla_General_03-12-2012_9_3'!D2323,"AAAAAHX9xyQ=")</f>
        <v>#VALUE!</v>
      </c>
      <c r="AL146" t="e">
        <f>AND('Planilla_General_03-12-2012_9_3'!E2323,"AAAAAHX9xyU=")</f>
        <v>#VALUE!</v>
      </c>
      <c r="AM146" t="e">
        <f>AND('Planilla_General_03-12-2012_9_3'!F2323,"AAAAAHX9xyY=")</f>
        <v>#VALUE!</v>
      </c>
      <c r="AN146" t="e">
        <f>AND('Planilla_General_03-12-2012_9_3'!G2323,"AAAAAHX9xyc=")</f>
        <v>#VALUE!</v>
      </c>
      <c r="AO146" t="e">
        <f>AND('Planilla_General_03-12-2012_9_3'!H2323,"AAAAAHX9xyg=")</f>
        <v>#VALUE!</v>
      </c>
      <c r="AP146" t="e">
        <f>AND('Planilla_General_03-12-2012_9_3'!I2323,"AAAAAHX9xyk=")</f>
        <v>#VALUE!</v>
      </c>
      <c r="AQ146" t="e">
        <f>AND('Planilla_General_03-12-2012_9_3'!J2323,"AAAAAHX9xyo=")</f>
        <v>#VALUE!</v>
      </c>
      <c r="AR146" t="e">
        <f>AND('Planilla_General_03-12-2012_9_3'!K2323,"AAAAAHX9xys=")</f>
        <v>#VALUE!</v>
      </c>
      <c r="AS146" t="e">
        <f>AND('Planilla_General_03-12-2012_9_3'!L2323,"AAAAAHX9xyw=")</f>
        <v>#VALUE!</v>
      </c>
      <c r="AT146" t="e">
        <f>AND('Planilla_General_03-12-2012_9_3'!M2323,"AAAAAHX9xy0=")</f>
        <v>#VALUE!</v>
      </c>
      <c r="AU146" t="e">
        <f>AND('Planilla_General_03-12-2012_9_3'!N2323,"AAAAAHX9xy4=")</f>
        <v>#VALUE!</v>
      </c>
      <c r="AV146" t="e">
        <f>AND('Planilla_General_03-12-2012_9_3'!O2323,"AAAAAHX9xy8=")</f>
        <v>#VALUE!</v>
      </c>
      <c r="AW146">
        <f>IF('Planilla_General_03-12-2012_9_3'!2324:2324,"AAAAAHX9xzA=",0)</f>
        <v>0</v>
      </c>
      <c r="AX146" t="e">
        <f>AND('Planilla_General_03-12-2012_9_3'!A2324,"AAAAAHX9xzE=")</f>
        <v>#VALUE!</v>
      </c>
      <c r="AY146" t="e">
        <f>AND('Planilla_General_03-12-2012_9_3'!B2324,"AAAAAHX9xzI=")</f>
        <v>#VALUE!</v>
      </c>
      <c r="AZ146" t="e">
        <f>AND('Planilla_General_03-12-2012_9_3'!C2324,"AAAAAHX9xzM=")</f>
        <v>#VALUE!</v>
      </c>
      <c r="BA146" t="e">
        <f>AND('Planilla_General_03-12-2012_9_3'!D2324,"AAAAAHX9xzQ=")</f>
        <v>#VALUE!</v>
      </c>
      <c r="BB146" t="e">
        <f>AND('Planilla_General_03-12-2012_9_3'!E2324,"AAAAAHX9xzU=")</f>
        <v>#VALUE!</v>
      </c>
      <c r="BC146" t="e">
        <f>AND('Planilla_General_03-12-2012_9_3'!F2324,"AAAAAHX9xzY=")</f>
        <v>#VALUE!</v>
      </c>
      <c r="BD146" t="e">
        <f>AND('Planilla_General_03-12-2012_9_3'!G2324,"AAAAAHX9xzc=")</f>
        <v>#VALUE!</v>
      </c>
      <c r="BE146" t="e">
        <f>AND('Planilla_General_03-12-2012_9_3'!H2324,"AAAAAHX9xzg=")</f>
        <v>#VALUE!</v>
      </c>
      <c r="BF146" t="e">
        <f>AND('Planilla_General_03-12-2012_9_3'!I2324,"AAAAAHX9xzk=")</f>
        <v>#VALUE!</v>
      </c>
      <c r="BG146" t="e">
        <f>AND('Planilla_General_03-12-2012_9_3'!J2324,"AAAAAHX9xzo=")</f>
        <v>#VALUE!</v>
      </c>
      <c r="BH146" t="e">
        <f>AND('Planilla_General_03-12-2012_9_3'!K2324,"AAAAAHX9xzs=")</f>
        <v>#VALUE!</v>
      </c>
      <c r="BI146" t="e">
        <f>AND('Planilla_General_03-12-2012_9_3'!L2324,"AAAAAHX9xzw=")</f>
        <v>#VALUE!</v>
      </c>
      <c r="BJ146" t="e">
        <f>AND('Planilla_General_03-12-2012_9_3'!M2324,"AAAAAHX9xz0=")</f>
        <v>#VALUE!</v>
      </c>
      <c r="BK146" t="e">
        <f>AND('Planilla_General_03-12-2012_9_3'!N2324,"AAAAAHX9xz4=")</f>
        <v>#VALUE!</v>
      </c>
      <c r="BL146" t="e">
        <f>AND('Planilla_General_03-12-2012_9_3'!O2324,"AAAAAHX9xz8=")</f>
        <v>#VALUE!</v>
      </c>
      <c r="BM146">
        <f>IF('Planilla_General_03-12-2012_9_3'!2325:2325,"AAAAAHX9x0A=",0)</f>
        <v>0</v>
      </c>
      <c r="BN146" t="e">
        <f>AND('Planilla_General_03-12-2012_9_3'!A2325,"AAAAAHX9x0E=")</f>
        <v>#VALUE!</v>
      </c>
      <c r="BO146" t="e">
        <f>AND('Planilla_General_03-12-2012_9_3'!B2325,"AAAAAHX9x0I=")</f>
        <v>#VALUE!</v>
      </c>
      <c r="BP146" t="e">
        <f>AND('Planilla_General_03-12-2012_9_3'!C2325,"AAAAAHX9x0M=")</f>
        <v>#VALUE!</v>
      </c>
      <c r="BQ146" t="e">
        <f>AND('Planilla_General_03-12-2012_9_3'!D2325,"AAAAAHX9x0Q=")</f>
        <v>#VALUE!</v>
      </c>
      <c r="BR146" t="e">
        <f>AND('Planilla_General_03-12-2012_9_3'!E2325,"AAAAAHX9x0U=")</f>
        <v>#VALUE!</v>
      </c>
      <c r="BS146" t="e">
        <f>AND('Planilla_General_03-12-2012_9_3'!F2325,"AAAAAHX9x0Y=")</f>
        <v>#VALUE!</v>
      </c>
      <c r="BT146" t="e">
        <f>AND('Planilla_General_03-12-2012_9_3'!G2325,"AAAAAHX9x0c=")</f>
        <v>#VALUE!</v>
      </c>
      <c r="BU146" t="e">
        <f>AND('Planilla_General_03-12-2012_9_3'!H2325,"AAAAAHX9x0g=")</f>
        <v>#VALUE!</v>
      </c>
      <c r="BV146" t="e">
        <f>AND('Planilla_General_03-12-2012_9_3'!I2325,"AAAAAHX9x0k=")</f>
        <v>#VALUE!</v>
      </c>
      <c r="BW146" t="e">
        <f>AND('Planilla_General_03-12-2012_9_3'!J2325,"AAAAAHX9x0o=")</f>
        <v>#VALUE!</v>
      </c>
      <c r="BX146" t="e">
        <f>AND('Planilla_General_03-12-2012_9_3'!K2325,"AAAAAHX9x0s=")</f>
        <v>#VALUE!</v>
      </c>
      <c r="BY146" t="e">
        <f>AND('Planilla_General_03-12-2012_9_3'!L2325,"AAAAAHX9x0w=")</f>
        <v>#VALUE!</v>
      </c>
      <c r="BZ146" t="e">
        <f>AND('Planilla_General_03-12-2012_9_3'!M2325,"AAAAAHX9x00=")</f>
        <v>#VALUE!</v>
      </c>
      <c r="CA146" t="e">
        <f>AND('Planilla_General_03-12-2012_9_3'!N2325,"AAAAAHX9x04=")</f>
        <v>#VALUE!</v>
      </c>
      <c r="CB146" t="e">
        <f>AND('Planilla_General_03-12-2012_9_3'!O2325,"AAAAAHX9x08=")</f>
        <v>#VALUE!</v>
      </c>
      <c r="CC146">
        <f>IF('Planilla_General_03-12-2012_9_3'!2326:2326,"AAAAAHX9x1A=",0)</f>
        <v>0</v>
      </c>
      <c r="CD146" t="e">
        <f>AND('Planilla_General_03-12-2012_9_3'!A2326,"AAAAAHX9x1E=")</f>
        <v>#VALUE!</v>
      </c>
      <c r="CE146" t="e">
        <f>AND('Planilla_General_03-12-2012_9_3'!B2326,"AAAAAHX9x1I=")</f>
        <v>#VALUE!</v>
      </c>
      <c r="CF146" t="e">
        <f>AND('Planilla_General_03-12-2012_9_3'!C2326,"AAAAAHX9x1M=")</f>
        <v>#VALUE!</v>
      </c>
      <c r="CG146" t="e">
        <f>AND('Planilla_General_03-12-2012_9_3'!D2326,"AAAAAHX9x1Q=")</f>
        <v>#VALUE!</v>
      </c>
      <c r="CH146" t="e">
        <f>AND('Planilla_General_03-12-2012_9_3'!E2326,"AAAAAHX9x1U=")</f>
        <v>#VALUE!</v>
      </c>
      <c r="CI146" t="e">
        <f>AND('Planilla_General_03-12-2012_9_3'!F2326,"AAAAAHX9x1Y=")</f>
        <v>#VALUE!</v>
      </c>
      <c r="CJ146" t="e">
        <f>AND('Planilla_General_03-12-2012_9_3'!G2326,"AAAAAHX9x1c=")</f>
        <v>#VALUE!</v>
      </c>
      <c r="CK146" t="e">
        <f>AND('Planilla_General_03-12-2012_9_3'!H2326,"AAAAAHX9x1g=")</f>
        <v>#VALUE!</v>
      </c>
      <c r="CL146" t="e">
        <f>AND('Planilla_General_03-12-2012_9_3'!I2326,"AAAAAHX9x1k=")</f>
        <v>#VALUE!</v>
      </c>
      <c r="CM146" t="e">
        <f>AND('Planilla_General_03-12-2012_9_3'!J2326,"AAAAAHX9x1o=")</f>
        <v>#VALUE!</v>
      </c>
      <c r="CN146" t="e">
        <f>AND('Planilla_General_03-12-2012_9_3'!K2326,"AAAAAHX9x1s=")</f>
        <v>#VALUE!</v>
      </c>
      <c r="CO146" t="e">
        <f>AND('Planilla_General_03-12-2012_9_3'!L2326,"AAAAAHX9x1w=")</f>
        <v>#VALUE!</v>
      </c>
      <c r="CP146" t="e">
        <f>AND('Planilla_General_03-12-2012_9_3'!M2326,"AAAAAHX9x10=")</f>
        <v>#VALUE!</v>
      </c>
      <c r="CQ146" t="e">
        <f>AND('Planilla_General_03-12-2012_9_3'!N2326,"AAAAAHX9x14=")</f>
        <v>#VALUE!</v>
      </c>
      <c r="CR146" t="e">
        <f>AND('Planilla_General_03-12-2012_9_3'!O2326,"AAAAAHX9x18=")</f>
        <v>#VALUE!</v>
      </c>
      <c r="CS146">
        <f>IF('Planilla_General_03-12-2012_9_3'!2327:2327,"AAAAAHX9x2A=",0)</f>
        <v>0</v>
      </c>
      <c r="CT146" t="e">
        <f>AND('Planilla_General_03-12-2012_9_3'!A2327,"AAAAAHX9x2E=")</f>
        <v>#VALUE!</v>
      </c>
      <c r="CU146" t="e">
        <f>AND('Planilla_General_03-12-2012_9_3'!B2327,"AAAAAHX9x2I=")</f>
        <v>#VALUE!</v>
      </c>
      <c r="CV146" t="e">
        <f>AND('Planilla_General_03-12-2012_9_3'!C2327,"AAAAAHX9x2M=")</f>
        <v>#VALUE!</v>
      </c>
      <c r="CW146" t="e">
        <f>AND('Planilla_General_03-12-2012_9_3'!D2327,"AAAAAHX9x2Q=")</f>
        <v>#VALUE!</v>
      </c>
      <c r="CX146" t="e">
        <f>AND('Planilla_General_03-12-2012_9_3'!E2327,"AAAAAHX9x2U=")</f>
        <v>#VALUE!</v>
      </c>
      <c r="CY146" t="e">
        <f>AND('Planilla_General_03-12-2012_9_3'!F2327,"AAAAAHX9x2Y=")</f>
        <v>#VALUE!</v>
      </c>
      <c r="CZ146" t="e">
        <f>AND('Planilla_General_03-12-2012_9_3'!G2327,"AAAAAHX9x2c=")</f>
        <v>#VALUE!</v>
      </c>
      <c r="DA146" t="e">
        <f>AND('Planilla_General_03-12-2012_9_3'!H2327,"AAAAAHX9x2g=")</f>
        <v>#VALUE!</v>
      </c>
      <c r="DB146" t="e">
        <f>AND('Planilla_General_03-12-2012_9_3'!I2327,"AAAAAHX9x2k=")</f>
        <v>#VALUE!</v>
      </c>
      <c r="DC146" t="e">
        <f>AND('Planilla_General_03-12-2012_9_3'!J2327,"AAAAAHX9x2o=")</f>
        <v>#VALUE!</v>
      </c>
      <c r="DD146" t="e">
        <f>AND('Planilla_General_03-12-2012_9_3'!K2327,"AAAAAHX9x2s=")</f>
        <v>#VALUE!</v>
      </c>
      <c r="DE146" t="e">
        <f>AND('Planilla_General_03-12-2012_9_3'!L2327,"AAAAAHX9x2w=")</f>
        <v>#VALUE!</v>
      </c>
      <c r="DF146" t="e">
        <f>AND('Planilla_General_03-12-2012_9_3'!M2327,"AAAAAHX9x20=")</f>
        <v>#VALUE!</v>
      </c>
      <c r="DG146" t="e">
        <f>AND('Planilla_General_03-12-2012_9_3'!N2327,"AAAAAHX9x24=")</f>
        <v>#VALUE!</v>
      </c>
      <c r="DH146" t="e">
        <f>AND('Planilla_General_03-12-2012_9_3'!O2327,"AAAAAHX9x28=")</f>
        <v>#VALUE!</v>
      </c>
      <c r="DI146">
        <f>IF('Planilla_General_03-12-2012_9_3'!2328:2328,"AAAAAHX9x3A=",0)</f>
        <v>0</v>
      </c>
      <c r="DJ146" t="e">
        <f>AND('Planilla_General_03-12-2012_9_3'!A2328,"AAAAAHX9x3E=")</f>
        <v>#VALUE!</v>
      </c>
      <c r="DK146" t="e">
        <f>AND('Planilla_General_03-12-2012_9_3'!B2328,"AAAAAHX9x3I=")</f>
        <v>#VALUE!</v>
      </c>
      <c r="DL146" t="e">
        <f>AND('Planilla_General_03-12-2012_9_3'!C2328,"AAAAAHX9x3M=")</f>
        <v>#VALUE!</v>
      </c>
      <c r="DM146" t="e">
        <f>AND('Planilla_General_03-12-2012_9_3'!D2328,"AAAAAHX9x3Q=")</f>
        <v>#VALUE!</v>
      </c>
      <c r="DN146" t="e">
        <f>AND('Planilla_General_03-12-2012_9_3'!E2328,"AAAAAHX9x3U=")</f>
        <v>#VALUE!</v>
      </c>
      <c r="DO146" t="e">
        <f>AND('Planilla_General_03-12-2012_9_3'!F2328,"AAAAAHX9x3Y=")</f>
        <v>#VALUE!</v>
      </c>
      <c r="DP146" t="e">
        <f>AND('Planilla_General_03-12-2012_9_3'!G2328,"AAAAAHX9x3c=")</f>
        <v>#VALUE!</v>
      </c>
      <c r="DQ146" t="e">
        <f>AND('Planilla_General_03-12-2012_9_3'!H2328,"AAAAAHX9x3g=")</f>
        <v>#VALUE!</v>
      </c>
      <c r="DR146" t="e">
        <f>AND('Planilla_General_03-12-2012_9_3'!I2328,"AAAAAHX9x3k=")</f>
        <v>#VALUE!</v>
      </c>
      <c r="DS146" t="e">
        <f>AND('Planilla_General_03-12-2012_9_3'!J2328,"AAAAAHX9x3o=")</f>
        <v>#VALUE!</v>
      </c>
      <c r="DT146" t="e">
        <f>AND('Planilla_General_03-12-2012_9_3'!K2328,"AAAAAHX9x3s=")</f>
        <v>#VALUE!</v>
      </c>
      <c r="DU146" t="e">
        <f>AND('Planilla_General_03-12-2012_9_3'!L2328,"AAAAAHX9x3w=")</f>
        <v>#VALUE!</v>
      </c>
      <c r="DV146" t="e">
        <f>AND('Planilla_General_03-12-2012_9_3'!M2328,"AAAAAHX9x30=")</f>
        <v>#VALUE!</v>
      </c>
      <c r="DW146" t="e">
        <f>AND('Planilla_General_03-12-2012_9_3'!N2328,"AAAAAHX9x34=")</f>
        <v>#VALUE!</v>
      </c>
      <c r="DX146" t="e">
        <f>AND('Planilla_General_03-12-2012_9_3'!O2328,"AAAAAHX9x38=")</f>
        <v>#VALUE!</v>
      </c>
      <c r="DY146">
        <f>IF('Planilla_General_03-12-2012_9_3'!2329:2329,"AAAAAHX9x4A=",0)</f>
        <v>0</v>
      </c>
      <c r="DZ146" t="e">
        <f>AND('Planilla_General_03-12-2012_9_3'!A2329,"AAAAAHX9x4E=")</f>
        <v>#VALUE!</v>
      </c>
      <c r="EA146" t="e">
        <f>AND('Planilla_General_03-12-2012_9_3'!B2329,"AAAAAHX9x4I=")</f>
        <v>#VALUE!</v>
      </c>
      <c r="EB146" t="e">
        <f>AND('Planilla_General_03-12-2012_9_3'!C2329,"AAAAAHX9x4M=")</f>
        <v>#VALUE!</v>
      </c>
      <c r="EC146" t="e">
        <f>AND('Planilla_General_03-12-2012_9_3'!D2329,"AAAAAHX9x4Q=")</f>
        <v>#VALUE!</v>
      </c>
      <c r="ED146" t="e">
        <f>AND('Planilla_General_03-12-2012_9_3'!E2329,"AAAAAHX9x4U=")</f>
        <v>#VALUE!</v>
      </c>
      <c r="EE146" t="e">
        <f>AND('Planilla_General_03-12-2012_9_3'!F2329,"AAAAAHX9x4Y=")</f>
        <v>#VALUE!</v>
      </c>
      <c r="EF146" t="e">
        <f>AND('Planilla_General_03-12-2012_9_3'!G2329,"AAAAAHX9x4c=")</f>
        <v>#VALUE!</v>
      </c>
      <c r="EG146" t="e">
        <f>AND('Planilla_General_03-12-2012_9_3'!H2329,"AAAAAHX9x4g=")</f>
        <v>#VALUE!</v>
      </c>
      <c r="EH146" t="e">
        <f>AND('Planilla_General_03-12-2012_9_3'!I2329,"AAAAAHX9x4k=")</f>
        <v>#VALUE!</v>
      </c>
      <c r="EI146" t="e">
        <f>AND('Planilla_General_03-12-2012_9_3'!J2329,"AAAAAHX9x4o=")</f>
        <v>#VALUE!</v>
      </c>
      <c r="EJ146" t="e">
        <f>AND('Planilla_General_03-12-2012_9_3'!K2329,"AAAAAHX9x4s=")</f>
        <v>#VALUE!</v>
      </c>
      <c r="EK146" t="e">
        <f>AND('Planilla_General_03-12-2012_9_3'!L2329,"AAAAAHX9x4w=")</f>
        <v>#VALUE!</v>
      </c>
      <c r="EL146" t="e">
        <f>AND('Planilla_General_03-12-2012_9_3'!M2329,"AAAAAHX9x40=")</f>
        <v>#VALUE!</v>
      </c>
      <c r="EM146" t="e">
        <f>AND('Planilla_General_03-12-2012_9_3'!N2329,"AAAAAHX9x44=")</f>
        <v>#VALUE!</v>
      </c>
      <c r="EN146" t="e">
        <f>AND('Planilla_General_03-12-2012_9_3'!O2329,"AAAAAHX9x48=")</f>
        <v>#VALUE!</v>
      </c>
      <c r="EO146">
        <f>IF('Planilla_General_03-12-2012_9_3'!2330:2330,"AAAAAHX9x5A=",0)</f>
        <v>0</v>
      </c>
      <c r="EP146" t="e">
        <f>AND('Planilla_General_03-12-2012_9_3'!A2330,"AAAAAHX9x5E=")</f>
        <v>#VALUE!</v>
      </c>
      <c r="EQ146" t="e">
        <f>AND('Planilla_General_03-12-2012_9_3'!B2330,"AAAAAHX9x5I=")</f>
        <v>#VALUE!</v>
      </c>
      <c r="ER146" t="e">
        <f>AND('Planilla_General_03-12-2012_9_3'!C2330,"AAAAAHX9x5M=")</f>
        <v>#VALUE!</v>
      </c>
      <c r="ES146" t="e">
        <f>AND('Planilla_General_03-12-2012_9_3'!D2330,"AAAAAHX9x5Q=")</f>
        <v>#VALUE!</v>
      </c>
      <c r="ET146" t="e">
        <f>AND('Planilla_General_03-12-2012_9_3'!E2330,"AAAAAHX9x5U=")</f>
        <v>#VALUE!</v>
      </c>
      <c r="EU146" t="e">
        <f>AND('Planilla_General_03-12-2012_9_3'!F2330,"AAAAAHX9x5Y=")</f>
        <v>#VALUE!</v>
      </c>
      <c r="EV146" t="e">
        <f>AND('Planilla_General_03-12-2012_9_3'!G2330,"AAAAAHX9x5c=")</f>
        <v>#VALUE!</v>
      </c>
      <c r="EW146" t="e">
        <f>AND('Planilla_General_03-12-2012_9_3'!H2330,"AAAAAHX9x5g=")</f>
        <v>#VALUE!</v>
      </c>
      <c r="EX146" t="e">
        <f>AND('Planilla_General_03-12-2012_9_3'!I2330,"AAAAAHX9x5k=")</f>
        <v>#VALUE!</v>
      </c>
      <c r="EY146" t="e">
        <f>AND('Planilla_General_03-12-2012_9_3'!J2330,"AAAAAHX9x5o=")</f>
        <v>#VALUE!</v>
      </c>
      <c r="EZ146" t="e">
        <f>AND('Planilla_General_03-12-2012_9_3'!K2330,"AAAAAHX9x5s=")</f>
        <v>#VALUE!</v>
      </c>
      <c r="FA146" t="e">
        <f>AND('Planilla_General_03-12-2012_9_3'!L2330,"AAAAAHX9x5w=")</f>
        <v>#VALUE!</v>
      </c>
      <c r="FB146" t="e">
        <f>AND('Planilla_General_03-12-2012_9_3'!M2330,"AAAAAHX9x50=")</f>
        <v>#VALUE!</v>
      </c>
      <c r="FC146" t="e">
        <f>AND('Planilla_General_03-12-2012_9_3'!N2330,"AAAAAHX9x54=")</f>
        <v>#VALUE!</v>
      </c>
      <c r="FD146" t="e">
        <f>AND('Planilla_General_03-12-2012_9_3'!O2330,"AAAAAHX9x58=")</f>
        <v>#VALUE!</v>
      </c>
      <c r="FE146">
        <f>IF('Planilla_General_03-12-2012_9_3'!2331:2331,"AAAAAHX9x6A=",0)</f>
        <v>0</v>
      </c>
      <c r="FF146" t="e">
        <f>AND('Planilla_General_03-12-2012_9_3'!A2331,"AAAAAHX9x6E=")</f>
        <v>#VALUE!</v>
      </c>
      <c r="FG146" t="e">
        <f>AND('Planilla_General_03-12-2012_9_3'!B2331,"AAAAAHX9x6I=")</f>
        <v>#VALUE!</v>
      </c>
      <c r="FH146" t="e">
        <f>AND('Planilla_General_03-12-2012_9_3'!C2331,"AAAAAHX9x6M=")</f>
        <v>#VALUE!</v>
      </c>
      <c r="FI146" t="e">
        <f>AND('Planilla_General_03-12-2012_9_3'!D2331,"AAAAAHX9x6Q=")</f>
        <v>#VALUE!</v>
      </c>
      <c r="FJ146" t="e">
        <f>AND('Planilla_General_03-12-2012_9_3'!E2331,"AAAAAHX9x6U=")</f>
        <v>#VALUE!</v>
      </c>
      <c r="FK146" t="e">
        <f>AND('Planilla_General_03-12-2012_9_3'!F2331,"AAAAAHX9x6Y=")</f>
        <v>#VALUE!</v>
      </c>
      <c r="FL146" t="e">
        <f>AND('Planilla_General_03-12-2012_9_3'!G2331,"AAAAAHX9x6c=")</f>
        <v>#VALUE!</v>
      </c>
      <c r="FM146" t="e">
        <f>AND('Planilla_General_03-12-2012_9_3'!H2331,"AAAAAHX9x6g=")</f>
        <v>#VALUE!</v>
      </c>
      <c r="FN146" t="e">
        <f>AND('Planilla_General_03-12-2012_9_3'!I2331,"AAAAAHX9x6k=")</f>
        <v>#VALUE!</v>
      </c>
      <c r="FO146" t="e">
        <f>AND('Planilla_General_03-12-2012_9_3'!J2331,"AAAAAHX9x6o=")</f>
        <v>#VALUE!</v>
      </c>
      <c r="FP146" t="e">
        <f>AND('Planilla_General_03-12-2012_9_3'!K2331,"AAAAAHX9x6s=")</f>
        <v>#VALUE!</v>
      </c>
      <c r="FQ146" t="e">
        <f>AND('Planilla_General_03-12-2012_9_3'!L2331,"AAAAAHX9x6w=")</f>
        <v>#VALUE!</v>
      </c>
      <c r="FR146" t="e">
        <f>AND('Planilla_General_03-12-2012_9_3'!M2331,"AAAAAHX9x60=")</f>
        <v>#VALUE!</v>
      </c>
      <c r="FS146" t="e">
        <f>AND('Planilla_General_03-12-2012_9_3'!N2331,"AAAAAHX9x64=")</f>
        <v>#VALUE!</v>
      </c>
      <c r="FT146" t="e">
        <f>AND('Planilla_General_03-12-2012_9_3'!O2331,"AAAAAHX9x68=")</f>
        <v>#VALUE!</v>
      </c>
      <c r="FU146">
        <f>IF('Planilla_General_03-12-2012_9_3'!2332:2332,"AAAAAHX9x7A=",0)</f>
        <v>0</v>
      </c>
      <c r="FV146" t="e">
        <f>AND('Planilla_General_03-12-2012_9_3'!A2332,"AAAAAHX9x7E=")</f>
        <v>#VALUE!</v>
      </c>
      <c r="FW146" t="e">
        <f>AND('Planilla_General_03-12-2012_9_3'!B2332,"AAAAAHX9x7I=")</f>
        <v>#VALUE!</v>
      </c>
      <c r="FX146" t="e">
        <f>AND('Planilla_General_03-12-2012_9_3'!C2332,"AAAAAHX9x7M=")</f>
        <v>#VALUE!</v>
      </c>
      <c r="FY146" t="e">
        <f>AND('Planilla_General_03-12-2012_9_3'!D2332,"AAAAAHX9x7Q=")</f>
        <v>#VALUE!</v>
      </c>
      <c r="FZ146" t="e">
        <f>AND('Planilla_General_03-12-2012_9_3'!E2332,"AAAAAHX9x7U=")</f>
        <v>#VALUE!</v>
      </c>
      <c r="GA146" t="e">
        <f>AND('Planilla_General_03-12-2012_9_3'!F2332,"AAAAAHX9x7Y=")</f>
        <v>#VALUE!</v>
      </c>
      <c r="GB146" t="e">
        <f>AND('Planilla_General_03-12-2012_9_3'!G2332,"AAAAAHX9x7c=")</f>
        <v>#VALUE!</v>
      </c>
      <c r="GC146" t="e">
        <f>AND('Planilla_General_03-12-2012_9_3'!H2332,"AAAAAHX9x7g=")</f>
        <v>#VALUE!</v>
      </c>
      <c r="GD146" t="e">
        <f>AND('Planilla_General_03-12-2012_9_3'!I2332,"AAAAAHX9x7k=")</f>
        <v>#VALUE!</v>
      </c>
      <c r="GE146" t="e">
        <f>AND('Planilla_General_03-12-2012_9_3'!J2332,"AAAAAHX9x7o=")</f>
        <v>#VALUE!</v>
      </c>
      <c r="GF146" t="e">
        <f>AND('Planilla_General_03-12-2012_9_3'!K2332,"AAAAAHX9x7s=")</f>
        <v>#VALUE!</v>
      </c>
      <c r="GG146" t="e">
        <f>AND('Planilla_General_03-12-2012_9_3'!L2332,"AAAAAHX9x7w=")</f>
        <v>#VALUE!</v>
      </c>
      <c r="GH146" t="e">
        <f>AND('Planilla_General_03-12-2012_9_3'!M2332,"AAAAAHX9x70=")</f>
        <v>#VALUE!</v>
      </c>
      <c r="GI146" t="e">
        <f>AND('Planilla_General_03-12-2012_9_3'!N2332,"AAAAAHX9x74=")</f>
        <v>#VALUE!</v>
      </c>
      <c r="GJ146" t="e">
        <f>AND('Planilla_General_03-12-2012_9_3'!O2332,"AAAAAHX9x78=")</f>
        <v>#VALUE!</v>
      </c>
      <c r="GK146">
        <f>IF('Planilla_General_03-12-2012_9_3'!2333:2333,"AAAAAHX9x8A=",0)</f>
        <v>0</v>
      </c>
      <c r="GL146" t="e">
        <f>AND('Planilla_General_03-12-2012_9_3'!A2333,"AAAAAHX9x8E=")</f>
        <v>#VALUE!</v>
      </c>
      <c r="GM146" t="e">
        <f>AND('Planilla_General_03-12-2012_9_3'!B2333,"AAAAAHX9x8I=")</f>
        <v>#VALUE!</v>
      </c>
      <c r="GN146" t="e">
        <f>AND('Planilla_General_03-12-2012_9_3'!C2333,"AAAAAHX9x8M=")</f>
        <v>#VALUE!</v>
      </c>
      <c r="GO146" t="e">
        <f>AND('Planilla_General_03-12-2012_9_3'!D2333,"AAAAAHX9x8Q=")</f>
        <v>#VALUE!</v>
      </c>
      <c r="GP146" t="e">
        <f>AND('Planilla_General_03-12-2012_9_3'!E2333,"AAAAAHX9x8U=")</f>
        <v>#VALUE!</v>
      </c>
      <c r="GQ146" t="e">
        <f>AND('Planilla_General_03-12-2012_9_3'!F2333,"AAAAAHX9x8Y=")</f>
        <v>#VALUE!</v>
      </c>
      <c r="GR146" t="e">
        <f>AND('Planilla_General_03-12-2012_9_3'!G2333,"AAAAAHX9x8c=")</f>
        <v>#VALUE!</v>
      </c>
      <c r="GS146" t="e">
        <f>AND('Planilla_General_03-12-2012_9_3'!H2333,"AAAAAHX9x8g=")</f>
        <v>#VALUE!</v>
      </c>
      <c r="GT146" t="e">
        <f>AND('Planilla_General_03-12-2012_9_3'!I2333,"AAAAAHX9x8k=")</f>
        <v>#VALUE!</v>
      </c>
      <c r="GU146" t="e">
        <f>AND('Planilla_General_03-12-2012_9_3'!J2333,"AAAAAHX9x8o=")</f>
        <v>#VALUE!</v>
      </c>
      <c r="GV146" t="e">
        <f>AND('Planilla_General_03-12-2012_9_3'!K2333,"AAAAAHX9x8s=")</f>
        <v>#VALUE!</v>
      </c>
      <c r="GW146" t="e">
        <f>AND('Planilla_General_03-12-2012_9_3'!L2333,"AAAAAHX9x8w=")</f>
        <v>#VALUE!</v>
      </c>
      <c r="GX146" t="e">
        <f>AND('Planilla_General_03-12-2012_9_3'!M2333,"AAAAAHX9x80=")</f>
        <v>#VALUE!</v>
      </c>
      <c r="GY146" t="e">
        <f>AND('Planilla_General_03-12-2012_9_3'!N2333,"AAAAAHX9x84=")</f>
        <v>#VALUE!</v>
      </c>
      <c r="GZ146" t="e">
        <f>AND('Planilla_General_03-12-2012_9_3'!O2333,"AAAAAHX9x88=")</f>
        <v>#VALUE!</v>
      </c>
      <c r="HA146">
        <f>IF('Planilla_General_03-12-2012_9_3'!2334:2334,"AAAAAHX9x9A=",0)</f>
        <v>0</v>
      </c>
      <c r="HB146" t="e">
        <f>AND('Planilla_General_03-12-2012_9_3'!A2334,"AAAAAHX9x9E=")</f>
        <v>#VALUE!</v>
      </c>
      <c r="HC146" t="e">
        <f>AND('Planilla_General_03-12-2012_9_3'!B2334,"AAAAAHX9x9I=")</f>
        <v>#VALUE!</v>
      </c>
      <c r="HD146" t="e">
        <f>AND('Planilla_General_03-12-2012_9_3'!C2334,"AAAAAHX9x9M=")</f>
        <v>#VALUE!</v>
      </c>
      <c r="HE146" t="e">
        <f>AND('Planilla_General_03-12-2012_9_3'!D2334,"AAAAAHX9x9Q=")</f>
        <v>#VALUE!</v>
      </c>
      <c r="HF146" t="e">
        <f>AND('Planilla_General_03-12-2012_9_3'!E2334,"AAAAAHX9x9U=")</f>
        <v>#VALUE!</v>
      </c>
      <c r="HG146" t="e">
        <f>AND('Planilla_General_03-12-2012_9_3'!F2334,"AAAAAHX9x9Y=")</f>
        <v>#VALUE!</v>
      </c>
      <c r="HH146" t="e">
        <f>AND('Planilla_General_03-12-2012_9_3'!G2334,"AAAAAHX9x9c=")</f>
        <v>#VALUE!</v>
      </c>
      <c r="HI146" t="e">
        <f>AND('Planilla_General_03-12-2012_9_3'!H2334,"AAAAAHX9x9g=")</f>
        <v>#VALUE!</v>
      </c>
      <c r="HJ146" t="e">
        <f>AND('Planilla_General_03-12-2012_9_3'!I2334,"AAAAAHX9x9k=")</f>
        <v>#VALUE!</v>
      </c>
      <c r="HK146" t="e">
        <f>AND('Planilla_General_03-12-2012_9_3'!J2334,"AAAAAHX9x9o=")</f>
        <v>#VALUE!</v>
      </c>
      <c r="HL146" t="e">
        <f>AND('Planilla_General_03-12-2012_9_3'!K2334,"AAAAAHX9x9s=")</f>
        <v>#VALUE!</v>
      </c>
      <c r="HM146" t="e">
        <f>AND('Planilla_General_03-12-2012_9_3'!L2334,"AAAAAHX9x9w=")</f>
        <v>#VALUE!</v>
      </c>
      <c r="HN146" t="e">
        <f>AND('Planilla_General_03-12-2012_9_3'!M2334,"AAAAAHX9x90=")</f>
        <v>#VALUE!</v>
      </c>
      <c r="HO146" t="e">
        <f>AND('Planilla_General_03-12-2012_9_3'!N2334,"AAAAAHX9x94=")</f>
        <v>#VALUE!</v>
      </c>
      <c r="HP146" t="e">
        <f>AND('Planilla_General_03-12-2012_9_3'!O2334,"AAAAAHX9x98=")</f>
        <v>#VALUE!</v>
      </c>
      <c r="HQ146">
        <f>IF('Planilla_General_03-12-2012_9_3'!2335:2335,"AAAAAHX9x+A=",0)</f>
        <v>0</v>
      </c>
      <c r="HR146" t="e">
        <f>AND('Planilla_General_03-12-2012_9_3'!A2335,"AAAAAHX9x+E=")</f>
        <v>#VALUE!</v>
      </c>
      <c r="HS146" t="e">
        <f>AND('Planilla_General_03-12-2012_9_3'!B2335,"AAAAAHX9x+I=")</f>
        <v>#VALUE!</v>
      </c>
      <c r="HT146" t="e">
        <f>AND('Planilla_General_03-12-2012_9_3'!C2335,"AAAAAHX9x+M=")</f>
        <v>#VALUE!</v>
      </c>
      <c r="HU146" t="e">
        <f>AND('Planilla_General_03-12-2012_9_3'!D2335,"AAAAAHX9x+Q=")</f>
        <v>#VALUE!</v>
      </c>
      <c r="HV146" t="e">
        <f>AND('Planilla_General_03-12-2012_9_3'!E2335,"AAAAAHX9x+U=")</f>
        <v>#VALUE!</v>
      </c>
      <c r="HW146" t="e">
        <f>AND('Planilla_General_03-12-2012_9_3'!F2335,"AAAAAHX9x+Y=")</f>
        <v>#VALUE!</v>
      </c>
      <c r="HX146" t="e">
        <f>AND('Planilla_General_03-12-2012_9_3'!G2335,"AAAAAHX9x+c=")</f>
        <v>#VALUE!</v>
      </c>
      <c r="HY146" t="e">
        <f>AND('Planilla_General_03-12-2012_9_3'!H2335,"AAAAAHX9x+g=")</f>
        <v>#VALUE!</v>
      </c>
      <c r="HZ146" t="e">
        <f>AND('Planilla_General_03-12-2012_9_3'!I2335,"AAAAAHX9x+k=")</f>
        <v>#VALUE!</v>
      </c>
      <c r="IA146" t="e">
        <f>AND('Planilla_General_03-12-2012_9_3'!J2335,"AAAAAHX9x+o=")</f>
        <v>#VALUE!</v>
      </c>
      <c r="IB146" t="e">
        <f>AND('Planilla_General_03-12-2012_9_3'!K2335,"AAAAAHX9x+s=")</f>
        <v>#VALUE!</v>
      </c>
      <c r="IC146" t="e">
        <f>AND('Planilla_General_03-12-2012_9_3'!L2335,"AAAAAHX9x+w=")</f>
        <v>#VALUE!</v>
      </c>
      <c r="ID146" t="e">
        <f>AND('Planilla_General_03-12-2012_9_3'!M2335,"AAAAAHX9x+0=")</f>
        <v>#VALUE!</v>
      </c>
      <c r="IE146" t="e">
        <f>AND('Planilla_General_03-12-2012_9_3'!N2335,"AAAAAHX9x+4=")</f>
        <v>#VALUE!</v>
      </c>
      <c r="IF146" t="e">
        <f>AND('Planilla_General_03-12-2012_9_3'!O2335,"AAAAAHX9x+8=")</f>
        <v>#VALUE!</v>
      </c>
      <c r="IG146">
        <f>IF('Planilla_General_03-12-2012_9_3'!2336:2336,"AAAAAHX9x/A=",0)</f>
        <v>0</v>
      </c>
      <c r="IH146" t="e">
        <f>AND('Planilla_General_03-12-2012_9_3'!A2336,"AAAAAHX9x/E=")</f>
        <v>#VALUE!</v>
      </c>
      <c r="II146" t="e">
        <f>AND('Planilla_General_03-12-2012_9_3'!B2336,"AAAAAHX9x/I=")</f>
        <v>#VALUE!</v>
      </c>
      <c r="IJ146" t="e">
        <f>AND('Planilla_General_03-12-2012_9_3'!C2336,"AAAAAHX9x/M=")</f>
        <v>#VALUE!</v>
      </c>
      <c r="IK146" t="e">
        <f>AND('Planilla_General_03-12-2012_9_3'!D2336,"AAAAAHX9x/Q=")</f>
        <v>#VALUE!</v>
      </c>
      <c r="IL146" t="e">
        <f>AND('Planilla_General_03-12-2012_9_3'!E2336,"AAAAAHX9x/U=")</f>
        <v>#VALUE!</v>
      </c>
      <c r="IM146" t="e">
        <f>AND('Planilla_General_03-12-2012_9_3'!F2336,"AAAAAHX9x/Y=")</f>
        <v>#VALUE!</v>
      </c>
      <c r="IN146" t="e">
        <f>AND('Planilla_General_03-12-2012_9_3'!G2336,"AAAAAHX9x/c=")</f>
        <v>#VALUE!</v>
      </c>
      <c r="IO146" t="e">
        <f>AND('Planilla_General_03-12-2012_9_3'!H2336,"AAAAAHX9x/g=")</f>
        <v>#VALUE!</v>
      </c>
      <c r="IP146" t="e">
        <f>AND('Planilla_General_03-12-2012_9_3'!I2336,"AAAAAHX9x/k=")</f>
        <v>#VALUE!</v>
      </c>
      <c r="IQ146" t="e">
        <f>AND('Planilla_General_03-12-2012_9_3'!J2336,"AAAAAHX9x/o=")</f>
        <v>#VALUE!</v>
      </c>
      <c r="IR146" t="e">
        <f>AND('Planilla_General_03-12-2012_9_3'!K2336,"AAAAAHX9x/s=")</f>
        <v>#VALUE!</v>
      </c>
      <c r="IS146" t="e">
        <f>AND('Planilla_General_03-12-2012_9_3'!L2336,"AAAAAHX9x/w=")</f>
        <v>#VALUE!</v>
      </c>
      <c r="IT146" t="e">
        <f>AND('Planilla_General_03-12-2012_9_3'!M2336,"AAAAAHX9x/0=")</f>
        <v>#VALUE!</v>
      </c>
      <c r="IU146" t="e">
        <f>AND('Planilla_General_03-12-2012_9_3'!N2336,"AAAAAHX9x/4=")</f>
        <v>#VALUE!</v>
      </c>
      <c r="IV146" t="e">
        <f>AND('Planilla_General_03-12-2012_9_3'!O2336,"AAAAAHX9x/8=")</f>
        <v>#VALUE!</v>
      </c>
    </row>
    <row r="147" spans="1:256" x14ac:dyDescent="0.25">
      <c r="A147" t="e">
        <f>IF('Planilla_General_03-12-2012_9_3'!2337:2337,"AAAAAH/X9wA=",0)</f>
        <v>#VALUE!</v>
      </c>
      <c r="B147" t="e">
        <f>AND('Planilla_General_03-12-2012_9_3'!A2337,"AAAAAH/X9wE=")</f>
        <v>#VALUE!</v>
      </c>
      <c r="C147" t="e">
        <f>AND('Planilla_General_03-12-2012_9_3'!B2337,"AAAAAH/X9wI=")</f>
        <v>#VALUE!</v>
      </c>
      <c r="D147" t="e">
        <f>AND('Planilla_General_03-12-2012_9_3'!C2337,"AAAAAH/X9wM=")</f>
        <v>#VALUE!</v>
      </c>
      <c r="E147" t="e">
        <f>AND('Planilla_General_03-12-2012_9_3'!D2337,"AAAAAH/X9wQ=")</f>
        <v>#VALUE!</v>
      </c>
      <c r="F147" t="e">
        <f>AND('Planilla_General_03-12-2012_9_3'!E2337,"AAAAAH/X9wU=")</f>
        <v>#VALUE!</v>
      </c>
      <c r="G147" t="e">
        <f>AND('Planilla_General_03-12-2012_9_3'!F2337,"AAAAAH/X9wY=")</f>
        <v>#VALUE!</v>
      </c>
      <c r="H147" t="e">
        <f>AND('Planilla_General_03-12-2012_9_3'!G2337,"AAAAAH/X9wc=")</f>
        <v>#VALUE!</v>
      </c>
      <c r="I147" t="e">
        <f>AND('Planilla_General_03-12-2012_9_3'!H2337,"AAAAAH/X9wg=")</f>
        <v>#VALUE!</v>
      </c>
      <c r="J147" t="e">
        <f>AND('Planilla_General_03-12-2012_9_3'!I2337,"AAAAAH/X9wk=")</f>
        <v>#VALUE!</v>
      </c>
      <c r="K147" t="e">
        <f>AND('Planilla_General_03-12-2012_9_3'!J2337,"AAAAAH/X9wo=")</f>
        <v>#VALUE!</v>
      </c>
      <c r="L147" t="e">
        <f>AND('Planilla_General_03-12-2012_9_3'!K2337,"AAAAAH/X9ws=")</f>
        <v>#VALUE!</v>
      </c>
      <c r="M147" t="e">
        <f>AND('Planilla_General_03-12-2012_9_3'!L2337,"AAAAAH/X9ww=")</f>
        <v>#VALUE!</v>
      </c>
      <c r="N147" t="e">
        <f>AND('Planilla_General_03-12-2012_9_3'!M2337,"AAAAAH/X9w0=")</f>
        <v>#VALUE!</v>
      </c>
      <c r="O147" t="e">
        <f>AND('Planilla_General_03-12-2012_9_3'!N2337,"AAAAAH/X9w4=")</f>
        <v>#VALUE!</v>
      </c>
      <c r="P147" t="e">
        <f>AND('Planilla_General_03-12-2012_9_3'!O2337,"AAAAAH/X9w8=")</f>
        <v>#VALUE!</v>
      </c>
      <c r="Q147">
        <f>IF('Planilla_General_03-12-2012_9_3'!2338:2338,"AAAAAH/X9xA=",0)</f>
        <v>0</v>
      </c>
      <c r="R147" t="e">
        <f>AND('Planilla_General_03-12-2012_9_3'!A2338,"AAAAAH/X9xE=")</f>
        <v>#VALUE!</v>
      </c>
      <c r="S147" t="e">
        <f>AND('Planilla_General_03-12-2012_9_3'!B2338,"AAAAAH/X9xI=")</f>
        <v>#VALUE!</v>
      </c>
      <c r="T147" t="e">
        <f>AND('Planilla_General_03-12-2012_9_3'!C2338,"AAAAAH/X9xM=")</f>
        <v>#VALUE!</v>
      </c>
      <c r="U147" t="e">
        <f>AND('Planilla_General_03-12-2012_9_3'!D2338,"AAAAAH/X9xQ=")</f>
        <v>#VALUE!</v>
      </c>
      <c r="V147" t="e">
        <f>AND('Planilla_General_03-12-2012_9_3'!E2338,"AAAAAH/X9xU=")</f>
        <v>#VALUE!</v>
      </c>
      <c r="W147" t="e">
        <f>AND('Planilla_General_03-12-2012_9_3'!F2338,"AAAAAH/X9xY=")</f>
        <v>#VALUE!</v>
      </c>
      <c r="X147" t="e">
        <f>AND('Planilla_General_03-12-2012_9_3'!G2338,"AAAAAH/X9xc=")</f>
        <v>#VALUE!</v>
      </c>
      <c r="Y147" t="e">
        <f>AND('Planilla_General_03-12-2012_9_3'!H2338,"AAAAAH/X9xg=")</f>
        <v>#VALUE!</v>
      </c>
      <c r="Z147" t="e">
        <f>AND('Planilla_General_03-12-2012_9_3'!I2338,"AAAAAH/X9xk=")</f>
        <v>#VALUE!</v>
      </c>
      <c r="AA147" t="e">
        <f>AND('Planilla_General_03-12-2012_9_3'!J2338,"AAAAAH/X9xo=")</f>
        <v>#VALUE!</v>
      </c>
      <c r="AB147" t="e">
        <f>AND('Planilla_General_03-12-2012_9_3'!K2338,"AAAAAH/X9xs=")</f>
        <v>#VALUE!</v>
      </c>
      <c r="AC147" t="e">
        <f>AND('Planilla_General_03-12-2012_9_3'!L2338,"AAAAAH/X9xw=")</f>
        <v>#VALUE!</v>
      </c>
      <c r="AD147" t="e">
        <f>AND('Planilla_General_03-12-2012_9_3'!M2338,"AAAAAH/X9x0=")</f>
        <v>#VALUE!</v>
      </c>
      <c r="AE147" t="e">
        <f>AND('Planilla_General_03-12-2012_9_3'!N2338,"AAAAAH/X9x4=")</f>
        <v>#VALUE!</v>
      </c>
      <c r="AF147" t="e">
        <f>AND('Planilla_General_03-12-2012_9_3'!O2338,"AAAAAH/X9x8=")</f>
        <v>#VALUE!</v>
      </c>
      <c r="AG147">
        <f>IF('Planilla_General_03-12-2012_9_3'!2339:2339,"AAAAAH/X9yA=",0)</f>
        <v>0</v>
      </c>
      <c r="AH147" t="e">
        <f>AND('Planilla_General_03-12-2012_9_3'!A2339,"AAAAAH/X9yE=")</f>
        <v>#VALUE!</v>
      </c>
      <c r="AI147" t="e">
        <f>AND('Planilla_General_03-12-2012_9_3'!B2339,"AAAAAH/X9yI=")</f>
        <v>#VALUE!</v>
      </c>
      <c r="AJ147" t="e">
        <f>AND('Planilla_General_03-12-2012_9_3'!C2339,"AAAAAH/X9yM=")</f>
        <v>#VALUE!</v>
      </c>
      <c r="AK147" t="e">
        <f>AND('Planilla_General_03-12-2012_9_3'!D2339,"AAAAAH/X9yQ=")</f>
        <v>#VALUE!</v>
      </c>
      <c r="AL147" t="e">
        <f>AND('Planilla_General_03-12-2012_9_3'!E2339,"AAAAAH/X9yU=")</f>
        <v>#VALUE!</v>
      </c>
      <c r="AM147" t="e">
        <f>AND('Planilla_General_03-12-2012_9_3'!F2339,"AAAAAH/X9yY=")</f>
        <v>#VALUE!</v>
      </c>
      <c r="AN147" t="e">
        <f>AND('Planilla_General_03-12-2012_9_3'!G2339,"AAAAAH/X9yc=")</f>
        <v>#VALUE!</v>
      </c>
      <c r="AO147" t="e">
        <f>AND('Planilla_General_03-12-2012_9_3'!H2339,"AAAAAH/X9yg=")</f>
        <v>#VALUE!</v>
      </c>
      <c r="AP147" t="e">
        <f>AND('Planilla_General_03-12-2012_9_3'!I2339,"AAAAAH/X9yk=")</f>
        <v>#VALUE!</v>
      </c>
      <c r="AQ147" t="e">
        <f>AND('Planilla_General_03-12-2012_9_3'!J2339,"AAAAAH/X9yo=")</f>
        <v>#VALUE!</v>
      </c>
      <c r="AR147" t="e">
        <f>AND('Planilla_General_03-12-2012_9_3'!K2339,"AAAAAH/X9ys=")</f>
        <v>#VALUE!</v>
      </c>
      <c r="AS147" t="e">
        <f>AND('Planilla_General_03-12-2012_9_3'!L2339,"AAAAAH/X9yw=")</f>
        <v>#VALUE!</v>
      </c>
      <c r="AT147" t="e">
        <f>AND('Planilla_General_03-12-2012_9_3'!M2339,"AAAAAH/X9y0=")</f>
        <v>#VALUE!</v>
      </c>
      <c r="AU147" t="e">
        <f>AND('Planilla_General_03-12-2012_9_3'!N2339,"AAAAAH/X9y4=")</f>
        <v>#VALUE!</v>
      </c>
      <c r="AV147" t="e">
        <f>AND('Planilla_General_03-12-2012_9_3'!O2339,"AAAAAH/X9y8=")</f>
        <v>#VALUE!</v>
      </c>
      <c r="AW147">
        <f>IF('Planilla_General_03-12-2012_9_3'!2340:2340,"AAAAAH/X9zA=",0)</f>
        <v>0</v>
      </c>
      <c r="AX147" t="e">
        <f>AND('Planilla_General_03-12-2012_9_3'!A2340,"AAAAAH/X9zE=")</f>
        <v>#VALUE!</v>
      </c>
      <c r="AY147" t="e">
        <f>AND('Planilla_General_03-12-2012_9_3'!B2340,"AAAAAH/X9zI=")</f>
        <v>#VALUE!</v>
      </c>
      <c r="AZ147" t="e">
        <f>AND('Planilla_General_03-12-2012_9_3'!C2340,"AAAAAH/X9zM=")</f>
        <v>#VALUE!</v>
      </c>
      <c r="BA147" t="e">
        <f>AND('Planilla_General_03-12-2012_9_3'!D2340,"AAAAAH/X9zQ=")</f>
        <v>#VALUE!</v>
      </c>
      <c r="BB147" t="e">
        <f>AND('Planilla_General_03-12-2012_9_3'!E2340,"AAAAAH/X9zU=")</f>
        <v>#VALUE!</v>
      </c>
      <c r="BC147" t="e">
        <f>AND('Planilla_General_03-12-2012_9_3'!F2340,"AAAAAH/X9zY=")</f>
        <v>#VALUE!</v>
      </c>
      <c r="BD147" t="e">
        <f>AND('Planilla_General_03-12-2012_9_3'!G2340,"AAAAAH/X9zc=")</f>
        <v>#VALUE!</v>
      </c>
      <c r="BE147" t="e">
        <f>AND('Planilla_General_03-12-2012_9_3'!H2340,"AAAAAH/X9zg=")</f>
        <v>#VALUE!</v>
      </c>
      <c r="BF147" t="e">
        <f>AND('Planilla_General_03-12-2012_9_3'!I2340,"AAAAAH/X9zk=")</f>
        <v>#VALUE!</v>
      </c>
      <c r="BG147" t="e">
        <f>AND('Planilla_General_03-12-2012_9_3'!J2340,"AAAAAH/X9zo=")</f>
        <v>#VALUE!</v>
      </c>
      <c r="BH147" t="e">
        <f>AND('Planilla_General_03-12-2012_9_3'!K2340,"AAAAAH/X9zs=")</f>
        <v>#VALUE!</v>
      </c>
      <c r="BI147" t="e">
        <f>AND('Planilla_General_03-12-2012_9_3'!L2340,"AAAAAH/X9zw=")</f>
        <v>#VALUE!</v>
      </c>
      <c r="BJ147" t="e">
        <f>AND('Planilla_General_03-12-2012_9_3'!M2340,"AAAAAH/X9z0=")</f>
        <v>#VALUE!</v>
      </c>
      <c r="BK147" t="e">
        <f>AND('Planilla_General_03-12-2012_9_3'!N2340,"AAAAAH/X9z4=")</f>
        <v>#VALUE!</v>
      </c>
      <c r="BL147" t="e">
        <f>AND('Planilla_General_03-12-2012_9_3'!O2340,"AAAAAH/X9z8=")</f>
        <v>#VALUE!</v>
      </c>
      <c r="BM147">
        <f>IF('Planilla_General_03-12-2012_9_3'!2341:2341,"AAAAAH/X90A=",0)</f>
        <v>0</v>
      </c>
      <c r="BN147" t="e">
        <f>AND('Planilla_General_03-12-2012_9_3'!A2341,"AAAAAH/X90E=")</f>
        <v>#VALUE!</v>
      </c>
      <c r="BO147" t="e">
        <f>AND('Planilla_General_03-12-2012_9_3'!B2341,"AAAAAH/X90I=")</f>
        <v>#VALUE!</v>
      </c>
      <c r="BP147" t="e">
        <f>AND('Planilla_General_03-12-2012_9_3'!C2341,"AAAAAH/X90M=")</f>
        <v>#VALUE!</v>
      </c>
      <c r="BQ147" t="e">
        <f>AND('Planilla_General_03-12-2012_9_3'!D2341,"AAAAAH/X90Q=")</f>
        <v>#VALUE!</v>
      </c>
      <c r="BR147" t="e">
        <f>AND('Planilla_General_03-12-2012_9_3'!E2341,"AAAAAH/X90U=")</f>
        <v>#VALUE!</v>
      </c>
      <c r="BS147" t="e">
        <f>AND('Planilla_General_03-12-2012_9_3'!F2341,"AAAAAH/X90Y=")</f>
        <v>#VALUE!</v>
      </c>
      <c r="BT147" t="e">
        <f>AND('Planilla_General_03-12-2012_9_3'!G2341,"AAAAAH/X90c=")</f>
        <v>#VALUE!</v>
      </c>
      <c r="BU147" t="e">
        <f>AND('Planilla_General_03-12-2012_9_3'!H2341,"AAAAAH/X90g=")</f>
        <v>#VALUE!</v>
      </c>
      <c r="BV147" t="e">
        <f>AND('Planilla_General_03-12-2012_9_3'!I2341,"AAAAAH/X90k=")</f>
        <v>#VALUE!</v>
      </c>
      <c r="BW147" t="e">
        <f>AND('Planilla_General_03-12-2012_9_3'!J2341,"AAAAAH/X90o=")</f>
        <v>#VALUE!</v>
      </c>
      <c r="BX147" t="e">
        <f>AND('Planilla_General_03-12-2012_9_3'!K2341,"AAAAAH/X90s=")</f>
        <v>#VALUE!</v>
      </c>
      <c r="BY147" t="e">
        <f>AND('Planilla_General_03-12-2012_9_3'!L2341,"AAAAAH/X90w=")</f>
        <v>#VALUE!</v>
      </c>
      <c r="BZ147" t="e">
        <f>AND('Planilla_General_03-12-2012_9_3'!M2341,"AAAAAH/X900=")</f>
        <v>#VALUE!</v>
      </c>
      <c r="CA147" t="e">
        <f>AND('Planilla_General_03-12-2012_9_3'!N2341,"AAAAAH/X904=")</f>
        <v>#VALUE!</v>
      </c>
      <c r="CB147" t="e">
        <f>AND('Planilla_General_03-12-2012_9_3'!O2341,"AAAAAH/X908=")</f>
        <v>#VALUE!</v>
      </c>
      <c r="CC147">
        <f>IF('Planilla_General_03-12-2012_9_3'!2342:2342,"AAAAAH/X91A=",0)</f>
        <v>0</v>
      </c>
      <c r="CD147" t="e">
        <f>AND('Planilla_General_03-12-2012_9_3'!A2342,"AAAAAH/X91E=")</f>
        <v>#VALUE!</v>
      </c>
      <c r="CE147" t="e">
        <f>AND('Planilla_General_03-12-2012_9_3'!B2342,"AAAAAH/X91I=")</f>
        <v>#VALUE!</v>
      </c>
      <c r="CF147" t="e">
        <f>AND('Planilla_General_03-12-2012_9_3'!C2342,"AAAAAH/X91M=")</f>
        <v>#VALUE!</v>
      </c>
      <c r="CG147" t="e">
        <f>AND('Planilla_General_03-12-2012_9_3'!D2342,"AAAAAH/X91Q=")</f>
        <v>#VALUE!</v>
      </c>
      <c r="CH147" t="e">
        <f>AND('Planilla_General_03-12-2012_9_3'!E2342,"AAAAAH/X91U=")</f>
        <v>#VALUE!</v>
      </c>
      <c r="CI147" t="e">
        <f>AND('Planilla_General_03-12-2012_9_3'!F2342,"AAAAAH/X91Y=")</f>
        <v>#VALUE!</v>
      </c>
      <c r="CJ147" t="e">
        <f>AND('Planilla_General_03-12-2012_9_3'!G2342,"AAAAAH/X91c=")</f>
        <v>#VALUE!</v>
      </c>
      <c r="CK147" t="e">
        <f>AND('Planilla_General_03-12-2012_9_3'!H2342,"AAAAAH/X91g=")</f>
        <v>#VALUE!</v>
      </c>
      <c r="CL147" t="e">
        <f>AND('Planilla_General_03-12-2012_9_3'!I2342,"AAAAAH/X91k=")</f>
        <v>#VALUE!</v>
      </c>
      <c r="CM147" t="e">
        <f>AND('Planilla_General_03-12-2012_9_3'!J2342,"AAAAAH/X91o=")</f>
        <v>#VALUE!</v>
      </c>
      <c r="CN147" t="e">
        <f>AND('Planilla_General_03-12-2012_9_3'!K2342,"AAAAAH/X91s=")</f>
        <v>#VALUE!</v>
      </c>
      <c r="CO147" t="e">
        <f>AND('Planilla_General_03-12-2012_9_3'!L2342,"AAAAAH/X91w=")</f>
        <v>#VALUE!</v>
      </c>
      <c r="CP147" t="e">
        <f>AND('Planilla_General_03-12-2012_9_3'!M2342,"AAAAAH/X910=")</f>
        <v>#VALUE!</v>
      </c>
      <c r="CQ147" t="e">
        <f>AND('Planilla_General_03-12-2012_9_3'!N2342,"AAAAAH/X914=")</f>
        <v>#VALUE!</v>
      </c>
      <c r="CR147" t="e">
        <f>AND('Planilla_General_03-12-2012_9_3'!O2342,"AAAAAH/X918=")</f>
        <v>#VALUE!</v>
      </c>
      <c r="CS147">
        <f>IF('Planilla_General_03-12-2012_9_3'!2343:2343,"AAAAAH/X92A=",0)</f>
        <v>0</v>
      </c>
      <c r="CT147" t="e">
        <f>AND('Planilla_General_03-12-2012_9_3'!A2343,"AAAAAH/X92E=")</f>
        <v>#VALUE!</v>
      </c>
      <c r="CU147" t="e">
        <f>AND('Planilla_General_03-12-2012_9_3'!B2343,"AAAAAH/X92I=")</f>
        <v>#VALUE!</v>
      </c>
      <c r="CV147" t="e">
        <f>AND('Planilla_General_03-12-2012_9_3'!C2343,"AAAAAH/X92M=")</f>
        <v>#VALUE!</v>
      </c>
      <c r="CW147" t="e">
        <f>AND('Planilla_General_03-12-2012_9_3'!D2343,"AAAAAH/X92Q=")</f>
        <v>#VALUE!</v>
      </c>
      <c r="CX147" t="e">
        <f>AND('Planilla_General_03-12-2012_9_3'!E2343,"AAAAAH/X92U=")</f>
        <v>#VALUE!</v>
      </c>
      <c r="CY147" t="e">
        <f>AND('Planilla_General_03-12-2012_9_3'!F2343,"AAAAAH/X92Y=")</f>
        <v>#VALUE!</v>
      </c>
      <c r="CZ147" t="e">
        <f>AND('Planilla_General_03-12-2012_9_3'!G2343,"AAAAAH/X92c=")</f>
        <v>#VALUE!</v>
      </c>
      <c r="DA147" t="e">
        <f>AND('Planilla_General_03-12-2012_9_3'!H2343,"AAAAAH/X92g=")</f>
        <v>#VALUE!</v>
      </c>
      <c r="DB147" t="e">
        <f>AND('Planilla_General_03-12-2012_9_3'!I2343,"AAAAAH/X92k=")</f>
        <v>#VALUE!</v>
      </c>
      <c r="DC147" t="e">
        <f>AND('Planilla_General_03-12-2012_9_3'!J2343,"AAAAAH/X92o=")</f>
        <v>#VALUE!</v>
      </c>
      <c r="DD147" t="e">
        <f>AND('Planilla_General_03-12-2012_9_3'!K2343,"AAAAAH/X92s=")</f>
        <v>#VALUE!</v>
      </c>
      <c r="DE147" t="e">
        <f>AND('Planilla_General_03-12-2012_9_3'!L2343,"AAAAAH/X92w=")</f>
        <v>#VALUE!</v>
      </c>
      <c r="DF147" t="e">
        <f>AND('Planilla_General_03-12-2012_9_3'!M2343,"AAAAAH/X920=")</f>
        <v>#VALUE!</v>
      </c>
      <c r="DG147" t="e">
        <f>AND('Planilla_General_03-12-2012_9_3'!N2343,"AAAAAH/X924=")</f>
        <v>#VALUE!</v>
      </c>
      <c r="DH147" t="e">
        <f>AND('Planilla_General_03-12-2012_9_3'!O2343,"AAAAAH/X928=")</f>
        <v>#VALUE!</v>
      </c>
      <c r="DI147">
        <f>IF('Planilla_General_03-12-2012_9_3'!2344:2344,"AAAAAH/X93A=",0)</f>
        <v>0</v>
      </c>
      <c r="DJ147" t="e">
        <f>AND('Planilla_General_03-12-2012_9_3'!A2344,"AAAAAH/X93E=")</f>
        <v>#VALUE!</v>
      </c>
      <c r="DK147" t="e">
        <f>AND('Planilla_General_03-12-2012_9_3'!B2344,"AAAAAH/X93I=")</f>
        <v>#VALUE!</v>
      </c>
      <c r="DL147" t="e">
        <f>AND('Planilla_General_03-12-2012_9_3'!C2344,"AAAAAH/X93M=")</f>
        <v>#VALUE!</v>
      </c>
      <c r="DM147" t="e">
        <f>AND('Planilla_General_03-12-2012_9_3'!D2344,"AAAAAH/X93Q=")</f>
        <v>#VALUE!</v>
      </c>
      <c r="DN147" t="e">
        <f>AND('Planilla_General_03-12-2012_9_3'!E2344,"AAAAAH/X93U=")</f>
        <v>#VALUE!</v>
      </c>
      <c r="DO147" t="e">
        <f>AND('Planilla_General_03-12-2012_9_3'!F2344,"AAAAAH/X93Y=")</f>
        <v>#VALUE!</v>
      </c>
      <c r="DP147" t="e">
        <f>AND('Planilla_General_03-12-2012_9_3'!G2344,"AAAAAH/X93c=")</f>
        <v>#VALUE!</v>
      </c>
      <c r="DQ147" t="e">
        <f>AND('Planilla_General_03-12-2012_9_3'!H2344,"AAAAAH/X93g=")</f>
        <v>#VALUE!</v>
      </c>
      <c r="DR147" t="e">
        <f>AND('Planilla_General_03-12-2012_9_3'!I2344,"AAAAAH/X93k=")</f>
        <v>#VALUE!</v>
      </c>
      <c r="DS147" t="e">
        <f>AND('Planilla_General_03-12-2012_9_3'!J2344,"AAAAAH/X93o=")</f>
        <v>#VALUE!</v>
      </c>
      <c r="DT147" t="e">
        <f>AND('Planilla_General_03-12-2012_9_3'!K2344,"AAAAAH/X93s=")</f>
        <v>#VALUE!</v>
      </c>
      <c r="DU147" t="e">
        <f>AND('Planilla_General_03-12-2012_9_3'!L2344,"AAAAAH/X93w=")</f>
        <v>#VALUE!</v>
      </c>
      <c r="DV147" t="e">
        <f>AND('Planilla_General_03-12-2012_9_3'!M2344,"AAAAAH/X930=")</f>
        <v>#VALUE!</v>
      </c>
      <c r="DW147" t="e">
        <f>AND('Planilla_General_03-12-2012_9_3'!N2344,"AAAAAH/X934=")</f>
        <v>#VALUE!</v>
      </c>
      <c r="DX147" t="e">
        <f>AND('Planilla_General_03-12-2012_9_3'!O2344,"AAAAAH/X938=")</f>
        <v>#VALUE!</v>
      </c>
      <c r="DY147">
        <f>IF('Planilla_General_03-12-2012_9_3'!2345:2345,"AAAAAH/X94A=",0)</f>
        <v>0</v>
      </c>
      <c r="DZ147" t="e">
        <f>AND('Planilla_General_03-12-2012_9_3'!A2345,"AAAAAH/X94E=")</f>
        <v>#VALUE!</v>
      </c>
      <c r="EA147" t="e">
        <f>AND('Planilla_General_03-12-2012_9_3'!B2345,"AAAAAH/X94I=")</f>
        <v>#VALUE!</v>
      </c>
      <c r="EB147" t="e">
        <f>AND('Planilla_General_03-12-2012_9_3'!C2345,"AAAAAH/X94M=")</f>
        <v>#VALUE!</v>
      </c>
      <c r="EC147" t="e">
        <f>AND('Planilla_General_03-12-2012_9_3'!D2345,"AAAAAH/X94Q=")</f>
        <v>#VALUE!</v>
      </c>
      <c r="ED147" t="e">
        <f>AND('Planilla_General_03-12-2012_9_3'!E2345,"AAAAAH/X94U=")</f>
        <v>#VALUE!</v>
      </c>
      <c r="EE147" t="e">
        <f>AND('Planilla_General_03-12-2012_9_3'!F2345,"AAAAAH/X94Y=")</f>
        <v>#VALUE!</v>
      </c>
      <c r="EF147" t="e">
        <f>AND('Planilla_General_03-12-2012_9_3'!G2345,"AAAAAH/X94c=")</f>
        <v>#VALUE!</v>
      </c>
      <c r="EG147" t="e">
        <f>AND('Planilla_General_03-12-2012_9_3'!H2345,"AAAAAH/X94g=")</f>
        <v>#VALUE!</v>
      </c>
      <c r="EH147" t="e">
        <f>AND('Planilla_General_03-12-2012_9_3'!I2345,"AAAAAH/X94k=")</f>
        <v>#VALUE!</v>
      </c>
      <c r="EI147" t="e">
        <f>AND('Planilla_General_03-12-2012_9_3'!J2345,"AAAAAH/X94o=")</f>
        <v>#VALUE!</v>
      </c>
      <c r="EJ147" t="e">
        <f>AND('Planilla_General_03-12-2012_9_3'!K2345,"AAAAAH/X94s=")</f>
        <v>#VALUE!</v>
      </c>
      <c r="EK147" t="e">
        <f>AND('Planilla_General_03-12-2012_9_3'!L2345,"AAAAAH/X94w=")</f>
        <v>#VALUE!</v>
      </c>
      <c r="EL147" t="e">
        <f>AND('Planilla_General_03-12-2012_9_3'!M2345,"AAAAAH/X940=")</f>
        <v>#VALUE!</v>
      </c>
      <c r="EM147" t="e">
        <f>AND('Planilla_General_03-12-2012_9_3'!N2345,"AAAAAH/X944=")</f>
        <v>#VALUE!</v>
      </c>
      <c r="EN147" t="e">
        <f>AND('Planilla_General_03-12-2012_9_3'!O2345,"AAAAAH/X948=")</f>
        <v>#VALUE!</v>
      </c>
      <c r="EO147">
        <f>IF('Planilla_General_03-12-2012_9_3'!2346:2346,"AAAAAH/X95A=",0)</f>
        <v>0</v>
      </c>
      <c r="EP147" t="e">
        <f>AND('Planilla_General_03-12-2012_9_3'!A2346,"AAAAAH/X95E=")</f>
        <v>#VALUE!</v>
      </c>
      <c r="EQ147" t="e">
        <f>AND('Planilla_General_03-12-2012_9_3'!B2346,"AAAAAH/X95I=")</f>
        <v>#VALUE!</v>
      </c>
      <c r="ER147" t="e">
        <f>AND('Planilla_General_03-12-2012_9_3'!C2346,"AAAAAH/X95M=")</f>
        <v>#VALUE!</v>
      </c>
      <c r="ES147" t="e">
        <f>AND('Planilla_General_03-12-2012_9_3'!D2346,"AAAAAH/X95Q=")</f>
        <v>#VALUE!</v>
      </c>
      <c r="ET147" t="e">
        <f>AND('Planilla_General_03-12-2012_9_3'!E2346,"AAAAAH/X95U=")</f>
        <v>#VALUE!</v>
      </c>
      <c r="EU147" t="e">
        <f>AND('Planilla_General_03-12-2012_9_3'!F2346,"AAAAAH/X95Y=")</f>
        <v>#VALUE!</v>
      </c>
      <c r="EV147" t="e">
        <f>AND('Planilla_General_03-12-2012_9_3'!G2346,"AAAAAH/X95c=")</f>
        <v>#VALUE!</v>
      </c>
      <c r="EW147" t="e">
        <f>AND('Planilla_General_03-12-2012_9_3'!H2346,"AAAAAH/X95g=")</f>
        <v>#VALUE!</v>
      </c>
      <c r="EX147" t="e">
        <f>AND('Planilla_General_03-12-2012_9_3'!I2346,"AAAAAH/X95k=")</f>
        <v>#VALUE!</v>
      </c>
      <c r="EY147" t="e">
        <f>AND('Planilla_General_03-12-2012_9_3'!J2346,"AAAAAH/X95o=")</f>
        <v>#VALUE!</v>
      </c>
      <c r="EZ147" t="e">
        <f>AND('Planilla_General_03-12-2012_9_3'!K2346,"AAAAAH/X95s=")</f>
        <v>#VALUE!</v>
      </c>
      <c r="FA147" t="e">
        <f>AND('Planilla_General_03-12-2012_9_3'!L2346,"AAAAAH/X95w=")</f>
        <v>#VALUE!</v>
      </c>
      <c r="FB147" t="e">
        <f>AND('Planilla_General_03-12-2012_9_3'!M2346,"AAAAAH/X950=")</f>
        <v>#VALUE!</v>
      </c>
      <c r="FC147" t="e">
        <f>AND('Planilla_General_03-12-2012_9_3'!N2346,"AAAAAH/X954=")</f>
        <v>#VALUE!</v>
      </c>
      <c r="FD147" t="e">
        <f>AND('Planilla_General_03-12-2012_9_3'!O2346,"AAAAAH/X958=")</f>
        <v>#VALUE!</v>
      </c>
      <c r="FE147">
        <f>IF('Planilla_General_03-12-2012_9_3'!2347:2347,"AAAAAH/X96A=",0)</f>
        <v>0</v>
      </c>
      <c r="FF147" t="e">
        <f>AND('Planilla_General_03-12-2012_9_3'!A2347,"AAAAAH/X96E=")</f>
        <v>#VALUE!</v>
      </c>
      <c r="FG147" t="e">
        <f>AND('Planilla_General_03-12-2012_9_3'!B2347,"AAAAAH/X96I=")</f>
        <v>#VALUE!</v>
      </c>
      <c r="FH147" t="e">
        <f>AND('Planilla_General_03-12-2012_9_3'!C2347,"AAAAAH/X96M=")</f>
        <v>#VALUE!</v>
      </c>
      <c r="FI147" t="e">
        <f>AND('Planilla_General_03-12-2012_9_3'!D2347,"AAAAAH/X96Q=")</f>
        <v>#VALUE!</v>
      </c>
      <c r="FJ147" t="e">
        <f>AND('Planilla_General_03-12-2012_9_3'!E2347,"AAAAAH/X96U=")</f>
        <v>#VALUE!</v>
      </c>
      <c r="FK147" t="e">
        <f>AND('Planilla_General_03-12-2012_9_3'!F2347,"AAAAAH/X96Y=")</f>
        <v>#VALUE!</v>
      </c>
      <c r="FL147" t="e">
        <f>AND('Planilla_General_03-12-2012_9_3'!G2347,"AAAAAH/X96c=")</f>
        <v>#VALUE!</v>
      </c>
      <c r="FM147" t="e">
        <f>AND('Planilla_General_03-12-2012_9_3'!H2347,"AAAAAH/X96g=")</f>
        <v>#VALUE!</v>
      </c>
      <c r="FN147" t="e">
        <f>AND('Planilla_General_03-12-2012_9_3'!I2347,"AAAAAH/X96k=")</f>
        <v>#VALUE!</v>
      </c>
      <c r="FO147" t="e">
        <f>AND('Planilla_General_03-12-2012_9_3'!J2347,"AAAAAH/X96o=")</f>
        <v>#VALUE!</v>
      </c>
      <c r="FP147" t="e">
        <f>AND('Planilla_General_03-12-2012_9_3'!K2347,"AAAAAH/X96s=")</f>
        <v>#VALUE!</v>
      </c>
      <c r="FQ147" t="e">
        <f>AND('Planilla_General_03-12-2012_9_3'!L2347,"AAAAAH/X96w=")</f>
        <v>#VALUE!</v>
      </c>
      <c r="FR147" t="e">
        <f>AND('Planilla_General_03-12-2012_9_3'!M2347,"AAAAAH/X960=")</f>
        <v>#VALUE!</v>
      </c>
      <c r="FS147" t="e">
        <f>AND('Planilla_General_03-12-2012_9_3'!N2347,"AAAAAH/X964=")</f>
        <v>#VALUE!</v>
      </c>
      <c r="FT147" t="e">
        <f>AND('Planilla_General_03-12-2012_9_3'!O2347,"AAAAAH/X968=")</f>
        <v>#VALUE!</v>
      </c>
      <c r="FU147">
        <f>IF('Planilla_General_03-12-2012_9_3'!2348:2348,"AAAAAH/X97A=",0)</f>
        <v>0</v>
      </c>
      <c r="FV147" t="e">
        <f>AND('Planilla_General_03-12-2012_9_3'!A2348,"AAAAAH/X97E=")</f>
        <v>#VALUE!</v>
      </c>
      <c r="FW147" t="e">
        <f>AND('Planilla_General_03-12-2012_9_3'!B2348,"AAAAAH/X97I=")</f>
        <v>#VALUE!</v>
      </c>
      <c r="FX147" t="e">
        <f>AND('Planilla_General_03-12-2012_9_3'!C2348,"AAAAAH/X97M=")</f>
        <v>#VALUE!</v>
      </c>
      <c r="FY147" t="e">
        <f>AND('Planilla_General_03-12-2012_9_3'!D2348,"AAAAAH/X97Q=")</f>
        <v>#VALUE!</v>
      </c>
      <c r="FZ147" t="e">
        <f>AND('Planilla_General_03-12-2012_9_3'!E2348,"AAAAAH/X97U=")</f>
        <v>#VALUE!</v>
      </c>
      <c r="GA147" t="e">
        <f>AND('Planilla_General_03-12-2012_9_3'!F2348,"AAAAAH/X97Y=")</f>
        <v>#VALUE!</v>
      </c>
      <c r="GB147" t="e">
        <f>AND('Planilla_General_03-12-2012_9_3'!G2348,"AAAAAH/X97c=")</f>
        <v>#VALUE!</v>
      </c>
      <c r="GC147" t="e">
        <f>AND('Planilla_General_03-12-2012_9_3'!H2348,"AAAAAH/X97g=")</f>
        <v>#VALUE!</v>
      </c>
      <c r="GD147" t="e">
        <f>AND('Planilla_General_03-12-2012_9_3'!I2348,"AAAAAH/X97k=")</f>
        <v>#VALUE!</v>
      </c>
      <c r="GE147" t="e">
        <f>AND('Planilla_General_03-12-2012_9_3'!J2348,"AAAAAH/X97o=")</f>
        <v>#VALUE!</v>
      </c>
      <c r="GF147" t="e">
        <f>AND('Planilla_General_03-12-2012_9_3'!K2348,"AAAAAH/X97s=")</f>
        <v>#VALUE!</v>
      </c>
      <c r="GG147" t="e">
        <f>AND('Planilla_General_03-12-2012_9_3'!L2348,"AAAAAH/X97w=")</f>
        <v>#VALUE!</v>
      </c>
      <c r="GH147" t="e">
        <f>AND('Planilla_General_03-12-2012_9_3'!M2348,"AAAAAH/X970=")</f>
        <v>#VALUE!</v>
      </c>
      <c r="GI147" t="e">
        <f>AND('Planilla_General_03-12-2012_9_3'!N2348,"AAAAAH/X974=")</f>
        <v>#VALUE!</v>
      </c>
      <c r="GJ147" t="e">
        <f>AND('Planilla_General_03-12-2012_9_3'!O2348,"AAAAAH/X978=")</f>
        <v>#VALUE!</v>
      </c>
      <c r="GK147">
        <f>IF('Planilla_General_03-12-2012_9_3'!2349:2349,"AAAAAH/X98A=",0)</f>
        <v>0</v>
      </c>
      <c r="GL147" t="e">
        <f>AND('Planilla_General_03-12-2012_9_3'!A2349,"AAAAAH/X98E=")</f>
        <v>#VALUE!</v>
      </c>
      <c r="GM147" t="e">
        <f>AND('Planilla_General_03-12-2012_9_3'!B2349,"AAAAAH/X98I=")</f>
        <v>#VALUE!</v>
      </c>
      <c r="GN147" t="e">
        <f>AND('Planilla_General_03-12-2012_9_3'!C2349,"AAAAAH/X98M=")</f>
        <v>#VALUE!</v>
      </c>
      <c r="GO147" t="e">
        <f>AND('Planilla_General_03-12-2012_9_3'!D2349,"AAAAAH/X98Q=")</f>
        <v>#VALUE!</v>
      </c>
      <c r="GP147" t="e">
        <f>AND('Planilla_General_03-12-2012_9_3'!E2349,"AAAAAH/X98U=")</f>
        <v>#VALUE!</v>
      </c>
      <c r="GQ147" t="e">
        <f>AND('Planilla_General_03-12-2012_9_3'!F2349,"AAAAAH/X98Y=")</f>
        <v>#VALUE!</v>
      </c>
      <c r="GR147" t="e">
        <f>AND('Planilla_General_03-12-2012_9_3'!G2349,"AAAAAH/X98c=")</f>
        <v>#VALUE!</v>
      </c>
      <c r="GS147" t="e">
        <f>AND('Planilla_General_03-12-2012_9_3'!H2349,"AAAAAH/X98g=")</f>
        <v>#VALUE!</v>
      </c>
      <c r="GT147" t="e">
        <f>AND('Planilla_General_03-12-2012_9_3'!I2349,"AAAAAH/X98k=")</f>
        <v>#VALUE!</v>
      </c>
      <c r="GU147" t="e">
        <f>AND('Planilla_General_03-12-2012_9_3'!J2349,"AAAAAH/X98o=")</f>
        <v>#VALUE!</v>
      </c>
      <c r="GV147" t="e">
        <f>AND('Planilla_General_03-12-2012_9_3'!K2349,"AAAAAH/X98s=")</f>
        <v>#VALUE!</v>
      </c>
      <c r="GW147" t="e">
        <f>AND('Planilla_General_03-12-2012_9_3'!L2349,"AAAAAH/X98w=")</f>
        <v>#VALUE!</v>
      </c>
      <c r="GX147" t="e">
        <f>AND('Planilla_General_03-12-2012_9_3'!M2349,"AAAAAH/X980=")</f>
        <v>#VALUE!</v>
      </c>
      <c r="GY147" t="e">
        <f>AND('Planilla_General_03-12-2012_9_3'!N2349,"AAAAAH/X984=")</f>
        <v>#VALUE!</v>
      </c>
      <c r="GZ147" t="e">
        <f>AND('Planilla_General_03-12-2012_9_3'!O2349,"AAAAAH/X988=")</f>
        <v>#VALUE!</v>
      </c>
      <c r="HA147">
        <f>IF('Planilla_General_03-12-2012_9_3'!2350:2350,"AAAAAH/X99A=",0)</f>
        <v>0</v>
      </c>
      <c r="HB147" t="e">
        <f>AND('Planilla_General_03-12-2012_9_3'!A2350,"AAAAAH/X99E=")</f>
        <v>#VALUE!</v>
      </c>
      <c r="HC147" t="e">
        <f>AND('Planilla_General_03-12-2012_9_3'!B2350,"AAAAAH/X99I=")</f>
        <v>#VALUE!</v>
      </c>
      <c r="HD147" t="e">
        <f>AND('Planilla_General_03-12-2012_9_3'!C2350,"AAAAAH/X99M=")</f>
        <v>#VALUE!</v>
      </c>
      <c r="HE147" t="e">
        <f>AND('Planilla_General_03-12-2012_9_3'!D2350,"AAAAAH/X99Q=")</f>
        <v>#VALUE!</v>
      </c>
      <c r="HF147" t="e">
        <f>AND('Planilla_General_03-12-2012_9_3'!E2350,"AAAAAH/X99U=")</f>
        <v>#VALUE!</v>
      </c>
      <c r="HG147" t="e">
        <f>AND('Planilla_General_03-12-2012_9_3'!F2350,"AAAAAH/X99Y=")</f>
        <v>#VALUE!</v>
      </c>
      <c r="HH147" t="e">
        <f>AND('Planilla_General_03-12-2012_9_3'!G2350,"AAAAAH/X99c=")</f>
        <v>#VALUE!</v>
      </c>
      <c r="HI147" t="e">
        <f>AND('Planilla_General_03-12-2012_9_3'!H2350,"AAAAAH/X99g=")</f>
        <v>#VALUE!</v>
      </c>
      <c r="HJ147" t="e">
        <f>AND('Planilla_General_03-12-2012_9_3'!I2350,"AAAAAH/X99k=")</f>
        <v>#VALUE!</v>
      </c>
      <c r="HK147" t="e">
        <f>AND('Planilla_General_03-12-2012_9_3'!J2350,"AAAAAH/X99o=")</f>
        <v>#VALUE!</v>
      </c>
      <c r="HL147" t="e">
        <f>AND('Planilla_General_03-12-2012_9_3'!K2350,"AAAAAH/X99s=")</f>
        <v>#VALUE!</v>
      </c>
      <c r="HM147" t="e">
        <f>AND('Planilla_General_03-12-2012_9_3'!L2350,"AAAAAH/X99w=")</f>
        <v>#VALUE!</v>
      </c>
      <c r="HN147" t="e">
        <f>AND('Planilla_General_03-12-2012_9_3'!M2350,"AAAAAH/X990=")</f>
        <v>#VALUE!</v>
      </c>
      <c r="HO147" t="e">
        <f>AND('Planilla_General_03-12-2012_9_3'!N2350,"AAAAAH/X994=")</f>
        <v>#VALUE!</v>
      </c>
      <c r="HP147" t="e">
        <f>AND('Planilla_General_03-12-2012_9_3'!O2350,"AAAAAH/X998=")</f>
        <v>#VALUE!</v>
      </c>
      <c r="HQ147">
        <f>IF('Planilla_General_03-12-2012_9_3'!2351:2351,"AAAAAH/X9+A=",0)</f>
        <v>0</v>
      </c>
      <c r="HR147" t="e">
        <f>AND('Planilla_General_03-12-2012_9_3'!A2351,"AAAAAH/X9+E=")</f>
        <v>#VALUE!</v>
      </c>
      <c r="HS147" t="e">
        <f>AND('Planilla_General_03-12-2012_9_3'!B2351,"AAAAAH/X9+I=")</f>
        <v>#VALUE!</v>
      </c>
      <c r="HT147" t="e">
        <f>AND('Planilla_General_03-12-2012_9_3'!C2351,"AAAAAH/X9+M=")</f>
        <v>#VALUE!</v>
      </c>
      <c r="HU147" t="e">
        <f>AND('Planilla_General_03-12-2012_9_3'!D2351,"AAAAAH/X9+Q=")</f>
        <v>#VALUE!</v>
      </c>
      <c r="HV147" t="e">
        <f>AND('Planilla_General_03-12-2012_9_3'!E2351,"AAAAAH/X9+U=")</f>
        <v>#VALUE!</v>
      </c>
      <c r="HW147" t="e">
        <f>AND('Planilla_General_03-12-2012_9_3'!F2351,"AAAAAH/X9+Y=")</f>
        <v>#VALUE!</v>
      </c>
      <c r="HX147" t="e">
        <f>AND('Planilla_General_03-12-2012_9_3'!G2351,"AAAAAH/X9+c=")</f>
        <v>#VALUE!</v>
      </c>
      <c r="HY147" t="e">
        <f>AND('Planilla_General_03-12-2012_9_3'!H2351,"AAAAAH/X9+g=")</f>
        <v>#VALUE!</v>
      </c>
      <c r="HZ147" t="e">
        <f>AND('Planilla_General_03-12-2012_9_3'!I2351,"AAAAAH/X9+k=")</f>
        <v>#VALUE!</v>
      </c>
      <c r="IA147" t="e">
        <f>AND('Planilla_General_03-12-2012_9_3'!J2351,"AAAAAH/X9+o=")</f>
        <v>#VALUE!</v>
      </c>
      <c r="IB147" t="e">
        <f>AND('Planilla_General_03-12-2012_9_3'!K2351,"AAAAAH/X9+s=")</f>
        <v>#VALUE!</v>
      </c>
      <c r="IC147" t="e">
        <f>AND('Planilla_General_03-12-2012_9_3'!L2351,"AAAAAH/X9+w=")</f>
        <v>#VALUE!</v>
      </c>
      <c r="ID147" t="e">
        <f>AND('Planilla_General_03-12-2012_9_3'!M2351,"AAAAAH/X9+0=")</f>
        <v>#VALUE!</v>
      </c>
      <c r="IE147" t="e">
        <f>AND('Planilla_General_03-12-2012_9_3'!N2351,"AAAAAH/X9+4=")</f>
        <v>#VALUE!</v>
      </c>
      <c r="IF147" t="e">
        <f>AND('Planilla_General_03-12-2012_9_3'!O2351,"AAAAAH/X9+8=")</f>
        <v>#VALUE!</v>
      </c>
      <c r="IG147">
        <f>IF('Planilla_General_03-12-2012_9_3'!2352:2352,"AAAAAH/X9/A=",0)</f>
        <v>0</v>
      </c>
      <c r="IH147" t="e">
        <f>AND('Planilla_General_03-12-2012_9_3'!A2352,"AAAAAH/X9/E=")</f>
        <v>#VALUE!</v>
      </c>
      <c r="II147" t="e">
        <f>AND('Planilla_General_03-12-2012_9_3'!B2352,"AAAAAH/X9/I=")</f>
        <v>#VALUE!</v>
      </c>
      <c r="IJ147" t="e">
        <f>AND('Planilla_General_03-12-2012_9_3'!C2352,"AAAAAH/X9/M=")</f>
        <v>#VALUE!</v>
      </c>
      <c r="IK147" t="e">
        <f>AND('Planilla_General_03-12-2012_9_3'!D2352,"AAAAAH/X9/Q=")</f>
        <v>#VALUE!</v>
      </c>
      <c r="IL147" t="e">
        <f>AND('Planilla_General_03-12-2012_9_3'!E2352,"AAAAAH/X9/U=")</f>
        <v>#VALUE!</v>
      </c>
      <c r="IM147" t="e">
        <f>AND('Planilla_General_03-12-2012_9_3'!F2352,"AAAAAH/X9/Y=")</f>
        <v>#VALUE!</v>
      </c>
      <c r="IN147" t="e">
        <f>AND('Planilla_General_03-12-2012_9_3'!G2352,"AAAAAH/X9/c=")</f>
        <v>#VALUE!</v>
      </c>
      <c r="IO147" t="e">
        <f>AND('Planilla_General_03-12-2012_9_3'!H2352,"AAAAAH/X9/g=")</f>
        <v>#VALUE!</v>
      </c>
      <c r="IP147" t="e">
        <f>AND('Planilla_General_03-12-2012_9_3'!I2352,"AAAAAH/X9/k=")</f>
        <v>#VALUE!</v>
      </c>
      <c r="IQ147" t="e">
        <f>AND('Planilla_General_03-12-2012_9_3'!J2352,"AAAAAH/X9/o=")</f>
        <v>#VALUE!</v>
      </c>
      <c r="IR147" t="e">
        <f>AND('Planilla_General_03-12-2012_9_3'!K2352,"AAAAAH/X9/s=")</f>
        <v>#VALUE!</v>
      </c>
      <c r="IS147" t="e">
        <f>AND('Planilla_General_03-12-2012_9_3'!L2352,"AAAAAH/X9/w=")</f>
        <v>#VALUE!</v>
      </c>
      <c r="IT147" t="e">
        <f>AND('Planilla_General_03-12-2012_9_3'!M2352,"AAAAAH/X9/0=")</f>
        <v>#VALUE!</v>
      </c>
      <c r="IU147" t="e">
        <f>AND('Planilla_General_03-12-2012_9_3'!N2352,"AAAAAH/X9/4=")</f>
        <v>#VALUE!</v>
      </c>
      <c r="IV147" t="e">
        <f>AND('Planilla_General_03-12-2012_9_3'!O2352,"AAAAAH/X9/8=")</f>
        <v>#VALUE!</v>
      </c>
    </row>
    <row r="148" spans="1:256" x14ac:dyDescent="0.25">
      <c r="A148" t="e">
        <f>IF('Planilla_General_03-12-2012_9_3'!2353:2353,"AAAAAGe+rgA=",0)</f>
        <v>#VALUE!</v>
      </c>
      <c r="B148" t="e">
        <f>AND('Planilla_General_03-12-2012_9_3'!A2353,"AAAAAGe+rgE=")</f>
        <v>#VALUE!</v>
      </c>
      <c r="C148" t="e">
        <f>AND('Planilla_General_03-12-2012_9_3'!B2353,"AAAAAGe+rgI=")</f>
        <v>#VALUE!</v>
      </c>
      <c r="D148" t="e">
        <f>AND('Planilla_General_03-12-2012_9_3'!C2353,"AAAAAGe+rgM=")</f>
        <v>#VALUE!</v>
      </c>
      <c r="E148" t="e">
        <f>AND('Planilla_General_03-12-2012_9_3'!D2353,"AAAAAGe+rgQ=")</f>
        <v>#VALUE!</v>
      </c>
      <c r="F148" t="e">
        <f>AND('Planilla_General_03-12-2012_9_3'!E2353,"AAAAAGe+rgU=")</f>
        <v>#VALUE!</v>
      </c>
      <c r="G148" t="e">
        <f>AND('Planilla_General_03-12-2012_9_3'!F2353,"AAAAAGe+rgY=")</f>
        <v>#VALUE!</v>
      </c>
      <c r="H148" t="e">
        <f>AND('Planilla_General_03-12-2012_9_3'!G2353,"AAAAAGe+rgc=")</f>
        <v>#VALUE!</v>
      </c>
      <c r="I148" t="e">
        <f>AND('Planilla_General_03-12-2012_9_3'!H2353,"AAAAAGe+rgg=")</f>
        <v>#VALUE!</v>
      </c>
      <c r="J148" t="e">
        <f>AND('Planilla_General_03-12-2012_9_3'!I2353,"AAAAAGe+rgk=")</f>
        <v>#VALUE!</v>
      </c>
      <c r="K148" t="e">
        <f>AND('Planilla_General_03-12-2012_9_3'!J2353,"AAAAAGe+rgo=")</f>
        <v>#VALUE!</v>
      </c>
      <c r="L148" t="e">
        <f>AND('Planilla_General_03-12-2012_9_3'!K2353,"AAAAAGe+rgs=")</f>
        <v>#VALUE!</v>
      </c>
      <c r="M148" t="e">
        <f>AND('Planilla_General_03-12-2012_9_3'!L2353,"AAAAAGe+rgw=")</f>
        <v>#VALUE!</v>
      </c>
      <c r="N148" t="e">
        <f>AND('Planilla_General_03-12-2012_9_3'!M2353,"AAAAAGe+rg0=")</f>
        <v>#VALUE!</v>
      </c>
      <c r="O148" t="e">
        <f>AND('Planilla_General_03-12-2012_9_3'!N2353,"AAAAAGe+rg4=")</f>
        <v>#VALUE!</v>
      </c>
      <c r="P148" t="e">
        <f>AND('Planilla_General_03-12-2012_9_3'!O2353,"AAAAAGe+rg8=")</f>
        <v>#VALUE!</v>
      </c>
      <c r="Q148">
        <f>IF('Planilla_General_03-12-2012_9_3'!2354:2354,"AAAAAGe+rhA=",0)</f>
        <v>0</v>
      </c>
      <c r="R148" t="e">
        <f>AND('Planilla_General_03-12-2012_9_3'!A2354,"AAAAAGe+rhE=")</f>
        <v>#VALUE!</v>
      </c>
      <c r="S148" t="e">
        <f>AND('Planilla_General_03-12-2012_9_3'!B2354,"AAAAAGe+rhI=")</f>
        <v>#VALUE!</v>
      </c>
      <c r="T148" t="e">
        <f>AND('Planilla_General_03-12-2012_9_3'!C2354,"AAAAAGe+rhM=")</f>
        <v>#VALUE!</v>
      </c>
      <c r="U148" t="e">
        <f>AND('Planilla_General_03-12-2012_9_3'!D2354,"AAAAAGe+rhQ=")</f>
        <v>#VALUE!</v>
      </c>
      <c r="V148" t="e">
        <f>AND('Planilla_General_03-12-2012_9_3'!E2354,"AAAAAGe+rhU=")</f>
        <v>#VALUE!</v>
      </c>
      <c r="W148" t="e">
        <f>AND('Planilla_General_03-12-2012_9_3'!F2354,"AAAAAGe+rhY=")</f>
        <v>#VALUE!</v>
      </c>
      <c r="X148" t="e">
        <f>AND('Planilla_General_03-12-2012_9_3'!G2354,"AAAAAGe+rhc=")</f>
        <v>#VALUE!</v>
      </c>
      <c r="Y148" t="e">
        <f>AND('Planilla_General_03-12-2012_9_3'!H2354,"AAAAAGe+rhg=")</f>
        <v>#VALUE!</v>
      </c>
      <c r="Z148" t="e">
        <f>AND('Planilla_General_03-12-2012_9_3'!I2354,"AAAAAGe+rhk=")</f>
        <v>#VALUE!</v>
      </c>
      <c r="AA148" t="e">
        <f>AND('Planilla_General_03-12-2012_9_3'!J2354,"AAAAAGe+rho=")</f>
        <v>#VALUE!</v>
      </c>
      <c r="AB148" t="e">
        <f>AND('Planilla_General_03-12-2012_9_3'!K2354,"AAAAAGe+rhs=")</f>
        <v>#VALUE!</v>
      </c>
      <c r="AC148" t="e">
        <f>AND('Planilla_General_03-12-2012_9_3'!L2354,"AAAAAGe+rhw=")</f>
        <v>#VALUE!</v>
      </c>
      <c r="AD148" t="e">
        <f>AND('Planilla_General_03-12-2012_9_3'!M2354,"AAAAAGe+rh0=")</f>
        <v>#VALUE!</v>
      </c>
      <c r="AE148" t="e">
        <f>AND('Planilla_General_03-12-2012_9_3'!N2354,"AAAAAGe+rh4=")</f>
        <v>#VALUE!</v>
      </c>
      <c r="AF148" t="e">
        <f>AND('Planilla_General_03-12-2012_9_3'!O2354,"AAAAAGe+rh8=")</f>
        <v>#VALUE!</v>
      </c>
      <c r="AG148">
        <f>IF('Planilla_General_03-12-2012_9_3'!2355:2355,"AAAAAGe+riA=",0)</f>
        <v>0</v>
      </c>
      <c r="AH148" t="e">
        <f>AND('Planilla_General_03-12-2012_9_3'!A2355,"AAAAAGe+riE=")</f>
        <v>#VALUE!</v>
      </c>
      <c r="AI148" t="e">
        <f>AND('Planilla_General_03-12-2012_9_3'!B2355,"AAAAAGe+riI=")</f>
        <v>#VALUE!</v>
      </c>
      <c r="AJ148" t="e">
        <f>AND('Planilla_General_03-12-2012_9_3'!C2355,"AAAAAGe+riM=")</f>
        <v>#VALUE!</v>
      </c>
      <c r="AK148" t="e">
        <f>AND('Planilla_General_03-12-2012_9_3'!D2355,"AAAAAGe+riQ=")</f>
        <v>#VALUE!</v>
      </c>
      <c r="AL148" t="e">
        <f>AND('Planilla_General_03-12-2012_9_3'!E2355,"AAAAAGe+riU=")</f>
        <v>#VALUE!</v>
      </c>
      <c r="AM148" t="e">
        <f>AND('Planilla_General_03-12-2012_9_3'!F2355,"AAAAAGe+riY=")</f>
        <v>#VALUE!</v>
      </c>
      <c r="AN148" t="e">
        <f>AND('Planilla_General_03-12-2012_9_3'!G2355,"AAAAAGe+ric=")</f>
        <v>#VALUE!</v>
      </c>
      <c r="AO148" t="e">
        <f>AND('Planilla_General_03-12-2012_9_3'!H2355,"AAAAAGe+rig=")</f>
        <v>#VALUE!</v>
      </c>
      <c r="AP148" t="e">
        <f>AND('Planilla_General_03-12-2012_9_3'!I2355,"AAAAAGe+rik=")</f>
        <v>#VALUE!</v>
      </c>
      <c r="AQ148" t="e">
        <f>AND('Planilla_General_03-12-2012_9_3'!J2355,"AAAAAGe+rio=")</f>
        <v>#VALUE!</v>
      </c>
      <c r="AR148" t="e">
        <f>AND('Planilla_General_03-12-2012_9_3'!K2355,"AAAAAGe+ris=")</f>
        <v>#VALUE!</v>
      </c>
      <c r="AS148" t="e">
        <f>AND('Planilla_General_03-12-2012_9_3'!L2355,"AAAAAGe+riw=")</f>
        <v>#VALUE!</v>
      </c>
      <c r="AT148" t="e">
        <f>AND('Planilla_General_03-12-2012_9_3'!M2355,"AAAAAGe+ri0=")</f>
        <v>#VALUE!</v>
      </c>
      <c r="AU148" t="e">
        <f>AND('Planilla_General_03-12-2012_9_3'!N2355,"AAAAAGe+ri4=")</f>
        <v>#VALUE!</v>
      </c>
      <c r="AV148" t="e">
        <f>AND('Planilla_General_03-12-2012_9_3'!O2355,"AAAAAGe+ri8=")</f>
        <v>#VALUE!</v>
      </c>
      <c r="AW148">
        <f>IF('Planilla_General_03-12-2012_9_3'!2356:2356,"AAAAAGe+rjA=",0)</f>
        <v>0</v>
      </c>
      <c r="AX148" t="e">
        <f>AND('Planilla_General_03-12-2012_9_3'!A2356,"AAAAAGe+rjE=")</f>
        <v>#VALUE!</v>
      </c>
      <c r="AY148" t="e">
        <f>AND('Planilla_General_03-12-2012_9_3'!B2356,"AAAAAGe+rjI=")</f>
        <v>#VALUE!</v>
      </c>
      <c r="AZ148" t="e">
        <f>AND('Planilla_General_03-12-2012_9_3'!C2356,"AAAAAGe+rjM=")</f>
        <v>#VALUE!</v>
      </c>
      <c r="BA148" t="e">
        <f>AND('Planilla_General_03-12-2012_9_3'!D2356,"AAAAAGe+rjQ=")</f>
        <v>#VALUE!</v>
      </c>
      <c r="BB148" t="e">
        <f>AND('Planilla_General_03-12-2012_9_3'!E2356,"AAAAAGe+rjU=")</f>
        <v>#VALUE!</v>
      </c>
      <c r="BC148" t="e">
        <f>AND('Planilla_General_03-12-2012_9_3'!F2356,"AAAAAGe+rjY=")</f>
        <v>#VALUE!</v>
      </c>
      <c r="BD148" t="e">
        <f>AND('Planilla_General_03-12-2012_9_3'!G2356,"AAAAAGe+rjc=")</f>
        <v>#VALUE!</v>
      </c>
      <c r="BE148" t="e">
        <f>AND('Planilla_General_03-12-2012_9_3'!H2356,"AAAAAGe+rjg=")</f>
        <v>#VALUE!</v>
      </c>
      <c r="BF148" t="e">
        <f>AND('Planilla_General_03-12-2012_9_3'!I2356,"AAAAAGe+rjk=")</f>
        <v>#VALUE!</v>
      </c>
      <c r="BG148" t="e">
        <f>AND('Planilla_General_03-12-2012_9_3'!J2356,"AAAAAGe+rjo=")</f>
        <v>#VALUE!</v>
      </c>
      <c r="BH148" t="e">
        <f>AND('Planilla_General_03-12-2012_9_3'!K2356,"AAAAAGe+rjs=")</f>
        <v>#VALUE!</v>
      </c>
      <c r="BI148" t="e">
        <f>AND('Planilla_General_03-12-2012_9_3'!L2356,"AAAAAGe+rjw=")</f>
        <v>#VALUE!</v>
      </c>
      <c r="BJ148" t="e">
        <f>AND('Planilla_General_03-12-2012_9_3'!M2356,"AAAAAGe+rj0=")</f>
        <v>#VALUE!</v>
      </c>
      <c r="BK148" t="e">
        <f>AND('Planilla_General_03-12-2012_9_3'!N2356,"AAAAAGe+rj4=")</f>
        <v>#VALUE!</v>
      </c>
      <c r="BL148" t="e">
        <f>AND('Planilla_General_03-12-2012_9_3'!O2356,"AAAAAGe+rj8=")</f>
        <v>#VALUE!</v>
      </c>
      <c r="BM148">
        <f>IF('Planilla_General_03-12-2012_9_3'!2357:2357,"AAAAAGe+rkA=",0)</f>
        <v>0</v>
      </c>
      <c r="BN148" t="e">
        <f>AND('Planilla_General_03-12-2012_9_3'!A2357,"AAAAAGe+rkE=")</f>
        <v>#VALUE!</v>
      </c>
      <c r="BO148" t="e">
        <f>AND('Planilla_General_03-12-2012_9_3'!B2357,"AAAAAGe+rkI=")</f>
        <v>#VALUE!</v>
      </c>
      <c r="BP148" t="e">
        <f>AND('Planilla_General_03-12-2012_9_3'!C2357,"AAAAAGe+rkM=")</f>
        <v>#VALUE!</v>
      </c>
      <c r="BQ148" t="e">
        <f>AND('Planilla_General_03-12-2012_9_3'!D2357,"AAAAAGe+rkQ=")</f>
        <v>#VALUE!</v>
      </c>
      <c r="BR148" t="e">
        <f>AND('Planilla_General_03-12-2012_9_3'!E2357,"AAAAAGe+rkU=")</f>
        <v>#VALUE!</v>
      </c>
      <c r="BS148" t="e">
        <f>AND('Planilla_General_03-12-2012_9_3'!F2357,"AAAAAGe+rkY=")</f>
        <v>#VALUE!</v>
      </c>
      <c r="BT148" t="e">
        <f>AND('Planilla_General_03-12-2012_9_3'!G2357,"AAAAAGe+rkc=")</f>
        <v>#VALUE!</v>
      </c>
      <c r="BU148" t="e">
        <f>AND('Planilla_General_03-12-2012_9_3'!H2357,"AAAAAGe+rkg=")</f>
        <v>#VALUE!</v>
      </c>
      <c r="BV148" t="e">
        <f>AND('Planilla_General_03-12-2012_9_3'!I2357,"AAAAAGe+rkk=")</f>
        <v>#VALUE!</v>
      </c>
      <c r="BW148" t="e">
        <f>AND('Planilla_General_03-12-2012_9_3'!J2357,"AAAAAGe+rko=")</f>
        <v>#VALUE!</v>
      </c>
      <c r="BX148" t="e">
        <f>AND('Planilla_General_03-12-2012_9_3'!K2357,"AAAAAGe+rks=")</f>
        <v>#VALUE!</v>
      </c>
      <c r="BY148" t="e">
        <f>AND('Planilla_General_03-12-2012_9_3'!L2357,"AAAAAGe+rkw=")</f>
        <v>#VALUE!</v>
      </c>
      <c r="BZ148" t="e">
        <f>AND('Planilla_General_03-12-2012_9_3'!M2357,"AAAAAGe+rk0=")</f>
        <v>#VALUE!</v>
      </c>
      <c r="CA148" t="e">
        <f>AND('Planilla_General_03-12-2012_9_3'!N2357,"AAAAAGe+rk4=")</f>
        <v>#VALUE!</v>
      </c>
      <c r="CB148" t="e">
        <f>AND('Planilla_General_03-12-2012_9_3'!O2357,"AAAAAGe+rk8=")</f>
        <v>#VALUE!</v>
      </c>
      <c r="CC148">
        <f>IF('Planilla_General_03-12-2012_9_3'!2358:2358,"AAAAAGe+rlA=",0)</f>
        <v>0</v>
      </c>
      <c r="CD148" t="e">
        <f>AND('Planilla_General_03-12-2012_9_3'!A2358,"AAAAAGe+rlE=")</f>
        <v>#VALUE!</v>
      </c>
      <c r="CE148" t="e">
        <f>AND('Planilla_General_03-12-2012_9_3'!B2358,"AAAAAGe+rlI=")</f>
        <v>#VALUE!</v>
      </c>
      <c r="CF148" t="e">
        <f>AND('Planilla_General_03-12-2012_9_3'!C2358,"AAAAAGe+rlM=")</f>
        <v>#VALUE!</v>
      </c>
      <c r="CG148" t="e">
        <f>AND('Planilla_General_03-12-2012_9_3'!D2358,"AAAAAGe+rlQ=")</f>
        <v>#VALUE!</v>
      </c>
      <c r="CH148" t="e">
        <f>AND('Planilla_General_03-12-2012_9_3'!E2358,"AAAAAGe+rlU=")</f>
        <v>#VALUE!</v>
      </c>
      <c r="CI148" t="e">
        <f>AND('Planilla_General_03-12-2012_9_3'!F2358,"AAAAAGe+rlY=")</f>
        <v>#VALUE!</v>
      </c>
      <c r="CJ148" t="e">
        <f>AND('Planilla_General_03-12-2012_9_3'!G2358,"AAAAAGe+rlc=")</f>
        <v>#VALUE!</v>
      </c>
      <c r="CK148" t="e">
        <f>AND('Planilla_General_03-12-2012_9_3'!H2358,"AAAAAGe+rlg=")</f>
        <v>#VALUE!</v>
      </c>
      <c r="CL148" t="e">
        <f>AND('Planilla_General_03-12-2012_9_3'!I2358,"AAAAAGe+rlk=")</f>
        <v>#VALUE!</v>
      </c>
      <c r="CM148" t="e">
        <f>AND('Planilla_General_03-12-2012_9_3'!J2358,"AAAAAGe+rlo=")</f>
        <v>#VALUE!</v>
      </c>
      <c r="CN148" t="e">
        <f>AND('Planilla_General_03-12-2012_9_3'!K2358,"AAAAAGe+rls=")</f>
        <v>#VALUE!</v>
      </c>
      <c r="CO148" t="e">
        <f>AND('Planilla_General_03-12-2012_9_3'!L2358,"AAAAAGe+rlw=")</f>
        <v>#VALUE!</v>
      </c>
      <c r="CP148" t="e">
        <f>AND('Planilla_General_03-12-2012_9_3'!M2358,"AAAAAGe+rl0=")</f>
        <v>#VALUE!</v>
      </c>
      <c r="CQ148" t="e">
        <f>AND('Planilla_General_03-12-2012_9_3'!N2358,"AAAAAGe+rl4=")</f>
        <v>#VALUE!</v>
      </c>
      <c r="CR148" t="e">
        <f>AND('Planilla_General_03-12-2012_9_3'!O2358,"AAAAAGe+rl8=")</f>
        <v>#VALUE!</v>
      </c>
      <c r="CS148">
        <f>IF('Planilla_General_03-12-2012_9_3'!2359:2359,"AAAAAGe+rmA=",0)</f>
        <v>0</v>
      </c>
      <c r="CT148" t="e">
        <f>AND('Planilla_General_03-12-2012_9_3'!A2359,"AAAAAGe+rmE=")</f>
        <v>#VALUE!</v>
      </c>
      <c r="CU148" t="e">
        <f>AND('Planilla_General_03-12-2012_9_3'!B2359,"AAAAAGe+rmI=")</f>
        <v>#VALUE!</v>
      </c>
      <c r="CV148" t="e">
        <f>AND('Planilla_General_03-12-2012_9_3'!C2359,"AAAAAGe+rmM=")</f>
        <v>#VALUE!</v>
      </c>
      <c r="CW148" t="e">
        <f>AND('Planilla_General_03-12-2012_9_3'!D2359,"AAAAAGe+rmQ=")</f>
        <v>#VALUE!</v>
      </c>
      <c r="CX148" t="e">
        <f>AND('Planilla_General_03-12-2012_9_3'!E2359,"AAAAAGe+rmU=")</f>
        <v>#VALUE!</v>
      </c>
      <c r="CY148" t="e">
        <f>AND('Planilla_General_03-12-2012_9_3'!F2359,"AAAAAGe+rmY=")</f>
        <v>#VALUE!</v>
      </c>
      <c r="CZ148" t="e">
        <f>AND('Planilla_General_03-12-2012_9_3'!G2359,"AAAAAGe+rmc=")</f>
        <v>#VALUE!</v>
      </c>
      <c r="DA148" t="e">
        <f>AND('Planilla_General_03-12-2012_9_3'!H2359,"AAAAAGe+rmg=")</f>
        <v>#VALUE!</v>
      </c>
      <c r="DB148" t="e">
        <f>AND('Planilla_General_03-12-2012_9_3'!I2359,"AAAAAGe+rmk=")</f>
        <v>#VALUE!</v>
      </c>
      <c r="DC148" t="e">
        <f>AND('Planilla_General_03-12-2012_9_3'!J2359,"AAAAAGe+rmo=")</f>
        <v>#VALUE!</v>
      </c>
      <c r="DD148" t="e">
        <f>AND('Planilla_General_03-12-2012_9_3'!K2359,"AAAAAGe+rms=")</f>
        <v>#VALUE!</v>
      </c>
      <c r="DE148" t="e">
        <f>AND('Planilla_General_03-12-2012_9_3'!L2359,"AAAAAGe+rmw=")</f>
        <v>#VALUE!</v>
      </c>
      <c r="DF148" t="e">
        <f>AND('Planilla_General_03-12-2012_9_3'!M2359,"AAAAAGe+rm0=")</f>
        <v>#VALUE!</v>
      </c>
      <c r="DG148" t="e">
        <f>AND('Planilla_General_03-12-2012_9_3'!N2359,"AAAAAGe+rm4=")</f>
        <v>#VALUE!</v>
      </c>
      <c r="DH148" t="e">
        <f>AND('Planilla_General_03-12-2012_9_3'!O2359,"AAAAAGe+rm8=")</f>
        <v>#VALUE!</v>
      </c>
      <c r="DI148">
        <f>IF('Planilla_General_03-12-2012_9_3'!2360:2360,"AAAAAGe+rnA=",0)</f>
        <v>0</v>
      </c>
      <c r="DJ148" t="e">
        <f>AND('Planilla_General_03-12-2012_9_3'!A2360,"AAAAAGe+rnE=")</f>
        <v>#VALUE!</v>
      </c>
      <c r="DK148" t="e">
        <f>AND('Planilla_General_03-12-2012_9_3'!B2360,"AAAAAGe+rnI=")</f>
        <v>#VALUE!</v>
      </c>
      <c r="DL148" t="e">
        <f>AND('Planilla_General_03-12-2012_9_3'!C2360,"AAAAAGe+rnM=")</f>
        <v>#VALUE!</v>
      </c>
      <c r="DM148" t="e">
        <f>AND('Planilla_General_03-12-2012_9_3'!D2360,"AAAAAGe+rnQ=")</f>
        <v>#VALUE!</v>
      </c>
      <c r="DN148" t="e">
        <f>AND('Planilla_General_03-12-2012_9_3'!E2360,"AAAAAGe+rnU=")</f>
        <v>#VALUE!</v>
      </c>
      <c r="DO148" t="e">
        <f>AND('Planilla_General_03-12-2012_9_3'!F2360,"AAAAAGe+rnY=")</f>
        <v>#VALUE!</v>
      </c>
      <c r="DP148" t="e">
        <f>AND('Planilla_General_03-12-2012_9_3'!G2360,"AAAAAGe+rnc=")</f>
        <v>#VALUE!</v>
      </c>
      <c r="DQ148" t="e">
        <f>AND('Planilla_General_03-12-2012_9_3'!H2360,"AAAAAGe+rng=")</f>
        <v>#VALUE!</v>
      </c>
      <c r="DR148" t="e">
        <f>AND('Planilla_General_03-12-2012_9_3'!I2360,"AAAAAGe+rnk=")</f>
        <v>#VALUE!</v>
      </c>
      <c r="DS148" t="e">
        <f>AND('Planilla_General_03-12-2012_9_3'!J2360,"AAAAAGe+rno=")</f>
        <v>#VALUE!</v>
      </c>
      <c r="DT148" t="e">
        <f>AND('Planilla_General_03-12-2012_9_3'!K2360,"AAAAAGe+rns=")</f>
        <v>#VALUE!</v>
      </c>
      <c r="DU148" t="e">
        <f>AND('Planilla_General_03-12-2012_9_3'!L2360,"AAAAAGe+rnw=")</f>
        <v>#VALUE!</v>
      </c>
      <c r="DV148" t="e">
        <f>AND('Planilla_General_03-12-2012_9_3'!M2360,"AAAAAGe+rn0=")</f>
        <v>#VALUE!</v>
      </c>
      <c r="DW148" t="e">
        <f>AND('Planilla_General_03-12-2012_9_3'!N2360,"AAAAAGe+rn4=")</f>
        <v>#VALUE!</v>
      </c>
      <c r="DX148" t="e">
        <f>AND('Planilla_General_03-12-2012_9_3'!O2360,"AAAAAGe+rn8=")</f>
        <v>#VALUE!</v>
      </c>
      <c r="DY148">
        <f>IF('Planilla_General_03-12-2012_9_3'!2361:2361,"AAAAAGe+roA=",0)</f>
        <v>0</v>
      </c>
      <c r="DZ148" t="e">
        <f>AND('Planilla_General_03-12-2012_9_3'!A2361,"AAAAAGe+roE=")</f>
        <v>#VALUE!</v>
      </c>
      <c r="EA148" t="e">
        <f>AND('Planilla_General_03-12-2012_9_3'!B2361,"AAAAAGe+roI=")</f>
        <v>#VALUE!</v>
      </c>
      <c r="EB148" t="e">
        <f>AND('Planilla_General_03-12-2012_9_3'!C2361,"AAAAAGe+roM=")</f>
        <v>#VALUE!</v>
      </c>
      <c r="EC148" t="e">
        <f>AND('Planilla_General_03-12-2012_9_3'!D2361,"AAAAAGe+roQ=")</f>
        <v>#VALUE!</v>
      </c>
      <c r="ED148" t="e">
        <f>AND('Planilla_General_03-12-2012_9_3'!E2361,"AAAAAGe+roU=")</f>
        <v>#VALUE!</v>
      </c>
      <c r="EE148" t="e">
        <f>AND('Planilla_General_03-12-2012_9_3'!F2361,"AAAAAGe+roY=")</f>
        <v>#VALUE!</v>
      </c>
      <c r="EF148" t="e">
        <f>AND('Planilla_General_03-12-2012_9_3'!G2361,"AAAAAGe+roc=")</f>
        <v>#VALUE!</v>
      </c>
      <c r="EG148" t="e">
        <f>AND('Planilla_General_03-12-2012_9_3'!H2361,"AAAAAGe+rog=")</f>
        <v>#VALUE!</v>
      </c>
      <c r="EH148" t="e">
        <f>AND('Planilla_General_03-12-2012_9_3'!I2361,"AAAAAGe+rok=")</f>
        <v>#VALUE!</v>
      </c>
      <c r="EI148" t="e">
        <f>AND('Planilla_General_03-12-2012_9_3'!J2361,"AAAAAGe+roo=")</f>
        <v>#VALUE!</v>
      </c>
      <c r="EJ148" t="e">
        <f>AND('Planilla_General_03-12-2012_9_3'!K2361,"AAAAAGe+ros=")</f>
        <v>#VALUE!</v>
      </c>
      <c r="EK148" t="e">
        <f>AND('Planilla_General_03-12-2012_9_3'!L2361,"AAAAAGe+row=")</f>
        <v>#VALUE!</v>
      </c>
      <c r="EL148" t="e">
        <f>AND('Planilla_General_03-12-2012_9_3'!M2361,"AAAAAGe+ro0=")</f>
        <v>#VALUE!</v>
      </c>
      <c r="EM148" t="e">
        <f>AND('Planilla_General_03-12-2012_9_3'!N2361,"AAAAAGe+ro4=")</f>
        <v>#VALUE!</v>
      </c>
      <c r="EN148" t="e">
        <f>AND('Planilla_General_03-12-2012_9_3'!O2361,"AAAAAGe+ro8=")</f>
        <v>#VALUE!</v>
      </c>
      <c r="EO148">
        <f>IF('Planilla_General_03-12-2012_9_3'!2362:2362,"AAAAAGe+rpA=",0)</f>
        <v>0</v>
      </c>
      <c r="EP148" t="e">
        <f>AND('Planilla_General_03-12-2012_9_3'!A2362,"AAAAAGe+rpE=")</f>
        <v>#VALUE!</v>
      </c>
      <c r="EQ148" t="e">
        <f>AND('Planilla_General_03-12-2012_9_3'!B2362,"AAAAAGe+rpI=")</f>
        <v>#VALUE!</v>
      </c>
      <c r="ER148" t="e">
        <f>AND('Planilla_General_03-12-2012_9_3'!C2362,"AAAAAGe+rpM=")</f>
        <v>#VALUE!</v>
      </c>
      <c r="ES148" t="e">
        <f>AND('Planilla_General_03-12-2012_9_3'!D2362,"AAAAAGe+rpQ=")</f>
        <v>#VALUE!</v>
      </c>
      <c r="ET148" t="e">
        <f>AND('Planilla_General_03-12-2012_9_3'!E2362,"AAAAAGe+rpU=")</f>
        <v>#VALUE!</v>
      </c>
      <c r="EU148" t="e">
        <f>AND('Planilla_General_03-12-2012_9_3'!F2362,"AAAAAGe+rpY=")</f>
        <v>#VALUE!</v>
      </c>
      <c r="EV148" t="e">
        <f>AND('Planilla_General_03-12-2012_9_3'!G2362,"AAAAAGe+rpc=")</f>
        <v>#VALUE!</v>
      </c>
      <c r="EW148" t="e">
        <f>AND('Planilla_General_03-12-2012_9_3'!H2362,"AAAAAGe+rpg=")</f>
        <v>#VALUE!</v>
      </c>
      <c r="EX148" t="e">
        <f>AND('Planilla_General_03-12-2012_9_3'!I2362,"AAAAAGe+rpk=")</f>
        <v>#VALUE!</v>
      </c>
      <c r="EY148" t="e">
        <f>AND('Planilla_General_03-12-2012_9_3'!J2362,"AAAAAGe+rpo=")</f>
        <v>#VALUE!</v>
      </c>
      <c r="EZ148" t="e">
        <f>AND('Planilla_General_03-12-2012_9_3'!K2362,"AAAAAGe+rps=")</f>
        <v>#VALUE!</v>
      </c>
      <c r="FA148" t="e">
        <f>AND('Planilla_General_03-12-2012_9_3'!L2362,"AAAAAGe+rpw=")</f>
        <v>#VALUE!</v>
      </c>
      <c r="FB148" t="e">
        <f>AND('Planilla_General_03-12-2012_9_3'!M2362,"AAAAAGe+rp0=")</f>
        <v>#VALUE!</v>
      </c>
      <c r="FC148" t="e">
        <f>AND('Planilla_General_03-12-2012_9_3'!N2362,"AAAAAGe+rp4=")</f>
        <v>#VALUE!</v>
      </c>
      <c r="FD148" t="e">
        <f>AND('Planilla_General_03-12-2012_9_3'!O2362,"AAAAAGe+rp8=")</f>
        <v>#VALUE!</v>
      </c>
      <c r="FE148">
        <f>IF('Planilla_General_03-12-2012_9_3'!2363:2363,"AAAAAGe+rqA=",0)</f>
        <v>0</v>
      </c>
      <c r="FF148" t="e">
        <f>AND('Planilla_General_03-12-2012_9_3'!A2363,"AAAAAGe+rqE=")</f>
        <v>#VALUE!</v>
      </c>
      <c r="FG148" t="e">
        <f>AND('Planilla_General_03-12-2012_9_3'!B2363,"AAAAAGe+rqI=")</f>
        <v>#VALUE!</v>
      </c>
      <c r="FH148" t="e">
        <f>AND('Planilla_General_03-12-2012_9_3'!C2363,"AAAAAGe+rqM=")</f>
        <v>#VALUE!</v>
      </c>
      <c r="FI148" t="e">
        <f>AND('Planilla_General_03-12-2012_9_3'!D2363,"AAAAAGe+rqQ=")</f>
        <v>#VALUE!</v>
      </c>
      <c r="FJ148" t="e">
        <f>AND('Planilla_General_03-12-2012_9_3'!E2363,"AAAAAGe+rqU=")</f>
        <v>#VALUE!</v>
      </c>
      <c r="FK148" t="e">
        <f>AND('Planilla_General_03-12-2012_9_3'!F2363,"AAAAAGe+rqY=")</f>
        <v>#VALUE!</v>
      </c>
      <c r="FL148" t="e">
        <f>AND('Planilla_General_03-12-2012_9_3'!G2363,"AAAAAGe+rqc=")</f>
        <v>#VALUE!</v>
      </c>
      <c r="FM148" t="e">
        <f>AND('Planilla_General_03-12-2012_9_3'!H2363,"AAAAAGe+rqg=")</f>
        <v>#VALUE!</v>
      </c>
      <c r="FN148" t="e">
        <f>AND('Planilla_General_03-12-2012_9_3'!I2363,"AAAAAGe+rqk=")</f>
        <v>#VALUE!</v>
      </c>
      <c r="FO148" t="e">
        <f>AND('Planilla_General_03-12-2012_9_3'!J2363,"AAAAAGe+rqo=")</f>
        <v>#VALUE!</v>
      </c>
      <c r="FP148" t="e">
        <f>AND('Planilla_General_03-12-2012_9_3'!K2363,"AAAAAGe+rqs=")</f>
        <v>#VALUE!</v>
      </c>
      <c r="FQ148" t="e">
        <f>AND('Planilla_General_03-12-2012_9_3'!L2363,"AAAAAGe+rqw=")</f>
        <v>#VALUE!</v>
      </c>
      <c r="FR148" t="e">
        <f>AND('Planilla_General_03-12-2012_9_3'!M2363,"AAAAAGe+rq0=")</f>
        <v>#VALUE!</v>
      </c>
      <c r="FS148" t="e">
        <f>AND('Planilla_General_03-12-2012_9_3'!N2363,"AAAAAGe+rq4=")</f>
        <v>#VALUE!</v>
      </c>
      <c r="FT148" t="e">
        <f>AND('Planilla_General_03-12-2012_9_3'!O2363,"AAAAAGe+rq8=")</f>
        <v>#VALUE!</v>
      </c>
      <c r="FU148">
        <f>IF('Planilla_General_03-12-2012_9_3'!2364:2364,"AAAAAGe+rrA=",0)</f>
        <v>0</v>
      </c>
      <c r="FV148" t="e">
        <f>AND('Planilla_General_03-12-2012_9_3'!A2364,"AAAAAGe+rrE=")</f>
        <v>#VALUE!</v>
      </c>
      <c r="FW148" t="e">
        <f>AND('Planilla_General_03-12-2012_9_3'!B2364,"AAAAAGe+rrI=")</f>
        <v>#VALUE!</v>
      </c>
      <c r="FX148" t="e">
        <f>AND('Planilla_General_03-12-2012_9_3'!C2364,"AAAAAGe+rrM=")</f>
        <v>#VALUE!</v>
      </c>
      <c r="FY148" t="e">
        <f>AND('Planilla_General_03-12-2012_9_3'!D2364,"AAAAAGe+rrQ=")</f>
        <v>#VALUE!</v>
      </c>
      <c r="FZ148" t="e">
        <f>AND('Planilla_General_03-12-2012_9_3'!E2364,"AAAAAGe+rrU=")</f>
        <v>#VALUE!</v>
      </c>
      <c r="GA148" t="e">
        <f>AND('Planilla_General_03-12-2012_9_3'!F2364,"AAAAAGe+rrY=")</f>
        <v>#VALUE!</v>
      </c>
      <c r="GB148" t="e">
        <f>AND('Planilla_General_03-12-2012_9_3'!G2364,"AAAAAGe+rrc=")</f>
        <v>#VALUE!</v>
      </c>
      <c r="GC148" t="e">
        <f>AND('Planilla_General_03-12-2012_9_3'!H2364,"AAAAAGe+rrg=")</f>
        <v>#VALUE!</v>
      </c>
      <c r="GD148" t="e">
        <f>AND('Planilla_General_03-12-2012_9_3'!I2364,"AAAAAGe+rrk=")</f>
        <v>#VALUE!</v>
      </c>
      <c r="GE148" t="e">
        <f>AND('Planilla_General_03-12-2012_9_3'!J2364,"AAAAAGe+rro=")</f>
        <v>#VALUE!</v>
      </c>
      <c r="GF148" t="e">
        <f>AND('Planilla_General_03-12-2012_9_3'!K2364,"AAAAAGe+rrs=")</f>
        <v>#VALUE!</v>
      </c>
      <c r="GG148" t="e">
        <f>AND('Planilla_General_03-12-2012_9_3'!L2364,"AAAAAGe+rrw=")</f>
        <v>#VALUE!</v>
      </c>
      <c r="GH148" t="e">
        <f>AND('Planilla_General_03-12-2012_9_3'!M2364,"AAAAAGe+rr0=")</f>
        <v>#VALUE!</v>
      </c>
      <c r="GI148" t="e">
        <f>AND('Planilla_General_03-12-2012_9_3'!N2364,"AAAAAGe+rr4=")</f>
        <v>#VALUE!</v>
      </c>
      <c r="GJ148" t="e">
        <f>AND('Planilla_General_03-12-2012_9_3'!O2364,"AAAAAGe+rr8=")</f>
        <v>#VALUE!</v>
      </c>
      <c r="GK148">
        <f>IF('Planilla_General_03-12-2012_9_3'!2365:2365,"AAAAAGe+rsA=",0)</f>
        <v>0</v>
      </c>
      <c r="GL148" t="e">
        <f>AND('Planilla_General_03-12-2012_9_3'!A2365,"AAAAAGe+rsE=")</f>
        <v>#VALUE!</v>
      </c>
      <c r="GM148" t="e">
        <f>AND('Planilla_General_03-12-2012_9_3'!B2365,"AAAAAGe+rsI=")</f>
        <v>#VALUE!</v>
      </c>
      <c r="GN148" t="e">
        <f>AND('Planilla_General_03-12-2012_9_3'!C2365,"AAAAAGe+rsM=")</f>
        <v>#VALUE!</v>
      </c>
      <c r="GO148" t="e">
        <f>AND('Planilla_General_03-12-2012_9_3'!D2365,"AAAAAGe+rsQ=")</f>
        <v>#VALUE!</v>
      </c>
      <c r="GP148" t="e">
        <f>AND('Planilla_General_03-12-2012_9_3'!E2365,"AAAAAGe+rsU=")</f>
        <v>#VALUE!</v>
      </c>
      <c r="GQ148" t="e">
        <f>AND('Planilla_General_03-12-2012_9_3'!F2365,"AAAAAGe+rsY=")</f>
        <v>#VALUE!</v>
      </c>
      <c r="GR148" t="e">
        <f>AND('Planilla_General_03-12-2012_9_3'!G2365,"AAAAAGe+rsc=")</f>
        <v>#VALUE!</v>
      </c>
      <c r="GS148" t="e">
        <f>AND('Planilla_General_03-12-2012_9_3'!H2365,"AAAAAGe+rsg=")</f>
        <v>#VALUE!</v>
      </c>
      <c r="GT148" t="e">
        <f>AND('Planilla_General_03-12-2012_9_3'!I2365,"AAAAAGe+rsk=")</f>
        <v>#VALUE!</v>
      </c>
      <c r="GU148" t="e">
        <f>AND('Planilla_General_03-12-2012_9_3'!J2365,"AAAAAGe+rso=")</f>
        <v>#VALUE!</v>
      </c>
      <c r="GV148" t="e">
        <f>AND('Planilla_General_03-12-2012_9_3'!K2365,"AAAAAGe+rss=")</f>
        <v>#VALUE!</v>
      </c>
      <c r="GW148" t="e">
        <f>AND('Planilla_General_03-12-2012_9_3'!L2365,"AAAAAGe+rsw=")</f>
        <v>#VALUE!</v>
      </c>
      <c r="GX148" t="e">
        <f>AND('Planilla_General_03-12-2012_9_3'!M2365,"AAAAAGe+rs0=")</f>
        <v>#VALUE!</v>
      </c>
      <c r="GY148" t="e">
        <f>AND('Planilla_General_03-12-2012_9_3'!N2365,"AAAAAGe+rs4=")</f>
        <v>#VALUE!</v>
      </c>
      <c r="GZ148" t="e">
        <f>AND('Planilla_General_03-12-2012_9_3'!O2365,"AAAAAGe+rs8=")</f>
        <v>#VALUE!</v>
      </c>
      <c r="HA148">
        <f>IF('Planilla_General_03-12-2012_9_3'!2366:2366,"AAAAAGe+rtA=",0)</f>
        <v>0</v>
      </c>
      <c r="HB148" t="e">
        <f>AND('Planilla_General_03-12-2012_9_3'!A2366,"AAAAAGe+rtE=")</f>
        <v>#VALUE!</v>
      </c>
      <c r="HC148" t="e">
        <f>AND('Planilla_General_03-12-2012_9_3'!B2366,"AAAAAGe+rtI=")</f>
        <v>#VALUE!</v>
      </c>
      <c r="HD148" t="e">
        <f>AND('Planilla_General_03-12-2012_9_3'!C2366,"AAAAAGe+rtM=")</f>
        <v>#VALUE!</v>
      </c>
      <c r="HE148" t="e">
        <f>AND('Planilla_General_03-12-2012_9_3'!D2366,"AAAAAGe+rtQ=")</f>
        <v>#VALUE!</v>
      </c>
      <c r="HF148" t="e">
        <f>AND('Planilla_General_03-12-2012_9_3'!E2366,"AAAAAGe+rtU=")</f>
        <v>#VALUE!</v>
      </c>
      <c r="HG148" t="e">
        <f>AND('Planilla_General_03-12-2012_9_3'!F2366,"AAAAAGe+rtY=")</f>
        <v>#VALUE!</v>
      </c>
      <c r="HH148" t="e">
        <f>AND('Planilla_General_03-12-2012_9_3'!G2366,"AAAAAGe+rtc=")</f>
        <v>#VALUE!</v>
      </c>
      <c r="HI148" t="e">
        <f>AND('Planilla_General_03-12-2012_9_3'!H2366,"AAAAAGe+rtg=")</f>
        <v>#VALUE!</v>
      </c>
      <c r="HJ148" t="e">
        <f>AND('Planilla_General_03-12-2012_9_3'!I2366,"AAAAAGe+rtk=")</f>
        <v>#VALUE!</v>
      </c>
      <c r="HK148" t="e">
        <f>AND('Planilla_General_03-12-2012_9_3'!J2366,"AAAAAGe+rto=")</f>
        <v>#VALUE!</v>
      </c>
      <c r="HL148" t="e">
        <f>AND('Planilla_General_03-12-2012_9_3'!K2366,"AAAAAGe+rts=")</f>
        <v>#VALUE!</v>
      </c>
      <c r="HM148" t="e">
        <f>AND('Planilla_General_03-12-2012_9_3'!L2366,"AAAAAGe+rtw=")</f>
        <v>#VALUE!</v>
      </c>
      <c r="HN148" t="e">
        <f>AND('Planilla_General_03-12-2012_9_3'!M2366,"AAAAAGe+rt0=")</f>
        <v>#VALUE!</v>
      </c>
      <c r="HO148" t="e">
        <f>AND('Planilla_General_03-12-2012_9_3'!N2366,"AAAAAGe+rt4=")</f>
        <v>#VALUE!</v>
      </c>
      <c r="HP148" t="e">
        <f>AND('Planilla_General_03-12-2012_9_3'!O2366,"AAAAAGe+rt8=")</f>
        <v>#VALUE!</v>
      </c>
      <c r="HQ148">
        <f>IF('Planilla_General_03-12-2012_9_3'!2367:2367,"AAAAAGe+ruA=",0)</f>
        <v>0</v>
      </c>
      <c r="HR148" t="e">
        <f>AND('Planilla_General_03-12-2012_9_3'!A2367,"AAAAAGe+ruE=")</f>
        <v>#VALUE!</v>
      </c>
      <c r="HS148" t="e">
        <f>AND('Planilla_General_03-12-2012_9_3'!B2367,"AAAAAGe+ruI=")</f>
        <v>#VALUE!</v>
      </c>
      <c r="HT148" t="e">
        <f>AND('Planilla_General_03-12-2012_9_3'!C2367,"AAAAAGe+ruM=")</f>
        <v>#VALUE!</v>
      </c>
      <c r="HU148" t="e">
        <f>AND('Planilla_General_03-12-2012_9_3'!D2367,"AAAAAGe+ruQ=")</f>
        <v>#VALUE!</v>
      </c>
      <c r="HV148" t="e">
        <f>AND('Planilla_General_03-12-2012_9_3'!E2367,"AAAAAGe+ruU=")</f>
        <v>#VALUE!</v>
      </c>
      <c r="HW148" t="e">
        <f>AND('Planilla_General_03-12-2012_9_3'!F2367,"AAAAAGe+ruY=")</f>
        <v>#VALUE!</v>
      </c>
      <c r="HX148" t="e">
        <f>AND('Planilla_General_03-12-2012_9_3'!G2367,"AAAAAGe+ruc=")</f>
        <v>#VALUE!</v>
      </c>
      <c r="HY148" t="e">
        <f>AND('Planilla_General_03-12-2012_9_3'!H2367,"AAAAAGe+rug=")</f>
        <v>#VALUE!</v>
      </c>
      <c r="HZ148" t="e">
        <f>AND('Planilla_General_03-12-2012_9_3'!I2367,"AAAAAGe+ruk=")</f>
        <v>#VALUE!</v>
      </c>
      <c r="IA148" t="e">
        <f>AND('Planilla_General_03-12-2012_9_3'!J2367,"AAAAAGe+ruo=")</f>
        <v>#VALUE!</v>
      </c>
      <c r="IB148" t="e">
        <f>AND('Planilla_General_03-12-2012_9_3'!K2367,"AAAAAGe+rus=")</f>
        <v>#VALUE!</v>
      </c>
      <c r="IC148" t="e">
        <f>AND('Planilla_General_03-12-2012_9_3'!L2367,"AAAAAGe+ruw=")</f>
        <v>#VALUE!</v>
      </c>
      <c r="ID148" t="e">
        <f>AND('Planilla_General_03-12-2012_9_3'!M2367,"AAAAAGe+ru0=")</f>
        <v>#VALUE!</v>
      </c>
      <c r="IE148" t="e">
        <f>AND('Planilla_General_03-12-2012_9_3'!N2367,"AAAAAGe+ru4=")</f>
        <v>#VALUE!</v>
      </c>
      <c r="IF148" t="e">
        <f>AND('Planilla_General_03-12-2012_9_3'!O2367,"AAAAAGe+ru8=")</f>
        <v>#VALUE!</v>
      </c>
      <c r="IG148">
        <f>IF('Planilla_General_03-12-2012_9_3'!2368:2368,"AAAAAGe+rvA=",0)</f>
        <v>0</v>
      </c>
      <c r="IH148" t="e">
        <f>AND('Planilla_General_03-12-2012_9_3'!A2368,"AAAAAGe+rvE=")</f>
        <v>#VALUE!</v>
      </c>
      <c r="II148" t="e">
        <f>AND('Planilla_General_03-12-2012_9_3'!B2368,"AAAAAGe+rvI=")</f>
        <v>#VALUE!</v>
      </c>
      <c r="IJ148" t="e">
        <f>AND('Planilla_General_03-12-2012_9_3'!C2368,"AAAAAGe+rvM=")</f>
        <v>#VALUE!</v>
      </c>
      <c r="IK148" t="e">
        <f>AND('Planilla_General_03-12-2012_9_3'!D2368,"AAAAAGe+rvQ=")</f>
        <v>#VALUE!</v>
      </c>
      <c r="IL148" t="e">
        <f>AND('Planilla_General_03-12-2012_9_3'!E2368,"AAAAAGe+rvU=")</f>
        <v>#VALUE!</v>
      </c>
      <c r="IM148" t="e">
        <f>AND('Planilla_General_03-12-2012_9_3'!F2368,"AAAAAGe+rvY=")</f>
        <v>#VALUE!</v>
      </c>
      <c r="IN148" t="e">
        <f>AND('Planilla_General_03-12-2012_9_3'!G2368,"AAAAAGe+rvc=")</f>
        <v>#VALUE!</v>
      </c>
      <c r="IO148" t="e">
        <f>AND('Planilla_General_03-12-2012_9_3'!H2368,"AAAAAGe+rvg=")</f>
        <v>#VALUE!</v>
      </c>
      <c r="IP148" t="e">
        <f>AND('Planilla_General_03-12-2012_9_3'!I2368,"AAAAAGe+rvk=")</f>
        <v>#VALUE!</v>
      </c>
      <c r="IQ148" t="e">
        <f>AND('Planilla_General_03-12-2012_9_3'!J2368,"AAAAAGe+rvo=")</f>
        <v>#VALUE!</v>
      </c>
      <c r="IR148" t="e">
        <f>AND('Planilla_General_03-12-2012_9_3'!K2368,"AAAAAGe+rvs=")</f>
        <v>#VALUE!</v>
      </c>
      <c r="IS148" t="e">
        <f>AND('Planilla_General_03-12-2012_9_3'!L2368,"AAAAAGe+rvw=")</f>
        <v>#VALUE!</v>
      </c>
      <c r="IT148" t="e">
        <f>AND('Planilla_General_03-12-2012_9_3'!M2368,"AAAAAGe+rv0=")</f>
        <v>#VALUE!</v>
      </c>
      <c r="IU148" t="e">
        <f>AND('Planilla_General_03-12-2012_9_3'!N2368,"AAAAAGe+rv4=")</f>
        <v>#VALUE!</v>
      </c>
      <c r="IV148" t="e">
        <f>AND('Planilla_General_03-12-2012_9_3'!O2368,"AAAAAGe+rv8=")</f>
        <v>#VALUE!</v>
      </c>
    </row>
    <row r="149" spans="1:256" x14ac:dyDescent="0.25">
      <c r="A149" t="e">
        <f>IF('Planilla_General_03-12-2012_9_3'!2369:2369,"AAAAADrv2gA=",0)</f>
        <v>#VALUE!</v>
      </c>
      <c r="B149" t="e">
        <f>AND('Planilla_General_03-12-2012_9_3'!A2369,"AAAAADrv2gE=")</f>
        <v>#VALUE!</v>
      </c>
      <c r="C149" t="e">
        <f>AND('Planilla_General_03-12-2012_9_3'!B2369,"AAAAADrv2gI=")</f>
        <v>#VALUE!</v>
      </c>
      <c r="D149" t="e">
        <f>AND('Planilla_General_03-12-2012_9_3'!C2369,"AAAAADrv2gM=")</f>
        <v>#VALUE!</v>
      </c>
      <c r="E149" t="e">
        <f>AND('Planilla_General_03-12-2012_9_3'!D2369,"AAAAADrv2gQ=")</f>
        <v>#VALUE!</v>
      </c>
      <c r="F149" t="e">
        <f>AND('Planilla_General_03-12-2012_9_3'!E2369,"AAAAADrv2gU=")</f>
        <v>#VALUE!</v>
      </c>
      <c r="G149" t="e">
        <f>AND('Planilla_General_03-12-2012_9_3'!F2369,"AAAAADrv2gY=")</f>
        <v>#VALUE!</v>
      </c>
      <c r="H149" t="e">
        <f>AND('Planilla_General_03-12-2012_9_3'!G2369,"AAAAADrv2gc=")</f>
        <v>#VALUE!</v>
      </c>
      <c r="I149" t="e">
        <f>AND('Planilla_General_03-12-2012_9_3'!H2369,"AAAAADrv2gg=")</f>
        <v>#VALUE!</v>
      </c>
      <c r="J149" t="e">
        <f>AND('Planilla_General_03-12-2012_9_3'!I2369,"AAAAADrv2gk=")</f>
        <v>#VALUE!</v>
      </c>
      <c r="K149" t="e">
        <f>AND('Planilla_General_03-12-2012_9_3'!J2369,"AAAAADrv2go=")</f>
        <v>#VALUE!</v>
      </c>
      <c r="L149" t="e">
        <f>AND('Planilla_General_03-12-2012_9_3'!K2369,"AAAAADrv2gs=")</f>
        <v>#VALUE!</v>
      </c>
      <c r="M149" t="e">
        <f>AND('Planilla_General_03-12-2012_9_3'!L2369,"AAAAADrv2gw=")</f>
        <v>#VALUE!</v>
      </c>
      <c r="N149" t="e">
        <f>AND('Planilla_General_03-12-2012_9_3'!M2369,"AAAAADrv2g0=")</f>
        <v>#VALUE!</v>
      </c>
      <c r="O149" t="e">
        <f>AND('Planilla_General_03-12-2012_9_3'!N2369,"AAAAADrv2g4=")</f>
        <v>#VALUE!</v>
      </c>
      <c r="P149" t="e">
        <f>AND('Planilla_General_03-12-2012_9_3'!O2369,"AAAAADrv2g8=")</f>
        <v>#VALUE!</v>
      </c>
      <c r="Q149">
        <f>IF('Planilla_General_03-12-2012_9_3'!2370:2370,"AAAAADrv2hA=",0)</f>
        <v>0</v>
      </c>
      <c r="R149" t="e">
        <f>AND('Planilla_General_03-12-2012_9_3'!A2370,"AAAAADrv2hE=")</f>
        <v>#VALUE!</v>
      </c>
      <c r="S149" t="e">
        <f>AND('Planilla_General_03-12-2012_9_3'!B2370,"AAAAADrv2hI=")</f>
        <v>#VALUE!</v>
      </c>
      <c r="T149" t="e">
        <f>AND('Planilla_General_03-12-2012_9_3'!C2370,"AAAAADrv2hM=")</f>
        <v>#VALUE!</v>
      </c>
      <c r="U149" t="e">
        <f>AND('Planilla_General_03-12-2012_9_3'!D2370,"AAAAADrv2hQ=")</f>
        <v>#VALUE!</v>
      </c>
      <c r="V149" t="e">
        <f>AND('Planilla_General_03-12-2012_9_3'!E2370,"AAAAADrv2hU=")</f>
        <v>#VALUE!</v>
      </c>
      <c r="W149" t="e">
        <f>AND('Planilla_General_03-12-2012_9_3'!F2370,"AAAAADrv2hY=")</f>
        <v>#VALUE!</v>
      </c>
      <c r="X149" t="e">
        <f>AND('Planilla_General_03-12-2012_9_3'!G2370,"AAAAADrv2hc=")</f>
        <v>#VALUE!</v>
      </c>
      <c r="Y149" t="e">
        <f>AND('Planilla_General_03-12-2012_9_3'!H2370,"AAAAADrv2hg=")</f>
        <v>#VALUE!</v>
      </c>
      <c r="Z149" t="e">
        <f>AND('Planilla_General_03-12-2012_9_3'!I2370,"AAAAADrv2hk=")</f>
        <v>#VALUE!</v>
      </c>
      <c r="AA149" t="e">
        <f>AND('Planilla_General_03-12-2012_9_3'!J2370,"AAAAADrv2ho=")</f>
        <v>#VALUE!</v>
      </c>
      <c r="AB149" t="e">
        <f>AND('Planilla_General_03-12-2012_9_3'!K2370,"AAAAADrv2hs=")</f>
        <v>#VALUE!</v>
      </c>
      <c r="AC149" t="e">
        <f>AND('Planilla_General_03-12-2012_9_3'!L2370,"AAAAADrv2hw=")</f>
        <v>#VALUE!</v>
      </c>
      <c r="AD149" t="e">
        <f>AND('Planilla_General_03-12-2012_9_3'!M2370,"AAAAADrv2h0=")</f>
        <v>#VALUE!</v>
      </c>
      <c r="AE149" t="e">
        <f>AND('Planilla_General_03-12-2012_9_3'!N2370,"AAAAADrv2h4=")</f>
        <v>#VALUE!</v>
      </c>
      <c r="AF149" t="e">
        <f>AND('Planilla_General_03-12-2012_9_3'!O2370,"AAAAADrv2h8=")</f>
        <v>#VALUE!</v>
      </c>
      <c r="AG149">
        <f>IF('Planilla_General_03-12-2012_9_3'!2371:2371,"AAAAADrv2iA=",0)</f>
        <v>0</v>
      </c>
      <c r="AH149" t="e">
        <f>AND('Planilla_General_03-12-2012_9_3'!A2371,"AAAAADrv2iE=")</f>
        <v>#VALUE!</v>
      </c>
      <c r="AI149" t="e">
        <f>AND('Planilla_General_03-12-2012_9_3'!B2371,"AAAAADrv2iI=")</f>
        <v>#VALUE!</v>
      </c>
      <c r="AJ149" t="e">
        <f>AND('Planilla_General_03-12-2012_9_3'!C2371,"AAAAADrv2iM=")</f>
        <v>#VALUE!</v>
      </c>
      <c r="AK149" t="e">
        <f>AND('Planilla_General_03-12-2012_9_3'!D2371,"AAAAADrv2iQ=")</f>
        <v>#VALUE!</v>
      </c>
      <c r="AL149" t="e">
        <f>AND('Planilla_General_03-12-2012_9_3'!E2371,"AAAAADrv2iU=")</f>
        <v>#VALUE!</v>
      </c>
      <c r="AM149" t="e">
        <f>AND('Planilla_General_03-12-2012_9_3'!F2371,"AAAAADrv2iY=")</f>
        <v>#VALUE!</v>
      </c>
      <c r="AN149" t="e">
        <f>AND('Planilla_General_03-12-2012_9_3'!G2371,"AAAAADrv2ic=")</f>
        <v>#VALUE!</v>
      </c>
      <c r="AO149" t="e">
        <f>AND('Planilla_General_03-12-2012_9_3'!H2371,"AAAAADrv2ig=")</f>
        <v>#VALUE!</v>
      </c>
      <c r="AP149" t="e">
        <f>AND('Planilla_General_03-12-2012_9_3'!I2371,"AAAAADrv2ik=")</f>
        <v>#VALUE!</v>
      </c>
      <c r="AQ149" t="e">
        <f>AND('Planilla_General_03-12-2012_9_3'!J2371,"AAAAADrv2io=")</f>
        <v>#VALUE!</v>
      </c>
      <c r="AR149" t="e">
        <f>AND('Planilla_General_03-12-2012_9_3'!K2371,"AAAAADrv2is=")</f>
        <v>#VALUE!</v>
      </c>
      <c r="AS149" t="e">
        <f>AND('Planilla_General_03-12-2012_9_3'!L2371,"AAAAADrv2iw=")</f>
        <v>#VALUE!</v>
      </c>
      <c r="AT149" t="e">
        <f>AND('Planilla_General_03-12-2012_9_3'!M2371,"AAAAADrv2i0=")</f>
        <v>#VALUE!</v>
      </c>
      <c r="AU149" t="e">
        <f>AND('Planilla_General_03-12-2012_9_3'!N2371,"AAAAADrv2i4=")</f>
        <v>#VALUE!</v>
      </c>
      <c r="AV149" t="e">
        <f>AND('Planilla_General_03-12-2012_9_3'!O2371,"AAAAADrv2i8=")</f>
        <v>#VALUE!</v>
      </c>
      <c r="AW149">
        <f>IF('Planilla_General_03-12-2012_9_3'!2372:2372,"AAAAADrv2jA=",0)</f>
        <v>0</v>
      </c>
      <c r="AX149" t="e">
        <f>AND('Planilla_General_03-12-2012_9_3'!A2372,"AAAAADrv2jE=")</f>
        <v>#VALUE!</v>
      </c>
      <c r="AY149" t="e">
        <f>AND('Planilla_General_03-12-2012_9_3'!B2372,"AAAAADrv2jI=")</f>
        <v>#VALUE!</v>
      </c>
      <c r="AZ149" t="e">
        <f>AND('Planilla_General_03-12-2012_9_3'!C2372,"AAAAADrv2jM=")</f>
        <v>#VALUE!</v>
      </c>
      <c r="BA149" t="e">
        <f>AND('Planilla_General_03-12-2012_9_3'!D2372,"AAAAADrv2jQ=")</f>
        <v>#VALUE!</v>
      </c>
      <c r="BB149" t="e">
        <f>AND('Planilla_General_03-12-2012_9_3'!E2372,"AAAAADrv2jU=")</f>
        <v>#VALUE!</v>
      </c>
      <c r="BC149" t="e">
        <f>AND('Planilla_General_03-12-2012_9_3'!F2372,"AAAAADrv2jY=")</f>
        <v>#VALUE!</v>
      </c>
      <c r="BD149" t="e">
        <f>AND('Planilla_General_03-12-2012_9_3'!G2372,"AAAAADrv2jc=")</f>
        <v>#VALUE!</v>
      </c>
      <c r="BE149" t="e">
        <f>AND('Planilla_General_03-12-2012_9_3'!H2372,"AAAAADrv2jg=")</f>
        <v>#VALUE!</v>
      </c>
      <c r="BF149" t="e">
        <f>AND('Planilla_General_03-12-2012_9_3'!I2372,"AAAAADrv2jk=")</f>
        <v>#VALUE!</v>
      </c>
      <c r="BG149" t="e">
        <f>AND('Planilla_General_03-12-2012_9_3'!J2372,"AAAAADrv2jo=")</f>
        <v>#VALUE!</v>
      </c>
      <c r="BH149" t="e">
        <f>AND('Planilla_General_03-12-2012_9_3'!K2372,"AAAAADrv2js=")</f>
        <v>#VALUE!</v>
      </c>
      <c r="BI149" t="e">
        <f>AND('Planilla_General_03-12-2012_9_3'!L2372,"AAAAADrv2jw=")</f>
        <v>#VALUE!</v>
      </c>
      <c r="BJ149" t="e">
        <f>AND('Planilla_General_03-12-2012_9_3'!M2372,"AAAAADrv2j0=")</f>
        <v>#VALUE!</v>
      </c>
      <c r="BK149" t="e">
        <f>AND('Planilla_General_03-12-2012_9_3'!N2372,"AAAAADrv2j4=")</f>
        <v>#VALUE!</v>
      </c>
      <c r="BL149" t="e">
        <f>AND('Planilla_General_03-12-2012_9_3'!O2372,"AAAAADrv2j8=")</f>
        <v>#VALUE!</v>
      </c>
      <c r="BM149">
        <f>IF('Planilla_General_03-12-2012_9_3'!2373:2373,"AAAAADrv2kA=",0)</f>
        <v>0</v>
      </c>
      <c r="BN149" t="e">
        <f>AND('Planilla_General_03-12-2012_9_3'!A2373,"AAAAADrv2kE=")</f>
        <v>#VALUE!</v>
      </c>
      <c r="BO149" t="e">
        <f>AND('Planilla_General_03-12-2012_9_3'!B2373,"AAAAADrv2kI=")</f>
        <v>#VALUE!</v>
      </c>
      <c r="BP149" t="e">
        <f>AND('Planilla_General_03-12-2012_9_3'!C2373,"AAAAADrv2kM=")</f>
        <v>#VALUE!</v>
      </c>
      <c r="BQ149" t="e">
        <f>AND('Planilla_General_03-12-2012_9_3'!D2373,"AAAAADrv2kQ=")</f>
        <v>#VALUE!</v>
      </c>
      <c r="BR149" t="e">
        <f>AND('Planilla_General_03-12-2012_9_3'!E2373,"AAAAADrv2kU=")</f>
        <v>#VALUE!</v>
      </c>
      <c r="BS149" t="e">
        <f>AND('Planilla_General_03-12-2012_9_3'!F2373,"AAAAADrv2kY=")</f>
        <v>#VALUE!</v>
      </c>
      <c r="BT149" t="e">
        <f>AND('Planilla_General_03-12-2012_9_3'!G2373,"AAAAADrv2kc=")</f>
        <v>#VALUE!</v>
      </c>
      <c r="BU149" t="e">
        <f>AND('Planilla_General_03-12-2012_9_3'!H2373,"AAAAADrv2kg=")</f>
        <v>#VALUE!</v>
      </c>
      <c r="BV149" t="e">
        <f>AND('Planilla_General_03-12-2012_9_3'!I2373,"AAAAADrv2kk=")</f>
        <v>#VALUE!</v>
      </c>
      <c r="BW149" t="e">
        <f>AND('Planilla_General_03-12-2012_9_3'!J2373,"AAAAADrv2ko=")</f>
        <v>#VALUE!</v>
      </c>
      <c r="BX149" t="e">
        <f>AND('Planilla_General_03-12-2012_9_3'!K2373,"AAAAADrv2ks=")</f>
        <v>#VALUE!</v>
      </c>
      <c r="BY149" t="e">
        <f>AND('Planilla_General_03-12-2012_9_3'!L2373,"AAAAADrv2kw=")</f>
        <v>#VALUE!</v>
      </c>
      <c r="BZ149" t="e">
        <f>AND('Planilla_General_03-12-2012_9_3'!M2373,"AAAAADrv2k0=")</f>
        <v>#VALUE!</v>
      </c>
      <c r="CA149" t="e">
        <f>AND('Planilla_General_03-12-2012_9_3'!N2373,"AAAAADrv2k4=")</f>
        <v>#VALUE!</v>
      </c>
      <c r="CB149" t="e">
        <f>AND('Planilla_General_03-12-2012_9_3'!O2373,"AAAAADrv2k8=")</f>
        <v>#VALUE!</v>
      </c>
      <c r="CC149">
        <f>IF('Planilla_General_03-12-2012_9_3'!2374:2374,"AAAAADrv2lA=",0)</f>
        <v>0</v>
      </c>
      <c r="CD149" t="e">
        <f>AND('Planilla_General_03-12-2012_9_3'!A2374,"AAAAADrv2lE=")</f>
        <v>#VALUE!</v>
      </c>
      <c r="CE149" t="e">
        <f>AND('Planilla_General_03-12-2012_9_3'!B2374,"AAAAADrv2lI=")</f>
        <v>#VALUE!</v>
      </c>
      <c r="CF149" t="e">
        <f>AND('Planilla_General_03-12-2012_9_3'!C2374,"AAAAADrv2lM=")</f>
        <v>#VALUE!</v>
      </c>
      <c r="CG149" t="e">
        <f>AND('Planilla_General_03-12-2012_9_3'!D2374,"AAAAADrv2lQ=")</f>
        <v>#VALUE!</v>
      </c>
      <c r="CH149" t="e">
        <f>AND('Planilla_General_03-12-2012_9_3'!E2374,"AAAAADrv2lU=")</f>
        <v>#VALUE!</v>
      </c>
      <c r="CI149" t="e">
        <f>AND('Planilla_General_03-12-2012_9_3'!F2374,"AAAAADrv2lY=")</f>
        <v>#VALUE!</v>
      </c>
      <c r="CJ149" t="e">
        <f>AND('Planilla_General_03-12-2012_9_3'!G2374,"AAAAADrv2lc=")</f>
        <v>#VALUE!</v>
      </c>
      <c r="CK149" t="e">
        <f>AND('Planilla_General_03-12-2012_9_3'!H2374,"AAAAADrv2lg=")</f>
        <v>#VALUE!</v>
      </c>
      <c r="CL149" t="e">
        <f>AND('Planilla_General_03-12-2012_9_3'!I2374,"AAAAADrv2lk=")</f>
        <v>#VALUE!</v>
      </c>
      <c r="CM149" t="e">
        <f>AND('Planilla_General_03-12-2012_9_3'!J2374,"AAAAADrv2lo=")</f>
        <v>#VALUE!</v>
      </c>
      <c r="CN149" t="e">
        <f>AND('Planilla_General_03-12-2012_9_3'!K2374,"AAAAADrv2ls=")</f>
        <v>#VALUE!</v>
      </c>
      <c r="CO149" t="e">
        <f>AND('Planilla_General_03-12-2012_9_3'!L2374,"AAAAADrv2lw=")</f>
        <v>#VALUE!</v>
      </c>
      <c r="CP149" t="e">
        <f>AND('Planilla_General_03-12-2012_9_3'!M2374,"AAAAADrv2l0=")</f>
        <v>#VALUE!</v>
      </c>
      <c r="CQ149" t="e">
        <f>AND('Planilla_General_03-12-2012_9_3'!N2374,"AAAAADrv2l4=")</f>
        <v>#VALUE!</v>
      </c>
      <c r="CR149" t="e">
        <f>AND('Planilla_General_03-12-2012_9_3'!O2374,"AAAAADrv2l8=")</f>
        <v>#VALUE!</v>
      </c>
      <c r="CS149">
        <f>IF('Planilla_General_03-12-2012_9_3'!2375:2375,"AAAAADrv2mA=",0)</f>
        <v>0</v>
      </c>
      <c r="CT149" t="e">
        <f>AND('Planilla_General_03-12-2012_9_3'!A2375,"AAAAADrv2mE=")</f>
        <v>#VALUE!</v>
      </c>
      <c r="CU149" t="e">
        <f>AND('Planilla_General_03-12-2012_9_3'!B2375,"AAAAADrv2mI=")</f>
        <v>#VALUE!</v>
      </c>
      <c r="CV149" t="e">
        <f>AND('Planilla_General_03-12-2012_9_3'!C2375,"AAAAADrv2mM=")</f>
        <v>#VALUE!</v>
      </c>
      <c r="CW149" t="e">
        <f>AND('Planilla_General_03-12-2012_9_3'!D2375,"AAAAADrv2mQ=")</f>
        <v>#VALUE!</v>
      </c>
      <c r="CX149" t="e">
        <f>AND('Planilla_General_03-12-2012_9_3'!E2375,"AAAAADrv2mU=")</f>
        <v>#VALUE!</v>
      </c>
      <c r="CY149" t="e">
        <f>AND('Planilla_General_03-12-2012_9_3'!F2375,"AAAAADrv2mY=")</f>
        <v>#VALUE!</v>
      </c>
      <c r="CZ149" t="e">
        <f>AND('Planilla_General_03-12-2012_9_3'!G2375,"AAAAADrv2mc=")</f>
        <v>#VALUE!</v>
      </c>
      <c r="DA149" t="e">
        <f>AND('Planilla_General_03-12-2012_9_3'!H2375,"AAAAADrv2mg=")</f>
        <v>#VALUE!</v>
      </c>
      <c r="DB149" t="e">
        <f>AND('Planilla_General_03-12-2012_9_3'!I2375,"AAAAADrv2mk=")</f>
        <v>#VALUE!</v>
      </c>
      <c r="DC149" t="e">
        <f>AND('Planilla_General_03-12-2012_9_3'!J2375,"AAAAADrv2mo=")</f>
        <v>#VALUE!</v>
      </c>
      <c r="DD149" t="e">
        <f>AND('Planilla_General_03-12-2012_9_3'!K2375,"AAAAADrv2ms=")</f>
        <v>#VALUE!</v>
      </c>
      <c r="DE149" t="e">
        <f>AND('Planilla_General_03-12-2012_9_3'!L2375,"AAAAADrv2mw=")</f>
        <v>#VALUE!</v>
      </c>
      <c r="DF149" t="e">
        <f>AND('Planilla_General_03-12-2012_9_3'!M2375,"AAAAADrv2m0=")</f>
        <v>#VALUE!</v>
      </c>
      <c r="DG149" t="e">
        <f>AND('Planilla_General_03-12-2012_9_3'!N2375,"AAAAADrv2m4=")</f>
        <v>#VALUE!</v>
      </c>
      <c r="DH149" t="e">
        <f>AND('Planilla_General_03-12-2012_9_3'!O2375,"AAAAADrv2m8=")</f>
        <v>#VALUE!</v>
      </c>
      <c r="DI149">
        <f>IF('Planilla_General_03-12-2012_9_3'!2376:2376,"AAAAADrv2nA=",0)</f>
        <v>0</v>
      </c>
      <c r="DJ149" t="e">
        <f>AND('Planilla_General_03-12-2012_9_3'!A2376,"AAAAADrv2nE=")</f>
        <v>#VALUE!</v>
      </c>
      <c r="DK149" t="e">
        <f>AND('Planilla_General_03-12-2012_9_3'!B2376,"AAAAADrv2nI=")</f>
        <v>#VALUE!</v>
      </c>
      <c r="DL149" t="e">
        <f>AND('Planilla_General_03-12-2012_9_3'!C2376,"AAAAADrv2nM=")</f>
        <v>#VALUE!</v>
      </c>
      <c r="DM149" t="e">
        <f>AND('Planilla_General_03-12-2012_9_3'!D2376,"AAAAADrv2nQ=")</f>
        <v>#VALUE!</v>
      </c>
      <c r="DN149" t="e">
        <f>AND('Planilla_General_03-12-2012_9_3'!E2376,"AAAAADrv2nU=")</f>
        <v>#VALUE!</v>
      </c>
      <c r="DO149" t="e">
        <f>AND('Planilla_General_03-12-2012_9_3'!F2376,"AAAAADrv2nY=")</f>
        <v>#VALUE!</v>
      </c>
      <c r="DP149" t="e">
        <f>AND('Planilla_General_03-12-2012_9_3'!G2376,"AAAAADrv2nc=")</f>
        <v>#VALUE!</v>
      </c>
      <c r="DQ149" t="e">
        <f>AND('Planilla_General_03-12-2012_9_3'!H2376,"AAAAADrv2ng=")</f>
        <v>#VALUE!</v>
      </c>
      <c r="DR149" t="e">
        <f>AND('Planilla_General_03-12-2012_9_3'!I2376,"AAAAADrv2nk=")</f>
        <v>#VALUE!</v>
      </c>
      <c r="DS149" t="e">
        <f>AND('Planilla_General_03-12-2012_9_3'!J2376,"AAAAADrv2no=")</f>
        <v>#VALUE!</v>
      </c>
      <c r="DT149" t="e">
        <f>AND('Planilla_General_03-12-2012_9_3'!K2376,"AAAAADrv2ns=")</f>
        <v>#VALUE!</v>
      </c>
      <c r="DU149" t="e">
        <f>AND('Planilla_General_03-12-2012_9_3'!L2376,"AAAAADrv2nw=")</f>
        <v>#VALUE!</v>
      </c>
      <c r="DV149" t="e">
        <f>AND('Planilla_General_03-12-2012_9_3'!M2376,"AAAAADrv2n0=")</f>
        <v>#VALUE!</v>
      </c>
      <c r="DW149" t="e">
        <f>AND('Planilla_General_03-12-2012_9_3'!N2376,"AAAAADrv2n4=")</f>
        <v>#VALUE!</v>
      </c>
      <c r="DX149" t="e">
        <f>AND('Planilla_General_03-12-2012_9_3'!O2376,"AAAAADrv2n8=")</f>
        <v>#VALUE!</v>
      </c>
      <c r="DY149">
        <f>IF('Planilla_General_03-12-2012_9_3'!2377:2377,"AAAAADrv2oA=",0)</f>
        <v>0</v>
      </c>
      <c r="DZ149" t="e">
        <f>AND('Planilla_General_03-12-2012_9_3'!A2377,"AAAAADrv2oE=")</f>
        <v>#VALUE!</v>
      </c>
      <c r="EA149" t="e">
        <f>AND('Planilla_General_03-12-2012_9_3'!B2377,"AAAAADrv2oI=")</f>
        <v>#VALUE!</v>
      </c>
      <c r="EB149" t="e">
        <f>AND('Planilla_General_03-12-2012_9_3'!C2377,"AAAAADrv2oM=")</f>
        <v>#VALUE!</v>
      </c>
      <c r="EC149" t="e">
        <f>AND('Planilla_General_03-12-2012_9_3'!D2377,"AAAAADrv2oQ=")</f>
        <v>#VALUE!</v>
      </c>
      <c r="ED149" t="e">
        <f>AND('Planilla_General_03-12-2012_9_3'!E2377,"AAAAADrv2oU=")</f>
        <v>#VALUE!</v>
      </c>
      <c r="EE149" t="e">
        <f>AND('Planilla_General_03-12-2012_9_3'!F2377,"AAAAADrv2oY=")</f>
        <v>#VALUE!</v>
      </c>
      <c r="EF149" t="e">
        <f>AND('Planilla_General_03-12-2012_9_3'!G2377,"AAAAADrv2oc=")</f>
        <v>#VALUE!</v>
      </c>
      <c r="EG149" t="e">
        <f>AND('Planilla_General_03-12-2012_9_3'!H2377,"AAAAADrv2og=")</f>
        <v>#VALUE!</v>
      </c>
      <c r="EH149" t="e">
        <f>AND('Planilla_General_03-12-2012_9_3'!I2377,"AAAAADrv2ok=")</f>
        <v>#VALUE!</v>
      </c>
      <c r="EI149" t="e">
        <f>AND('Planilla_General_03-12-2012_9_3'!J2377,"AAAAADrv2oo=")</f>
        <v>#VALUE!</v>
      </c>
      <c r="EJ149" t="e">
        <f>AND('Planilla_General_03-12-2012_9_3'!K2377,"AAAAADrv2os=")</f>
        <v>#VALUE!</v>
      </c>
      <c r="EK149" t="e">
        <f>AND('Planilla_General_03-12-2012_9_3'!L2377,"AAAAADrv2ow=")</f>
        <v>#VALUE!</v>
      </c>
      <c r="EL149" t="e">
        <f>AND('Planilla_General_03-12-2012_9_3'!M2377,"AAAAADrv2o0=")</f>
        <v>#VALUE!</v>
      </c>
      <c r="EM149" t="e">
        <f>AND('Planilla_General_03-12-2012_9_3'!N2377,"AAAAADrv2o4=")</f>
        <v>#VALUE!</v>
      </c>
      <c r="EN149" t="e">
        <f>AND('Planilla_General_03-12-2012_9_3'!O2377,"AAAAADrv2o8=")</f>
        <v>#VALUE!</v>
      </c>
      <c r="EO149">
        <f>IF('Planilla_General_03-12-2012_9_3'!2378:2378,"AAAAADrv2pA=",0)</f>
        <v>0</v>
      </c>
      <c r="EP149" t="e">
        <f>AND('Planilla_General_03-12-2012_9_3'!A2378,"AAAAADrv2pE=")</f>
        <v>#VALUE!</v>
      </c>
      <c r="EQ149" t="e">
        <f>AND('Planilla_General_03-12-2012_9_3'!B2378,"AAAAADrv2pI=")</f>
        <v>#VALUE!</v>
      </c>
      <c r="ER149" t="e">
        <f>AND('Planilla_General_03-12-2012_9_3'!C2378,"AAAAADrv2pM=")</f>
        <v>#VALUE!</v>
      </c>
      <c r="ES149" t="e">
        <f>AND('Planilla_General_03-12-2012_9_3'!D2378,"AAAAADrv2pQ=")</f>
        <v>#VALUE!</v>
      </c>
      <c r="ET149" t="e">
        <f>AND('Planilla_General_03-12-2012_9_3'!E2378,"AAAAADrv2pU=")</f>
        <v>#VALUE!</v>
      </c>
      <c r="EU149" t="e">
        <f>AND('Planilla_General_03-12-2012_9_3'!F2378,"AAAAADrv2pY=")</f>
        <v>#VALUE!</v>
      </c>
      <c r="EV149" t="e">
        <f>AND('Planilla_General_03-12-2012_9_3'!G2378,"AAAAADrv2pc=")</f>
        <v>#VALUE!</v>
      </c>
      <c r="EW149" t="e">
        <f>AND('Planilla_General_03-12-2012_9_3'!H2378,"AAAAADrv2pg=")</f>
        <v>#VALUE!</v>
      </c>
      <c r="EX149" t="e">
        <f>AND('Planilla_General_03-12-2012_9_3'!I2378,"AAAAADrv2pk=")</f>
        <v>#VALUE!</v>
      </c>
      <c r="EY149" t="e">
        <f>AND('Planilla_General_03-12-2012_9_3'!J2378,"AAAAADrv2po=")</f>
        <v>#VALUE!</v>
      </c>
      <c r="EZ149" t="e">
        <f>AND('Planilla_General_03-12-2012_9_3'!K2378,"AAAAADrv2ps=")</f>
        <v>#VALUE!</v>
      </c>
      <c r="FA149" t="e">
        <f>AND('Planilla_General_03-12-2012_9_3'!L2378,"AAAAADrv2pw=")</f>
        <v>#VALUE!</v>
      </c>
      <c r="FB149" t="e">
        <f>AND('Planilla_General_03-12-2012_9_3'!M2378,"AAAAADrv2p0=")</f>
        <v>#VALUE!</v>
      </c>
      <c r="FC149" t="e">
        <f>AND('Planilla_General_03-12-2012_9_3'!N2378,"AAAAADrv2p4=")</f>
        <v>#VALUE!</v>
      </c>
      <c r="FD149" t="e">
        <f>AND('Planilla_General_03-12-2012_9_3'!O2378,"AAAAADrv2p8=")</f>
        <v>#VALUE!</v>
      </c>
      <c r="FE149">
        <f>IF('Planilla_General_03-12-2012_9_3'!2379:2379,"AAAAADrv2qA=",0)</f>
        <v>0</v>
      </c>
      <c r="FF149" t="e">
        <f>AND('Planilla_General_03-12-2012_9_3'!A2379,"AAAAADrv2qE=")</f>
        <v>#VALUE!</v>
      </c>
      <c r="FG149" t="e">
        <f>AND('Planilla_General_03-12-2012_9_3'!B2379,"AAAAADrv2qI=")</f>
        <v>#VALUE!</v>
      </c>
      <c r="FH149" t="e">
        <f>AND('Planilla_General_03-12-2012_9_3'!C2379,"AAAAADrv2qM=")</f>
        <v>#VALUE!</v>
      </c>
      <c r="FI149" t="e">
        <f>AND('Planilla_General_03-12-2012_9_3'!D2379,"AAAAADrv2qQ=")</f>
        <v>#VALUE!</v>
      </c>
      <c r="FJ149" t="e">
        <f>AND('Planilla_General_03-12-2012_9_3'!E2379,"AAAAADrv2qU=")</f>
        <v>#VALUE!</v>
      </c>
      <c r="FK149" t="e">
        <f>AND('Planilla_General_03-12-2012_9_3'!F2379,"AAAAADrv2qY=")</f>
        <v>#VALUE!</v>
      </c>
      <c r="FL149" t="e">
        <f>AND('Planilla_General_03-12-2012_9_3'!G2379,"AAAAADrv2qc=")</f>
        <v>#VALUE!</v>
      </c>
      <c r="FM149" t="e">
        <f>AND('Planilla_General_03-12-2012_9_3'!H2379,"AAAAADrv2qg=")</f>
        <v>#VALUE!</v>
      </c>
      <c r="FN149" t="e">
        <f>AND('Planilla_General_03-12-2012_9_3'!I2379,"AAAAADrv2qk=")</f>
        <v>#VALUE!</v>
      </c>
      <c r="FO149" t="e">
        <f>AND('Planilla_General_03-12-2012_9_3'!J2379,"AAAAADrv2qo=")</f>
        <v>#VALUE!</v>
      </c>
      <c r="FP149" t="e">
        <f>AND('Planilla_General_03-12-2012_9_3'!K2379,"AAAAADrv2qs=")</f>
        <v>#VALUE!</v>
      </c>
      <c r="FQ149" t="e">
        <f>AND('Planilla_General_03-12-2012_9_3'!L2379,"AAAAADrv2qw=")</f>
        <v>#VALUE!</v>
      </c>
      <c r="FR149" t="e">
        <f>AND('Planilla_General_03-12-2012_9_3'!M2379,"AAAAADrv2q0=")</f>
        <v>#VALUE!</v>
      </c>
      <c r="FS149" t="e">
        <f>AND('Planilla_General_03-12-2012_9_3'!N2379,"AAAAADrv2q4=")</f>
        <v>#VALUE!</v>
      </c>
      <c r="FT149" t="e">
        <f>AND('Planilla_General_03-12-2012_9_3'!O2379,"AAAAADrv2q8=")</f>
        <v>#VALUE!</v>
      </c>
      <c r="FU149">
        <f>IF('Planilla_General_03-12-2012_9_3'!2380:2380,"AAAAADrv2rA=",0)</f>
        <v>0</v>
      </c>
      <c r="FV149" t="e">
        <f>AND('Planilla_General_03-12-2012_9_3'!A2380,"AAAAADrv2rE=")</f>
        <v>#VALUE!</v>
      </c>
      <c r="FW149" t="e">
        <f>AND('Planilla_General_03-12-2012_9_3'!B2380,"AAAAADrv2rI=")</f>
        <v>#VALUE!</v>
      </c>
      <c r="FX149" t="e">
        <f>AND('Planilla_General_03-12-2012_9_3'!C2380,"AAAAADrv2rM=")</f>
        <v>#VALUE!</v>
      </c>
      <c r="FY149" t="e">
        <f>AND('Planilla_General_03-12-2012_9_3'!D2380,"AAAAADrv2rQ=")</f>
        <v>#VALUE!</v>
      </c>
      <c r="FZ149" t="e">
        <f>AND('Planilla_General_03-12-2012_9_3'!E2380,"AAAAADrv2rU=")</f>
        <v>#VALUE!</v>
      </c>
      <c r="GA149" t="e">
        <f>AND('Planilla_General_03-12-2012_9_3'!F2380,"AAAAADrv2rY=")</f>
        <v>#VALUE!</v>
      </c>
      <c r="GB149" t="e">
        <f>AND('Planilla_General_03-12-2012_9_3'!G2380,"AAAAADrv2rc=")</f>
        <v>#VALUE!</v>
      </c>
      <c r="GC149" t="e">
        <f>AND('Planilla_General_03-12-2012_9_3'!H2380,"AAAAADrv2rg=")</f>
        <v>#VALUE!</v>
      </c>
      <c r="GD149" t="e">
        <f>AND('Planilla_General_03-12-2012_9_3'!I2380,"AAAAADrv2rk=")</f>
        <v>#VALUE!</v>
      </c>
      <c r="GE149" t="e">
        <f>AND('Planilla_General_03-12-2012_9_3'!J2380,"AAAAADrv2ro=")</f>
        <v>#VALUE!</v>
      </c>
      <c r="GF149" t="e">
        <f>AND('Planilla_General_03-12-2012_9_3'!K2380,"AAAAADrv2rs=")</f>
        <v>#VALUE!</v>
      </c>
      <c r="GG149" t="e">
        <f>AND('Planilla_General_03-12-2012_9_3'!L2380,"AAAAADrv2rw=")</f>
        <v>#VALUE!</v>
      </c>
      <c r="GH149" t="e">
        <f>AND('Planilla_General_03-12-2012_9_3'!M2380,"AAAAADrv2r0=")</f>
        <v>#VALUE!</v>
      </c>
      <c r="GI149" t="e">
        <f>AND('Planilla_General_03-12-2012_9_3'!N2380,"AAAAADrv2r4=")</f>
        <v>#VALUE!</v>
      </c>
      <c r="GJ149" t="e">
        <f>AND('Planilla_General_03-12-2012_9_3'!O2380,"AAAAADrv2r8=")</f>
        <v>#VALUE!</v>
      </c>
      <c r="GK149">
        <f>IF('Planilla_General_03-12-2012_9_3'!2381:2381,"AAAAADrv2sA=",0)</f>
        <v>0</v>
      </c>
      <c r="GL149" t="e">
        <f>AND('Planilla_General_03-12-2012_9_3'!A2381,"AAAAADrv2sE=")</f>
        <v>#VALUE!</v>
      </c>
      <c r="GM149" t="e">
        <f>AND('Planilla_General_03-12-2012_9_3'!B2381,"AAAAADrv2sI=")</f>
        <v>#VALUE!</v>
      </c>
      <c r="GN149" t="e">
        <f>AND('Planilla_General_03-12-2012_9_3'!C2381,"AAAAADrv2sM=")</f>
        <v>#VALUE!</v>
      </c>
      <c r="GO149" t="e">
        <f>AND('Planilla_General_03-12-2012_9_3'!D2381,"AAAAADrv2sQ=")</f>
        <v>#VALUE!</v>
      </c>
      <c r="GP149" t="e">
        <f>AND('Planilla_General_03-12-2012_9_3'!E2381,"AAAAADrv2sU=")</f>
        <v>#VALUE!</v>
      </c>
      <c r="GQ149" t="e">
        <f>AND('Planilla_General_03-12-2012_9_3'!F2381,"AAAAADrv2sY=")</f>
        <v>#VALUE!</v>
      </c>
      <c r="GR149" t="e">
        <f>AND('Planilla_General_03-12-2012_9_3'!G2381,"AAAAADrv2sc=")</f>
        <v>#VALUE!</v>
      </c>
      <c r="GS149" t="e">
        <f>AND('Planilla_General_03-12-2012_9_3'!H2381,"AAAAADrv2sg=")</f>
        <v>#VALUE!</v>
      </c>
      <c r="GT149" t="e">
        <f>AND('Planilla_General_03-12-2012_9_3'!I2381,"AAAAADrv2sk=")</f>
        <v>#VALUE!</v>
      </c>
      <c r="GU149" t="e">
        <f>AND('Planilla_General_03-12-2012_9_3'!J2381,"AAAAADrv2so=")</f>
        <v>#VALUE!</v>
      </c>
      <c r="GV149" t="e">
        <f>AND('Planilla_General_03-12-2012_9_3'!K2381,"AAAAADrv2ss=")</f>
        <v>#VALUE!</v>
      </c>
      <c r="GW149" t="e">
        <f>AND('Planilla_General_03-12-2012_9_3'!L2381,"AAAAADrv2sw=")</f>
        <v>#VALUE!</v>
      </c>
      <c r="GX149" t="e">
        <f>AND('Planilla_General_03-12-2012_9_3'!M2381,"AAAAADrv2s0=")</f>
        <v>#VALUE!</v>
      </c>
      <c r="GY149" t="e">
        <f>AND('Planilla_General_03-12-2012_9_3'!N2381,"AAAAADrv2s4=")</f>
        <v>#VALUE!</v>
      </c>
      <c r="GZ149" t="e">
        <f>AND('Planilla_General_03-12-2012_9_3'!O2381,"AAAAADrv2s8=")</f>
        <v>#VALUE!</v>
      </c>
      <c r="HA149">
        <f>IF('Planilla_General_03-12-2012_9_3'!2382:2382,"AAAAADrv2tA=",0)</f>
        <v>0</v>
      </c>
      <c r="HB149" t="e">
        <f>AND('Planilla_General_03-12-2012_9_3'!A2382,"AAAAADrv2tE=")</f>
        <v>#VALUE!</v>
      </c>
      <c r="HC149" t="e">
        <f>AND('Planilla_General_03-12-2012_9_3'!B2382,"AAAAADrv2tI=")</f>
        <v>#VALUE!</v>
      </c>
      <c r="HD149" t="e">
        <f>AND('Planilla_General_03-12-2012_9_3'!C2382,"AAAAADrv2tM=")</f>
        <v>#VALUE!</v>
      </c>
      <c r="HE149" t="e">
        <f>AND('Planilla_General_03-12-2012_9_3'!D2382,"AAAAADrv2tQ=")</f>
        <v>#VALUE!</v>
      </c>
      <c r="HF149" t="e">
        <f>AND('Planilla_General_03-12-2012_9_3'!E2382,"AAAAADrv2tU=")</f>
        <v>#VALUE!</v>
      </c>
      <c r="HG149" t="e">
        <f>AND('Planilla_General_03-12-2012_9_3'!F2382,"AAAAADrv2tY=")</f>
        <v>#VALUE!</v>
      </c>
      <c r="HH149" t="e">
        <f>AND('Planilla_General_03-12-2012_9_3'!G2382,"AAAAADrv2tc=")</f>
        <v>#VALUE!</v>
      </c>
      <c r="HI149" t="e">
        <f>AND('Planilla_General_03-12-2012_9_3'!H2382,"AAAAADrv2tg=")</f>
        <v>#VALUE!</v>
      </c>
      <c r="HJ149" t="e">
        <f>AND('Planilla_General_03-12-2012_9_3'!I2382,"AAAAADrv2tk=")</f>
        <v>#VALUE!</v>
      </c>
      <c r="HK149" t="e">
        <f>AND('Planilla_General_03-12-2012_9_3'!J2382,"AAAAADrv2to=")</f>
        <v>#VALUE!</v>
      </c>
      <c r="HL149" t="e">
        <f>AND('Planilla_General_03-12-2012_9_3'!K2382,"AAAAADrv2ts=")</f>
        <v>#VALUE!</v>
      </c>
      <c r="HM149" t="e">
        <f>AND('Planilla_General_03-12-2012_9_3'!L2382,"AAAAADrv2tw=")</f>
        <v>#VALUE!</v>
      </c>
      <c r="HN149" t="e">
        <f>AND('Planilla_General_03-12-2012_9_3'!M2382,"AAAAADrv2t0=")</f>
        <v>#VALUE!</v>
      </c>
      <c r="HO149" t="e">
        <f>AND('Planilla_General_03-12-2012_9_3'!N2382,"AAAAADrv2t4=")</f>
        <v>#VALUE!</v>
      </c>
      <c r="HP149" t="e">
        <f>AND('Planilla_General_03-12-2012_9_3'!O2382,"AAAAADrv2t8=")</f>
        <v>#VALUE!</v>
      </c>
      <c r="HQ149">
        <f>IF('Planilla_General_03-12-2012_9_3'!2383:2383,"AAAAADrv2uA=",0)</f>
        <v>0</v>
      </c>
      <c r="HR149" t="e">
        <f>AND('Planilla_General_03-12-2012_9_3'!A2383,"AAAAADrv2uE=")</f>
        <v>#VALUE!</v>
      </c>
      <c r="HS149" t="e">
        <f>AND('Planilla_General_03-12-2012_9_3'!B2383,"AAAAADrv2uI=")</f>
        <v>#VALUE!</v>
      </c>
      <c r="HT149" t="e">
        <f>AND('Planilla_General_03-12-2012_9_3'!C2383,"AAAAADrv2uM=")</f>
        <v>#VALUE!</v>
      </c>
      <c r="HU149" t="e">
        <f>AND('Planilla_General_03-12-2012_9_3'!D2383,"AAAAADrv2uQ=")</f>
        <v>#VALUE!</v>
      </c>
      <c r="HV149" t="e">
        <f>AND('Planilla_General_03-12-2012_9_3'!E2383,"AAAAADrv2uU=")</f>
        <v>#VALUE!</v>
      </c>
      <c r="HW149" t="e">
        <f>AND('Planilla_General_03-12-2012_9_3'!F2383,"AAAAADrv2uY=")</f>
        <v>#VALUE!</v>
      </c>
      <c r="HX149" t="e">
        <f>AND('Planilla_General_03-12-2012_9_3'!G2383,"AAAAADrv2uc=")</f>
        <v>#VALUE!</v>
      </c>
      <c r="HY149" t="e">
        <f>AND('Planilla_General_03-12-2012_9_3'!H2383,"AAAAADrv2ug=")</f>
        <v>#VALUE!</v>
      </c>
      <c r="HZ149" t="e">
        <f>AND('Planilla_General_03-12-2012_9_3'!I2383,"AAAAADrv2uk=")</f>
        <v>#VALUE!</v>
      </c>
      <c r="IA149" t="e">
        <f>AND('Planilla_General_03-12-2012_9_3'!J2383,"AAAAADrv2uo=")</f>
        <v>#VALUE!</v>
      </c>
      <c r="IB149" t="e">
        <f>AND('Planilla_General_03-12-2012_9_3'!K2383,"AAAAADrv2us=")</f>
        <v>#VALUE!</v>
      </c>
      <c r="IC149" t="e">
        <f>AND('Planilla_General_03-12-2012_9_3'!L2383,"AAAAADrv2uw=")</f>
        <v>#VALUE!</v>
      </c>
      <c r="ID149" t="e">
        <f>AND('Planilla_General_03-12-2012_9_3'!M2383,"AAAAADrv2u0=")</f>
        <v>#VALUE!</v>
      </c>
      <c r="IE149" t="e">
        <f>AND('Planilla_General_03-12-2012_9_3'!N2383,"AAAAADrv2u4=")</f>
        <v>#VALUE!</v>
      </c>
      <c r="IF149" t="e">
        <f>AND('Planilla_General_03-12-2012_9_3'!O2383,"AAAAADrv2u8=")</f>
        <v>#VALUE!</v>
      </c>
      <c r="IG149">
        <f>IF('Planilla_General_03-12-2012_9_3'!2384:2384,"AAAAADrv2vA=",0)</f>
        <v>0</v>
      </c>
      <c r="IH149" t="e">
        <f>AND('Planilla_General_03-12-2012_9_3'!A2384,"AAAAADrv2vE=")</f>
        <v>#VALUE!</v>
      </c>
      <c r="II149" t="e">
        <f>AND('Planilla_General_03-12-2012_9_3'!B2384,"AAAAADrv2vI=")</f>
        <v>#VALUE!</v>
      </c>
      <c r="IJ149" t="e">
        <f>AND('Planilla_General_03-12-2012_9_3'!C2384,"AAAAADrv2vM=")</f>
        <v>#VALUE!</v>
      </c>
      <c r="IK149" t="e">
        <f>AND('Planilla_General_03-12-2012_9_3'!D2384,"AAAAADrv2vQ=")</f>
        <v>#VALUE!</v>
      </c>
      <c r="IL149" t="e">
        <f>AND('Planilla_General_03-12-2012_9_3'!E2384,"AAAAADrv2vU=")</f>
        <v>#VALUE!</v>
      </c>
      <c r="IM149" t="e">
        <f>AND('Planilla_General_03-12-2012_9_3'!F2384,"AAAAADrv2vY=")</f>
        <v>#VALUE!</v>
      </c>
      <c r="IN149" t="e">
        <f>AND('Planilla_General_03-12-2012_9_3'!G2384,"AAAAADrv2vc=")</f>
        <v>#VALUE!</v>
      </c>
      <c r="IO149" t="e">
        <f>AND('Planilla_General_03-12-2012_9_3'!H2384,"AAAAADrv2vg=")</f>
        <v>#VALUE!</v>
      </c>
      <c r="IP149" t="e">
        <f>AND('Planilla_General_03-12-2012_9_3'!I2384,"AAAAADrv2vk=")</f>
        <v>#VALUE!</v>
      </c>
      <c r="IQ149" t="e">
        <f>AND('Planilla_General_03-12-2012_9_3'!J2384,"AAAAADrv2vo=")</f>
        <v>#VALUE!</v>
      </c>
      <c r="IR149" t="e">
        <f>AND('Planilla_General_03-12-2012_9_3'!K2384,"AAAAADrv2vs=")</f>
        <v>#VALUE!</v>
      </c>
      <c r="IS149" t="e">
        <f>AND('Planilla_General_03-12-2012_9_3'!L2384,"AAAAADrv2vw=")</f>
        <v>#VALUE!</v>
      </c>
      <c r="IT149" t="e">
        <f>AND('Planilla_General_03-12-2012_9_3'!M2384,"AAAAADrv2v0=")</f>
        <v>#VALUE!</v>
      </c>
      <c r="IU149" t="e">
        <f>AND('Planilla_General_03-12-2012_9_3'!N2384,"AAAAADrv2v4=")</f>
        <v>#VALUE!</v>
      </c>
      <c r="IV149" t="e">
        <f>AND('Planilla_General_03-12-2012_9_3'!O2384,"AAAAADrv2v8=")</f>
        <v>#VALUE!</v>
      </c>
    </row>
    <row r="150" spans="1:256" x14ac:dyDescent="0.25">
      <c r="A150" t="e">
        <f>IF('Planilla_General_03-12-2012_9_3'!2385:2385,"AAAAAH8d/wA=",0)</f>
        <v>#VALUE!</v>
      </c>
      <c r="B150" t="e">
        <f>AND('Planilla_General_03-12-2012_9_3'!A2385,"AAAAAH8d/wE=")</f>
        <v>#VALUE!</v>
      </c>
      <c r="C150" t="e">
        <f>AND('Planilla_General_03-12-2012_9_3'!B2385,"AAAAAH8d/wI=")</f>
        <v>#VALUE!</v>
      </c>
      <c r="D150" t="e">
        <f>AND('Planilla_General_03-12-2012_9_3'!C2385,"AAAAAH8d/wM=")</f>
        <v>#VALUE!</v>
      </c>
      <c r="E150" t="e">
        <f>AND('Planilla_General_03-12-2012_9_3'!D2385,"AAAAAH8d/wQ=")</f>
        <v>#VALUE!</v>
      </c>
      <c r="F150" t="e">
        <f>AND('Planilla_General_03-12-2012_9_3'!E2385,"AAAAAH8d/wU=")</f>
        <v>#VALUE!</v>
      </c>
      <c r="G150" t="e">
        <f>AND('Planilla_General_03-12-2012_9_3'!F2385,"AAAAAH8d/wY=")</f>
        <v>#VALUE!</v>
      </c>
      <c r="H150" t="e">
        <f>AND('Planilla_General_03-12-2012_9_3'!G2385,"AAAAAH8d/wc=")</f>
        <v>#VALUE!</v>
      </c>
      <c r="I150" t="e">
        <f>AND('Planilla_General_03-12-2012_9_3'!H2385,"AAAAAH8d/wg=")</f>
        <v>#VALUE!</v>
      </c>
      <c r="J150" t="e">
        <f>AND('Planilla_General_03-12-2012_9_3'!I2385,"AAAAAH8d/wk=")</f>
        <v>#VALUE!</v>
      </c>
      <c r="K150" t="e">
        <f>AND('Planilla_General_03-12-2012_9_3'!J2385,"AAAAAH8d/wo=")</f>
        <v>#VALUE!</v>
      </c>
      <c r="L150" t="e">
        <f>AND('Planilla_General_03-12-2012_9_3'!K2385,"AAAAAH8d/ws=")</f>
        <v>#VALUE!</v>
      </c>
      <c r="M150" t="e">
        <f>AND('Planilla_General_03-12-2012_9_3'!L2385,"AAAAAH8d/ww=")</f>
        <v>#VALUE!</v>
      </c>
      <c r="N150" t="e">
        <f>AND('Planilla_General_03-12-2012_9_3'!M2385,"AAAAAH8d/w0=")</f>
        <v>#VALUE!</v>
      </c>
      <c r="O150" t="e">
        <f>AND('Planilla_General_03-12-2012_9_3'!N2385,"AAAAAH8d/w4=")</f>
        <v>#VALUE!</v>
      </c>
      <c r="P150" t="e">
        <f>AND('Planilla_General_03-12-2012_9_3'!O2385,"AAAAAH8d/w8=")</f>
        <v>#VALUE!</v>
      </c>
      <c r="Q150">
        <f>IF('Planilla_General_03-12-2012_9_3'!2386:2386,"AAAAAH8d/xA=",0)</f>
        <v>0</v>
      </c>
      <c r="R150" t="e">
        <f>AND('Planilla_General_03-12-2012_9_3'!A2386,"AAAAAH8d/xE=")</f>
        <v>#VALUE!</v>
      </c>
      <c r="S150" t="e">
        <f>AND('Planilla_General_03-12-2012_9_3'!B2386,"AAAAAH8d/xI=")</f>
        <v>#VALUE!</v>
      </c>
      <c r="T150" t="e">
        <f>AND('Planilla_General_03-12-2012_9_3'!C2386,"AAAAAH8d/xM=")</f>
        <v>#VALUE!</v>
      </c>
      <c r="U150" t="e">
        <f>AND('Planilla_General_03-12-2012_9_3'!D2386,"AAAAAH8d/xQ=")</f>
        <v>#VALUE!</v>
      </c>
      <c r="V150" t="e">
        <f>AND('Planilla_General_03-12-2012_9_3'!E2386,"AAAAAH8d/xU=")</f>
        <v>#VALUE!</v>
      </c>
      <c r="W150" t="e">
        <f>AND('Planilla_General_03-12-2012_9_3'!F2386,"AAAAAH8d/xY=")</f>
        <v>#VALUE!</v>
      </c>
      <c r="X150" t="e">
        <f>AND('Planilla_General_03-12-2012_9_3'!G2386,"AAAAAH8d/xc=")</f>
        <v>#VALUE!</v>
      </c>
      <c r="Y150" t="e">
        <f>AND('Planilla_General_03-12-2012_9_3'!H2386,"AAAAAH8d/xg=")</f>
        <v>#VALUE!</v>
      </c>
      <c r="Z150" t="e">
        <f>AND('Planilla_General_03-12-2012_9_3'!I2386,"AAAAAH8d/xk=")</f>
        <v>#VALUE!</v>
      </c>
      <c r="AA150" t="e">
        <f>AND('Planilla_General_03-12-2012_9_3'!J2386,"AAAAAH8d/xo=")</f>
        <v>#VALUE!</v>
      </c>
      <c r="AB150" t="e">
        <f>AND('Planilla_General_03-12-2012_9_3'!K2386,"AAAAAH8d/xs=")</f>
        <v>#VALUE!</v>
      </c>
      <c r="AC150" t="e">
        <f>AND('Planilla_General_03-12-2012_9_3'!L2386,"AAAAAH8d/xw=")</f>
        <v>#VALUE!</v>
      </c>
      <c r="AD150" t="e">
        <f>AND('Planilla_General_03-12-2012_9_3'!M2386,"AAAAAH8d/x0=")</f>
        <v>#VALUE!</v>
      </c>
      <c r="AE150" t="e">
        <f>AND('Planilla_General_03-12-2012_9_3'!N2386,"AAAAAH8d/x4=")</f>
        <v>#VALUE!</v>
      </c>
      <c r="AF150" t="e">
        <f>AND('Planilla_General_03-12-2012_9_3'!O2386,"AAAAAH8d/x8=")</f>
        <v>#VALUE!</v>
      </c>
      <c r="AG150">
        <f>IF('Planilla_General_03-12-2012_9_3'!2387:2387,"AAAAAH8d/yA=",0)</f>
        <v>0</v>
      </c>
      <c r="AH150" t="e">
        <f>AND('Planilla_General_03-12-2012_9_3'!A2387,"AAAAAH8d/yE=")</f>
        <v>#VALUE!</v>
      </c>
      <c r="AI150" t="e">
        <f>AND('Planilla_General_03-12-2012_9_3'!B2387,"AAAAAH8d/yI=")</f>
        <v>#VALUE!</v>
      </c>
      <c r="AJ150" t="e">
        <f>AND('Planilla_General_03-12-2012_9_3'!C2387,"AAAAAH8d/yM=")</f>
        <v>#VALUE!</v>
      </c>
      <c r="AK150" t="e">
        <f>AND('Planilla_General_03-12-2012_9_3'!D2387,"AAAAAH8d/yQ=")</f>
        <v>#VALUE!</v>
      </c>
      <c r="AL150" t="e">
        <f>AND('Planilla_General_03-12-2012_9_3'!E2387,"AAAAAH8d/yU=")</f>
        <v>#VALUE!</v>
      </c>
      <c r="AM150" t="e">
        <f>AND('Planilla_General_03-12-2012_9_3'!F2387,"AAAAAH8d/yY=")</f>
        <v>#VALUE!</v>
      </c>
      <c r="AN150" t="e">
        <f>AND('Planilla_General_03-12-2012_9_3'!G2387,"AAAAAH8d/yc=")</f>
        <v>#VALUE!</v>
      </c>
      <c r="AO150" t="e">
        <f>AND('Planilla_General_03-12-2012_9_3'!H2387,"AAAAAH8d/yg=")</f>
        <v>#VALUE!</v>
      </c>
      <c r="AP150" t="e">
        <f>AND('Planilla_General_03-12-2012_9_3'!I2387,"AAAAAH8d/yk=")</f>
        <v>#VALUE!</v>
      </c>
      <c r="AQ150" t="e">
        <f>AND('Planilla_General_03-12-2012_9_3'!J2387,"AAAAAH8d/yo=")</f>
        <v>#VALUE!</v>
      </c>
      <c r="AR150" t="e">
        <f>AND('Planilla_General_03-12-2012_9_3'!K2387,"AAAAAH8d/ys=")</f>
        <v>#VALUE!</v>
      </c>
      <c r="AS150" t="e">
        <f>AND('Planilla_General_03-12-2012_9_3'!L2387,"AAAAAH8d/yw=")</f>
        <v>#VALUE!</v>
      </c>
      <c r="AT150" t="e">
        <f>AND('Planilla_General_03-12-2012_9_3'!M2387,"AAAAAH8d/y0=")</f>
        <v>#VALUE!</v>
      </c>
      <c r="AU150" t="e">
        <f>AND('Planilla_General_03-12-2012_9_3'!N2387,"AAAAAH8d/y4=")</f>
        <v>#VALUE!</v>
      </c>
      <c r="AV150" t="e">
        <f>AND('Planilla_General_03-12-2012_9_3'!O2387,"AAAAAH8d/y8=")</f>
        <v>#VALUE!</v>
      </c>
      <c r="AW150">
        <f>IF('Planilla_General_03-12-2012_9_3'!2388:2388,"AAAAAH8d/zA=",0)</f>
        <v>0</v>
      </c>
      <c r="AX150" t="e">
        <f>AND('Planilla_General_03-12-2012_9_3'!A2388,"AAAAAH8d/zE=")</f>
        <v>#VALUE!</v>
      </c>
      <c r="AY150" t="e">
        <f>AND('Planilla_General_03-12-2012_9_3'!B2388,"AAAAAH8d/zI=")</f>
        <v>#VALUE!</v>
      </c>
      <c r="AZ150" t="e">
        <f>AND('Planilla_General_03-12-2012_9_3'!C2388,"AAAAAH8d/zM=")</f>
        <v>#VALUE!</v>
      </c>
      <c r="BA150" t="e">
        <f>AND('Planilla_General_03-12-2012_9_3'!D2388,"AAAAAH8d/zQ=")</f>
        <v>#VALUE!</v>
      </c>
      <c r="BB150" t="e">
        <f>AND('Planilla_General_03-12-2012_9_3'!E2388,"AAAAAH8d/zU=")</f>
        <v>#VALUE!</v>
      </c>
      <c r="BC150" t="e">
        <f>AND('Planilla_General_03-12-2012_9_3'!F2388,"AAAAAH8d/zY=")</f>
        <v>#VALUE!</v>
      </c>
      <c r="BD150" t="e">
        <f>AND('Planilla_General_03-12-2012_9_3'!G2388,"AAAAAH8d/zc=")</f>
        <v>#VALUE!</v>
      </c>
      <c r="BE150" t="e">
        <f>AND('Planilla_General_03-12-2012_9_3'!H2388,"AAAAAH8d/zg=")</f>
        <v>#VALUE!</v>
      </c>
      <c r="BF150" t="e">
        <f>AND('Planilla_General_03-12-2012_9_3'!I2388,"AAAAAH8d/zk=")</f>
        <v>#VALUE!</v>
      </c>
      <c r="BG150" t="e">
        <f>AND('Planilla_General_03-12-2012_9_3'!J2388,"AAAAAH8d/zo=")</f>
        <v>#VALUE!</v>
      </c>
      <c r="BH150" t="e">
        <f>AND('Planilla_General_03-12-2012_9_3'!K2388,"AAAAAH8d/zs=")</f>
        <v>#VALUE!</v>
      </c>
      <c r="BI150" t="e">
        <f>AND('Planilla_General_03-12-2012_9_3'!L2388,"AAAAAH8d/zw=")</f>
        <v>#VALUE!</v>
      </c>
      <c r="BJ150" t="e">
        <f>AND('Planilla_General_03-12-2012_9_3'!M2388,"AAAAAH8d/z0=")</f>
        <v>#VALUE!</v>
      </c>
      <c r="BK150" t="e">
        <f>AND('Planilla_General_03-12-2012_9_3'!N2388,"AAAAAH8d/z4=")</f>
        <v>#VALUE!</v>
      </c>
      <c r="BL150" t="e">
        <f>AND('Planilla_General_03-12-2012_9_3'!O2388,"AAAAAH8d/z8=")</f>
        <v>#VALUE!</v>
      </c>
      <c r="BM150">
        <f>IF('Planilla_General_03-12-2012_9_3'!2389:2389,"AAAAAH8d/0A=",0)</f>
        <v>0</v>
      </c>
      <c r="BN150" t="e">
        <f>AND('Planilla_General_03-12-2012_9_3'!A2389,"AAAAAH8d/0E=")</f>
        <v>#VALUE!</v>
      </c>
      <c r="BO150" t="e">
        <f>AND('Planilla_General_03-12-2012_9_3'!B2389,"AAAAAH8d/0I=")</f>
        <v>#VALUE!</v>
      </c>
      <c r="BP150" t="e">
        <f>AND('Planilla_General_03-12-2012_9_3'!C2389,"AAAAAH8d/0M=")</f>
        <v>#VALUE!</v>
      </c>
      <c r="BQ150" t="e">
        <f>AND('Planilla_General_03-12-2012_9_3'!D2389,"AAAAAH8d/0Q=")</f>
        <v>#VALUE!</v>
      </c>
      <c r="BR150" t="e">
        <f>AND('Planilla_General_03-12-2012_9_3'!E2389,"AAAAAH8d/0U=")</f>
        <v>#VALUE!</v>
      </c>
      <c r="BS150" t="e">
        <f>AND('Planilla_General_03-12-2012_9_3'!F2389,"AAAAAH8d/0Y=")</f>
        <v>#VALUE!</v>
      </c>
      <c r="BT150" t="e">
        <f>AND('Planilla_General_03-12-2012_9_3'!G2389,"AAAAAH8d/0c=")</f>
        <v>#VALUE!</v>
      </c>
      <c r="BU150" t="e">
        <f>AND('Planilla_General_03-12-2012_9_3'!H2389,"AAAAAH8d/0g=")</f>
        <v>#VALUE!</v>
      </c>
      <c r="BV150" t="e">
        <f>AND('Planilla_General_03-12-2012_9_3'!I2389,"AAAAAH8d/0k=")</f>
        <v>#VALUE!</v>
      </c>
      <c r="BW150" t="e">
        <f>AND('Planilla_General_03-12-2012_9_3'!J2389,"AAAAAH8d/0o=")</f>
        <v>#VALUE!</v>
      </c>
      <c r="BX150" t="e">
        <f>AND('Planilla_General_03-12-2012_9_3'!K2389,"AAAAAH8d/0s=")</f>
        <v>#VALUE!</v>
      </c>
      <c r="BY150" t="e">
        <f>AND('Planilla_General_03-12-2012_9_3'!L2389,"AAAAAH8d/0w=")</f>
        <v>#VALUE!</v>
      </c>
      <c r="BZ150" t="e">
        <f>AND('Planilla_General_03-12-2012_9_3'!M2389,"AAAAAH8d/00=")</f>
        <v>#VALUE!</v>
      </c>
      <c r="CA150" t="e">
        <f>AND('Planilla_General_03-12-2012_9_3'!N2389,"AAAAAH8d/04=")</f>
        <v>#VALUE!</v>
      </c>
      <c r="CB150" t="e">
        <f>AND('Planilla_General_03-12-2012_9_3'!O2389,"AAAAAH8d/08=")</f>
        <v>#VALUE!</v>
      </c>
      <c r="CC150">
        <f>IF('Planilla_General_03-12-2012_9_3'!2390:2390,"AAAAAH8d/1A=",0)</f>
        <v>0</v>
      </c>
      <c r="CD150" t="e">
        <f>AND('Planilla_General_03-12-2012_9_3'!A2390,"AAAAAH8d/1E=")</f>
        <v>#VALUE!</v>
      </c>
      <c r="CE150" t="e">
        <f>AND('Planilla_General_03-12-2012_9_3'!B2390,"AAAAAH8d/1I=")</f>
        <v>#VALUE!</v>
      </c>
      <c r="CF150" t="e">
        <f>AND('Planilla_General_03-12-2012_9_3'!C2390,"AAAAAH8d/1M=")</f>
        <v>#VALUE!</v>
      </c>
      <c r="CG150" t="e">
        <f>AND('Planilla_General_03-12-2012_9_3'!D2390,"AAAAAH8d/1Q=")</f>
        <v>#VALUE!</v>
      </c>
      <c r="CH150" t="e">
        <f>AND('Planilla_General_03-12-2012_9_3'!E2390,"AAAAAH8d/1U=")</f>
        <v>#VALUE!</v>
      </c>
      <c r="CI150" t="e">
        <f>AND('Planilla_General_03-12-2012_9_3'!F2390,"AAAAAH8d/1Y=")</f>
        <v>#VALUE!</v>
      </c>
      <c r="CJ150" t="e">
        <f>AND('Planilla_General_03-12-2012_9_3'!G2390,"AAAAAH8d/1c=")</f>
        <v>#VALUE!</v>
      </c>
      <c r="CK150" t="e">
        <f>AND('Planilla_General_03-12-2012_9_3'!H2390,"AAAAAH8d/1g=")</f>
        <v>#VALUE!</v>
      </c>
      <c r="CL150" t="e">
        <f>AND('Planilla_General_03-12-2012_9_3'!I2390,"AAAAAH8d/1k=")</f>
        <v>#VALUE!</v>
      </c>
      <c r="CM150" t="e">
        <f>AND('Planilla_General_03-12-2012_9_3'!J2390,"AAAAAH8d/1o=")</f>
        <v>#VALUE!</v>
      </c>
      <c r="CN150" t="e">
        <f>AND('Planilla_General_03-12-2012_9_3'!K2390,"AAAAAH8d/1s=")</f>
        <v>#VALUE!</v>
      </c>
      <c r="CO150" t="e">
        <f>AND('Planilla_General_03-12-2012_9_3'!L2390,"AAAAAH8d/1w=")</f>
        <v>#VALUE!</v>
      </c>
      <c r="CP150" t="e">
        <f>AND('Planilla_General_03-12-2012_9_3'!M2390,"AAAAAH8d/10=")</f>
        <v>#VALUE!</v>
      </c>
      <c r="CQ150" t="e">
        <f>AND('Planilla_General_03-12-2012_9_3'!N2390,"AAAAAH8d/14=")</f>
        <v>#VALUE!</v>
      </c>
      <c r="CR150" t="e">
        <f>AND('Planilla_General_03-12-2012_9_3'!O2390,"AAAAAH8d/18=")</f>
        <v>#VALUE!</v>
      </c>
      <c r="CS150">
        <f>IF('Planilla_General_03-12-2012_9_3'!2391:2391,"AAAAAH8d/2A=",0)</f>
        <v>0</v>
      </c>
      <c r="CT150" t="e">
        <f>AND('Planilla_General_03-12-2012_9_3'!A2391,"AAAAAH8d/2E=")</f>
        <v>#VALUE!</v>
      </c>
      <c r="CU150" t="e">
        <f>AND('Planilla_General_03-12-2012_9_3'!B2391,"AAAAAH8d/2I=")</f>
        <v>#VALUE!</v>
      </c>
      <c r="CV150" t="e">
        <f>AND('Planilla_General_03-12-2012_9_3'!C2391,"AAAAAH8d/2M=")</f>
        <v>#VALUE!</v>
      </c>
      <c r="CW150" t="e">
        <f>AND('Planilla_General_03-12-2012_9_3'!D2391,"AAAAAH8d/2Q=")</f>
        <v>#VALUE!</v>
      </c>
      <c r="CX150" t="e">
        <f>AND('Planilla_General_03-12-2012_9_3'!E2391,"AAAAAH8d/2U=")</f>
        <v>#VALUE!</v>
      </c>
      <c r="CY150" t="e">
        <f>AND('Planilla_General_03-12-2012_9_3'!F2391,"AAAAAH8d/2Y=")</f>
        <v>#VALUE!</v>
      </c>
      <c r="CZ150" t="e">
        <f>AND('Planilla_General_03-12-2012_9_3'!G2391,"AAAAAH8d/2c=")</f>
        <v>#VALUE!</v>
      </c>
      <c r="DA150" t="e">
        <f>AND('Planilla_General_03-12-2012_9_3'!H2391,"AAAAAH8d/2g=")</f>
        <v>#VALUE!</v>
      </c>
      <c r="DB150" t="e">
        <f>AND('Planilla_General_03-12-2012_9_3'!I2391,"AAAAAH8d/2k=")</f>
        <v>#VALUE!</v>
      </c>
      <c r="DC150" t="e">
        <f>AND('Planilla_General_03-12-2012_9_3'!J2391,"AAAAAH8d/2o=")</f>
        <v>#VALUE!</v>
      </c>
      <c r="DD150" t="e">
        <f>AND('Planilla_General_03-12-2012_9_3'!K2391,"AAAAAH8d/2s=")</f>
        <v>#VALUE!</v>
      </c>
      <c r="DE150" t="e">
        <f>AND('Planilla_General_03-12-2012_9_3'!L2391,"AAAAAH8d/2w=")</f>
        <v>#VALUE!</v>
      </c>
      <c r="DF150" t="e">
        <f>AND('Planilla_General_03-12-2012_9_3'!M2391,"AAAAAH8d/20=")</f>
        <v>#VALUE!</v>
      </c>
      <c r="DG150" t="e">
        <f>AND('Planilla_General_03-12-2012_9_3'!N2391,"AAAAAH8d/24=")</f>
        <v>#VALUE!</v>
      </c>
      <c r="DH150" t="e">
        <f>AND('Planilla_General_03-12-2012_9_3'!O2391,"AAAAAH8d/28=")</f>
        <v>#VALUE!</v>
      </c>
      <c r="DI150">
        <f>IF('Planilla_General_03-12-2012_9_3'!2392:2392,"AAAAAH8d/3A=",0)</f>
        <v>0</v>
      </c>
      <c r="DJ150" t="e">
        <f>AND('Planilla_General_03-12-2012_9_3'!A2392,"AAAAAH8d/3E=")</f>
        <v>#VALUE!</v>
      </c>
      <c r="DK150" t="e">
        <f>AND('Planilla_General_03-12-2012_9_3'!B2392,"AAAAAH8d/3I=")</f>
        <v>#VALUE!</v>
      </c>
      <c r="DL150" t="e">
        <f>AND('Planilla_General_03-12-2012_9_3'!C2392,"AAAAAH8d/3M=")</f>
        <v>#VALUE!</v>
      </c>
      <c r="DM150" t="e">
        <f>AND('Planilla_General_03-12-2012_9_3'!D2392,"AAAAAH8d/3Q=")</f>
        <v>#VALUE!</v>
      </c>
      <c r="DN150" t="e">
        <f>AND('Planilla_General_03-12-2012_9_3'!E2392,"AAAAAH8d/3U=")</f>
        <v>#VALUE!</v>
      </c>
      <c r="DO150" t="e">
        <f>AND('Planilla_General_03-12-2012_9_3'!F2392,"AAAAAH8d/3Y=")</f>
        <v>#VALUE!</v>
      </c>
      <c r="DP150" t="e">
        <f>AND('Planilla_General_03-12-2012_9_3'!G2392,"AAAAAH8d/3c=")</f>
        <v>#VALUE!</v>
      </c>
      <c r="DQ150" t="e">
        <f>AND('Planilla_General_03-12-2012_9_3'!H2392,"AAAAAH8d/3g=")</f>
        <v>#VALUE!</v>
      </c>
      <c r="DR150" t="e">
        <f>AND('Planilla_General_03-12-2012_9_3'!I2392,"AAAAAH8d/3k=")</f>
        <v>#VALUE!</v>
      </c>
      <c r="DS150" t="e">
        <f>AND('Planilla_General_03-12-2012_9_3'!J2392,"AAAAAH8d/3o=")</f>
        <v>#VALUE!</v>
      </c>
      <c r="DT150" t="e">
        <f>AND('Planilla_General_03-12-2012_9_3'!K2392,"AAAAAH8d/3s=")</f>
        <v>#VALUE!</v>
      </c>
      <c r="DU150" t="e">
        <f>AND('Planilla_General_03-12-2012_9_3'!L2392,"AAAAAH8d/3w=")</f>
        <v>#VALUE!</v>
      </c>
      <c r="DV150" t="e">
        <f>AND('Planilla_General_03-12-2012_9_3'!M2392,"AAAAAH8d/30=")</f>
        <v>#VALUE!</v>
      </c>
      <c r="DW150" t="e">
        <f>AND('Planilla_General_03-12-2012_9_3'!N2392,"AAAAAH8d/34=")</f>
        <v>#VALUE!</v>
      </c>
      <c r="DX150" t="e">
        <f>AND('Planilla_General_03-12-2012_9_3'!O2392,"AAAAAH8d/38=")</f>
        <v>#VALUE!</v>
      </c>
      <c r="DY150">
        <f>IF('Planilla_General_03-12-2012_9_3'!2393:2393,"AAAAAH8d/4A=",0)</f>
        <v>0</v>
      </c>
      <c r="DZ150" t="e">
        <f>AND('Planilla_General_03-12-2012_9_3'!A2393,"AAAAAH8d/4E=")</f>
        <v>#VALUE!</v>
      </c>
      <c r="EA150" t="e">
        <f>AND('Planilla_General_03-12-2012_9_3'!B2393,"AAAAAH8d/4I=")</f>
        <v>#VALUE!</v>
      </c>
      <c r="EB150" t="e">
        <f>AND('Planilla_General_03-12-2012_9_3'!C2393,"AAAAAH8d/4M=")</f>
        <v>#VALUE!</v>
      </c>
      <c r="EC150" t="e">
        <f>AND('Planilla_General_03-12-2012_9_3'!D2393,"AAAAAH8d/4Q=")</f>
        <v>#VALUE!</v>
      </c>
      <c r="ED150" t="e">
        <f>AND('Planilla_General_03-12-2012_9_3'!E2393,"AAAAAH8d/4U=")</f>
        <v>#VALUE!</v>
      </c>
      <c r="EE150" t="e">
        <f>AND('Planilla_General_03-12-2012_9_3'!F2393,"AAAAAH8d/4Y=")</f>
        <v>#VALUE!</v>
      </c>
      <c r="EF150" t="e">
        <f>AND('Planilla_General_03-12-2012_9_3'!G2393,"AAAAAH8d/4c=")</f>
        <v>#VALUE!</v>
      </c>
      <c r="EG150" t="e">
        <f>AND('Planilla_General_03-12-2012_9_3'!H2393,"AAAAAH8d/4g=")</f>
        <v>#VALUE!</v>
      </c>
      <c r="EH150" t="e">
        <f>AND('Planilla_General_03-12-2012_9_3'!I2393,"AAAAAH8d/4k=")</f>
        <v>#VALUE!</v>
      </c>
      <c r="EI150" t="e">
        <f>AND('Planilla_General_03-12-2012_9_3'!J2393,"AAAAAH8d/4o=")</f>
        <v>#VALUE!</v>
      </c>
      <c r="EJ150" t="e">
        <f>AND('Planilla_General_03-12-2012_9_3'!K2393,"AAAAAH8d/4s=")</f>
        <v>#VALUE!</v>
      </c>
      <c r="EK150" t="e">
        <f>AND('Planilla_General_03-12-2012_9_3'!L2393,"AAAAAH8d/4w=")</f>
        <v>#VALUE!</v>
      </c>
      <c r="EL150" t="e">
        <f>AND('Planilla_General_03-12-2012_9_3'!M2393,"AAAAAH8d/40=")</f>
        <v>#VALUE!</v>
      </c>
      <c r="EM150" t="e">
        <f>AND('Planilla_General_03-12-2012_9_3'!N2393,"AAAAAH8d/44=")</f>
        <v>#VALUE!</v>
      </c>
      <c r="EN150" t="e">
        <f>AND('Planilla_General_03-12-2012_9_3'!O2393,"AAAAAH8d/48=")</f>
        <v>#VALUE!</v>
      </c>
      <c r="EO150">
        <f>IF('Planilla_General_03-12-2012_9_3'!2394:2394,"AAAAAH8d/5A=",0)</f>
        <v>0</v>
      </c>
      <c r="EP150" t="e">
        <f>AND('Planilla_General_03-12-2012_9_3'!A2394,"AAAAAH8d/5E=")</f>
        <v>#VALUE!</v>
      </c>
      <c r="EQ150" t="e">
        <f>AND('Planilla_General_03-12-2012_9_3'!B2394,"AAAAAH8d/5I=")</f>
        <v>#VALUE!</v>
      </c>
      <c r="ER150" t="e">
        <f>AND('Planilla_General_03-12-2012_9_3'!C2394,"AAAAAH8d/5M=")</f>
        <v>#VALUE!</v>
      </c>
      <c r="ES150" t="e">
        <f>AND('Planilla_General_03-12-2012_9_3'!D2394,"AAAAAH8d/5Q=")</f>
        <v>#VALUE!</v>
      </c>
      <c r="ET150" t="e">
        <f>AND('Planilla_General_03-12-2012_9_3'!E2394,"AAAAAH8d/5U=")</f>
        <v>#VALUE!</v>
      </c>
      <c r="EU150" t="e">
        <f>AND('Planilla_General_03-12-2012_9_3'!F2394,"AAAAAH8d/5Y=")</f>
        <v>#VALUE!</v>
      </c>
      <c r="EV150" t="e">
        <f>AND('Planilla_General_03-12-2012_9_3'!G2394,"AAAAAH8d/5c=")</f>
        <v>#VALUE!</v>
      </c>
      <c r="EW150" t="e">
        <f>AND('Planilla_General_03-12-2012_9_3'!H2394,"AAAAAH8d/5g=")</f>
        <v>#VALUE!</v>
      </c>
      <c r="EX150" t="e">
        <f>AND('Planilla_General_03-12-2012_9_3'!I2394,"AAAAAH8d/5k=")</f>
        <v>#VALUE!</v>
      </c>
      <c r="EY150" t="e">
        <f>AND('Planilla_General_03-12-2012_9_3'!J2394,"AAAAAH8d/5o=")</f>
        <v>#VALUE!</v>
      </c>
      <c r="EZ150" t="e">
        <f>AND('Planilla_General_03-12-2012_9_3'!K2394,"AAAAAH8d/5s=")</f>
        <v>#VALUE!</v>
      </c>
      <c r="FA150" t="e">
        <f>AND('Planilla_General_03-12-2012_9_3'!L2394,"AAAAAH8d/5w=")</f>
        <v>#VALUE!</v>
      </c>
      <c r="FB150" t="e">
        <f>AND('Planilla_General_03-12-2012_9_3'!M2394,"AAAAAH8d/50=")</f>
        <v>#VALUE!</v>
      </c>
      <c r="FC150" t="e">
        <f>AND('Planilla_General_03-12-2012_9_3'!N2394,"AAAAAH8d/54=")</f>
        <v>#VALUE!</v>
      </c>
      <c r="FD150" t="e">
        <f>AND('Planilla_General_03-12-2012_9_3'!O2394,"AAAAAH8d/58=")</f>
        <v>#VALUE!</v>
      </c>
      <c r="FE150">
        <f>IF('Planilla_General_03-12-2012_9_3'!2395:2395,"AAAAAH8d/6A=",0)</f>
        <v>0</v>
      </c>
      <c r="FF150" t="e">
        <f>AND('Planilla_General_03-12-2012_9_3'!A2395,"AAAAAH8d/6E=")</f>
        <v>#VALUE!</v>
      </c>
      <c r="FG150" t="e">
        <f>AND('Planilla_General_03-12-2012_9_3'!B2395,"AAAAAH8d/6I=")</f>
        <v>#VALUE!</v>
      </c>
      <c r="FH150" t="e">
        <f>AND('Planilla_General_03-12-2012_9_3'!C2395,"AAAAAH8d/6M=")</f>
        <v>#VALUE!</v>
      </c>
      <c r="FI150" t="e">
        <f>AND('Planilla_General_03-12-2012_9_3'!D2395,"AAAAAH8d/6Q=")</f>
        <v>#VALUE!</v>
      </c>
      <c r="FJ150" t="e">
        <f>AND('Planilla_General_03-12-2012_9_3'!E2395,"AAAAAH8d/6U=")</f>
        <v>#VALUE!</v>
      </c>
      <c r="FK150" t="e">
        <f>AND('Planilla_General_03-12-2012_9_3'!F2395,"AAAAAH8d/6Y=")</f>
        <v>#VALUE!</v>
      </c>
      <c r="FL150" t="e">
        <f>AND('Planilla_General_03-12-2012_9_3'!G2395,"AAAAAH8d/6c=")</f>
        <v>#VALUE!</v>
      </c>
      <c r="FM150" t="e">
        <f>AND('Planilla_General_03-12-2012_9_3'!H2395,"AAAAAH8d/6g=")</f>
        <v>#VALUE!</v>
      </c>
      <c r="FN150" t="e">
        <f>AND('Planilla_General_03-12-2012_9_3'!I2395,"AAAAAH8d/6k=")</f>
        <v>#VALUE!</v>
      </c>
      <c r="FO150" t="e">
        <f>AND('Planilla_General_03-12-2012_9_3'!J2395,"AAAAAH8d/6o=")</f>
        <v>#VALUE!</v>
      </c>
      <c r="FP150" t="e">
        <f>AND('Planilla_General_03-12-2012_9_3'!K2395,"AAAAAH8d/6s=")</f>
        <v>#VALUE!</v>
      </c>
      <c r="FQ150" t="e">
        <f>AND('Planilla_General_03-12-2012_9_3'!L2395,"AAAAAH8d/6w=")</f>
        <v>#VALUE!</v>
      </c>
      <c r="FR150" t="e">
        <f>AND('Planilla_General_03-12-2012_9_3'!M2395,"AAAAAH8d/60=")</f>
        <v>#VALUE!</v>
      </c>
      <c r="FS150" t="e">
        <f>AND('Planilla_General_03-12-2012_9_3'!N2395,"AAAAAH8d/64=")</f>
        <v>#VALUE!</v>
      </c>
      <c r="FT150" t="e">
        <f>AND('Planilla_General_03-12-2012_9_3'!O2395,"AAAAAH8d/68=")</f>
        <v>#VALUE!</v>
      </c>
      <c r="FU150">
        <f>IF('Planilla_General_03-12-2012_9_3'!2396:2396,"AAAAAH8d/7A=",0)</f>
        <v>0</v>
      </c>
      <c r="FV150" t="e">
        <f>AND('Planilla_General_03-12-2012_9_3'!A2396,"AAAAAH8d/7E=")</f>
        <v>#VALUE!</v>
      </c>
      <c r="FW150" t="e">
        <f>AND('Planilla_General_03-12-2012_9_3'!B2396,"AAAAAH8d/7I=")</f>
        <v>#VALUE!</v>
      </c>
      <c r="FX150" t="e">
        <f>AND('Planilla_General_03-12-2012_9_3'!C2396,"AAAAAH8d/7M=")</f>
        <v>#VALUE!</v>
      </c>
      <c r="FY150" t="e">
        <f>AND('Planilla_General_03-12-2012_9_3'!D2396,"AAAAAH8d/7Q=")</f>
        <v>#VALUE!</v>
      </c>
      <c r="FZ150" t="e">
        <f>AND('Planilla_General_03-12-2012_9_3'!E2396,"AAAAAH8d/7U=")</f>
        <v>#VALUE!</v>
      </c>
      <c r="GA150" t="e">
        <f>AND('Planilla_General_03-12-2012_9_3'!F2396,"AAAAAH8d/7Y=")</f>
        <v>#VALUE!</v>
      </c>
      <c r="GB150" t="e">
        <f>AND('Planilla_General_03-12-2012_9_3'!G2396,"AAAAAH8d/7c=")</f>
        <v>#VALUE!</v>
      </c>
      <c r="GC150" t="e">
        <f>AND('Planilla_General_03-12-2012_9_3'!H2396,"AAAAAH8d/7g=")</f>
        <v>#VALUE!</v>
      </c>
      <c r="GD150" t="e">
        <f>AND('Planilla_General_03-12-2012_9_3'!I2396,"AAAAAH8d/7k=")</f>
        <v>#VALUE!</v>
      </c>
      <c r="GE150" t="e">
        <f>AND('Planilla_General_03-12-2012_9_3'!J2396,"AAAAAH8d/7o=")</f>
        <v>#VALUE!</v>
      </c>
      <c r="GF150" t="e">
        <f>AND('Planilla_General_03-12-2012_9_3'!K2396,"AAAAAH8d/7s=")</f>
        <v>#VALUE!</v>
      </c>
      <c r="GG150" t="e">
        <f>AND('Planilla_General_03-12-2012_9_3'!L2396,"AAAAAH8d/7w=")</f>
        <v>#VALUE!</v>
      </c>
      <c r="GH150" t="e">
        <f>AND('Planilla_General_03-12-2012_9_3'!M2396,"AAAAAH8d/70=")</f>
        <v>#VALUE!</v>
      </c>
      <c r="GI150" t="e">
        <f>AND('Planilla_General_03-12-2012_9_3'!N2396,"AAAAAH8d/74=")</f>
        <v>#VALUE!</v>
      </c>
      <c r="GJ150" t="e">
        <f>AND('Planilla_General_03-12-2012_9_3'!O2396,"AAAAAH8d/78=")</f>
        <v>#VALUE!</v>
      </c>
      <c r="GK150">
        <f>IF('Planilla_General_03-12-2012_9_3'!2397:2397,"AAAAAH8d/8A=",0)</f>
        <v>0</v>
      </c>
      <c r="GL150" t="e">
        <f>AND('Planilla_General_03-12-2012_9_3'!A2397,"AAAAAH8d/8E=")</f>
        <v>#VALUE!</v>
      </c>
      <c r="GM150" t="e">
        <f>AND('Planilla_General_03-12-2012_9_3'!B2397,"AAAAAH8d/8I=")</f>
        <v>#VALUE!</v>
      </c>
      <c r="GN150" t="e">
        <f>AND('Planilla_General_03-12-2012_9_3'!C2397,"AAAAAH8d/8M=")</f>
        <v>#VALUE!</v>
      </c>
      <c r="GO150" t="e">
        <f>AND('Planilla_General_03-12-2012_9_3'!D2397,"AAAAAH8d/8Q=")</f>
        <v>#VALUE!</v>
      </c>
      <c r="GP150" t="e">
        <f>AND('Planilla_General_03-12-2012_9_3'!E2397,"AAAAAH8d/8U=")</f>
        <v>#VALUE!</v>
      </c>
      <c r="GQ150" t="e">
        <f>AND('Planilla_General_03-12-2012_9_3'!F2397,"AAAAAH8d/8Y=")</f>
        <v>#VALUE!</v>
      </c>
      <c r="GR150" t="e">
        <f>AND('Planilla_General_03-12-2012_9_3'!G2397,"AAAAAH8d/8c=")</f>
        <v>#VALUE!</v>
      </c>
      <c r="GS150" t="e">
        <f>AND('Planilla_General_03-12-2012_9_3'!H2397,"AAAAAH8d/8g=")</f>
        <v>#VALUE!</v>
      </c>
      <c r="GT150" t="e">
        <f>AND('Planilla_General_03-12-2012_9_3'!I2397,"AAAAAH8d/8k=")</f>
        <v>#VALUE!</v>
      </c>
      <c r="GU150" t="e">
        <f>AND('Planilla_General_03-12-2012_9_3'!J2397,"AAAAAH8d/8o=")</f>
        <v>#VALUE!</v>
      </c>
      <c r="GV150" t="e">
        <f>AND('Planilla_General_03-12-2012_9_3'!K2397,"AAAAAH8d/8s=")</f>
        <v>#VALUE!</v>
      </c>
      <c r="GW150" t="e">
        <f>AND('Planilla_General_03-12-2012_9_3'!L2397,"AAAAAH8d/8w=")</f>
        <v>#VALUE!</v>
      </c>
      <c r="GX150" t="e">
        <f>AND('Planilla_General_03-12-2012_9_3'!M2397,"AAAAAH8d/80=")</f>
        <v>#VALUE!</v>
      </c>
      <c r="GY150" t="e">
        <f>AND('Planilla_General_03-12-2012_9_3'!N2397,"AAAAAH8d/84=")</f>
        <v>#VALUE!</v>
      </c>
      <c r="GZ150" t="e">
        <f>AND('Planilla_General_03-12-2012_9_3'!O2397,"AAAAAH8d/88=")</f>
        <v>#VALUE!</v>
      </c>
      <c r="HA150">
        <f>IF('Planilla_General_03-12-2012_9_3'!2398:2398,"AAAAAH8d/9A=",0)</f>
        <v>0</v>
      </c>
      <c r="HB150" t="e">
        <f>AND('Planilla_General_03-12-2012_9_3'!A2398,"AAAAAH8d/9E=")</f>
        <v>#VALUE!</v>
      </c>
      <c r="HC150" t="e">
        <f>AND('Planilla_General_03-12-2012_9_3'!B2398,"AAAAAH8d/9I=")</f>
        <v>#VALUE!</v>
      </c>
      <c r="HD150" t="e">
        <f>AND('Planilla_General_03-12-2012_9_3'!C2398,"AAAAAH8d/9M=")</f>
        <v>#VALUE!</v>
      </c>
      <c r="HE150" t="e">
        <f>AND('Planilla_General_03-12-2012_9_3'!D2398,"AAAAAH8d/9Q=")</f>
        <v>#VALUE!</v>
      </c>
      <c r="HF150" t="e">
        <f>AND('Planilla_General_03-12-2012_9_3'!E2398,"AAAAAH8d/9U=")</f>
        <v>#VALUE!</v>
      </c>
      <c r="HG150" t="e">
        <f>AND('Planilla_General_03-12-2012_9_3'!F2398,"AAAAAH8d/9Y=")</f>
        <v>#VALUE!</v>
      </c>
      <c r="HH150" t="e">
        <f>AND('Planilla_General_03-12-2012_9_3'!G2398,"AAAAAH8d/9c=")</f>
        <v>#VALUE!</v>
      </c>
      <c r="HI150" t="e">
        <f>AND('Planilla_General_03-12-2012_9_3'!H2398,"AAAAAH8d/9g=")</f>
        <v>#VALUE!</v>
      </c>
      <c r="HJ150" t="e">
        <f>AND('Planilla_General_03-12-2012_9_3'!I2398,"AAAAAH8d/9k=")</f>
        <v>#VALUE!</v>
      </c>
      <c r="HK150" t="e">
        <f>AND('Planilla_General_03-12-2012_9_3'!J2398,"AAAAAH8d/9o=")</f>
        <v>#VALUE!</v>
      </c>
      <c r="HL150" t="e">
        <f>AND('Planilla_General_03-12-2012_9_3'!K2398,"AAAAAH8d/9s=")</f>
        <v>#VALUE!</v>
      </c>
      <c r="HM150" t="e">
        <f>AND('Planilla_General_03-12-2012_9_3'!L2398,"AAAAAH8d/9w=")</f>
        <v>#VALUE!</v>
      </c>
      <c r="HN150" t="e">
        <f>AND('Planilla_General_03-12-2012_9_3'!M2398,"AAAAAH8d/90=")</f>
        <v>#VALUE!</v>
      </c>
      <c r="HO150" t="e">
        <f>AND('Planilla_General_03-12-2012_9_3'!N2398,"AAAAAH8d/94=")</f>
        <v>#VALUE!</v>
      </c>
      <c r="HP150" t="e">
        <f>AND('Planilla_General_03-12-2012_9_3'!O2398,"AAAAAH8d/98=")</f>
        <v>#VALUE!</v>
      </c>
      <c r="HQ150">
        <f>IF('Planilla_General_03-12-2012_9_3'!2399:2399,"AAAAAH8d/+A=",0)</f>
        <v>0</v>
      </c>
      <c r="HR150" t="e">
        <f>AND('Planilla_General_03-12-2012_9_3'!A2399,"AAAAAH8d/+E=")</f>
        <v>#VALUE!</v>
      </c>
      <c r="HS150" t="e">
        <f>AND('Planilla_General_03-12-2012_9_3'!B2399,"AAAAAH8d/+I=")</f>
        <v>#VALUE!</v>
      </c>
      <c r="HT150" t="e">
        <f>AND('Planilla_General_03-12-2012_9_3'!C2399,"AAAAAH8d/+M=")</f>
        <v>#VALUE!</v>
      </c>
      <c r="HU150" t="e">
        <f>AND('Planilla_General_03-12-2012_9_3'!D2399,"AAAAAH8d/+Q=")</f>
        <v>#VALUE!</v>
      </c>
      <c r="HV150" t="e">
        <f>AND('Planilla_General_03-12-2012_9_3'!E2399,"AAAAAH8d/+U=")</f>
        <v>#VALUE!</v>
      </c>
      <c r="HW150" t="e">
        <f>AND('Planilla_General_03-12-2012_9_3'!F2399,"AAAAAH8d/+Y=")</f>
        <v>#VALUE!</v>
      </c>
      <c r="HX150" t="e">
        <f>AND('Planilla_General_03-12-2012_9_3'!G2399,"AAAAAH8d/+c=")</f>
        <v>#VALUE!</v>
      </c>
      <c r="HY150" t="e">
        <f>AND('Planilla_General_03-12-2012_9_3'!H2399,"AAAAAH8d/+g=")</f>
        <v>#VALUE!</v>
      </c>
      <c r="HZ150" t="e">
        <f>AND('Planilla_General_03-12-2012_9_3'!I2399,"AAAAAH8d/+k=")</f>
        <v>#VALUE!</v>
      </c>
      <c r="IA150" t="e">
        <f>AND('Planilla_General_03-12-2012_9_3'!J2399,"AAAAAH8d/+o=")</f>
        <v>#VALUE!</v>
      </c>
      <c r="IB150" t="e">
        <f>AND('Planilla_General_03-12-2012_9_3'!K2399,"AAAAAH8d/+s=")</f>
        <v>#VALUE!</v>
      </c>
      <c r="IC150" t="e">
        <f>AND('Planilla_General_03-12-2012_9_3'!L2399,"AAAAAH8d/+w=")</f>
        <v>#VALUE!</v>
      </c>
      <c r="ID150" t="e">
        <f>AND('Planilla_General_03-12-2012_9_3'!M2399,"AAAAAH8d/+0=")</f>
        <v>#VALUE!</v>
      </c>
      <c r="IE150" t="e">
        <f>AND('Planilla_General_03-12-2012_9_3'!N2399,"AAAAAH8d/+4=")</f>
        <v>#VALUE!</v>
      </c>
      <c r="IF150" t="e">
        <f>AND('Planilla_General_03-12-2012_9_3'!O2399,"AAAAAH8d/+8=")</f>
        <v>#VALUE!</v>
      </c>
      <c r="IG150">
        <f>IF('Planilla_General_03-12-2012_9_3'!2400:2400,"AAAAAH8d//A=",0)</f>
        <v>0</v>
      </c>
      <c r="IH150" t="e">
        <f>AND('Planilla_General_03-12-2012_9_3'!A2400,"AAAAAH8d//E=")</f>
        <v>#VALUE!</v>
      </c>
      <c r="II150" t="e">
        <f>AND('Planilla_General_03-12-2012_9_3'!B2400,"AAAAAH8d//I=")</f>
        <v>#VALUE!</v>
      </c>
      <c r="IJ150" t="e">
        <f>AND('Planilla_General_03-12-2012_9_3'!C2400,"AAAAAH8d//M=")</f>
        <v>#VALUE!</v>
      </c>
      <c r="IK150" t="e">
        <f>AND('Planilla_General_03-12-2012_9_3'!D2400,"AAAAAH8d//Q=")</f>
        <v>#VALUE!</v>
      </c>
      <c r="IL150" t="e">
        <f>AND('Planilla_General_03-12-2012_9_3'!E2400,"AAAAAH8d//U=")</f>
        <v>#VALUE!</v>
      </c>
      <c r="IM150" t="e">
        <f>AND('Planilla_General_03-12-2012_9_3'!F2400,"AAAAAH8d//Y=")</f>
        <v>#VALUE!</v>
      </c>
      <c r="IN150" t="e">
        <f>AND('Planilla_General_03-12-2012_9_3'!G2400,"AAAAAH8d//c=")</f>
        <v>#VALUE!</v>
      </c>
      <c r="IO150" t="e">
        <f>AND('Planilla_General_03-12-2012_9_3'!H2400,"AAAAAH8d//g=")</f>
        <v>#VALUE!</v>
      </c>
      <c r="IP150" t="e">
        <f>AND('Planilla_General_03-12-2012_9_3'!I2400,"AAAAAH8d//k=")</f>
        <v>#VALUE!</v>
      </c>
      <c r="IQ150" t="e">
        <f>AND('Planilla_General_03-12-2012_9_3'!J2400,"AAAAAH8d//o=")</f>
        <v>#VALUE!</v>
      </c>
      <c r="IR150" t="e">
        <f>AND('Planilla_General_03-12-2012_9_3'!K2400,"AAAAAH8d//s=")</f>
        <v>#VALUE!</v>
      </c>
      <c r="IS150" t="e">
        <f>AND('Planilla_General_03-12-2012_9_3'!L2400,"AAAAAH8d//w=")</f>
        <v>#VALUE!</v>
      </c>
      <c r="IT150" t="e">
        <f>AND('Planilla_General_03-12-2012_9_3'!M2400,"AAAAAH8d//0=")</f>
        <v>#VALUE!</v>
      </c>
      <c r="IU150" t="e">
        <f>AND('Planilla_General_03-12-2012_9_3'!N2400,"AAAAAH8d//4=")</f>
        <v>#VALUE!</v>
      </c>
      <c r="IV150" t="e">
        <f>AND('Planilla_General_03-12-2012_9_3'!O2400,"AAAAAH8d//8=")</f>
        <v>#VALUE!</v>
      </c>
    </row>
    <row r="151" spans="1:256" x14ac:dyDescent="0.25">
      <c r="A151" t="e">
        <f>IF('Planilla_General_03-12-2012_9_3'!2401:2401,"AAAAAC5zkwA=",0)</f>
        <v>#VALUE!</v>
      </c>
      <c r="B151" t="e">
        <f>AND('Planilla_General_03-12-2012_9_3'!A2401,"AAAAAC5zkwE=")</f>
        <v>#VALUE!</v>
      </c>
      <c r="C151" t="e">
        <f>AND('Planilla_General_03-12-2012_9_3'!B2401,"AAAAAC5zkwI=")</f>
        <v>#VALUE!</v>
      </c>
      <c r="D151" t="e">
        <f>AND('Planilla_General_03-12-2012_9_3'!C2401,"AAAAAC5zkwM=")</f>
        <v>#VALUE!</v>
      </c>
      <c r="E151" t="e">
        <f>AND('Planilla_General_03-12-2012_9_3'!D2401,"AAAAAC5zkwQ=")</f>
        <v>#VALUE!</v>
      </c>
      <c r="F151" t="e">
        <f>AND('Planilla_General_03-12-2012_9_3'!E2401,"AAAAAC5zkwU=")</f>
        <v>#VALUE!</v>
      </c>
      <c r="G151" t="e">
        <f>AND('Planilla_General_03-12-2012_9_3'!F2401,"AAAAAC5zkwY=")</f>
        <v>#VALUE!</v>
      </c>
      <c r="H151" t="e">
        <f>AND('Planilla_General_03-12-2012_9_3'!G2401,"AAAAAC5zkwc=")</f>
        <v>#VALUE!</v>
      </c>
      <c r="I151" t="e">
        <f>AND('Planilla_General_03-12-2012_9_3'!H2401,"AAAAAC5zkwg=")</f>
        <v>#VALUE!</v>
      </c>
      <c r="J151" t="e">
        <f>AND('Planilla_General_03-12-2012_9_3'!I2401,"AAAAAC5zkwk=")</f>
        <v>#VALUE!</v>
      </c>
      <c r="K151" t="e">
        <f>AND('Planilla_General_03-12-2012_9_3'!J2401,"AAAAAC5zkwo=")</f>
        <v>#VALUE!</v>
      </c>
      <c r="L151" t="e">
        <f>AND('Planilla_General_03-12-2012_9_3'!K2401,"AAAAAC5zkws=")</f>
        <v>#VALUE!</v>
      </c>
      <c r="M151" t="e">
        <f>AND('Planilla_General_03-12-2012_9_3'!L2401,"AAAAAC5zkww=")</f>
        <v>#VALUE!</v>
      </c>
      <c r="N151" t="e">
        <f>AND('Planilla_General_03-12-2012_9_3'!M2401,"AAAAAC5zkw0=")</f>
        <v>#VALUE!</v>
      </c>
      <c r="O151" t="e">
        <f>AND('Planilla_General_03-12-2012_9_3'!N2401,"AAAAAC5zkw4=")</f>
        <v>#VALUE!</v>
      </c>
      <c r="P151" t="e">
        <f>AND('Planilla_General_03-12-2012_9_3'!O2401,"AAAAAC5zkw8=")</f>
        <v>#VALUE!</v>
      </c>
      <c r="Q151">
        <f>IF('Planilla_General_03-12-2012_9_3'!2402:2402,"AAAAAC5zkxA=",0)</f>
        <v>0</v>
      </c>
      <c r="R151" t="e">
        <f>AND('Planilla_General_03-12-2012_9_3'!A2402,"AAAAAC5zkxE=")</f>
        <v>#VALUE!</v>
      </c>
      <c r="S151" t="e">
        <f>AND('Planilla_General_03-12-2012_9_3'!B2402,"AAAAAC5zkxI=")</f>
        <v>#VALUE!</v>
      </c>
      <c r="T151" t="e">
        <f>AND('Planilla_General_03-12-2012_9_3'!C2402,"AAAAAC5zkxM=")</f>
        <v>#VALUE!</v>
      </c>
      <c r="U151" t="e">
        <f>AND('Planilla_General_03-12-2012_9_3'!D2402,"AAAAAC5zkxQ=")</f>
        <v>#VALUE!</v>
      </c>
      <c r="V151" t="e">
        <f>AND('Planilla_General_03-12-2012_9_3'!E2402,"AAAAAC5zkxU=")</f>
        <v>#VALUE!</v>
      </c>
      <c r="W151" t="e">
        <f>AND('Planilla_General_03-12-2012_9_3'!F2402,"AAAAAC5zkxY=")</f>
        <v>#VALUE!</v>
      </c>
      <c r="X151" t="e">
        <f>AND('Planilla_General_03-12-2012_9_3'!G2402,"AAAAAC5zkxc=")</f>
        <v>#VALUE!</v>
      </c>
      <c r="Y151" t="e">
        <f>AND('Planilla_General_03-12-2012_9_3'!H2402,"AAAAAC5zkxg=")</f>
        <v>#VALUE!</v>
      </c>
      <c r="Z151" t="e">
        <f>AND('Planilla_General_03-12-2012_9_3'!I2402,"AAAAAC5zkxk=")</f>
        <v>#VALUE!</v>
      </c>
      <c r="AA151" t="e">
        <f>AND('Planilla_General_03-12-2012_9_3'!J2402,"AAAAAC5zkxo=")</f>
        <v>#VALUE!</v>
      </c>
      <c r="AB151" t="e">
        <f>AND('Planilla_General_03-12-2012_9_3'!K2402,"AAAAAC5zkxs=")</f>
        <v>#VALUE!</v>
      </c>
      <c r="AC151" t="e">
        <f>AND('Planilla_General_03-12-2012_9_3'!L2402,"AAAAAC5zkxw=")</f>
        <v>#VALUE!</v>
      </c>
      <c r="AD151" t="e">
        <f>AND('Planilla_General_03-12-2012_9_3'!M2402,"AAAAAC5zkx0=")</f>
        <v>#VALUE!</v>
      </c>
      <c r="AE151" t="e">
        <f>AND('Planilla_General_03-12-2012_9_3'!N2402,"AAAAAC5zkx4=")</f>
        <v>#VALUE!</v>
      </c>
      <c r="AF151" t="e">
        <f>AND('Planilla_General_03-12-2012_9_3'!O2402,"AAAAAC5zkx8=")</f>
        <v>#VALUE!</v>
      </c>
      <c r="AG151">
        <f>IF('Planilla_General_03-12-2012_9_3'!2403:2403,"AAAAAC5zkyA=",0)</f>
        <v>0</v>
      </c>
      <c r="AH151" t="e">
        <f>AND('Planilla_General_03-12-2012_9_3'!A2403,"AAAAAC5zkyE=")</f>
        <v>#VALUE!</v>
      </c>
      <c r="AI151" t="e">
        <f>AND('Planilla_General_03-12-2012_9_3'!B2403,"AAAAAC5zkyI=")</f>
        <v>#VALUE!</v>
      </c>
      <c r="AJ151" t="e">
        <f>AND('Planilla_General_03-12-2012_9_3'!C2403,"AAAAAC5zkyM=")</f>
        <v>#VALUE!</v>
      </c>
      <c r="AK151" t="e">
        <f>AND('Planilla_General_03-12-2012_9_3'!D2403,"AAAAAC5zkyQ=")</f>
        <v>#VALUE!</v>
      </c>
      <c r="AL151" t="e">
        <f>AND('Planilla_General_03-12-2012_9_3'!E2403,"AAAAAC5zkyU=")</f>
        <v>#VALUE!</v>
      </c>
      <c r="AM151" t="e">
        <f>AND('Planilla_General_03-12-2012_9_3'!F2403,"AAAAAC5zkyY=")</f>
        <v>#VALUE!</v>
      </c>
      <c r="AN151" t="e">
        <f>AND('Planilla_General_03-12-2012_9_3'!G2403,"AAAAAC5zkyc=")</f>
        <v>#VALUE!</v>
      </c>
      <c r="AO151" t="e">
        <f>AND('Planilla_General_03-12-2012_9_3'!H2403,"AAAAAC5zkyg=")</f>
        <v>#VALUE!</v>
      </c>
      <c r="AP151" t="e">
        <f>AND('Planilla_General_03-12-2012_9_3'!I2403,"AAAAAC5zkyk=")</f>
        <v>#VALUE!</v>
      </c>
      <c r="AQ151" t="e">
        <f>AND('Planilla_General_03-12-2012_9_3'!J2403,"AAAAAC5zkyo=")</f>
        <v>#VALUE!</v>
      </c>
      <c r="AR151" t="e">
        <f>AND('Planilla_General_03-12-2012_9_3'!K2403,"AAAAAC5zkys=")</f>
        <v>#VALUE!</v>
      </c>
      <c r="AS151" t="e">
        <f>AND('Planilla_General_03-12-2012_9_3'!L2403,"AAAAAC5zkyw=")</f>
        <v>#VALUE!</v>
      </c>
      <c r="AT151" t="e">
        <f>AND('Planilla_General_03-12-2012_9_3'!M2403,"AAAAAC5zky0=")</f>
        <v>#VALUE!</v>
      </c>
      <c r="AU151" t="e">
        <f>AND('Planilla_General_03-12-2012_9_3'!N2403,"AAAAAC5zky4=")</f>
        <v>#VALUE!</v>
      </c>
      <c r="AV151" t="e">
        <f>AND('Planilla_General_03-12-2012_9_3'!O2403,"AAAAAC5zky8=")</f>
        <v>#VALUE!</v>
      </c>
      <c r="AW151">
        <f>IF('Planilla_General_03-12-2012_9_3'!2404:2404,"AAAAAC5zkzA=",0)</f>
        <v>0</v>
      </c>
      <c r="AX151" t="e">
        <f>AND('Planilla_General_03-12-2012_9_3'!A2404,"AAAAAC5zkzE=")</f>
        <v>#VALUE!</v>
      </c>
      <c r="AY151" t="e">
        <f>AND('Planilla_General_03-12-2012_9_3'!B2404,"AAAAAC5zkzI=")</f>
        <v>#VALUE!</v>
      </c>
      <c r="AZ151" t="e">
        <f>AND('Planilla_General_03-12-2012_9_3'!C2404,"AAAAAC5zkzM=")</f>
        <v>#VALUE!</v>
      </c>
      <c r="BA151" t="e">
        <f>AND('Planilla_General_03-12-2012_9_3'!D2404,"AAAAAC5zkzQ=")</f>
        <v>#VALUE!</v>
      </c>
      <c r="BB151" t="e">
        <f>AND('Planilla_General_03-12-2012_9_3'!E2404,"AAAAAC5zkzU=")</f>
        <v>#VALUE!</v>
      </c>
      <c r="BC151" t="e">
        <f>AND('Planilla_General_03-12-2012_9_3'!F2404,"AAAAAC5zkzY=")</f>
        <v>#VALUE!</v>
      </c>
      <c r="BD151" t="e">
        <f>AND('Planilla_General_03-12-2012_9_3'!G2404,"AAAAAC5zkzc=")</f>
        <v>#VALUE!</v>
      </c>
      <c r="BE151" t="e">
        <f>AND('Planilla_General_03-12-2012_9_3'!H2404,"AAAAAC5zkzg=")</f>
        <v>#VALUE!</v>
      </c>
      <c r="BF151" t="e">
        <f>AND('Planilla_General_03-12-2012_9_3'!I2404,"AAAAAC5zkzk=")</f>
        <v>#VALUE!</v>
      </c>
      <c r="BG151" t="e">
        <f>AND('Planilla_General_03-12-2012_9_3'!J2404,"AAAAAC5zkzo=")</f>
        <v>#VALUE!</v>
      </c>
      <c r="BH151" t="e">
        <f>AND('Planilla_General_03-12-2012_9_3'!K2404,"AAAAAC5zkzs=")</f>
        <v>#VALUE!</v>
      </c>
      <c r="BI151" t="e">
        <f>AND('Planilla_General_03-12-2012_9_3'!L2404,"AAAAAC5zkzw=")</f>
        <v>#VALUE!</v>
      </c>
      <c r="BJ151" t="e">
        <f>AND('Planilla_General_03-12-2012_9_3'!M2404,"AAAAAC5zkz0=")</f>
        <v>#VALUE!</v>
      </c>
      <c r="BK151" t="e">
        <f>AND('Planilla_General_03-12-2012_9_3'!N2404,"AAAAAC5zkz4=")</f>
        <v>#VALUE!</v>
      </c>
      <c r="BL151" t="e">
        <f>AND('Planilla_General_03-12-2012_9_3'!O2404,"AAAAAC5zkz8=")</f>
        <v>#VALUE!</v>
      </c>
      <c r="BM151">
        <f>IF('Planilla_General_03-12-2012_9_3'!2405:2405,"AAAAAC5zk0A=",0)</f>
        <v>0</v>
      </c>
      <c r="BN151" t="e">
        <f>AND('Planilla_General_03-12-2012_9_3'!A2405,"AAAAAC5zk0E=")</f>
        <v>#VALUE!</v>
      </c>
      <c r="BO151" t="e">
        <f>AND('Planilla_General_03-12-2012_9_3'!B2405,"AAAAAC5zk0I=")</f>
        <v>#VALUE!</v>
      </c>
      <c r="BP151" t="e">
        <f>AND('Planilla_General_03-12-2012_9_3'!C2405,"AAAAAC5zk0M=")</f>
        <v>#VALUE!</v>
      </c>
      <c r="BQ151" t="e">
        <f>AND('Planilla_General_03-12-2012_9_3'!D2405,"AAAAAC5zk0Q=")</f>
        <v>#VALUE!</v>
      </c>
      <c r="BR151" t="e">
        <f>AND('Planilla_General_03-12-2012_9_3'!E2405,"AAAAAC5zk0U=")</f>
        <v>#VALUE!</v>
      </c>
      <c r="BS151" t="e">
        <f>AND('Planilla_General_03-12-2012_9_3'!F2405,"AAAAAC5zk0Y=")</f>
        <v>#VALUE!</v>
      </c>
      <c r="BT151" t="e">
        <f>AND('Planilla_General_03-12-2012_9_3'!G2405,"AAAAAC5zk0c=")</f>
        <v>#VALUE!</v>
      </c>
      <c r="BU151" t="e">
        <f>AND('Planilla_General_03-12-2012_9_3'!H2405,"AAAAAC5zk0g=")</f>
        <v>#VALUE!</v>
      </c>
      <c r="BV151" t="e">
        <f>AND('Planilla_General_03-12-2012_9_3'!I2405,"AAAAAC5zk0k=")</f>
        <v>#VALUE!</v>
      </c>
      <c r="BW151" t="e">
        <f>AND('Planilla_General_03-12-2012_9_3'!J2405,"AAAAAC5zk0o=")</f>
        <v>#VALUE!</v>
      </c>
      <c r="BX151" t="e">
        <f>AND('Planilla_General_03-12-2012_9_3'!K2405,"AAAAAC5zk0s=")</f>
        <v>#VALUE!</v>
      </c>
      <c r="BY151" t="e">
        <f>AND('Planilla_General_03-12-2012_9_3'!L2405,"AAAAAC5zk0w=")</f>
        <v>#VALUE!</v>
      </c>
      <c r="BZ151" t="e">
        <f>AND('Planilla_General_03-12-2012_9_3'!M2405,"AAAAAC5zk00=")</f>
        <v>#VALUE!</v>
      </c>
      <c r="CA151" t="e">
        <f>AND('Planilla_General_03-12-2012_9_3'!N2405,"AAAAAC5zk04=")</f>
        <v>#VALUE!</v>
      </c>
      <c r="CB151" t="e">
        <f>AND('Planilla_General_03-12-2012_9_3'!O2405,"AAAAAC5zk08=")</f>
        <v>#VALUE!</v>
      </c>
      <c r="CC151">
        <f>IF('Planilla_General_03-12-2012_9_3'!2406:2406,"AAAAAC5zk1A=",0)</f>
        <v>0</v>
      </c>
      <c r="CD151" t="e">
        <f>AND('Planilla_General_03-12-2012_9_3'!A2406,"AAAAAC5zk1E=")</f>
        <v>#VALUE!</v>
      </c>
      <c r="CE151" t="e">
        <f>AND('Planilla_General_03-12-2012_9_3'!B2406,"AAAAAC5zk1I=")</f>
        <v>#VALUE!</v>
      </c>
      <c r="CF151" t="e">
        <f>AND('Planilla_General_03-12-2012_9_3'!C2406,"AAAAAC5zk1M=")</f>
        <v>#VALUE!</v>
      </c>
      <c r="CG151" t="e">
        <f>AND('Planilla_General_03-12-2012_9_3'!D2406,"AAAAAC5zk1Q=")</f>
        <v>#VALUE!</v>
      </c>
      <c r="CH151" t="e">
        <f>AND('Planilla_General_03-12-2012_9_3'!E2406,"AAAAAC5zk1U=")</f>
        <v>#VALUE!</v>
      </c>
      <c r="CI151" t="e">
        <f>AND('Planilla_General_03-12-2012_9_3'!F2406,"AAAAAC5zk1Y=")</f>
        <v>#VALUE!</v>
      </c>
      <c r="CJ151" t="e">
        <f>AND('Planilla_General_03-12-2012_9_3'!G2406,"AAAAAC5zk1c=")</f>
        <v>#VALUE!</v>
      </c>
      <c r="CK151" t="e">
        <f>AND('Planilla_General_03-12-2012_9_3'!H2406,"AAAAAC5zk1g=")</f>
        <v>#VALUE!</v>
      </c>
      <c r="CL151" t="e">
        <f>AND('Planilla_General_03-12-2012_9_3'!I2406,"AAAAAC5zk1k=")</f>
        <v>#VALUE!</v>
      </c>
      <c r="CM151" t="e">
        <f>AND('Planilla_General_03-12-2012_9_3'!J2406,"AAAAAC5zk1o=")</f>
        <v>#VALUE!</v>
      </c>
      <c r="CN151" t="e">
        <f>AND('Planilla_General_03-12-2012_9_3'!K2406,"AAAAAC5zk1s=")</f>
        <v>#VALUE!</v>
      </c>
      <c r="CO151" t="e">
        <f>AND('Planilla_General_03-12-2012_9_3'!L2406,"AAAAAC5zk1w=")</f>
        <v>#VALUE!</v>
      </c>
      <c r="CP151" t="e">
        <f>AND('Planilla_General_03-12-2012_9_3'!M2406,"AAAAAC5zk10=")</f>
        <v>#VALUE!</v>
      </c>
      <c r="CQ151" t="e">
        <f>AND('Planilla_General_03-12-2012_9_3'!N2406,"AAAAAC5zk14=")</f>
        <v>#VALUE!</v>
      </c>
      <c r="CR151" t="e">
        <f>AND('Planilla_General_03-12-2012_9_3'!O2406,"AAAAAC5zk18=")</f>
        <v>#VALUE!</v>
      </c>
      <c r="CS151">
        <f>IF('Planilla_General_03-12-2012_9_3'!2407:2407,"AAAAAC5zk2A=",0)</f>
        <v>0</v>
      </c>
      <c r="CT151" t="e">
        <f>AND('Planilla_General_03-12-2012_9_3'!A2407,"AAAAAC5zk2E=")</f>
        <v>#VALUE!</v>
      </c>
      <c r="CU151" t="e">
        <f>AND('Planilla_General_03-12-2012_9_3'!B2407,"AAAAAC5zk2I=")</f>
        <v>#VALUE!</v>
      </c>
      <c r="CV151" t="e">
        <f>AND('Planilla_General_03-12-2012_9_3'!C2407,"AAAAAC5zk2M=")</f>
        <v>#VALUE!</v>
      </c>
      <c r="CW151" t="e">
        <f>AND('Planilla_General_03-12-2012_9_3'!D2407,"AAAAAC5zk2Q=")</f>
        <v>#VALUE!</v>
      </c>
      <c r="CX151" t="e">
        <f>AND('Planilla_General_03-12-2012_9_3'!E2407,"AAAAAC5zk2U=")</f>
        <v>#VALUE!</v>
      </c>
      <c r="CY151" t="e">
        <f>AND('Planilla_General_03-12-2012_9_3'!F2407,"AAAAAC5zk2Y=")</f>
        <v>#VALUE!</v>
      </c>
      <c r="CZ151" t="e">
        <f>AND('Planilla_General_03-12-2012_9_3'!G2407,"AAAAAC5zk2c=")</f>
        <v>#VALUE!</v>
      </c>
      <c r="DA151" t="e">
        <f>AND('Planilla_General_03-12-2012_9_3'!H2407,"AAAAAC5zk2g=")</f>
        <v>#VALUE!</v>
      </c>
      <c r="DB151" t="e">
        <f>AND('Planilla_General_03-12-2012_9_3'!I2407,"AAAAAC5zk2k=")</f>
        <v>#VALUE!</v>
      </c>
      <c r="DC151" t="e">
        <f>AND('Planilla_General_03-12-2012_9_3'!J2407,"AAAAAC5zk2o=")</f>
        <v>#VALUE!</v>
      </c>
      <c r="DD151" t="e">
        <f>AND('Planilla_General_03-12-2012_9_3'!K2407,"AAAAAC5zk2s=")</f>
        <v>#VALUE!</v>
      </c>
      <c r="DE151" t="e">
        <f>AND('Planilla_General_03-12-2012_9_3'!L2407,"AAAAAC5zk2w=")</f>
        <v>#VALUE!</v>
      </c>
      <c r="DF151" t="e">
        <f>AND('Planilla_General_03-12-2012_9_3'!M2407,"AAAAAC5zk20=")</f>
        <v>#VALUE!</v>
      </c>
      <c r="DG151" t="e">
        <f>AND('Planilla_General_03-12-2012_9_3'!N2407,"AAAAAC5zk24=")</f>
        <v>#VALUE!</v>
      </c>
      <c r="DH151" t="e">
        <f>AND('Planilla_General_03-12-2012_9_3'!O2407,"AAAAAC5zk28=")</f>
        <v>#VALUE!</v>
      </c>
      <c r="DI151">
        <f>IF('Planilla_General_03-12-2012_9_3'!2408:2408,"AAAAAC5zk3A=",0)</f>
        <v>0</v>
      </c>
      <c r="DJ151" t="e">
        <f>AND('Planilla_General_03-12-2012_9_3'!A2408,"AAAAAC5zk3E=")</f>
        <v>#VALUE!</v>
      </c>
      <c r="DK151" t="e">
        <f>AND('Planilla_General_03-12-2012_9_3'!B2408,"AAAAAC5zk3I=")</f>
        <v>#VALUE!</v>
      </c>
      <c r="DL151" t="e">
        <f>AND('Planilla_General_03-12-2012_9_3'!C2408,"AAAAAC5zk3M=")</f>
        <v>#VALUE!</v>
      </c>
      <c r="DM151" t="e">
        <f>AND('Planilla_General_03-12-2012_9_3'!D2408,"AAAAAC5zk3Q=")</f>
        <v>#VALUE!</v>
      </c>
      <c r="DN151" t="e">
        <f>AND('Planilla_General_03-12-2012_9_3'!E2408,"AAAAAC5zk3U=")</f>
        <v>#VALUE!</v>
      </c>
      <c r="DO151" t="e">
        <f>AND('Planilla_General_03-12-2012_9_3'!F2408,"AAAAAC5zk3Y=")</f>
        <v>#VALUE!</v>
      </c>
      <c r="DP151" t="e">
        <f>AND('Planilla_General_03-12-2012_9_3'!G2408,"AAAAAC5zk3c=")</f>
        <v>#VALUE!</v>
      </c>
      <c r="DQ151" t="e">
        <f>AND('Planilla_General_03-12-2012_9_3'!H2408,"AAAAAC5zk3g=")</f>
        <v>#VALUE!</v>
      </c>
      <c r="DR151" t="e">
        <f>AND('Planilla_General_03-12-2012_9_3'!I2408,"AAAAAC5zk3k=")</f>
        <v>#VALUE!</v>
      </c>
      <c r="DS151" t="e">
        <f>AND('Planilla_General_03-12-2012_9_3'!J2408,"AAAAAC5zk3o=")</f>
        <v>#VALUE!</v>
      </c>
      <c r="DT151" t="e">
        <f>AND('Planilla_General_03-12-2012_9_3'!K2408,"AAAAAC5zk3s=")</f>
        <v>#VALUE!</v>
      </c>
      <c r="DU151" t="e">
        <f>AND('Planilla_General_03-12-2012_9_3'!L2408,"AAAAAC5zk3w=")</f>
        <v>#VALUE!</v>
      </c>
      <c r="DV151" t="e">
        <f>AND('Planilla_General_03-12-2012_9_3'!M2408,"AAAAAC5zk30=")</f>
        <v>#VALUE!</v>
      </c>
      <c r="DW151" t="e">
        <f>AND('Planilla_General_03-12-2012_9_3'!N2408,"AAAAAC5zk34=")</f>
        <v>#VALUE!</v>
      </c>
      <c r="DX151" t="e">
        <f>AND('Planilla_General_03-12-2012_9_3'!O2408,"AAAAAC5zk38=")</f>
        <v>#VALUE!</v>
      </c>
      <c r="DY151">
        <f>IF('Planilla_General_03-12-2012_9_3'!2409:2409,"AAAAAC5zk4A=",0)</f>
        <v>0</v>
      </c>
      <c r="DZ151" t="e">
        <f>AND('Planilla_General_03-12-2012_9_3'!A2409,"AAAAAC5zk4E=")</f>
        <v>#VALUE!</v>
      </c>
      <c r="EA151" t="e">
        <f>AND('Planilla_General_03-12-2012_9_3'!B2409,"AAAAAC5zk4I=")</f>
        <v>#VALUE!</v>
      </c>
      <c r="EB151" t="e">
        <f>AND('Planilla_General_03-12-2012_9_3'!C2409,"AAAAAC5zk4M=")</f>
        <v>#VALUE!</v>
      </c>
      <c r="EC151" t="e">
        <f>AND('Planilla_General_03-12-2012_9_3'!D2409,"AAAAAC5zk4Q=")</f>
        <v>#VALUE!</v>
      </c>
      <c r="ED151" t="e">
        <f>AND('Planilla_General_03-12-2012_9_3'!E2409,"AAAAAC5zk4U=")</f>
        <v>#VALUE!</v>
      </c>
      <c r="EE151" t="e">
        <f>AND('Planilla_General_03-12-2012_9_3'!F2409,"AAAAAC5zk4Y=")</f>
        <v>#VALUE!</v>
      </c>
      <c r="EF151" t="e">
        <f>AND('Planilla_General_03-12-2012_9_3'!G2409,"AAAAAC5zk4c=")</f>
        <v>#VALUE!</v>
      </c>
      <c r="EG151" t="e">
        <f>AND('Planilla_General_03-12-2012_9_3'!H2409,"AAAAAC5zk4g=")</f>
        <v>#VALUE!</v>
      </c>
      <c r="EH151" t="e">
        <f>AND('Planilla_General_03-12-2012_9_3'!I2409,"AAAAAC5zk4k=")</f>
        <v>#VALUE!</v>
      </c>
      <c r="EI151" t="e">
        <f>AND('Planilla_General_03-12-2012_9_3'!J2409,"AAAAAC5zk4o=")</f>
        <v>#VALUE!</v>
      </c>
      <c r="EJ151" t="e">
        <f>AND('Planilla_General_03-12-2012_9_3'!K2409,"AAAAAC5zk4s=")</f>
        <v>#VALUE!</v>
      </c>
      <c r="EK151" t="e">
        <f>AND('Planilla_General_03-12-2012_9_3'!L2409,"AAAAAC5zk4w=")</f>
        <v>#VALUE!</v>
      </c>
      <c r="EL151" t="e">
        <f>AND('Planilla_General_03-12-2012_9_3'!M2409,"AAAAAC5zk40=")</f>
        <v>#VALUE!</v>
      </c>
      <c r="EM151" t="e">
        <f>AND('Planilla_General_03-12-2012_9_3'!N2409,"AAAAAC5zk44=")</f>
        <v>#VALUE!</v>
      </c>
      <c r="EN151" t="e">
        <f>AND('Planilla_General_03-12-2012_9_3'!O2409,"AAAAAC5zk48=")</f>
        <v>#VALUE!</v>
      </c>
      <c r="EO151">
        <f>IF('Planilla_General_03-12-2012_9_3'!2410:2410,"AAAAAC5zk5A=",0)</f>
        <v>0</v>
      </c>
      <c r="EP151" t="e">
        <f>AND('Planilla_General_03-12-2012_9_3'!A2410,"AAAAAC5zk5E=")</f>
        <v>#VALUE!</v>
      </c>
      <c r="EQ151" t="e">
        <f>AND('Planilla_General_03-12-2012_9_3'!B2410,"AAAAAC5zk5I=")</f>
        <v>#VALUE!</v>
      </c>
      <c r="ER151" t="e">
        <f>AND('Planilla_General_03-12-2012_9_3'!C2410,"AAAAAC5zk5M=")</f>
        <v>#VALUE!</v>
      </c>
      <c r="ES151" t="e">
        <f>AND('Planilla_General_03-12-2012_9_3'!D2410,"AAAAAC5zk5Q=")</f>
        <v>#VALUE!</v>
      </c>
      <c r="ET151" t="e">
        <f>AND('Planilla_General_03-12-2012_9_3'!E2410,"AAAAAC5zk5U=")</f>
        <v>#VALUE!</v>
      </c>
      <c r="EU151" t="e">
        <f>AND('Planilla_General_03-12-2012_9_3'!F2410,"AAAAAC5zk5Y=")</f>
        <v>#VALUE!</v>
      </c>
      <c r="EV151" t="e">
        <f>AND('Planilla_General_03-12-2012_9_3'!G2410,"AAAAAC5zk5c=")</f>
        <v>#VALUE!</v>
      </c>
      <c r="EW151" t="e">
        <f>AND('Planilla_General_03-12-2012_9_3'!H2410,"AAAAAC5zk5g=")</f>
        <v>#VALUE!</v>
      </c>
      <c r="EX151" t="e">
        <f>AND('Planilla_General_03-12-2012_9_3'!I2410,"AAAAAC5zk5k=")</f>
        <v>#VALUE!</v>
      </c>
      <c r="EY151" t="e">
        <f>AND('Planilla_General_03-12-2012_9_3'!J2410,"AAAAAC5zk5o=")</f>
        <v>#VALUE!</v>
      </c>
      <c r="EZ151" t="e">
        <f>AND('Planilla_General_03-12-2012_9_3'!K2410,"AAAAAC5zk5s=")</f>
        <v>#VALUE!</v>
      </c>
      <c r="FA151" t="e">
        <f>AND('Planilla_General_03-12-2012_9_3'!L2410,"AAAAAC5zk5w=")</f>
        <v>#VALUE!</v>
      </c>
      <c r="FB151" t="e">
        <f>AND('Planilla_General_03-12-2012_9_3'!M2410,"AAAAAC5zk50=")</f>
        <v>#VALUE!</v>
      </c>
      <c r="FC151" t="e">
        <f>AND('Planilla_General_03-12-2012_9_3'!N2410,"AAAAAC5zk54=")</f>
        <v>#VALUE!</v>
      </c>
      <c r="FD151" t="e">
        <f>AND('Planilla_General_03-12-2012_9_3'!O2410,"AAAAAC5zk58=")</f>
        <v>#VALUE!</v>
      </c>
      <c r="FE151">
        <f>IF('Planilla_General_03-12-2012_9_3'!2411:2411,"AAAAAC5zk6A=",0)</f>
        <v>0</v>
      </c>
      <c r="FF151" t="e">
        <f>AND('Planilla_General_03-12-2012_9_3'!A2411,"AAAAAC5zk6E=")</f>
        <v>#VALUE!</v>
      </c>
      <c r="FG151" t="e">
        <f>AND('Planilla_General_03-12-2012_9_3'!B2411,"AAAAAC5zk6I=")</f>
        <v>#VALUE!</v>
      </c>
      <c r="FH151" t="e">
        <f>AND('Planilla_General_03-12-2012_9_3'!C2411,"AAAAAC5zk6M=")</f>
        <v>#VALUE!</v>
      </c>
      <c r="FI151" t="e">
        <f>AND('Planilla_General_03-12-2012_9_3'!D2411,"AAAAAC5zk6Q=")</f>
        <v>#VALUE!</v>
      </c>
      <c r="FJ151" t="e">
        <f>AND('Planilla_General_03-12-2012_9_3'!E2411,"AAAAAC5zk6U=")</f>
        <v>#VALUE!</v>
      </c>
      <c r="FK151" t="e">
        <f>AND('Planilla_General_03-12-2012_9_3'!F2411,"AAAAAC5zk6Y=")</f>
        <v>#VALUE!</v>
      </c>
      <c r="FL151" t="e">
        <f>AND('Planilla_General_03-12-2012_9_3'!G2411,"AAAAAC5zk6c=")</f>
        <v>#VALUE!</v>
      </c>
      <c r="FM151" t="e">
        <f>AND('Planilla_General_03-12-2012_9_3'!H2411,"AAAAAC5zk6g=")</f>
        <v>#VALUE!</v>
      </c>
      <c r="FN151" t="e">
        <f>AND('Planilla_General_03-12-2012_9_3'!I2411,"AAAAAC5zk6k=")</f>
        <v>#VALUE!</v>
      </c>
      <c r="FO151" t="e">
        <f>AND('Planilla_General_03-12-2012_9_3'!J2411,"AAAAAC5zk6o=")</f>
        <v>#VALUE!</v>
      </c>
      <c r="FP151" t="e">
        <f>AND('Planilla_General_03-12-2012_9_3'!K2411,"AAAAAC5zk6s=")</f>
        <v>#VALUE!</v>
      </c>
      <c r="FQ151" t="e">
        <f>AND('Planilla_General_03-12-2012_9_3'!L2411,"AAAAAC5zk6w=")</f>
        <v>#VALUE!</v>
      </c>
      <c r="FR151" t="e">
        <f>AND('Planilla_General_03-12-2012_9_3'!M2411,"AAAAAC5zk60=")</f>
        <v>#VALUE!</v>
      </c>
      <c r="FS151" t="e">
        <f>AND('Planilla_General_03-12-2012_9_3'!N2411,"AAAAAC5zk64=")</f>
        <v>#VALUE!</v>
      </c>
      <c r="FT151" t="e">
        <f>AND('Planilla_General_03-12-2012_9_3'!O2411,"AAAAAC5zk68=")</f>
        <v>#VALUE!</v>
      </c>
      <c r="FU151">
        <f>IF('Planilla_General_03-12-2012_9_3'!2412:2412,"AAAAAC5zk7A=",0)</f>
        <v>0</v>
      </c>
      <c r="FV151" t="e">
        <f>AND('Planilla_General_03-12-2012_9_3'!A2412,"AAAAAC5zk7E=")</f>
        <v>#VALUE!</v>
      </c>
      <c r="FW151" t="e">
        <f>AND('Planilla_General_03-12-2012_9_3'!B2412,"AAAAAC5zk7I=")</f>
        <v>#VALUE!</v>
      </c>
      <c r="FX151" t="e">
        <f>AND('Planilla_General_03-12-2012_9_3'!C2412,"AAAAAC5zk7M=")</f>
        <v>#VALUE!</v>
      </c>
      <c r="FY151" t="e">
        <f>AND('Planilla_General_03-12-2012_9_3'!D2412,"AAAAAC5zk7Q=")</f>
        <v>#VALUE!</v>
      </c>
      <c r="FZ151" t="e">
        <f>AND('Planilla_General_03-12-2012_9_3'!E2412,"AAAAAC5zk7U=")</f>
        <v>#VALUE!</v>
      </c>
      <c r="GA151" t="e">
        <f>AND('Planilla_General_03-12-2012_9_3'!F2412,"AAAAAC5zk7Y=")</f>
        <v>#VALUE!</v>
      </c>
      <c r="GB151" t="e">
        <f>AND('Planilla_General_03-12-2012_9_3'!G2412,"AAAAAC5zk7c=")</f>
        <v>#VALUE!</v>
      </c>
      <c r="GC151" t="e">
        <f>AND('Planilla_General_03-12-2012_9_3'!H2412,"AAAAAC5zk7g=")</f>
        <v>#VALUE!</v>
      </c>
      <c r="GD151" t="e">
        <f>AND('Planilla_General_03-12-2012_9_3'!I2412,"AAAAAC5zk7k=")</f>
        <v>#VALUE!</v>
      </c>
      <c r="GE151" t="e">
        <f>AND('Planilla_General_03-12-2012_9_3'!J2412,"AAAAAC5zk7o=")</f>
        <v>#VALUE!</v>
      </c>
      <c r="GF151" t="e">
        <f>AND('Planilla_General_03-12-2012_9_3'!K2412,"AAAAAC5zk7s=")</f>
        <v>#VALUE!</v>
      </c>
      <c r="GG151" t="e">
        <f>AND('Planilla_General_03-12-2012_9_3'!L2412,"AAAAAC5zk7w=")</f>
        <v>#VALUE!</v>
      </c>
      <c r="GH151" t="e">
        <f>AND('Planilla_General_03-12-2012_9_3'!M2412,"AAAAAC5zk70=")</f>
        <v>#VALUE!</v>
      </c>
      <c r="GI151" t="e">
        <f>AND('Planilla_General_03-12-2012_9_3'!N2412,"AAAAAC5zk74=")</f>
        <v>#VALUE!</v>
      </c>
      <c r="GJ151" t="e">
        <f>AND('Planilla_General_03-12-2012_9_3'!O2412,"AAAAAC5zk78=")</f>
        <v>#VALUE!</v>
      </c>
      <c r="GK151">
        <f>IF('Planilla_General_03-12-2012_9_3'!2413:2413,"AAAAAC5zk8A=",0)</f>
        <v>0</v>
      </c>
      <c r="GL151" t="e">
        <f>AND('Planilla_General_03-12-2012_9_3'!A2413,"AAAAAC5zk8E=")</f>
        <v>#VALUE!</v>
      </c>
      <c r="GM151" t="e">
        <f>AND('Planilla_General_03-12-2012_9_3'!B2413,"AAAAAC5zk8I=")</f>
        <v>#VALUE!</v>
      </c>
      <c r="GN151" t="e">
        <f>AND('Planilla_General_03-12-2012_9_3'!C2413,"AAAAAC5zk8M=")</f>
        <v>#VALUE!</v>
      </c>
      <c r="GO151" t="e">
        <f>AND('Planilla_General_03-12-2012_9_3'!D2413,"AAAAAC5zk8Q=")</f>
        <v>#VALUE!</v>
      </c>
      <c r="GP151" t="e">
        <f>AND('Planilla_General_03-12-2012_9_3'!E2413,"AAAAAC5zk8U=")</f>
        <v>#VALUE!</v>
      </c>
      <c r="GQ151" t="e">
        <f>AND('Planilla_General_03-12-2012_9_3'!F2413,"AAAAAC5zk8Y=")</f>
        <v>#VALUE!</v>
      </c>
      <c r="GR151" t="e">
        <f>AND('Planilla_General_03-12-2012_9_3'!G2413,"AAAAAC5zk8c=")</f>
        <v>#VALUE!</v>
      </c>
      <c r="GS151" t="e">
        <f>AND('Planilla_General_03-12-2012_9_3'!H2413,"AAAAAC5zk8g=")</f>
        <v>#VALUE!</v>
      </c>
      <c r="GT151" t="e">
        <f>AND('Planilla_General_03-12-2012_9_3'!I2413,"AAAAAC5zk8k=")</f>
        <v>#VALUE!</v>
      </c>
      <c r="GU151" t="e">
        <f>AND('Planilla_General_03-12-2012_9_3'!J2413,"AAAAAC5zk8o=")</f>
        <v>#VALUE!</v>
      </c>
      <c r="GV151" t="e">
        <f>AND('Planilla_General_03-12-2012_9_3'!K2413,"AAAAAC5zk8s=")</f>
        <v>#VALUE!</v>
      </c>
      <c r="GW151" t="e">
        <f>AND('Planilla_General_03-12-2012_9_3'!L2413,"AAAAAC5zk8w=")</f>
        <v>#VALUE!</v>
      </c>
      <c r="GX151" t="e">
        <f>AND('Planilla_General_03-12-2012_9_3'!M2413,"AAAAAC5zk80=")</f>
        <v>#VALUE!</v>
      </c>
      <c r="GY151" t="e">
        <f>AND('Planilla_General_03-12-2012_9_3'!N2413,"AAAAAC5zk84=")</f>
        <v>#VALUE!</v>
      </c>
      <c r="GZ151" t="e">
        <f>AND('Planilla_General_03-12-2012_9_3'!O2413,"AAAAAC5zk88=")</f>
        <v>#VALUE!</v>
      </c>
      <c r="HA151">
        <f>IF('Planilla_General_03-12-2012_9_3'!2414:2414,"AAAAAC5zk9A=",0)</f>
        <v>0</v>
      </c>
      <c r="HB151" t="e">
        <f>AND('Planilla_General_03-12-2012_9_3'!A2414,"AAAAAC5zk9E=")</f>
        <v>#VALUE!</v>
      </c>
      <c r="HC151" t="e">
        <f>AND('Planilla_General_03-12-2012_9_3'!B2414,"AAAAAC5zk9I=")</f>
        <v>#VALUE!</v>
      </c>
      <c r="HD151" t="e">
        <f>AND('Planilla_General_03-12-2012_9_3'!C2414,"AAAAAC5zk9M=")</f>
        <v>#VALUE!</v>
      </c>
      <c r="HE151" t="e">
        <f>AND('Planilla_General_03-12-2012_9_3'!D2414,"AAAAAC5zk9Q=")</f>
        <v>#VALUE!</v>
      </c>
      <c r="HF151" t="e">
        <f>AND('Planilla_General_03-12-2012_9_3'!E2414,"AAAAAC5zk9U=")</f>
        <v>#VALUE!</v>
      </c>
      <c r="HG151" t="e">
        <f>AND('Planilla_General_03-12-2012_9_3'!F2414,"AAAAAC5zk9Y=")</f>
        <v>#VALUE!</v>
      </c>
      <c r="HH151" t="e">
        <f>AND('Planilla_General_03-12-2012_9_3'!G2414,"AAAAAC5zk9c=")</f>
        <v>#VALUE!</v>
      </c>
      <c r="HI151" t="e">
        <f>AND('Planilla_General_03-12-2012_9_3'!H2414,"AAAAAC5zk9g=")</f>
        <v>#VALUE!</v>
      </c>
      <c r="HJ151" t="e">
        <f>AND('Planilla_General_03-12-2012_9_3'!I2414,"AAAAAC5zk9k=")</f>
        <v>#VALUE!</v>
      </c>
      <c r="HK151" t="e">
        <f>AND('Planilla_General_03-12-2012_9_3'!J2414,"AAAAAC5zk9o=")</f>
        <v>#VALUE!</v>
      </c>
      <c r="HL151" t="e">
        <f>AND('Planilla_General_03-12-2012_9_3'!K2414,"AAAAAC5zk9s=")</f>
        <v>#VALUE!</v>
      </c>
      <c r="HM151" t="e">
        <f>AND('Planilla_General_03-12-2012_9_3'!L2414,"AAAAAC5zk9w=")</f>
        <v>#VALUE!</v>
      </c>
      <c r="HN151" t="e">
        <f>AND('Planilla_General_03-12-2012_9_3'!M2414,"AAAAAC5zk90=")</f>
        <v>#VALUE!</v>
      </c>
      <c r="HO151" t="e">
        <f>AND('Planilla_General_03-12-2012_9_3'!N2414,"AAAAAC5zk94=")</f>
        <v>#VALUE!</v>
      </c>
      <c r="HP151" t="e">
        <f>AND('Planilla_General_03-12-2012_9_3'!O2414,"AAAAAC5zk98=")</f>
        <v>#VALUE!</v>
      </c>
      <c r="HQ151">
        <f>IF('Planilla_General_03-12-2012_9_3'!2415:2415,"AAAAAC5zk+A=",0)</f>
        <v>0</v>
      </c>
      <c r="HR151" t="e">
        <f>AND('Planilla_General_03-12-2012_9_3'!A2415,"AAAAAC5zk+E=")</f>
        <v>#VALUE!</v>
      </c>
      <c r="HS151" t="e">
        <f>AND('Planilla_General_03-12-2012_9_3'!B2415,"AAAAAC5zk+I=")</f>
        <v>#VALUE!</v>
      </c>
      <c r="HT151" t="e">
        <f>AND('Planilla_General_03-12-2012_9_3'!C2415,"AAAAAC5zk+M=")</f>
        <v>#VALUE!</v>
      </c>
      <c r="HU151" t="e">
        <f>AND('Planilla_General_03-12-2012_9_3'!D2415,"AAAAAC5zk+Q=")</f>
        <v>#VALUE!</v>
      </c>
      <c r="HV151" t="e">
        <f>AND('Planilla_General_03-12-2012_9_3'!E2415,"AAAAAC5zk+U=")</f>
        <v>#VALUE!</v>
      </c>
      <c r="HW151" t="e">
        <f>AND('Planilla_General_03-12-2012_9_3'!F2415,"AAAAAC5zk+Y=")</f>
        <v>#VALUE!</v>
      </c>
      <c r="HX151" t="e">
        <f>AND('Planilla_General_03-12-2012_9_3'!G2415,"AAAAAC5zk+c=")</f>
        <v>#VALUE!</v>
      </c>
      <c r="HY151" t="e">
        <f>AND('Planilla_General_03-12-2012_9_3'!H2415,"AAAAAC5zk+g=")</f>
        <v>#VALUE!</v>
      </c>
      <c r="HZ151" t="e">
        <f>AND('Planilla_General_03-12-2012_9_3'!I2415,"AAAAAC5zk+k=")</f>
        <v>#VALUE!</v>
      </c>
      <c r="IA151" t="e">
        <f>AND('Planilla_General_03-12-2012_9_3'!J2415,"AAAAAC5zk+o=")</f>
        <v>#VALUE!</v>
      </c>
      <c r="IB151" t="e">
        <f>AND('Planilla_General_03-12-2012_9_3'!K2415,"AAAAAC5zk+s=")</f>
        <v>#VALUE!</v>
      </c>
      <c r="IC151" t="e">
        <f>AND('Planilla_General_03-12-2012_9_3'!L2415,"AAAAAC5zk+w=")</f>
        <v>#VALUE!</v>
      </c>
      <c r="ID151" t="e">
        <f>AND('Planilla_General_03-12-2012_9_3'!M2415,"AAAAAC5zk+0=")</f>
        <v>#VALUE!</v>
      </c>
      <c r="IE151" t="e">
        <f>AND('Planilla_General_03-12-2012_9_3'!N2415,"AAAAAC5zk+4=")</f>
        <v>#VALUE!</v>
      </c>
      <c r="IF151" t="e">
        <f>AND('Planilla_General_03-12-2012_9_3'!O2415,"AAAAAC5zk+8=")</f>
        <v>#VALUE!</v>
      </c>
      <c r="IG151">
        <f>IF('Planilla_General_03-12-2012_9_3'!2416:2416,"AAAAAC5zk/A=",0)</f>
        <v>0</v>
      </c>
      <c r="IH151" t="e">
        <f>AND('Planilla_General_03-12-2012_9_3'!A2416,"AAAAAC5zk/E=")</f>
        <v>#VALUE!</v>
      </c>
      <c r="II151" t="e">
        <f>AND('Planilla_General_03-12-2012_9_3'!B2416,"AAAAAC5zk/I=")</f>
        <v>#VALUE!</v>
      </c>
      <c r="IJ151" t="e">
        <f>AND('Planilla_General_03-12-2012_9_3'!C2416,"AAAAAC5zk/M=")</f>
        <v>#VALUE!</v>
      </c>
      <c r="IK151" t="e">
        <f>AND('Planilla_General_03-12-2012_9_3'!D2416,"AAAAAC5zk/Q=")</f>
        <v>#VALUE!</v>
      </c>
      <c r="IL151" t="e">
        <f>AND('Planilla_General_03-12-2012_9_3'!E2416,"AAAAAC5zk/U=")</f>
        <v>#VALUE!</v>
      </c>
      <c r="IM151" t="e">
        <f>AND('Planilla_General_03-12-2012_9_3'!F2416,"AAAAAC5zk/Y=")</f>
        <v>#VALUE!</v>
      </c>
      <c r="IN151" t="e">
        <f>AND('Planilla_General_03-12-2012_9_3'!G2416,"AAAAAC5zk/c=")</f>
        <v>#VALUE!</v>
      </c>
      <c r="IO151" t="e">
        <f>AND('Planilla_General_03-12-2012_9_3'!H2416,"AAAAAC5zk/g=")</f>
        <v>#VALUE!</v>
      </c>
      <c r="IP151" t="e">
        <f>AND('Planilla_General_03-12-2012_9_3'!I2416,"AAAAAC5zk/k=")</f>
        <v>#VALUE!</v>
      </c>
      <c r="IQ151" t="e">
        <f>AND('Planilla_General_03-12-2012_9_3'!J2416,"AAAAAC5zk/o=")</f>
        <v>#VALUE!</v>
      </c>
      <c r="IR151" t="e">
        <f>AND('Planilla_General_03-12-2012_9_3'!K2416,"AAAAAC5zk/s=")</f>
        <v>#VALUE!</v>
      </c>
      <c r="IS151" t="e">
        <f>AND('Planilla_General_03-12-2012_9_3'!L2416,"AAAAAC5zk/w=")</f>
        <v>#VALUE!</v>
      </c>
      <c r="IT151" t="e">
        <f>AND('Planilla_General_03-12-2012_9_3'!M2416,"AAAAAC5zk/0=")</f>
        <v>#VALUE!</v>
      </c>
      <c r="IU151" t="e">
        <f>AND('Planilla_General_03-12-2012_9_3'!N2416,"AAAAAC5zk/4=")</f>
        <v>#VALUE!</v>
      </c>
      <c r="IV151" t="e">
        <f>AND('Planilla_General_03-12-2012_9_3'!O2416,"AAAAAC5zk/8=")</f>
        <v>#VALUE!</v>
      </c>
    </row>
    <row r="152" spans="1:256" x14ac:dyDescent="0.25">
      <c r="A152" t="e">
        <f>IF('Planilla_General_03-12-2012_9_3'!2417:2417,"AAAAAH/1MwA=",0)</f>
        <v>#VALUE!</v>
      </c>
      <c r="B152" t="e">
        <f>AND('Planilla_General_03-12-2012_9_3'!A2417,"AAAAAH/1MwE=")</f>
        <v>#VALUE!</v>
      </c>
      <c r="C152" t="e">
        <f>AND('Planilla_General_03-12-2012_9_3'!B2417,"AAAAAH/1MwI=")</f>
        <v>#VALUE!</v>
      </c>
      <c r="D152" t="e">
        <f>AND('Planilla_General_03-12-2012_9_3'!C2417,"AAAAAH/1MwM=")</f>
        <v>#VALUE!</v>
      </c>
      <c r="E152" t="e">
        <f>AND('Planilla_General_03-12-2012_9_3'!D2417,"AAAAAH/1MwQ=")</f>
        <v>#VALUE!</v>
      </c>
      <c r="F152" t="e">
        <f>AND('Planilla_General_03-12-2012_9_3'!E2417,"AAAAAH/1MwU=")</f>
        <v>#VALUE!</v>
      </c>
      <c r="G152" t="e">
        <f>AND('Planilla_General_03-12-2012_9_3'!F2417,"AAAAAH/1MwY=")</f>
        <v>#VALUE!</v>
      </c>
      <c r="H152" t="e">
        <f>AND('Planilla_General_03-12-2012_9_3'!G2417,"AAAAAH/1Mwc=")</f>
        <v>#VALUE!</v>
      </c>
      <c r="I152" t="e">
        <f>AND('Planilla_General_03-12-2012_9_3'!H2417,"AAAAAH/1Mwg=")</f>
        <v>#VALUE!</v>
      </c>
      <c r="J152" t="e">
        <f>AND('Planilla_General_03-12-2012_9_3'!I2417,"AAAAAH/1Mwk=")</f>
        <v>#VALUE!</v>
      </c>
      <c r="K152" t="e">
        <f>AND('Planilla_General_03-12-2012_9_3'!J2417,"AAAAAH/1Mwo=")</f>
        <v>#VALUE!</v>
      </c>
      <c r="L152" t="e">
        <f>AND('Planilla_General_03-12-2012_9_3'!K2417,"AAAAAH/1Mws=")</f>
        <v>#VALUE!</v>
      </c>
      <c r="M152" t="e">
        <f>AND('Planilla_General_03-12-2012_9_3'!L2417,"AAAAAH/1Mww=")</f>
        <v>#VALUE!</v>
      </c>
      <c r="N152" t="e">
        <f>AND('Planilla_General_03-12-2012_9_3'!M2417,"AAAAAH/1Mw0=")</f>
        <v>#VALUE!</v>
      </c>
      <c r="O152" t="e">
        <f>AND('Planilla_General_03-12-2012_9_3'!N2417,"AAAAAH/1Mw4=")</f>
        <v>#VALUE!</v>
      </c>
      <c r="P152" t="e">
        <f>AND('Planilla_General_03-12-2012_9_3'!O2417,"AAAAAH/1Mw8=")</f>
        <v>#VALUE!</v>
      </c>
      <c r="Q152">
        <f>IF('Planilla_General_03-12-2012_9_3'!2418:2418,"AAAAAH/1MxA=",0)</f>
        <v>0</v>
      </c>
      <c r="R152" t="e">
        <f>AND('Planilla_General_03-12-2012_9_3'!A2418,"AAAAAH/1MxE=")</f>
        <v>#VALUE!</v>
      </c>
      <c r="S152" t="e">
        <f>AND('Planilla_General_03-12-2012_9_3'!B2418,"AAAAAH/1MxI=")</f>
        <v>#VALUE!</v>
      </c>
      <c r="T152" t="e">
        <f>AND('Planilla_General_03-12-2012_9_3'!C2418,"AAAAAH/1MxM=")</f>
        <v>#VALUE!</v>
      </c>
      <c r="U152" t="e">
        <f>AND('Planilla_General_03-12-2012_9_3'!D2418,"AAAAAH/1MxQ=")</f>
        <v>#VALUE!</v>
      </c>
      <c r="V152" t="e">
        <f>AND('Planilla_General_03-12-2012_9_3'!E2418,"AAAAAH/1MxU=")</f>
        <v>#VALUE!</v>
      </c>
      <c r="W152" t="e">
        <f>AND('Planilla_General_03-12-2012_9_3'!F2418,"AAAAAH/1MxY=")</f>
        <v>#VALUE!</v>
      </c>
      <c r="X152" t="e">
        <f>AND('Planilla_General_03-12-2012_9_3'!G2418,"AAAAAH/1Mxc=")</f>
        <v>#VALUE!</v>
      </c>
      <c r="Y152" t="e">
        <f>AND('Planilla_General_03-12-2012_9_3'!H2418,"AAAAAH/1Mxg=")</f>
        <v>#VALUE!</v>
      </c>
      <c r="Z152" t="e">
        <f>AND('Planilla_General_03-12-2012_9_3'!I2418,"AAAAAH/1Mxk=")</f>
        <v>#VALUE!</v>
      </c>
      <c r="AA152" t="e">
        <f>AND('Planilla_General_03-12-2012_9_3'!J2418,"AAAAAH/1Mxo=")</f>
        <v>#VALUE!</v>
      </c>
      <c r="AB152" t="e">
        <f>AND('Planilla_General_03-12-2012_9_3'!K2418,"AAAAAH/1Mxs=")</f>
        <v>#VALUE!</v>
      </c>
      <c r="AC152" t="e">
        <f>AND('Planilla_General_03-12-2012_9_3'!L2418,"AAAAAH/1Mxw=")</f>
        <v>#VALUE!</v>
      </c>
      <c r="AD152" t="e">
        <f>AND('Planilla_General_03-12-2012_9_3'!M2418,"AAAAAH/1Mx0=")</f>
        <v>#VALUE!</v>
      </c>
      <c r="AE152" t="e">
        <f>AND('Planilla_General_03-12-2012_9_3'!N2418,"AAAAAH/1Mx4=")</f>
        <v>#VALUE!</v>
      </c>
      <c r="AF152" t="e">
        <f>AND('Planilla_General_03-12-2012_9_3'!O2418,"AAAAAH/1Mx8=")</f>
        <v>#VALUE!</v>
      </c>
      <c r="AG152">
        <f>IF('Planilla_General_03-12-2012_9_3'!2419:2419,"AAAAAH/1MyA=",0)</f>
        <v>0</v>
      </c>
      <c r="AH152" t="e">
        <f>AND('Planilla_General_03-12-2012_9_3'!A2419,"AAAAAH/1MyE=")</f>
        <v>#VALUE!</v>
      </c>
      <c r="AI152" t="e">
        <f>AND('Planilla_General_03-12-2012_9_3'!B2419,"AAAAAH/1MyI=")</f>
        <v>#VALUE!</v>
      </c>
      <c r="AJ152" t="e">
        <f>AND('Planilla_General_03-12-2012_9_3'!C2419,"AAAAAH/1MyM=")</f>
        <v>#VALUE!</v>
      </c>
      <c r="AK152" t="e">
        <f>AND('Planilla_General_03-12-2012_9_3'!D2419,"AAAAAH/1MyQ=")</f>
        <v>#VALUE!</v>
      </c>
      <c r="AL152" t="e">
        <f>AND('Planilla_General_03-12-2012_9_3'!E2419,"AAAAAH/1MyU=")</f>
        <v>#VALUE!</v>
      </c>
      <c r="AM152" t="e">
        <f>AND('Planilla_General_03-12-2012_9_3'!F2419,"AAAAAH/1MyY=")</f>
        <v>#VALUE!</v>
      </c>
      <c r="AN152" t="e">
        <f>AND('Planilla_General_03-12-2012_9_3'!G2419,"AAAAAH/1Myc=")</f>
        <v>#VALUE!</v>
      </c>
      <c r="AO152" t="e">
        <f>AND('Planilla_General_03-12-2012_9_3'!H2419,"AAAAAH/1Myg=")</f>
        <v>#VALUE!</v>
      </c>
      <c r="AP152" t="e">
        <f>AND('Planilla_General_03-12-2012_9_3'!I2419,"AAAAAH/1Myk=")</f>
        <v>#VALUE!</v>
      </c>
      <c r="AQ152" t="e">
        <f>AND('Planilla_General_03-12-2012_9_3'!J2419,"AAAAAH/1Myo=")</f>
        <v>#VALUE!</v>
      </c>
      <c r="AR152" t="e">
        <f>AND('Planilla_General_03-12-2012_9_3'!K2419,"AAAAAH/1Mys=")</f>
        <v>#VALUE!</v>
      </c>
      <c r="AS152" t="e">
        <f>AND('Planilla_General_03-12-2012_9_3'!L2419,"AAAAAH/1Myw=")</f>
        <v>#VALUE!</v>
      </c>
      <c r="AT152" t="e">
        <f>AND('Planilla_General_03-12-2012_9_3'!M2419,"AAAAAH/1My0=")</f>
        <v>#VALUE!</v>
      </c>
      <c r="AU152" t="e">
        <f>AND('Planilla_General_03-12-2012_9_3'!N2419,"AAAAAH/1My4=")</f>
        <v>#VALUE!</v>
      </c>
      <c r="AV152" t="e">
        <f>AND('Planilla_General_03-12-2012_9_3'!O2419,"AAAAAH/1My8=")</f>
        <v>#VALUE!</v>
      </c>
      <c r="AW152">
        <f>IF('Planilla_General_03-12-2012_9_3'!2420:2420,"AAAAAH/1MzA=",0)</f>
        <v>0</v>
      </c>
      <c r="AX152" t="e">
        <f>AND('Planilla_General_03-12-2012_9_3'!A2420,"AAAAAH/1MzE=")</f>
        <v>#VALUE!</v>
      </c>
      <c r="AY152" t="e">
        <f>AND('Planilla_General_03-12-2012_9_3'!B2420,"AAAAAH/1MzI=")</f>
        <v>#VALUE!</v>
      </c>
      <c r="AZ152" t="e">
        <f>AND('Planilla_General_03-12-2012_9_3'!C2420,"AAAAAH/1MzM=")</f>
        <v>#VALUE!</v>
      </c>
      <c r="BA152" t="e">
        <f>AND('Planilla_General_03-12-2012_9_3'!D2420,"AAAAAH/1MzQ=")</f>
        <v>#VALUE!</v>
      </c>
      <c r="BB152" t="e">
        <f>AND('Planilla_General_03-12-2012_9_3'!E2420,"AAAAAH/1MzU=")</f>
        <v>#VALUE!</v>
      </c>
      <c r="BC152" t="e">
        <f>AND('Planilla_General_03-12-2012_9_3'!F2420,"AAAAAH/1MzY=")</f>
        <v>#VALUE!</v>
      </c>
      <c r="BD152" t="e">
        <f>AND('Planilla_General_03-12-2012_9_3'!G2420,"AAAAAH/1Mzc=")</f>
        <v>#VALUE!</v>
      </c>
      <c r="BE152" t="e">
        <f>AND('Planilla_General_03-12-2012_9_3'!H2420,"AAAAAH/1Mzg=")</f>
        <v>#VALUE!</v>
      </c>
      <c r="BF152" t="e">
        <f>AND('Planilla_General_03-12-2012_9_3'!I2420,"AAAAAH/1Mzk=")</f>
        <v>#VALUE!</v>
      </c>
      <c r="BG152" t="e">
        <f>AND('Planilla_General_03-12-2012_9_3'!J2420,"AAAAAH/1Mzo=")</f>
        <v>#VALUE!</v>
      </c>
      <c r="BH152" t="e">
        <f>AND('Planilla_General_03-12-2012_9_3'!K2420,"AAAAAH/1Mzs=")</f>
        <v>#VALUE!</v>
      </c>
      <c r="BI152" t="e">
        <f>AND('Planilla_General_03-12-2012_9_3'!L2420,"AAAAAH/1Mzw=")</f>
        <v>#VALUE!</v>
      </c>
      <c r="BJ152" t="e">
        <f>AND('Planilla_General_03-12-2012_9_3'!M2420,"AAAAAH/1Mz0=")</f>
        <v>#VALUE!</v>
      </c>
      <c r="BK152" t="e">
        <f>AND('Planilla_General_03-12-2012_9_3'!N2420,"AAAAAH/1Mz4=")</f>
        <v>#VALUE!</v>
      </c>
      <c r="BL152" t="e">
        <f>AND('Planilla_General_03-12-2012_9_3'!O2420,"AAAAAH/1Mz8=")</f>
        <v>#VALUE!</v>
      </c>
      <c r="BM152">
        <f>IF('Planilla_General_03-12-2012_9_3'!2421:2421,"AAAAAH/1M0A=",0)</f>
        <v>0</v>
      </c>
      <c r="BN152" t="e">
        <f>AND('Planilla_General_03-12-2012_9_3'!A2421,"AAAAAH/1M0E=")</f>
        <v>#VALUE!</v>
      </c>
      <c r="BO152" t="e">
        <f>AND('Planilla_General_03-12-2012_9_3'!B2421,"AAAAAH/1M0I=")</f>
        <v>#VALUE!</v>
      </c>
      <c r="BP152" t="e">
        <f>AND('Planilla_General_03-12-2012_9_3'!C2421,"AAAAAH/1M0M=")</f>
        <v>#VALUE!</v>
      </c>
      <c r="BQ152" t="e">
        <f>AND('Planilla_General_03-12-2012_9_3'!D2421,"AAAAAH/1M0Q=")</f>
        <v>#VALUE!</v>
      </c>
      <c r="BR152" t="e">
        <f>AND('Planilla_General_03-12-2012_9_3'!E2421,"AAAAAH/1M0U=")</f>
        <v>#VALUE!</v>
      </c>
      <c r="BS152" t="e">
        <f>AND('Planilla_General_03-12-2012_9_3'!F2421,"AAAAAH/1M0Y=")</f>
        <v>#VALUE!</v>
      </c>
      <c r="BT152" t="e">
        <f>AND('Planilla_General_03-12-2012_9_3'!G2421,"AAAAAH/1M0c=")</f>
        <v>#VALUE!</v>
      </c>
      <c r="BU152" t="e">
        <f>AND('Planilla_General_03-12-2012_9_3'!H2421,"AAAAAH/1M0g=")</f>
        <v>#VALUE!</v>
      </c>
      <c r="BV152" t="e">
        <f>AND('Planilla_General_03-12-2012_9_3'!I2421,"AAAAAH/1M0k=")</f>
        <v>#VALUE!</v>
      </c>
      <c r="BW152" t="e">
        <f>AND('Planilla_General_03-12-2012_9_3'!J2421,"AAAAAH/1M0o=")</f>
        <v>#VALUE!</v>
      </c>
      <c r="BX152" t="e">
        <f>AND('Planilla_General_03-12-2012_9_3'!K2421,"AAAAAH/1M0s=")</f>
        <v>#VALUE!</v>
      </c>
      <c r="BY152" t="e">
        <f>AND('Planilla_General_03-12-2012_9_3'!L2421,"AAAAAH/1M0w=")</f>
        <v>#VALUE!</v>
      </c>
      <c r="BZ152" t="e">
        <f>AND('Planilla_General_03-12-2012_9_3'!M2421,"AAAAAH/1M00=")</f>
        <v>#VALUE!</v>
      </c>
      <c r="CA152" t="e">
        <f>AND('Planilla_General_03-12-2012_9_3'!N2421,"AAAAAH/1M04=")</f>
        <v>#VALUE!</v>
      </c>
      <c r="CB152" t="e">
        <f>AND('Planilla_General_03-12-2012_9_3'!O2421,"AAAAAH/1M08=")</f>
        <v>#VALUE!</v>
      </c>
      <c r="CC152">
        <f>IF('Planilla_General_03-12-2012_9_3'!2422:2422,"AAAAAH/1M1A=",0)</f>
        <v>0</v>
      </c>
      <c r="CD152" t="e">
        <f>AND('Planilla_General_03-12-2012_9_3'!A2422,"AAAAAH/1M1E=")</f>
        <v>#VALUE!</v>
      </c>
      <c r="CE152" t="e">
        <f>AND('Planilla_General_03-12-2012_9_3'!B2422,"AAAAAH/1M1I=")</f>
        <v>#VALUE!</v>
      </c>
      <c r="CF152" t="e">
        <f>AND('Planilla_General_03-12-2012_9_3'!C2422,"AAAAAH/1M1M=")</f>
        <v>#VALUE!</v>
      </c>
      <c r="CG152" t="e">
        <f>AND('Planilla_General_03-12-2012_9_3'!D2422,"AAAAAH/1M1Q=")</f>
        <v>#VALUE!</v>
      </c>
      <c r="CH152" t="e">
        <f>AND('Planilla_General_03-12-2012_9_3'!E2422,"AAAAAH/1M1U=")</f>
        <v>#VALUE!</v>
      </c>
      <c r="CI152" t="e">
        <f>AND('Planilla_General_03-12-2012_9_3'!F2422,"AAAAAH/1M1Y=")</f>
        <v>#VALUE!</v>
      </c>
      <c r="CJ152" t="e">
        <f>AND('Planilla_General_03-12-2012_9_3'!G2422,"AAAAAH/1M1c=")</f>
        <v>#VALUE!</v>
      </c>
      <c r="CK152" t="e">
        <f>AND('Planilla_General_03-12-2012_9_3'!H2422,"AAAAAH/1M1g=")</f>
        <v>#VALUE!</v>
      </c>
      <c r="CL152" t="e">
        <f>AND('Planilla_General_03-12-2012_9_3'!I2422,"AAAAAH/1M1k=")</f>
        <v>#VALUE!</v>
      </c>
      <c r="CM152" t="e">
        <f>AND('Planilla_General_03-12-2012_9_3'!J2422,"AAAAAH/1M1o=")</f>
        <v>#VALUE!</v>
      </c>
      <c r="CN152" t="e">
        <f>AND('Planilla_General_03-12-2012_9_3'!K2422,"AAAAAH/1M1s=")</f>
        <v>#VALUE!</v>
      </c>
      <c r="CO152" t="e">
        <f>AND('Planilla_General_03-12-2012_9_3'!L2422,"AAAAAH/1M1w=")</f>
        <v>#VALUE!</v>
      </c>
      <c r="CP152" t="e">
        <f>AND('Planilla_General_03-12-2012_9_3'!M2422,"AAAAAH/1M10=")</f>
        <v>#VALUE!</v>
      </c>
      <c r="CQ152" t="e">
        <f>AND('Planilla_General_03-12-2012_9_3'!N2422,"AAAAAH/1M14=")</f>
        <v>#VALUE!</v>
      </c>
      <c r="CR152" t="e">
        <f>AND('Planilla_General_03-12-2012_9_3'!O2422,"AAAAAH/1M18=")</f>
        <v>#VALUE!</v>
      </c>
      <c r="CS152">
        <f>IF('Planilla_General_03-12-2012_9_3'!2423:2423,"AAAAAH/1M2A=",0)</f>
        <v>0</v>
      </c>
      <c r="CT152" t="e">
        <f>AND('Planilla_General_03-12-2012_9_3'!A2423,"AAAAAH/1M2E=")</f>
        <v>#VALUE!</v>
      </c>
      <c r="CU152" t="e">
        <f>AND('Planilla_General_03-12-2012_9_3'!B2423,"AAAAAH/1M2I=")</f>
        <v>#VALUE!</v>
      </c>
      <c r="CV152" t="e">
        <f>AND('Planilla_General_03-12-2012_9_3'!C2423,"AAAAAH/1M2M=")</f>
        <v>#VALUE!</v>
      </c>
      <c r="CW152" t="e">
        <f>AND('Planilla_General_03-12-2012_9_3'!D2423,"AAAAAH/1M2Q=")</f>
        <v>#VALUE!</v>
      </c>
      <c r="CX152" t="e">
        <f>AND('Planilla_General_03-12-2012_9_3'!E2423,"AAAAAH/1M2U=")</f>
        <v>#VALUE!</v>
      </c>
      <c r="CY152" t="e">
        <f>AND('Planilla_General_03-12-2012_9_3'!F2423,"AAAAAH/1M2Y=")</f>
        <v>#VALUE!</v>
      </c>
      <c r="CZ152" t="e">
        <f>AND('Planilla_General_03-12-2012_9_3'!G2423,"AAAAAH/1M2c=")</f>
        <v>#VALUE!</v>
      </c>
      <c r="DA152" t="e">
        <f>AND('Planilla_General_03-12-2012_9_3'!H2423,"AAAAAH/1M2g=")</f>
        <v>#VALUE!</v>
      </c>
      <c r="DB152" t="e">
        <f>AND('Planilla_General_03-12-2012_9_3'!I2423,"AAAAAH/1M2k=")</f>
        <v>#VALUE!</v>
      </c>
      <c r="DC152" t="e">
        <f>AND('Planilla_General_03-12-2012_9_3'!J2423,"AAAAAH/1M2o=")</f>
        <v>#VALUE!</v>
      </c>
      <c r="DD152" t="e">
        <f>AND('Planilla_General_03-12-2012_9_3'!K2423,"AAAAAH/1M2s=")</f>
        <v>#VALUE!</v>
      </c>
      <c r="DE152" t="e">
        <f>AND('Planilla_General_03-12-2012_9_3'!L2423,"AAAAAH/1M2w=")</f>
        <v>#VALUE!</v>
      </c>
      <c r="DF152" t="e">
        <f>AND('Planilla_General_03-12-2012_9_3'!M2423,"AAAAAH/1M20=")</f>
        <v>#VALUE!</v>
      </c>
      <c r="DG152" t="e">
        <f>AND('Planilla_General_03-12-2012_9_3'!N2423,"AAAAAH/1M24=")</f>
        <v>#VALUE!</v>
      </c>
      <c r="DH152" t="e">
        <f>AND('Planilla_General_03-12-2012_9_3'!O2423,"AAAAAH/1M28=")</f>
        <v>#VALUE!</v>
      </c>
      <c r="DI152">
        <f>IF('Planilla_General_03-12-2012_9_3'!2424:2424,"AAAAAH/1M3A=",0)</f>
        <v>0</v>
      </c>
      <c r="DJ152" t="e">
        <f>AND('Planilla_General_03-12-2012_9_3'!A2424,"AAAAAH/1M3E=")</f>
        <v>#VALUE!</v>
      </c>
      <c r="DK152" t="e">
        <f>AND('Planilla_General_03-12-2012_9_3'!B2424,"AAAAAH/1M3I=")</f>
        <v>#VALUE!</v>
      </c>
      <c r="DL152" t="e">
        <f>AND('Planilla_General_03-12-2012_9_3'!C2424,"AAAAAH/1M3M=")</f>
        <v>#VALUE!</v>
      </c>
      <c r="DM152" t="e">
        <f>AND('Planilla_General_03-12-2012_9_3'!D2424,"AAAAAH/1M3Q=")</f>
        <v>#VALUE!</v>
      </c>
      <c r="DN152" t="e">
        <f>AND('Planilla_General_03-12-2012_9_3'!E2424,"AAAAAH/1M3U=")</f>
        <v>#VALUE!</v>
      </c>
      <c r="DO152" t="e">
        <f>AND('Planilla_General_03-12-2012_9_3'!F2424,"AAAAAH/1M3Y=")</f>
        <v>#VALUE!</v>
      </c>
      <c r="DP152" t="e">
        <f>AND('Planilla_General_03-12-2012_9_3'!G2424,"AAAAAH/1M3c=")</f>
        <v>#VALUE!</v>
      </c>
      <c r="DQ152" t="e">
        <f>AND('Planilla_General_03-12-2012_9_3'!H2424,"AAAAAH/1M3g=")</f>
        <v>#VALUE!</v>
      </c>
      <c r="DR152" t="e">
        <f>AND('Planilla_General_03-12-2012_9_3'!I2424,"AAAAAH/1M3k=")</f>
        <v>#VALUE!</v>
      </c>
      <c r="DS152" t="e">
        <f>AND('Planilla_General_03-12-2012_9_3'!J2424,"AAAAAH/1M3o=")</f>
        <v>#VALUE!</v>
      </c>
      <c r="DT152" t="e">
        <f>AND('Planilla_General_03-12-2012_9_3'!K2424,"AAAAAH/1M3s=")</f>
        <v>#VALUE!</v>
      </c>
      <c r="DU152" t="e">
        <f>AND('Planilla_General_03-12-2012_9_3'!L2424,"AAAAAH/1M3w=")</f>
        <v>#VALUE!</v>
      </c>
      <c r="DV152" t="e">
        <f>AND('Planilla_General_03-12-2012_9_3'!M2424,"AAAAAH/1M30=")</f>
        <v>#VALUE!</v>
      </c>
      <c r="DW152" t="e">
        <f>AND('Planilla_General_03-12-2012_9_3'!N2424,"AAAAAH/1M34=")</f>
        <v>#VALUE!</v>
      </c>
      <c r="DX152" t="e">
        <f>AND('Planilla_General_03-12-2012_9_3'!O2424,"AAAAAH/1M38=")</f>
        <v>#VALUE!</v>
      </c>
      <c r="DY152">
        <f>IF('Planilla_General_03-12-2012_9_3'!2425:2425,"AAAAAH/1M4A=",0)</f>
        <v>0</v>
      </c>
      <c r="DZ152" t="e">
        <f>AND('Planilla_General_03-12-2012_9_3'!A2425,"AAAAAH/1M4E=")</f>
        <v>#VALUE!</v>
      </c>
      <c r="EA152" t="e">
        <f>AND('Planilla_General_03-12-2012_9_3'!B2425,"AAAAAH/1M4I=")</f>
        <v>#VALUE!</v>
      </c>
      <c r="EB152" t="e">
        <f>AND('Planilla_General_03-12-2012_9_3'!C2425,"AAAAAH/1M4M=")</f>
        <v>#VALUE!</v>
      </c>
      <c r="EC152" t="e">
        <f>AND('Planilla_General_03-12-2012_9_3'!D2425,"AAAAAH/1M4Q=")</f>
        <v>#VALUE!</v>
      </c>
      <c r="ED152" t="e">
        <f>AND('Planilla_General_03-12-2012_9_3'!E2425,"AAAAAH/1M4U=")</f>
        <v>#VALUE!</v>
      </c>
      <c r="EE152" t="e">
        <f>AND('Planilla_General_03-12-2012_9_3'!F2425,"AAAAAH/1M4Y=")</f>
        <v>#VALUE!</v>
      </c>
      <c r="EF152" t="e">
        <f>AND('Planilla_General_03-12-2012_9_3'!G2425,"AAAAAH/1M4c=")</f>
        <v>#VALUE!</v>
      </c>
      <c r="EG152" t="e">
        <f>AND('Planilla_General_03-12-2012_9_3'!H2425,"AAAAAH/1M4g=")</f>
        <v>#VALUE!</v>
      </c>
      <c r="EH152" t="e">
        <f>AND('Planilla_General_03-12-2012_9_3'!I2425,"AAAAAH/1M4k=")</f>
        <v>#VALUE!</v>
      </c>
      <c r="EI152" t="e">
        <f>AND('Planilla_General_03-12-2012_9_3'!J2425,"AAAAAH/1M4o=")</f>
        <v>#VALUE!</v>
      </c>
      <c r="EJ152" t="e">
        <f>AND('Planilla_General_03-12-2012_9_3'!K2425,"AAAAAH/1M4s=")</f>
        <v>#VALUE!</v>
      </c>
      <c r="EK152" t="e">
        <f>AND('Planilla_General_03-12-2012_9_3'!L2425,"AAAAAH/1M4w=")</f>
        <v>#VALUE!</v>
      </c>
      <c r="EL152" t="e">
        <f>AND('Planilla_General_03-12-2012_9_3'!M2425,"AAAAAH/1M40=")</f>
        <v>#VALUE!</v>
      </c>
      <c r="EM152" t="e">
        <f>AND('Planilla_General_03-12-2012_9_3'!N2425,"AAAAAH/1M44=")</f>
        <v>#VALUE!</v>
      </c>
      <c r="EN152" t="e">
        <f>AND('Planilla_General_03-12-2012_9_3'!O2425,"AAAAAH/1M48=")</f>
        <v>#VALUE!</v>
      </c>
      <c r="EO152">
        <f>IF('Planilla_General_03-12-2012_9_3'!2426:2426,"AAAAAH/1M5A=",0)</f>
        <v>0</v>
      </c>
      <c r="EP152" t="e">
        <f>AND('Planilla_General_03-12-2012_9_3'!A2426,"AAAAAH/1M5E=")</f>
        <v>#VALUE!</v>
      </c>
      <c r="EQ152" t="e">
        <f>AND('Planilla_General_03-12-2012_9_3'!B2426,"AAAAAH/1M5I=")</f>
        <v>#VALUE!</v>
      </c>
      <c r="ER152" t="e">
        <f>AND('Planilla_General_03-12-2012_9_3'!C2426,"AAAAAH/1M5M=")</f>
        <v>#VALUE!</v>
      </c>
      <c r="ES152" t="e">
        <f>AND('Planilla_General_03-12-2012_9_3'!D2426,"AAAAAH/1M5Q=")</f>
        <v>#VALUE!</v>
      </c>
      <c r="ET152" t="e">
        <f>AND('Planilla_General_03-12-2012_9_3'!E2426,"AAAAAH/1M5U=")</f>
        <v>#VALUE!</v>
      </c>
      <c r="EU152" t="e">
        <f>AND('Planilla_General_03-12-2012_9_3'!F2426,"AAAAAH/1M5Y=")</f>
        <v>#VALUE!</v>
      </c>
      <c r="EV152" t="e">
        <f>AND('Planilla_General_03-12-2012_9_3'!G2426,"AAAAAH/1M5c=")</f>
        <v>#VALUE!</v>
      </c>
      <c r="EW152" t="e">
        <f>AND('Planilla_General_03-12-2012_9_3'!H2426,"AAAAAH/1M5g=")</f>
        <v>#VALUE!</v>
      </c>
      <c r="EX152" t="e">
        <f>AND('Planilla_General_03-12-2012_9_3'!I2426,"AAAAAH/1M5k=")</f>
        <v>#VALUE!</v>
      </c>
      <c r="EY152" t="e">
        <f>AND('Planilla_General_03-12-2012_9_3'!J2426,"AAAAAH/1M5o=")</f>
        <v>#VALUE!</v>
      </c>
      <c r="EZ152" t="e">
        <f>AND('Planilla_General_03-12-2012_9_3'!K2426,"AAAAAH/1M5s=")</f>
        <v>#VALUE!</v>
      </c>
      <c r="FA152" t="e">
        <f>AND('Planilla_General_03-12-2012_9_3'!L2426,"AAAAAH/1M5w=")</f>
        <v>#VALUE!</v>
      </c>
      <c r="FB152" t="e">
        <f>AND('Planilla_General_03-12-2012_9_3'!M2426,"AAAAAH/1M50=")</f>
        <v>#VALUE!</v>
      </c>
      <c r="FC152" t="e">
        <f>AND('Planilla_General_03-12-2012_9_3'!N2426,"AAAAAH/1M54=")</f>
        <v>#VALUE!</v>
      </c>
      <c r="FD152" t="e">
        <f>AND('Planilla_General_03-12-2012_9_3'!O2426,"AAAAAH/1M58=")</f>
        <v>#VALUE!</v>
      </c>
      <c r="FE152">
        <f>IF('Planilla_General_03-12-2012_9_3'!2427:2427,"AAAAAH/1M6A=",0)</f>
        <v>0</v>
      </c>
      <c r="FF152" t="e">
        <f>AND('Planilla_General_03-12-2012_9_3'!A2427,"AAAAAH/1M6E=")</f>
        <v>#VALUE!</v>
      </c>
      <c r="FG152" t="e">
        <f>AND('Planilla_General_03-12-2012_9_3'!B2427,"AAAAAH/1M6I=")</f>
        <v>#VALUE!</v>
      </c>
      <c r="FH152" t="e">
        <f>AND('Planilla_General_03-12-2012_9_3'!C2427,"AAAAAH/1M6M=")</f>
        <v>#VALUE!</v>
      </c>
      <c r="FI152" t="e">
        <f>AND('Planilla_General_03-12-2012_9_3'!D2427,"AAAAAH/1M6Q=")</f>
        <v>#VALUE!</v>
      </c>
      <c r="FJ152" t="e">
        <f>AND('Planilla_General_03-12-2012_9_3'!E2427,"AAAAAH/1M6U=")</f>
        <v>#VALUE!</v>
      </c>
      <c r="FK152" t="e">
        <f>AND('Planilla_General_03-12-2012_9_3'!F2427,"AAAAAH/1M6Y=")</f>
        <v>#VALUE!</v>
      </c>
      <c r="FL152" t="e">
        <f>AND('Planilla_General_03-12-2012_9_3'!G2427,"AAAAAH/1M6c=")</f>
        <v>#VALUE!</v>
      </c>
      <c r="FM152" t="e">
        <f>AND('Planilla_General_03-12-2012_9_3'!H2427,"AAAAAH/1M6g=")</f>
        <v>#VALUE!</v>
      </c>
      <c r="FN152" t="e">
        <f>AND('Planilla_General_03-12-2012_9_3'!I2427,"AAAAAH/1M6k=")</f>
        <v>#VALUE!</v>
      </c>
      <c r="FO152" t="e">
        <f>AND('Planilla_General_03-12-2012_9_3'!J2427,"AAAAAH/1M6o=")</f>
        <v>#VALUE!</v>
      </c>
      <c r="FP152" t="e">
        <f>AND('Planilla_General_03-12-2012_9_3'!K2427,"AAAAAH/1M6s=")</f>
        <v>#VALUE!</v>
      </c>
      <c r="FQ152" t="e">
        <f>AND('Planilla_General_03-12-2012_9_3'!L2427,"AAAAAH/1M6w=")</f>
        <v>#VALUE!</v>
      </c>
      <c r="FR152" t="e">
        <f>AND('Planilla_General_03-12-2012_9_3'!M2427,"AAAAAH/1M60=")</f>
        <v>#VALUE!</v>
      </c>
      <c r="FS152" t="e">
        <f>AND('Planilla_General_03-12-2012_9_3'!N2427,"AAAAAH/1M64=")</f>
        <v>#VALUE!</v>
      </c>
      <c r="FT152" t="e">
        <f>AND('Planilla_General_03-12-2012_9_3'!O2427,"AAAAAH/1M68=")</f>
        <v>#VALUE!</v>
      </c>
      <c r="FU152">
        <f>IF('Planilla_General_03-12-2012_9_3'!2428:2428,"AAAAAH/1M7A=",0)</f>
        <v>0</v>
      </c>
      <c r="FV152" t="e">
        <f>AND('Planilla_General_03-12-2012_9_3'!A2428,"AAAAAH/1M7E=")</f>
        <v>#VALUE!</v>
      </c>
      <c r="FW152" t="e">
        <f>AND('Planilla_General_03-12-2012_9_3'!B2428,"AAAAAH/1M7I=")</f>
        <v>#VALUE!</v>
      </c>
      <c r="FX152" t="e">
        <f>AND('Planilla_General_03-12-2012_9_3'!C2428,"AAAAAH/1M7M=")</f>
        <v>#VALUE!</v>
      </c>
      <c r="FY152" t="e">
        <f>AND('Planilla_General_03-12-2012_9_3'!D2428,"AAAAAH/1M7Q=")</f>
        <v>#VALUE!</v>
      </c>
      <c r="FZ152" t="e">
        <f>AND('Planilla_General_03-12-2012_9_3'!E2428,"AAAAAH/1M7U=")</f>
        <v>#VALUE!</v>
      </c>
      <c r="GA152" t="e">
        <f>AND('Planilla_General_03-12-2012_9_3'!F2428,"AAAAAH/1M7Y=")</f>
        <v>#VALUE!</v>
      </c>
      <c r="GB152" t="e">
        <f>AND('Planilla_General_03-12-2012_9_3'!G2428,"AAAAAH/1M7c=")</f>
        <v>#VALUE!</v>
      </c>
      <c r="GC152" t="e">
        <f>AND('Planilla_General_03-12-2012_9_3'!H2428,"AAAAAH/1M7g=")</f>
        <v>#VALUE!</v>
      </c>
      <c r="GD152" t="e">
        <f>AND('Planilla_General_03-12-2012_9_3'!I2428,"AAAAAH/1M7k=")</f>
        <v>#VALUE!</v>
      </c>
      <c r="GE152" t="e">
        <f>AND('Planilla_General_03-12-2012_9_3'!J2428,"AAAAAH/1M7o=")</f>
        <v>#VALUE!</v>
      </c>
      <c r="GF152" t="e">
        <f>AND('Planilla_General_03-12-2012_9_3'!K2428,"AAAAAH/1M7s=")</f>
        <v>#VALUE!</v>
      </c>
      <c r="GG152" t="e">
        <f>AND('Planilla_General_03-12-2012_9_3'!L2428,"AAAAAH/1M7w=")</f>
        <v>#VALUE!</v>
      </c>
      <c r="GH152" t="e">
        <f>AND('Planilla_General_03-12-2012_9_3'!M2428,"AAAAAH/1M70=")</f>
        <v>#VALUE!</v>
      </c>
      <c r="GI152" t="e">
        <f>AND('Planilla_General_03-12-2012_9_3'!N2428,"AAAAAH/1M74=")</f>
        <v>#VALUE!</v>
      </c>
      <c r="GJ152" t="e">
        <f>AND('Planilla_General_03-12-2012_9_3'!O2428,"AAAAAH/1M78=")</f>
        <v>#VALUE!</v>
      </c>
      <c r="GK152">
        <f>IF('Planilla_General_03-12-2012_9_3'!2429:2429,"AAAAAH/1M8A=",0)</f>
        <v>0</v>
      </c>
      <c r="GL152" t="e">
        <f>AND('Planilla_General_03-12-2012_9_3'!A2429,"AAAAAH/1M8E=")</f>
        <v>#VALUE!</v>
      </c>
      <c r="GM152" t="e">
        <f>AND('Planilla_General_03-12-2012_9_3'!B2429,"AAAAAH/1M8I=")</f>
        <v>#VALUE!</v>
      </c>
      <c r="GN152" t="e">
        <f>AND('Planilla_General_03-12-2012_9_3'!C2429,"AAAAAH/1M8M=")</f>
        <v>#VALUE!</v>
      </c>
      <c r="GO152" t="e">
        <f>AND('Planilla_General_03-12-2012_9_3'!D2429,"AAAAAH/1M8Q=")</f>
        <v>#VALUE!</v>
      </c>
      <c r="GP152" t="e">
        <f>AND('Planilla_General_03-12-2012_9_3'!E2429,"AAAAAH/1M8U=")</f>
        <v>#VALUE!</v>
      </c>
      <c r="GQ152" t="e">
        <f>AND('Planilla_General_03-12-2012_9_3'!F2429,"AAAAAH/1M8Y=")</f>
        <v>#VALUE!</v>
      </c>
      <c r="GR152" t="e">
        <f>AND('Planilla_General_03-12-2012_9_3'!G2429,"AAAAAH/1M8c=")</f>
        <v>#VALUE!</v>
      </c>
      <c r="GS152" t="e">
        <f>AND('Planilla_General_03-12-2012_9_3'!H2429,"AAAAAH/1M8g=")</f>
        <v>#VALUE!</v>
      </c>
      <c r="GT152" t="e">
        <f>AND('Planilla_General_03-12-2012_9_3'!I2429,"AAAAAH/1M8k=")</f>
        <v>#VALUE!</v>
      </c>
      <c r="GU152" t="e">
        <f>AND('Planilla_General_03-12-2012_9_3'!J2429,"AAAAAH/1M8o=")</f>
        <v>#VALUE!</v>
      </c>
      <c r="GV152" t="e">
        <f>AND('Planilla_General_03-12-2012_9_3'!K2429,"AAAAAH/1M8s=")</f>
        <v>#VALUE!</v>
      </c>
      <c r="GW152" t="e">
        <f>AND('Planilla_General_03-12-2012_9_3'!L2429,"AAAAAH/1M8w=")</f>
        <v>#VALUE!</v>
      </c>
      <c r="GX152" t="e">
        <f>AND('Planilla_General_03-12-2012_9_3'!M2429,"AAAAAH/1M80=")</f>
        <v>#VALUE!</v>
      </c>
      <c r="GY152" t="e">
        <f>AND('Planilla_General_03-12-2012_9_3'!N2429,"AAAAAH/1M84=")</f>
        <v>#VALUE!</v>
      </c>
      <c r="GZ152" t="e">
        <f>AND('Planilla_General_03-12-2012_9_3'!O2429,"AAAAAH/1M88=")</f>
        <v>#VALUE!</v>
      </c>
      <c r="HA152">
        <f>IF('Planilla_General_03-12-2012_9_3'!2430:2430,"AAAAAH/1M9A=",0)</f>
        <v>0</v>
      </c>
      <c r="HB152" t="e">
        <f>AND('Planilla_General_03-12-2012_9_3'!A2430,"AAAAAH/1M9E=")</f>
        <v>#VALUE!</v>
      </c>
      <c r="HC152" t="e">
        <f>AND('Planilla_General_03-12-2012_9_3'!B2430,"AAAAAH/1M9I=")</f>
        <v>#VALUE!</v>
      </c>
      <c r="HD152" t="e">
        <f>AND('Planilla_General_03-12-2012_9_3'!C2430,"AAAAAH/1M9M=")</f>
        <v>#VALUE!</v>
      </c>
      <c r="HE152" t="e">
        <f>AND('Planilla_General_03-12-2012_9_3'!D2430,"AAAAAH/1M9Q=")</f>
        <v>#VALUE!</v>
      </c>
      <c r="HF152" t="e">
        <f>AND('Planilla_General_03-12-2012_9_3'!E2430,"AAAAAH/1M9U=")</f>
        <v>#VALUE!</v>
      </c>
      <c r="HG152" t="e">
        <f>AND('Planilla_General_03-12-2012_9_3'!F2430,"AAAAAH/1M9Y=")</f>
        <v>#VALUE!</v>
      </c>
      <c r="HH152" t="e">
        <f>AND('Planilla_General_03-12-2012_9_3'!G2430,"AAAAAH/1M9c=")</f>
        <v>#VALUE!</v>
      </c>
      <c r="HI152" t="e">
        <f>AND('Planilla_General_03-12-2012_9_3'!H2430,"AAAAAH/1M9g=")</f>
        <v>#VALUE!</v>
      </c>
      <c r="HJ152" t="e">
        <f>AND('Planilla_General_03-12-2012_9_3'!I2430,"AAAAAH/1M9k=")</f>
        <v>#VALUE!</v>
      </c>
      <c r="HK152" t="e">
        <f>AND('Planilla_General_03-12-2012_9_3'!J2430,"AAAAAH/1M9o=")</f>
        <v>#VALUE!</v>
      </c>
      <c r="HL152" t="e">
        <f>AND('Planilla_General_03-12-2012_9_3'!K2430,"AAAAAH/1M9s=")</f>
        <v>#VALUE!</v>
      </c>
      <c r="HM152" t="e">
        <f>AND('Planilla_General_03-12-2012_9_3'!L2430,"AAAAAH/1M9w=")</f>
        <v>#VALUE!</v>
      </c>
      <c r="HN152" t="e">
        <f>AND('Planilla_General_03-12-2012_9_3'!M2430,"AAAAAH/1M90=")</f>
        <v>#VALUE!</v>
      </c>
      <c r="HO152" t="e">
        <f>AND('Planilla_General_03-12-2012_9_3'!N2430,"AAAAAH/1M94=")</f>
        <v>#VALUE!</v>
      </c>
      <c r="HP152" t="e">
        <f>AND('Planilla_General_03-12-2012_9_3'!O2430,"AAAAAH/1M98=")</f>
        <v>#VALUE!</v>
      </c>
      <c r="HQ152">
        <f>IF('Planilla_General_03-12-2012_9_3'!2431:2431,"AAAAAH/1M+A=",0)</f>
        <v>0</v>
      </c>
      <c r="HR152" t="e">
        <f>AND('Planilla_General_03-12-2012_9_3'!A2431,"AAAAAH/1M+E=")</f>
        <v>#VALUE!</v>
      </c>
      <c r="HS152" t="e">
        <f>AND('Planilla_General_03-12-2012_9_3'!B2431,"AAAAAH/1M+I=")</f>
        <v>#VALUE!</v>
      </c>
      <c r="HT152" t="e">
        <f>AND('Planilla_General_03-12-2012_9_3'!C2431,"AAAAAH/1M+M=")</f>
        <v>#VALUE!</v>
      </c>
      <c r="HU152" t="e">
        <f>AND('Planilla_General_03-12-2012_9_3'!D2431,"AAAAAH/1M+Q=")</f>
        <v>#VALUE!</v>
      </c>
      <c r="HV152" t="e">
        <f>AND('Planilla_General_03-12-2012_9_3'!E2431,"AAAAAH/1M+U=")</f>
        <v>#VALUE!</v>
      </c>
      <c r="HW152" t="e">
        <f>AND('Planilla_General_03-12-2012_9_3'!F2431,"AAAAAH/1M+Y=")</f>
        <v>#VALUE!</v>
      </c>
      <c r="HX152" t="e">
        <f>AND('Planilla_General_03-12-2012_9_3'!G2431,"AAAAAH/1M+c=")</f>
        <v>#VALUE!</v>
      </c>
      <c r="HY152" t="e">
        <f>AND('Planilla_General_03-12-2012_9_3'!H2431,"AAAAAH/1M+g=")</f>
        <v>#VALUE!</v>
      </c>
      <c r="HZ152" t="e">
        <f>AND('Planilla_General_03-12-2012_9_3'!I2431,"AAAAAH/1M+k=")</f>
        <v>#VALUE!</v>
      </c>
      <c r="IA152" t="e">
        <f>AND('Planilla_General_03-12-2012_9_3'!J2431,"AAAAAH/1M+o=")</f>
        <v>#VALUE!</v>
      </c>
      <c r="IB152" t="e">
        <f>AND('Planilla_General_03-12-2012_9_3'!K2431,"AAAAAH/1M+s=")</f>
        <v>#VALUE!</v>
      </c>
      <c r="IC152" t="e">
        <f>AND('Planilla_General_03-12-2012_9_3'!L2431,"AAAAAH/1M+w=")</f>
        <v>#VALUE!</v>
      </c>
      <c r="ID152" t="e">
        <f>AND('Planilla_General_03-12-2012_9_3'!M2431,"AAAAAH/1M+0=")</f>
        <v>#VALUE!</v>
      </c>
      <c r="IE152" t="e">
        <f>AND('Planilla_General_03-12-2012_9_3'!N2431,"AAAAAH/1M+4=")</f>
        <v>#VALUE!</v>
      </c>
      <c r="IF152" t="e">
        <f>AND('Planilla_General_03-12-2012_9_3'!O2431,"AAAAAH/1M+8=")</f>
        <v>#VALUE!</v>
      </c>
      <c r="IG152">
        <f>IF('Planilla_General_03-12-2012_9_3'!2432:2432,"AAAAAH/1M/A=",0)</f>
        <v>0</v>
      </c>
      <c r="IH152" t="e">
        <f>AND('Planilla_General_03-12-2012_9_3'!A2432,"AAAAAH/1M/E=")</f>
        <v>#VALUE!</v>
      </c>
      <c r="II152" t="e">
        <f>AND('Planilla_General_03-12-2012_9_3'!B2432,"AAAAAH/1M/I=")</f>
        <v>#VALUE!</v>
      </c>
      <c r="IJ152" t="e">
        <f>AND('Planilla_General_03-12-2012_9_3'!C2432,"AAAAAH/1M/M=")</f>
        <v>#VALUE!</v>
      </c>
      <c r="IK152" t="e">
        <f>AND('Planilla_General_03-12-2012_9_3'!D2432,"AAAAAH/1M/Q=")</f>
        <v>#VALUE!</v>
      </c>
      <c r="IL152" t="e">
        <f>AND('Planilla_General_03-12-2012_9_3'!E2432,"AAAAAH/1M/U=")</f>
        <v>#VALUE!</v>
      </c>
      <c r="IM152" t="e">
        <f>AND('Planilla_General_03-12-2012_9_3'!F2432,"AAAAAH/1M/Y=")</f>
        <v>#VALUE!</v>
      </c>
      <c r="IN152" t="e">
        <f>AND('Planilla_General_03-12-2012_9_3'!G2432,"AAAAAH/1M/c=")</f>
        <v>#VALUE!</v>
      </c>
      <c r="IO152" t="e">
        <f>AND('Planilla_General_03-12-2012_9_3'!H2432,"AAAAAH/1M/g=")</f>
        <v>#VALUE!</v>
      </c>
      <c r="IP152" t="e">
        <f>AND('Planilla_General_03-12-2012_9_3'!I2432,"AAAAAH/1M/k=")</f>
        <v>#VALUE!</v>
      </c>
      <c r="IQ152" t="e">
        <f>AND('Planilla_General_03-12-2012_9_3'!J2432,"AAAAAH/1M/o=")</f>
        <v>#VALUE!</v>
      </c>
      <c r="IR152" t="e">
        <f>AND('Planilla_General_03-12-2012_9_3'!K2432,"AAAAAH/1M/s=")</f>
        <v>#VALUE!</v>
      </c>
      <c r="IS152" t="e">
        <f>AND('Planilla_General_03-12-2012_9_3'!L2432,"AAAAAH/1M/w=")</f>
        <v>#VALUE!</v>
      </c>
      <c r="IT152" t="e">
        <f>AND('Planilla_General_03-12-2012_9_3'!M2432,"AAAAAH/1M/0=")</f>
        <v>#VALUE!</v>
      </c>
      <c r="IU152" t="e">
        <f>AND('Planilla_General_03-12-2012_9_3'!N2432,"AAAAAH/1M/4=")</f>
        <v>#VALUE!</v>
      </c>
      <c r="IV152" t="e">
        <f>AND('Planilla_General_03-12-2012_9_3'!O2432,"AAAAAH/1M/8=")</f>
        <v>#VALUE!</v>
      </c>
    </row>
    <row r="153" spans="1:256" x14ac:dyDescent="0.25">
      <c r="A153" t="e">
        <f>IF('Planilla_General_03-12-2012_9_3'!2433:2433,"AAAAAFT//wA=",0)</f>
        <v>#VALUE!</v>
      </c>
      <c r="B153" t="e">
        <f>AND('Planilla_General_03-12-2012_9_3'!A2433,"AAAAAFT//wE=")</f>
        <v>#VALUE!</v>
      </c>
      <c r="C153" t="e">
        <f>AND('Planilla_General_03-12-2012_9_3'!B2433,"AAAAAFT//wI=")</f>
        <v>#VALUE!</v>
      </c>
      <c r="D153" t="e">
        <f>AND('Planilla_General_03-12-2012_9_3'!C2433,"AAAAAFT//wM=")</f>
        <v>#VALUE!</v>
      </c>
      <c r="E153" t="e">
        <f>AND('Planilla_General_03-12-2012_9_3'!D2433,"AAAAAFT//wQ=")</f>
        <v>#VALUE!</v>
      </c>
      <c r="F153" t="e">
        <f>AND('Planilla_General_03-12-2012_9_3'!E2433,"AAAAAFT//wU=")</f>
        <v>#VALUE!</v>
      </c>
      <c r="G153" t="e">
        <f>AND('Planilla_General_03-12-2012_9_3'!F2433,"AAAAAFT//wY=")</f>
        <v>#VALUE!</v>
      </c>
      <c r="H153" t="e">
        <f>AND('Planilla_General_03-12-2012_9_3'!G2433,"AAAAAFT//wc=")</f>
        <v>#VALUE!</v>
      </c>
      <c r="I153" t="e">
        <f>AND('Planilla_General_03-12-2012_9_3'!H2433,"AAAAAFT//wg=")</f>
        <v>#VALUE!</v>
      </c>
      <c r="J153" t="e">
        <f>AND('Planilla_General_03-12-2012_9_3'!I2433,"AAAAAFT//wk=")</f>
        <v>#VALUE!</v>
      </c>
      <c r="K153" t="e">
        <f>AND('Planilla_General_03-12-2012_9_3'!J2433,"AAAAAFT//wo=")</f>
        <v>#VALUE!</v>
      </c>
      <c r="L153" t="e">
        <f>AND('Planilla_General_03-12-2012_9_3'!K2433,"AAAAAFT//ws=")</f>
        <v>#VALUE!</v>
      </c>
      <c r="M153" t="e">
        <f>AND('Planilla_General_03-12-2012_9_3'!L2433,"AAAAAFT//ww=")</f>
        <v>#VALUE!</v>
      </c>
      <c r="N153" t="e">
        <f>AND('Planilla_General_03-12-2012_9_3'!M2433,"AAAAAFT//w0=")</f>
        <v>#VALUE!</v>
      </c>
      <c r="O153" t="e">
        <f>AND('Planilla_General_03-12-2012_9_3'!N2433,"AAAAAFT//w4=")</f>
        <v>#VALUE!</v>
      </c>
      <c r="P153" t="e">
        <f>AND('Planilla_General_03-12-2012_9_3'!O2433,"AAAAAFT//w8=")</f>
        <v>#VALUE!</v>
      </c>
      <c r="Q153">
        <f>IF('Planilla_General_03-12-2012_9_3'!2434:2434,"AAAAAFT//xA=",0)</f>
        <v>0</v>
      </c>
      <c r="R153" t="e">
        <f>AND('Planilla_General_03-12-2012_9_3'!A2434,"AAAAAFT//xE=")</f>
        <v>#VALUE!</v>
      </c>
      <c r="S153" t="e">
        <f>AND('Planilla_General_03-12-2012_9_3'!B2434,"AAAAAFT//xI=")</f>
        <v>#VALUE!</v>
      </c>
      <c r="T153" t="e">
        <f>AND('Planilla_General_03-12-2012_9_3'!C2434,"AAAAAFT//xM=")</f>
        <v>#VALUE!</v>
      </c>
      <c r="U153" t="e">
        <f>AND('Planilla_General_03-12-2012_9_3'!D2434,"AAAAAFT//xQ=")</f>
        <v>#VALUE!</v>
      </c>
      <c r="V153" t="e">
        <f>AND('Planilla_General_03-12-2012_9_3'!E2434,"AAAAAFT//xU=")</f>
        <v>#VALUE!</v>
      </c>
      <c r="W153" t="e">
        <f>AND('Planilla_General_03-12-2012_9_3'!F2434,"AAAAAFT//xY=")</f>
        <v>#VALUE!</v>
      </c>
      <c r="X153" t="e">
        <f>AND('Planilla_General_03-12-2012_9_3'!G2434,"AAAAAFT//xc=")</f>
        <v>#VALUE!</v>
      </c>
      <c r="Y153" t="e">
        <f>AND('Planilla_General_03-12-2012_9_3'!H2434,"AAAAAFT//xg=")</f>
        <v>#VALUE!</v>
      </c>
      <c r="Z153" t="e">
        <f>AND('Planilla_General_03-12-2012_9_3'!I2434,"AAAAAFT//xk=")</f>
        <v>#VALUE!</v>
      </c>
      <c r="AA153" t="e">
        <f>AND('Planilla_General_03-12-2012_9_3'!J2434,"AAAAAFT//xo=")</f>
        <v>#VALUE!</v>
      </c>
      <c r="AB153" t="e">
        <f>AND('Planilla_General_03-12-2012_9_3'!K2434,"AAAAAFT//xs=")</f>
        <v>#VALUE!</v>
      </c>
      <c r="AC153" t="e">
        <f>AND('Planilla_General_03-12-2012_9_3'!L2434,"AAAAAFT//xw=")</f>
        <v>#VALUE!</v>
      </c>
      <c r="AD153" t="e">
        <f>AND('Planilla_General_03-12-2012_9_3'!M2434,"AAAAAFT//x0=")</f>
        <v>#VALUE!</v>
      </c>
      <c r="AE153" t="e">
        <f>AND('Planilla_General_03-12-2012_9_3'!N2434,"AAAAAFT//x4=")</f>
        <v>#VALUE!</v>
      </c>
      <c r="AF153" t="e">
        <f>AND('Planilla_General_03-12-2012_9_3'!O2434,"AAAAAFT//x8=")</f>
        <v>#VALUE!</v>
      </c>
      <c r="AG153">
        <f>IF('Planilla_General_03-12-2012_9_3'!2435:2435,"AAAAAFT//yA=",0)</f>
        <v>0</v>
      </c>
      <c r="AH153" t="e">
        <f>AND('Planilla_General_03-12-2012_9_3'!A2435,"AAAAAFT//yE=")</f>
        <v>#VALUE!</v>
      </c>
      <c r="AI153" t="e">
        <f>AND('Planilla_General_03-12-2012_9_3'!B2435,"AAAAAFT//yI=")</f>
        <v>#VALUE!</v>
      </c>
      <c r="AJ153" t="e">
        <f>AND('Planilla_General_03-12-2012_9_3'!C2435,"AAAAAFT//yM=")</f>
        <v>#VALUE!</v>
      </c>
      <c r="AK153" t="e">
        <f>AND('Planilla_General_03-12-2012_9_3'!D2435,"AAAAAFT//yQ=")</f>
        <v>#VALUE!</v>
      </c>
      <c r="AL153" t="e">
        <f>AND('Planilla_General_03-12-2012_9_3'!E2435,"AAAAAFT//yU=")</f>
        <v>#VALUE!</v>
      </c>
      <c r="AM153" t="e">
        <f>AND('Planilla_General_03-12-2012_9_3'!F2435,"AAAAAFT//yY=")</f>
        <v>#VALUE!</v>
      </c>
      <c r="AN153" t="e">
        <f>AND('Planilla_General_03-12-2012_9_3'!G2435,"AAAAAFT//yc=")</f>
        <v>#VALUE!</v>
      </c>
      <c r="AO153" t="e">
        <f>AND('Planilla_General_03-12-2012_9_3'!H2435,"AAAAAFT//yg=")</f>
        <v>#VALUE!</v>
      </c>
      <c r="AP153" t="e">
        <f>AND('Planilla_General_03-12-2012_9_3'!I2435,"AAAAAFT//yk=")</f>
        <v>#VALUE!</v>
      </c>
      <c r="AQ153" t="e">
        <f>AND('Planilla_General_03-12-2012_9_3'!J2435,"AAAAAFT//yo=")</f>
        <v>#VALUE!</v>
      </c>
      <c r="AR153" t="e">
        <f>AND('Planilla_General_03-12-2012_9_3'!K2435,"AAAAAFT//ys=")</f>
        <v>#VALUE!</v>
      </c>
      <c r="AS153" t="e">
        <f>AND('Planilla_General_03-12-2012_9_3'!L2435,"AAAAAFT//yw=")</f>
        <v>#VALUE!</v>
      </c>
      <c r="AT153" t="e">
        <f>AND('Planilla_General_03-12-2012_9_3'!M2435,"AAAAAFT//y0=")</f>
        <v>#VALUE!</v>
      </c>
      <c r="AU153" t="e">
        <f>AND('Planilla_General_03-12-2012_9_3'!N2435,"AAAAAFT//y4=")</f>
        <v>#VALUE!</v>
      </c>
      <c r="AV153" t="e">
        <f>AND('Planilla_General_03-12-2012_9_3'!O2435,"AAAAAFT//y8=")</f>
        <v>#VALUE!</v>
      </c>
      <c r="AW153">
        <f>IF('Planilla_General_03-12-2012_9_3'!2436:2436,"AAAAAFT//zA=",0)</f>
        <v>0</v>
      </c>
      <c r="AX153" t="e">
        <f>AND('Planilla_General_03-12-2012_9_3'!A2436,"AAAAAFT//zE=")</f>
        <v>#VALUE!</v>
      </c>
      <c r="AY153" t="e">
        <f>AND('Planilla_General_03-12-2012_9_3'!B2436,"AAAAAFT//zI=")</f>
        <v>#VALUE!</v>
      </c>
      <c r="AZ153" t="e">
        <f>AND('Planilla_General_03-12-2012_9_3'!C2436,"AAAAAFT//zM=")</f>
        <v>#VALUE!</v>
      </c>
      <c r="BA153" t="e">
        <f>AND('Planilla_General_03-12-2012_9_3'!D2436,"AAAAAFT//zQ=")</f>
        <v>#VALUE!</v>
      </c>
      <c r="BB153" t="e">
        <f>AND('Planilla_General_03-12-2012_9_3'!E2436,"AAAAAFT//zU=")</f>
        <v>#VALUE!</v>
      </c>
      <c r="BC153" t="e">
        <f>AND('Planilla_General_03-12-2012_9_3'!F2436,"AAAAAFT//zY=")</f>
        <v>#VALUE!</v>
      </c>
      <c r="BD153" t="e">
        <f>AND('Planilla_General_03-12-2012_9_3'!G2436,"AAAAAFT//zc=")</f>
        <v>#VALUE!</v>
      </c>
      <c r="BE153" t="e">
        <f>AND('Planilla_General_03-12-2012_9_3'!H2436,"AAAAAFT//zg=")</f>
        <v>#VALUE!</v>
      </c>
      <c r="BF153" t="e">
        <f>AND('Planilla_General_03-12-2012_9_3'!I2436,"AAAAAFT//zk=")</f>
        <v>#VALUE!</v>
      </c>
      <c r="BG153" t="e">
        <f>AND('Planilla_General_03-12-2012_9_3'!J2436,"AAAAAFT//zo=")</f>
        <v>#VALUE!</v>
      </c>
      <c r="BH153" t="e">
        <f>AND('Planilla_General_03-12-2012_9_3'!K2436,"AAAAAFT//zs=")</f>
        <v>#VALUE!</v>
      </c>
      <c r="BI153" t="e">
        <f>AND('Planilla_General_03-12-2012_9_3'!L2436,"AAAAAFT//zw=")</f>
        <v>#VALUE!</v>
      </c>
      <c r="BJ153" t="e">
        <f>AND('Planilla_General_03-12-2012_9_3'!M2436,"AAAAAFT//z0=")</f>
        <v>#VALUE!</v>
      </c>
      <c r="BK153" t="e">
        <f>AND('Planilla_General_03-12-2012_9_3'!N2436,"AAAAAFT//z4=")</f>
        <v>#VALUE!</v>
      </c>
      <c r="BL153" t="e">
        <f>AND('Planilla_General_03-12-2012_9_3'!O2436,"AAAAAFT//z8=")</f>
        <v>#VALUE!</v>
      </c>
      <c r="BM153">
        <f>IF('Planilla_General_03-12-2012_9_3'!2437:2437,"AAAAAFT//0A=",0)</f>
        <v>0</v>
      </c>
      <c r="BN153" t="e">
        <f>AND('Planilla_General_03-12-2012_9_3'!A2437,"AAAAAFT//0E=")</f>
        <v>#VALUE!</v>
      </c>
      <c r="BO153" t="e">
        <f>AND('Planilla_General_03-12-2012_9_3'!B2437,"AAAAAFT//0I=")</f>
        <v>#VALUE!</v>
      </c>
      <c r="BP153" t="e">
        <f>AND('Planilla_General_03-12-2012_9_3'!C2437,"AAAAAFT//0M=")</f>
        <v>#VALUE!</v>
      </c>
      <c r="BQ153" t="e">
        <f>AND('Planilla_General_03-12-2012_9_3'!D2437,"AAAAAFT//0Q=")</f>
        <v>#VALUE!</v>
      </c>
      <c r="BR153" t="e">
        <f>AND('Planilla_General_03-12-2012_9_3'!E2437,"AAAAAFT//0U=")</f>
        <v>#VALUE!</v>
      </c>
      <c r="BS153" t="e">
        <f>AND('Planilla_General_03-12-2012_9_3'!F2437,"AAAAAFT//0Y=")</f>
        <v>#VALUE!</v>
      </c>
      <c r="BT153" t="e">
        <f>AND('Planilla_General_03-12-2012_9_3'!G2437,"AAAAAFT//0c=")</f>
        <v>#VALUE!</v>
      </c>
      <c r="BU153" t="e">
        <f>AND('Planilla_General_03-12-2012_9_3'!H2437,"AAAAAFT//0g=")</f>
        <v>#VALUE!</v>
      </c>
      <c r="BV153" t="e">
        <f>AND('Planilla_General_03-12-2012_9_3'!I2437,"AAAAAFT//0k=")</f>
        <v>#VALUE!</v>
      </c>
      <c r="BW153" t="e">
        <f>AND('Planilla_General_03-12-2012_9_3'!J2437,"AAAAAFT//0o=")</f>
        <v>#VALUE!</v>
      </c>
      <c r="BX153" t="e">
        <f>AND('Planilla_General_03-12-2012_9_3'!K2437,"AAAAAFT//0s=")</f>
        <v>#VALUE!</v>
      </c>
      <c r="BY153" t="e">
        <f>AND('Planilla_General_03-12-2012_9_3'!L2437,"AAAAAFT//0w=")</f>
        <v>#VALUE!</v>
      </c>
      <c r="BZ153" t="e">
        <f>AND('Planilla_General_03-12-2012_9_3'!M2437,"AAAAAFT//00=")</f>
        <v>#VALUE!</v>
      </c>
      <c r="CA153" t="e">
        <f>AND('Planilla_General_03-12-2012_9_3'!N2437,"AAAAAFT//04=")</f>
        <v>#VALUE!</v>
      </c>
      <c r="CB153" t="e">
        <f>AND('Planilla_General_03-12-2012_9_3'!O2437,"AAAAAFT//08=")</f>
        <v>#VALUE!</v>
      </c>
      <c r="CC153">
        <f>IF('Planilla_General_03-12-2012_9_3'!2438:2438,"AAAAAFT//1A=",0)</f>
        <v>0</v>
      </c>
      <c r="CD153" t="e">
        <f>AND('Planilla_General_03-12-2012_9_3'!A2438,"AAAAAFT//1E=")</f>
        <v>#VALUE!</v>
      </c>
      <c r="CE153" t="e">
        <f>AND('Planilla_General_03-12-2012_9_3'!B2438,"AAAAAFT//1I=")</f>
        <v>#VALUE!</v>
      </c>
      <c r="CF153" t="e">
        <f>AND('Planilla_General_03-12-2012_9_3'!C2438,"AAAAAFT//1M=")</f>
        <v>#VALUE!</v>
      </c>
      <c r="CG153" t="e">
        <f>AND('Planilla_General_03-12-2012_9_3'!D2438,"AAAAAFT//1Q=")</f>
        <v>#VALUE!</v>
      </c>
      <c r="CH153" t="e">
        <f>AND('Planilla_General_03-12-2012_9_3'!E2438,"AAAAAFT//1U=")</f>
        <v>#VALUE!</v>
      </c>
      <c r="CI153" t="e">
        <f>AND('Planilla_General_03-12-2012_9_3'!F2438,"AAAAAFT//1Y=")</f>
        <v>#VALUE!</v>
      </c>
      <c r="CJ153" t="e">
        <f>AND('Planilla_General_03-12-2012_9_3'!G2438,"AAAAAFT//1c=")</f>
        <v>#VALUE!</v>
      </c>
      <c r="CK153" t="e">
        <f>AND('Planilla_General_03-12-2012_9_3'!H2438,"AAAAAFT//1g=")</f>
        <v>#VALUE!</v>
      </c>
      <c r="CL153" t="e">
        <f>AND('Planilla_General_03-12-2012_9_3'!I2438,"AAAAAFT//1k=")</f>
        <v>#VALUE!</v>
      </c>
      <c r="CM153" t="e">
        <f>AND('Planilla_General_03-12-2012_9_3'!J2438,"AAAAAFT//1o=")</f>
        <v>#VALUE!</v>
      </c>
      <c r="CN153" t="e">
        <f>AND('Planilla_General_03-12-2012_9_3'!K2438,"AAAAAFT//1s=")</f>
        <v>#VALUE!</v>
      </c>
      <c r="CO153" t="e">
        <f>AND('Planilla_General_03-12-2012_9_3'!L2438,"AAAAAFT//1w=")</f>
        <v>#VALUE!</v>
      </c>
      <c r="CP153" t="e">
        <f>AND('Planilla_General_03-12-2012_9_3'!M2438,"AAAAAFT//10=")</f>
        <v>#VALUE!</v>
      </c>
      <c r="CQ153" t="e">
        <f>AND('Planilla_General_03-12-2012_9_3'!N2438,"AAAAAFT//14=")</f>
        <v>#VALUE!</v>
      </c>
      <c r="CR153" t="e">
        <f>AND('Planilla_General_03-12-2012_9_3'!O2438,"AAAAAFT//18=")</f>
        <v>#VALUE!</v>
      </c>
      <c r="CS153">
        <f>IF('Planilla_General_03-12-2012_9_3'!2439:2439,"AAAAAFT//2A=",0)</f>
        <v>0</v>
      </c>
      <c r="CT153" t="e">
        <f>AND('Planilla_General_03-12-2012_9_3'!A2439,"AAAAAFT//2E=")</f>
        <v>#VALUE!</v>
      </c>
      <c r="CU153" t="e">
        <f>AND('Planilla_General_03-12-2012_9_3'!B2439,"AAAAAFT//2I=")</f>
        <v>#VALUE!</v>
      </c>
      <c r="CV153" t="e">
        <f>AND('Planilla_General_03-12-2012_9_3'!C2439,"AAAAAFT//2M=")</f>
        <v>#VALUE!</v>
      </c>
      <c r="CW153" t="e">
        <f>AND('Planilla_General_03-12-2012_9_3'!D2439,"AAAAAFT//2Q=")</f>
        <v>#VALUE!</v>
      </c>
      <c r="CX153" t="e">
        <f>AND('Planilla_General_03-12-2012_9_3'!E2439,"AAAAAFT//2U=")</f>
        <v>#VALUE!</v>
      </c>
      <c r="CY153" t="e">
        <f>AND('Planilla_General_03-12-2012_9_3'!F2439,"AAAAAFT//2Y=")</f>
        <v>#VALUE!</v>
      </c>
      <c r="CZ153" t="e">
        <f>AND('Planilla_General_03-12-2012_9_3'!G2439,"AAAAAFT//2c=")</f>
        <v>#VALUE!</v>
      </c>
      <c r="DA153" t="e">
        <f>AND('Planilla_General_03-12-2012_9_3'!H2439,"AAAAAFT//2g=")</f>
        <v>#VALUE!</v>
      </c>
      <c r="DB153" t="e">
        <f>AND('Planilla_General_03-12-2012_9_3'!I2439,"AAAAAFT//2k=")</f>
        <v>#VALUE!</v>
      </c>
      <c r="DC153" t="e">
        <f>AND('Planilla_General_03-12-2012_9_3'!J2439,"AAAAAFT//2o=")</f>
        <v>#VALUE!</v>
      </c>
      <c r="DD153" t="e">
        <f>AND('Planilla_General_03-12-2012_9_3'!K2439,"AAAAAFT//2s=")</f>
        <v>#VALUE!</v>
      </c>
      <c r="DE153" t="e">
        <f>AND('Planilla_General_03-12-2012_9_3'!L2439,"AAAAAFT//2w=")</f>
        <v>#VALUE!</v>
      </c>
      <c r="DF153" t="e">
        <f>AND('Planilla_General_03-12-2012_9_3'!M2439,"AAAAAFT//20=")</f>
        <v>#VALUE!</v>
      </c>
      <c r="DG153" t="e">
        <f>AND('Planilla_General_03-12-2012_9_3'!N2439,"AAAAAFT//24=")</f>
        <v>#VALUE!</v>
      </c>
      <c r="DH153" t="e">
        <f>AND('Planilla_General_03-12-2012_9_3'!O2439,"AAAAAFT//28=")</f>
        <v>#VALUE!</v>
      </c>
      <c r="DI153">
        <f>IF('Planilla_General_03-12-2012_9_3'!2440:2440,"AAAAAFT//3A=",0)</f>
        <v>0</v>
      </c>
      <c r="DJ153" t="e">
        <f>AND('Planilla_General_03-12-2012_9_3'!A2440,"AAAAAFT//3E=")</f>
        <v>#VALUE!</v>
      </c>
      <c r="DK153" t="e">
        <f>AND('Planilla_General_03-12-2012_9_3'!B2440,"AAAAAFT//3I=")</f>
        <v>#VALUE!</v>
      </c>
      <c r="DL153" t="e">
        <f>AND('Planilla_General_03-12-2012_9_3'!C2440,"AAAAAFT//3M=")</f>
        <v>#VALUE!</v>
      </c>
      <c r="DM153" t="e">
        <f>AND('Planilla_General_03-12-2012_9_3'!D2440,"AAAAAFT//3Q=")</f>
        <v>#VALUE!</v>
      </c>
      <c r="DN153" t="e">
        <f>AND('Planilla_General_03-12-2012_9_3'!E2440,"AAAAAFT//3U=")</f>
        <v>#VALUE!</v>
      </c>
      <c r="DO153" t="e">
        <f>AND('Planilla_General_03-12-2012_9_3'!F2440,"AAAAAFT//3Y=")</f>
        <v>#VALUE!</v>
      </c>
      <c r="DP153" t="e">
        <f>AND('Planilla_General_03-12-2012_9_3'!G2440,"AAAAAFT//3c=")</f>
        <v>#VALUE!</v>
      </c>
      <c r="DQ153" t="e">
        <f>AND('Planilla_General_03-12-2012_9_3'!H2440,"AAAAAFT//3g=")</f>
        <v>#VALUE!</v>
      </c>
      <c r="DR153" t="e">
        <f>AND('Planilla_General_03-12-2012_9_3'!I2440,"AAAAAFT//3k=")</f>
        <v>#VALUE!</v>
      </c>
      <c r="DS153" t="e">
        <f>AND('Planilla_General_03-12-2012_9_3'!J2440,"AAAAAFT//3o=")</f>
        <v>#VALUE!</v>
      </c>
      <c r="DT153" t="e">
        <f>AND('Planilla_General_03-12-2012_9_3'!K2440,"AAAAAFT//3s=")</f>
        <v>#VALUE!</v>
      </c>
      <c r="DU153" t="e">
        <f>AND('Planilla_General_03-12-2012_9_3'!L2440,"AAAAAFT//3w=")</f>
        <v>#VALUE!</v>
      </c>
      <c r="DV153" t="e">
        <f>AND('Planilla_General_03-12-2012_9_3'!M2440,"AAAAAFT//30=")</f>
        <v>#VALUE!</v>
      </c>
      <c r="DW153" t="e">
        <f>AND('Planilla_General_03-12-2012_9_3'!N2440,"AAAAAFT//34=")</f>
        <v>#VALUE!</v>
      </c>
      <c r="DX153" t="e">
        <f>AND('Planilla_General_03-12-2012_9_3'!O2440,"AAAAAFT//38=")</f>
        <v>#VALUE!</v>
      </c>
      <c r="DY153">
        <f>IF('Planilla_General_03-12-2012_9_3'!2441:2441,"AAAAAFT//4A=",0)</f>
        <v>0</v>
      </c>
      <c r="DZ153" t="e">
        <f>AND('Planilla_General_03-12-2012_9_3'!A2441,"AAAAAFT//4E=")</f>
        <v>#VALUE!</v>
      </c>
      <c r="EA153" t="e">
        <f>AND('Planilla_General_03-12-2012_9_3'!B2441,"AAAAAFT//4I=")</f>
        <v>#VALUE!</v>
      </c>
      <c r="EB153" t="e">
        <f>AND('Planilla_General_03-12-2012_9_3'!C2441,"AAAAAFT//4M=")</f>
        <v>#VALUE!</v>
      </c>
      <c r="EC153" t="e">
        <f>AND('Planilla_General_03-12-2012_9_3'!D2441,"AAAAAFT//4Q=")</f>
        <v>#VALUE!</v>
      </c>
      <c r="ED153" t="e">
        <f>AND('Planilla_General_03-12-2012_9_3'!E2441,"AAAAAFT//4U=")</f>
        <v>#VALUE!</v>
      </c>
      <c r="EE153" t="e">
        <f>AND('Planilla_General_03-12-2012_9_3'!F2441,"AAAAAFT//4Y=")</f>
        <v>#VALUE!</v>
      </c>
      <c r="EF153" t="e">
        <f>AND('Planilla_General_03-12-2012_9_3'!G2441,"AAAAAFT//4c=")</f>
        <v>#VALUE!</v>
      </c>
      <c r="EG153" t="e">
        <f>AND('Planilla_General_03-12-2012_9_3'!H2441,"AAAAAFT//4g=")</f>
        <v>#VALUE!</v>
      </c>
      <c r="EH153" t="e">
        <f>AND('Planilla_General_03-12-2012_9_3'!I2441,"AAAAAFT//4k=")</f>
        <v>#VALUE!</v>
      </c>
      <c r="EI153" t="e">
        <f>AND('Planilla_General_03-12-2012_9_3'!J2441,"AAAAAFT//4o=")</f>
        <v>#VALUE!</v>
      </c>
      <c r="EJ153" t="e">
        <f>AND('Planilla_General_03-12-2012_9_3'!K2441,"AAAAAFT//4s=")</f>
        <v>#VALUE!</v>
      </c>
      <c r="EK153" t="e">
        <f>AND('Planilla_General_03-12-2012_9_3'!L2441,"AAAAAFT//4w=")</f>
        <v>#VALUE!</v>
      </c>
      <c r="EL153" t="e">
        <f>AND('Planilla_General_03-12-2012_9_3'!M2441,"AAAAAFT//40=")</f>
        <v>#VALUE!</v>
      </c>
      <c r="EM153" t="e">
        <f>AND('Planilla_General_03-12-2012_9_3'!N2441,"AAAAAFT//44=")</f>
        <v>#VALUE!</v>
      </c>
      <c r="EN153" t="e">
        <f>AND('Planilla_General_03-12-2012_9_3'!O2441,"AAAAAFT//48=")</f>
        <v>#VALUE!</v>
      </c>
      <c r="EO153">
        <f>IF('Planilla_General_03-12-2012_9_3'!2442:2442,"AAAAAFT//5A=",0)</f>
        <v>0</v>
      </c>
      <c r="EP153" t="e">
        <f>AND('Planilla_General_03-12-2012_9_3'!A2442,"AAAAAFT//5E=")</f>
        <v>#VALUE!</v>
      </c>
      <c r="EQ153" t="e">
        <f>AND('Planilla_General_03-12-2012_9_3'!B2442,"AAAAAFT//5I=")</f>
        <v>#VALUE!</v>
      </c>
      <c r="ER153" t="e">
        <f>AND('Planilla_General_03-12-2012_9_3'!C2442,"AAAAAFT//5M=")</f>
        <v>#VALUE!</v>
      </c>
      <c r="ES153" t="e">
        <f>AND('Planilla_General_03-12-2012_9_3'!D2442,"AAAAAFT//5Q=")</f>
        <v>#VALUE!</v>
      </c>
      <c r="ET153" t="e">
        <f>AND('Planilla_General_03-12-2012_9_3'!E2442,"AAAAAFT//5U=")</f>
        <v>#VALUE!</v>
      </c>
      <c r="EU153" t="e">
        <f>AND('Planilla_General_03-12-2012_9_3'!F2442,"AAAAAFT//5Y=")</f>
        <v>#VALUE!</v>
      </c>
      <c r="EV153" t="e">
        <f>AND('Planilla_General_03-12-2012_9_3'!G2442,"AAAAAFT//5c=")</f>
        <v>#VALUE!</v>
      </c>
      <c r="EW153" t="e">
        <f>AND('Planilla_General_03-12-2012_9_3'!H2442,"AAAAAFT//5g=")</f>
        <v>#VALUE!</v>
      </c>
      <c r="EX153" t="e">
        <f>AND('Planilla_General_03-12-2012_9_3'!I2442,"AAAAAFT//5k=")</f>
        <v>#VALUE!</v>
      </c>
      <c r="EY153" t="e">
        <f>AND('Planilla_General_03-12-2012_9_3'!J2442,"AAAAAFT//5o=")</f>
        <v>#VALUE!</v>
      </c>
      <c r="EZ153" t="e">
        <f>AND('Planilla_General_03-12-2012_9_3'!K2442,"AAAAAFT//5s=")</f>
        <v>#VALUE!</v>
      </c>
      <c r="FA153" t="e">
        <f>AND('Planilla_General_03-12-2012_9_3'!L2442,"AAAAAFT//5w=")</f>
        <v>#VALUE!</v>
      </c>
      <c r="FB153" t="e">
        <f>AND('Planilla_General_03-12-2012_9_3'!M2442,"AAAAAFT//50=")</f>
        <v>#VALUE!</v>
      </c>
      <c r="FC153" t="e">
        <f>AND('Planilla_General_03-12-2012_9_3'!N2442,"AAAAAFT//54=")</f>
        <v>#VALUE!</v>
      </c>
      <c r="FD153" t="e">
        <f>AND('Planilla_General_03-12-2012_9_3'!O2442,"AAAAAFT//58=")</f>
        <v>#VALUE!</v>
      </c>
      <c r="FE153">
        <f>IF('Planilla_General_03-12-2012_9_3'!2443:2443,"AAAAAFT//6A=",0)</f>
        <v>0</v>
      </c>
      <c r="FF153" t="e">
        <f>AND('Planilla_General_03-12-2012_9_3'!A2443,"AAAAAFT//6E=")</f>
        <v>#VALUE!</v>
      </c>
      <c r="FG153" t="e">
        <f>AND('Planilla_General_03-12-2012_9_3'!B2443,"AAAAAFT//6I=")</f>
        <v>#VALUE!</v>
      </c>
      <c r="FH153" t="e">
        <f>AND('Planilla_General_03-12-2012_9_3'!C2443,"AAAAAFT//6M=")</f>
        <v>#VALUE!</v>
      </c>
      <c r="FI153" t="e">
        <f>AND('Planilla_General_03-12-2012_9_3'!D2443,"AAAAAFT//6Q=")</f>
        <v>#VALUE!</v>
      </c>
      <c r="FJ153" t="e">
        <f>AND('Planilla_General_03-12-2012_9_3'!E2443,"AAAAAFT//6U=")</f>
        <v>#VALUE!</v>
      </c>
      <c r="FK153" t="e">
        <f>AND('Planilla_General_03-12-2012_9_3'!F2443,"AAAAAFT//6Y=")</f>
        <v>#VALUE!</v>
      </c>
      <c r="FL153" t="e">
        <f>AND('Planilla_General_03-12-2012_9_3'!G2443,"AAAAAFT//6c=")</f>
        <v>#VALUE!</v>
      </c>
      <c r="FM153" t="e">
        <f>AND('Planilla_General_03-12-2012_9_3'!H2443,"AAAAAFT//6g=")</f>
        <v>#VALUE!</v>
      </c>
      <c r="FN153" t="e">
        <f>AND('Planilla_General_03-12-2012_9_3'!I2443,"AAAAAFT//6k=")</f>
        <v>#VALUE!</v>
      </c>
      <c r="FO153" t="e">
        <f>AND('Planilla_General_03-12-2012_9_3'!J2443,"AAAAAFT//6o=")</f>
        <v>#VALUE!</v>
      </c>
      <c r="FP153" t="e">
        <f>AND('Planilla_General_03-12-2012_9_3'!K2443,"AAAAAFT//6s=")</f>
        <v>#VALUE!</v>
      </c>
      <c r="FQ153" t="e">
        <f>AND('Planilla_General_03-12-2012_9_3'!L2443,"AAAAAFT//6w=")</f>
        <v>#VALUE!</v>
      </c>
      <c r="FR153" t="e">
        <f>AND('Planilla_General_03-12-2012_9_3'!M2443,"AAAAAFT//60=")</f>
        <v>#VALUE!</v>
      </c>
      <c r="FS153" t="e">
        <f>AND('Planilla_General_03-12-2012_9_3'!N2443,"AAAAAFT//64=")</f>
        <v>#VALUE!</v>
      </c>
      <c r="FT153" t="e">
        <f>AND('Planilla_General_03-12-2012_9_3'!O2443,"AAAAAFT//68=")</f>
        <v>#VALUE!</v>
      </c>
      <c r="FU153">
        <f>IF('Planilla_General_03-12-2012_9_3'!2444:2444,"AAAAAFT//7A=",0)</f>
        <v>0</v>
      </c>
      <c r="FV153" t="e">
        <f>AND('Planilla_General_03-12-2012_9_3'!A2444,"AAAAAFT//7E=")</f>
        <v>#VALUE!</v>
      </c>
      <c r="FW153" t="e">
        <f>AND('Planilla_General_03-12-2012_9_3'!B2444,"AAAAAFT//7I=")</f>
        <v>#VALUE!</v>
      </c>
      <c r="FX153" t="e">
        <f>AND('Planilla_General_03-12-2012_9_3'!C2444,"AAAAAFT//7M=")</f>
        <v>#VALUE!</v>
      </c>
      <c r="FY153" t="e">
        <f>AND('Planilla_General_03-12-2012_9_3'!D2444,"AAAAAFT//7Q=")</f>
        <v>#VALUE!</v>
      </c>
      <c r="FZ153" t="e">
        <f>AND('Planilla_General_03-12-2012_9_3'!E2444,"AAAAAFT//7U=")</f>
        <v>#VALUE!</v>
      </c>
      <c r="GA153" t="e">
        <f>AND('Planilla_General_03-12-2012_9_3'!F2444,"AAAAAFT//7Y=")</f>
        <v>#VALUE!</v>
      </c>
      <c r="GB153" t="e">
        <f>AND('Planilla_General_03-12-2012_9_3'!G2444,"AAAAAFT//7c=")</f>
        <v>#VALUE!</v>
      </c>
      <c r="GC153" t="e">
        <f>AND('Planilla_General_03-12-2012_9_3'!H2444,"AAAAAFT//7g=")</f>
        <v>#VALUE!</v>
      </c>
      <c r="GD153" t="e">
        <f>AND('Planilla_General_03-12-2012_9_3'!I2444,"AAAAAFT//7k=")</f>
        <v>#VALUE!</v>
      </c>
      <c r="GE153" t="e">
        <f>AND('Planilla_General_03-12-2012_9_3'!J2444,"AAAAAFT//7o=")</f>
        <v>#VALUE!</v>
      </c>
      <c r="GF153" t="e">
        <f>AND('Planilla_General_03-12-2012_9_3'!K2444,"AAAAAFT//7s=")</f>
        <v>#VALUE!</v>
      </c>
      <c r="GG153" t="e">
        <f>AND('Planilla_General_03-12-2012_9_3'!L2444,"AAAAAFT//7w=")</f>
        <v>#VALUE!</v>
      </c>
      <c r="GH153" t="e">
        <f>AND('Planilla_General_03-12-2012_9_3'!M2444,"AAAAAFT//70=")</f>
        <v>#VALUE!</v>
      </c>
      <c r="GI153" t="e">
        <f>AND('Planilla_General_03-12-2012_9_3'!N2444,"AAAAAFT//74=")</f>
        <v>#VALUE!</v>
      </c>
      <c r="GJ153" t="e">
        <f>AND('Planilla_General_03-12-2012_9_3'!O2444,"AAAAAFT//78=")</f>
        <v>#VALUE!</v>
      </c>
      <c r="GK153">
        <f>IF('Planilla_General_03-12-2012_9_3'!2445:2445,"AAAAAFT//8A=",0)</f>
        <v>0</v>
      </c>
      <c r="GL153" t="e">
        <f>AND('Planilla_General_03-12-2012_9_3'!A2445,"AAAAAFT//8E=")</f>
        <v>#VALUE!</v>
      </c>
      <c r="GM153" t="e">
        <f>AND('Planilla_General_03-12-2012_9_3'!B2445,"AAAAAFT//8I=")</f>
        <v>#VALUE!</v>
      </c>
      <c r="GN153" t="e">
        <f>AND('Planilla_General_03-12-2012_9_3'!C2445,"AAAAAFT//8M=")</f>
        <v>#VALUE!</v>
      </c>
      <c r="GO153" t="e">
        <f>AND('Planilla_General_03-12-2012_9_3'!D2445,"AAAAAFT//8Q=")</f>
        <v>#VALUE!</v>
      </c>
      <c r="GP153" t="e">
        <f>AND('Planilla_General_03-12-2012_9_3'!E2445,"AAAAAFT//8U=")</f>
        <v>#VALUE!</v>
      </c>
      <c r="GQ153" t="e">
        <f>AND('Planilla_General_03-12-2012_9_3'!F2445,"AAAAAFT//8Y=")</f>
        <v>#VALUE!</v>
      </c>
      <c r="GR153" t="e">
        <f>AND('Planilla_General_03-12-2012_9_3'!G2445,"AAAAAFT//8c=")</f>
        <v>#VALUE!</v>
      </c>
      <c r="GS153" t="e">
        <f>AND('Planilla_General_03-12-2012_9_3'!H2445,"AAAAAFT//8g=")</f>
        <v>#VALUE!</v>
      </c>
      <c r="GT153" t="e">
        <f>AND('Planilla_General_03-12-2012_9_3'!I2445,"AAAAAFT//8k=")</f>
        <v>#VALUE!</v>
      </c>
      <c r="GU153" t="e">
        <f>AND('Planilla_General_03-12-2012_9_3'!J2445,"AAAAAFT//8o=")</f>
        <v>#VALUE!</v>
      </c>
      <c r="GV153" t="e">
        <f>AND('Planilla_General_03-12-2012_9_3'!K2445,"AAAAAFT//8s=")</f>
        <v>#VALUE!</v>
      </c>
      <c r="GW153" t="e">
        <f>AND('Planilla_General_03-12-2012_9_3'!L2445,"AAAAAFT//8w=")</f>
        <v>#VALUE!</v>
      </c>
      <c r="GX153" t="e">
        <f>AND('Planilla_General_03-12-2012_9_3'!M2445,"AAAAAFT//80=")</f>
        <v>#VALUE!</v>
      </c>
      <c r="GY153" t="e">
        <f>AND('Planilla_General_03-12-2012_9_3'!N2445,"AAAAAFT//84=")</f>
        <v>#VALUE!</v>
      </c>
      <c r="GZ153" t="e">
        <f>AND('Planilla_General_03-12-2012_9_3'!O2445,"AAAAAFT//88=")</f>
        <v>#VALUE!</v>
      </c>
      <c r="HA153">
        <f>IF('Planilla_General_03-12-2012_9_3'!2446:2446,"AAAAAFT//9A=",0)</f>
        <v>0</v>
      </c>
      <c r="HB153" t="e">
        <f>AND('Planilla_General_03-12-2012_9_3'!A2446,"AAAAAFT//9E=")</f>
        <v>#VALUE!</v>
      </c>
      <c r="HC153" t="e">
        <f>AND('Planilla_General_03-12-2012_9_3'!B2446,"AAAAAFT//9I=")</f>
        <v>#VALUE!</v>
      </c>
      <c r="HD153" t="e">
        <f>AND('Planilla_General_03-12-2012_9_3'!C2446,"AAAAAFT//9M=")</f>
        <v>#VALUE!</v>
      </c>
      <c r="HE153" t="e">
        <f>AND('Planilla_General_03-12-2012_9_3'!D2446,"AAAAAFT//9Q=")</f>
        <v>#VALUE!</v>
      </c>
      <c r="HF153" t="e">
        <f>AND('Planilla_General_03-12-2012_9_3'!E2446,"AAAAAFT//9U=")</f>
        <v>#VALUE!</v>
      </c>
      <c r="HG153" t="e">
        <f>AND('Planilla_General_03-12-2012_9_3'!F2446,"AAAAAFT//9Y=")</f>
        <v>#VALUE!</v>
      </c>
      <c r="HH153" t="e">
        <f>AND('Planilla_General_03-12-2012_9_3'!G2446,"AAAAAFT//9c=")</f>
        <v>#VALUE!</v>
      </c>
      <c r="HI153" t="e">
        <f>AND('Planilla_General_03-12-2012_9_3'!H2446,"AAAAAFT//9g=")</f>
        <v>#VALUE!</v>
      </c>
      <c r="HJ153" t="e">
        <f>AND('Planilla_General_03-12-2012_9_3'!I2446,"AAAAAFT//9k=")</f>
        <v>#VALUE!</v>
      </c>
      <c r="HK153" t="e">
        <f>AND('Planilla_General_03-12-2012_9_3'!J2446,"AAAAAFT//9o=")</f>
        <v>#VALUE!</v>
      </c>
      <c r="HL153" t="e">
        <f>AND('Planilla_General_03-12-2012_9_3'!K2446,"AAAAAFT//9s=")</f>
        <v>#VALUE!</v>
      </c>
      <c r="HM153" t="e">
        <f>AND('Planilla_General_03-12-2012_9_3'!L2446,"AAAAAFT//9w=")</f>
        <v>#VALUE!</v>
      </c>
      <c r="HN153" t="e">
        <f>AND('Planilla_General_03-12-2012_9_3'!M2446,"AAAAAFT//90=")</f>
        <v>#VALUE!</v>
      </c>
      <c r="HO153" t="e">
        <f>AND('Planilla_General_03-12-2012_9_3'!N2446,"AAAAAFT//94=")</f>
        <v>#VALUE!</v>
      </c>
      <c r="HP153" t="e">
        <f>AND('Planilla_General_03-12-2012_9_3'!O2446,"AAAAAFT//98=")</f>
        <v>#VALUE!</v>
      </c>
      <c r="HQ153">
        <f>IF('Planilla_General_03-12-2012_9_3'!2447:2447,"AAAAAFT//+A=",0)</f>
        <v>0</v>
      </c>
      <c r="HR153" t="e">
        <f>AND('Planilla_General_03-12-2012_9_3'!A2447,"AAAAAFT//+E=")</f>
        <v>#VALUE!</v>
      </c>
      <c r="HS153" t="e">
        <f>AND('Planilla_General_03-12-2012_9_3'!B2447,"AAAAAFT//+I=")</f>
        <v>#VALUE!</v>
      </c>
      <c r="HT153" t="e">
        <f>AND('Planilla_General_03-12-2012_9_3'!C2447,"AAAAAFT//+M=")</f>
        <v>#VALUE!</v>
      </c>
      <c r="HU153" t="e">
        <f>AND('Planilla_General_03-12-2012_9_3'!D2447,"AAAAAFT//+Q=")</f>
        <v>#VALUE!</v>
      </c>
      <c r="HV153" t="e">
        <f>AND('Planilla_General_03-12-2012_9_3'!E2447,"AAAAAFT//+U=")</f>
        <v>#VALUE!</v>
      </c>
      <c r="HW153" t="e">
        <f>AND('Planilla_General_03-12-2012_9_3'!F2447,"AAAAAFT//+Y=")</f>
        <v>#VALUE!</v>
      </c>
      <c r="HX153" t="e">
        <f>AND('Planilla_General_03-12-2012_9_3'!G2447,"AAAAAFT//+c=")</f>
        <v>#VALUE!</v>
      </c>
      <c r="HY153" t="e">
        <f>AND('Planilla_General_03-12-2012_9_3'!H2447,"AAAAAFT//+g=")</f>
        <v>#VALUE!</v>
      </c>
      <c r="HZ153" t="e">
        <f>AND('Planilla_General_03-12-2012_9_3'!I2447,"AAAAAFT//+k=")</f>
        <v>#VALUE!</v>
      </c>
      <c r="IA153" t="e">
        <f>AND('Planilla_General_03-12-2012_9_3'!J2447,"AAAAAFT//+o=")</f>
        <v>#VALUE!</v>
      </c>
      <c r="IB153" t="e">
        <f>AND('Planilla_General_03-12-2012_9_3'!K2447,"AAAAAFT//+s=")</f>
        <v>#VALUE!</v>
      </c>
      <c r="IC153" t="e">
        <f>AND('Planilla_General_03-12-2012_9_3'!L2447,"AAAAAFT//+w=")</f>
        <v>#VALUE!</v>
      </c>
      <c r="ID153" t="e">
        <f>AND('Planilla_General_03-12-2012_9_3'!M2447,"AAAAAFT//+0=")</f>
        <v>#VALUE!</v>
      </c>
      <c r="IE153" t="e">
        <f>AND('Planilla_General_03-12-2012_9_3'!N2447,"AAAAAFT//+4=")</f>
        <v>#VALUE!</v>
      </c>
      <c r="IF153" t="e">
        <f>AND('Planilla_General_03-12-2012_9_3'!O2447,"AAAAAFT//+8=")</f>
        <v>#VALUE!</v>
      </c>
      <c r="IG153">
        <f>IF('Planilla_General_03-12-2012_9_3'!2448:2448,"AAAAAFT///A=",0)</f>
        <v>0</v>
      </c>
      <c r="IH153" t="e">
        <f>AND('Planilla_General_03-12-2012_9_3'!A2448,"AAAAAFT///E=")</f>
        <v>#VALUE!</v>
      </c>
      <c r="II153" t="e">
        <f>AND('Planilla_General_03-12-2012_9_3'!B2448,"AAAAAFT///I=")</f>
        <v>#VALUE!</v>
      </c>
      <c r="IJ153" t="e">
        <f>AND('Planilla_General_03-12-2012_9_3'!C2448,"AAAAAFT///M=")</f>
        <v>#VALUE!</v>
      </c>
      <c r="IK153" t="e">
        <f>AND('Planilla_General_03-12-2012_9_3'!D2448,"AAAAAFT///Q=")</f>
        <v>#VALUE!</v>
      </c>
      <c r="IL153" t="e">
        <f>AND('Planilla_General_03-12-2012_9_3'!E2448,"AAAAAFT///U=")</f>
        <v>#VALUE!</v>
      </c>
      <c r="IM153" t="e">
        <f>AND('Planilla_General_03-12-2012_9_3'!F2448,"AAAAAFT///Y=")</f>
        <v>#VALUE!</v>
      </c>
      <c r="IN153" t="e">
        <f>AND('Planilla_General_03-12-2012_9_3'!G2448,"AAAAAFT///c=")</f>
        <v>#VALUE!</v>
      </c>
      <c r="IO153" t="e">
        <f>AND('Planilla_General_03-12-2012_9_3'!H2448,"AAAAAFT///g=")</f>
        <v>#VALUE!</v>
      </c>
      <c r="IP153" t="e">
        <f>AND('Planilla_General_03-12-2012_9_3'!I2448,"AAAAAFT///k=")</f>
        <v>#VALUE!</v>
      </c>
      <c r="IQ153" t="e">
        <f>AND('Planilla_General_03-12-2012_9_3'!J2448,"AAAAAFT///o=")</f>
        <v>#VALUE!</v>
      </c>
      <c r="IR153" t="e">
        <f>AND('Planilla_General_03-12-2012_9_3'!K2448,"AAAAAFT///s=")</f>
        <v>#VALUE!</v>
      </c>
      <c r="IS153" t="e">
        <f>AND('Planilla_General_03-12-2012_9_3'!L2448,"AAAAAFT///w=")</f>
        <v>#VALUE!</v>
      </c>
      <c r="IT153" t="e">
        <f>AND('Planilla_General_03-12-2012_9_3'!M2448,"AAAAAFT///0=")</f>
        <v>#VALUE!</v>
      </c>
      <c r="IU153" t="e">
        <f>AND('Planilla_General_03-12-2012_9_3'!N2448,"AAAAAFT///4=")</f>
        <v>#VALUE!</v>
      </c>
      <c r="IV153" t="e">
        <f>AND('Planilla_General_03-12-2012_9_3'!O2448,"AAAAAFT///8=")</f>
        <v>#VALUE!</v>
      </c>
    </row>
    <row r="154" spans="1:256" x14ac:dyDescent="0.25">
      <c r="A154" t="e">
        <f>IF('Planilla_General_03-12-2012_9_3'!2449:2449,"AAAAAHV1OwA=",0)</f>
        <v>#VALUE!</v>
      </c>
      <c r="B154" t="e">
        <f>AND('Planilla_General_03-12-2012_9_3'!A2449,"AAAAAHV1OwE=")</f>
        <v>#VALUE!</v>
      </c>
      <c r="C154" t="e">
        <f>AND('Planilla_General_03-12-2012_9_3'!B2449,"AAAAAHV1OwI=")</f>
        <v>#VALUE!</v>
      </c>
      <c r="D154" t="e">
        <f>AND('Planilla_General_03-12-2012_9_3'!C2449,"AAAAAHV1OwM=")</f>
        <v>#VALUE!</v>
      </c>
      <c r="E154" t="e">
        <f>AND('Planilla_General_03-12-2012_9_3'!D2449,"AAAAAHV1OwQ=")</f>
        <v>#VALUE!</v>
      </c>
      <c r="F154" t="e">
        <f>AND('Planilla_General_03-12-2012_9_3'!E2449,"AAAAAHV1OwU=")</f>
        <v>#VALUE!</v>
      </c>
      <c r="G154" t="e">
        <f>AND('Planilla_General_03-12-2012_9_3'!F2449,"AAAAAHV1OwY=")</f>
        <v>#VALUE!</v>
      </c>
      <c r="H154" t="e">
        <f>AND('Planilla_General_03-12-2012_9_3'!G2449,"AAAAAHV1Owc=")</f>
        <v>#VALUE!</v>
      </c>
      <c r="I154" t="e">
        <f>AND('Planilla_General_03-12-2012_9_3'!H2449,"AAAAAHV1Owg=")</f>
        <v>#VALUE!</v>
      </c>
      <c r="J154" t="e">
        <f>AND('Planilla_General_03-12-2012_9_3'!I2449,"AAAAAHV1Owk=")</f>
        <v>#VALUE!</v>
      </c>
      <c r="K154" t="e">
        <f>AND('Planilla_General_03-12-2012_9_3'!J2449,"AAAAAHV1Owo=")</f>
        <v>#VALUE!</v>
      </c>
      <c r="L154" t="e">
        <f>AND('Planilla_General_03-12-2012_9_3'!K2449,"AAAAAHV1Ows=")</f>
        <v>#VALUE!</v>
      </c>
      <c r="M154" t="e">
        <f>AND('Planilla_General_03-12-2012_9_3'!L2449,"AAAAAHV1Oww=")</f>
        <v>#VALUE!</v>
      </c>
      <c r="N154" t="e">
        <f>AND('Planilla_General_03-12-2012_9_3'!M2449,"AAAAAHV1Ow0=")</f>
        <v>#VALUE!</v>
      </c>
      <c r="O154" t="e">
        <f>AND('Planilla_General_03-12-2012_9_3'!N2449,"AAAAAHV1Ow4=")</f>
        <v>#VALUE!</v>
      </c>
      <c r="P154" t="e">
        <f>AND('Planilla_General_03-12-2012_9_3'!O2449,"AAAAAHV1Ow8=")</f>
        <v>#VALUE!</v>
      </c>
      <c r="Q154">
        <f>IF('Planilla_General_03-12-2012_9_3'!2450:2450,"AAAAAHV1OxA=",0)</f>
        <v>0</v>
      </c>
      <c r="R154" t="e">
        <f>AND('Planilla_General_03-12-2012_9_3'!A2450,"AAAAAHV1OxE=")</f>
        <v>#VALUE!</v>
      </c>
      <c r="S154" t="e">
        <f>AND('Planilla_General_03-12-2012_9_3'!B2450,"AAAAAHV1OxI=")</f>
        <v>#VALUE!</v>
      </c>
      <c r="T154" t="e">
        <f>AND('Planilla_General_03-12-2012_9_3'!C2450,"AAAAAHV1OxM=")</f>
        <v>#VALUE!</v>
      </c>
      <c r="U154" t="e">
        <f>AND('Planilla_General_03-12-2012_9_3'!D2450,"AAAAAHV1OxQ=")</f>
        <v>#VALUE!</v>
      </c>
      <c r="V154" t="e">
        <f>AND('Planilla_General_03-12-2012_9_3'!E2450,"AAAAAHV1OxU=")</f>
        <v>#VALUE!</v>
      </c>
      <c r="W154" t="e">
        <f>AND('Planilla_General_03-12-2012_9_3'!F2450,"AAAAAHV1OxY=")</f>
        <v>#VALUE!</v>
      </c>
      <c r="X154" t="e">
        <f>AND('Planilla_General_03-12-2012_9_3'!G2450,"AAAAAHV1Oxc=")</f>
        <v>#VALUE!</v>
      </c>
      <c r="Y154" t="e">
        <f>AND('Planilla_General_03-12-2012_9_3'!H2450,"AAAAAHV1Oxg=")</f>
        <v>#VALUE!</v>
      </c>
      <c r="Z154" t="e">
        <f>AND('Planilla_General_03-12-2012_9_3'!I2450,"AAAAAHV1Oxk=")</f>
        <v>#VALUE!</v>
      </c>
      <c r="AA154" t="e">
        <f>AND('Planilla_General_03-12-2012_9_3'!J2450,"AAAAAHV1Oxo=")</f>
        <v>#VALUE!</v>
      </c>
      <c r="AB154" t="e">
        <f>AND('Planilla_General_03-12-2012_9_3'!K2450,"AAAAAHV1Oxs=")</f>
        <v>#VALUE!</v>
      </c>
      <c r="AC154" t="e">
        <f>AND('Planilla_General_03-12-2012_9_3'!L2450,"AAAAAHV1Oxw=")</f>
        <v>#VALUE!</v>
      </c>
      <c r="AD154" t="e">
        <f>AND('Planilla_General_03-12-2012_9_3'!M2450,"AAAAAHV1Ox0=")</f>
        <v>#VALUE!</v>
      </c>
      <c r="AE154" t="e">
        <f>AND('Planilla_General_03-12-2012_9_3'!N2450,"AAAAAHV1Ox4=")</f>
        <v>#VALUE!</v>
      </c>
      <c r="AF154" t="e">
        <f>AND('Planilla_General_03-12-2012_9_3'!O2450,"AAAAAHV1Ox8=")</f>
        <v>#VALUE!</v>
      </c>
      <c r="AG154">
        <f>IF('Planilla_General_03-12-2012_9_3'!2451:2451,"AAAAAHV1OyA=",0)</f>
        <v>0</v>
      </c>
      <c r="AH154" t="e">
        <f>AND('Planilla_General_03-12-2012_9_3'!A2451,"AAAAAHV1OyE=")</f>
        <v>#VALUE!</v>
      </c>
      <c r="AI154" t="e">
        <f>AND('Planilla_General_03-12-2012_9_3'!B2451,"AAAAAHV1OyI=")</f>
        <v>#VALUE!</v>
      </c>
      <c r="AJ154" t="e">
        <f>AND('Planilla_General_03-12-2012_9_3'!C2451,"AAAAAHV1OyM=")</f>
        <v>#VALUE!</v>
      </c>
      <c r="AK154" t="e">
        <f>AND('Planilla_General_03-12-2012_9_3'!D2451,"AAAAAHV1OyQ=")</f>
        <v>#VALUE!</v>
      </c>
      <c r="AL154" t="e">
        <f>AND('Planilla_General_03-12-2012_9_3'!E2451,"AAAAAHV1OyU=")</f>
        <v>#VALUE!</v>
      </c>
      <c r="AM154" t="e">
        <f>AND('Planilla_General_03-12-2012_9_3'!F2451,"AAAAAHV1OyY=")</f>
        <v>#VALUE!</v>
      </c>
      <c r="AN154" t="e">
        <f>AND('Planilla_General_03-12-2012_9_3'!G2451,"AAAAAHV1Oyc=")</f>
        <v>#VALUE!</v>
      </c>
      <c r="AO154" t="e">
        <f>AND('Planilla_General_03-12-2012_9_3'!H2451,"AAAAAHV1Oyg=")</f>
        <v>#VALUE!</v>
      </c>
      <c r="AP154" t="e">
        <f>AND('Planilla_General_03-12-2012_9_3'!I2451,"AAAAAHV1Oyk=")</f>
        <v>#VALUE!</v>
      </c>
      <c r="AQ154" t="e">
        <f>AND('Planilla_General_03-12-2012_9_3'!J2451,"AAAAAHV1Oyo=")</f>
        <v>#VALUE!</v>
      </c>
      <c r="AR154" t="e">
        <f>AND('Planilla_General_03-12-2012_9_3'!K2451,"AAAAAHV1Oys=")</f>
        <v>#VALUE!</v>
      </c>
      <c r="AS154" t="e">
        <f>AND('Planilla_General_03-12-2012_9_3'!L2451,"AAAAAHV1Oyw=")</f>
        <v>#VALUE!</v>
      </c>
      <c r="AT154" t="e">
        <f>AND('Planilla_General_03-12-2012_9_3'!M2451,"AAAAAHV1Oy0=")</f>
        <v>#VALUE!</v>
      </c>
      <c r="AU154" t="e">
        <f>AND('Planilla_General_03-12-2012_9_3'!N2451,"AAAAAHV1Oy4=")</f>
        <v>#VALUE!</v>
      </c>
      <c r="AV154" t="e">
        <f>AND('Planilla_General_03-12-2012_9_3'!O2451,"AAAAAHV1Oy8=")</f>
        <v>#VALUE!</v>
      </c>
      <c r="AW154">
        <f>IF('Planilla_General_03-12-2012_9_3'!2452:2452,"AAAAAHV1OzA=",0)</f>
        <v>0</v>
      </c>
      <c r="AX154" t="e">
        <f>AND('Planilla_General_03-12-2012_9_3'!A2452,"AAAAAHV1OzE=")</f>
        <v>#VALUE!</v>
      </c>
      <c r="AY154" t="e">
        <f>AND('Planilla_General_03-12-2012_9_3'!B2452,"AAAAAHV1OzI=")</f>
        <v>#VALUE!</v>
      </c>
      <c r="AZ154" t="e">
        <f>AND('Planilla_General_03-12-2012_9_3'!C2452,"AAAAAHV1OzM=")</f>
        <v>#VALUE!</v>
      </c>
      <c r="BA154" t="e">
        <f>AND('Planilla_General_03-12-2012_9_3'!D2452,"AAAAAHV1OzQ=")</f>
        <v>#VALUE!</v>
      </c>
      <c r="BB154" t="e">
        <f>AND('Planilla_General_03-12-2012_9_3'!E2452,"AAAAAHV1OzU=")</f>
        <v>#VALUE!</v>
      </c>
      <c r="BC154" t="e">
        <f>AND('Planilla_General_03-12-2012_9_3'!F2452,"AAAAAHV1OzY=")</f>
        <v>#VALUE!</v>
      </c>
      <c r="BD154" t="e">
        <f>AND('Planilla_General_03-12-2012_9_3'!G2452,"AAAAAHV1Ozc=")</f>
        <v>#VALUE!</v>
      </c>
      <c r="BE154" t="e">
        <f>AND('Planilla_General_03-12-2012_9_3'!H2452,"AAAAAHV1Ozg=")</f>
        <v>#VALUE!</v>
      </c>
      <c r="BF154" t="e">
        <f>AND('Planilla_General_03-12-2012_9_3'!I2452,"AAAAAHV1Ozk=")</f>
        <v>#VALUE!</v>
      </c>
      <c r="BG154" t="e">
        <f>AND('Planilla_General_03-12-2012_9_3'!J2452,"AAAAAHV1Ozo=")</f>
        <v>#VALUE!</v>
      </c>
      <c r="BH154" t="e">
        <f>AND('Planilla_General_03-12-2012_9_3'!K2452,"AAAAAHV1Ozs=")</f>
        <v>#VALUE!</v>
      </c>
      <c r="BI154" t="e">
        <f>AND('Planilla_General_03-12-2012_9_3'!L2452,"AAAAAHV1Ozw=")</f>
        <v>#VALUE!</v>
      </c>
      <c r="BJ154" t="e">
        <f>AND('Planilla_General_03-12-2012_9_3'!M2452,"AAAAAHV1Oz0=")</f>
        <v>#VALUE!</v>
      </c>
      <c r="BK154" t="e">
        <f>AND('Planilla_General_03-12-2012_9_3'!N2452,"AAAAAHV1Oz4=")</f>
        <v>#VALUE!</v>
      </c>
      <c r="BL154" t="e">
        <f>AND('Planilla_General_03-12-2012_9_3'!O2452,"AAAAAHV1Oz8=")</f>
        <v>#VALUE!</v>
      </c>
      <c r="BM154">
        <f>IF('Planilla_General_03-12-2012_9_3'!2453:2453,"AAAAAHV1O0A=",0)</f>
        <v>0</v>
      </c>
      <c r="BN154" t="e">
        <f>AND('Planilla_General_03-12-2012_9_3'!A2453,"AAAAAHV1O0E=")</f>
        <v>#VALUE!</v>
      </c>
      <c r="BO154" t="e">
        <f>AND('Planilla_General_03-12-2012_9_3'!B2453,"AAAAAHV1O0I=")</f>
        <v>#VALUE!</v>
      </c>
      <c r="BP154" t="e">
        <f>AND('Planilla_General_03-12-2012_9_3'!C2453,"AAAAAHV1O0M=")</f>
        <v>#VALUE!</v>
      </c>
      <c r="BQ154" t="e">
        <f>AND('Planilla_General_03-12-2012_9_3'!D2453,"AAAAAHV1O0Q=")</f>
        <v>#VALUE!</v>
      </c>
      <c r="BR154" t="e">
        <f>AND('Planilla_General_03-12-2012_9_3'!E2453,"AAAAAHV1O0U=")</f>
        <v>#VALUE!</v>
      </c>
      <c r="BS154" t="e">
        <f>AND('Planilla_General_03-12-2012_9_3'!F2453,"AAAAAHV1O0Y=")</f>
        <v>#VALUE!</v>
      </c>
      <c r="BT154" t="e">
        <f>AND('Planilla_General_03-12-2012_9_3'!G2453,"AAAAAHV1O0c=")</f>
        <v>#VALUE!</v>
      </c>
      <c r="BU154" t="e">
        <f>AND('Planilla_General_03-12-2012_9_3'!H2453,"AAAAAHV1O0g=")</f>
        <v>#VALUE!</v>
      </c>
      <c r="BV154" t="e">
        <f>AND('Planilla_General_03-12-2012_9_3'!I2453,"AAAAAHV1O0k=")</f>
        <v>#VALUE!</v>
      </c>
      <c r="BW154" t="e">
        <f>AND('Planilla_General_03-12-2012_9_3'!J2453,"AAAAAHV1O0o=")</f>
        <v>#VALUE!</v>
      </c>
      <c r="BX154" t="e">
        <f>AND('Planilla_General_03-12-2012_9_3'!K2453,"AAAAAHV1O0s=")</f>
        <v>#VALUE!</v>
      </c>
      <c r="BY154" t="e">
        <f>AND('Planilla_General_03-12-2012_9_3'!L2453,"AAAAAHV1O0w=")</f>
        <v>#VALUE!</v>
      </c>
      <c r="BZ154" t="e">
        <f>AND('Planilla_General_03-12-2012_9_3'!M2453,"AAAAAHV1O00=")</f>
        <v>#VALUE!</v>
      </c>
      <c r="CA154" t="e">
        <f>AND('Planilla_General_03-12-2012_9_3'!N2453,"AAAAAHV1O04=")</f>
        <v>#VALUE!</v>
      </c>
      <c r="CB154" t="e">
        <f>AND('Planilla_General_03-12-2012_9_3'!O2453,"AAAAAHV1O08=")</f>
        <v>#VALUE!</v>
      </c>
      <c r="CC154">
        <f>IF('Planilla_General_03-12-2012_9_3'!2454:2454,"AAAAAHV1O1A=",0)</f>
        <v>0</v>
      </c>
      <c r="CD154" t="e">
        <f>AND('Planilla_General_03-12-2012_9_3'!A2454,"AAAAAHV1O1E=")</f>
        <v>#VALUE!</v>
      </c>
      <c r="CE154" t="e">
        <f>AND('Planilla_General_03-12-2012_9_3'!B2454,"AAAAAHV1O1I=")</f>
        <v>#VALUE!</v>
      </c>
      <c r="CF154" t="e">
        <f>AND('Planilla_General_03-12-2012_9_3'!C2454,"AAAAAHV1O1M=")</f>
        <v>#VALUE!</v>
      </c>
      <c r="CG154" t="e">
        <f>AND('Planilla_General_03-12-2012_9_3'!D2454,"AAAAAHV1O1Q=")</f>
        <v>#VALUE!</v>
      </c>
      <c r="CH154" t="e">
        <f>AND('Planilla_General_03-12-2012_9_3'!E2454,"AAAAAHV1O1U=")</f>
        <v>#VALUE!</v>
      </c>
      <c r="CI154" t="e">
        <f>AND('Planilla_General_03-12-2012_9_3'!F2454,"AAAAAHV1O1Y=")</f>
        <v>#VALUE!</v>
      </c>
      <c r="CJ154" t="e">
        <f>AND('Planilla_General_03-12-2012_9_3'!G2454,"AAAAAHV1O1c=")</f>
        <v>#VALUE!</v>
      </c>
      <c r="CK154" t="e">
        <f>AND('Planilla_General_03-12-2012_9_3'!H2454,"AAAAAHV1O1g=")</f>
        <v>#VALUE!</v>
      </c>
      <c r="CL154" t="e">
        <f>AND('Planilla_General_03-12-2012_9_3'!I2454,"AAAAAHV1O1k=")</f>
        <v>#VALUE!</v>
      </c>
      <c r="CM154" t="e">
        <f>AND('Planilla_General_03-12-2012_9_3'!J2454,"AAAAAHV1O1o=")</f>
        <v>#VALUE!</v>
      </c>
      <c r="CN154" t="e">
        <f>AND('Planilla_General_03-12-2012_9_3'!K2454,"AAAAAHV1O1s=")</f>
        <v>#VALUE!</v>
      </c>
      <c r="CO154" t="e">
        <f>AND('Planilla_General_03-12-2012_9_3'!L2454,"AAAAAHV1O1w=")</f>
        <v>#VALUE!</v>
      </c>
      <c r="CP154" t="e">
        <f>AND('Planilla_General_03-12-2012_9_3'!M2454,"AAAAAHV1O10=")</f>
        <v>#VALUE!</v>
      </c>
      <c r="CQ154" t="e">
        <f>AND('Planilla_General_03-12-2012_9_3'!N2454,"AAAAAHV1O14=")</f>
        <v>#VALUE!</v>
      </c>
      <c r="CR154" t="e">
        <f>AND('Planilla_General_03-12-2012_9_3'!O2454,"AAAAAHV1O18=")</f>
        <v>#VALUE!</v>
      </c>
      <c r="CS154">
        <f>IF('Planilla_General_03-12-2012_9_3'!2455:2455,"AAAAAHV1O2A=",0)</f>
        <v>0</v>
      </c>
      <c r="CT154" t="e">
        <f>AND('Planilla_General_03-12-2012_9_3'!A2455,"AAAAAHV1O2E=")</f>
        <v>#VALUE!</v>
      </c>
      <c r="CU154" t="e">
        <f>AND('Planilla_General_03-12-2012_9_3'!B2455,"AAAAAHV1O2I=")</f>
        <v>#VALUE!</v>
      </c>
      <c r="CV154" t="e">
        <f>AND('Planilla_General_03-12-2012_9_3'!C2455,"AAAAAHV1O2M=")</f>
        <v>#VALUE!</v>
      </c>
      <c r="CW154" t="e">
        <f>AND('Planilla_General_03-12-2012_9_3'!D2455,"AAAAAHV1O2Q=")</f>
        <v>#VALUE!</v>
      </c>
      <c r="CX154" t="e">
        <f>AND('Planilla_General_03-12-2012_9_3'!E2455,"AAAAAHV1O2U=")</f>
        <v>#VALUE!</v>
      </c>
      <c r="CY154" t="e">
        <f>AND('Planilla_General_03-12-2012_9_3'!F2455,"AAAAAHV1O2Y=")</f>
        <v>#VALUE!</v>
      </c>
      <c r="CZ154" t="e">
        <f>AND('Planilla_General_03-12-2012_9_3'!G2455,"AAAAAHV1O2c=")</f>
        <v>#VALUE!</v>
      </c>
      <c r="DA154" t="e">
        <f>AND('Planilla_General_03-12-2012_9_3'!H2455,"AAAAAHV1O2g=")</f>
        <v>#VALUE!</v>
      </c>
      <c r="DB154" t="e">
        <f>AND('Planilla_General_03-12-2012_9_3'!I2455,"AAAAAHV1O2k=")</f>
        <v>#VALUE!</v>
      </c>
      <c r="DC154" t="e">
        <f>AND('Planilla_General_03-12-2012_9_3'!J2455,"AAAAAHV1O2o=")</f>
        <v>#VALUE!</v>
      </c>
      <c r="DD154" t="e">
        <f>AND('Planilla_General_03-12-2012_9_3'!K2455,"AAAAAHV1O2s=")</f>
        <v>#VALUE!</v>
      </c>
      <c r="DE154" t="e">
        <f>AND('Planilla_General_03-12-2012_9_3'!L2455,"AAAAAHV1O2w=")</f>
        <v>#VALUE!</v>
      </c>
      <c r="DF154" t="e">
        <f>AND('Planilla_General_03-12-2012_9_3'!M2455,"AAAAAHV1O20=")</f>
        <v>#VALUE!</v>
      </c>
      <c r="DG154" t="e">
        <f>AND('Planilla_General_03-12-2012_9_3'!N2455,"AAAAAHV1O24=")</f>
        <v>#VALUE!</v>
      </c>
      <c r="DH154" t="e">
        <f>AND('Planilla_General_03-12-2012_9_3'!O2455,"AAAAAHV1O28=")</f>
        <v>#VALUE!</v>
      </c>
      <c r="DI154">
        <f>IF('Planilla_General_03-12-2012_9_3'!2456:2456,"AAAAAHV1O3A=",0)</f>
        <v>0</v>
      </c>
      <c r="DJ154" t="e">
        <f>AND('Planilla_General_03-12-2012_9_3'!A2456,"AAAAAHV1O3E=")</f>
        <v>#VALUE!</v>
      </c>
      <c r="DK154" t="e">
        <f>AND('Planilla_General_03-12-2012_9_3'!B2456,"AAAAAHV1O3I=")</f>
        <v>#VALUE!</v>
      </c>
      <c r="DL154" t="e">
        <f>AND('Planilla_General_03-12-2012_9_3'!C2456,"AAAAAHV1O3M=")</f>
        <v>#VALUE!</v>
      </c>
      <c r="DM154" t="e">
        <f>AND('Planilla_General_03-12-2012_9_3'!D2456,"AAAAAHV1O3Q=")</f>
        <v>#VALUE!</v>
      </c>
      <c r="DN154" t="e">
        <f>AND('Planilla_General_03-12-2012_9_3'!E2456,"AAAAAHV1O3U=")</f>
        <v>#VALUE!</v>
      </c>
      <c r="DO154" t="e">
        <f>AND('Planilla_General_03-12-2012_9_3'!F2456,"AAAAAHV1O3Y=")</f>
        <v>#VALUE!</v>
      </c>
      <c r="DP154" t="e">
        <f>AND('Planilla_General_03-12-2012_9_3'!G2456,"AAAAAHV1O3c=")</f>
        <v>#VALUE!</v>
      </c>
      <c r="DQ154" t="e">
        <f>AND('Planilla_General_03-12-2012_9_3'!H2456,"AAAAAHV1O3g=")</f>
        <v>#VALUE!</v>
      </c>
      <c r="DR154" t="e">
        <f>AND('Planilla_General_03-12-2012_9_3'!I2456,"AAAAAHV1O3k=")</f>
        <v>#VALUE!</v>
      </c>
      <c r="DS154" t="e">
        <f>AND('Planilla_General_03-12-2012_9_3'!J2456,"AAAAAHV1O3o=")</f>
        <v>#VALUE!</v>
      </c>
      <c r="DT154" t="e">
        <f>AND('Planilla_General_03-12-2012_9_3'!K2456,"AAAAAHV1O3s=")</f>
        <v>#VALUE!</v>
      </c>
      <c r="DU154" t="e">
        <f>AND('Planilla_General_03-12-2012_9_3'!L2456,"AAAAAHV1O3w=")</f>
        <v>#VALUE!</v>
      </c>
      <c r="DV154" t="e">
        <f>AND('Planilla_General_03-12-2012_9_3'!M2456,"AAAAAHV1O30=")</f>
        <v>#VALUE!</v>
      </c>
      <c r="DW154" t="e">
        <f>AND('Planilla_General_03-12-2012_9_3'!N2456,"AAAAAHV1O34=")</f>
        <v>#VALUE!</v>
      </c>
      <c r="DX154" t="e">
        <f>AND('Planilla_General_03-12-2012_9_3'!O2456,"AAAAAHV1O38=")</f>
        <v>#VALUE!</v>
      </c>
      <c r="DY154">
        <f>IF('Planilla_General_03-12-2012_9_3'!2457:2457,"AAAAAHV1O4A=",0)</f>
        <v>0</v>
      </c>
      <c r="DZ154" t="e">
        <f>AND('Planilla_General_03-12-2012_9_3'!A2457,"AAAAAHV1O4E=")</f>
        <v>#VALUE!</v>
      </c>
      <c r="EA154" t="e">
        <f>AND('Planilla_General_03-12-2012_9_3'!B2457,"AAAAAHV1O4I=")</f>
        <v>#VALUE!</v>
      </c>
      <c r="EB154" t="e">
        <f>AND('Planilla_General_03-12-2012_9_3'!C2457,"AAAAAHV1O4M=")</f>
        <v>#VALUE!</v>
      </c>
      <c r="EC154" t="e">
        <f>AND('Planilla_General_03-12-2012_9_3'!D2457,"AAAAAHV1O4Q=")</f>
        <v>#VALUE!</v>
      </c>
      <c r="ED154" t="e">
        <f>AND('Planilla_General_03-12-2012_9_3'!E2457,"AAAAAHV1O4U=")</f>
        <v>#VALUE!</v>
      </c>
      <c r="EE154" t="e">
        <f>AND('Planilla_General_03-12-2012_9_3'!F2457,"AAAAAHV1O4Y=")</f>
        <v>#VALUE!</v>
      </c>
      <c r="EF154" t="e">
        <f>AND('Planilla_General_03-12-2012_9_3'!G2457,"AAAAAHV1O4c=")</f>
        <v>#VALUE!</v>
      </c>
      <c r="EG154" t="e">
        <f>AND('Planilla_General_03-12-2012_9_3'!H2457,"AAAAAHV1O4g=")</f>
        <v>#VALUE!</v>
      </c>
      <c r="EH154" t="e">
        <f>AND('Planilla_General_03-12-2012_9_3'!I2457,"AAAAAHV1O4k=")</f>
        <v>#VALUE!</v>
      </c>
      <c r="EI154" t="e">
        <f>AND('Planilla_General_03-12-2012_9_3'!J2457,"AAAAAHV1O4o=")</f>
        <v>#VALUE!</v>
      </c>
      <c r="EJ154" t="e">
        <f>AND('Planilla_General_03-12-2012_9_3'!K2457,"AAAAAHV1O4s=")</f>
        <v>#VALUE!</v>
      </c>
      <c r="EK154" t="e">
        <f>AND('Planilla_General_03-12-2012_9_3'!L2457,"AAAAAHV1O4w=")</f>
        <v>#VALUE!</v>
      </c>
      <c r="EL154" t="e">
        <f>AND('Planilla_General_03-12-2012_9_3'!M2457,"AAAAAHV1O40=")</f>
        <v>#VALUE!</v>
      </c>
      <c r="EM154" t="e">
        <f>AND('Planilla_General_03-12-2012_9_3'!N2457,"AAAAAHV1O44=")</f>
        <v>#VALUE!</v>
      </c>
      <c r="EN154" t="e">
        <f>AND('Planilla_General_03-12-2012_9_3'!O2457,"AAAAAHV1O48=")</f>
        <v>#VALUE!</v>
      </c>
      <c r="EO154">
        <f>IF('Planilla_General_03-12-2012_9_3'!2458:2458,"AAAAAHV1O5A=",0)</f>
        <v>0</v>
      </c>
      <c r="EP154" t="e">
        <f>AND('Planilla_General_03-12-2012_9_3'!A2458,"AAAAAHV1O5E=")</f>
        <v>#VALUE!</v>
      </c>
      <c r="EQ154" t="e">
        <f>AND('Planilla_General_03-12-2012_9_3'!B2458,"AAAAAHV1O5I=")</f>
        <v>#VALUE!</v>
      </c>
      <c r="ER154" t="e">
        <f>AND('Planilla_General_03-12-2012_9_3'!C2458,"AAAAAHV1O5M=")</f>
        <v>#VALUE!</v>
      </c>
      <c r="ES154" t="e">
        <f>AND('Planilla_General_03-12-2012_9_3'!D2458,"AAAAAHV1O5Q=")</f>
        <v>#VALUE!</v>
      </c>
      <c r="ET154" t="e">
        <f>AND('Planilla_General_03-12-2012_9_3'!E2458,"AAAAAHV1O5U=")</f>
        <v>#VALUE!</v>
      </c>
      <c r="EU154" t="e">
        <f>AND('Planilla_General_03-12-2012_9_3'!F2458,"AAAAAHV1O5Y=")</f>
        <v>#VALUE!</v>
      </c>
      <c r="EV154" t="e">
        <f>AND('Planilla_General_03-12-2012_9_3'!G2458,"AAAAAHV1O5c=")</f>
        <v>#VALUE!</v>
      </c>
      <c r="EW154" t="e">
        <f>AND('Planilla_General_03-12-2012_9_3'!H2458,"AAAAAHV1O5g=")</f>
        <v>#VALUE!</v>
      </c>
      <c r="EX154" t="e">
        <f>AND('Planilla_General_03-12-2012_9_3'!I2458,"AAAAAHV1O5k=")</f>
        <v>#VALUE!</v>
      </c>
      <c r="EY154" t="e">
        <f>AND('Planilla_General_03-12-2012_9_3'!J2458,"AAAAAHV1O5o=")</f>
        <v>#VALUE!</v>
      </c>
      <c r="EZ154" t="e">
        <f>AND('Planilla_General_03-12-2012_9_3'!K2458,"AAAAAHV1O5s=")</f>
        <v>#VALUE!</v>
      </c>
      <c r="FA154" t="e">
        <f>AND('Planilla_General_03-12-2012_9_3'!L2458,"AAAAAHV1O5w=")</f>
        <v>#VALUE!</v>
      </c>
      <c r="FB154" t="e">
        <f>AND('Planilla_General_03-12-2012_9_3'!M2458,"AAAAAHV1O50=")</f>
        <v>#VALUE!</v>
      </c>
      <c r="FC154" t="e">
        <f>AND('Planilla_General_03-12-2012_9_3'!N2458,"AAAAAHV1O54=")</f>
        <v>#VALUE!</v>
      </c>
      <c r="FD154" t="e">
        <f>AND('Planilla_General_03-12-2012_9_3'!O2458,"AAAAAHV1O58=")</f>
        <v>#VALUE!</v>
      </c>
      <c r="FE154">
        <f>IF('Planilla_General_03-12-2012_9_3'!2459:2459,"AAAAAHV1O6A=",0)</f>
        <v>0</v>
      </c>
      <c r="FF154" t="e">
        <f>AND('Planilla_General_03-12-2012_9_3'!A2459,"AAAAAHV1O6E=")</f>
        <v>#VALUE!</v>
      </c>
      <c r="FG154" t="e">
        <f>AND('Planilla_General_03-12-2012_9_3'!B2459,"AAAAAHV1O6I=")</f>
        <v>#VALUE!</v>
      </c>
      <c r="FH154" t="e">
        <f>AND('Planilla_General_03-12-2012_9_3'!C2459,"AAAAAHV1O6M=")</f>
        <v>#VALUE!</v>
      </c>
      <c r="FI154" t="e">
        <f>AND('Planilla_General_03-12-2012_9_3'!D2459,"AAAAAHV1O6Q=")</f>
        <v>#VALUE!</v>
      </c>
      <c r="FJ154" t="e">
        <f>AND('Planilla_General_03-12-2012_9_3'!E2459,"AAAAAHV1O6U=")</f>
        <v>#VALUE!</v>
      </c>
      <c r="FK154" t="e">
        <f>AND('Planilla_General_03-12-2012_9_3'!F2459,"AAAAAHV1O6Y=")</f>
        <v>#VALUE!</v>
      </c>
      <c r="FL154" t="e">
        <f>AND('Planilla_General_03-12-2012_9_3'!G2459,"AAAAAHV1O6c=")</f>
        <v>#VALUE!</v>
      </c>
      <c r="FM154" t="e">
        <f>AND('Planilla_General_03-12-2012_9_3'!H2459,"AAAAAHV1O6g=")</f>
        <v>#VALUE!</v>
      </c>
      <c r="FN154" t="e">
        <f>AND('Planilla_General_03-12-2012_9_3'!I2459,"AAAAAHV1O6k=")</f>
        <v>#VALUE!</v>
      </c>
      <c r="FO154" t="e">
        <f>AND('Planilla_General_03-12-2012_9_3'!J2459,"AAAAAHV1O6o=")</f>
        <v>#VALUE!</v>
      </c>
      <c r="FP154" t="e">
        <f>AND('Planilla_General_03-12-2012_9_3'!K2459,"AAAAAHV1O6s=")</f>
        <v>#VALUE!</v>
      </c>
      <c r="FQ154" t="e">
        <f>AND('Planilla_General_03-12-2012_9_3'!L2459,"AAAAAHV1O6w=")</f>
        <v>#VALUE!</v>
      </c>
      <c r="FR154" t="e">
        <f>AND('Planilla_General_03-12-2012_9_3'!M2459,"AAAAAHV1O60=")</f>
        <v>#VALUE!</v>
      </c>
      <c r="FS154" t="e">
        <f>AND('Planilla_General_03-12-2012_9_3'!N2459,"AAAAAHV1O64=")</f>
        <v>#VALUE!</v>
      </c>
      <c r="FT154" t="e">
        <f>AND('Planilla_General_03-12-2012_9_3'!O2459,"AAAAAHV1O68=")</f>
        <v>#VALUE!</v>
      </c>
      <c r="FU154">
        <f>IF('Planilla_General_03-12-2012_9_3'!2460:2460,"AAAAAHV1O7A=",0)</f>
        <v>0</v>
      </c>
      <c r="FV154" t="e">
        <f>AND('Planilla_General_03-12-2012_9_3'!A2460,"AAAAAHV1O7E=")</f>
        <v>#VALUE!</v>
      </c>
      <c r="FW154" t="e">
        <f>AND('Planilla_General_03-12-2012_9_3'!B2460,"AAAAAHV1O7I=")</f>
        <v>#VALUE!</v>
      </c>
      <c r="FX154" t="e">
        <f>AND('Planilla_General_03-12-2012_9_3'!C2460,"AAAAAHV1O7M=")</f>
        <v>#VALUE!</v>
      </c>
      <c r="FY154" t="e">
        <f>AND('Planilla_General_03-12-2012_9_3'!D2460,"AAAAAHV1O7Q=")</f>
        <v>#VALUE!</v>
      </c>
      <c r="FZ154" t="e">
        <f>AND('Planilla_General_03-12-2012_9_3'!E2460,"AAAAAHV1O7U=")</f>
        <v>#VALUE!</v>
      </c>
      <c r="GA154" t="e">
        <f>AND('Planilla_General_03-12-2012_9_3'!F2460,"AAAAAHV1O7Y=")</f>
        <v>#VALUE!</v>
      </c>
      <c r="GB154" t="e">
        <f>AND('Planilla_General_03-12-2012_9_3'!G2460,"AAAAAHV1O7c=")</f>
        <v>#VALUE!</v>
      </c>
      <c r="GC154" t="e">
        <f>AND('Planilla_General_03-12-2012_9_3'!H2460,"AAAAAHV1O7g=")</f>
        <v>#VALUE!</v>
      </c>
      <c r="GD154" t="e">
        <f>AND('Planilla_General_03-12-2012_9_3'!I2460,"AAAAAHV1O7k=")</f>
        <v>#VALUE!</v>
      </c>
      <c r="GE154" t="e">
        <f>AND('Planilla_General_03-12-2012_9_3'!J2460,"AAAAAHV1O7o=")</f>
        <v>#VALUE!</v>
      </c>
      <c r="GF154" t="e">
        <f>AND('Planilla_General_03-12-2012_9_3'!K2460,"AAAAAHV1O7s=")</f>
        <v>#VALUE!</v>
      </c>
      <c r="GG154" t="e">
        <f>AND('Planilla_General_03-12-2012_9_3'!L2460,"AAAAAHV1O7w=")</f>
        <v>#VALUE!</v>
      </c>
      <c r="GH154" t="e">
        <f>AND('Planilla_General_03-12-2012_9_3'!M2460,"AAAAAHV1O70=")</f>
        <v>#VALUE!</v>
      </c>
      <c r="GI154" t="e">
        <f>AND('Planilla_General_03-12-2012_9_3'!N2460,"AAAAAHV1O74=")</f>
        <v>#VALUE!</v>
      </c>
      <c r="GJ154" t="e">
        <f>AND('Planilla_General_03-12-2012_9_3'!O2460,"AAAAAHV1O78=")</f>
        <v>#VALUE!</v>
      </c>
      <c r="GK154">
        <f>IF('Planilla_General_03-12-2012_9_3'!2461:2461,"AAAAAHV1O8A=",0)</f>
        <v>0</v>
      </c>
      <c r="GL154" t="e">
        <f>AND('Planilla_General_03-12-2012_9_3'!A2461,"AAAAAHV1O8E=")</f>
        <v>#VALUE!</v>
      </c>
      <c r="GM154" t="e">
        <f>AND('Planilla_General_03-12-2012_9_3'!B2461,"AAAAAHV1O8I=")</f>
        <v>#VALUE!</v>
      </c>
      <c r="GN154" t="e">
        <f>AND('Planilla_General_03-12-2012_9_3'!C2461,"AAAAAHV1O8M=")</f>
        <v>#VALUE!</v>
      </c>
      <c r="GO154" t="e">
        <f>AND('Planilla_General_03-12-2012_9_3'!D2461,"AAAAAHV1O8Q=")</f>
        <v>#VALUE!</v>
      </c>
      <c r="GP154" t="e">
        <f>AND('Planilla_General_03-12-2012_9_3'!E2461,"AAAAAHV1O8U=")</f>
        <v>#VALUE!</v>
      </c>
      <c r="GQ154" t="e">
        <f>AND('Planilla_General_03-12-2012_9_3'!F2461,"AAAAAHV1O8Y=")</f>
        <v>#VALUE!</v>
      </c>
      <c r="GR154" t="e">
        <f>AND('Planilla_General_03-12-2012_9_3'!G2461,"AAAAAHV1O8c=")</f>
        <v>#VALUE!</v>
      </c>
      <c r="GS154" t="e">
        <f>AND('Planilla_General_03-12-2012_9_3'!H2461,"AAAAAHV1O8g=")</f>
        <v>#VALUE!</v>
      </c>
      <c r="GT154" t="e">
        <f>AND('Planilla_General_03-12-2012_9_3'!I2461,"AAAAAHV1O8k=")</f>
        <v>#VALUE!</v>
      </c>
      <c r="GU154" t="e">
        <f>AND('Planilla_General_03-12-2012_9_3'!J2461,"AAAAAHV1O8o=")</f>
        <v>#VALUE!</v>
      </c>
      <c r="GV154" t="e">
        <f>AND('Planilla_General_03-12-2012_9_3'!K2461,"AAAAAHV1O8s=")</f>
        <v>#VALUE!</v>
      </c>
      <c r="GW154" t="e">
        <f>AND('Planilla_General_03-12-2012_9_3'!L2461,"AAAAAHV1O8w=")</f>
        <v>#VALUE!</v>
      </c>
      <c r="GX154" t="e">
        <f>AND('Planilla_General_03-12-2012_9_3'!M2461,"AAAAAHV1O80=")</f>
        <v>#VALUE!</v>
      </c>
      <c r="GY154" t="e">
        <f>AND('Planilla_General_03-12-2012_9_3'!N2461,"AAAAAHV1O84=")</f>
        <v>#VALUE!</v>
      </c>
      <c r="GZ154" t="e">
        <f>AND('Planilla_General_03-12-2012_9_3'!O2461,"AAAAAHV1O88=")</f>
        <v>#VALUE!</v>
      </c>
      <c r="HA154">
        <f>IF('Planilla_General_03-12-2012_9_3'!2462:2462,"AAAAAHV1O9A=",0)</f>
        <v>0</v>
      </c>
      <c r="HB154" t="e">
        <f>AND('Planilla_General_03-12-2012_9_3'!A2462,"AAAAAHV1O9E=")</f>
        <v>#VALUE!</v>
      </c>
      <c r="HC154" t="e">
        <f>AND('Planilla_General_03-12-2012_9_3'!B2462,"AAAAAHV1O9I=")</f>
        <v>#VALUE!</v>
      </c>
      <c r="HD154" t="e">
        <f>AND('Planilla_General_03-12-2012_9_3'!C2462,"AAAAAHV1O9M=")</f>
        <v>#VALUE!</v>
      </c>
      <c r="HE154" t="e">
        <f>AND('Planilla_General_03-12-2012_9_3'!D2462,"AAAAAHV1O9Q=")</f>
        <v>#VALUE!</v>
      </c>
      <c r="HF154" t="e">
        <f>AND('Planilla_General_03-12-2012_9_3'!E2462,"AAAAAHV1O9U=")</f>
        <v>#VALUE!</v>
      </c>
      <c r="HG154" t="e">
        <f>AND('Planilla_General_03-12-2012_9_3'!F2462,"AAAAAHV1O9Y=")</f>
        <v>#VALUE!</v>
      </c>
      <c r="HH154" t="e">
        <f>AND('Planilla_General_03-12-2012_9_3'!G2462,"AAAAAHV1O9c=")</f>
        <v>#VALUE!</v>
      </c>
      <c r="HI154" t="e">
        <f>AND('Planilla_General_03-12-2012_9_3'!H2462,"AAAAAHV1O9g=")</f>
        <v>#VALUE!</v>
      </c>
      <c r="HJ154" t="e">
        <f>AND('Planilla_General_03-12-2012_9_3'!I2462,"AAAAAHV1O9k=")</f>
        <v>#VALUE!</v>
      </c>
      <c r="HK154" t="e">
        <f>AND('Planilla_General_03-12-2012_9_3'!J2462,"AAAAAHV1O9o=")</f>
        <v>#VALUE!</v>
      </c>
      <c r="HL154" t="e">
        <f>AND('Planilla_General_03-12-2012_9_3'!K2462,"AAAAAHV1O9s=")</f>
        <v>#VALUE!</v>
      </c>
      <c r="HM154" t="e">
        <f>AND('Planilla_General_03-12-2012_9_3'!L2462,"AAAAAHV1O9w=")</f>
        <v>#VALUE!</v>
      </c>
      <c r="HN154" t="e">
        <f>AND('Planilla_General_03-12-2012_9_3'!M2462,"AAAAAHV1O90=")</f>
        <v>#VALUE!</v>
      </c>
      <c r="HO154" t="e">
        <f>AND('Planilla_General_03-12-2012_9_3'!N2462,"AAAAAHV1O94=")</f>
        <v>#VALUE!</v>
      </c>
      <c r="HP154" t="e">
        <f>AND('Planilla_General_03-12-2012_9_3'!O2462,"AAAAAHV1O98=")</f>
        <v>#VALUE!</v>
      </c>
      <c r="HQ154">
        <f>IF('Planilla_General_03-12-2012_9_3'!2463:2463,"AAAAAHV1O+A=",0)</f>
        <v>0</v>
      </c>
      <c r="HR154" t="e">
        <f>AND('Planilla_General_03-12-2012_9_3'!A2463,"AAAAAHV1O+E=")</f>
        <v>#VALUE!</v>
      </c>
      <c r="HS154" t="e">
        <f>AND('Planilla_General_03-12-2012_9_3'!B2463,"AAAAAHV1O+I=")</f>
        <v>#VALUE!</v>
      </c>
      <c r="HT154" t="e">
        <f>AND('Planilla_General_03-12-2012_9_3'!C2463,"AAAAAHV1O+M=")</f>
        <v>#VALUE!</v>
      </c>
      <c r="HU154" t="e">
        <f>AND('Planilla_General_03-12-2012_9_3'!D2463,"AAAAAHV1O+Q=")</f>
        <v>#VALUE!</v>
      </c>
      <c r="HV154" t="e">
        <f>AND('Planilla_General_03-12-2012_9_3'!E2463,"AAAAAHV1O+U=")</f>
        <v>#VALUE!</v>
      </c>
      <c r="HW154" t="e">
        <f>AND('Planilla_General_03-12-2012_9_3'!F2463,"AAAAAHV1O+Y=")</f>
        <v>#VALUE!</v>
      </c>
      <c r="HX154" t="e">
        <f>AND('Planilla_General_03-12-2012_9_3'!G2463,"AAAAAHV1O+c=")</f>
        <v>#VALUE!</v>
      </c>
      <c r="HY154" t="e">
        <f>AND('Planilla_General_03-12-2012_9_3'!H2463,"AAAAAHV1O+g=")</f>
        <v>#VALUE!</v>
      </c>
      <c r="HZ154" t="e">
        <f>AND('Planilla_General_03-12-2012_9_3'!I2463,"AAAAAHV1O+k=")</f>
        <v>#VALUE!</v>
      </c>
      <c r="IA154" t="e">
        <f>AND('Planilla_General_03-12-2012_9_3'!J2463,"AAAAAHV1O+o=")</f>
        <v>#VALUE!</v>
      </c>
      <c r="IB154" t="e">
        <f>AND('Planilla_General_03-12-2012_9_3'!K2463,"AAAAAHV1O+s=")</f>
        <v>#VALUE!</v>
      </c>
      <c r="IC154" t="e">
        <f>AND('Planilla_General_03-12-2012_9_3'!L2463,"AAAAAHV1O+w=")</f>
        <v>#VALUE!</v>
      </c>
      <c r="ID154" t="e">
        <f>AND('Planilla_General_03-12-2012_9_3'!M2463,"AAAAAHV1O+0=")</f>
        <v>#VALUE!</v>
      </c>
      <c r="IE154" t="e">
        <f>AND('Planilla_General_03-12-2012_9_3'!N2463,"AAAAAHV1O+4=")</f>
        <v>#VALUE!</v>
      </c>
      <c r="IF154" t="e">
        <f>AND('Planilla_General_03-12-2012_9_3'!O2463,"AAAAAHV1O+8=")</f>
        <v>#VALUE!</v>
      </c>
      <c r="IG154">
        <f>IF('Planilla_General_03-12-2012_9_3'!2464:2464,"AAAAAHV1O/A=",0)</f>
        <v>0</v>
      </c>
      <c r="IH154" t="e">
        <f>AND('Planilla_General_03-12-2012_9_3'!A2464,"AAAAAHV1O/E=")</f>
        <v>#VALUE!</v>
      </c>
      <c r="II154" t="e">
        <f>AND('Planilla_General_03-12-2012_9_3'!B2464,"AAAAAHV1O/I=")</f>
        <v>#VALUE!</v>
      </c>
      <c r="IJ154" t="e">
        <f>AND('Planilla_General_03-12-2012_9_3'!C2464,"AAAAAHV1O/M=")</f>
        <v>#VALUE!</v>
      </c>
      <c r="IK154" t="e">
        <f>AND('Planilla_General_03-12-2012_9_3'!D2464,"AAAAAHV1O/Q=")</f>
        <v>#VALUE!</v>
      </c>
      <c r="IL154" t="e">
        <f>AND('Planilla_General_03-12-2012_9_3'!E2464,"AAAAAHV1O/U=")</f>
        <v>#VALUE!</v>
      </c>
      <c r="IM154" t="e">
        <f>AND('Planilla_General_03-12-2012_9_3'!F2464,"AAAAAHV1O/Y=")</f>
        <v>#VALUE!</v>
      </c>
      <c r="IN154" t="e">
        <f>AND('Planilla_General_03-12-2012_9_3'!G2464,"AAAAAHV1O/c=")</f>
        <v>#VALUE!</v>
      </c>
      <c r="IO154" t="e">
        <f>AND('Planilla_General_03-12-2012_9_3'!H2464,"AAAAAHV1O/g=")</f>
        <v>#VALUE!</v>
      </c>
      <c r="IP154" t="e">
        <f>AND('Planilla_General_03-12-2012_9_3'!I2464,"AAAAAHV1O/k=")</f>
        <v>#VALUE!</v>
      </c>
      <c r="IQ154" t="e">
        <f>AND('Planilla_General_03-12-2012_9_3'!J2464,"AAAAAHV1O/o=")</f>
        <v>#VALUE!</v>
      </c>
      <c r="IR154" t="e">
        <f>AND('Planilla_General_03-12-2012_9_3'!K2464,"AAAAAHV1O/s=")</f>
        <v>#VALUE!</v>
      </c>
      <c r="IS154" t="e">
        <f>AND('Planilla_General_03-12-2012_9_3'!L2464,"AAAAAHV1O/w=")</f>
        <v>#VALUE!</v>
      </c>
      <c r="IT154" t="e">
        <f>AND('Planilla_General_03-12-2012_9_3'!M2464,"AAAAAHV1O/0=")</f>
        <v>#VALUE!</v>
      </c>
      <c r="IU154" t="e">
        <f>AND('Planilla_General_03-12-2012_9_3'!N2464,"AAAAAHV1O/4=")</f>
        <v>#VALUE!</v>
      </c>
      <c r="IV154" t="e">
        <f>AND('Planilla_General_03-12-2012_9_3'!O2464,"AAAAAHV1O/8=")</f>
        <v>#VALUE!</v>
      </c>
    </row>
    <row r="155" spans="1:256" x14ac:dyDescent="0.25">
      <c r="A155" t="e">
        <f>IF('Planilla_General_03-12-2012_9_3'!2465:2465,"AAAAADxjvwA=",0)</f>
        <v>#VALUE!</v>
      </c>
      <c r="B155" t="e">
        <f>AND('Planilla_General_03-12-2012_9_3'!A2465,"AAAAADxjvwE=")</f>
        <v>#VALUE!</v>
      </c>
      <c r="C155" t="e">
        <f>AND('Planilla_General_03-12-2012_9_3'!B2465,"AAAAADxjvwI=")</f>
        <v>#VALUE!</v>
      </c>
      <c r="D155" t="e">
        <f>AND('Planilla_General_03-12-2012_9_3'!C2465,"AAAAADxjvwM=")</f>
        <v>#VALUE!</v>
      </c>
      <c r="E155" t="e">
        <f>AND('Planilla_General_03-12-2012_9_3'!D2465,"AAAAADxjvwQ=")</f>
        <v>#VALUE!</v>
      </c>
      <c r="F155" t="e">
        <f>AND('Planilla_General_03-12-2012_9_3'!E2465,"AAAAADxjvwU=")</f>
        <v>#VALUE!</v>
      </c>
      <c r="G155" t="e">
        <f>AND('Planilla_General_03-12-2012_9_3'!F2465,"AAAAADxjvwY=")</f>
        <v>#VALUE!</v>
      </c>
      <c r="H155" t="e">
        <f>AND('Planilla_General_03-12-2012_9_3'!G2465,"AAAAADxjvwc=")</f>
        <v>#VALUE!</v>
      </c>
      <c r="I155" t="e">
        <f>AND('Planilla_General_03-12-2012_9_3'!H2465,"AAAAADxjvwg=")</f>
        <v>#VALUE!</v>
      </c>
      <c r="J155" t="e">
        <f>AND('Planilla_General_03-12-2012_9_3'!I2465,"AAAAADxjvwk=")</f>
        <v>#VALUE!</v>
      </c>
      <c r="K155" t="e">
        <f>AND('Planilla_General_03-12-2012_9_3'!J2465,"AAAAADxjvwo=")</f>
        <v>#VALUE!</v>
      </c>
      <c r="L155" t="e">
        <f>AND('Planilla_General_03-12-2012_9_3'!K2465,"AAAAADxjvws=")</f>
        <v>#VALUE!</v>
      </c>
      <c r="M155" t="e">
        <f>AND('Planilla_General_03-12-2012_9_3'!L2465,"AAAAADxjvww=")</f>
        <v>#VALUE!</v>
      </c>
      <c r="N155" t="e">
        <f>AND('Planilla_General_03-12-2012_9_3'!M2465,"AAAAADxjvw0=")</f>
        <v>#VALUE!</v>
      </c>
      <c r="O155" t="e">
        <f>AND('Planilla_General_03-12-2012_9_3'!N2465,"AAAAADxjvw4=")</f>
        <v>#VALUE!</v>
      </c>
      <c r="P155" t="e">
        <f>AND('Planilla_General_03-12-2012_9_3'!O2465,"AAAAADxjvw8=")</f>
        <v>#VALUE!</v>
      </c>
      <c r="Q155">
        <f>IF('Planilla_General_03-12-2012_9_3'!2466:2466,"AAAAADxjvxA=",0)</f>
        <v>0</v>
      </c>
      <c r="R155" t="e">
        <f>AND('Planilla_General_03-12-2012_9_3'!A2466,"AAAAADxjvxE=")</f>
        <v>#VALUE!</v>
      </c>
      <c r="S155" t="e">
        <f>AND('Planilla_General_03-12-2012_9_3'!B2466,"AAAAADxjvxI=")</f>
        <v>#VALUE!</v>
      </c>
      <c r="T155" t="e">
        <f>AND('Planilla_General_03-12-2012_9_3'!C2466,"AAAAADxjvxM=")</f>
        <v>#VALUE!</v>
      </c>
      <c r="U155" t="e">
        <f>AND('Planilla_General_03-12-2012_9_3'!D2466,"AAAAADxjvxQ=")</f>
        <v>#VALUE!</v>
      </c>
      <c r="V155" t="e">
        <f>AND('Planilla_General_03-12-2012_9_3'!E2466,"AAAAADxjvxU=")</f>
        <v>#VALUE!</v>
      </c>
      <c r="W155" t="e">
        <f>AND('Planilla_General_03-12-2012_9_3'!F2466,"AAAAADxjvxY=")</f>
        <v>#VALUE!</v>
      </c>
      <c r="X155" t="e">
        <f>AND('Planilla_General_03-12-2012_9_3'!G2466,"AAAAADxjvxc=")</f>
        <v>#VALUE!</v>
      </c>
      <c r="Y155" t="e">
        <f>AND('Planilla_General_03-12-2012_9_3'!H2466,"AAAAADxjvxg=")</f>
        <v>#VALUE!</v>
      </c>
      <c r="Z155" t="e">
        <f>AND('Planilla_General_03-12-2012_9_3'!I2466,"AAAAADxjvxk=")</f>
        <v>#VALUE!</v>
      </c>
      <c r="AA155" t="e">
        <f>AND('Planilla_General_03-12-2012_9_3'!J2466,"AAAAADxjvxo=")</f>
        <v>#VALUE!</v>
      </c>
      <c r="AB155" t="e">
        <f>AND('Planilla_General_03-12-2012_9_3'!K2466,"AAAAADxjvxs=")</f>
        <v>#VALUE!</v>
      </c>
      <c r="AC155" t="e">
        <f>AND('Planilla_General_03-12-2012_9_3'!L2466,"AAAAADxjvxw=")</f>
        <v>#VALUE!</v>
      </c>
      <c r="AD155" t="e">
        <f>AND('Planilla_General_03-12-2012_9_3'!M2466,"AAAAADxjvx0=")</f>
        <v>#VALUE!</v>
      </c>
      <c r="AE155" t="e">
        <f>AND('Planilla_General_03-12-2012_9_3'!N2466,"AAAAADxjvx4=")</f>
        <v>#VALUE!</v>
      </c>
      <c r="AF155" t="e">
        <f>AND('Planilla_General_03-12-2012_9_3'!O2466,"AAAAADxjvx8=")</f>
        <v>#VALUE!</v>
      </c>
      <c r="AG155">
        <f>IF('Planilla_General_03-12-2012_9_3'!2467:2467,"AAAAADxjvyA=",0)</f>
        <v>0</v>
      </c>
      <c r="AH155" t="e">
        <f>AND('Planilla_General_03-12-2012_9_3'!A2467,"AAAAADxjvyE=")</f>
        <v>#VALUE!</v>
      </c>
      <c r="AI155" t="e">
        <f>AND('Planilla_General_03-12-2012_9_3'!B2467,"AAAAADxjvyI=")</f>
        <v>#VALUE!</v>
      </c>
      <c r="AJ155" t="e">
        <f>AND('Planilla_General_03-12-2012_9_3'!C2467,"AAAAADxjvyM=")</f>
        <v>#VALUE!</v>
      </c>
      <c r="AK155" t="e">
        <f>AND('Planilla_General_03-12-2012_9_3'!D2467,"AAAAADxjvyQ=")</f>
        <v>#VALUE!</v>
      </c>
      <c r="AL155" t="e">
        <f>AND('Planilla_General_03-12-2012_9_3'!E2467,"AAAAADxjvyU=")</f>
        <v>#VALUE!</v>
      </c>
      <c r="AM155" t="e">
        <f>AND('Planilla_General_03-12-2012_9_3'!F2467,"AAAAADxjvyY=")</f>
        <v>#VALUE!</v>
      </c>
      <c r="AN155" t="e">
        <f>AND('Planilla_General_03-12-2012_9_3'!G2467,"AAAAADxjvyc=")</f>
        <v>#VALUE!</v>
      </c>
      <c r="AO155" t="e">
        <f>AND('Planilla_General_03-12-2012_9_3'!H2467,"AAAAADxjvyg=")</f>
        <v>#VALUE!</v>
      </c>
      <c r="AP155" t="e">
        <f>AND('Planilla_General_03-12-2012_9_3'!I2467,"AAAAADxjvyk=")</f>
        <v>#VALUE!</v>
      </c>
      <c r="AQ155" t="e">
        <f>AND('Planilla_General_03-12-2012_9_3'!J2467,"AAAAADxjvyo=")</f>
        <v>#VALUE!</v>
      </c>
      <c r="AR155" t="e">
        <f>AND('Planilla_General_03-12-2012_9_3'!K2467,"AAAAADxjvys=")</f>
        <v>#VALUE!</v>
      </c>
      <c r="AS155" t="e">
        <f>AND('Planilla_General_03-12-2012_9_3'!L2467,"AAAAADxjvyw=")</f>
        <v>#VALUE!</v>
      </c>
      <c r="AT155" t="e">
        <f>AND('Planilla_General_03-12-2012_9_3'!M2467,"AAAAADxjvy0=")</f>
        <v>#VALUE!</v>
      </c>
      <c r="AU155" t="e">
        <f>AND('Planilla_General_03-12-2012_9_3'!N2467,"AAAAADxjvy4=")</f>
        <v>#VALUE!</v>
      </c>
      <c r="AV155" t="e">
        <f>AND('Planilla_General_03-12-2012_9_3'!O2467,"AAAAADxjvy8=")</f>
        <v>#VALUE!</v>
      </c>
      <c r="AW155">
        <f>IF('Planilla_General_03-12-2012_9_3'!2468:2468,"AAAAADxjvzA=",0)</f>
        <v>0</v>
      </c>
      <c r="AX155" t="e">
        <f>AND('Planilla_General_03-12-2012_9_3'!A2468,"AAAAADxjvzE=")</f>
        <v>#VALUE!</v>
      </c>
      <c r="AY155" t="e">
        <f>AND('Planilla_General_03-12-2012_9_3'!B2468,"AAAAADxjvzI=")</f>
        <v>#VALUE!</v>
      </c>
      <c r="AZ155" t="e">
        <f>AND('Planilla_General_03-12-2012_9_3'!C2468,"AAAAADxjvzM=")</f>
        <v>#VALUE!</v>
      </c>
      <c r="BA155" t="e">
        <f>AND('Planilla_General_03-12-2012_9_3'!D2468,"AAAAADxjvzQ=")</f>
        <v>#VALUE!</v>
      </c>
      <c r="BB155" t="e">
        <f>AND('Planilla_General_03-12-2012_9_3'!E2468,"AAAAADxjvzU=")</f>
        <v>#VALUE!</v>
      </c>
      <c r="BC155" t="e">
        <f>AND('Planilla_General_03-12-2012_9_3'!F2468,"AAAAADxjvzY=")</f>
        <v>#VALUE!</v>
      </c>
      <c r="BD155" t="e">
        <f>AND('Planilla_General_03-12-2012_9_3'!G2468,"AAAAADxjvzc=")</f>
        <v>#VALUE!</v>
      </c>
      <c r="BE155" t="e">
        <f>AND('Planilla_General_03-12-2012_9_3'!H2468,"AAAAADxjvzg=")</f>
        <v>#VALUE!</v>
      </c>
      <c r="BF155" t="e">
        <f>AND('Planilla_General_03-12-2012_9_3'!I2468,"AAAAADxjvzk=")</f>
        <v>#VALUE!</v>
      </c>
      <c r="BG155" t="e">
        <f>AND('Planilla_General_03-12-2012_9_3'!J2468,"AAAAADxjvzo=")</f>
        <v>#VALUE!</v>
      </c>
      <c r="BH155" t="e">
        <f>AND('Planilla_General_03-12-2012_9_3'!K2468,"AAAAADxjvzs=")</f>
        <v>#VALUE!</v>
      </c>
      <c r="BI155" t="e">
        <f>AND('Planilla_General_03-12-2012_9_3'!L2468,"AAAAADxjvzw=")</f>
        <v>#VALUE!</v>
      </c>
      <c r="BJ155" t="e">
        <f>AND('Planilla_General_03-12-2012_9_3'!M2468,"AAAAADxjvz0=")</f>
        <v>#VALUE!</v>
      </c>
      <c r="BK155" t="e">
        <f>AND('Planilla_General_03-12-2012_9_3'!N2468,"AAAAADxjvz4=")</f>
        <v>#VALUE!</v>
      </c>
      <c r="BL155" t="e">
        <f>AND('Planilla_General_03-12-2012_9_3'!O2468,"AAAAADxjvz8=")</f>
        <v>#VALUE!</v>
      </c>
      <c r="BM155">
        <f>IF('Planilla_General_03-12-2012_9_3'!2469:2469,"AAAAADxjv0A=",0)</f>
        <v>0</v>
      </c>
      <c r="BN155" t="e">
        <f>AND('Planilla_General_03-12-2012_9_3'!A2469,"AAAAADxjv0E=")</f>
        <v>#VALUE!</v>
      </c>
      <c r="BO155" t="e">
        <f>AND('Planilla_General_03-12-2012_9_3'!B2469,"AAAAADxjv0I=")</f>
        <v>#VALUE!</v>
      </c>
      <c r="BP155" t="e">
        <f>AND('Planilla_General_03-12-2012_9_3'!C2469,"AAAAADxjv0M=")</f>
        <v>#VALUE!</v>
      </c>
      <c r="BQ155" t="e">
        <f>AND('Planilla_General_03-12-2012_9_3'!D2469,"AAAAADxjv0Q=")</f>
        <v>#VALUE!</v>
      </c>
      <c r="BR155" t="e">
        <f>AND('Planilla_General_03-12-2012_9_3'!E2469,"AAAAADxjv0U=")</f>
        <v>#VALUE!</v>
      </c>
      <c r="BS155" t="e">
        <f>AND('Planilla_General_03-12-2012_9_3'!F2469,"AAAAADxjv0Y=")</f>
        <v>#VALUE!</v>
      </c>
      <c r="BT155" t="e">
        <f>AND('Planilla_General_03-12-2012_9_3'!G2469,"AAAAADxjv0c=")</f>
        <v>#VALUE!</v>
      </c>
      <c r="BU155" t="e">
        <f>AND('Planilla_General_03-12-2012_9_3'!H2469,"AAAAADxjv0g=")</f>
        <v>#VALUE!</v>
      </c>
      <c r="BV155" t="e">
        <f>AND('Planilla_General_03-12-2012_9_3'!I2469,"AAAAADxjv0k=")</f>
        <v>#VALUE!</v>
      </c>
      <c r="BW155" t="e">
        <f>AND('Planilla_General_03-12-2012_9_3'!J2469,"AAAAADxjv0o=")</f>
        <v>#VALUE!</v>
      </c>
      <c r="BX155" t="e">
        <f>AND('Planilla_General_03-12-2012_9_3'!K2469,"AAAAADxjv0s=")</f>
        <v>#VALUE!</v>
      </c>
      <c r="BY155" t="e">
        <f>AND('Planilla_General_03-12-2012_9_3'!L2469,"AAAAADxjv0w=")</f>
        <v>#VALUE!</v>
      </c>
      <c r="BZ155" t="e">
        <f>AND('Planilla_General_03-12-2012_9_3'!M2469,"AAAAADxjv00=")</f>
        <v>#VALUE!</v>
      </c>
      <c r="CA155" t="e">
        <f>AND('Planilla_General_03-12-2012_9_3'!N2469,"AAAAADxjv04=")</f>
        <v>#VALUE!</v>
      </c>
      <c r="CB155" t="e">
        <f>AND('Planilla_General_03-12-2012_9_3'!O2469,"AAAAADxjv08=")</f>
        <v>#VALUE!</v>
      </c>
      <c r="CC155">
        <f>IF('Planilla_General_03-12-2012_9_3'!2470:2470,"AAAAADxjv1A=",0)</f>
        <v>0</v>
      </c>
      <c r="CD155" t="e">
        <f>AND('Planilla_General_03-12-2012_9_3'!A2470,"AAAAADxjv1E=")</f>
        <v>#VALUE!</v>
      </c>
      <c r="CE155" t="e">
        <f>AND('Planilla_General_03-12-2012_9_3'!B2470,"AAAAADxjv1I=")</f>
        <v>#VALUE!</v>
      </c>
      <c r="CF155" t="e">
        <f>AND('Planilla_General_03-12-2012_9_3'!C2470,"AAAAADxjv1M=")</f>
        <v>#VALUE!</v>
      </c>
      <c r="CG155" t="e">
        <f>AND('Planilla_General_03-12-2012_9_3'!D2470,"AAAAADxjv1Q=")</f>
        <v>#VALUE!</v>
      </c>
      <c r="CH155" t="e">
        <f>AND('Planilla_General_03-12-2012_9_3'!E2470,"AAAAADxjv1U=")</f>
        <v>#VALUE!</v>
      </c>
      <c r="CI155" t="e">
        <f>AND('Planilla_General_03-12-2012_9_3'!F2470,"AAAAADxjv1Y=")</f>
        <v>#VALUE!</v>
      </c>
      <c r="CJ155" t="e">
        <f>AND('Planilla_General_03-12-2012_9_3'!G2470,"AAAAADxjv1c=")</f>
        <v>#VALUE!</v>
      </c>
      <c r="CK155" t="e">
        <f>AND('Planilla_General_03-12-2012_9_3'!H2470,"AAAAADxjv1g=")</f>
        <v>#VALUE!</v>
      </c>
      <c r="CL155" t="e">
        <f>AND('Planilla_General_03-12-2012_9_3'!I2470,"AAAAADxjv1k=")</f>
        <v>#VALUE!</v>
      </c>
      <c r="CM155" t="e">
        <f>AND('Planilla_General_03-12-2012_9_3'!J2470,"AAAAADxjv1o=")</f>
        <v>#VALUE!</v>
      </c>
      <c r="CN155" t="e">
        <f>AND('Planilla_General_03-12-2012_9_3'!K2470,"AAAAADxjv1s=")</f>
        <v>#VALUE!</v>
      </c>
      <c r="CO155" t="e">
        <f>AND('Planilla_General_03-12-2012_9_3'!L2470,"AAAAADxjv1w=")</f>
        <v>#VALUE!</v>
      </c>
      <c r="CP155" t="e">
        <f>AND('Planilla_General_03-12-2012_9_3'!M2470,"AAAAADxjv10=")</f>
        <v>#VALUE!</v>
      </c>
      <c r="CQ155" t="e">
        <f>AND('Planilla_General_03-12-2012_9_3'!N2470,"AAAAADxjv14=")</f>
        <v>#VALUE!</v>
      </c>
      <c r="CR155" t="e">
        <f>AND('Planilla_General_03-12-2012_9_3'!O2470,"AAAAADxjv18=")</f>
        <v>#VALUE!</v>
      </c>
      <c r="CS155">
        <f>IF('Planilla_General_03-12-2012_9_3'!2471:2471,"AAAAADxjv2A=",0)</f>
        <v>0</v>
      </c>
      <c r="CT155" t="e">
        <f>AND('Planilla_General_03-12-2012_9_3'!A2471,"AAAAADxjv2E=")</f>
        <v>#VALUE!</v>
      </c>
      <c r="CU155" t="e">
        <f>AND('Planilla_General_03-12-2012_9_3'!B2471,"AAAAADxjv2I=")</f>
        <v>#VALUE!</v>
      </c>
      <c r="CV155" t="e">
        <f>AND('Planilla_General_03-12-2012_9_3'!C2471,"AAAAADxjv2M=")</f>
        <v>#VALUE!</v>
      </c>
      <c r="CW155" t="e">
        <f>AND('Planilla_General_03-12-2012_9_3'!D2471,"AAAAADxjv2Q=")</f>
        <v>#VALUE!</v>
      </c>
      <c r="CX155" t="e">
        <f>AND('Planilla_General_03-12-2012_9_3'!E2471,"AAAAADxjv2U=")</f>
        <v>#VALUE!</v>
      </c>
      <c r="CY155" t="e">
        <f>AND('Planilla_General_03-12-2012_9_3'!F2471,"AAAAADxjv2Y=")</f>
        <v>#VALUE!</v>
      </c>
      <c r="CZ155" t="e">
        <f>AND('Planilla_General_03-12-2012_9_3'!G2471,"AAAAADxjv2c=")</f>
        <v>#VALUE!</v>
      </c>
      <c r="DA155" t="e">
        <f>AND('Planilla_General_03-12-2012_9_3'!H2471,"AAAAADxjv2g=")</f>
        <v>#VALUE!</v>
      </c>
      <c r="DB155" t="e">
        <f>AND('Planilla_General_03-12-2012_9_3'!I2471,"AAAAADxjv2k=")</f>
        <v>#VALUE!</v>
      </c>
      <c r="DC155" t="e">
        <f>AND('Planilla_General_03-12-2012_9_3'!J2471,"AAAAADxjv2o=")</f>
        <v>#VALUE!</v>
      </c>
      <c r="DD155" t="e">
        <f>AND('Planilla_General_03-12-2012_9_3'!K2471,"AAAAADxjv2s=")</f>
        <v>#VALUE!</v>
      </c>
      <c r="DE155" t="e">
        <f>AND('Planilla_General_03-12-2012_9_3'!L2471,"AAAAADxjv2w=")</f>
        <v>#VALUE!</v>
      </c>
      <c r="DF155" t="e">
        <f>AND('Planilla_General_03-12-2012_9_3'!M2471,"AAAAADxjv20=")</f>
        <v>#VALUE!</v>
      </c>
      <c r="DG155" t="e">
        <f>AND('Planilla_General_03-12-2012_9_3'!N2471,"AAAAADxjv24=")</f>
        <v>#VALUE!</v>
      </c>
      <c r="DH155" t="e">
        <f>AND('Planilla_General_03-12-2012_9_3'!O2471,"AAAAADxjv28=")</f>
        <v>#VALUE!</v>
      </c>
      <c r="DI155">
        <f>IF('Planilla_General_03-12-2012_9_3'!2472:2472,"AAAAADxjv3A=",0)</f>
        <v>0</v>
      </c>
      <c r="DJ155" t="e">
        <f>AND('Planilla_General_03-12-2012_9_3'!A2472,"AAAAADxjv3E=")</f>
        <v>#VALUE!</v>
      </c>
      <c r="DK155" t="e">
        <f>AND('Planilla_General_03-12-2012_9_3'!B2472,"AAAAADxjv3I=")</f>
        <v>#VALUE!</v>
      </c>
      <c r="DL155" t="e">
        <f>AND('Planilla_General_03-12-2012_9_3'!C2472,"AAAAADxjv3M=")</f>
        <v>#VALUE!</v>
      </c>
      <c r="DM155" t="e">
        <f>AND('Planilla_General_03-12-2012_9_3'!D2472,"AAAAADxjv3Q=")</f>
        <v>#VALUE!</v>
      </c>
      <c r="DN155" t="e">
        <f>AND('Planilla_General_03-12-2012_9_3'!E2472,"AAAAADxjv3U=")</f>
        <v>#VALUE!</v>
      </c>
      <c r="DO155" t="e">
        <f>AND('Planilla_General_03-12-2012_9_3'!F2472,"AAAAADxjv3Y=")</f>
        <v>#VALUE!</v>
      </c>
      <c r="DP155" t="e">
        <f>AND('Planilla_General_03-12-2012_9_3'!G2472,"AAAAADxjv3c=")</f>
        <v>#VALUE!</v>
      </c>
      <c r="DQ155" t="e">
        <f>AND('Planilla_General_03-12-2012_9_3'!H2472,"AAAAADxjv3g=")</f>
        <v>#VALUE!</v>
      </c>
      <c r="DR155" t="e">
        <f>AND('Planilla_General_03-12-2012_9_3'!I2472,"AAAAADxjv3k=")</f>
        <v>#VALUE!</v>
      </c>
      <c r="DS155" t="e">
        <f>AND('Planilla_General_03-12-2012_9_3'!J2472,"AAAAADxjv3o=")</f>
        <v>#VALUE!</v>
      </c>
      <c r="DT155" t="e">
        <f>AND('Planilla_General_03-12-2012_9_3'!K2472,"AAAAADxjv3s=")</f>
        <v>#VALUE!</v>
      </c>
      <c r="DU155" t="e">
        <f>AND('Planilla_General_03-12-2012_9_3'!L2472,"AAAAADxjv3w=")</f>
        <v>#VALUE!</v>
      </c>
      <c r="DV155" t="e">
        <f>AND('Planilla_General_03-12-2012_9_3'!M2472,"AAAAADxjv30=")</f>
        <v>#VALUE!</v>
      </c>
      <c r="DW155" t="e">
        <f>AND('Planilla_General_03-12-2012_9_3'!N2472,"AAAAADxjv34=")</f>
        <v>#VALUE!</v>
      </c>
      <c r="DX155" t="e">
        <f>AND('Planilla_General_03-12-2012_9_3'!O2472,"AAAAADxjv38=")</f>
        <v>#VALUE!</v>
      </c>
      <c r="DY155">
        <f>IF('Planilla_General_03-12-2012_9_3'!2473:2473,"AAAAADxjv4A=",0)</f>
        <v>0</v>
      </c>
      <c r="DZ155" t="e">
        <f>AND('Planilla_General_03-12-2012_9_3'!A2473,"AAAAADxjv4E=")</f>
        <v>#VALUE!</v>
      </c>
      <c r="EA155" t="e">
        <f>AND('Planilla_General_03-12-2012_9_3'!B2473,"AAAAADxjv4I=")</f>
        <v>#VALUE!</v>
      </c>
      <c r="EB155" t="e">
        <f>AND('Planilla_General_03-12-2012_9_3'!C2473,"AAAAADxjv4M=")</f>
        <v>#VALUE!</v>
      </c>
      <c r="EC155" t="e">
        <f>AND('Planilla_General_03-12-2012_9_3'!D2473,"AAAAADxjv4Q=")</f>
        <v>#VALUE!</v>
      </c>
      <c r="ED155" t="e">
        <f>AND('Planilla_General_03-12-2012_9_3'!E2473,"AAAAADxjv4U=")</f>
        <v>#VALUE!</v>
      </c>
      <c r="EE155" t="e">
        <f>AND('Planilla_General_03-12-2012_9_3'!F2473,"AAAAADxjv4Y=")</f>
        <v>#VALUE!</v>
      </c>
      <c r="EF155" t="e">
        <f>AND('Planilla_General_03-12-2012_9_3'!G2473,"AAAAADxjv4c=")</f>
        <v>#VALUE!</v>
      </c>
      <c r="EG155" t="e">
        <f>AND('Planilla_General_03-12-2012_9_3'!H2473,"AAAAADxjv4g=")</f>
        <v>#VALUE!</v>
      </c>
      <c r="EH155" t="e">
        <f>AND('Planilla_General_03-12-2012_9_3'!I2473,"AAAAADxjv4k=")</f>
        <v>#VALUE!</v>
      </c>
      <c r="EI155" t="e">
        <f>AND('Planilla_General_03-12-2012_9_3'!J2473,"AAAAADxjv4o=")</f>
        <v>#VALUE!</v>
      </c>
      <c r="EJ155" t="e">
        <f>AND('Planilla_General_03-12-2012_9_3'!K2473,"AAAAADxjv4s=")</f>
        <v>#VALUE!</v>
      </c>
      <c r="EK155" t="e">
        <f>AND('Planilla_General_03-12-2012_9_3'!L2473,"AAAAADxjv4w=")</f>
        <v>#VALUE!</v>
      </c>
      <c r="EL155" t="e">
        <f>AND('Planilla_General_03-12-2012_9_3'!M2473,"AAAAADxjv40=")</f>
        <v>#VALUE!</v>
      </c>
      <c r="EM155" t="e">
        <f>AND('Planilla_General_03-12-2012_9_3'!N2473,"AAAAADxjv44=")</f>
        <v>#VALUE!</v>
      </c>
      <c r="EN155" t="e">
        <f>AND('Planilla_General_03-12-2012_9_3'!O2473,"AAAAADxjv48=")</f>
        <v>#VALUE!</v>
      </c>
      <c r="EO155">
        <f>IF('Planilla_General_03-12-2012_9_3'!2474:2474,"AAAAADxjv5A=",0)</f>
        <v>0</v>
      </c>
      <c r="EP155" t="e">
        <f>AND('Planilla_General_03-12-2012_9_3'!A2474,"AAAAADxjv5E=")</f>
        <v>#VALUE!</v>
      </c>
      <c r="EQ155" t="e">
        <f>AND('Planilla_General_03-12-2012_9_3'!B2474,"AAAAADxjv5I=")</f>
        <v>#VALUE!</v>
      </c>
      <c r="ER155" t="e">
        <f>AND('Planilla_General_03-12-2012_9_3'!C2474,"AAAAADxjv5M=")</f>
        <v>#VALUE!</v>
      </c>
      <c r="ES155" t="e">
        <f>AND('Planilla_General_03-12-2012_9_3'!D2474,"AAAAADxjv5Q=")</f>
        <v>#VALUE!</v>
      </c>
      <c r="ET155" t="e">
        <f>AND('Planilla_General_03-12-2012_9_3'!E2474,"AAAAADxjv5U=")</f>
        <v>#VALUE!</v>
      </c>
      <c r="EU155" t="e">
        <f>AND('Planilla_General_03-12-2012_9_3'!F2474,"AAAAADxjv5Y=")</f>
        <v>#VALUE!</v>
      </c>
      <c r="EV155" t="e">
        <f>AND('Planilla_General_03-12-2012_9_3'!G2474,"AAAAADxjv5c=")</f>
        <v>#VALUE!</v>
      </c>
      <c r="EW155" t="e">
        <f>AND('Planilla_General_03-12-2012_9_3'!H2474,"AAAAADxjv5g=")</f>
        <v>#VALUE!</v>
      </c>
      <c r="EX155" t="e">
        <f>AND('Planilla_General_03-12-2012_9_3'!I2474,"AAAAADxjv5k=")</f>
        <v>#VALUE!</v>
      </c>
      <c r="EY155" t="e">
        <f>AND('Planilla_General_03-12-2012_9_3'!J2474,"AAAAADxjv5o=")</f>
        <v>#VALUE!</v>
      </c>
      <c r="EZ155" t="e">
        <f>AND('Planilla_General_03-12-2012_9_3'!K2474,"AAAAADxjv5s=")</f>
        <v>#VALUE!</v>
      </c>
      <c r="FA155" t="e">
        <f>AND('Planilla_General_03-12-2012_9_3'!L2474,"AAAAADxjv5w=")</f>
        <v>#VALUE!</v>
      </c>
      <c r="FB155" t="e">
        <f>AND('Planilla_General_03-12-2012_9_3'!M2474,"AAAAADxjv50=")</f>
        <v>#VALUE!</v>
      </c>
      <c r="FC155" t="e">
        <f>AND('Planilla_General_03-12-2012_9_3'!N2474,"AAAAADxjv54=")</f>
        <v>#VALUE!</v>
      </c>
      <c r="FD155" t="e">
        <f>AND('Planilla_General_03-12-2012_9_3'!O2474,"AAAAADxjv58=")</f>
        <v>#VALUE!</v>
      </c>
      <c r="FE155">
        <f>IF('Planilla_General_03-12-2012_9_3'!2475:2475,"AAAAADxjv6A=",0)</f>
        <v>0</v>
      </c>
      <c r="FF155" t="e">
        <f>AND('Planilla_General_03-12-2012_9_3'!A2475,"AAAAADxjv6E=")</f>
        <v>#VALUE!</v>
      </c>
      <c r="FG155" t="e">
        <f>AND('Planilla_General_03-12-2012_9_3'!B2475,"AAAAADxjv6I=")</f>
        <v>#VALUE!</v>
      </c>
      <c r="FH155" t="e">
        <f>AND('Planilla_General_03-12-2012_9_3'!C2475,"AAAAADxjv6M=")</f>
        <v>#VALUE!</v>
      </c>
      <c r="FI155" t="e">
        <f>AND('Planilla_General_03-12-2012_9_3'!D2475,"AAAAADxjv6Q=")</f>
        <v>#VALUE!</v>
      </c>
      <c r="FJ155" t="e">
        <f>AND('Planilla_General_03-12-2012_9_3'!E2475,"AAAAADxjv6U=")</f>
        <v>#VALUE!</v>
      </c>
      <c r="FK155" t="e">
        <f>AND('Planilla_General_03-12-2012_9_3'!F2475,"AAAAADxjv6Y=")</f>
        <v>#VALUE!</v>
      </c>
      <c r="FL155" t="e">
        <f>AND('Planilla_General_03-12-2012_9_3'!G2475,"AAAAADxjv6c=")</f>
        <v>#VALUE!</v>
      </c>
      <c r="FM155" t="e">
        <f>AND('Planilla_General_03-12-2012_9_3'!H2475,"AAAAADxjv6g=")</f>
        <v>#VALUE!</v>
      </c>
      <c r="FN155" t="e">
        <f>AND('Planilla_General_03-12-2012_9_3'!I2475,"AAAAADxjv6k=")</f>
        <v>#VALUE!</v>
      </c>
      <c r="FO155" t="e">
        <f>AND('Planilla_General_03-12-2012_9_3'!J2475,"AAAAADxjv6o=")</f>
        <v>#VALUE!</v>
      </c>
      <c r="FP155" t="e">
        <f>AND('Planilla_General_03-12-2012_9_3'!K2475,"AAAAADxjv6s=")</f>
        <v>#VALUE!</v>
      </c>
      <c r="FQ155" t="e">
        <f>AND('Planilla_General_03-12-2012_9_3'!L2475,"AAAAADxjv6w=")</f>
        <v>#VALUE!</v>
      </c>
      <c r="FR155" t="e">
        <f>AND('Planilla_General_03-12-2012_9_3'!M2475,"AAAAADxjv60=")</f>
        <v>#VALUE!</v>
      </c>
      <c r="FS155" t="e">
        <f>AND('Planilla_General_03-12-2012_9_3'!N2475,"AAAAADxjv64=")</f>
        <v>#VALUE!</v>
      </c>
      <c r="FT155" t="e">
        <f>AND('Planilla_General_03-12-2012_9_3'!O2475,"AAAAADxjv68=")</f>
        <v>#VALUE!</v>
      </c>
      <c r="FU155">
        <f>IF('Planilla_General_03-12-2012_9_3'!2476:2476,"AAAAADxjv7A=",0)</f>
        <v>0</v>
      </c>
      <c r="FV155" t="e">
        <f>AND('Planilla_General_03-12-2012_9_3'!A2476,"AAAAADxjv7E=")</f>
        <v>#VALUE!</v>
      </c>
      <c r="FW155" t="e">
        <f>AND('Planilla_General_03-12-2012_9_3'!B2476,"AAAAADxjv7I=")</f>
        <v>#VALUE!</v>
      </c>
      <c r="FX155" t="e">
        <f>AND('Planilla_General_03-12-2012_9_3'!C2476,"AAAAADxjv7M=")</f>
        <v>#VALUE!</v>
      </c>
      <c r="FY155" t="e">
        <f>AND('Planilla_General_03-12-2012_9_3'!D2476,"AAAAADxjv7Q=")</f>
        <v>#VALUE!</v>
      </c>
      <c r="FZ155" t="e">
        <f>AND('Planilla_General_03-12-2012_9_3'!E2476,"AAAAADxjv7U=")</f>
        <v>#VALUE!</v>
      </c>
      <c r="GA155" t="e">
        <f>AND('Planilla_General_03-12-2012_9_3'!F2476,"AAAAADxjv7Y=")</f>
        <v>#VALUE!</v>
      </c>
      <c r="GB155" t="e">
        <f>AND('Planilla_General_03-12-2012_9_3'!G2476,"AAAAADxjv7c=")</f>
        <v>#VALUE!</v>
      </c>
      <c r="GC155" t="e">
        <f>AND('Planilla_General_03-12-2012_9_3'!H2476,"AAAAADxjv7g=")</f>
        <v>#VALUE!</v>
      </c>
      <c r="GD155" t="e">
        <f>AND('Planilla_General_03-12-2012_9_3'!I2476,"AAAAADxjv7k=")</f>
        <v>#VALUE!</v>
      </c>
      <c r="GE155" t="e">
        <f>AND('Planilla_General_03-12-2012_9_3'!J2476,"AAAAADxjv7o=")</f>
        <v>#VALUE!</v>
      </c>
      <c r="GF155" t="e">
        <f>AND('Planilla_General_03-12-2012_9_3'!K2476,"AAAAADxjv7s=")</f>
        <v>#VALUE!</v>
      </c>
      <c r="GG155" t="e">
        <f>AND('Planilla_General_03-12-2012_9_3'!L2476,"AAAAADxjv7w=")</f>
        <v>#VALUE!</v>
      </c>
      <c r="GH155" t="e">
        <f>AND('Planilla_General_03-12-2012_9_3'!M2476,"AAAAADxjv70=")</f>
        <v>#VALUE!</v>
      </c>
      <c r="GI155" t="e">
        <f>AND('Planilla_General_03-12-2012_9_3'!N2476,"AAAAADxjv74=")</f>
        <v>#VALUE!</v>
      </c>
      <c r="GJ155" t="e">
        <f>AND('Planilla_General_03-12-2012_9_3'!O2476,"AAAAADxjv78=")</f>
        <v>#VALUE!</v>
      </c>
      <c r="GK155">
        <f>IF('Planilla_General_03-12-2012_9_3'!2477:2477,"AAAAADxjv8A=",0)</f>
        <v>0</v>
      </c>
      <c r="GL155" t="e">
        <f>AND('Planilla_General_03-12-2012_9_3'!A2477,"AAAAADxjv8E=")</f>
        <v>#VALUE!</v>
      </c>
      <c r="GM155" t="e">
        <f>AND('Planilla_General_03-12-2012_9_3'!B2477,"AAAAADxjv8I=")</f>
        <v>#VALUE!</v>
      </c>
      <c r="GN155" t="e">
        <f>AND('Planilla_General_03-12-2012_9_3'!C2477,"AAAAADxjv8M=")</f>
        <v>#VALUE!</v>
      </c>
      <c r="GO155" t="e">
        <f>AND('Planilla_General_03-12-2012_9_3'!D2477,"AAAAADxjv8Q=")</f>
        <v>#VALUE!</v>
      </c>
      <c r="GP155" t="e">
        <f>AND('Planilla_General_03-12-2012_9_3'!E2477,"AAAAADxjv8U=")</f>
        <v>#VALUE!</v>
      </c>
      <c r="GQ155" t="e">
        <f>AND('Planilla_General_03-12-2012_9_3'!F2477,"AAAAADxjv8Y=")</f>
        <v>#VALUE!</v>
      </c>
      <c r="GR155" t="e">
        <f>AND('Planilla_General_03-12-2012_9_3'!G2477,"AAAAADxjv8c=")</f>
        <v>#VALUE!</v>
      </c>
      <c r="GS155" t="e">
        <f>AND('Planilla_General_03-12-2012_9_3'!H2477,"AAAAADxjv8g=")</f>
        <v>#VALUE!</v>
      </c>
      <c r="GT155" t="e">
        <f>AND('Planilla_General_03-12-2012_9_3'!I2477,"AAAAADxjv8k=")</f>
        <v>#VALUE!</v>
      </c>
      <c r="GU155" t="e">
        <f>AND('Planilla_General_03-12-2012_9_3'!J2477,"AAAAADxjv8o=")</f>
        <v>#VALUE!</v>
      </c>
      <c r="GV155" t="e">
        <f>AND('Planilla_General_03-12-2012_9_3'!K2477,"AAAAADxjv8s=")</f>
        <v>#VALUE!</v>
      </c>
      <c r="GW155" t="e">
        <f>AND('Planilla_General_03-12-2012_9_3'!L2477,"AAAAADxjv8w=")</f>
        <v>#VALUE!</v>
      </c>
      <c r="GX155" t="e">
        <f>AND('Planilla_General_03-12-2012_9_3'!M2477,"AAAAADxjv80=")</f>
        <v>#VALUE!</v>
      </c>
      <c r="GY155" t="e">
        <f>AND('Planilla_General_03-12-2012_9_3'!N2477,"AAAAADxjv84=")</f>
        <v>#VALUE!</v>
      </c>
      <c r="GZ155" t="e">
        <f>AND('Planilla_General_03-12-2012_9_3'!O2477,"AAAAADxjv88=")</f>
        <v>#VALUE!</v>
      </c>
      <c r="HA155">
        <f>IF('Planilla_General_03-12-2012_9_3'!2478:2478,"AAAAADxjv9A=",0)</f>
        <v>0</v>
      </c>
      <c r="HB155" t="e">
        <f>AND('Planilla_General_03-12-2012_9_3'!A2478,"AAAAADxjv9E=")</f>
        <v>#VALUE!</v>
      </c>
      <c r="HC155" t="e">
        <f>AND('Planilla_General_03-12-2012_9_3'!B2478,"AAAAADxjv9I=")</f>
        <v>#VALUE!</v>
      </c>
      <c r="HD155" t="e">
        <f>AND('Planilla_General_03-12-2012_9_3'!C2478,"AAAAADxjv9M=")</f>
        <v>#VALUE!</v>
      </c>
      <c r="HE155" t="e">
        <f>AND('Planilla_General_03-12-2012_9_3'!D2478,"AAAAADxjv9Q=")</f>
        <v>#VALUE!</v>
      </c>
      <c r="HF155" t="e">
        <f>AND('Planilla_General_03-12-2012_9_3'!E2478,"AAAAADxjv9U=")</f>
        <v>#VALUE!</v>
      </c>
      <c r="HG155" t="e">
        <f>AND('Planilla_General_03-12-2012_9_3'!F2478,"AAAAADxjv9Y=")</f>
        <v>#VALUE!</v>
      </c>
      <c r="HH155" t="e">
        <f>AND('Planilla_General_03-12-2012_9_3'!G2478,"AAAAADxjv9c=")</f>
        <v>#VALUE!</v>
      </c>
      <c r="HI155" t="e">
        <f>AND('Planilla_General_03-12-2012_9_3'!H2478,"AAAAADxjv9g=")</f>
        <v>#VALUE!</v>
      </c>
      <c r="HJ155" t="e">
        <f>AND('Planilla_General_03-12-2012_9_3'!I2478,"AAAAADxjv9k=")</f>
        <v>#VALUE!</v>
      </c>
      <c r="HK155" t="e">
        <f>AND('Planilla_General_03-12-2012_9_3'!J2478,"AAAAADxjv9o=")</f>
        <v>#VALUE!</v>
      </c>
      <c r="HL155" t="e">
        <f>AND('Planilla_General_03-12-2012_9_3'!K2478,"AAAAADxjv9s=")</f>
        <v>#VALUE!</v>
      </c>
      <c r="HM155" t="e">
        <f>AND('Planilla_General_03-12-2012_9_3'!L2478,"AAAAADxjv9w=")</f>
        <v>#VALUE!</v>
      </c>
      <c r="HN155" t="e">
        <f>AND('Planilla_General_03-12-2012_9_3'!M2478,"AAAAADxjv90=")</f>
        <v>#VALUE!</v>
      </c>
      <c r="HO155" t="e">
        <f>AND('Planilla_General_03-12-2012_9_3'!N2478,"AAAAADxjv94=")</f>
        <v>#VALUE!</v>
      </c>
      <c r="HP155" t="e">
        <f>AND('Planilla_General_03-12-2012_9_3'!O2478,"AAAAADxjv98=")</f>
        <v>#VALUE!</v>
      </c>
      <c r="HQ155">
        <f>IF('Planilla_General_03-12-2012_9_3'!2479:2479,"AAAAADxjv+A=",0)</f>
        <v>0</v>
      </c>
      <c r="HR155" t="e">
        <f>AND('Planilla_General_03-12-2012_9_3'!A2479,"AAAAADxjv+E=")</f>
        <v>#VALUE!</v>
      </c>
      <c r="HS155" t="e">
        <f>AND('Planilla_General_03-12-2012_9_3'!B2479,"AAAAADxjv+I=")</f>
        <v>#VALUE!</v>
      </c>
      <c r="HT155" t="e">
        <f>AND('Planilla_General_03-12-2012_9_3'!C2479,"AAAAADxjv+M=")</f>
        <v>#VALUE!</v>
      </c>
      <c r="HU155" t="e">
        <f>AND('Planilla_General_03-12-2012_9_3'!D2479,"AAAAADxjv+Q=")</f>
        <v>#VALUE!</v>
      </c>
      <c r="HV155" t="e">
        <f>AND('Planilla_General_03-12-2012_9_3'!E2479,"AAAAADxjv+U=")</f>
        <v>#VALUE!</v>
      </c>
      <c r="HW155" t="e">
        <f>AND('Planilla_General_03-12-2012_9_3'!F2479,"AAAAADxjv+Y=")</f>
        <v>#VALUE!</v>
      </c>
      <c r="HX155" t="e">
        <f>AND('Planilla_General_03-12-2012_9_3'!G2479,"AAAAADxjv+c=")</f>
        <v>#VALUE!</v>
      </c>
      <c r="HY155" t="e">
        <f>AND('Planilla_General_03-12-2012_9_3'!H2479,"AAAAADxjv+g=")</f>
        <v>#VALUE!</v>
      </c>
      <c r="HZ155" t="e">
        <f>AND('Planilla_General_03-12-2012_9_3'!I2479,"AAAAADxjv+k=")</f>
        <v>#VALUE!</v>
      </c>
      <c r="IA155" t="e">
        <f>AND('Planilla_General_03-12-2012_9_3'!J2479,"AAAAADxjv+o=")</f>
        <v>#VALUE!</v>
      </c>
      <c r="IB155" t="e">
        <f>AND('Planilla_General_03-12-2012_9_3'!K2479,"AAAAADxjv+s=")</f>
        <v>#VALUE!</v>
      </c>
      <c r="IC155" t="e">
        <f>AND('Planilla_General_03-12-2012_9_3'!L2479,"AAAAADxjv+w=")</f>
        <v>#VALUE!</v>
      </c>
      <c r="ID155" t="e">
        <f>AND('Planilla_General_03-12-2012_9_3'!M2479,"AAAAADxjv+0=")</f>
        <v>#VALUE!</v>
      </c>
      <c r="IE155" t="e">
        <f>AND('Planilla_General_03-12-2012_9_3'!N2479,"AAAAADxjv+4=")</f>
        <v>#VALUE!</v>
      </c>
      <c r="IF155" t="e">
        <f>AND('Planilla_General_03-12-2012_9_3'!O2479,"AAAAADxjv+8=")</f>
        <v>#VALUE!</v>
      </c>
      <c r="IG155">
        <f>IF('Planilla_General_03-12-2012_9_3'!2480:2480,"AAAAADxjv/A=",0)</f>
        <v>0</v>
      </c>
      <c r="IH155" t="e">
        <f>AND('Planilla_General_03-12-2012_9_3'!A2480,"AAAAADxjv/E=")</f>
        <v>#VALUE!</v>
      </c>
      <c r="II155" t="e">
        <f>AND('Planilla_General_03-12-2012_9_3'!B2480,"AAAAADxjv/I=")</f>
        <v>#VALUE!</v>
      </c>
      <c r="IJ155" t="e">
        <f>AND('Planilla_General_03-12-2012_9_3'!C2480,"AAAAADxjv/M=")</f>
        <v>#VALUE!</v>
      </c>
      <c r="IK155" t="e">
        <f>AND('Planilla_General_03-12-2012_9_3'!D2480,"AAAAADxjv/Q=")</f>
        <v>#VALUE!</v>
      </c>
      <c r="IL155" t="e">
        <f>AND('Planilla_General_03-12-2012_9_3'!E2480,"AAAAADxjv/U=")</f>
        <v>#VALUE!</v>
      </c>
      <c r="IM155" t="e">
        <f>AND('Planilla_General_03-12-2012_9_3'!F2480,"AAAAADxjv/Y=")</f>
        <v>#VALUE!</v>
      </c>
      <c r="IN155" t="e">
        <f>AND('Planilla_General_03-12-2012_9_3'!G2480,"AAAAADxjv/c=")</f>
        <v>#VALUE!</v>
      </c>
      <c r="IO155" t="e">
        <f>AND('Planilla_General_03-12-2012_9_3'!H2480,"AAAAADxjv/g=")</f>
        <v>#VALUE!</v>
      </c>
      <c r="IP155" t="e">
        <f>AND('Planilla_General_03-12-2012_9_3'!I2480,"AAAAADxjv/k=")</f>
        <v>#VALUE!</v>
      </c>
      <c r="IQ155" t="e">
        <f>AND('Planilla_General_03-12-2012_9_3'!J2480,"AAAAADxjv/o=")</f>
        <v>#VALUE!</v>
      </c>
      <c r="IR155" t="e">
        <f>AND('Planilla_General_03-12-2012_9_3'!K2480,"AAAAADxjv/s=")</f>
        <v>#VALUE!</v>
      </c>
      <c r="IS155" t="e">
        <f>AND('Planilla_General_03-12-2012_9_3'!L2480,"AAAAADxjv/w=")</f>
        <v>#VALUE!</v>
      </c>
      <c r="IT155" t="e">
        <f>AND('Planilla_General_03-12-2012_9_3'!M2480,"AAAAADxjv/0=")</f>
        <v>#VALUE!</v>
      </c>
      <c r="IU155" t="e">
        <f>AND('Planilla_General_03-12-2012_9_3'!N2480,"AAAAADxjv/4=")</f>
        <v>#VALUE!</v>
      </c>
      <c r="IV155" t="e">
        <f>AND('Planilla_General_03-12-2012_9_3'!O2480,"AAAAADxjv/8=")</f>
        <v>#VALUE!</v>
      </c>
    </row>
    <row r="156" spans="1:256" x14ac:dyDescent="0.25">
      <c r="A156" t="e">
        <f>IF('Planilla_General_03-12-2012_9_3'!2481:2481,"AAAAADNs/QA=",0)</f>
        <v>#VALUE!</v>
      </c>
      <c r="B156" t="e">
        <f>AND('Planilla_General_03-12-2012_9_3'!A2481,"AAAAADNs/QE=")</f>
        <v>#VALUE!</v>
      </c>
      <c r="C156" t="e">
        <f>AND('Planilla_General_03-12-2012_9_3'!B2481,"AAAAADNs/QI=")</f>
        <v>#VALUE!</v>
      </c>
      <c r="D156" t="e">
        <f>AND('Planilla_General_03-12-2012_9_3'!C2481,"AAAAADNs/QM=")</f>
        <v>#VALUE!</v>
      </c>
      <c r="E156" t="e">
        <f>AND('Planilla_General_03-12-2012_9_3'!D2481,"AAAAADNs/QQ=")</f>
        <v>#VALUE!</v>
      </c>
      <c r="F156" t="e">
        <f>AND('Planilla_General_03-12-2012_9_3'!E2481,"AAAAADNs/QU=")</f>
        <v>#VALUE!</v>
      </c>
      <c r="G156" t="e">
        <f>AND('Planilla_General_03-12-2012_9_3'!F2481,"AAAAADNs/QY=")</f>
        <v>#VALUE!</v>
      </c>
      <c r="H156" t="e">
        <f>AND('Planilla_General_03-12-2012_9_3'!G2481,"AAAAADNs/Qc=")</f>
        <v>#VALUE!</v>
      </c>
      <c r="I156" t="e">
        <f>AND('Planilla_General_03-12-2012_9_3'!H2481,"AAAAADNs/Qg=")</f>
        <v>#VALUE!</v>
      </c>
      <c r="J156" t="e">
        <f>AND('Planilla_General_03-12-2012_9_3'!I2481,"AAAAADNs/Qk=")</f>
        <v>#VALUE!</v>
      </c>
      <c r="K156" t="e">
        <f>AND('Planilla_General_03-12-2012_9_3'!J2481,"AAAAADNs/Qo=")</f>
        <v>#VALUE!</v>
      </c>
      <c r="L156" t="e">
        <f>AND('Planilla_General_03-12-2012_9_3'!K2481,"AAAAADNs/Qs=")</f>
        <v>#VALUE!</v>
      </c>
      <c r="M156" t="e">
        <f>AND('Planilla_General_03-12-2012_9_3'!L2481,"AAAAADNs/Qw=")</f>
        <v>#VALUE!</v>
      </c>
      <c r="N156" t="e">
        <f>AND('Planilla_General_03-12-2012_9_3'!M2481,"AAAAADNs/Q0=")</f>
        <v>#VALUE!</v>
      </c>
      <c r="O156" t="e">
        <f>AND('Planilla_General_03-12-2012_9_3'!N2481,"AAAAADNs/Q4=")</f>
        <v>#VALUE!</v>
      </c>
      <c r="P156" t="e">
        <f>AND('Planilla_General_03-12-2012_9_3'!O2481,"AAAAADNs/Q8=")</f>
        <v>#VALUE!</v>
      </c>
      <c r="Q156">
        <f>IF('Planilla_General_03-12-2012_9_3'!2482:2482,"AAAAADNs/RA=",0)</f>
        <v>0</v>
      </c>
      <c r="R156" t="e">
        <f>AND('Planilla_General_03-12-2012_9_3'!A2482,"AAAAADNs/RE=")</f>
        <v>#VALUE!</v>
      </c>
      <c r="S156" t="e">
        <f>AND('Planilla_General_03-12-2012_9_3'!B2482,"AAAAADNs/RI=")</f>
        <v>#VALUE!</v>
      </c>
      <c r="T156" t="e">
        <f>AND('Planilla_General_03-12-2012_9_3'!C2482,"AAAAADNs/RM=")</f>
        <v>#VALUE!</v>
      </c>
      <c r="U156" t="e">
        <f>AND('Planilla_General_03-12-2012_9_3'!D2482,"AAAAADNs/RQ=")</f>
        <v>#VALUE!</v>
      </c>
      <c r="V156" t="e">
        <f>AND('Planilla_General_03-12-2012_9_3'!E2482,"AAAAADNs/RU=")</f>
        <v>#VALUE!</v>
      </c>
      <c r="W156" t="e">
        <f>AND('Planilla_General_03-12-2012_9_3'!F2482,"AAAAADNs/RY=")</f>
        <v>#VALUE!</v>
      </c>
      <c r="X156" t="e">
        <f>AND('Planilla_General_03-12-2012_9_3'!G2482,"AAAAADNs/Rc=")</f>
        <v>#VALUE!</v>
      </c>
      <c r="Y156" t="e">
        <f>AND('Planilla_General_03-12-2012_9_3'!H2482,"AAAAADNs/Rg=")</f>
        <v>#VALUE!</v>
      </c>
      <c r="Z156" t="e">
        <f>AND('Planilla_General_03-12-2012_9_3'!I2482,"AAAAADNs/Rk=")</f>
        <v>#VALUE!</v>
      </c>
      <c r="AA156" t="e">
        <f>AND('Planilla_General_03-12-2012_9_3'!J2482,"AAAAADNs/Ro=")</f>
        <v>#VALUE!</v>
      </c>
      <c r="AB156" t="e">
        <f>AND('Planilla_General_03-12-2012_9_3'!K2482,"AAAAADNs/Rs=")</f>
        <v>#VALUE!</v>
      </c>
      <c r="AC156" t="e">
        <f>AND('Planilla_General_03-12-2012_9_3'!L2482,"AAAAADNs/Rw=")</f>
        <v>#VALUE!</v>
      </c>
      <c r="AD156" t="e">
        <f>AND('Planilla_General_03-12-2012_9_3'!M2482,"AAAAADNs/R0=")</f>
        <v>#VALUE!</v>
      </c>
      <c r="AE156" t="e">
        <f>AND('Planilla_General_03-12-2012_9_3'!N2482,"AAAAADNs/R4=")</f>
        <v>#VALUE!</v>
      </c>
      <c r="AF156" t="e">
        <f>AND('Planilla_General_03-12-2012_9_3'!O2482,"AAAAADNs/R8=")</f>
        <v>#VALUE!</v>
      </c>
      <c r="AG156">
        <f>IF('Planilla_General_03-12-2012_9_3'!2483:2483,"AAAAADNs/SA=",0)</f>
        <v>0</v>
      </c>
      <c r="AH156" t="e">
        <f>AND('Planilla_General_03-12-2012_9_3'!A2483,"AAAAADNs/SE=")</f>
        <v>#VALUE!</v>
      </c>
      <c r="AI156" t="e">
        <f>AND('Planilla_General_03-12-2012_9_3'!B2483,"AAAAADNs/SI=")</f>
        <v>#VALUE!</v>
      </c>
      <c r="AJ156" t="e">
        <f>AND('Planilla_General_03-12-2012_9_3'!C2483,"AAAAADNs/SM=")</f>
        <v>#VALUE!</v>
      </c>
      <c r="AK156" t="e">
        <f>AND('Planilla_General_03-12-2012_9_3'!D2483,"AAAAADNs/SQ=")</f>
        <v>#VALUE!</v>
      </c>
      <c r="AL156" t="e">
        <f>AND('Planilla_General_03-12-2012_9_3'!E2483,"AAAAADNs/SU=")</f>
        <v>#VALUE!</v>
      </c>
      <c r="AM156" t="e">
        <f>AND('Planilla_General_03-12-2012_9_3'!F2483,"AAAAADNs/SY=")</f>
        <v>#VALUE!</v>
      </c>
      <c r="AN156" t="e">
        <f>AND('Planilla_General_03-12-2012_9_3'!G2483,"AAAAADNs/Sc=")</f>
        <v>#VALUE!</v>
      </c>
      <c r="AO156" t="e">
        <f>AND('Planilla_General_03-12-2012_9_3'!H2483,"AAAAADNs/Sg=")</f>
        <v>#VALUE!</v>
      </c>
      <c r="AP156" t="e">
        <f>AND('Planilla_General_03-12-2012_9_3'!I2483,"AAAAADNs/Sk=")</f>
        <v>#VALUE!</v>
      </c>
      <c r="AQ156" t="e">
        <f>AND('Planilla_General_03-12-2012_9_3'!J2483,"AAAAADNs/So=")</f>
        <v>#VALUE!</v>
      </c>
      <c r="AR156" t="e">
        <f>AND('Planilla_General_03-12-2012_9_3'!K2483,"AAAAADNs/Ss=")</f>
        <v>#VALUE!</v>
      </c>
      <c r="AS156" t="e">
        <f>AND('Planilla_General_03-12-2012_9_3'!L2483,"AAAAADNs/Sw=")</f>
        <v>#VALUE!</v>
      </c>
      <c r="AT156" t="e">
        <f>AND('Planilla_General_03-12-2012_9_3'!M2483,"AAAAADNs/S0=")</f>
        <v>#VALUE!</v>
      </c>
      <c r="AU156" t="e">
        <f>AND('Planilla_General_03-12-2012_9_3'!N2483,"AAAAADNs/S4=")</f>
        <v>#VALUE!</v>
      </c>
      <c r="AV156" t="e">
        <f>AND('Planilla_General_03-12-2012_9_3'!O2483,"AAAAADNs/S8=")</f>
        <v>#VALUE!</v>
      </c>
      <c r="AW156">
        <f>IF('Planilla_General_03-12-2012_9_3'!2484:2484,"AAAAADNs/TA=",0)</f>
        <v>0</v>
      </c>
      <c r="AX156" t="e">
        <f>AND('Planilla_General_03-12-2012_9_3'!A2484,"AAAAADNs/TE=")</f>
        <v>#VALUE!</v>
      </c>
      <c r="AY156" t="e">
        <f>AND('Planilla_General_03-12-2012_9_3'!B2484,"AAAAADNs/TI=")</f>
        <v>#VALUE!</v>
      </c>
      <c r="AZ156" t="e">
        <f>AND('Planilla_General_03-12-2012_9_3'!C2484,"AAAAADNs/TM=")</f>
        <v>#VALUE!</v>
      </c>
      <c r="BA156" t="e">
        <f>AND('Planilla_General_03-12-2012_9_3'!D2484,"AAAAADNs/TQ=")</f>
        <v>#VALUE!</v>
      </c>
      <c r="BB156" t="e">
        <f>AND('Planilla_General_03-12-2012_9_3'!E2484,"AAAAADNs/TU=")</f>
        <v>#VALUE!</v>
      </c>
      <c r="BC156" t="e">
        <f>AND('Planilla_General_03-12-2012_9_3'!F2484,"AAAAADNs/TY=")</f>
        <v>#VALUE!</v>
      </c>
      <c r="BD156" t="e">
        <f>AND('Planilla_General_03-12-2012_9_3'!G2484,"AAAAADNs/Tc=")</f>
        <v>#VALUE!</v>
      </c>
      <c r="BE156" t="e">
        <f>AND('Planilla_General_03-12-2012_9_3'!H2484,"AAAAADNs/Tg=")</f>
        <v>#VALUE!</v>
      </c>
      <c r="BF156" t="e">
        <f>AND('Planilla_General_03-12-2012_9_3'!I2484,"AAAAADNs/Tk=")</f>
        <v>#VALUE!</v>
      </c>
      <c r="BG156" t="e">
        <f>AND('Planilla_General_03-12-2012_9_3'!J2484,"AAAAADNs/To=")</f>
        <v>#VALUE!</v>
      </c>
      <c r="BH156" t="e">
        <f>AND('Planilla_General_03-12-2012_9_3'!K2484,"AAAAADNs/Ts=")</f>
        <v>#VALUE!</v>
      </c>
      <c r="BI156" t="e">
        <f>AND('Planilla_General_03-12-2012_9_3'!L2484,"AAAAADNs/Tw=")</f>
        <v>#VALUE!</v>
      </c>
      <c r="BJ156" t="e">
        <f>AND('Planilla_General_03-12-2012_9_3'!M2484,"AAAAADNs/T0=")</f>
        <v>#VALUE!</v>
      </c>
      <c r="BK156" t="e">
        <f>AND('Planilla_General_03-12-2012_9_3'!N2484,"AAAAADNs/T4=")</f>
        <v>#VALUE!</v>
      </c>
      <c r="BL156" t="e">
        <f>AND('Planilla_General_03-12-2012_9_3'!O2484,"AAAAADNs/T8=")</f>
        <v>#VALUE!</v>
      </c>
      <c r="BM156">
        <f>IF('Planilla_General_03-12-2012_9_3'!2485:2485,"AAAAADNs/UA=",0)</f>
        <v>0</v>
      </c>
      <c r="BN156" t="e">
        <f>AND('Planilla_General_03-12-2012_9_3'!A2485,"AAAAADNs/UE=")</f>
        <v>#VALUE!</v>
      </c>
      <c r="BO156" t="e">
        <f>AND('Planilla_General_03-12-2012_9_3'!B2485,"AAAAADNs/UI=")</f>
        <v>#VALUE!</v>
      </c>
      <c r="BP156" t="e">
        <f>AND('Planilla_General_03-12-2012_9_3'!C2485,"AAAAADNs/UM=")</f>
        <v>#VALUE!</v>
      </c>
      <c r="BQ156" t="e">
        <f>AND('Planilla_General_03-12-2012_9_3'!D2485,"AAAAADNs/UQ=")</f>
        <v>#VALUE!</v>
      </c>
      <c r="BR156" t="e">
        <f>AND('Planilla_General_03-12-2012_9_3'!E2485,"AAAAADNs/UU=")</f>
        <v>#VALUE!</v>
      </c>
      <c r="BS156" t="e">
        <f>AND('Planilla_General_03-12-2012_9_3'!F2485,"AAAAADNs/UY=")</f>
        <v>#VALUE!</v>
      </c>
      <c r="BT156" t="e">
        <f>AND('Planilla_General_03-12-2012_9_3'!G2485,"AAAAADNs/Uc=")</f>
        <v>#VALUE!</v>
      </c>
      <c r="BU156" t="e">
        <f>AND('Planilla_General_03-12-2012_9_3'!H2485,"AAAAADNs/Ug=")</f>
        <v>#VALUE!</v>
      </c>
      <c r="BV156" t="e">
        <f>AND('Planilla_General_03-12-2012_9_3'!I2485,"AAAAADNs/Uk=")</f>
        <v>#VALUE!</v>
      </c>
      <c r="BW156" t="e">
        <f>AND('Planilla_General_03-12-2012_9_3'!J2485,"AAAAADNs/Uo=")</f>
        <v>#VALUE!</v>
      </c>
      <c r="BX156" t="e">
        <f>AND('Planilla_General_03-12-2012_9_3'!K2485,"AAAAADNs/Us=")</f>
        <v>#VALUE!</v>
      </c>
      <c r="BY156" t="e">
        <f>AND('Planilla_General_03-12-2012_9_3'!L2485,"AAAAADNs/Uw=")</f>
        <v>#VALUE!</v>
      </c>
      <c r="BZ156" t="e">
        <f>AND('Planilla_General_03-12-2012_9_3'!M2485,"AAAAADNs/U0=")</f>
        <v>#VALUE!</v>
      </c>
      <c r="CA156" t="e">
        <f>AND('Planilla_General_03-12-2012_9_3'!N2485,"AAAAADNs/U4=")</f>
        <v>#VALUE!</v>
      </c>
      <c r="CB156" t="e">
        <f>AND('Planilla_General_03-12-2012_9_3'!O2485,"AAAAADNs/U8=")</f>
        <v>#VALUE!</v>
      </c>
      <c r="CC156">
        <f>IF('Planilla_General_03-12-2012_9_3'!2486:2486,"AAAAADNs/VA=",0)</f>
        <v>0</v>
      </c>
      <c r="CD156" t="e">
        <f>AND('Planilla_General_03-12-2012_9_3'!A2486,"AAAAADNs/VE=")</f>
        <v>#VALUE!</v>
      </c>
      <c r="CE156" t="e">
        <f>AND('Planilla_General_03-12-2012_9_3'!B2486,"AAAAADNs/VI=")</f>
        <v>#VALUE!</v>
      </c>
      <c r="CF156" t="e">
        <f>AND('Planilla_General_03-12-2012_9_3'!C2486,"AAAAADNs/VM=")</f>
        <v>#VALUE!</v>
      </c>
      <c r="CG156" t="e">
        <f>AND('Planilla_General_03-12-2012_9_3'!D2486,"AAAAADNs/VQ=")</f>
        <v>#VALUE!</v>
      </c>
      <c r="CH156" t="e">
        <f>AND('Planilla_General_03-12-2012_9_3'!E2486,"AAAAADNs/VU=")</f>
        <v>#VALUE!</v>
      </c>
      <c r="CI156" t="e">
        <f>AND('Planilla_General_03-12-2012_9_3'!F2486,"AAAAADNs/VY=")</f>
        <v>#VALUE!</v>
      </c>
      <c r="CJ156" t="e">
        <f>AND('Planilla_General_03-12-2012_9_3'!G2486,"AAAAADNs/Vc=")</f>
        <v>#VALUE!</v>
      </c>
      <c r="CK156" t="e">
        <f>AND('Planilla_General_03-12-2012_9_3'!H2486,"AAAAADNs/Vg=")</f>
        <v>#VALUE!</v>
      </c>
      <c r="CL156" t="e">
        <f>AND('Planilla_General_03-12-2012_9_3'!I2486,"AAAAADNs/Vk=")</f>
        <v>#VALUE!</v>
      </c>
      <c r="CM156" t="e">
        <f>AND('Planilla_General_03-12-2012_9_3'!J2486,"AAAAADNs/Vo=")</f>
        <v>#VALUE!</v>
      </c>
      <c r="CN156" t="e">
        <f>AND('Planilla_General_03-12-2012_9_3'!K2486,"AAAAADNs/Vs=")</f>
        <v>#VALUE!</v>
      </c>
      <c r="CO156" t="e">
        <f>AND('Planilla_General_03-12-2012_9_3'!L2486,"AAAAADNs/Vw=")</f>
        <v>#VALUE!</v>
      </c>
      <c r="CP156" t="e">
        <f>AND('Planilla_General_03-12-2012_9_3'!M2486,"AAAAADNs/V0=")</f>
        <v>#VALUE!</v>
      </c>
      <c r="CQ156" t="e">
        <f>AND('Planilla_General_03-12-2012_9_3'!N2486,"AAAAADNs/V4=")</f>
        <v>#VALUE!</v>
      </c>
      <c r="CR156" t="e">
        <f>AND('Planilla_General_03-12-2012_9_3'!O2486,"AAAAADNs/V8=")</f>
        <v>#VALUE!</v>
      </c>
      <c r="CS156">
        <f>IF('Planilla_General_03-12-2012_9_3'!2487:2487,"AAAAADNs/WA=",0)</f>
        <v>0</v>
      </c>
      <c r="CT156" t="e">
        <f>AND('Planilla_General_03-12-2012_9_3'!A2487,"AAAAADNs/WE=")</f>
        <v>#VALUE!</v>
      </c>
      <c r="CU156" t="e">
        <f>AND('Planilla_General_03-12-2012_9_3'!B2487,"AAAAADNs/WI=")</f>
        <v>#VALUE!</v>
      </c>
      <c r="CV156" t="e">
        <f>AND('Planilla_General_03-12-2012_9_3'!C2487,"AAAAADNs/WM=")</f>
        <v>#VALUE!</v>
      </c>
      <c r="CW156" t="e">
        <f>AND('Planilla_General_03-12-2012_9_3'!D2487,"AAAAADNs/WQ=")</f>
        <v>#VALUE!</v>
      </c>
      <c r="CX156" t="e">
        <f>AND('Planilla_General_03-12-2012_9_3'!E2487,"AAAAADNs/WU=")</f>
        <v>#VALUE!</v>
      </c>
      <c r="CY156" t="e">
        <f>AND('Planilla_General_03-12-2012_9_3'!F2487,"AAAAADNs/WY=")</f>
        <v>#VALUE!</v>
      </c>
      <c r="CZ156" t="e">
        <f>AND('Planilla_General_03-12-2012_9_3'!G2487,"AAAAADNs/Wc=")</f>
        <v>#VALUE!</v>
      </c>
      <c r="DA156" t="e">
        <f>AND('Planilla_General_03-12-2012_9_3'!H2487,"AAAAADNs/Wg=")</f>
        <v>#VALUE!</v>
      </c>
      <c r="DB156" t="e">
        <f>AND('Planilla_General_03-12-2012_9_3'!I2487,"AAAAADNs/Wk=")</f>
        <v>#VALUE!</v>
      </c>
      <c r="DC156" t="e">
        <f>AND('Planilla_General_03-12-2012_9_3'!J2487,"AAAAADNs/Wo=")</f>
        <v>#VALUE!</v>
      </c>
      <c r="DD156" t="e">
        <f>AND('Planilla_General_03-12-2012_9_3'!K2487,"AAAAADNs/Ws=")</f>
        <v>#VALUE!</v>
      </c>
      <c r="DE156" t="e">
        <f>AND('Planilla_General_03-12-2012_9_3'!L2487,"AAAAADNs/Ww=")</f>
        <v>#VALUE!</v>
      </c>
      <c r="DF156" t="e">
        <f>AND('Planilla_General_03-12-2012_9_3'!M2487,"AAAAADNs/W0=")</f>
        <v>#VALUE!</v>
      </c>
      <c r="DG156" t="e">
        <f>AND('Planilla_General_03-12-2012_9_3'!N2487,"AAAAADNs/W4=")</f>
        <v>#VALUE!</v>
      </c>
      <c r="DH156" t="e">
        <f>AND('Planilla_General_03-12-2012_9_3'!O2487,"AAAAADNs/W8=")</f>
        <v>#VALUE!</v>
      </c>
      <c r="DI156">
        <f>IF('Planilla_General_03-12-2012_9_3'!2488:2488,"AAAAADNs/XA=",0)</f>
        <v>0</v>
      </c>
      <c r="DJ156" t="e">
        <f>AND('Planilla_General_03-12-2012_9_3'!A2488,"AAAAADNs/XE=")</f>
        <v>#VALUE!</v>
      </c>
      <c r="DK156" t="e">
        <f>AND('Planilla_General_03-12-2012_9_3'!B2488,"AAAAADNs/XI=")</f>
        <v>#VALUE!</v>
      </c>
      <c r="DL156" t="e">
        <f>AND('Planilla_General_03-12-2012_9_3'!C2488,"AAAAADNs/XM=")</f>
        <v>#VALUE!</v>
      </c>
      <c r="DM156" t="e">
        <f>AND('Planilla_General_03-12-2012_9_3'!D2488,"AAAAADNs/XQ=")</f>
        <v>#VALUE!</v>
      </c>
      <c r="DN156" t="e">
        <f>AND('Planilla_General_03-12-2012_9_3'!E2488,"AAAAADNs/XU=")</f>
        <v>#VALUE!</v>
      </c>
      <c r="DO156" t="e">
        <f>AND('Planilla_General_03-12-2012_9_3'!F2488,"AAAAADNs/XY=")</f>
        <v>#VALUE!</v>
      </c>
      <c r="DP156" t="e">
        <f>AND('Planilla_General_03-12-2012_9_3'!G2488,"AAAAADNs/Xc=")</f>
        <v>#VALUE!</v>
      </c>
      <c r="DQ156" t="e">
        <f>AND('Planilla_General_03-12-2012_9_3'!H2488,"AAAAADNs/Xg=")</f>
        <v>#VALUE!</v>
      </c>
      <c r="DR156" t="e">
        <f>AND('Planilla_General_03-12-2012_9_3'!I2488,"AAAAADNs/Xk=")</f>
        <v>#VALUE!</v>
      </c>
      <c r="DS156" t="e">
        <f>AND('Planilla_General_03-12-2012_9_3'!J2488,"AAAAADNs/Xo=")</f>
        <v>#VALUE!</v>
      </c>
      <c r="DT156" t="e">
        <f>AND('Planilla_General_03-12-2012_9_3'!K2488,"AAAAADNs/Xs=")</f>
        <v>#VALUE!</v>
      </c>
      <c r="DU156" t="e">
        <f>AND('Planilla_General_03-12-2012_9_3'!L2488,"AAAAADNs/Xw=")</f>
        <v>#VALUE!</v>
      </c>
      <c r="DV156" t="e">
        <f>AND('Planilla_General_03-12-2012_9_3'!M2488,"AAAAADNs/X0=")</f>
        <v>#VALUE!</v>
      </c>
      <c r="DW156" t="e">
        <f>AND('Planilla_General_03-12-2012_9_3'!N2488,"AAAAADNs/X4=")</f>
        <v>#VALUE!</v>
      </c>
      <c r="DX156" t="e">
        <f>AND('Planilla_General_03-12-2012_9_3'!O2488,"AAAAADNs/X8=")</f>
        <v>#VALUE!</v>
      </c>
      <c r="DY156">
        <f>IF('Planilla_General_03-12-2012_9_3'!2489:2489,"AAAAADNs/YA=",0)</f>
        <v>0</v>
      </c>
      <c r="DZ156" t="e">
        <f>AND('Planilla_General_03-12-2012_9_3'!A2489,"AAAAADNs/YE=")</f>
        <v>#VALUE!</v>
      </c>
      <c r="EA156" t="e">
        <f>AND('Planilla_General_03-12-2012_9_3'!B2489,"AAAAADNs/YI=")</f>
        <v>#VALUE!</v>
      </c>
      <c r="EB156" t="e">
        <f>AND('Planilla_General_03-12-2012_9_3'!C2489,"AAAAADNs/YM=")</f>
        <v>#VALUE!</v>
      </c>
      <c r="EC156" t="e">
        <f>AND('Planilla_General_03-12-2012_9_3'!D2489,"AAAAADNs/YQ=")</f>
        <v>#VALUE!</v>
      </c>
      <c r="ED156" t="e">
        <f>AND('Planilla_General_03-12-2012_9_3'!E2489,"AAAAADNs/YU=")</f>
        <v>#VALUE!</v>
      </c>
      <c r="EE156" t="e">
        <f>AND('Planilla_General_03-12-2012_9_3'!F2489,"AAAAADNs/YY=")</f>
        <v>#VALUE!</v>
      </c>
      <c r="EF156" t="e">
        <f>AND('Planilla_General_03-12-2012_9_3'!G2489,"AAAAADNs/Yc=")</f>
        <v>#VALUE!</v>
      </c>
      <c r="EG156" t="e">
        <f>AND('Planilla_General_03-12-2012_9_3'!H2489,"AAAAADNs/Yg=")</f>
        <v>#VALUE!</v>
      </c>
      <c r="EH156" t="e">
        <f>AND('Planilla_General_03-12-2012_9_3'!I2489,"AAAAADNs/Yk=")</f>
        <v>#VALUE!</v>
      </c>
      <c r="EI156" t="e">
        <f>AND('Planilla_General_03-12-2012_9_3'!J2489,"AAAAADNs/Yo=")</f>
        <v>#VALUE!</v>
      </c>
      <c r="EJ156" t="e">
        <f>AND('Planilla_General_03-12-2012_9_3'!K2489,"AAAAADNs/Ys=")</f>
        <v>#VALUE!</v>
      </c>
      <c r="EK156" t="e">
        <f>AND('Planilla_General_03-12-2012_9_3'!L2489,"AAAAADNs/Yw=")</f>
        <v>#VALUE!</v>
      </c>
      <c r="EL156" t="e">
        <f>AND('Planilla_General_03-12-2012_9_3'!M2489,"AAAAADNs/Y0=")</f>
        <v>#VALUE!</v>
      </c>
      <c r="EM156" t="e">
        <f>AND('Planilla_General_03-12-2012_9_3'!N2489,"AAAAADNs/Y4=")</f>
        <v>#VALUE!</v>
      </c>
      <c r="EN156" t="e">
        <f>AND('Planilla_General_03-12-2012_9_3'!O2489,"AAAAADNs/Y8=")</f>
        <v>#VALUE!</v>
      </c>
      <c r="EO156">
        <f>IF('Planilla_General_03-12-2012_9_3'!2490:2490,"AAAAADNs/ZA=",0)</f>
        <v>0</v>
      </c>
      <c r="EP156" t="e">
        <f>AND('Planilla_General_03-12-2012_9_3'!A2490,"AAAAADNs/ZE=")</f>
        <v>#VALUE!</v>
      </c>
      <c r="EQ156" t="e">
        <f>AND('Planilla_General_03-12-2012_9_3'!B2490,"AAAAADNs/ZI=")</f>
        <v>#VALUE!</v>
      </c>
      <c r="ER156" t="e">
        <f>AND('Planilla_General_03-12-2012_9_3'!C2490,"AAAAADNs/ZM=")</f>
        <v>#VALUE!</v>
      </c>
      <c r="ES156" t="e">
        <f>AND('Planilla_General_03-12-2012_9_3'!D2490,"AAAAADNs/ZQ=")</f>
        <v>#VALUE!</v>
      </c>
      <c r="ET156" t="e">
        <f>AND('Planilla_General_03-12-2012_9_3'!E2490,"AAAAADNs/ZU=")</f>
        <v>#VALUE!</v>
      </c>
      <c r="EU156" t="e">
        <f>AND('Planilla_General_03-12-2012_9_3'!F2490,"AAAAADNs/ZY=")</f>
        <v>#VALUE!</v>
      </c>
      <c r="EV156" t="e">
        <f>AND('Planilla_General_03-12-2012_9_3'!G2490,"AAAAADNs/Zc=")</f>
        <v>#VALUE!</v>
      </c>
      <c r="EW156" t="e">
        <f>AND('Planilla_General_03-12-2012_9_3'!H2490,"AAAAADNs/Zg=")</f>
        <v>#VALUE!</v>
      </c>
      <c r="EX156" t="e">
        <f>AND('Planilla_General_03-12-2012_9_3'!I2490,"AAAAADNs/Zk=")</f>
        <v>#VALUE!</v>
      </c>
      <c r="EY156" t="e">
        <f>AND('Planilla_General_03-12-2012_9_3'!J2490,"AAAAADNs/Zo=")</f>
        <v>#VALUE!</v>
      </c>
      <c r="EZ156" t="e">
        <f>AND('Planilla_General_03-12-2012_9_3'!K2490,"AAAAADNs/Zs=")</f>
        <v>#VALUE!</v>
      </c>
      <c r="FA156" t="e">
        <f>AND('Planilla_General_03-12-2012_9_3'!L2490,"AAAAADNs/Zw=")</f>
        <v>#VALUE!</v>
      </c>
      <c r="FB156" t="e">
        <f>AND('Planilla_General_03-12-2012_9_3'!M2490,"AAAAADNs/Z0=")</f>
        <v>#VALUE!</v>
      </c>
      <c r="FC156" t="e">
        <f>AND('Planilla_General_03-12-2012_9_3'!N2490,"AAAAADNs/Z4=")</f>
        <v>#VALUE!</v>
      </c>
      <c r="FD156" t="e">
        <f>AND('Planilla_General_03-12-2012_9_3'!O2490,"AAAAADNs/Z8=")</f>
        <v>#VALUE!</v>
      </c>
      <c r="FE156">
        <f>IF('Planilla_General_03-12-2012_9_3'!2491:2491,"AAAAADNs/aA=",0)</f>
        <v>0</v>
      </c>
      <c r="FF156" t="e">
        <f>AND('Planilla_General_03-12-2012_9_3'!A2491,"AAAAADNs/aE=")</f>
        <v>#VALUE!</v>
      </c>
      <c r="FG156" t="e">
        <f>AND('Planilla_General_03-12-2012_9_3'!B2491,"AAAAADNs/aI=")</f>
        <v>#VALUE!</v>
      </c>
      <c r="FH156" t="e">
        <f>AND('Planilla_General_03-12-2012_9_3'!C2491,"AAAAADNs/aM=")</f>
        <v>#VALUE!</v>
      </c>
      <c r="FI156" t="e">
        <f>AND('Planilla_General_03-12-2012_9_3'!D2491,"AAAAADNs/aQ=")</f>
        <v>#VALUE!</v>
      </c>
      <c r="FJ156" t="e">
        <f>AND('Planilla_General_03-12-2012_9_3'!E2491,"AAAAADNs/aU=")</f>
        <v>#VALUE!</v>
      </c>
      <c r="FK156" t="e">
        <f>AND('Planilla_General_03-12-2012_9_3'!F2491,"AAAAADNs/aY=")</f>
        <v>#VALUE!</v>
      </c>
      <c r="FL156" t="e">
        <f>AND('Planilla_General_03-12-2012_9_3'!G2491,"AAAAADNs/ac=")</f>
        <v>#VALUE!</v>
      </c>
      <c r="FM156" t="e">
        <f>AND('Planilla_General_03-12-2012_9_3'!H2491,"AAAAADNs/ag=")</f>
        <v>#VALUE!</v>
      </c>
      <c r="FN156" t="e">
        <f>AND('Planilla_General_03-12-2012_9_3'!I2491,"AAAAADNs/ak=")</f>
        <v>#VALUE!</v>
      </c>
      <c r="FO156" t="e">
        <f>AND('Planilla_General_03-12-2012_9_3'!J2491,"AAAAADNs/ao=")</f>
        <v>#VALUE!</v>
      </c>
      <c r="FP156" t="e">
        <f>AND('Planilla_General_03-12-2012_9_3'!K2491,"AAAAADNs/as=")</f>
        <v>#VALUE!</v>
      </c>
      <c r="FQ156" t="e">
        <f>AND('Planilla_General_03-12-2012_9_3'!L2491,"AAAAADNs/aw=")</f>
        <v>#VALUE!</v>
      </c>
      <c r="FR156" t="e">
        <f>AND('Planilla_General_03-12-2012_9_3'!M2491,"AAAAADNs/a0=")</f>
        <v>#VALUE!</v>
      </c>
      <c r="FS156" t="e">
        <f>AND('Planilla_General_03-12-2012_9_3'!N2491,"AAAAADNs/a4=")</f>
        <v>#VALUE!</v>
      </c>
      <c r="FT156" t="e">
        <f>AND('Planilla_General_03-12-2012_9_3'!O2491,"AAAAADNs/a8=")</f>
        <v>#VALUE!</v>
      </c>
      <c r="FU156">
        <f>IF('Planilla_General_03-12-2012_9_3'!2492:2492,"AAAAADNs/bA=",0)</f>
        <v>0</v>
      </c>
      <c r="FV156" t="e">
        <f>AND('Planilla_General_03-12-2012_9_3'!A2492,"AAAAADNs/bE=")</f>
        <v>#VALUE!</v>
      </c>
      <c r="FW156" t="e">
        <f>AND('Planilla_General_03-12-2012_9_3'!B2492,"AAAAADNs/bI=")</f>
        <v>#VALUE!</v>
      </c>
      <c r="FX156" t="e">
        <f>AND('Planilla_General_03-12-2012_9_3'!C2492,"AAAAADNs/bM=")</f>
        <v>#VALUE!</v>
      </c>
      <c r="FY156" t="e">
        <f>AND('Planilla_General_03-12-2012_9_3'!D2492,"AAAAADNs/bQ=")</f>
        <v>#VALUE!</v>
      </c>
      <c r="FZ156" t="e">
        <f>AND('Planilla_General_03-12-2012_9_3'!E2492,"AAAAADNs/bU=")</f>
        <v>#VALUE!</v>
      </c>
      <c r="GA156" t="e">
        <f>AND('Planilla_General_03-12-2012_9_3'!F2492,"AAAAADNs/bY=")</f>
        <v>#VALUE!</v>
      </c>
      <c r="GB156" t="e">
        <f>AND('Planilla_General_03-12-2012_9_3'!G2492,"AAAAADNs/bc=")</f>
        <v>#VALUE!</v>
      </c>
      <c r="GC156" t="e">
        <f>AND('Planilla_General_03-12-2012_9_3'!H2492,"AAAAADNs/bg=")</f>
        <v>#VALUE!</v>
      </c>
      <c r="GD156" t="e">
        <f>AND('Planilla_General_03-12-2012_9_3'!I2492,"AAAAADNs/bk=")</f>
        <v>#VALUE!</v>
      </c>
      <c r="GE156" t="e">
        <f>AND('Planilla_General_03-12-2012_9_3'!J2492,"AAAAADNs/bo=")</f>
        <v>#VALUE!</v>
      </c>
      <c r="GF156" t="e">
        <f>AND('Planilla_General_03-12-2012_9_3'!K2492,"AAAAADNs/bs=")</f>
        <v>#VALUE!</v>
      </c>
      <c r="GG156" t="e">
        <f>AND('Planilla_General_03-12-2012_9_3'!L2492,"AAAAADNs/bw=")</f>
        <v>#VALUE!</v>
      </c>
      <c r="GH156" t="e">
        <f>AND('Planilla_General_03-12-2012_9_3'!M2492,"AAAAADNs/b0=")</f>
        <v>#VALUE!</v>
      </c>
      <c r="GI156" t="e">
        <f>AND('Planilla_General_03-12-2012_9_3'!N2492,"AAAAADNs/b4=")</f>
        <v>#VALUE!</v>
      </c>
      <c r="GJ156" t="e">
        <f>AND('Planilla_General_03-12-2012_9_3'!O2492,"AAAAADNs/b8=")</f>
        <v>#VALUE!</v>
      </c>
      <c r="GK156">
        <f>IF('Planilla_General_03-12-2012_9_3'!2493:2493,"AAAAADNs/cA=",0)</f>
        <v>0</v>
      </c>
      <c r="GL156" t="e">
        <f>AND('Planilla_General_03-12-2012_9_3'!A2493,"AAAAADNs/cE=")</f>
        <v>#VALUE!</v>
      </c>
      <c r="GM156" t="e">
        <f>AND('Planilla_General_03-12-2012_9_3'!B2493,"AAAAADNs/cI=")</f>
        <v>#VALUE!</v>
      </c>
      <c r="GN156" t="e">
        <f>AND('Planilla_General_03-12-2012_9_3'!C2493,"AAAAADNs/cM=")</f>
        <v>#VALUE!</v>
      </c>
      <c r="GO156" t="e">
        <f>AND('Planilla_General_03-12-2012_9_3'!D2493,"AAAAADNs/cQ=")</f>
        <v>#VALUE!</v>
      </c>
      <c r="GP156" t="e">
        <f>AND('Planilla_General_03-12-2012_9_3'!E2493,"AAAAADNs/cU=")</f>
        <v>#VALUE!</v>
      </c>
      <c r="GQ156" t="e">
        <f>AND('Planilla_General_03-12-2012_9_3'!F2493,"AAAAADNs/cY=")</f>
        <v>#VALUE!</v>
      </c>
      <c r="GR156" t="e">
        <f>AND('Planilla_General_03-12-2012_9_3'!G2493,"AAAAADNs/cc=")</f>
        <v>#VALUE!</v>
      </c>
      <c r="GS156" t="e">
        <f>AND('Planilla_General_03-12-2012_9_3'!H2493,"AAAAADNs/cg=")</f>
        <v>#VALUE!</v>
      </c>
      <c r="GT156" t="e">
        <f>AND('Planilla_General_03-12-2012_9_3'!I2493,"AAAAADNs/ck=")</f>
        <v>#VALUE!</v>
      </c>
      <c r="GU156" t="e">
        <f>AND('Planilla_General_03-12-2012_9_3'!J2493,"AAAAADNs/co=")</f>
        <v>#VALUE!</v>
      </c>
      <c r="GV156" t="e">
        <f>AND('Planilla_General_03-12-2012_9_3'!K2493,"AAAAADNs/cs=")</f>
        <v>#VALUE!</v>
      </c>
      <c r="GW156" t="e">
        <f>AND('Planilla_General_03-12-2012_9_3'!L2493,"AAAAADNs/cw=")</f>
        <v>#VALUE!</v>
      </c>
      <c r="GX156" t="e">
        <f>AND('Planilla_General_03-12-2012_9_3'!M2493,"AAAAADNs/c0=")</f>
        <v>#VALUE!</v>
      </c>
      <c r="GY156" t="e">
        <f>AND('Planilla_General_03-12-2012_9_3'!N2493,"AAAAADNs/c4=")</f>
        <v>#VALUE!</v>
      </c>
      <c r="GZ156" t="e">
        <f>AND('Planilla_General_03-12-2012_9_3'!O2493,"AAAAADNs/c8=")</f>
        <v>#VALUE!</v>
      </c>
      <c r="HA156">
        <f>IF('Planilla_General_03-12-2012_9_3'!2494:2494,"AAAAADNs/dA=",0)</f>
        <v>0</v>
      </c>
      <c r="HB156" t="e">
        <f>AND('Planilla_General_03-12-2012_9_3'!A2494,"AAAAADNs/dE=")</f>
        <v>#VALUE!</v>
      </c>
      <c r="HC156" t="e">
        <f>AND('Planilla_General_03-12-2012_9_3'!B2494,"AAAAADNs/dI=")</f>
        <v>#VALUE!</v>
      </c>
      <c r="HD156" t="e">
        <f>AND('Planilla_General_03-12-2012_9_3'!C2494,"AAAAADNs/dM=")</f>
        <v>#VALUE!</v>
      </c>
      <c r="HE156" t="e">
        <f>AND('Planilla_General_03-12-2012_9_3'!D2494,"AAAAADNs/dQ=")</f>
        <v>#VALUE!</v>
      </c>
      <c r="HF156" t="e">
        <f>AND('Planilla_General_03-12-2012_9_3'!E2494,"AAAAADNs/dU=")</f>
        <v>#VALUE!</v>
      </c>
      <c r="HG156" t="e">
        <f>AND('Planilla_General_03-12-2012_9_3'!F2494,"AAAAADNs/dY=")</f>
        <v>#VALUE!</v>
      </c>
      <c r="HH156" t="e">
        <f>AND('Planilla_General_03-12-2012_9_3'!G2494,"AAAAADNs/dc=")</f>
        <v>#VALUE!</v>
      </c>
      <c r="HI156" t="e">
        <f>AND('Planilla_General_03-12-2012_9_3'!H2494,"AAAAADNs/dg=")</f>
        <v>#VALUE!</v>
      </c>
      <c r="HJ156" t="e">
        <f>AND('Planilla_General_03-12-2012_9_3'!I2494,"AAAAADNs/dk=")</f>
        <v>#VALUE!</v>
      </c>
      <c r="HK156" t="e">
        <f>AND('Planilla_General_03-12-2012_9_3'!J2494,"AAAAADNs/do=")</f>
        <v>#VALUE!</v>
      </c>
      <c r="HL156" t="e">
        <f>AND('Planilla_General_03-12-2012_9_3'!K2494,"AAAAADNs/ds=")</f>
        <v>#VALUE!</v>
      </c>
      <c r="HM156" t="e">
        <f>AND('Planilla_General_03-12-2012_9_3'!L2494,"AAAAADNs/dw=")</f>
        <v>#VALUE!</v>
      </c>
      <c r="HN156" t="e">
        <f>AND('Planilla_General_03-12-2012_9_3'!M2494,"AAAAADNs/d0=")</f>
        <v>#VALUE!</v>
      </c>
      <c r="HO156" t="e">
        <f>AND('Planilla_General_03-12-2012_9_3'!N2494,"AAAAADNs/d4=")</f>
        <v>#VALUE!</v>
      </c>
      <c r="HP156" t="e">
        <f>AND('Planilla_General_03-12-2012_9_3'!O2494,"AAAAADNs/d8=")</f>
        <v>#VALUE!</v>
      </c>
      <c r="HQ156">
        <f>IF('Planilla_General_03-12-2012_9_3'!2495:2495,"AAAAADNs/eA=",0)</f>
        <v>0</v>
      </c>
      <c r="HR156" t="e">
        <f>AND('Planilla_General_03-12-2012_9_3'!A2495,"AAAAADNs/eE=")</f>
        <v>#VALUE!</v>
      </c>
      <c r="HS156" t="e">
        <f>AND('Planilla_General_03-12-2012_9_3'!B2495,"AAAAADNs/eI=")</f>
        <v>#VALUE!</v>
      </c>
      <c r="HT156" t="e">
        <f>AND('Planilla_General_03-12-2012_9_3'!C2495,"AAAAADNs/eM=")</f>
        <v>#VALUE!</v>
      </c>
      <c r="HU156" t="e">
        <f>AND('Planilla_General_03-12-2012_9_3'!D2495,"AAAAADNs/eQ=")</f>
        <v>#VALUE!</v>
      </c>
      <c r="HV156" t="e">
        <f>AND('Planilla_General_03-12-2012_9_3'!E2495,"AAAAADNs/eU=")</f>
        <v>#VALUE!</v>
      </c>
      <c r="HW156" t="e">
        <f>AND('Planilla_General_03-12-2012_9_3'!F2495,"AAAAADNs/eY=")</f>
        <v>#VALUE!</v>
      </c>
      <c r="HX156" t="e">
        <f>AND('Planilla_General_03-12-2012_9_3'!G2495,"AAAAADNs/ec=")</f>
        <v>#VALUE!</v>
      </c>
      <c r="HY156" t="e">
        <f>AND('Planilla_General_03-12-2012_9_3'!H2495,"AAAAADNs/eg=")</f>
        <v>#VALUE!</v>
      </c>
      <c r="HZ156" t="e">
        <f>AND('Planilla_General_03-12-2012_9_3'!I2495,"AAAAADNs/ek=")</f>
        <v>#VALUE!</v>
      </c>
      <c r="IA156" t="e">
        <f>AND('Planilla_General_03-12-2012_9_3'!J2495,"AAAAADNs/eo=")</f>
        <v>#VALUE!</v>
      </c>
      <c r="IB156" t="e">
        <f>AND('Planilla_General_03-12-2012_9_3'!K2495,"AAAAADNs/es=")</f>
        <v>#VALUE!</v>
      </c>
      <c r="IC156" t="e">
        <f>AND('Planilla_General_03-12-2012_9_3'!L2495,"AAAAADNs/ew=")</f>
        <v>#VALUE!</v>
      </c>
      <c r="ID156" t="e">
        <f>AND('Planilla_General_03-12-2012_9_3'!M2495,"AAAAADNs/e0=")</f>
        <v>#VALUE!</v>
      </c>
      <c r="IE156" t="e">
        <f>AND('Planilla_General_03-12-2012_9_3'!N2495,"AAAAADNs/e4=")</f>
        <v>#VALUE!</v>
      </c>
      <c r="IF156" t="e">
        <f>AND('Planilla_General_03-12-2012_9_3'!O2495,"AAAAADNs/e8=")</f>
        <v>#VALUE!</v>
      </c>
      <c r="IG156">
        <f>IF('Planilla_General_03-12-2012_9_3'!2496:2496,"AAAAADNs/fA=",0)</f>
        <v>0</v>
      </c>
      <c r="IH156" t="e">
        <f>AND('Planilla_General_03-12-2012_9_3'!A2496,"AAAAADNs/fE=")</f>
        <v>#VALUE!</v>
      </c>
      <c r="II156" t="e">
        <f>AND('Planilla_General_03-12-2012_9_3'!B2496,"AAAAADNs/fI=")</f>
        <v>#VALUE!</v>
      </c>
      <c r="IJ156" t="e">
        <f>AND('Planilla_General_03-12-2012_9_3'!C2496,"AAAAADNs/fM=")</f>
        <v>#VALUE!</v>
      </c>
      <c r="IK156" t="e">
        <f>AND('Planilla_General_03-12-2012_9_3'!D2496,"AAAAADNs/fQ=")</f>
        <v>#VALUE!</v>
      </c>
      <c r="IL156" t="e">
        <f>AND('Planilla_General_03-12-2012_9_3'!E2496,"AAAAADNs/fU=")</f>
        <v>#VALUE!</v>
      </c>
      <c r="IM156" t="e">
        <f>AND('Planilla_General_03-12-2012_9_3'!F2496,"AAAAADNs/fY=")</f>
        <v>#VALUE!</v>
      </c>
      <c r="IN156" t="e">
        <f>AND('Planilla_General_03-12-2012_9_3'!G2496,"AAAAADNs/fc=")</f>
        <v>#VALUE!</v>
      </c>
      <c r="IO156" t="e">
        <f>AND('Planilla_General_03-12-2012_9_3'!H2496,"AAAAADNs/fg=")</f>
        <v>#VALUE!</v>
      </c>
      <c r="IP156" t="e">
        <f>AND('Planilla_General_03-12-2012_9_3'!I2496,"AAAAADNs/fk=")</f>
        <v>#VALUE!</v>
      </c>
      <c r="IQ156" t="e">
        <f>AND('Planilla_General_03-12-2012_9_3'!J2496,"AAAAADNs/fo=")</f>
        <v>#VALUE!</v>
      </c>
      <c r="IR156" t="e">
        <f>AND('Planilla_General_03-12-2012_9_3'!K2496,"AAAAADNs/fs=")</f>
        <v>#VALUE!</v>
      </c>
      <c r="IS156" t="e">
        <f>AND('Planilla_General_03-12-2012_9_3'!L2496,"AAAAADNs/fw=")</f>
        <v>#VALUE!</v>
      </c>
      <c r="IT156" t="e">
        <f>AND('Planilla_General_03-12-2012_9_3'!M2496,"AAAAADNs/f0=")</f>
        <v>#VALUE!</v>
      </c>
      <c r="IU156" t="e">
        <f>AND('Planilla_General_03-12-2012_9_3'!N2496,"AAAAADNs/f4=")</f>
        <v>#VALUE!</v>
      </c>
      <c r="IV156" t="e">
        <f>AND('Planilla_General_03-12-2012_9_3'!O2496,"AAAAADNs/f8=")</f>
        <v>#VALUE!</v>
      </c>
    </row>
    <row r="157" spans="1:256" x14ac:dyDescent="0.25">
      <c r="A157" t="e">
        <f>IF('Planilla_General_03-12-2012_9_3'!2497:2497,"AAAAAHI3+QA=",0)</f>
        <v>#VALUE!</v>
      </c>
      <c r="B157" t="e">
        <f>AND('Planilla_General_03-12-2012_9_3'!A2497,"AAAAAHI3+QE=")</f>
        <v>#VALUE!</v>
      </c>
      <c r="C157" t="e">
        <f>AND('Planilla_General_03-12-2012_9_3'!B2497,"AAAAAHI3+QI=")</f>
        <v>#VALUE!</v>
      </c>
      <c r="D157" t="e">
        <f>AND('Planilla_General_03-12-2012_9_3'!C2497,"AAAAAHI3+QM=")</f>
        <v>#VALUE!</v>
      </c>
      <c r="E157" t="e">
        <f>AND('Planilla_General_03-12-2012_9_3'!D2497,"AAAAAHI3+QQ=")</f>
        <v>#VALUE!</v>
      </c>
      <c r="F157" t="e">
        <f>AND('Planilla_General_03-12-2012_9_3'!E2497,"AAAAAHI3+QU=")</f>
        <v>#VALUE!</v>
      </c>
      <c r="G157" t="e">
        <f>AND('Planilla_General_03-12-2012_9_3'!F2497,"AAAAAHI3+QY=")</f>
        <v>#VALUE!</v>
      </c>
      <c r="H157" t="e">
        <f>AND('Planilla_General_03-12-2012_9_3'!G2497,"AAAAAHI3+Qc=")</f>
        <v>#VALUE!</v>
      </c>
      <c r="I157" t="e">
        <f>AND('Planilla_General_03-12-2012_9_3'!H2497,"AAAAAHI3+Qg=")</f>
        <v>#VALUE!</v>
      </c>
      <c r="J157" t="e">
        <f>AND('Planilla_General_03-12-2012_9_3'!I2497,"AAAAAHI3+Qk=")</f>
        <v>#VALUE!</v>
      </c>
      <c r="K157" t="e">
        <f>AND('Planilla_General_03-12-2012_9_3'!J2497,"AAAAAHI3+Qo=")</f>
        <v>#VALUE!</v>
      </c>
      <c r="L157" t="e">
        <f>AND('Planilla_General_03-12-2012_9_3'!K2497,"AAAAAHI3+Qs=")</f>
        <v>#VALUE!</v>
      </c>
      <c r="M157" t="e">
        <f>AND('Planilla_General_03-12-2012_9_3'!L2497,"AAAAAHI3+Qw=")</f>
        <v>#VALUE!</v>
      </c>
      <c r="N157" t="e">
        <f>AND('Planilla_General_03-12-2012_9_3'!M2497,"AAAAAHI3+Q0=")</f>
        <v>#VALUE!</v>
      </c>
      <c r="O157" t="e">
        <f>AND('Planilla_General_03-12-2012_9_3'!N2497,"AAAAAHI3+Q4=")</f>
        <v>#VALUE!</v>
      </c>
      <c r="P157" t="e">
        <f>AND('Planilla_General_03-12-2012_9_3'!O2497,"AAAAAHI3+Q8=")</f>
        <v>#VALUE!</v>
      </c>
      <c r="Q157">
        <f>IF('Planilla_General_03-12-2012_9_3'!2498:2498,"AAAAAHI3+RA=",0)</f>
        <v>0</v>
      </c>
      <c r="R157" t="e">
        <f>AND('Planilla_General_03-12-2012_9_3'!A2498,"AAAAAHI3+RE=")</f>
        <v>#VALUE!</v>
      </c>
      <c r="S157" t="e">
        <f>AND('Planilla_General_03-12-2012_9_3'!B2498,"AAAAAHI3+RI=")</f>
        <v>#VALUE!</v>
      </c>
      <c r="T157" t="e">
        <f>AND('Planilla_General_03-12-2012_9_3'!C2498,"AAAAAHI3+RM=")</f>
        <v>#VALUE!</v>
      </c>
      <c r="U157" t="e">
        <f>AND('Planilla_General_03-12-2012_9_3'!D2498,"AAAAAHI3+RQ=")</f>
        <v>#VALUE!</v>
      </c>
      <c r="V157" t="e">
        <f>AND('Planilla_General_03-12-2012_9_3'!E2498,"AAAAAHI3+RU=")</f>
        <v>#VALUE!</v>
      </c>
      <c r="W157" t="e">
        <f>AND('Planilla_General_03-12-2012_9_3'!F2498,"AAAAAHI3+RY=")</f>
        <v>#VALUE!</v>
      </c>
      <c r="X157" t="e">
        <f>AND('Planilla_General_03-12-2012_9_3'!G2498,"AAAAAHI3+Rc=")</f>
        <v>#VALUE!</v>
      </c>
      <c r="Y157" t="e">
        <f>AND('Planilla_General_03-12-2012_9_3'!H2498,"AAAAAHI3+Rg=")</f>
        <v>#VALUE!</v>
      </c>
      <c r="Z157" t="e">
        <f>AND('Planilla_General_03-12-2012_9_3'!I2498,"AAAAAHI3+Rk=")</f>
        <v>#VALUE!</v>
      </c>
      <c r="AA157" t="e">
        <f>AND('Planilla_General_03-12-2012_9_3'!J2498,"AAAAAHI3+Ro=")</f>
        <v>#VALUE!</v>
      </c>
      <c r="AB157" t="e">
        <f>AND('Planilla_General_03-12-2012_9_3'!K2498,"AAAAAHI3+Rs=")</f>
        <v>#VALUE!</v>
      </c>
      <c r="AC157" t="e">
        <f>AND('Planilla_General_03-12-2012_9_3'!L2498,"AAAAAHI3+Rw=")</f>
        <v>#VALUE!</v>
      </c>
      <c r="AD157" t="e">
        <f>AND('Planilla_General_03-12-2012_9_3'!M2498,"AAAAAHI3+R0=")</f>
        <v>#VALUE!</v>
      </c>
      <c r="AE157" t="e">
        <f>AND('Planilla_General_03-12-2012_9_3'!N2498,"AAAAAHI3+R4=")</f>
        <v>#VALUE!</v>
      </c>
      <c r="AF157" t="e">
        <f>AND('Planilla_General_03-12-2012_9_3'!O2498,"AAAAAHI3+R8=")</f>
        <v>#VALUE!</v>
      </c>
      <c r="AG157">
        <f>IF('Planilla_General_03-12-2012_9_3'!2499:2499,"AAAAAHI3+SA=",0)</f>
        <v>0</v>
      </c>
      <c r="AH157" t="e">
        <f>AND('Planilla_General_03-12-2012_9_3'!A2499,"AAAAAHI3+SE=")</f>
        <v>#VALUE!</v>
      </c>
      <c r="AI157" t="e">
        <f>AND('Planilla_General_03-12-2012_9_3'!B2499,"AAAAAHI3+SI=")</f>
        <v>#VALUE!</v>
      </c>
      <c r="AJ157" t="e">
        <f>AND('Planilla_General_03-12-2012_9_3'!C2499,"AAAAAHI3+SM=")</f>
        <v>#VALUE!</v>
      </c>
      <c r="AK157" t="e">
        <f>AND('Planilla_General_03-12-2012_9_3'!D2499,"AAAAAHI3+SQ=")</f>
        <v>#VALUE!</v>
      </c>
      <c r="AL157" t="e">
        <f>AND('Planilla_General_03-12-2012_9_3'!E2499,"AAAAAHI3+SU=")</f>
        <v>#VALUE!</v>
      </c>
      <c r="AM157" t="e">
        <f>AND('Planilla_General_03-12-2012_9_3'!F2499,"AAAAAHI3+SY=")</f>
        <v>#VALUE!</v>
      </c>
      <c r="AN157" t="e">
        <f>AND('Planilla_General_03-12-2012_9_3'!G2499,"AAAAAHI3+Sc=")</f>
        <v>#VALUE!</v>
      </c>
      <c r="AO157" t="e">
        <f>AND('Planilla_General_03-12-2012_9_3'!H2499,"AAAAAHI3+Sg=")</f>
        <v>#VALUE!</v>
      </c>
      <c r="AP157" t="e">
        <f>AND('Planilla_General_03-12-2012_9_3'!I2499,"AAAAAHI3+Sk=")</f>
        <v>#VALUE!</v>
      </c>
      <c r="AQ157" t="e">
        <f>AND('Planilla_General_03-12-2012_9_3'!J2499,"AAAAAHI3+So=")</f>
        <v>#VALUE!</v>
      </c>
      <c r="AR157" t="e">
        <f>AND('Planilla_General_03-12-2012_9_3'!K2499,"AAAAAHI3+Ss=")</f>
        <v>#VALUE!</v>
      </c>
      <c r="AS157" t="e">
        <f>AND('Planilla_General_03-12-2012_9_3'!L2499,"AAAAAHI3+Sw=")</f>
        <v>#VALUE!</v>
      </c>
      <c r="AT157" t="e">
        <f>AND('Planilla_General_03-12-2012_9_3'!M2499,"AAAAAHI3+S0=")</f>
        <v>#VALUE!</v>
      </c>
      <c r="AU157" t="e">
        <f>AND('Planilla_General_03-12-2012_9_3'!N2499,"AAAAAHI3+S4=")</f>
        <v>#VALUE!</v>
      </c>
      <c r="AV157" t="e">
        <f>AND('Planilla_General_03-12-2012_9_3'!O2499,"AAAAAHI3+S8=")</f>
        <v>#VALUE!</v>
      </c>
      <c r="AW157">
        <f>IF('Planilla_General_03-12-2012_9_3'!2500:2500,"AAAAAHI3+TA=",0)</f>
        <v>0</v>
      </c>
      <c r="AX157" t="e">
        <f>AND('Planilla_General_03-12-2012_9_3'!A2500,"AAAAAHI3+TE=")</f>
        <v>#VALUE!</v>
      </c>
      <c r="AY157" t="e">
        <f>AND('Planilla_General_03-12-2012_9_3'!B2500,"AAAAAHI3+TI=")</f>
        <v>#VALUE!</v>
      </c>
      <c r="AZ157" t="e">
        <f>AND('Planilla_General_03-12-2012_9_3'!C2500,"AAAAAHI3+TM=")</f>
        <v>#VALUE!</v>
      </c>
      <c r="BA157" t="e">
        <f>AND('Planilla_General_03-12-2012_9_3'!D2500,"AAAAAHI3+TQ=")</f>
        <v>#VALUE!</v>
      </c>
      <c r="BB157" t="e">
        <f>AND('Planilla_General_03-12-2012_9_3'!E2500,"AAAAAHI3+TU=")</f>
        <v>#VALUE!</v>
      </c>
      <c r="BC157" t="e">
        <f>AND('Planilla_General_03-12-2012_9_3'!F2500,"AAAAAHI3+TY=")</f>
        <v>#VALUE!</v>
      </c>
      <c r="BD157" t="e">
        <f>AND('Planilla_General_03-12-2012_9_3'!G2500,"AAAAAHI3+Tc=")</f>
        <v>#VALUE!</v>
      </c>
      <c r="BE157" t="e">
        <f>AND('Planilla_General_03-12-2012_9_3'!H2500,"AAAAAHI3+Tg=")</f>
        <v>#VALUE!</v>
      </c>
      <c r="BF157" t="e">
        <f>AND('Planilla_General_03-12-2012_9_3'!I2500,"AAAAAHI3+Tk=")</f>
        <v>#VALUE!</v>
      </c>
      <c r="BG157" t="e">
        <f>AND('Planilla_General_03-12-2012_9_3'!J2500,"AAAAAHI3+To=")</f>
        <v>#VALUE!</v>
      </c>
      <c r="BH157" t="e">
        <f>AND('Planilla_General_03-12-2012_9_3'!K2500,"AAAAAHI3+Ts=")</f>
        <v>#VALUE!</v>
      </c>
      <c r="BI157" t="e">
        <f>AND('Planilla_General_03-12-2012_9_3'!L2500,"AAAAAHI3+Tw=")</f>
        <v>#VALUE!</v>
      </c>
      <c r="BJ157" t="e">
        <f>AND('Planilla_General_03-12-2012_9_3'!M2500,"AAAAAHI3+T0=")</f>
        <v>#VALUE!</v>
      </c>
      <c r="BK157" t="e">
        <f>AND('Planilla_General_03-12-2012_9_3'!N2500,"AAAAAHI3+T4=")</f>
        <v>#VALUE!</v>
      </c>
      <c r="BL157" t="e">
        <f>AND('Planilla_General_03-12-2012_9_3'!O2500,"AAAAAHI3+T8=")</f>
        <v>#VALUE!</v>
      </c>
      <c r="BM157">
        <f>IF('Planilla_General_03-12-2012_9_3'!2501:2501,"AAAAAHI3+UA=",0)</f>
        <v>0</v>
      </c>
      <c r="BN157" t="e">
        <f>AND('Planilla_General_03-12-2012_9_3'!A2501,"AAAAAHI3+UE=")</f>
        <v>#VALUE!</v>
      </c>
      <c r="BO157" t="e">
        <f>AND('Planilla_General_03-12-2012_9_3'!B2501,"AAAAAHI3+UI=")</f>
        <v>#VALUE!</v>
      </c>
      <c r="BP157" t="e">
        <f>AND('Planilla_General_03-12-2012_9_3'!C2501,"AAAAAHI3+UM=")</f>
        <v>#VALUE!</v>
      </c>
      <c r="BQ157" t="e">
        <f>AND('Planilla_General_03-12-2012_9_3'!D2501,"AAAAAHI3+UQ=")</f>
        <v>#VALUE!</v>
      </c>
      <c r="BR157" t="e">
        <f>AND('Planilla_General_03-12-2012_9_3'!E2501,"AAAAAHI3+UU=")</f>
        <v>#VALUE!</v>
      </c>
      <c r="BS157" t="e">
        <f>AND('Planilla_General_03-12-2012_9_3'!F2501,"AAAAAHI3+UY=")</f>
        <v>#VALUE!</v>
      </c>
      <c r="BT157" t="e">
        <f>AND('Planilla_General_03-12-2012_9_3'!G2501,"AAAAAHI3+Uc=")</f>
        <v>#VALUE!</v>
      </c>
      <c r="BU157" t="e">
        <f>AND('Planilla_General_03-12-2012_9_3'!H2501,"AAAAAHI3+Ug=")</f>
        <v>#VALUE!</v>
      </c>
      <c r="BV157" t="e">
        <f>AND('Planilla_General_03-12-2012_9_3'!I2501,"AAAAAHI3+Uk=")</f>
        <v>#VALUE!</v>
      </c>
      <c r="BW157" t="e">
        <f>AND('Planilla_General_03-12-2012_9_3'!J2501,"AAAAAHI3+Uo=")</f>
        <v>#VALUE!</v>
      </c>
      <c r="BX157" t="e">
        <f>AND('Planilla_General_03-12-2012_9_3'!K2501,"AAAAAHI3+Us=")</f>
        <v>#VALUE!</v>
      </c>
      <c r="BY157" t="e">
        <f>AND('Planilla_General_03-12-2012_9_3'!L2501,"AAAAAHI3+Uw=")</f>
        <v>#VALUE!</v>
      </c>
      <c r="BZ157" t="e">
        <f>AND('Planilla_General_03-12-2012_9_3'!M2501,"AAAAAHI3+U0=")</f>
        <v>#VALUE!</v>
      </c>
      <c r="CA157" t="e">
        <f>AND('Planilla_General_03-12-2012_9_3'!N2501,"AAAAAHI3+U4=")</f>
        <v>#VALUE!</v>
      </c>
      <c r="CB157" t="e">
        <f>AND('Planilla_General_03-12-2012_9_3'!O2501,"AAAAAHI3+U8=")</f>
        <v>#VALUE!</v>
      </c>
      <c r="CC157">
        <f>IF('Planilla_General_03-12-2012_9_3'!2502:2502,"AAAAAHI3+VA=",0)</f>
        <v>0</v>
      </c>
      <c r="CD157" t="e">
        <f>AND('Planilla_General_03-12-2012_9_3'!A2502,"AAAAAHI3+VE=")</f>
        <v>#VALUE!</v>
      </c>
      <c r="CE157" t="e">
        <f>AND('Planilla_General_03-12-2012_9_3'!B2502,"AAAAAHI3+VI=")</f>
        <v>#VALUE!</v>
      </c>
      <c r="CF157" t="e">
        <f>AND('Planilla_General_03-12-2012_9_3'!C2502,"AAAAAHI3+VM=")</f>
        <v>#VALUE!</v>
      </c>
      <c r="CG157" t="e">
        <f>AND('Planilla_General_03-12-2012_9_3'!D2502,"AAAAAHI3+VQ=")</f>
        <v>#VALUE!</v>
      </c>
      <c r="CH157" t="e">
        <f>AND('Planilla_General_03-12-2012_9_3'!E2502,"AAAAAHI3+VU=")</f>
        <v>#VALUE!</v>
      </c>
      <c r="CI157" t="e">
        <f>AND('Planilla_General_03-12-2012_9_3'!F2502,"AAAAAHI3+VY=")</f>
        <v>#VALUE!</v>
      </c>
      <c r="CJ157" t="e">
        <f>AND('Planilla_General_03-12-2012_9_3'!G2502,"AAAAAHI3+Vc=")</f>
        <v>#VALUE!</v>
      </c>
      <c r="CK157" t="e">
        <f>AND('Planilla_General_03-12-2012_9_3'!H2502,"AAAAAHI3+Vg=")</f>
        <v>#VALUE!</v>
      </c>
      <c r="CL157" t="e">
        <f>AND('Planilla_General_03-12-2012_9_3'!I2502,"AAAAAHI3+Vk=")</f>
        <v>#VALUE!</v>
      </c>
      <c r="CM157" t="e">
        <f>AND('Planilla_General_03-12-2012_9_3'!J2502,"AAAAAHI3+Vo=")</f>
        <v>#VALUE!</v>
      </c>
      <c r="CN157" t="e">
        <f>AND('Planilla_General_03-12-2012_9_3'!K2502,"AAAAAHI3+Vs=")</f>
        <v>#VALUE!</v>
      </c>
      <c r="CO157" t="e">
        <f>AND('Planilla_General_03-12-2012_9_3'!L2502,"AAAAAHI3+Vw=")</f>
        <v>#VALUE!</v>
      </c>
      <c r="CP157" t="e">
        <f>AND('Planilla_General_03-12-2012_9_3'!M2502,"AAAAAHI3+V0=")</f>
        <v>#VALUE!</v>
      </c>
      <c r="CQ157" t="e">
        <f>AND('Planilla_General_03-12-2012_9_3'!N2502,"AAAAAHI3+V4=")</f>
        <v>#VALUE!</v>
      </c>
      <c r="CR157" t="e">
        <f>AND('Planilla_General_03-12-2012_9_3'!O2502,"AAAAAHI3+V8=")</f>
        <v>#VALUE!</v>
      </c>
      <c r="CS157">
        <f>IF('Planilla_General_03-12-2012_9_3'!2503:2503,"AAAAAHI3+WA=",0)</f>
        <v>0</v>
      </c>
      <c r="CT157" t="e">
        <f>AND('Planilla_General_03-12-2012_9_3'!A2503,"AAAAAHI3+WE=")</f>
        <v>#VALUE!</v>
      </c>
      <c r="CU157" t="e">
        <f>AND('Planilla_General_03-12-2012_9_3'!B2503,"AAAAAHI3+WI=")</f>
        <v>#VALUE!</v>
      </c>
      <c r="CV157" t="e">
        <f>AND('Planilla_General_03-12-2012_9_3'!C2503,"AAAAAHI3+WM=")</f>
        <v>#VALUE!</v>
      </c>
      <c r="CW157" t="e">
        <f>AND('Planilla_General_03-12-2012_9_3'!D2503,"AAAAAHI3+WQ=")</f>
        <v>#VALUE!</v>
      </c>
      <c r="CX157" t="e">
        <f>AND('Planilla_General_03-12-2012_9_3'!E2503,"AAAAAHI3+WU=")</f>
        <v>#VALUE!</v>
      </c>
      <c r="CY157" t="e">
        <f>AND('Planilla_General_03-12-2012_9_3'!F2503,"AAAAAHI3+WY=")</f>
        <v>#VALUE!</v>
      </c>
      <c r="CZ157" t="e">
        <f>AND('Planilla_General_03-12-2012_9_3'!G2503,"AAAAAHI3+Wc=")</f>
        <v>#VALUE!</v>
      </c>
      <c r="DA157" t="e">
        <f>AND('Planilla_General_03-12-2012_9_3'!H2503,"AAAAAHI3+Wg=")</f>
        <v>#VALUE!</v>
      </c>
      <c r="DB157" t="e">
        <f>AND('Planilla_General_03-12-2012_9_3'!I2503,"AAAAAHI3+Wk=")</f>
        <v>#VALUE!</v>
      </c>
      <c r="DC157" t="e">
        <f>AND('Planilla_General_03-12-2012_9_3'!J2503,"AAAAAHI3+Wo=")</f>
        <v>#VALUE!</v>
      </c>
      <c r="DD157" t="e">
        <f>AND('Planilla_General_03-12-2012_9_3'!K2503,"AAAAAHI3+Ws=")</f>
        <v>#VALUE!</v>
      </c>
      <c r="DE157" t="e">
        <f>AND('Planilla_General_03-12-2012_9_3'!L2503,"AAAAAHI3+Ww=")</f>
        <v>#VALUE!</v>
      </c>
      <c r="DF157" t="e">
        <f>AND('Planilla_General_03-12-2012_9_3'!M2503,"AAAAAHI3+W0=")</f>
        <v>#VALUE!</v>
      </c>
      <c r="DG157" t="e">
        <f>AND('Planilla_General_03-12-2012_9_3'!N2503,"AAAAAHI3+W4=")</f>
        <v>#VALUE!</v>
      </c>
      <c r="DH157" t="e">
        <f>AND('Planilla_General_03-12-2012_9_3'!O2503,"AAAAAHI3+W8=")</f>
        <v>#VALUE!</v>
      </c>
      <c r="DI157">
        <f>IF('Planilla_General_03-12-2012_9_3'!2504:2504,"AAAAAHI3+XA=",0)</f>
        <v>0</v>
      </c>
      <c r="DJ157" t="e">
        <f>AND('Planilla_General_03-12-2012_9_3'!A2504,"AAAAAHI3+XE=")</f>
        <v>#VALUE!</v>
      </c>
      <c r="DK157" t="e">
        <f>AND('Planilla_General_03-12-2012_9_3'!B2504,"AAAAAHI3+XI=")</f>
        <v>#VALUE!</v>
      </c>
      <c r="DL157" t="e">
        <f>AND('Planilla_General_03-12-2012_9_3'!C2504,"AAAAAHI3+XM=")</f>
        <v>#VALUE!</v>
      </c>
      <c r="DM157" t="e">
        <f>AND('Planilla_General_03-12-2012_9_3'!D2504,"AAAAAHI3+XQ=")</f>
        <v>#VALUE!</v>
      </c>
      <c r="DN157" t="e">
        <f>AND('Planilla_General_03-12-2012_9_3'!E2504,"AAAAAHI3+XU=")</f>
        <v>#VALUE!</v>
      </c>
      <c r="DO157" t="e">
        <f>AND('Planilla_General_03-12-2012_9_3'!F2504,"AAAAAHI3+XY=")</f>
        <v>#VALUE!</v>
      </c>
      <c r="DP157" t="e">
        <f>AND('Planilla_General_03-12-2012_9_3'!G2504,"AAAAAHI3+Xc=")</f>
        <v>#VALUE!</v>
      </c>
      <c r="DQ157" t="e">
        <f>AND('Planilla_General_03-12-2012_9_3'!H2504,"AAAAAHI3+Xg=")</f>
        <v>#VALUE!</v>
      </c>
      <c r="DR157" t="e">
        <f>AND('Planilla_General_03-12-2012_9_3'!I2504,"AAAAAHI3+Xk=")</f>
        <v>#VALUE!</v>
      </c>
      <c r="DS157" t="e">
        <f>AND('Planilla_General_03-12-2012_9_3'!J2504,"AAAAAHI3+Xo=")</f>
        <v>#VALUE!</v>
      </c>
      <c r="DT157" t="e">
        <f>AND('Planilla_General_03-12-2012_9_3'!K2504,"AAAAAHI3+Xs=")</f>
        <v>#VALUE!</v>
      </c>
      <c r="DU157" t="e">
        <f>AND('Planilla_General_03-12-2012_9_3'!L2504,"AAAAAHI3+Xw=")</f>
        <v>#VALUE!</v>
      </c>
      <c r="DV157" t="e">
        <f>AND('Planilla_General_03-12-2012_9_3'!M2504,"AAAAAHI3+X0=")</f>
        <v>#VALUE!</v>
      </c>
      <c r="DW157" t="e">
        <f>AND('Planilla_General_03-12-2012_9_3'!N2504,"AAAAAHI3+X4=")</f>
        <v>#VALUE!</v>
      </c>
      <c r="DX157" t="e">
        <f>AND('Planilla_General_03-12-2012_9_3'!O2504,"AAAAAHI3+X8=")</f>
        <v>#VALUE!</v>
      </c>
      <c r="DY157">
        <f>IF('Planilla_General_03-12-2012_9_3'!2505:2505,"AAAAAHI3+YA=",0)</f>
        <v>0</v>
      </c>
      <c r="DZ157" t="e">
        <f>AND('Planilla_General_03-12-2012_9_3'!A2505,"AAAAAHI3+YE=")</f>
        <v>#VALUE!</v>
      </c>
      <c r="EA157" t="e">
        <f>AND('Planilla_General_03-12-2012_9_3'!B2505,"AAAAAHI3+YI=")</f>
        <v>#VALUE!</v>
      </c>
      <c r="EB157" t="e">
        <f>AND('Planilla_General_03-12-2012_9_3'!C2505,"AAAAAHI3+YM=")</f>
        <v>#VALUE!</v>
      </c>
      <c r="EC157" t="e">
        <f>AND('Planilla_General_03-12-2012_9_3'!D2505,"AAAAAHI3+YQ=")</f>
        <v>#VALUE!</v>
      </c>
      <c r="ED157" t="e">
        <f>AND('Planilla_General_03-12-2012_9_3'!E2505,"AAAAAHI3+YU=")</f>
        <v>#VALUE!</v>
      </c>
      <c r="EE157" t="e">
        <f>AND('Planilla_General_03-12-2012_9_3'!F2505,"AAAAAHI3+YY=")</f>
        <v>#VALUE!</v>
      </c>
      <c r="EF157" t="e">
        <f>AND('Planilla_General_03-12-2012_9_3'!G2505,"AAAAAHI3+Yc=")</f>
        <v>#VALUE!</v>
      </c>
      <c r="EG157" t="e">
        <f>AND('Planilla_General_03-12-2012_9_3'!H2505,"AAAAAHI3+Yg=")</f>
        <v>#VALUE!</v>
      </c>
      <c r="EH157" t="e">
        <f>AND('Planilla_General_03-12-2012_9_3'!I2505,"AAAAAHI3+Yk=")</f>
        <v>#VALUE!</v>
      </c>
      <c r="EI157" t="e">
        <f>AND('Planilla_General_03-12-2012_9_3'!J2505,"AAAAAHI3+Yo=")</f>
        <v>#VALUE!</v>
      </c>
      <c r="EJ157" t="e">
        <f>AND('Planilla_General_03-12-2012_9_3'!K2505,"AAAAAHI3+Ys=")</f>
        <v>#VALUE!</v>
      </c>
      <c r="EK157" t="e">
        <f>AND('Planilla_General_03-12-2012_9_3'!L2505,"AAAAAHI3+Yw=")</f>
        <v>#VALUE!</v>
      </c>
      <c r="EL157" t="e">
        <f>AND('Planilla_General_03-12-2012_9_3'!M2505,"AAAAAHI3+Y0=")</f>
        <v>#VALUE!</v>
      </c>
      <c r="EM157" t="e">
        <f>AND('Planilla_General_03-12-2012_9_3'!N2505,"AAAAAHI3+Y4=")</f>
        <v>#VALUE!</v>
      </c>
      <c r="EN157" t="e">
        <f>AND('Planilla_General_03-12-2012_9_3'!O2505,"AAAAAHI3+Y8=")</f>
        <v>#VALUE!</v>
      </c>
      <c r="EO157">
        <f>IF('Planilla_General_03-12-2012_9_3'!2506:2506,"AAAAAHI3+ZA=",0)</f>
        <v>0</v>
      </c>
      <c r="EP157" t="e">
        <f>AND('Planilla_General_03-12-2012_9_3'!A2506,"AAAAAHI3+ZE=")</f>
        <v>#VALUE!</v>
      </c>
      <c r="EQ157" t="e">
        <f>AND('Planilla_General_03-12-2012_9_3'!B2506,"AAAAAHI3+ZI=")</f>
        <v>#VALUE!</v>
      </c>
      <c r="ER157" t="e">
        <f>AND('Planilla_General_03-12-2012_9_3'!C2506,"AAAAAHI3+ZM=")</f>
        <v>#VALUE!</v>
      </c>
      <c r="ES157" t="e">
        <f>AND('Planilla_General_03-12-2012_9_3'!D2506,"AAAAAHI3+ZQ=")</f>
        <v>#VALUE!</v>
      </c>
      <c r="ET157" t="e">
        <f>AND('Planilla_General_03-12-2012_9_3'!E2506,"AAAAAHI3+ZU=")</f>
        <v>#VALUE!</v>
      </c>
      <c r="EU157" t="e">
        <f>AND('Planilla_General_03-12-2012_9_3'!F2506,"AAAAAHI3+ZY=")</f>
        <v>#VALUE!</v>
      </c>
      <c r="EV157" t="e">
        <f>AND('Planilla_General_03-12-2012_9_3'!G2506,"AAAAAHI3+Zc=")</f>
        <v>#VALUE!</v>
      </c>
      <c r="EW157" t="e">
        <f>AND('Planilla_General_03-12-2012_9_3'!H2506,"AAAAAHI3+Zg=")</f>
        <v>#VALUE!</v>
      </c>
      <c r="EX157" t="e">
        <f>AND('Planilla_General_03-12-2012_9_3'!I2506,"AAAAAHI3+Zk=")</f>
        <v>#VALUE!</v>
      </c>
      <c r="EY157" t="e">
        <f>AND('Planilla_General_03-12-2012_9_3'!J2506,"AAAAAHI3+Zo=")</f>
        <v>#VALUE!</v>
      </c>
      <c r="EZ157" t="e">
        <f>AND('Planilla_General_03-12-2012_9_3'!K2506,"AAAAAHI3+Zs=")</f>
        <v>#VALUE!</v>
      </c>
      <c r="FA157" t="e">
        <f>AND('Planilla_General_03-12-2012_9_3'!L2506,"AAAAAHI3+Zw=")</f>
        <v>#VALUE!</v>
      </c>
      <c r="FB157" t="e">
        <f>AND('Planilla_General_03-12-2012_9_3'!M2506,"AAAAAHI3+Z0=")</f>
        <v>#VALUE!</v>
      </c>
      <c r="FC157" t="e">
        <f>AND('Planilla_General_03-12-2012_9_3'!N2506,"AAAAAHI3+Z4=")</f>
        <v>#VALUE!</v>
      </c>
      <c r="FD157" t="e">
        <f>AND('Planilla_General_03-12-2012_9_3'!O2506,"AAAAAHI3+Z8=")</f>
        <v>#VALUE!</v>
      </c>
      <c r="FE157">
        <f>IF('Planilla_General_03-12-2012_9_3'!2507:2507,"AAAAAHI3+aA=",0)</f>
        <v>0</v>
      </c>
      <c r="FF157" t="e">
        <f>AND('Planilla_General_03-12-2012_9_3'!A2507,"AAAAAHI3+aE=")</f>
        <v>#VALUE!</v>
      </c>
      <c r="FG157" t="e">
        <f>AND('Planilla_General_03-12-2012_9_3'!B2507,"AAAAAHI3+aI=")</f>
        <v>#VALUE!</v>
      </c>
      <c r="FH157" t="e">
        <f>AND('Planilla_General_03-12-2012_9_3'!C2507,"AAAAAHI3+aM=")</f>
        <v>#VALUE!</v>
      </c>
      <c r="FI157" t="e">
        <f>AND('Planilla_General_03-12-2012_9_3'!D2507,"AAAAAHI3+aQ=")</f>
        <v>#VALUE!</v>
      </c>
      <c r="FJ157" t="e">
        <f>AND('Planilla_General_03-12-2012_9_3'!E2507,"AAAAAHI3+aU=")</f>
        <v>#VALUE!</v>
      </c>
      <c r="FK157" t="e">
        <f>AND('Planilla_General_03-12-2012_9_3'!F2507,"AAAAAHI3+aY=")</f>
        <v>#VALUE!</v>
      </c>
      <c r="FL157" t="e">
        <f>AND('Planilla_General_03-12-2012_9_3'!G2507,"AAAAAHI3+ac=")</f>
        <v>#VALUE!</v>
      </c>
      <c r="FM157" t="e">
        <f>AND('Planilla_General_03-12-2012_9_3'!H2507,"AAAAAHI3+ag=")</f>
        <v>#VALUE!</v>
      </c>
      <c r="FN157" t="e">
        <f>AND('Planilla_General_03-12-2012_9_3'!I2507,"AAAAAHI3+ak=")</f>
        <v>#VALUE!</v>
      </c>
      <c r="FO157" t="e">
        <f>AND('Planilla_General_03-12-2012_9_3'!J2507,"AAAAAHI3+ao=")</f>
        <v>#VALUE!</v>
      </c>
      <c r="FP157" t="e">
        <f>AND('Planilla_General_03-12-2012_9_3'!K2507,"AAAAAHI3+as=")</f>
        <v>#VALUE!</v>
      </c>
      <c r="FQ157" t="e">
        <f>AND('Planilla_General_03-12-2012_9_3'!L2507,"AAAAAHI3+aw=")</f>
        <v>#VALUE!</v>
      </c>
      <c r="FR157" t="e">
        <f>AND('Planilla_General_03-12-2012_9_3'!M2507,"AAAAAHI3+a0=")</f>
        <v>#VALUE!</v>
      </c>
      <c r="FS157" t="e">
        <f>AND('Planilla_General_03-12-2012_9_3'!N2507,"AAAAAHI3+a4=")</f>
        <v>#VALUE!</v>
      </c>
      <c r="FT157" t="e">
        <f>AND('Planilla_General_03-12-2012_9_3'!O2507,"AAAAAHI3+a8=")</f>
        <v>#VALUE!</v>
      </c>
      <c r="FU157">
        <f>IF('Planilla_General_03-12-2012_9_3'!2508:2508,"AAAAAHI3+bA=",0)</f>
        <v>0</v>
      </c>
      <c r="FV157" t="e">
        <f>AND('Planilla_General_03-12-2012_9_3'!A2508,"AAAAAHI3+bE=")</f>
        <v>#VALUE!</v>
      </c>
      <c r="FW157" t="e">
        <f>AND('Planilla_General_03-12-2012_9_3'!B2508,"AAAAAHI3+bI=")</f>
        <v>#VALUE!</v>
      </c>
      <c r="FX157" t="e">
        <f>AND('Planilla_General_03-12-2012_9_3'!C2508,"AAAAAHI3+bM=")</f>
        <v>#VALUE!</v>
      </c>
      <c r="FY157" t="e">
        <f>AND('Planilla_General_03-12-2012_9_3'!D2508,"AAAAAHI3+bQ=")</f>
        <v>#VALUE!</v>
      </c>
      <c r="FZ157" t="e">
        <f>AND('Planilla_General_03-12-2012_9_3'!E2508,"AAAAAHI3+bU=")</f>
        <v>#VALUE!</v>
      </c>
      <c r="GA157" t="e">
        <f>AND('Planilla_General_03-12-2012_9_3'!F2508,"AAAAAHI3+bY=")</f>
        <v>#VALUE!</v>
      </c>
      <c r="GB157" t="e">
        <f>AND('Planilla_General_03-12-2012_9_3'!G2508,"AAAAAHI3+bc=")</f>
        <v>#VALUE!</v>
      </c>
      <c r="GC157" t="e">
        <f>AND('Planilla_General_03-12-2012_9_3'!H2508,"AAAAAHI3+bg=")</f>
        <v>#VALUE!</v>
      </c>
      <c r="GD157" t="e">
        <f>AND('Planilla_General_03-12-2012_9_3'!I2508,"AAAAAHI3+bk=")</f>
        <v>#VALUE!</v>
      </c>
      <c r="GE157" t="e">
        <f>AND('Planilla_General_03-12-2012_9_3'!J2508,"AAAAAHI3+bo=")</f>
        <v>#VALUE!</v>
      </c>
      <c r="GF157" t="e">
        <f>AND('Planilla_General_03-12-2012_9_3'!K2508,"AAAAAHI3+bs=")</f>
        <v>#VALUE!</v>
      </c>
      <c r="GG157" t="e">
        <f>AND('Planilla_General_03-12-2012_9_3'!L2508,"AAAAAHI3+bw=")</f>
        <v>#VALUE!</v>
      </c>
      <c r="GH157" t="e">
        <f>AND('Planilla_General_03-12-2012_9_3'!M2508,"AAAAAHI3+b0=")</f>
        <v>#VALUE!</v>
      </c>
      <c r="GI157" t="e">
        <f>AND('Planilla_General_03-12-2012_9_3'!N2508,"AAAAAHI3+b4=")</f>
        <v>#VALUE!</v>
      </c>
      <c r="GJ157" t="e">
        <f>AND('Planilla_General_03-12-2012_9_3'!O2508,"AAAAAHI3+b8=")</f>
        <v>#VALUE!</v>
      </c>
      <c r="GK157">
        <f>IF('Planilla_General_03-12-2012_9_3'!2509:2509,"AAAAAHI3+cA=",0)</f>
        <v>0</v>
      </c>
      <c r="GL157" t="e">
        <f>AND('Planilla_General_03-12-2012_9_3'!A2509,"AAAAAHI3+cE=")</f>
        <v>#VALUE!</v>
      </c>
      <c r="GM157" t="e">
        <f>AND('Planilla_General_03-12-2012_9_3'!B2509,"AAAAAHI3+cI=")</f>
        <v>#VALUE!</v>
      </c>
      <c r="GN157" t="e">
        <f>AND('Planilla_General_03-12-2012_9_3'!C2509,"AAAAAHI3+cM=")</f>
        <v>#VALUE!</v>
      </c>
      <c r="GO157" t="e">
        <f>AND('Planilla_General_03-12-2012_9_3'!D2509,"AAAAAHI3+cQ=")</f>
        <v>#VALUE!</v>
      </c>
      <c r="GP157" t="e">
        <f>AND('Planilla_General_03-12-2012_9_3'!E2509,"AAAAAHI3+cU=")</f>
        <v>#VALUE!</v>
      </c>
      <c r="GQ157" t="e">
        <f>AND('Planilla_General_03-12-2012_9_3'!F2509,"AAAAAHI3+cY=")</f>
        <v>#VALUE!</v>
      </c>
      <c r="GR157" t="e">
        <f>AND('Planilla_General_03-12-2012_9_3'!G2509,"AAAAAHI3+cc=")</f>
        <v>#VALUE!</v>
      </c>
      <c r="GS157" t="e">
        <f>AND('Planilla_General_03-12-2012_9_3'!H2509,"AAAAAHI3+cg=")</f>
        <v>#VALUE!</v>
      </c>
      <c r="GT157" t="e">
        <f>AND('Planilla_General_03-12-2012_9_3'!I2509,"AAAAAHI3+ck=")</f>
        <v>#VALUE!</v>
      </c>
      <c r="GU157" t="e">
        <f>AND('Planilla_General_03-12-2012_9_3'!J2509,"AAAAAHI3+co=")</f>
        <v>#VALUE!</v>
      </c>
      <c r="GV157" t="e">
        <f>AND('Planilla_General_03-12-2012_9_3'!K2509,"AAAAAHI3+cs=")</f>
        <v>#VALUE!</v>
      </c>
      <c r="GW157" t="e">
        <f>AND('Planilla_General_03-12-2012_9_3'!L2509,"AAAAAHI3+cw=")</f>
        <v>#VALUE!</v>
      </c>
      <c r="GX157" t="e">
        <f>AND('Planilla_General_03-12-2012_9_3'!M2509,"AAAAAHI3+c0=")</f>
        <v>#VALUE!</v>
      </c>
      <c r="GY157" t="e">
        <f>AND('Planilla_General_03-12-2012_9_3'!N2509,"AAAAAHI3+c4=")</f>
        <v>#VALUE!</v>
      </c>
      <c r="GZ157" t="e">
        <f>AND('Planilla_General_03-12-2012_9_3'!O2509,"AAAAAHI3+c8=")</f>
        <v>#VALUE!</v>
      </c>
      <c r="HA157">
        <f>IF('Planilla_General_03-12-2012_9_3'!2510:2510,"AAAAAHI3+dA=",0)</f>
        <v>0</v>
      </c>
      <c r="HB157" t="e">
        <f>AND('Planilla_General_03-12-2012_9_3'!A2510,"AAAAAHI3+dE=")</f>
        <v>#VALUE!</v>
      </c>
      <c r="HC157" t="e">
        <f>AND('Planilla_General_03-12-2012_9_3'!B2510,"AAAAAHI3+dI=")</f>
        <v>#VALUE!</v>
      </c>
      <c r="HD157" t="e">
        <f>AND('Planilla_General_03-12-2012_9_3'!C2510,"AAAAAHI3+dM=")</f>
        <v>#VALUE!</v>
      </c>
      <c r="HE157" t="e">
        <f>AND('Planilla_General_03-12-2012_9_3'!D2510,"AAAAAHI3+dQ=")</f>
        <v>#VALUE!</v>
      </c>
      <c r="HF157" t="e">
        <f>AND('Planilla_General_03-12-2012_9_3'!E2510,"AAAAAHI3+dU=")</f>
        <v>#VALUE!</v>
      </c>
      <c r="HG157" t="e">
        <f>AND('Planilla_General_03-12-2012_9_3'!F2510,"AAAAAHI3+dY=")</f>
        <v>#VALUE!</v>
      </c>
      <c r="HH157" t="e">
        <f>AND('Planilla_General_03-12-2012_9_3'!G2510,"AAAAAHI3+dc=")</f>
        <v>#VALUE!</v>
      </c>
      <c r="HI157" t="e">
        <f>AND('Planilla_General_03-12-2012_9_3'!H2510,"AAAAAHI3+dg=")</f>
        <v>#VALUE!</v>
      </c>
      <c r="HJ157" t="e">
        <f>AND('Planilla_General_03-12-2012_9_3'!I2510,"AAAAAHI3+dk=")</f>
        <v>#VALUE!</v>
      </c>
      <c r="HK157" t="e">
        <f>AND('Planilla_General_03-12-2012_9_3'!J2510,"AAAAAHI3+do=")</f>
        <v>#VALUE!</v>
      </c>
      <c r="HL157" t="e">
        <f>AND('Planilla_General_03-12-2012_9_3'!K2510,"AAAAAHI3+ds=")</f>
        <v>#VALUE!</v>
      </c>
      <c r="HM157" t="e">
        <f>AND('Planilla_General_03-12-2012_9_3'!L2510,"AAAAAHI3+dw=")</f>
        <v>#VALUE!</v>
      </c>
      <c r="HN157" t="e">
        <f>AND('Planilla_General_03-12-2012_9_3'!M2510,"AAAAAHI3+d0=")</f>
        <v>#VALUE!</v>
      </c>
      <c r="HO157" t="e">
        <f>AND('Planilla_General_03-12-2012_9_3'!N2510,"AAAAAHI3+d4=")</f>
        <v>#VALUE!</v>
      </c>
      <c r="HP157" t="e">
        <f>AND('Planilla_General_03-12-2012_9_3'!O2510,"AAAAAHI3+d8=")</f>
        <v>#VALUE!</v>
      </c>
      <c r="HQ157">
        <f>IF('Planilla_General_03-12-2012_9_3'!2511:2511,"AAAAAHI3+eA=",0)</f>
        <v>0</v>
      </c>
      <c r="HR157" t="e">
        <f>AND('Planilla_General_03-12-2012_9_3'!A2511,"AAAAAHI3+eE=")</f>
        <v>#VALUE!</v>
      </c>
      <c r="HS157" t="e">
        <f>AND('Planilla_General_03-12-2012_9_3'!B2511,"AAAAAHI3+eI=")</f>
        <v>#VALUE!</v>
      </c>
      <c r="HT157" t="e">
        <f>AND('Planilla_General_03-12-2012_9_3'!C2511,"AAAAAHI3+eM=")</f>
        <v>#VALUE!</v>
      </c>
      <c r="HU157" t="e">
        <f>AND('Planilla_General_03-12-2012_9_3'!D2511,"AAAAAHI3+eQ=")</f>
        <v>#VALUE!</v>
      </c>
      <c r="HV157" t="e">
        <f>AND('Planilla_General_03-12-2012_9_3'!E2511,"AAAAAHI3+eU=")</f>
        <v>#VALUE!</v>
      </c>
      <c r="HW157" t="e">
        <f>AND('Planilla_General_03-12-2012_9_3'!F2511,"AAAAAHI3+eY=")</f>
        <v>#VALUE!</v>
      </c>
      <c r="HX157" t="e">
        <f>AND('Planilla_General_03-12-2012_9_3'!G2511,"AAAAAHI3+ec=")</f>
        <v>#VALUE!</v>
      </c>
      <c r="HY157" t="e">
        <f>AND('Planilla_General_03-12-2012_9_3'!H2511,"AAAAAHI3+eg=")</f>
        <v>#VALUE!</v>
      </c>
      <c r="HZ157" t="e">
        <f>AND('Planilla_General_03-12-2012_9_3'!I2511,"AAAAAHI3+ek=")</f>
        <v>#VALUE!</v>
      </c>
      <c r="IA157" t="e">
        <f>AND('Planilla_General_03-12-2012_9_3'!J2511,"AAAAAHI3+eo=")</f>
        <v>#VALUE!</v>
      </c>
      <c r="IB157" t="e">
        <f>AND('Planilla_General_03-12-2012_9_3'!K2511,"AAAAAHI3+es=")</f>
        <v>#VALUE!</v>
      </c>
      <c r="IC157" t="e">
        <f>AND('Planilla_General_03-12-2012_9_3'!L2511,"AAAAAHI3+ew=")</f>
        <v>#VALUE!</v>
      </c>
      <c r="ID157" t="e">
        <f>AND('Planilla_General_03-12-2012_9_3'!M2511,"AAAAAHI3+e0=")</f>
        <v>#VALUE!</v>
      </c>
      <c r="IE157" t="e">
        <f>AND('Planilla_General_03-12-2012_9_3'!N2511,"AAAAAHI3+e4=")</f>
        <v>#VALUE!</v>
      </c>
      <c r="IF157" t="e">
        <f>AND('Planilla_General_03-12-2012_9_3'!O2511,"AAAAAHI3+e8=")</f>
        <v>#VALUE!</v>
      </c>
      <c r="IG157">
        <f>IF('Planilla_General_03-12-2012_9_3'!2512:2512,"AAAAAHI3+fA=",0)</f>
        <v>0</v>
      </c>
      <c r="IH157" t="e">
        <f>AND('Planilla_General_03-12-2012_9_3'!A2512,"AAAAAHI3+fE=")</f>
        <v>#VALUE!</v>
      </c>
      <c r="II157" t="e">
        <f>AND('Planilla_General_03-12-2012_9_3'!B2512,"AAAAAHI3+fI=")</f>
        <v>#VALUE!</v>
      </c>
      <c r="IJ157" t="e">
        <f>AND('Planilla_General_03-12-2012_9_3'!C2512,"AAAAAHI3+fM=")</f>
        <v>#VALUE!</v>
      </c>
      <c r="IK157" t="e">
        <f>AND('Planilla_General_03-12-2012_9_3'!D2512,"AAAAAHI3+fQ=")</f>
        <v>#VALUE!</v>
      </c>
      <c r="IL157" t="e">
        <f>AND('Planilla_General_03-12-2012_9_3'!E2512,"AAAAAHI3+fU=")</f>
        <v>#VALUE!</v>
      </c>
      <c r="IM157" t="e">
        <f>AND('Planilla_General_03-12-2012_9_3'!F2512,"AAAAAHI3+fY=")</f>
        <v>#VALUE!</v>
      </c>
      <c r="IN157" t="e">
        <f>AND('Planilla_General_03-12-2012_9_3'!G2512,"AAAAAHI3+fc=")</f>
        <v>#VALUE!</v>
      </c>
      <c r="IO157" t="e">
        <f>AND('Planilla_General_03-12-2012_9_3'!H2512,"AAAAAHI3+fg=")</f>
        <v>#VALUE!</v>
      </c>
      <c r="IP157" t="e">
        <f>AND('Planilla_General_03-12-2012_9_3'!I2512,"AAAAAHI3+fk=")</f>
        <v>#VALUE!</v>
      </c>
      <c r="IQ157" t="e">
        <f>AND('Planilla_General_03-12-2012_9_3'!J2512,"AAAAAHI3+fo=")</f>
        <v>#VALUE!</v>
      </c>
      <c r="IR157" t="e">
        <f>AND('Planilla_General_03-12-2012_9_3'!K2512,"AAAAAHI3+fs=")</f>
        <v>#VALUE!</v>
      </c>
      <c r="IS157" t="e">
        <f>AND('Planilla_General_03-12-2012_9_3'!L2512,"AAAAAHI3+fw=")</f>
        <v>#VALUE!</v>
      </c>
      <c r="IT157" t="e">
        <f>AND('Planilla_General_03-12-2012_9_3'!M2512,"AAAAAHI3+f0=")</f>
        <v>#VALUE!</v>
      </c>
      <c r="IU157" t="e">
        <f>AND('Planilla_General_03-12-2012_9_3'!N2512,"AAAAAHI3+f4=")</f>
        <v>#VALUE!</v>
      </c>
      <c r="IV157" t="e">
        <f>AND('Planilla_General_03-12-2012_9_3'!O2512,"AAAAAHI3+f8=")</f>
        <v>#VALUE!</v>
      </c>
    </row>
    <row r="158" spans="1:256" x14ac:dyDescent="0.25">
      <c r="A158" t="e">
        <f>IF('Planilla_General_03-12-2012_9_3'!2513:2513,"AAAAAF//uwA=",0)</f>
        <v>#VALUE!</v>
      </c>
      <c r="B158" t="e">
        <f>AND('Planilla_General_03-12-2012_9_3'!A2513,"AAAAAF//uwE=")</f>
        <v>#VALUE!</v>
      </c>
      <c r="C158" t="e">
        <f>AND('Planilla_General_03-12-2012_9_3'!B2513,"AAAAAF//uwI=")</f>
        <v>#VALUE!</v>
      </c>
      <c r="D158" t="e">
        <f>AND('Planilla_General_03-12-2012_9_3'!C2513,"AAAAAF//uwM=")</f>
        <v>#VALUE!</v>
      </c>
      <c r="E158" t="e">
        <f>AND('Planilla_General_03-12-2012_9_3'!D2513,"AAAAAF//uwQ=")</f>
        <v>#VALUE!</v>
      </c>
      <c r="F158" t="e">
        <f>AND('Planilla_General_03-12-2012_9_3'!E2513,"AAAAAF//uwU=")</f>
        <v>#VALUE!</v>
      </c>
      <c r="G158" t="e">
        <f>AND('Planilla_General_03-12-2012_9_3'!F2513,"AAAAAF//uwY=")</f>
        <v>#VALUE!</v>
      </c>
      <c r="H158" t="e">
        <f>AND('Planilla_General_03-12-2012_9_3'!G2513,"AAAAAF//uwc=")</f>
        <v>#VALUE!</v>
      </c>
      <c r="I158" t="e">
        <f>AND('Planilla_General_03-12-2012_9_3'!H2513,"AAAAAF//uwg=")</f>
        <v>#VALUE!</v>
      </c>
      <c r="J158" t="e">
        <f>AND('Planilla_General_03-12-2012_9_3'!I2513,"AAAAAF//uwk=")</f>
        <v>#VALUE!</v>
      </c>
      <c r="K158" t="e">
        <f>AND('Planilla_General_03-12-2012_9_3'!J2513,"AAAAAF//uwo=")</f>
        <v>#VALUE!</v>
      </c>
      <c r="L158" t="e">
        <f>AND('Planilla_General_03-12-2012_9_3'!K2513,"AAAAAF//uws=")</f>
        <v>#VALUE!</v>
      </c>
      <c r="M158" t="e">
        <f>AND('Planilla_General_03-12-2012_9_3'!L2513,"AAAAAF//uww=")</f>
        <v>#VALUE!</v>
      </c>
      <c r="N158" t="e">
        <f>AND('Planilla_General_03-12-2012_9_3'!M2513,"AAAAAF//uw0=")</f>
        <v>#VALUE!</v>
      </c>
      <c r="O158" t="e">
        <f>AND('Planilla_General_03-12-2012_9_3'!N2513,"AAAAAF//uw4=")</f>
        <v>#VALUE!</v>
      </c>
      <c r="P158" t="e">
        <f>AND('Planilla_General_03-12-2012_9_3'!O2513,"AAAAAF//uw8=")</f>
        <v>#VALUE!</v>
      </c>
      <c r="Q158">
        <f>IF('Planilla_General_03-12-2012_9_3'!2514:2514,"AAAAAF//uxA=",0)</f>
        <v>0</v>
      </c>
      <c r="R158" t="e">
        <f>AND('Planilla_General_03-12-2012_9_3'!A2514,"AAAAAF//uxE=")</f>
        <v>#VALUE!</v>
      </c>
      <c r="S158" t="e">
        <f>AND('Planilla_General_03-12-2012_9_3'!B2514,"AAAAAF//uxI=")</f>
        <v>#VALUE!</v>
      </c>
      <c r="T158" t="e">
        <f>AND('Planilla_General_03-12-2012_9_3'!C2514,"AAAAAF//uxM=")</f>
        <v>#VALUE!</v>
      </c>
      <c r="U158" t="e">
        <f>AND('Planilla_General_03-12-2012_9_3'!D2514,"AAAAAF//uxQ=")</f>
        <v>#VALUE!</v>
      </c>
      <c r="V158" t="e">
        <f>AND('Planilla_General_03-12-2012_9_3'!E2514,"AAAAAF//uxU=")</f>
        <v>#VALUE!</v>
      </c>
      <c r="W158" t="e">
        <f>AND('Planilla_General_03-12-2012_9_3'!F2514,"AAAAAF//uxY=")</f>
        <v>#VALUE!</v>
      </c>
      <c r="X158" t="e">
        <f>AND('Planilla_General_03-12-2012_9_3'!G2514,"AAAAAF//uxc=")</f>
        <v>#VALUE!</v>
      </c>
      <c r="Y158" t="e">
        <f>AND('Planilla_General_03-12-2012_9_3'!H2514,"AAAAAF//uxg=")</f>
        <v>#VALUE!</v>
      </c>
      <c r="Z158" t="e">
        <f>AND('Planilla_General_03-12-2012_9_3'!I2514,"AAAAAF//uxk=")</f>
        <v>#VALUE!</v>
      </c>
      <c r="AA158" t="e">
        <f>AND('Planilla_General_03-12-2012_9_3'!J2514,"AAAAAF//uxo=")</f>
        <v>#VALUE!</v>
      </c>
      <c r="AB158" t="e">
        <f>AND('Planilla_General_03-12-2012_9_3'!K2514,"AAAAAF//uxs=")</f>
        <v>#VALUE!</v>
      </c>
      <c r="AC158" t="e">
        <f>AND('Planilla_General_03-12-2012_9_3'!L2514,"AAAAAF//uxw=")</f>
        <v>#VALUE!</v>
      </c>
      <c r="AD158" t="e">
        <f>AND('Planilla_General_03-12-2012_9_3'!M2514,"AAAAAF//ux0=")</f>
        <v>#VALUE!</v>
      </c>
      <c r="AE158" t="e">
        <f>AND('Planilla_General_03-12-2012_9_3'!N2514,"AAAAAF//ux4=")</f>
        <v>#VALUE!</v>
      </c>
      <c r="AF158" t="e">
        <f>AND('Planilla_General_03-12-2012_9_3'!O2514,"AAAAAF//ux8=")</f>
        <v>#VALUE!</v>
      </c>
      <c r="AG158">
        <f>IF('Planilla_General_03-12-2012_9_3'!2515:2515,"AAAAAF//uyA=",0)</f>
        <v>0</v>
      </c>
      <c r="AH158" t="e">
        <f>AND('Planilla_General_03-12-2012_9_3'!A2515,"AAAAAF//uyE=")</f>
        <v>#VALUE!</v>
      </c>
      <c r="AI158" t="e">
        <f>AND('Planilla_General_03-12-2012_9_3'!B2515,"AAAAAF//uyI=")</f>
        <v>#VALUE!</v>
      </c>
      <c r="AJ158" t="e">
        <f>AND('Planilla_General_03-12-2012_9_3'!C2515,"AAAAAF//uyM=")</f>
        <v>#VALUE!</v>
      </c>
      <c r="AK158" t="e">
        <f>AND('Planilla_General_03-12-2012_9_3'!D2515,"AAAAAF//uyQ=")</f>
        <v>#VALUE!</v>
      </c>
      <c r="AL158" t="e">
        <f>AND('Planilla_General_03-12-2012_9_3'!E2515,"AAAAAF//uyU=")</f>
        <v>#VALUE!</v>
      </c>
      <c r="AM158" t="e">
        <f>AND('Planilla_General_03-12-2012_9_3'!F2515,"AAAAAF//uyY=")</f>
        <v>#VALUE!</v>
      </c>
      <c r="AN158" t="e">
        <f>AND('Planilla_General_03-12-2012_9_3'!G2515,"AAAAAF//uyc=")</f>
        <v>#VALUE!</v>
      </c>
      <c r="AO158" t="e">
        <f>AND('Planilla_General_03-12-2012_9_3'!H2515,"AAAAAF//uyg=")</f>
        <v>#VALUE!</v>
      </c>
      <c r="AP158" t="e">
        <f>AND('Planilla_General_03-12-2012_9_3'!I2515,"AAAAAF//uyk=")</f>
        <v>#VALUE!</v>
      </c>
      <c r="AQ158" t="e">
        <f>AND('Planilla_General_03-12-2012_9_3'!J2515,"AAAAAF//uyo=")</f>
        <v>#VALUE!</v>
      </c>
      <c r="AR158" t="e">
        <f>AND('Planilla_General_03-12-2012_9_3'!K2515,"AAAAAF//uys=")</f>
        <v>#VALUE!</v>
      </c>
      <c r="AS158" t="e">
        <f>AND('Planilla_General_03-12-2012_9_3'!L2515,"AAAAAF//uyw=")</f>
        <v>#VALUE!</v>
      </c>
      <c r="AT158" t="e">
        <f>AND('Planilla_General_03-12-2012_9_3'!M2515,"AAAAAF//uy0=")</f>
        <v>#VALUE!</v>
      </c>
      <c r="AU158" t="e">
        <f>AND('Planilla_General_03-12-2012_9_3'!N2515,"AAAAAF//uy4=")</f>
        <v>#VALUE!</v>
      </c>
      <c r="AV158" t="e">
        <f>AND('Planilla_General_03-12-2012_9_3'!O2515,"AAAAAF//uy8=")</f>
        <v>#VALUE!</v>
      </c>
      <c r="AW158">
        <f>IF('Planilla_General_03-12-2012_9_3'!2516:2516,"AAAAAF//uzA=",0)</f>
        <v>0</v>
      </c>
      <c r="AX158" t="e">
        <f>AND('Planilla_General_03-12-2012_9_3'!A2516,"AAAAAF//uzE=")</f>
        <v>#VALUE!</v>
      </c>
      <c r="AY158" t="e">
        <f>AND('Planilla_General_03-12-2012_9_3'!B2516,"AAAAAF//uzI=")</f>
        <v>#VALUE!</v>
      </c>
      <c r="AZ158" t="e">
        <f>AND('Planilla_General_03-12-2012_9_3'!C2516,"AAAAAF//uzM=")</f>
        <v>#VALUE!</v>
      </c>
      <c r="BA158" t="e">
        <f>AND('Planilla_General_03-12-2012_9_3'!D2516,"AAAAAF//uzQ=")</f>
        <v>#VALUE!</v>
      </c>
      <c r="BB158" t="e">
        <f>AND('Planilla_General_03-12-2012_9_3'!E2516,"AAAAAF//uzU=")</f>
        <v>#VALUE!</v>
      </c>
      <c r="BC158" t="e">
        <f>AND('Planilla_General_03-12-2012_9_3'!F2516,"AAAAAF//uzY=")</f>
        <v>#VALUE!</v>
      </c>
      <c r="BD158" t="e">
        <f>AND('Planilla_General_03-12-2012_9_3'!G2516,"AAAAAF//uzc=")</f>
        <v>#VALUE!</v>
      </c>
      <c r="BE158" t="e">
        <f>AND('Planilla_General_03-12-2012_9_3'!H2516,"AAAAAF//uzg=")</f>
        <v>#VALUE!</v>
      </c>
      <c r="BF158" t="e">
        <f>AND('Planilla_General_03-12-2012_9_3'!I2516,"AAAAAF//uzk=")</f>
        <v>#VALUE!</v>
      </c>
      <c r="BG158" t="e">
        <f>AND('Planilla_General_03-12-2012_9_3'!J2516,"AAAAAF//uzo=")</f>
        <v>#VALUE!</v>
      </c>
      <c r="BH158" t="e">
        <f>AND('Planilla_General_03-12-2012_9_3'!K2516,"AAAAAF//uzs=")</f>
        <v>#VALUE!</v>
      </c>
      <c r="BI158" t="e">
        <f>AND('Planilla_General_03-12-2012_9_3'!L2516,"AAAAAF//uzw=")</f>
        <v>#VALUE!</v>
      </c>
      <c r="BJ158" t="e">
        <f>AND('Planilla_General_03-12-2012_9_3'!M2516,"AAAAAF//uz0=")</f>
        <v>#VALUE!</v>
      </c>
      <c r="BK158" t="e">
        <f>AND('Planilla_General_03-12-2012_9_3'!N2516,"AAAAAF//uz4=")</f>
        <v>#VALUE!</v>
      </c>
      <c r="BL158" t="e">
        <f>AND('Planilla_General_03-12-2012_9_3'!O2516,"AAAAAF//uz8=")</f>
        <v>#VALUE!</v>
      </c>
      <c r="BM158">
        <f>IF('Planilla_General_03-12-2012_9_3'!2517:2517,"AAAAAF//u0A=",0)</f>
        <v>0</v>
      </c>
      <c r="BN158" t="e">
        <f>AND('Planilla_General_03-12-2012_9_3'!A2517,"AAAAAF//u0E=")</f>
        <v>#VALUE!</v>
      </c>
      <c r="BO158" t="e">
        <f>AND('Planilla_General_03-12-2012_9_3'!B2517,"AAAAAF//u0I=")</f>
        <v>#VALUE!</v>
      </c>
      <c r="BP158" t="e">
        <f>AND('Planilla_General_03-12-2012_9_3'!C2517,"AAAAAF//u0M=")</f>
        <v>#VALUE!</v>
      </c>
      <c r="BQ158" t="e">
        <f>AND('Planilla_General_03-12-2012_9_3'!D2517,"AAAAAF//u0Q=")</f>
        <v>#VALUE!</v>
      </c>
      <c r="BR158" t="e">
        <f>AND('Planilla_General_03-12-2012_9_3'!E2517,"AAAAAF//u0U=")</f>
        <v>#VALUE!</v>
      </c>
      <c r="BS158" t="e">
        <f>AND('Planilla_General_03-12-2012_9_3'!F2517,"AAAAAF//u0Y=")</f>
        <v>#VALUE!</v>
      </c>
      <c r="BT158" t="e">
        <f>AND('Planilla_General_03-12-2012_9_3'!G2517,"AAAAAF//u0c=")</f>
        <v>#VALUE!</v>
      </c>
      <c r="BU158" t="e">
        <f>AND('Planilla_General_03-12-2012_9_3'!H2517,"AAAAAF//u0g=")</f>
        <v>#VALUE!</v>
      </c>
      <c r="BV158" t="e">
        <f>AND('Planilla_General_03-12-2012_9_3'!I2517,"AAAAAF//u0k=")</f>
        <v>#VALUE!</v>
      </c>
      <c r="BW158" t="e">
        <f>AND('Planilla_General_03-12-2012_9_3'!J2517,"AAAAAF//u0o=")</f>
        <v>#VALUE!</v>
      </c>
      <c r="BX158" t="e">
        <f>AND('Planilla_General_03-12-2012_9_3'!K2517,"AAAAAF//u0s=")</f>
        <v>#VALUE!</v>
      </c>
      <c r="BY158" t="e">
        <f>AND('Planilla_General_03-12-2012_9_3'!L2517,"AAAAAF//u0w=")</f>
        <v>#VALUE!</v>
      </c>
      <c r="BZ158" t="e">
        <f>AND('Planilla_General_03-12-2012_9_3'!M2517,"AAAAAF//u00=")</f>
        <v>#VALUE!</v>
      </c>
      <c r="CA158" t="e">
        <f>AND('Planilla_General_03-12-2012_9_3'!N2517,"AAAAAF//u04=")</f>
        <v>#VALUE!</v>
      </c>
      <c r="CB158" t="e">
        <f>AND('Planilla_General_03-12-2012_9_3'!O2517,"AAAAAF//u08=")</f>
        <v>#VALUE!</v>
      </c>
      <c r="CC158">
        <f>IF('Planilla_General_03-12-2012_9_3'!2518:2518,"AAAAAF//u1A=",0)</f>
        <v>0</v>
      </c>
      <c r="CD158" t="e">
        <f>AND('Planilla_General_03-12-2012_9_3'!A2518,"AAAAAF//u1E=")</f>
        <v>#VALUE!</v>
      </c>
      <c r="CE158" t="e">
        <f>AND('Planilla_General_03-12-2012_9_3'!B2518,"AAAAAF//u1I=")</f>
        <v>#VALUE!</v>
      </c>
      <c r="CF158" t="e">
        <f>AND('Planilla_General_03-12-2012_9_3'!C2518,"AAAAAF//u1M=")</f>
        <v>#VALUE!</v>
      </c>
      <c r="CG158" t="e">
        <f>AND('Planilla_General_03-12-2012_9_3'!D2518,"AAAAAF//u1Q=")</f>
        <v>#VALUE!</v>
      </c>
      <c r="CH158" t="e">
        <f>AND('Planilla_General_03-12-2012_9_3'!E2518,"AAAAAF//u1U=")</f>
        <v>#VALUE!</v>
      </c>
      <c r="CI158" t="e">
        <f>AND('Planilla_General_03-12-2012_9_3'!F2518,"AAAAAF//u1Y=")</f>
        <v>#VALUE!</v>
      </c>
      <c r="CJ158" t="e">
        <f>AND('Planilla_General_03-12-2012_9_3'!G2518,"AAAAAF//u1c=")</f>
        <v>#VALUE!</v>
      </c>
      <c r="CK158" t="e">
        <f>AND('Planilla_General_03-12-2012_9_3'!H2518,"AAAAAF//u1g=")</f>
        <v>#VALUE!</v>
      </c>
      <c r="CL158" t="e">
        <f>AND('Planilla_General_03-12-2012_9_3'!I2518,"AAAAAF//u1k=")</f>
        <v>#VALUE!</v>
      </c>
      <c r="CM158" t="e">
        <f>AND('Planilla_General_03-12-2012_9_3'!J2518,"AAAAAF//u1o=")</f>
        <v>#VALUE!</v>
      </c>
      <c r="CN158" t="e">
        <f>AND('Planilla_General_03-12-2012_9_3'!K2518,"AAAAAF//u1s=")</f>
        <v>#VALUE!</v>
      </c>
      <c r="CO158" t="e">
        <f>AND('Planilla_General_03-12-2012_9_3'!L2518,"AAAAAF//u1w=")</f>
        <v>#VALUE!</v>
      </c>
      <c r="CP158" t="e">
        <f>AND('Planilla_General_03-12-2012_9_3'!M2518,"AAAAAF//u10=")</f>
        <v>#VALUE!</v>
      </c>
      <c r="CQ158" t="e">
        <f>AND('Planilla_General_03-12-2012_9_3'!N2518,"AAAAAF//u14=")</f>
        <v>#VALUE!</v>
      </c>
      <c r="CR158" t="e">
        <f>AND('Planilla_General_03-12-2012_9_3'!O2518,"AAAAAF//u18=")</f>
        <v>#VALUE!</v>
      </c>
      <c r="CS158">
        <f>IF('Planilla_General_03-12-2012_9_3'!2519:2519,"AAAAAF//u2A=",0)</f>
        <v>0</v>
      </c>
      <c r="CT158" t="e">
        <f>AND('Planilla_General_03-12-2012_9_3'!A2519,"AAAAAF//u2E=")</f>
        <v>#VALUE!</v>
      </c>
      <c r="CU158" t="e">
        <f>AND('Planilla_General_03-12-2012_9_3'!B2519,"AAAAAF//u2I=")</f>
        <v>#VALUE!</v>
      </c>
      <c r="CV158" t="e">
        <f>AND('Planilla_General_03-12-2012_9_3'!C2519,"AAAAAF//u2M=")</f>
        <v>#VALUE!</v>
      </c>
      <c r="CW158" t="e">
        <f>AND('Planilla_General_03-12-2012_9_3'!D2519,"AAAAAF//u2Q=")</f>
        <v>#VALUE!</v>
      </c>
      <c r="CX158" t="e">
        <f>AND('Planilla_General_03-12-2012_9_3'!E2519,"AAAAAF//u2U=")</f>
        <v>#VALUE!</v>
      </c>
      <c r="CY158" t="e">
        <f>AND('Planilla_General_03-12-2012_9_3'!F2519,"AAAAAF//u2Y=")</f>
        <v>#VALUE!</v>
      </c>
      <c r="CZ158" t="e">
        <f>AND('Planilla_General_03-12-2012_9_3'!G2519,"AAAAAF//u2c=")</f>
        <v>#VALUE!</v>
      </c>
      <c r="DA158" t="e">
        <f>AND('Planilla_General_03-12-2012_9_3'!H2519,"AAAAAF//u2g=")</f>
        <v>#VALUE!</v>
      </c>
      <c r="DB158" t="e">
        <f>AND('Planilla_General_03-12-2012_9_3'!I2519,"AAAAAF//u2k=")</f>
        <v>#VALUE!</v>
      </c>
      <c r="DC158" t="e">
        <f>AND('Planilla_General_03-12-2012_9_3'!J2519,"AAAAAF//u2o=")</f>
        <v>#VALUE!</v>
      </c>
      <c r="DD158" t="e">
        <f>AND('Planilla_General_03-12-2012_9_3'!K2519,"AAAAAF//u2s=")</f>
        <v>#VALUE!</v>
      </c>
      <c r="DE158" t="e">
        <f>AND('Planilla_General_03-12-2012_9_3'!L2519,"AAAAAF//u2w=")</f>
        <v>#VALUE!</v>
      </c>
      <c r="DF158" t="e">
        <f>AND('Planilla_General_03-12-2012_9_3'!M2519,"AAAAAF//u20=")</f>
        <v>#VALUE!</v>
      </c>
      <c r="DG158" t="e">
        <f>AND('Planilla_General_03-12-2012_9_3'!N2519,"AAAAAF//u24=")</f>
        <v>#VALUE!</v>
      </c>
      <c r="DH158" t="e">
        <f>AND('Planilla_General_03-12-2012_9_3'!O2519,"AAAAAF//u28=")</f>
        <v>#VALUE!</v>
      </c>
      <c r="DI158">
        <f>IF('Planilla_General_03-12-2012_9_3'!2520:2520,"AAAAAF//u3A=",0)</f>
        <v>0</v>
      </c>
      <c r="DJ158" t="e">
        <f>AND('Planilla_General_03-12-2012_9_3'!A2520,"AAAAAF//u3E=")</f>
        <v>#VALUE!</v>
      </c>
      <c r="DK158" t="e">
        <f>AND('Planilla_General_03-12-2012_9_3'!B2520,"AAAAAF//u3I=")</f>
        <v>#VALUE!</v>
      </c>
      <c r="DL158" t="e">
        <f>AND('Planilla_General_03-12-2012_9_3'!C2520,"AAAAAF//u3M=")</f>
        <v>#VALUE!</v>
      </c>
      <c r="DM158" t="e">
        <f>AND('Planilla_General_03-12-2012_9_3'!D2520,"AAAAAF//u3Q=")</f>
        <v>#VALUE!</v>
      </c>
      <c r="DN158" t="e">
        <f>AND('Planilla_General_03-12-2012_9_3'!E2520,"AAAAAF//u3U=")</f>
        <v>#VALUE!</v>
      </c>
      <c r="DO158" t="e">
        <f>AND('Planilla_General_03-12-2012_9_3'!F2520,"AAAAAF//u3Y=")</f>
        <v>#VALUE!</v>
      </c>
      <c r="DP158" t="e">
        <f>AND('Planilla_General_03-12-2012_9_3'!G2520,"AAAAAF//u3c=")</f>
        <v>#VALUE!</v>
      </c>
      <c r="DQ158" t="e">
        <f>AND('Planilla_General_03-12-2012_9_3'!H2520,"AAAAAF//u3g=")</f>
        <v>#VALUE!</v>
      </c>
      <c r="DR158" t="e">
        <f>AND('Planilla_General_03-12-2012_9_3'!I2520,"AAAAAF//u3k=")</f>
        <v>#VALUE!</v>
      </c>
      <c r="DS158" t="e">
        <f>AND('Planilla_General_03-12-2012_9_3'!J2520,"AAAAAF//u3o=")</f>
        <v>#VALUE!</v>
      </c>
      <c r="DT158" t="e">
        <f>AND('Planilla_General_03-12-2012_9_3'!K2520,"AAAAAF//u3s=")</f>
        <v>#VALUE!</v>
      </c>
      <c r="DU158" t="e">
        <f>AND('Planilla_General_03-12-2012_9_3'!L2520,"AAAAAF//u3w=")</f>
        <v>#VALUE!</v>
      </c>
      <c r="DV158" t="e">
        <f>AND('Planilla_General_03-12-2012_9_3'!M2520,"AAAAAF//u30=")</f>
        <v>#VALUE!</v>
      </c>
      <c r="DW158" t="e">
        <f>AND('Planilla_General_03-12-2012_9_3'!N2520,"AAAAAF//u34=")</f>
        <v>#VALUE!</v>
      </c>
      <c r="DX158" t="e">
        <f>AND('Planilla_General_03-12-2012_9_3'!O2520,"AAAAAF//u38=")</f>
        <v>#VALUE!</v>
      </c>
      <c r="DY158">
        <f>IF('Planilla_General_03-12-2012_9_3'!2521:2521,"AAAAAF//u4A=",0)</f>
        <v>0</v>
      </c>
      <c r="DZ158" t="e">
        <f>AND('Planilla_General_03-12-2012_9_3'!A2521,"AAAAAF//u4E=")</f>
        <v>#VALUE!</v>
      </c>
      <c r="EA158" t="e">
        <f>AND('Planilla_General_03-12-2012_9_3'!B2521,"AAAAAF//u4I=")</f>
        <v>#VALUE!</v>
      </c>
      <c r="EB158" t="e">
        <f>AND('Planilla_General_03-12-2012_9_3'!C2521,"AAAAAF//u4M=")</f>
        <v>#VALUE!</v>
      </c>
      <c r="EC158" t="e">
        <f>AND('Planilla_General_03-12-2012_9_3'!D2521,"AAAAAF//u4Q=")</f>
        <v>#VALUE!</v>
      </c>
      <c r="ED158" t="e">
        <f>AND('Planilla_General_03-12-2012_9_3'!E2521,"AAAAAF//u4U=")</f>
        <v>#VALUE!</v>
      </c>
      <c r="EE158" t="e">
        <f>AND('Planilla_General_03-12-2012_9_3'!F2521,"AAAAAF//u4Y=")</f>
        <v>#VALUE!</v>
      </c>
      <c r="EF158" t="e">
        <f>AND('Planilla_General_03-12-2012_9_3'!G2521,"AAAAAF//u4c=")</f>
        <v>#VALUE!</v>
      </c>
      <c r="EG158" t="e">
        <f>AND('Planilla_General_03-12-2012_9_3'!H2521,"AAAAAF//u4g=")</f>
        <v>#VALUE!</v>
      </c>
      <c r="EH158" t="e">
        <f>AND('Planilla_General_03-12-2012_9_3'!I2521,"AAAAAF//u4k=")</f>
        <v>#VALUE!</v>
      </c>
      <c r="EI158" t="e">
        <f>AND('Planilla_General_03-12-2012_9_3'!J2521,"AAAAAF//u4o=")</f>
        <v>#VALUE!</v>
      </c>
      <c r="EJ158" t="e">
        <f>AND('Planilla_General_03-12-2012_9_3'!K2521,"AAAAAF//u4s=")</f>
        <v>#VALUE!</v>
      </c>
      <c r="EK158" t="e">
        <f>AND('Planilla_General_03-12-2012_9_3'!L2521,"AAAAAF//u4w=")</f>
        <v>#VALUE!</v>
      </c>
      <c r="EL158" t="e">
        <f>AND('Planilla_General_03-12-2012_9_3'!M2521,"AAAAAF//u40=")</f>
        <v>#VALUE!</v>
      </c>
      <c r="EM158" t="e">
        <f>AND('Planilla_General_03-12-2012_9_3'!N2521,"AAAAAF//u44=")</f>
        <v>#VALUE!</v>
      </c>
      <c r="EN158" t="e">
        <f>AND('Planilla_General_03-12-2012_9_3'!O2521,"AAAAAF//u48=")</f>
        <v>#VALUE!</v>
      </c>
      <c r="EO158">
        <f>IF('Planilla_General_03-12-2012_9_3'!2522:2522,"AAAAAF//u5A=",0)</f>
        <v>0</v>
      </c>
      <c r="EP158" t="e">
        <f>AND('Planilla_General_03-12-2012_9_3'!A2522,"AAAAAF//u5E=")</f>
        <v>#VALUE!</v>
      </c>
      <c r="EQ158" t="e">
        <f>AND('Planilla_General_03-12-2012_9_3'!B2522,"AAAAAF//u5I=")</f>
        <v>#VALUE!</v>
      </c>
      <c r="ER158" t="e">
        <f>AND('Planilla_General_03-12-2012_9_3'!C2522,"AAAAAF//u5M=")</f>
        <v>#VALUE!</v>
      </c>
      <c r="ES158" t="e">
        <f>AND('Planilla_General_03-12-2012_9_3'!D2522,"AAAAAF//u5Q=")</f>
        <v>#VALUE!</v>
      </c>
      <c r="ET158" t="e">
        <f>AND('Planilla_General_03-12-2012_9_3'!E2522,"AAAAAF//u5U=")</f>
        <v>#VALUE!</v>
      </c>
      <c r="EU158" t="e">
        <f>AND('Planilla_General_03-12-2012_9_3'!F2522,"AAAAAF//u5Y=")</f>
        <v>#VALUE!</v>
      </c>
      <c r="EV158" t="e">
        <f>AND('Planilla_General_03-12-2012_9_3'!G2522,"AAAAAF//u5c=")</f>
        <v>#VALUE!</v>
      </c>
      <c r="EW158" t="e">
        <f>AND('Planilla_General_03-12-2012_9_3'!H2522,"AAAAAF//u5g=")</f>
        <v>#VALUE!</v>
      </c>
      <c r="EX158" t="e">
        <f>AND('Planilla_General_03-12-2012_9_3'!I2522,"AAAAAF//u5k=")</f>
        <v>#VALUE!</v>
      </c>
      <c r="EY158" t="e">
        <f>AND('Planilla_General_03-12-2012_9_3'!J2522,"AAAAAF//u5o=")</f>
        <v>#VALUE!</v>
      </c>
      <c r="EZ158" t="e">
        <f>AND('Planilla_General_03-12-2012_9_3'!K2522,"AAAAAF//u5s=")</f>
        <v>#VALUE!</v>
      </c>
      <c r="FA158" t="e">
        <f>AND('Planilla_General_03-12-2012_9_3'!L2522,"AAAAAF//u5w=")</f>
        <v>#VALUE!</v>
      </c>
      <c r="FB158" t="e">
        <f>AND('Planilla_General_03-12-2012_9_3'!M2522,"AAAAAF//u50=")</f>
        <v>#VALUE!</v>
      </c>
      <c r="FC158" t="e">
        <f>AND('Planilla_General_03-12-2012_9_3'!N2522,"AAAAAF//u54=")</f>
        <v>#VALUE!</v>
      </c>
      <c r="FD158" t="e">
        <f>AND('Planilla_General_03-12-2012_9_3'!O2522,"AAAAAF//u58=")</f>
        <v>#VALUE!</v>
      </c>
      <c r="FE158">
        <f>IF('Planilla_General_03-12-2012_9_3'!2523:2523,"AAAAAF//u6A=",0)</f>
        <v>0</v>
      </c>
      <c r="FF158" t="e">
        <f>AND('Planilla_General_03-12-2012_9_3'!A2523,"AAAAAF//u6E=")</f>
        <v>#VALUE!</v>
      </c>
      <c r="FG158" t="e">
        <f>AND('Planilla_General_03-12-2012_9_3'!B2523,"AAAAAF//u6I=")</f>
        <v>#VALUE!</v>
      </c>
      <c r="FH158" t="e">
        <f>AND('Planilla_General_03-12-2012_9_3'!C2523,"AAAAAF//u6M=")</f>
        <v>#VALUE!</v>
      </c>
      <c r="FI158" t="e">
        <f>AND('Planilla_General_03-12-2012_9_3'!D2523,"AAAAAF//u6Q=")</f>
        <v>#VALUE!</v>
      </c>
      <c r="FJ158" t="e">
        <f>AND('Planilla_General_03-12-2012_9_3'!E2523,"AAAAAF//u6U=")</f>
        <v>#VALUE!</v>
      </c>
      <c r="FK158" t="e">
        <f>AND('Planilla_General_03-12-2012_9_3'!F2523,"AAAAAF//u6Y=")</f>
        <v>#VALUE!</v>
      </c>
      <c r="FL158" t="e">
        <f>AND('Planilla_General_03-12-2012_9_3'!G2523,"AAAAAF//u6c=")</f>
        <v>#VALUE!</v>
      </c>
      <c r="FM158" t="e">
        <f>AND('Planilla_General_03-12-2012_9_3'!H2523,"AAAAAF//u6g=")</f>
        <v>#VALUE!</v>
      </c>
      <c r="FN158" t="e">
        <f>AND('Planilla_General_03-12-2012_9_3'!I2523,"AAAAAF//u6k=")</f>
        <v>#VALUE!</v>
      </c>
      <c r="FO158" t="e">
        <f>AND('Planilla_General_03-12-2012_9_3'!J2523,"AAAAAF//u6o=")</f>
        <v>#VALUE!</v>
      </c>
      <c r="FP158" t="e">
        <f>AND('Planilla_General_03-12-2012_9_3'!K2523,"AAAAAF//u6s=")</f>
        <v>#VALUE!</v>
      </c>
      <c r="FQ158" t="e">
        <f>AND('Planilla_General_03-12-2012_9_3'!L2523,"AAAAAF//u6w=")</f>
        <v>#VALUE!</v>
      </c>
      <c r="FR158" t="e">
        <f>AND('Planilla_General_03-12-2012_9_3'!M2523,"AAAAAF//u60=")</f>
        <v>#VALUE!</v>
      </c>
      <c r="FS158" t="e">
        <f>AND('Planilla_General_03-12-2012_9_3'!N2523,"AAAAAF//u64=")</f>
        <v>#VALUE!</v>
      </c>
      <c r="FT158" t="e">
        <f>AND('Planilla_General_03-12-2012_9_3'!O2523,"AAAAAF//u68=")</f>
        <v>#VALUE!</v>
      </c>
      <c r="FU158">
        <f>IF('Planilla_General_03-12-2012_9_3'!2524:2524,"AAAAAF//u7A=",0)</f>
        <v>0</v>
      </c>
      <c r="FV158" t="e">
        <f>AND('Planilla_General_03-12-2012_9_3'!A2524,"AAAAAF//u7E=")</f>
        <v>#VALUE!</v>
      </c>
      <c r="FW158" t="e">
        <f>AND('Planilla_General_03-12-2012_9_3'!B2524,"AAAAAF//u7I=")</f>
        <v>#VALUE!</v>
      </c>
      <c r="FX158" t="e">
        <f>AND('Planilla_General_03-12-2012_9_3'!C2524,"AAAAAF//u7M=")</f>
        <v>#VALUE!</v>
      </c>
      <c r="FY158" t="e">
        <f>AND('Planilla_General_03-12-2012_9_3'!D2524,"AAAAAF//u7Q=")</f>
        <v>#VALUE!</v>
      </c>
      <c r="FZ158" t="e">
        <f>AND('Planilla_General_03-12-2012_9_3'!E2524,"AAAAAF//u7U=")</f>
        <v>#VALUE!</v>
      </c>
      <c r="GA158" t="e">
        <f>AND('Planilla_General_03-12-2012_9_3'!F2524,"AAAAAF//u7Y=")</f>
        <v>#VALUE!</v>
      </c>
      <c r="GB158" t="e">
        <f>AND('Planilla_General_03-12-2012_9_3'!G2524,"AAAAAF//u7c=")</f>
        <v>#VALUE!</v>
      </c>
      <c r="GC158" t="e">
        <f>AND('Planilla_General_03-12-2012_9_3'!H2524,"AAAAAF//u7g=")</f>
        <v>#VALUE!</v>
      </c>
      <c r="GD158" t="e">
        <f>AND('Planilla_General_03-12-2012_9_3'!I2524,"AAAAAF//u7k=")</f>
        <v>#VALUE!</v>
      </c>
      <c r="GE158" t="e">
        <f>AND('Planilla_General_03-12-2012_9_3'!J2524,"AAAAAF//u7o=")</f>
        <v>#VALUE!</v>
      </c>
      <c r="GF158" t="e">
        <f>AND('Planilla_General_03-12-2012_9_3'!K2524,"AAAAAF//u7s=")</f>
        <v>#VALUE!</v>
      </c>
      <c r="GG158" t="e">
        <f>AND('Planilla_General_03-12-2012_9_3'!L2524,"AAAAAF//u7w=")</f>
        <v>#VALUE!</v>
      </c>
      <c r="GH158" t="e">
        <f>AND('Planilla_General_03-12-2012_9_3'!M2524,"AAAAAF//u70=")</f>
        <v>#VALUE!</v>
      </c>
      <c r="GI158" t="e">
        <f>AND('Planilla_General_03-12-2012_9_3'!N2524,"AAAAAF//u74=")</f>
        <v>#VALUE!</v>
      </c>
      <c r="GJ158" t="e">
        <f>AND('Planilla_General_03-12-2012_9_3'!O2524,"AAAAAF//u78=")</f>
        <v>#VALUE!</v>
      </c>
      <c r="GK158">
        <f>IF('Planilla_General_03-12-2012_9_3'!2525:2525,"AAAAAF//u8A=",0)</f>
        <v>0</v>
      </c>
      <c r="GL158" t="e">
        <f>AND('Planilla_General_03-12-2012_9_3'!A2525,"AAAAAF//u8E=")</f>
        <v>#VALUE!</v>
      </c>
      <c r="GM158" t="e">
        <f>AND('Planilla_General_03-12-2012_9_3'!B2525,"AAAAAF//u8I=")</f>
        <v>#VALUE!</v>
      </c>
      <c r="GN158" t="e">
        <f>AND('Planilla_General_03-12-2012_9_3'!C2525,"AAAAAF//u8M=")</f>
        <v>#VALUE!</v>
      </c>
      <c r="GO158" t="e">
        <f>AND('Planilla_General_03-12-2012_9_3'!D2525,"AAAAAF//u8Q=")</f>
        <v>#VALUE!</v>
      </c>
      <c r="GP158" t="e">
        <f>AND('Planilla_General_03-12-2012_9_3'!E2525,"AAAAAF//u8U=")</f>
        <v>#VALUE!</v>
      </c>
      <c r="GQ158" t="e">
        <f>AND('Planilla_General_03-12-2012_9_3'!F2525,"AAAAAF//u8Y=")</f>
        <v>#VALUE!</v>
      </c>
      <c r="GR158" t="e">
        <f>AND('Planilla_General_03-12-2012_9_3'!G2525,"AAAAAF//u8c=")</f>
        <v>#VALUE!</v>
      </c>
      <c r="GS158" t="e">
        <f>AND('Planilla_General_03-12-2012_9_3'!H2525,"AAAAAF//u8g=")</f>
        <v>#VALUE!</v>
      </c>
      <c r="GT158" t="e">
        <f>AND('Planilla_General_03-12-2012_9_3'!I2525,"AAAAAF//u8k=")</f>
        <v>#VALUE!</v>
      </c>
      <c r="GU158" t="e">
        <f>AND('Planilla_General_03-12-2012_9_3'!J2525,"AAAAAF//u8o=")</f>
        <v>#VALUE!</v>
      </c>
      <c r="GV158" t="e">
        <f>AND('Planilla_General_03-12-2012_9_3'!K2525,"AAAAAF//u8s=")</f>
        <v>#VALUE!</v>
      </c>
      <c r="GW158" t="e">
        <f>AND('Planilla_General_03-12-2012_9_3'!L2525,"AAAAAF//u8w=")</f>
        <v>#VALUE!</v>
      </c>
      <c r="GX158" t="e">
        <f>AND('Planilla_General_03-12-2012_9_3'!M2525,"AAAAAF//u80=")</f>
        <v>#VALUE!</v>
      </c>
      <c r="GY158" t="e">
        <f>AND('Planilla_General_03-12-2012_9_3'!N2525,"AAAAAF//u84=")</f>
        <v>#VALUE!</v>
      </c>
      <c r="GZ158" t="e">
        <f>AND('Planilla_General_03-12-2012_9_3'!O2525,"AAAAAF//u88=")</f>
        <v>#VALUE!</v>
      </c>
      <c r="HA158">
        <f>IF('Planilla_General_03-12-2012_9_3'!2526:2526,"AAAAAF//u9A=",0)</f>
        <v>0</v>
      </c>
      <c r="HB158" t="e">
        <f>AND('Planilla_General_03-12-2012_9_3'!A2526,"AAAAAF//u9E=")</f>
        <v>#VALUE!</v>
      </c>
      <c r="HC158" t="e">
        <f>AND('Planilla_General_03-12-2012_9_3'!B2526,"AAAAAF//u9I=")</f>
        <v>#VALUE!</v>
      </c>
      <c r="HD158" t="e">
        <f>AND('Planilla_General_03-12-2012_9_3'!C2526,"AAAAAF//u9M=")</f>
        <v>#VALUE!</v>
      </c>
      <c r="HE158" t="e">
        <f>AND('Planilla_General_03-12-2012_9_3'!D2526,"AAAAAF//u9Q=")</f>
        <v>#VALUE!</v>
      </c>
      <c r="HF158" t="e">
        <f>AND('Planilla_General_03-12-2012_9_3'!E2526,"AAAAAF//u9U=")</f>
        <v>#VALUE!</v>
      </c>
      <c r="HG158" t="e">
        <f>AND('Planilla_General_03-12-2012_9_3'!F2526,"AAAAAF//u9Y=")</f>
        <v>#VALUE!</v>
      </c>
      <c r="HH158" t="e">
        <f>AND('Planilla_General_03-12-2012_9_3'!G2526,"AAAAAF//u9c=")</f>
        <v>#VALUE!</v>
      </c>
      <c r="HI158" t="e">
        <f>AND('Planilla_General_03-12-2012_9_3'!H2526,"AAAAAF//u9g=")</f>
        <v>#VALUE!</v>
      </c>
      <c r="HJ158" t="e">
        <f>AND('Planilla_General_03-12-2012_9_3'!I2526,"AAAAAF//u9k=")</f>
        <v>#VALUE!</v>
      </c>
      <c r="HK158" t="e">
        <f>AND('Planilla_General_03-12-2012_9_3'!J2526,"AAAAAF//u9o=")</f>
        <v>#VALUE!</v>
      </c>
      <c r="HL158" t="e">
        <f>AND('Planilla_General_03-12-2012_9_3'!K2526,"AAAAAF//u9s=")</f>
        <v>#VALUE!</v>
      </c>
      <c r="HM158" t="e">
        <f>AND('Planilla_General_03-12-2012_9_3'!L2526,"AAAAAF//u9w=")</f>
        <v>#VALUE!</v>
      </c>
      <c r="HN158" t="e">
        <f>AND('Planilla_General_03-12-2012_9_3'!M2526,"AAAAAF//u90=")</f>
        <v>#VALUE!</v>
      </c>
      <c r="HO158" t="e">
        <f>AND('Planilla_General_03-12-2012_9_3'!N2526,"AAAAAF//u94=")</f>
        <v>#VALUE!</v>
      </c>
      <c r="HP158" t="e">
        <f>AND('Planilla_General_03-12-2012_9_3'!O2526,"AAAAAF//u98=")</f>
        <v>#VALUE!</v>
      </c>
      <c r="HQ158">
        <f>IF('Planilla_General_03-12-2012_9_3'!2527:2527,"AAAAAF//u+A=",0)</f>
        <v>0</v>
      </c>
      <c r="HR158" t="e">
        <f>AND('Planilla_General_03-12-2012_9_3'!A2527,"AAAAAF//u+E=")</f>
        <v>#VALUE!</v>
      </c>
      <c r="HS158" t="e">
        <f>AND('Planilla_General_03-12-2012_9_3'!B2527,"AAAAAF//u+I=")</f>
        <v>#VALUE!</v>
      </c>
      <c r="HT158" t="e">
        <f>AND('Planilla_General_03-12-2012_9_3'!C2527,"AAAAAF//u+M=")</f>
        <v>#VALUE!</v>
      </c>
      <c r="HU158" t="e">
        <f>AND('Planilla_General_03-12-2012_9_3'!D2527,"AAAAAF//u+Q=")</f>
        <v>#VALUE!</v>
      </c>
      <c r="HV158" t="e">
        <f>AND('Planilla_General_03-12-2012_9_3'!E2527,"AAAAAF//u+U=")</f>
        <v>#VALUE!</v>
      </c>
      <c r="HW158" t="e">
        <f>AND('Planilla_General_03-12-2012_9_3'!F2527,"AAAAAF//u+Y=")</f>
        <v>#VALUE!</v>
      </c>
      <c r="HX158" t="e">
        <f>AND('Planilla_General_03-12-2012_9_3'!G2527,"AAAAAF//u+c=")</f>
        <v>#VALUE!</v>
      </c>
      <c r="HY158" t="e">
        <f>AND('Planilla_General_03-12-2012_9_3'!H2527,"AAAAAF//u+g=")</f>
        <v>#VALUE!</v>
      </c>
      <c r="HZ158" t="e">
        <f>AND('Planilla_General_03-12-2012_9_3'!I2527,"AAAAAF//u+k=")</f>
        <v>#VALUE!</v>
      </c>
      <c r="IA158" t="e">
        <f>AND('Planilla_General_03-12-2012_9_3'!J2527,"AAAAAF//u+o=")</f>
        <v>#VALUE!</v>
      </c>
      <c r="IB158" t="e">
        <f>AND('Planilla_General_03-12-2012_9_3'!K2527,"AAAAAF//u+s=")</f>
        <v>#VALUE!</v>
      </c>
      <c r="IC158" t="e">
        <f>AND('Planilla_General_03-12-2012_9_3'!L2527,"AAAAAF//u+w=")</f>
        <v>#VALUE!</v>
      </c>
      <c r="ID158" t="e">
        <f>AND('Planilla_General_03-12-2012_9_3'!M2527,"AAAAAF//u+0=")</f>
        <v>#VALUE!</v>
      </c>
      <c r="IE158" t="e">
        <f>AND('Planilla_General_03-12-2012_9_3'!N2527,"AAAAAF//u+4=")</f>
        <v>#VALUE!</v>
      </c>
      <c r="IF158" t="e">
        <f>AND('Planilla_General_03-12-2012_9_3'!O2527,"AAAAAF//u+8=")</f>
        <v>#VALUE!</v>
      </c>
      <c r="IG158">
        <f>IF('Planilla_General_03-12-2012_9_3'!2528:2528,"AAAAAF//u/A=",0)</f>
        <v>0</v>
      </c>
      <c r="IH158" t="e">
        <f>AND('Planilla_General_03-12-2012_9_3'!A2528,"AAAAAF//u/E=")</f>
        <v>#VALUE!</v>
      </c>
      <c r="II158" t="e">
        <f>AND('Planilla_General_03-12-2012_9_3'!B2528,"AAAAAF//u/I=")</f>
        <v>#VALUE!</v>
      </c>
      <c r="IJ158" t="e">
        <f>AND('Planilla_General_03-12-2012_9_3'!C2528,"AAAAAF//u/M=")</f>
        <v>#VALUE!</v>
      </c>
      <c r="IK158" t="e">
        <f>AND('Planilla_General_03-12-2012_9_3'!D2528,"AAAAAF//u/Q=")</f>
        <v>#VALUE!</v>
      </c>
      <c r="IL158" t="e">
        <f>AND('Planilla_General_03-12-2012_9_3'!E2528,"AAAAAF//u/U=")</f>
        <v>#VALUE!</v>
      </c>
      <c r="IM158" t="e">
        <f>AND('Planilla_General_03-12-2012_9_3'!F2528,"AAAAAF//u/Y=")</f>
        <v>#VALUE!</v>
      </c>
      <c r="IN158" t="e">
        <f>AND('Planilla_General_03-12-2012_9_3'!G2528,"AAAAAF//u/c=")</f>
        <v>#VALUE!</v>
      </c>
      <c r="IO158" t="e">
        <f>AND('Planilla_General_03-12-2012_9_3'!H2528,"AAAAAF//u/g=")</f>
        <v>#VALUE!</v>
      </c>
      <c r="IP158" t="e">
        <f>AND('Planilla_General_03-12-2012_9_3'!I2528,"AAAAAF//u/k=")</f>
        <v>#VALUE!</v>
      </c>
      <c r="IQ158" t="e">
        <f>AND('Planilla_General_03-12-2012_9_3'!J2528,"AAAAAF//u/o=")</f>
        <v>#VALUE!</v>
      </c>
      <c r="IR158" t="e">
        <f>AND('Planilla_General_03-12-2012_9_3'!K2528,"AAAAAF//u/s=")</f>
        <v>#VALUE!</v>
      </c>
      <c r="IS158" t="e">
        <f>AND('Planilla_General_03-12-2012_9_3'!L2528,"AAAAAF//u/w=")</f>
        <v>#VALUE!</v>
      </c>
      <c r="IT158" t="e">
        <f>AND('Planilla_General_03-12-2012_9_3'!M2528,"AAAAAF//u/0=")</f>
        <v>#VALUE!</v>
      </c>
      <c r="IU158" t="e">
        <f>AND('Planilla_General_03-12-2012_9_3'!N2528,"AAAAAF//u/4=")</f>
        <v>#VALUE!</v>
      </c>
      <c r="IV158" t="e">
        <f>AND('Planilla_General_03-12-2012_9_3'!O2528,"AAAAAF//u/8=")</f>
        <v>#VALUE!</v>
      </c>
    </row>
    <row r="159" spans="1:256" x14ac:dyDescent="0.25">
      <c r="A159" t="e">
        <f>IF('Planilla_General_03-12-2012_9_3'!2529:2529,"AAAAAH7O/wA=",0)</f>
        <v>#VALUE!</v>
      </c>
      <c r="B159" t="e">
        <f>AND('Planilla_General_03-12-2012_9_3'!A2529,"AAAAAH7O/wE=")</f>
        <v>#VALUE!</v>
      </c>
      <c r="C159" t="e">
        <f>AND('Planilla_General_03-12-2012_9_3'!B2529,"AAAAAH7O/wI=")</f>
        <v>#VALUE!</v>
      </c>
      <c r="D159" t="e">
        <f>AND('Planilla_General_03-12-2012_9_3'!C2529,"AAAAAH7O/wM=")</f>
        <v>#VALUE!</v>
      </c>
      <c r="E159" t="e">
        <f>AND('Planilla_General_03-12-2012_9_3'!D2529,"AAAAAH7O/wQ=")</f>
        <v>#VALUE!</v>
      </c>
      <c r="F159" t="e">
        <f>AND('Planilla_General_03-12-2012_9_3'!E2529,"AAAAAH7O/wU=")</f>
        <v>#VALUE!</v>
      </c>
      <c r="G159" t="e">
        <f>AND('Planilla_General_03-12-2012_9_3'!F2529,"AAAAAH7O/wY=")</f>
        <v>#VALUE!</v>
      </c>
      <c r="H159" t="e">
        <f>AND('Planilla_General_03-12-2012_9_3'!G2529,"AAAAAH7O/wc=")</f>
        <v>#VALUE!</v>
      </c>
      <c r="I159" t="e">
        <f>AND('Planilla_General_03-12-2012_9_3'!H2529,"AAAAAH7O/wg=")</f>
        <v>#VALUE!</v>
      </c>
      <c r="J159" t="e">
        <f>AND('Planilla_General_03-12-2012_9_3'!I2529,"AAAAAH7O/wk=")</f>
        <v>#VALUE!</v>
      </c>
      <c r="K159" t="e">
        <f>AND('Planilla_General_03-12-2012_9_3'!J2529,"AAAAAH7O/wo=")</f>
        <v>#VALUE!</v>
      </c>
      <c r="L159" t="e">
        <f>AND('Planilla_General_03-12-2012_9_3'!K2529,"AAAAAH7O/ws=")</f>
        <v>#VALUE!</v>
      </c>
      <c r="M159" t="e">
        <f>AND('Planilla_General_03-12-2012_9_3'!L2529,"AAAAAH7O/ww=")</f>
        <v>#VALUE!</v>
      </c>
      <c r="N159" t="e">
        <f>AND('Planilla_General_03-12-2012_9_3'!M2529,"AAAAAH7O/w0=")</f>
        <v>#VALUE!</v>
      </c>
      <c r="O159" t="e">
        <f>AND('Planilla_General_03-12-2012_9_3'!N2529,"AAAAAH7O/w4=")</f>
        <v>#VALUE!</v>
      </c>
      <c r="P159" t="e">
        <f>AND('Planilla_General_03-12-2012_9_3'!O2529,"AAAAAH7O/w8=")</f>
        <v>#VALUE!</v>
      </c>
      <c r="Q159">
        <f>IF('Planilla_General_03-12-2012_9_3'!2530:2530,"AAAAAH7O/xA=",0)</f>
        <v>0</v>
      </c>
      <c r="R159" t="e">
        <f>AND('Planilla_General_03-12-2012_9_3'!A2530,"AAAAAH7O/xE=")</f>
        <v>#VALUE!</v>
      </c>
      <c r="S159" t="e">
        <f>AND('Planilla_General_03-12-2012_9_3'!B2530,"AAAAAH7O/xI=")</f>
        <v>#VALUE!</v>
      </c>
      <c r="T159" t="e">
        <f>AND('Planilla_General_03-12-2012_9_3'!C2530,"AAAAAH7O/xM=")</f>
        <v>#VALUE!</v>
      </c>
      <c r="U159" t="e">
        <f>AND('Planilla_General_03-12-2012_9_3'!D2530,"AAAAAH7O/xQ=")</f>
        <v>#VALUE!</v>
      </c>
      <c r="V159" t="e">
        <f>AND('Planilla_General_03-12-2012_9_3'!E2530,"AAAAAH7O/xU=")</f>
        <v>#VALUE!</v>
      </c>
      <c r="W159" t="e">
        <f>AND('Planilla_General_03-12-2012_9_3'!F2530,"AAAAAH7O/xY=")</f>
        <v>#VALUE!</v>
      </c>
      <c r="X159" t="e">
        <f>AND('Planilla_General_03-12-2012_9_3'!G2530,"AAAAAH7O/xc=")</f>
        <v>#VALUE!</v>
      </c>
      <c r="Y159" t="e">
        <f>AND('Planilla_General_03-12-2012_9_3'!H2530,"AAAAAH7O/xg=")</f>
        <v>#VALUE!</v>
      </c>
      <c r="Z159" t="e">
        <f>AND('Planilla_General_03-12-2012_9_3'!I2530,"AAAAAH7O/xk=")</f>
        <v>#VALUE!</v>
      </c>
      <c r="AA159" t="e">
        <f>AND('Planilla_General_03-12-2012_9_3'!J2530,"AAAAAH7O/xo=")</f>
        <v>#VALUE!</v>
      </c>
      <c r="AB159" t="e">
        <f>AND('Planilla_General_03-12-2012_9_3'!K2530,"AAAAAH7O/xs=")</f>
        <v>#VALUE!</v>
      </c>
      <c r="AC159" t="e">
        <f>AND('Planilla_General_03-12-2012_9_3'!L2530,"AAAAAH7O/xw=")</f>
        <v>#VALUE!</v>
      </c>
      <c r="AD159" t="e">
        <f>AND('Planilla_General_03-12-2012_9_3'!M2530,"AAAAAH7O/x0=")</f>
        <v>#VALUE!</v>
      </c>
      <c r="AE159" t="e">
        <f>AND('Planilla_General_03-12-2012_9_3'!N2530,"AAAAAH7O/x4=")</f>
        <v>#VALUE!</v>
      </c>
      <c r="AF159" t="e">
        <f>AND('Planilla_General_03-12-2012_9_3'!O2530,"AAAAAH7O/x8=")</f>
        <v>#VALUE!</v>
      </c>
      <c r="AG159">
        <f>IF('Planilla_General_03-12-2012_9_3'!2531:2531,"AAAAAH7O/yA=",0)</f>
        <v>0</v>
      </c>
      <c r="AH159" t="e">
        <f>AND('Planilla_General_03-12-2012_9_3'!A2531,"AAAAAH7O/yE=")</f>
        <v>#VALUE!</v>
      </c>
      <c r="AI159" t="e">
        <f>AND('Planilla_General_03-12-2012_9_3'!B2531,"AAAAAH7O/yI=")</f>
        <v>#VALUE!</v>
      </c>
      <c r="AJ159" t="e">
        <f>AND('Planilla_General_03-12-2012_9_3'!C2531,"AAAAAH7O/yM=")</f>
        <v>#VALUE!</v>
      </c>
      <c r="AK159" t="e">
        <f>AND('Planilla_General_03-12-2012_9_3'!D2531,"AAAAAH7O/yQ=")</f>
        <v>#VALUE!</v>
      </c>
      <c r="AL159" t="e">
        <f>AND('Planilla_General_03-12-2012_9_3'!E2531,"AAAAAH7O/yU=")</f>
        <v>#VALUE!</v>
      </c>
      <c r="AM159" t="e">
        <f>AND('Planilla_General_03-12-2012_9_3'!F2531,"AAAAAH7O/yY=")</f>
        <v>#VALUE!</v>
      </c>
      <c r="AN159" t="e">
        <f>AND('Planilla_General_03-12-2012_9_3'!G2531,"AAAAAH7O/yc=")</f>
        <v>#VALUE!</v>
      </c>
      <c r="AO159" t="e">
        <f>AND('Planilla_General_03-12-2012_9_3'!H2531,"AAAAAH7O/yg=")</f>
        <v>#VALUE!</v>
      </c>
      <c r="AP159" t="e">
        <f>AND('Planilla_General_03-12-2012_9_3'!I2531,"AAAAAH7O/yk=")</f>
        <v>#VALUE!</v>
      </c>
      <c r="AQ159" t="e">
        <f>AND('Planilla_General_03-12-2012_9_3'!J2531,"AAAAAH7O/yo=")</f>
        <v>#VALUE!</v>
      </c>
      <c r="AR159" t="e">
        <f>AND('Planilla_General_03-12-2012_9_3'!K2531,"AAAAAH7O/ys=")</f>
        <v>#VALUE!</v>
      </c>
      <c r="AS159" t="e">
        <f>AND('Planilla_General_03-12-2012_9_3'!L2531,"AAAAAH7O/yw=")</f>
        <v>#VALUE!</v>
      </c>
      <c r="AT159" t="e">
        <f>AND('Planilla_General_03-12-2012_9_3'!M2531,"AAAAAH7O/y0=")</f>
        <v>#VALUE!</v>
      </c>
      <c r="AU159" t="e">
        <f>AND('Planilla_General_03-12-2012_9_3'!N2531,"AAAAAH7O/y4=")</f>
        <v>#VALUE!</v>
      </c>
      <c r="AV159" t="e">
        <f>AND('Planilla_General_03-12-2012_9_3'!O2531,"AAAAAH7O/y8=")</f>
        <v>#VALUE!</v>
      </c>
      <c r="AW159">
        <f>IF('Planilla_General_03-12-2012_9_3'!2532:2532,"AAAAAH7O/zA=",0)</f>
        <v>0</v>
      </c>
      <c r="AX159" t="e">
        <f>AND('Planilla_General_03-12-2012_9_3'!A2532,"AAAAAH7O/zE=")</f>
        <v>#VALUE!</v>
      </c>
      <c r="AY159" t="e">
        <f>AND('Planilla_General_03-12-2012_9_3'!B2532,"AAAAAH7O/zI=")</f>
        <v>#VALUE!</v>
      </c>
      <c r="AZ159" t="e">
        <f>AND('Planilla_General_03-12-2012_9_3'!C2532,"AAAAAH7O/zM=")</f>
        <v>#VALUE!</v>
      </c>
      <c r="BA159" t="e">
        <f>AND('Planilla_General_03-12-2012_9_3'!D2532,"AAAAAH7O/zQ=")</f>
        <v>#VALUE!</v>
      </c>
      <c r="BB159" t="e">
        <f>AND('Planilla_General_03-12-2012_9_3'!E2532,"AAAAAH7O/zU=")</f>
        <v>#VALUE!</v>
      </c>
      <c r="BC159" t="e">
        <f>AND('Planilla_General_03-12-2012_9_3'!F2532,"AAAAAH7O/zY=")</f>
        <v>#VALUE!</v>
      </c>
      <c r="BD159" t="e">
        <f>AND('Planilla_General_03-12-2012_9_3'!G2532,"AAAAAH7O/zc=")</f>
        <v>#VALUE!</v>
      </c>
      <c r="BE159" t="e">
        <f>AND('Planilla_General_03-12-2012_9_3'!H2532,"AAAAAH7O/zg=")</f>
        <v>#VALUE!</v>
      </c>
      <c r="BF159" t="e">
        <f>AND('Planilla_General_03-12-2012_9_3'!I2532,"AAAAAH7O/zk=")</f>
        <v>#VALUE!</v>
      </c>
      <c r="BG159" t="e">
        <f>AND('Planilla_General_03-12-2012_9_3'!J2532,"AAAAAH7O/zo=")</f>
        <v>#VALUE!</v>
      </c>
      <c r="BH159" t="e">
        <f>AND('Planilla_General_03-12-2012_9_3'!K2532,"AAAAAH7O/zs=")</f>
        <v>#VALUE!</v>
      </c>
      <c r="BI159" t="e">
        <f>AND('Planilla_General_03-12-2012_9_3'!L2532,"AAAAAH7O/zw=")</f>
        <v>#VALUE!</v>
      </c>
      <c r="BJ159" t="e">
        <f>AND('Planilla_General_03-12-2012_9_3'!M2532,"AAAAAH7O/z0=")</f>
        <v>#VALUE!</v>
      </c>
      <c r="BK159" t="e">
        <f>AND('Planilla_General_03-12-2012_9_3'!N2532,"AAAAAH7O/z4=")</f>
        <v>#VALUE!</v>
      </c>
      <c r="BL159" t="e">
        <f>AND('Planilla_General_03-12-2012_9_3'!O2532,"AAAAAH7O/z8=")</f>
        <v>#VALUE!</v>
      </c>
      <c r="BM159">
        <f>IF('Planilla_General_03-12-2012_9_3'!2533:2533,"AAAAAH7O/0A=",0)</f>
        <v>0</v>
      </c>
      <c r="BN159" t="e">
        <f>AND('Planilla_General_03-12-2012_9_3'!A2533,"AAAAAH7O/0E=")</f>
        <v>#VALUE!</v>
      </c>
      <c r="BO159" t="e">
        <f>AND('Planilla_General_03-12-2012_9_3'!B2533,"AAAAAH7O/0I=")</f>
        <v>#VALUE!</v>
      </c>
      <c r="BP159" t="e">
        <f>AND('Planilla_General_03-12-2012_9_3'!C2533,"AAAAAH7O/0M=")</f>
        <v>#VALUE!</v>
      </c>
      <c r="BQ159" t="e">
        <f>AND('Planilla_General_03-12-2012_9_3'!D2533,"AAAAAH7O/0Q=")</f>
        <v>#VALUE!</v>
      </c>
      <c r="BR159" t="e">
        <f>AND('Planilla_General_03-12-2012_9_3'!E2533,"AAAAAH7O/0U=")</f>
        <v>#VALUE!</v>
      </c>
      <c r="BS159" t="e">
        <f>AND('Planilla_General_03-12-2012_9_3'!F2533,"AAAAAH7O/0Y=")</f>
        <v>#VALUE!</v>
      </c>
      <c r="BT159" t="e">
        <f>AND('Planilla_General_03-12-2012_9_3'!G2533,"AAAAAH7O/0c=")</f>
        <v>#VALUE!</v>
      </c>
      <c r="BU159" t="e">
        <f>AND('Planilla_General_03-12-2012_9_3'!H2533,"AAAAAH7O/0g=")</f>
        <v>#VALUE!</v>
      </c>
      <c r="BV159" t="e">
        <f>AND('Planilla_General_03-12-2012_9_3'!I2533,"AAAAAH7O/0k=")</f>
        <v>#VALUE!</v>
      </c>
      <c r="BW159" t="e">
        <f>AND('Planilla_General_03-12-2012_9_3'!J2533,"AAAAAH7O/0o=")</f>
        <v>#VALUE!</v>
      </c>
      <c r="BX159" t="e">
        <f>AND('Planilla_General_03-12-2012_9_3'!K2533,"AAAAAH7O/0s=")</f>
        <v>#VALUE!</v>
      </c>
      <c r="BY159" t="e">
        <f>AND('Planilla_General_03-12-2012_9_3'!L2533,"AAAAAH7O/0w=")</f>
        <v>#VALUE!</v>
      </c>
      <c r="BZ159" t="e">
        <f>AND('Planilla_General_03-12-2012_9_3'!M2533,"AAAAAH7O/00=")</f>
        <v>#VALUE!</v>
      </c>
      <c r="CA159" t="e">
        <f>AND('Planilla_General_03-12-2012_9_3'!N2533,"AAAAAH7O/04=")</f>
        <v>#VALUE!</v>
      </c>
      <c r="CB159" t="e">
        <f>AND('Planilla_General_03-12-2012_9_3'!O2533,"AAAAAH7O/08=")</f>
        <v>#VALUE!</v>
      </c>
      <c r="CC159">
        <f>IF('Planilla_General_03-12-2012_9_3'!2534:2534,"AAAAAH7O/1A=",0)</f>
        <v>0</v>
      </c>
      <c r="CD159" t="e">
        <f>AND('Planilla_General_03-12-2012_9_3'!A2534,"AAAAAH7O/1E=")</f>
        <v>#VALUE!</v>
      </c>
      <c r="CE159" t="e">
        <f>AND('Planilla_General_03-12-2012_9_3'!B2534,"AAAAAH7O/1I=")</f>
        <v>#VALUE!</v>
      </c>
      <c r="CF159" t="e">
        <f>AND('Planilla_General_03-12-2012_9_3'!C2534,"AAAAAH7O/1M=")</f>
        <v>#VALUE!</v>
      </c>
      <c r="CG159" t="e">
        <f>AND('Planilla_General_03-12-2012_9_3'!D2534,"AAAAAH7O/1Q=")</f>
        <v>#VALUE!</v>
      </c>
      <c r="CH159" t="e">
        <f>AND('Planilla_General_03-12-2012_9_3'!E2534,"AAAAAH7O/1U=")</f>
        <v>#VALUE!</v>
      </c>
      <c r="CI159" t="e">
        <f>AND('Planilla_General_03-12-2012_9_3'!F2534,"AAAAAH7O/1Y=")</f>
        <v>#VALUE!</v>
      </c>
      <c r="CJ159" t="e">
        <f>AND('Planilla_General_03-12-2012_9_3'!G2534,"AAAAAH7O/1c=")</f>
        <v>#VALUE!</v>
      </c>
      <c r="CK159" t="e">
        <f>AND('Planilla_General_03-12-2012_9_3'!H2534,"AAAAAH7O/1g=")</f>
        <v>#VALUE!</v>
      </c>
      <c r="CL159" t="e">
        <f>AND('Planilla_General_03-12-2012_9_3'!I2534,"AAAAAH7O/1k=")</f>
        <v>#VALUE!</v>
      </c>
      <c r="CM159" t="e">
        <f>AND('Planilla_General_03-12-2012_9_3'!J2534,"AAAAAH7O/1o=")</f>
        <v>#VALUE!</v>
      </c>
      <c r="CN159" t="e">
        <f>AND('Planilla_General_03-12-2012_9_3'!K2534,"AAAAAH7O/1s=")</f>
        <v>#VALUE!</v>
      </c>
      <c r="CO159" t="e">
        <f>AND('Planilla_General_03-12-2012_9_3'!L2534,"AAAAAH7O/1w=")</f>
        <v>#VALUE!</v>
      </c>
      <c r="CP159" t="e">
        <f>AND('Planilla_General_03-12-2012_9_3'!M2534,"AAAAAH7O/10=")</f>
        <v>#VALUE!</v>
      </c>
      <c r="CQ159" t="e">
        <f>AND('Planilla_General_03-12-2012_9_3'!N2534,"AAAAAH7O/14=")</f>
        <v>#VALUE!</v>
      </c>
      <c r="CR159" t="e">
        <f>AND('Planilla_General_03-12-2012_9_3'!O2534,"AAAAAH7O/18=")</f>
        <v>#VALUE!</v>
      </c>
      <c r="CS159">
        <f>IF('Planilla_General_03-12-2012_9_3'!2535:2535,"AAAAAH7O/2A=",0)</f>
        <v>0</v>
      </c>
      <c r="CT159" t="e">
        <f>AND('Planilla_General_03-12-2012_9_3'!A2535,"AAAAAH7O/2E=")</f>
        <v>#VALUE!</v>
      </c>
      <c r="CU159" t="e">
        <f>AND('Planilla_General_03-12-2012_9_3'!B2535,"AAAAAH7O/2I=")</f>
        <v>#VALUE!</v>
      </c>
      <c r="CV159" t="e">
        <f>AND('Planilla_General_03-12-2012_9_3'!C2535,"AAAAAH7O/2M=")</f>
        <v>#VALUE!</v>
      </c>
      <c r="CW159" t="e">
        <f>AND('Planilla_General_03-12-2012_9_3'!D2535,"AAAAAH7O/2Q=")</f>
        <v>#VALUE!</v>
      </c>
      <c r="CX159" t="e">
        <f>AND('Planilla_General_03-12-2012_9_3'!E2535,"AAAAAH7O/2U=")</f>
        <v>#VALUE!</v>
      </c>
      <c r="CY159" t="e">
        <f>AND('Planilla_General_03-12-2012_9_3'!F2535,"AAAAAH7O/2Y=")</f>
        <v>#VALUE!</v>
      </c>
      <c r="CZ159" t="e">
        <f>AND('Planilla_General_03-12-2012_9_3'!G2535,"AAAAAH7O/2c=")</f>
        <v>#VALUE!</v>
      </c>
      <c r="DA159" t="e">
        <f>AND('Planilla_General_03-12-2012_9_3'!H2535,"AAAAAH7O/2g=")</f>
        <v>#VALUE!</v>
      </c>
      <c r="DB159" t="e">
        <f>AND('Planilla_General_03-12-2012_9_3'!I2535,"AAAAAH7O/2k=")</f>
        <v>#VALUE!</v>
      </c>
      <c r="DC159" t="e">
        <f>AND('Planilla_General_03-12-2012_9_3'!J2535,"AAAAAH7O/2o=")</f>
        <v>#VALUE!</v>
      </c>
      <c r="DD159" t="e">
        <f>AND('Planilla_General_03-12-2012_9_3'!K2535,"AAAAAH7O/2s=")</f>
        <v>#VALUE!</v>
      </c>
      <c r="DE159" t="e">
        <f>AND('Planilla_General_03-12-2012_9_3'!L2535,"AAAAAH7O/2w=")</f>
        <v>#VALUE!</v>
      </c>
      <c r="DF159" t="e">
        <f>AND('Planilla_General_03-12-2012_9_3'!M2535,"AAAAAH7O/20=")</f>
        <v>#VALUE!</v>
      </c>
      <c r="DG159" t="e">
        <f>AND('Planilla_General_03-12-2012_9_3'!N2535,"AAAAAH7O/24=")</f>
        <v>#VALUE!</v>
      </c>
      <c r="DH159" t="e">
        <f>AND('Planilla_General_03-12-2012_9_3'!O2535,"AAAAAH7O/28=")</f>
        <v>#VALUE!</v>
      </c>
      <c r="DI159">
        <f>IF('Planilla_General_03-12-2012_9_3'!2536:2536,"AAAAAH7O/3A=",0)</f>
        <v>0</v>
      </c>
      <c r="DJ159" t="e">
        <f>AND('Planilla_General_03-12-2012_9_3'!A2536,"AAAAAH7O/3E=")</f>
        <v>#VALUE!</v>
      </c>
      <c r="DK159" t="e">
        <f>AND('Planilla_General_03-12-2012_9_3'!B2536,"AAAAAH7O/3I=")</f>
        <v>#VALUE!</v>
      </c>
      <c r="DL159" t="e">
        <f>AND('Planilla_General_03-12-2012_9_3'!C2536,"AAAAAH7O/3M=")</f>
        <v>#VALUE!</v>
      </c>
      <c r="DM159" t="e">
        <f>AND('Planilla_General_03-12-2012_9_3'!D2536,"AAAAAH7O/3Q=")</f>
        <v>#VALUE!</v>
      </c>
      <c r="DN159" t="e">
        <f>AND('Planilla_General_03-12-2012_9_3'!E2536,"AAAAAH7O/3U=")</f>
        <v>#VALUE!</v>
      </c>
      <c r="DO159" t="e">
        <f>AND('Planilla_General_03-12-2012_9_3'!F2536,"AAAAAH7O/3Y=")</f>
        <v>#VALUE!</v>
      </c>
      <c r="DP159" t="e">
        <f>AND('Planilla_General_03-12-2012_9_3'!G2536,"AAAAAH7O/3c=")</f>
        <v>#VALUE!</v>
      </c>
      <c r="DQ159" t="e">
        <f>AND('Planilla_General_03-12-2012_9_3'!H2536,"AAAAAH7O/3g=")</f>
        <v>#VALUE!</v>
      </c>
      <c r="DR159" t="e">
        <f>AND('Planilla_General_03-12-2012_9_3'!I2536,"AAAAAH7O/3k=")</f>
        <v>#VALUE!</v>
      </c>
      <c r="DS159" t="e">
        <f>AND('Planilla_General_03-12-2012_9_3'!J2536,"AAAAAH7O/3o=")</f>
        <v>#VALUE!</v>
      </c>
      <c r="DT159" t="e">
        <f>AND('Planilla_General_03-12-2012_9_3'!K2536,"AAAAAH7O/3s=")</f>
        <v>#VALUE!</v>
      </c>
      <c r="DU159" t="e">
        <f>AND('Planilla_General_03-12-2012_9_3'!L2536,"AAAAAH7O/3w=")</f>
        <v>#VALUE!</v>
      </c>
      <c r="DV159" t="e">
        <f>AND('Planilla_General_03-12-2012_9_3'!M2536,"AAAAAH7O/30=")</f>
        <v>#VALUE!</v>
      </c>
      <c r="DW159" t="e">
        <f>AND('Planilla_General_03-12-2012_9_3'!N2536,"AAAAAH7O/34=")</f>
        <v>#VALUE!</v>
      </c>
      <c r="DX159" t="e">
        <f>AND('Planilla_General_03-12-2012_9_3'!O2536,"AAAAAH7O/38=")</f>
        <v>#VALUE!</v>
      </c>
      <c r="DY159">
        <f>IF('Planilla_General_03-12-2012_9_3'!2537:2537,"AAAAAH7O/4A=",0)</f>
        <v>0</v>
      </c>
      <c r="DZ159" t="e">
        <f>AND('Planilla_General_03-12-2012_9_3'!A2537,"AAAAAH7O/4E=")</f>
        <v>#VALUE!</v>
      </c>
      <c r="EA159" t="e">
        <f>AND('Planilla_General_03-12-2012_9_3'!B2537,"AAAAAH7O/4I=")</f>
        <v>#VALUE!</v>
      </c>
      <c r="EB159" t="e">
        <f>AND('Planilla_General_03-12-2012_9_3'!C2537,"AAAAAH7O/4M=")</f>
        <v>#VALUE!</v>
      </c>
      <c r="EC159" t="e">
        <f>AND('Planilla_General_03-12-2012_9_3'!D2537,"AAAAAH7O/4Q=")</f>
        <v>#VALUE!</v>
      </c>
      <c r="ED159" t="e">
        <f>AND('Planilla_General_03-12-2012_9_3'!E2537,"AAAAAH7O/4U=")</f>
        <v>#VALUE!</v>
      </c>
      <c r="EE159" t="e">
        <f>AND('Planilla_General_03-12-2012_9_3'!F2537,"AAAAAH7O/4Y=")</f>
        <v>#VALUE!</v>
      </c>
      <c r="EF159" t="e">
        <f>AND('Planilla_General_03-12-2012_9_3'!G2537,"AAAAAH7O/4c=")</f>
        <v>#VALUE!</v>
      </c>
      <c r="EG159" t="e">
        <f>AND('Planilla_General_03-12-2012_9_3'!H2537,"AAAAAH7O/4g=")</f>
        <v>#VALUE!</v>
      </c>
      <c r="EH159" t="e">
        <f>AND('Planilla_General_03-12-2012_9_3'!I2537,"AAAAAH7O/4k=")</f>
        <v>#VALUE!</v>
      </c>
      <c r="EI159" t="e">
        <f>AND('Planilla_General_03-12-2012_9_3'!J2537,"AAAAAH7O/4o=")</f>
        <v>#VALUE!</v>
      </c>
      <c r="EJ159" t="e">
        <f>AND('Planilla_General_03-12-2012_9_3'!K2537,"AAAAAH7O/4s=")</f>
        <v>#VALUE!</v>
      </c>
      <c r="EK159" t="e">
        <f>AND('Planilla_General_03-12-2012_9_3'!L2537,"AAAAAH7O/4w=")</f>
        <v>#VALUE!</v>
      </c>
      <c r="EL159" t="e">
        <f>AND('Planilla_General_03-12-2012_9_3'!M2537,"AAAAAH7O/40=")</f>
        <v>#VALUE!</v>
      </c>
      <c r="EM159" t="e">
        <f>AND('Planilla_General_03-12-2012_9_3'!N2537,"AAAAAH7O/44=")</f>
        <v>#VALUE!</v>
      </c>
      <c r="EN159" t="e">
        <f>AND('Planilla_General_03-12-2012_9_3'!O2537,"AAAAAH7O/48=")</f>
        <v>#VALUE!</v>
      </c>
      <c r="EO159">
        <f>IF('Planilla_General_03-12-2012_9_3'!2538:2538,"AAAAAH7O/5A=",0)</f>
        <v>0</v>
      </c>
      <c r="EP159" t="e">
        <f>AND('Planilla_General_03-12-2012_9_3'!A2538,"AAAAAH7O/5E=")</f>
        <v>#VALUE!</v>
      </c>
      <c r="EQ159" t="e">
        <f>AND('Planilla_General_03-12-2012_9_3'!B2538,"AAAAAH7O/5I=")</f>
        <v>#VALUE!</v>
      </c>
      <c r="ER159" t="e">
        <f>AND('Planilla_General_03-12-2012_9_3'!C2538,"AAAAAH7O/5M=")</f>
        <v>#VALUE!</v>
      </c>
      <c r="ES159" t="e">
        <f>AND('Planilla_General_03-12-2012_9_3'!D2538,"AAAAAH7O/5Q=")</f>
        <v>#VALUE!</v>
      </c>
      <c r="ET159" t="e">
        <f>AND('Planilla_General_03-12-2012_9_3'!E2538,"AAAAAH7O/5U=")</f>
        <v>#VALUE!</v>
      </c>
      <c r="EU159" t="e">
        <f>AND('Planilla_General_03-12-2012_9_3'!F2538,"AAAAAH7O/5Y=")</f>
        <v>#VALUE!</v>
      </c>
      <c r="EV159" t="e">
        <f>AND('Planilla_General_03-12-2012_9_3'!G2538,"AAAAAH7O/5c=")</f>
        <v>#VALUE!</v>
      </c>
      <c r="EW159" t="e">
        <f>AND('Planilla_General_03-12-2012_9_3'!H2538,"AAAAAH7O/5g=")</f>
        <v>#VALUE!</v>
      </c>
      <c r="EX159" t="e">
        <f>AND('Planilla_General_03-12-2012_9_3'!I2538,"AAAAAH7O/5k=")</f>
        <v>#VALUE!</v>
      </c>
      <c r="EY159" t="e">
        <f>AND('Planilla_General_03-12-2012_9_3'!J2538,"AAAAAH7O/5o=")</f>
        <v>#VALUE!</v>
      </c>
      <c r="EZ159" t="e">
        <f>AND('Planilla_General_03-12-2012_9_3'!K2538,"AAAAAH7O/5s=")</f>
        <v>#VALUE!</v>
      </c>
      <c r="FA159" t="e">
        <f>AND('Planilla_General_03-12-2012_9_3'!L2538,"AAAAAH7O/5w=")</f>
        <v>#VALUE!</v>
      </c>
      <c r="FB159" t="e">
        <f>AND('Planilla_General_03-12-2012_9_3'!M2538,"AAAAAH7O/50=")</f>
        <v>#VALUE!</v>
      </c>
      <c r="FC159" t="e">
        <f>AND('Planilla_General_03-12-2012_9_3'!N2538,"AAAAAH7O/54=")</f>
        <v>#VALUE!</v>
      </c>
      <c r="FD159" t="e">
        <f>AND('Planilla_General_03-12-2012_9_3'!O2538,"AAAAAH7O/58=")</f>
        <v>#VALUE!</v>
      </c>
      <c r="FE159">
        <f>IF('Planilla_General_03-12-2012_9_3'!2539:2539,"AAAAAH7O/6A=",0)</f>
        <v>0</v>
      </c>
      <c r="FF159" t="e">
        <f>AND('Planilla_General_03-12-2012_9_3'!A2539,"AAAAAH7O/6E=")</f>
        <v>#VALUE!</v>
      </c>
      <c r="FG159" t="e">
        <f>AND('Planilla_General_03-12-2012_9_3'!B2539,"AAAAAH7O/6I=")</f>
        <v>#VALUE!</v>
      </c>
      <c r="FH159" t="e">
        <f>AND('Planilla_General_03-12-2012_9_3'!C2539,"AAAAAH7O/6M=")</f>
        <v>#VALUE!</v>
      </c>
      <c r="FI159" t="e">
        <f>AND('Planilla_General_03-12-2012_9_3'!D2539,"AAAAAH7O/6Q=")</f>
        <v>#VALUE!</v>
      </c>
      <c r="FJ159" t="e">
        <f>AND('Planilla_General_03-12-2012_9_3'!E2539,"AAAAAH7O/6U=")</f>
        <v>#VALUE!</v>
      </c>
      <c r="FK159" t="e">
        <f>AND('Planilla_General_03-12-2012_9_3'!F2539,"AAAAAH7O/6Y=")</f>
        <v>#VALUE!</v>
      </c>
      <c r="FL159" t="e">
        <f>AND('Planilla_General_03-12-2012_9_3'!G2539,"AAAAAH7O/6c=")</f>
        <v>#VALUE!</v>
      </c>
      <c r="FM159" t="e">
        <f>AND('Planilla_General_03-12-2012_9_3'!H2539,"AAAAAH7O/6g=")</f>
        <v>#VALUE!</v>
      </c>
      <c r="FN159" t="e">
        <f>AND('Planilla_General_03-12-2012_9_3'!I2539,"AAAAAH7O/6k=")</f>
        <v>#VALUE!</v>
      </c>
      <c r="FO159" t="e">
        <f>AND('Planilla_General_03-12-2012_9_3'!J2539,"AAAAAH7O/6o=")</f>
        <v>#VALUE!</v>
      </c>
      <c r="FP159" t="e">
        <f>AND('Planilla_General_03-12-2012_9_3'!K2539,"AAAAAH7O/6s=")</f>
        <v>#VALUE!</v>
      </c>
      <c r="FQ159" t="e">
        <f>AND('Planilla_General_03-12-2012_9_3'!L2539,"AAAAAH7O/6w=")</f>
        <v>#VALUE!</v>
      </c>
      <c r="FR159" t="e">
        <f>AND('Planilla_General_03-12-2012_9_3'!M2539,"AAAAAH7O/60=")</f>
        <v>#VALUE!</v>
      </c>
      <c r="FS159" t="e">
        <f>AND('Planilla_General_03-12-2012_9_3'!N2539,"AAAAAH7O/64=")</f>
        <v>#VALUE!</v>
      </c>
      <c r="FT159" t="e">
        <f>AND('Planilla_General_03-12-2012_9_3'!O2539,"AAAAAH7O/68=")</f>
        <v>#VALUE!</v>
      </c>
      <c r="FU159">
        <f>IF('Planilla_General_03-12-2012_9_3'!2540:2540,"AAAAAH7O/7A=",0)</f>
        <v>0</v>
      </c>
      <c r="FV159" t="e">
        <f>AND('Planilla_General_03-12-2012_9_3'!A2540,"AAAAAH7O/7E=")</f>
        <v>#VALUE!</v>
      </c>
      <c r="FW159" t="e">
        <f>AND('Planilla_General_03-12-2012_9_3'!B2540,"AAAAAH7O/7I=")</f>
        <v>#VALUE!</v>
      </c>
      <c r="FX159" t="e">
        <f>AND('Planilla_General_03-12-2012_9_3'!C2540,"AAAAAH7O/7M=")</f>
        <v>#VALUE!</v>
      </c>
      <c r="FY159" t="e">
        <f>AND('Planilla_General_03-12-2012_9_3'!D2540,"AAAAAH7O/7Q=")</f>
        <v>#VALUE!</v>
      </c>
      <c r="FZ159" t="e">
        <f>AND('Planilla_General_03-12-2012_9_3'!E2540,"AAAAAH7O/7U=")</f>
        <v>#VALUE!</v>
      </c>
      <c r="GA159" t="e">
        <f>AND('Planilla_General_03-12-2012_9_3'!F2540,"AAAAAH7O/7Y=")</f>
        <v>#VALUE!</v>
      </c>
      <c r="GB159" t="e">
        <f>AND('Planilla_General_03-12-2012_9_3'!G2540,"AAAAAH7O/7c=")</f>
        <v>#VALUE!</v>
      </c>
      <c r="GC159" t="e">
        <f>AND('Planilla_General_03-12-2012_9_3'!H2540,"AAAAAH7O/7g=")</f>
        <v>#VALUE!</v>
      </c>
      <c r="GD159" t="e">
        <f>AND('Planilla_General_03-12-2012_9_3'!I2540,"AAAAAH7O/7k=")</f>
        <v>#VALUE!</v>
      </c>
      <c r="GE159" t="e">
        <f>AND('Planilla_General_03-12-2012_9_3'!J2540,"AAAAAH7O/7o=")</f>
        <v>#VALUE!</v>
      </c>
      <c r="GF159" t="e">
        <f>AND('Planilla_General_03-12-2012_9_3'!K2540,"AAAAAH7O/7s=")</f>
        <v>#VALUE!</v>
      </c>
      <c r="GG159" t="e">
        <f>AND('Planilla_General_03-12-2012_9_3'!L2540,"AAAAAH7O/7w=")</f>
        <v>#VALUE!</v>
      </c>
      <c r="GH159" t="e">
        <f>AND('Planilla_General_03-12-2012_9_3'!M2540,"AAAAAH7O/70=")</f>
        <v>#VALUE!</v>
      </c>
      <c r="GI159" t="e">
        <f>AND('Planilla_General_03-12-2012_9_3'!N2540,"AAAAAH7O/74=")</f>
        <v>#VALUE!</v>
      </c>
      <c r="GJ159" t="e">
        <f>AND('Planilla_General_03-12-2012_9_3'!O2540,"AAAAAH7O/78=")</f>
        <v>#VALUE!</v>
      </c>
      <c r="GK159">
        <f>IF('Planilla_General_03-12-2012_9_3'!2541:2541,"AAAAAH7O/8A=",0)</f>
        <v>0</v>
      </c>
      <c r="GL159" t="e">
        <f>AND('Planilla_General_03-12-2012_9_3'!A2541,"AAAAAH7O/8E=")</f>
        <v>#VALUE!</v>
      </c>
      <c r="GM159" t="e">
        <f>AND('Planilla_General_03-12-2012_9_3'!B2541,"AAAAAH7O/8I=")</f>
        <v>#VALUE!</v>
      </c>
      <c r="GN159" t="e">
        <f>AND('Planilla_General_03-12-2012_9_3'!C2541,"AAAAAH7O/8M=")</f>
        <v>#VALUE!</v>
      </c>
      <c r="GO159" t="e">
        <f>AND('Planilla_General_03-12-2012_9_3'!D2541,"AAAAAH7O/8Q=")</f>
        <v>#VALUE!</v>
      </c>
      <c r="GP159" t="e">
        <f>AND('Planilla_General_03-12-2012_9_3'!E2541,"AAAAAH7O/8U=")</f>
        <v>#VALUE!</v>
      </c>
      <c r="GQ159" t="e">
        <f>AND('Planilla_General_03-12-2012_9_3'!F2541,"AAAAAH7O/8Y=")</f>
        <v>#VALUE!</v>
      </c>
      <c r="GR159" t="e">
        <f>AND('Planilla_General_03-12-2012_9_3'!G2541,"AAAAAH7O/8c=")</f>
        <v>#VALUE!</v>
      </c>
      <c r="GS159" t="e">
        <f>AND('Planilla_General_03-12-2012_9_3'!H2541,"AAAAAH7O/8g=")</f>
        <v>#VALUE!</v>
      </c>
      <c r="GT159" t="e">
        <f>AND('Planilla_General_03-12-2012_9_3'!I2541,"AAAAAH7O/8k=")</f>
        <v>#VALUE!</v>
      </c>
      <c r="GU159" t="e">
        <f>AND('Planilla_General_03-12-2012_9_3'!J2541,"AAAAAH7O/8o=")</f>
        <v>#VALUE!</v>
      </c>
      <c r="GV159" t="e">
        <f>AND('Planilla_General_03-12-2012_9_3'!K2541,"AAAAAH7O/8s=")</f>
        <v>#VALUE!</v>
      </c>
      <c r="GW159" t="e">
        <f>AND('Planilla_General_03-12-2012_9_3'!L2541,"AAAAAH7O/8w=")</f>
        <v>#VALUE!</v>
      </c>
      <c r="GX159" t="e">
        <f>AND('Planilla_General_03-12-2012_9_3'!M2541,"AAAAAH7O/80=")</f>
        <v>#VALUE!</v>
      </c>
      <c r="GY159" t="e">
        <f>AND('Planilla_General_03-12-2012_9_3'!N2541,"AAAAAH7O/84=")</f>
        <v>#VALUE!</v>
      </c>
      <c r="GZ159" t="e">
        <f>AND('Planilla_General_03-12-2012_9_3'!O2541,"AAAAAH7O/88=")</f>
        <v>#VALUE!</v>
      </c>
      <c r="HA159">
        <f>IF('Planilla_General_03-12-2012_9_3'!2542:2542,"AAAAAH7O/9A=",0)</f>
        <v>0</v>
      </c>
      <c r="HB159" t="e">
        <f>AND('Planilla_General_03-12-2012_9_3'!A2542,"AAAAAH7O/9E=")</f>
        <v>#VALUE!</v>
      </c>
      <c r="HC159" t="e">
        <f>AND('Planilla_General_03-12-2012_9_3'!B2542,"AAAAAH7O/9I=")</f>
        <v>#VALUE!</v>
      </c>
      <c r="HD159" t="e">
        <f>AND('Planilla_General_03-12-2012_9_3'!C2542,"AAAAAH7O/9M=")</f>
        <v>#VALUE!</v>
      </c>
      <c r="HE159" t="e">
        <f>AND('Planilla_General_03-12-2012_9_3'!D2542,"AAAAAH7O/9Q=")</f>
        <v>#VALUE!</v>
      </c>
      <c r="HF159" t="e">
        <f>AND('Planilla_General_03-12-2012_9_3'!E2542,"AAAAAH7O/9U=")</f>
        <v>#VALUE!</v>
      </c>
      <c r="HG159" t="e">
        <f>AND('Planilla_General_03-12-2012_9_3'!F2542,"AAAAAH7O/9Y=")</f>
        <v>#VALUE!</v>
      </c>
      <c r="HH159" t="e">
        <f>AND('Planilla_General_03-12-2012_9_3'!G2542,"AAAAAH7O/9c=")</f>
        <v>#VALUE!</v>
      </c>
      <c r="HI159" t="e">
        <f>AND('Planilla_General_03-12-2012_9_3'!H2542,"AAAAAH7O/9g=")</f>
        <v>#VALUE!</v>
      </c>
      <c r="HJ159" t="e">
        <f>AND('Planilla_General_03-12-2012_9_3'!I2542,"AAAAAH7O/9k=")</f>
        <v>#VALUE!</v>
      </c>
      <c r="HK159" t="e">
        <f>AND('Planilla_General_03-12-2012_9_3'!J2542,"AAAAAH7O/9o=")</f>
        <v>#VALUE!</v>
      </c>
      <c r="HL159" t="e">
        <f>AND('Planilla_General_03-12-2012_9_3'!K2542,"AAAAAH7O/9s=")</f>
        <v>#VALUE!</v>
      </c>
      <c r="HM159" t="e">
        <f>AND('Planilla_General_03-12-2012_9_3'!L2542,"AAAAAH7O/9w=")</f>
        <v>#VALUE!</v>
      </c>
      <c r="HN159" t="e">
        <f>AND('Planilla_General_03-12-2012_9_3'!M2542,"AAAAAH7O/90=")</f>
        <v>#VALUE!</v>
      </c>
      <c r="HO159" t="e">
        <f>AND('Planilla_General_03-12-2012_9_3'!N2542,"AAAAAH7O/94=")</f>
        <v>#VALUE!</v>
      </c>
      <c r="HP159" t="e">
        <f>AND('Planilla_General_03-12-2012_9_3'!O2542,"AAAAAH7O/98=")</f>
        <v>#VALUE!</v>
      </c>
      <c r="HQ159">
        <f>IF('Planilla_General_03-12-2012_9_3'!2543:2543,"AAAAAH7O/+A=",0)</f>
        <v>0</v>
      </c>
      <c r="HR159" t="e">
        <f>AND('Planilla_General_03-12-2012_9_3'!A2543,"AAAAAH7O/+E=")</f>
        <v>#VALUE!</v>
      </c>
      <c r="HS159" t="e">
        <f>AND('Planilla_General_03-12-2012_9_3'!B2543,"AAAAAH7O/+I=")</f>
        <v>#VALUE!</v>
      </c>
      <c r="HT159" t="e">
        <f>AND('Planilla_General_03-12-2012_9_3'!C2543,"AAAAAH7O/+M=")</f>
        <v>#VALUE!</v>
      </c>
      <c r="HU159" t="e">
        <f>AND('Planilla_General_03-12-2012_9_3'!D2543,"AAAAAH7O/+Q=")</f>
        <v>#VALUE!</v>
      </c>
      <c r="HV159" t="e">
        <f>AND('Planilla_General_03-12-2012_9_3'!E2543,"AAAAAH7O/+U=")</f>
        <v>#VALUE!</v>
      </c>
      <c r="HW159" t="e">
        <f>AND('Planilla_General_03-12-2012_9_3'!F2543,"AAAAAH7O/+Y=")</f>
        <v>#VALUE!</v>
      </c>
      <c r="HX159" t="e">
        <f>AND('Planilla_General_03-12-2012_9_3'!G2543,"AAAAAH7O/+c=")</f>
        <v>#VALUE!</v>
      </c>
      <c r="HY159" t="e">
        <f>AND('Planilla_General_03-12-2012_9_3'!H2543,"AAAAAH7O/+g=")</f>
        <v>#VALUE!</v>
      </c>
      <c r="HZ159" t="e">
        <f>AND('Planilla_General_03-12-2012_9_3'!I2543,"AAAAAH7O/+k=")</f>
        <v>#VALUE!</v>
      </c>
      <c r="IA159" t="e">
        <f>AND('Planilla_General_03-12-2012_9_3'!J2543,"AAAAAH7O/+o=")</f>
        <v>#VALUE!</v>
      </c>
      <c r="IB159" t="e">
        <f>AND('Planilla_General_03-12-2012_9_3'!K2543,"AAAAAH7O/+s=")</f>
        <v>#VALUE!</v>
      </c>
      <c r="IC159" t="e">
        <f>AND('Planilla_General_03-12-2012_9_3'!L2543,"AAAAAH7O/+w=")</f>
        <v>#VALUE!</v>
      </c>
      <c r="ID159" t="e">
        <f>AND('Planilla_General_03-12-2012_9_3'!M2543,"AAAAAH7O/+0=")</f>
        <v>#VALUE!</v>
      </c>
      <c r="IE159" t="e">
        <f>AND('Planilla_General_03-12-2012_9_3'!N2543,"AAAAAH7O/+4=")</f>
        <v>#VALUE!</v>
      </c>
      <c r="IF159" t="e">
        <f>AND('Planilla_General_03-12-2012_9_3'!O2543,"AAAAAH7O/+8=")</f>
        <v>#VALUE!</v>
      </c>
      <c r="IG159">
        <f>IF('Planilla_General_03-12-2012_9_3'!2544:2544,"AAAAAH7O//A=",0)</f>
        <v>0</v>
      </c>
      <c r="IH159" t="e">
        <f>AND('Planilla_General_03-12-2012_9_3'!A2544,"AAAAAH7O//E=")</f>
        <v>#VALUE!</v>
      </c>
      <c r="II159" t="e">
        <f>AND('Planilla_General_03-12-2012_9_3'!B2544,"AAAAAH7O//I=")</f>
        <v>#VALUE!</v>
      </c>
      <c r="IJ159" t="e">
        <f>AND('Planilla_General_03-12-2012_9_3'!C2544,"AAAAAH7O//M=")</f>
        <v>#VALUE!</v>
      </c>
      <c r="IK159" t="e">
        <f>AND('Planilla_General_03-12-2012_9_3'!D2544,"AAAAAH7O//Q=")</f>
        <v>#VALUE!</v>
      </c>
      <c r="IL159" t="e">
        <f>AND('Planilla_General_03-12-2012_9_3'!E2544,"AAAAAH7O//U=")</f>
        <v>#VALUE!</v>
      </c>
      <c r="IM159" t="e">
        <f>AND('Planilla_General_03-12-2012_9_3'!F2544,"AAAAAH7O//Y=")</f>
        <v>#VALUE!</v>
      </c>
      <c r="IN159" t="e">
        <f>AND('Planilla_General_03-12-2012_9_3'!G2544,"AAAAAH7O//c=")</f>
        <v>#VALUE!</v>
      </c>
      <c r="IO159" t="e">
        <f>AND('Planilla_General_03-12-2012_9_3'!H2544,"AAAAAH7O//g=")</f>
        <v>#VALUE!</v>
      </c>
      <c r="IP159" t="e">
        <f>AND('Planilla_General_03-12-2012_9_3'!I2544,"AAAAAH7O//k=")</f>
        <v>#VALUE!</v>
      </c>
      <c r="IQ159" t="e">
        <f>AND('Planilla_General_03-12-2012_9_3'!J2544,"AAAAAH7O//o=")</f>
        <v>#VALUE!</v>
      </c>
      <c r="IR159" t="e">
        <f>AND('Planilla_General_03-12-2012_9_3'!K2544,"AAAAAH7O//s=")</f>
        <v>#VALUE!</v>
      </c>
      <c r="IS159" t="e">
        <f>AND('Planilla_General_03-12-2012_9_3'!L2544,"AAAAAH7O//w=")</f>
        <v>#VALUE!</v>
      </c>
      <c r="IT159" t="e">
        <f>AND('Planilla_General_03-12-2012_9_3'!M2544,"AAAAAH7O//0=")</f>
        <v>#VALUE!</v>
      </c>
      <c r="IU159" t="e">
        <f>AND('Planilla_General_03-12-2012_9_3'!N2544,"AAAAAH7O//4=")</f>
        <v>#VALUE!</v>
      </c>
      <c r="IV159" t="e">
        <f>AND('Planilla_General_03-12-2012_9_3'!O2544,"AAAAAH7O//8=")</f>
        <v>#VALUE!</v>
      </c>
    </row>
    <row r="160" spans="1:256" x14ac:dyDescent="0.25">
      <c r="A160" t="e">
        <f>IF('Planilla_General_03-12-2012_9_3'!2545:2545,"AAAAAH3S+gA=",0)</f>
        <v>#VALUE!</v>
      </c>
      <c r="B160" t="e">
        <f>AND('Planilla_General_03-12-2012_9_3'!A2545,"AAAAAH3S+gE=")</f>
        <v>#VALUE!</v>
      </c>
      <c r="C160" t="e">
        <f>AND('Planilla_General_03-12-2012_9_3'!B2545,"AAAAAH3S+gI=")</f>
        <v>#VALUE!</v>
      </c>
      <c r="D160" t="e">
        <f>AND('Planilla_General_03-12-2012_9_3'!C2545,"AAAAAH3S+gM=")</f>
        <v>#VALUE!</v>
      </c>
      <c r="E160" t="e">
        <f>AND('Planilla_General_03-12-2012_9_3'!D2545,"AAAAAH3S+gQ=")</f>
        <v>#VALUE!</v>
      </c>
      <c r="F160" t="e">
        <f>AND('Planilla_General_03-12-2012_9_3'!E2545,"AAAAAH3S+gU=")</f>
        <v>#VALUE!</v>
      </c>
      <c r="G160" t="e">
        <f>AND('Planilla_General_03-12-2012_9_3'!F2545,"AAAAAH3S+gY=")</f>
        <v>#VALUE!</v>
      </c>
      <c r="H160" t="e">
        <f>AND('Planilla_General_03-12-2012_9_3'!G2545,"AAAAAH3S+gc=")</f>
        <v>#VALUE!</v>
      </c>
      <c r="I160" t="e">
        <f>AND('Planilla_General_03-12-2012_9_3'!H2545,"AAAAAH3S+gg=")</f>
        <v>#VALUE!</v>
      </c>
      <c r="J160" t="e">
        <f>AND('Planilla_General_03-12-2012_9_3'!I2545,"AAAAAH3S+gk=")</f>
        <v>#VALUE!</v>
      </c>
      <c r="K160" t="e">
        <f>AND('Planilla_General_03-12-2012_9_3'!J2545,"AAAAAH3S+go=")</f>
        <v>#VALUE!</v>
      </c>
      <c r="L160" t="e">
        <f>AND('Planilla_General_03-12-2012_9_3'!K2545,"AAAAAH3S+gs=")</f>
        <v>#VALUE!</v>
      </c>
      <c r="M160" t="e">
        <f>AND('Planilla_General_03-12-2012_9_3'!L2545,"AAAAAH3S+gw=")</f>
        <v>#VALUE!</v>
      </c>
      <c r="N160" t="e">
        <f>AND('Planilla_General_03-12-2012_9_3'!M2545,"AAAAAH3S+g0=")</f>
        <v>#VALUE!</v>
      </c>
      <c r="O160" t="e">
        <f>AND('Planilla_General_03-12-2012_9_3'!N2545,"AAAAAH3S+g4=")</f>
        <v>#VALUE!</v>
      </c>
      <c r="P160" t="e">
        <f>AND('Planilla_General_03-12-2012_9_3'!O2545,"AAAAAH3S+g8=")</f>
        <v>#VALUE!</v>
      </c>
      <c r="Q160">
        <f>IF('Planilla_General_03-12-2012_9_3'!2546:2546,"AAAAAH3S+hA=",0)</f>
        <v>0</v>
      </c>
      <c r="R160" t="e">
        <f>AND('Planilla_General_03-12-2012_9_3'!A2546,"AAAAAH3S+hE=")</f>
        <v>#VALUE!</v>
      </c>
      <c r="S160" t="e">
        <f>AND('Planilla_General_03-12-2012_9_3'!B2546,"AAAAAH3S+hI=")</f>
        <v>#VALUE!</v>
      </c>
      <c r="T160" t="e">
        <f>AND('Planilla_General_03-12-2012_9_3'!C2546,"AAAAAH3S+hM=")</f>
        <v>#VALUE!</v>
      </c>
      <c r="U160" t="e">
        <f>AND('Planilla_General_03-12-2012_9_3'!D2546,"AAAAAH3S+hQ=")</f>
        <v>#VALUE!</v>
      </c>
      <c r="V160" t="e">
        <f>AND('Planilla_General_03-12-2012_9_3'!E2546,"AAAAAH3S+hU=")</f>
        <v>#VALUE!</v>
      </c>
      <c r="W160" t="e">
        <f>AND('Planilla_General_03-12-2012_9_3'!F2546,"AAAAAH3S+hY=")</f>
        <v>#VALUE!</v>
      </c>
      <c r="X160" t="e">
        <f>AND('Planilla_General_03-12-2012_9_3'!G2546,"AAAAAH3S+hc=")</f>
        <v>#VALUE!</v>
      </c>
      <c r="Y160" t="e">
        <f>AND('Planilla_General_03-12-2012_9_3'!H2546,"AAAAAH3S+hg=")</f>
        <v>#VALUE!</v>
      </c>
      <c r="Z160" t="e">
        <f>AND('Planilla_General_03-12-2012_9_3'!I2546,"AAAAAH3S+hk=")</f>
        <v>#VALUE!</v>
      </c>
      <c r="AA160" t="e">
        <f>AND('Planilla_General_03-12-2012_9_3'!J2546,"AAAAAH3S+ho=")</f>
        <v>#VALUE!</v>
      </c>
      <c r="AB160" t="e">
        <f>AND('Planilla_General_03-12-2012_9_3'!K2546,"AAAAAH3S+hs=")</f>
        <v>#VALUE!</v>
      </c>
      <c r="AC160" t="e">
        <f>AND('Planilla_General_03-12-2012_9_3'!L2546,"AAAAAH3S+hw=")</f>
        <v>#VALUE!</v>
      </c>
      <c r="AD160" t="e">
        <f>AND('Planilla_General_03-12-2012_9_3'!M2546,"AAAAAH3S+h0=")</f>
        <v>#VALUE!</v>
      </c>
      <c r="AE160" t="e">
        <f>AND('Planilla_General_03-12-2012_9_3'!N2546,"AAAAAH3S+h4=")</f>
        <v>#VALUE!</v>
      </c>
      <c r="AF160" t="e">
        <f>AND('Planilla_General_03-12-2012_9_3'!O2546,"AAAAAH3S+h8=")</f>
        <v>#VALUE!</v>
      </c>
      <c r="AG160">
        <f>IF('Planilla_General_03-12-2012_9_3'!2547:2547,"AAAAAH3S+iA=",0)</f>
        <v>0</v>
      </c>
      <c r="AH160" t="e">
        <f>AND('Planilla_General_03-12-2012_9_3'!A2547,"AAAAAH3S+iE=")</f>
        <v>#VALUE!</v>
      </c>
      <c r="AI160" t="e">
        <f>AND('Planilla_General_03-12-2012_9_3'!B2547,"AAAAAH3S+iI=")</f>
        <v>#VALUE!</v>
      </c>
      <c r="AJ160" t="e">
        <f>AND('Planilla_General_03-12-2012_9_3'!C2547,"AAAAAH3S+iM=")</f>
        <v>#VALUE!</v>
      </c>
      <c r="AK160" t="e">
        <f>AND('Planilla_General_03-12-2012_9_3'!D2547,"AAAAAH3S+iQ=")</f>
        <v>#VALUE!</v>
      </c>
      <c r="AL160" t="e">
        <f>AND('Planilla_General_03-12-2012_9_3'!E2547,"AAAAAH3S+iU=")</f>
        <v>#VALUE!</v>
      </c>
      <c r="AM160" t="e">
        <f>AND('Planilla_General_03-12-2012_9_3'!F2547,"AAAAAH3S+iY=")</f>
        <v>#VALUE!</v>
      </c>
      <c r="AN160" t="e">
        <f>AND('Planilla_General_03-12-2012_9_3'!G2547,"AAAAAH3S+ic=")</f>
        <v>#VALUE!</v>
      </c>
      <c r="AO160" t="e">
        <f>AND('Planilla_General_03-12-2012_9_3'!H2547,"AAAAAH3S+ig=")</f>
        <v>#VALUE!</v>
      </c>
      <c r="AP160" t="e">
        <f>AND('Planilla_General_03-12-2012_9_3'!I2547,"AAAAAH3S+ik=")</f>
        <v>#VALUE!</v>
      </c>
      <c r="AQ160" t="e">
        <f>AND('Planilla_General_03-12-2012_9_3'!J2547,"AAAAAH3S+io=")</f>
        <v>#VALUE!</v>
      </c>
      <c r="AR160" t="e">
        <f>AND('Planilla_General_03-12-2012_9_3'!K2547,"AAAAAH3S+is=")</f>
        <v>#VALUE!</v>
      </c>
      <c r="AS160" t="e">
        <f>AND('Planilla_General_03-12-2012_9_3'!L2547,"AAAAAH3S+iw=")</f>
        <v>#VALUE!</v>
      </c>
      <c r="AT160" t="e">
        <f>AND('Planilla_General_03-12-2012_9_3'!M2547,"AAAAAH3S+i0=")</f>
        <v>#VALUE!</v>
      </c>
      <c r="AU160" t="e">
        <f>AND('Planilla_General_03-12-2012_9_3'!N2547,"AAAAAH3S+i4=")</f>
        <v>#VALUE!</v>
      </c>
      <c r="AV160" t="e">
        <f>AND('Planilla_General_03-12-2012_9_3'!O2547,"AAAAAH3S+i8=")</f>
        <v>#VALUE!</v>
      </c>
      <c r="AW160">
        <f>IF('Planilla_General_03-12-2012_9_3'!2548:2548,"AAAAAH3S+jA=",0)</f>
        <v>0</v>
      </c>
      <c r="AX160" t="e">
        <f>AND('Planilla_General_03-12-2012_9_3'!A2548,"AAAAAH3S+jE=")</f>
        <v>#VALUE!</v>
      </c>
      <c r="AY160" t="e">
        <f>AND('Planilla_General_03-12-2012_9_3'!B2548,"AAAAAH3S+jI=")</f>
        <v>#VALUE!</v>
      </c>
      <c r="AZ160" t="e">
        <f>AND('Planilla_General_03-12-2012_9_3'!C2548,"AAAAAH3S+jM=")</f>
        <v>#VALUE!</v>
      </c>
      <c r="BA160" t="e">
        <f>AND('Planilla_General_03-12-2012_9_3'!D2548,"AAAAAH3S+jQ=")</f>
        <v>#VALUE!</v>
      </c>
      <c r="BB160" t="e">
        <f>AND('Planilla_General_03-12-2012_9_3'!E2548,"AAAAAH3S+jU=")</f>
        <v>#VALUE!</v>
      </c>
      <c r="BC160" t="e">
        <f>AND('Planilla_General_03-12-2012_9_3'!F2548,"AAAAAH3S+jY=")</f>
        <v>#VALUE!</v>
      </c>
      <c r="BD160" t="e">
        <f>AND('Planilla_General_03-12-2012_9_3'!G2548,"AAAAAH3S+jc=")</f>
        <v>#VALUE!</v>
      </c>
      <c r="BE160" t="e">
        <f>AND('Planilla_General_03-12-2012_9_3'!H2548,"AAAAAH3S+jg=")</f>
        <v>#VALUE!</v>
      </c>
      <c r="BF160" t="e">
        <f>AND('Planilla_General_03-12-2012_9_3'!I2548,"AAAAAH3S+jk=")</f>
        <v>#VALUE!</v>
      </c>
      <c r="BG160" t="e">
        <f>AND('Planilla_General_03-12-2012_9_3'!J2548,"AAAAAH3S+jo=")</f>
        <v>#VALUE!</v>
      </c>
      <c r="BH160" t="e">
        <f>AND('Planilla_General_03-12-2012_9_3'!K2548,"AAAAAH3S+js=")</f>
        <v>#VALUE!</v>
      </c>
      <c r="BI160" t="e">
        <f>AND('Planilla_General_03-12-2012_9_3'!L2548,"AAAAAH3S+jw=")</f>
        <v>#VALUE!</v>
      </c>
      <c r="BJ160" t="e">
        <f>AND('Planilla_General_03-12-2012_9_3'!M2548,"AAAAAH3S+j0=")</f>
        <v>#VALUE!</v>
      </c>
      <c r="BK160" t="e">
        <f>AND('Planilla_General_03-12-2012_9_3'!N2548,"AAAAAH3S+j4=")</f>
        <v>#VALUE!</v>
      </c>
      <c r="BL160" t="e">
        <f>AND('Planilla_General_03-12-2012_9_3'!O2548,"AAAAAH3S+j8=")</f>
        <v>#VALUE!</v>
      </c>
      <c r="BM160">
        <f>IF('Planilla_General_03-12-2012_9_3'!2549:2549,"AAAAAH3S+kA=",0)</f>
        <v>0</v>
      </c>
      <c r="BN160" t="e">
        <f>AND('Planilla_General_03-12-2012_9_3'!A2549,"AAAAAH3S+kE=")</f>
        <v>#VALUE!</v>
      </c>
      <c r="BO160" t="e">
        <f>AND('Planilla_General_03-12-2012_9_3'!B2549,"AAAAAH3S+kI=")</f>
        <v>#VALUE!</v>
      </c>
      <c r="BP160" t="e">
        <f>AND('Planilla_General_03-12-2012_9_3'!C2549,"AAAAAH3S+kM=")</f>
        <v>#VALUE!</v>
      </c>
      <c r="BQ160" t="e">
        <f>AND('Planilla_General_03-12-2012_9_3'!D2549,"AAAAAH3S+kQ=")</f>
        <v>#VALUE!</v>
      </c>
      <c r="BR160" t="e">
        <f>AND('Planilla_General_03-12-2012_9_3'!E2549,"AAAAAH3S+kU=")</f>
        <v>#VALUE!</v>
      </c>
      <c r="BS160" t="e">
        <f>AND('Planilla_General_03-12-2012_9_3'!F2549,"AAAAAH3S+kY=")</f>
        <v>#VALUE!</v>
      </c>
      <c r="BT160" t="e">
        <f>AND('Planilla_General_03-12-2012_9_3'!G2549,"AAAAAH3S+kc=")</f>
        <v>#VALUE!</v>
      </c>
      <c r="BU160" t="e">
        <f>AND('Planilla_General_03-12-2012_9_3'!H2549,"AAAAAH3S+kg=")</f>
        <v>#VALUE!</v>
      </c>
      <c r="BV160" t="e">
        <f>AND('Planilla_General_03-12-2012_9_3'!I2549,"AAAAAH3S+kk=")</f>
        <v>#VALUE!</v>
      </c>
      <c r="BW160" t="e">
        <f>AND('Planilla_General_03-12-2012_9_3'!J2549,"AAAAAH3S+ko=")</f>
        <v>#VALUE!</v>
      </c>
      <c r="BX160" t="e">
        <f>AND('Planilla_General_03-12-2012_9_3'!K2549,"AAAAAH3S+ks=")</f>
        <v>#VALUE!</v>
      </c>
      <c r="BY160" t="e">
        <f>AND('Planilla_General_03-12-2012_9_3'!L2549,"AAAAAH3S+kw=")</f>
        <v>#VALUE!</v>
      </c>
      <c r="BZ160" t="e">
        <f>AND('Planilla_General_03-12-2012_9_3'!M2549,"AAAAAH3S+k0=")</f>
        <v>#VALUE!</v>
      </c>
      <c r="CA160" t="e">
        <f>AND('Planilla_General_03-12-2012_9_3'!N2549,"AAAAAH3S+k4=")</f>
        <v>#VALUE!</v>
      </c>
      <c r="CB160" t="e">
        <f>AND('Planilla_General_03-12-2012_9_3'!O2549,"AAAAAH3S+k8=")</f>
        <v>#VALUE!</v>
      </c>
      <c r="CC160">
        <f>IF('Planilla_General_03-12-2012_9_3'!2550:2550,"AAAAAH3S+lA=",0)</f>
        <v>0</v>
      </c>
      <c r="CD160" t="e">
        <f>AND('Planilla_General_03-12-2012_9_3'!A2550,"AAAAAH3S+lE=")</f>
        <v>#VALUE!</v>
      </c>
      <c r="CE160" t="e">
        <f>AND('Planilla_General_03-12-2012_9_3'!B2550,"AAAAAH3S+lI=")</f>
        <v>#VALUE!</v>
      </c>
      <c r="CF160" t="e">
        <f>AND('Planilla_General_03-12-2012_9_3'!C2550,"AAAAAH3S+lM=")</f>
        <v>#VALUE!</v>
      </c>
      <c r="CG160" t="e">
        <f>AND('Planilla_General_03-12-2012_9_3'!D2550,"AAAAAH3S+lQ=")</f>
        <v>#VALUE!</v>
      </c>
      <c r="CH160" t="e">
        <f>AND('Planilla_General_03-12-2012_9_3'!E2550,"AAAAAH3S+lU=")</f>
        <v>#VALUE!</v>
      </c>
      <c r="CI160" t="e">
        <f>AND('Planilla_General_03-12-2012_9_3'!F2550,"AAAAAH3S+lY=")</f>
        <v>#VALUE!</v>
      </c>
      <c r="CJ160" t="e">
        <f>AND('Planilla_General_03-12-2012_9_3'!G2550,"AAAAAH3S+lc=")</f>
        <v>#VALUE!</v>
      </c>
      <c r="CK160" t="e">
        <f>AND('Planilla_General_03-12-2012_9_3'!H2550,"AAAAAH3S+lg=")</f>
        <v>#VALUE!</v>
      </c>
      <c r="CL160" t="e">
        <f>AND('Planilla_General_03-12-2012_9_3'!I2550,"AAAAAH3S+lk=")</f>
        <v>#VALUE!</v>
      </c>
      <c r="CM160" t="e">
        <f>AND('Planilla_General_03-12-2012_9_3'!J2550,"AAAAAH3S+lo=")</f>
        <v>#VALUE!</v>
      </c>
      <c r="CN160" t="e">
        <f>AND('Planilla_General_03-12-2012_9_3'!K2550,"AAAAAH3S+ls=")</f>
        <v>#VALUE!</v>
      </c>
      <c r="CO160" t="e">
        <f>AND('Planilla_General_03-12-2012_9_3'!L2550,"AAAAAH3S+lw=")</f>
        <v>#VALUE!</v>
      </c>
      <c r="CP160" t="e">
        <f>AND('Planilla_General_03-12-2012_9_3'!M2550,"AAAAAH3S+l0=")</f>
        <v>#VALUE!</v>
      </c>
      <c r="CQ160" t="e">
        <f>AND('Planilla_General_03-12-2012_9_3'!N2550,"AAAAAH3S+l4=")</f>
        <v>#VALUE!</v>
      </c>
      <c r="CR160" t="e">
        <f>AND('Planilla_General_03-12-2012_9_3'!O2550,"AAAAAH3S+l8=")</f>
        <v>#VALUE!</v>
      </c>
      <c r="CS160">
        <f>IF('Planilla_General_03-12-2012_9_3'!2551:2551,"AAAAAH3S+mA=",0)</f>
        <v>0</v>
      </c>
      <c r="CT160" t="e">
        <f>AND('Planilla_General_03-12-2012_9_3'!A2551,"AAAAAH3S+mE=")</f>
        <v>#VALUE!</v>
      </c>
      <c r="CU160" t="e">
        <f>AND('Planilla_General_03-12-2012_9_3'!B2551,"AAAAAH3S+mI=")</f>
        <v>#VALUE!</v>
      </c>
      <c r="CV160" t="e">
        <f>AND('Planilla_General_03-12-2012_9_3'!C2551,"AAAAAH3S+mM=")</f>
        <v>#VALUE!</v>
      </c>
      <c r="CW160" t="e">
        <f>AND('Planilla_General_03-12-2012_9_3'!D2551,"AAAAAH3S+mQ=")</f>
        <v>#VALUE!</v>
      </c>
      <c r="CX160" t="e">
        <f>AND('Planilla_General_03-12-2012_9_3'!E2551,"AAAAAH3S+mU=")</f>
        <v>#VALUE!</v>
      </c>
      <c r="CY160" t="e">
        <f>AND('Planilla_General_03-12-2012_9_3'!F2551,"AAAAAH3S+mY=")</f>
        <v>#VALUE!</v>
      </c>
      <c r="CZ160" t="e">
        <f>AND('Planilla_General_03-12-2012_9_3'!G2551,"AAAAAH3S+mc=")</f>
        <v>#VALUE!</v>
      </c>
      <c r="DA160" t="e">
        <f>AND('Planilla_General_03-12-2012_9_3'!H2551,"AAAAAH3S+mg=")</f>
        <v>#VALUE!</v>
      </c>
      <c r="DB160" t="e">
        <f>AND('Planilla_General_03-12-2012_9_3'!I2551,"AAAAAH3S+mk=")</f>
        <v>#VALUE!</v>
      </c>
      <c r="DC160" t="e">
        <f>AND('Planilla_General_03-12-2012_9_3'!J2551,"AAAAAH3S+mo=")</f>
        <v>#VALUE!</v>
      </c>
      <c r="DD160" t="e">
        <f>AND('Planilla_General_03-12-2012_9_3'!K2551,"AAAAAH3S+ms=")</f>
        <v>#VALUE!</v>
      </c>
      <c r="DE160" t="e">
        <f>AND('Planilla_General_03-12-2012_9_3'!L2551,"AAAAAH3S+mw=")</f>
        <v>#VALUE!</v>
      </c>
      <c r="DF160" t="e">
        <f>AND('Planilla_General_03-12-2012_9_3'!M2551,"AAAAAH3S+m0=")</f>
        <v>#VALUE!</v>
      </c>
      <c r="DG160" t="e">
        <f>AND('Planilla_General_03-12-2012_9_3'!N2551,"AAAAAH3S+m4=")</f>
        <v>#VALUE!</v>
      </c>
      <c r="DH160" t="e">
        <f>AND('Planilla_General_03-12-2012_9_3'!O2551,"AAAAAH3S+m8=")</f>
        <v>#VALUE!</v>
      </c>
      <c r="DI160">
        <f>IF('Planilla_General_03-12-2012_9_3'!2552:2552,"AAAAAH3S+nA=",0)</f>
        <v>0</v>
      </c>
      <c r="DJ160" t="e">
        <f>AND('Planilla_General_03-12-2012_9_3'!A2552,"AAAAAH3S+nE=")</f>
        <v>#VALUE!</v>
      </c>
      <c r="DK160" t="e">
        <f>AND('Planilla_General_03-12-2012_9_3'!B2552,"AAAAAH3S+nI=")</f>
        <v>#VALUE!</v>
      </c>
      <c r="DL160" t="e">
        <f>AND('Planilla_General_03-12-2012_9_3'!C2552,"AAAAAH3S+nM=")</f>
        <v>#VALUE!</v>
      </c>
      <c r="DM160" t="e">
        <f>AND('Planilla_General_03-12-2012_9_3'!D2552,"AAAAAH3S+nQ=")</f>
        <v>#VALUE!</v>
      </c>
      <c r="DN160" t="e">
        <f>AND('Planilla_General_03-12-2012_9_3'!E2552,"AAAAAH3S+nU=")</f>
        <v>#VALUE!</v>
      </c>
      <c r="DO160" t="e">
        <f>AND('Planilla_General_03-12-2012_9_3'!F2552,"AAAAAH3S+nY=")</f>
        <v>#VALUE!</v>
      </c>
      <c r="DP160" t="e">
        <f>AND('Planilla_General_03-12-2012_9_3'!G2552,"AAAAAH3S+nc=")</f>
        <v>#VALUE!</v>
      </c>
      <c r="DQ160" t="e">
        <f>AND('Planilla_General_03-12-2012_9_3'!H2552,"AAAAAH3S+ng=")</f>
        <v>#VALUE!</v>
      </c>
      <c r="DR160" t="e">
        <f>AND('Planilla_General_03-12-2012_9_3'!I2552,"AAAAAH3S+nk=")</f>
        <v>#VALUE!</v>
      </c>
      <c r="DS160" t="e">
        <f>AND('Planilla_General_03-12-2012_9_3'!J2552,"AAAAAH3S+no=")</f>
        <v>#VALUE!</v>
      </c>
      <c r="DT160" t="e">
        <f>AND('Planilla_General_03-12-2012_9_3'!K2552,"AAAAAH3S+ns=")</f>
        <v>#VALUE!</v>
      </c>
      <c r="DU160" t="e">
        <f>AND('Planilla_General_03-12-2012_9_3'!L2552,"AAAAAH3S+nw=")</f>
        <v>#VALUE!</v>
      </c>
      <c r="DV160" t="e">
        <f>AND('Planilla_General_03-12-2012_9_3'!M2552,"AAAAAH3S+n0=")</f>
        <v>#VALUE!</v>
      </c>
      <c r="DW160" t="e">
        <f>AND('Planilla_General_03-12-2012_9_3'!N2552,"AAAAAH3S+n4=")</f>
        <v>#VALUE!</v>
      </c>
      <c r="DX160" t="e">
        <f>AND('Planilla_General_03-12-2012_9_3'!O2552,"AAAAAH3S+n8=")</f>
        <v>#VALUE!</v>
      </c>
      <c r="DY160">
        <f>IF('Planilla_General_03-12-2012_9_3'!2553:2553,"AAAAAH3S+oA=",0)</f>
        <v>0</v>
      </c>
      <c r="DZ160" t="e">
        <f>AND('Planilla_General_03-12-2012_9_3'!A2553,"AAAAAH3S+oE=")</f>
        <v>#VALUE!</v>
      </c>
      <c r="EA160" t="e">
        <f>AND('Planilla_General_03-12-2012_9_3'!B2553,"AAAAAH3S+oI=")</f>
        <v>#VALUE!</v>
      </c>
      <c r="EB160" t="e">
        <f>AND('Planilla_General_03-12-2012_9_3'!C2553,"AAAAAH3S+oM=")</f>
        <v>#VALUE!</v>
      </c>
      <c r="EC160" t="e">
        <f>AND('Planilla_General_03-12-2012_9_3'!D2553,"AAAAAH3S+oQ=")</f>
        <v>#VALUE!</v>
      </c>
      <c r="ED160" t="e">
        <f>AND('Planilla_General_03-12-2012_9_3'!E2553,"AAAAAH3S+oU=")</f>
        <v>#VALUE!</v>
      </c>
      <c r="EE160" t="e">
        <f>AND('Planilla_General_03-12-2012_9_3'!F2553,"AAAAAH3S+oY=")</f>
        <v>#VALUE!</v>
      </c>
      <c r="EF160" t="e">
        <f>AND('Planilla_General_03-12-2012_9_3'!G2553,"AAAAAH3S+oc=")</f>
        <v>#VALUE!</v>
      </c>
      <c r="EG160" t="e">
        <f>AND('Planilla_General_03-12-2012_9_3'!H2553,"AAAAAH3S+og=")</f>
        <v>#VALUE!</v>
      </c>
      <c r="EH160" t="e">
        <f>AND('Planilla_General_03-12-2012_9_3'!I2553,"AAAAAH3S+ok=")</f>
        <v>#VALUE!</v>
      </c>
      <c r="EI160" t="e">
        <f>AND('Planilla_General_03-12-2012_9_3'!J2553,"AAAAAH3S+oo=")</f>
        <v>#VALUE!</v>
      </c>
      <c r="EJ160" t="e">
        <f>AND('Planilla_General_03-12-2012_9_3'!K2553,"AAAAAH3S+os=")</f>
        <v>#VALUE!</v>
      </c>
      <c r="EK160" t="e">
        <f>AND('Planilla_General_03-12-2012_9_3'!L2553,"AAAAAH3S+ow=")</f>
        <v>#VALUE!</v>
      </c>
      <c r="EL160" t="e">
        <f>AND('Planilla_General_03-12-2012_9_3'!M2553,"AAAAAH3S+o0=")</f>
        <v>#VALUE!</v>
      </c>
      <c r="EM160" t="e">
        <f>AND('Planilla_General_03-12-2012_9_3'!N2553,"AAAAAH3S+o4=")</f>
        <v>#VALUE!</v>
      </c>
      <c r="EN160" t="e">
        <f>AND('Planilla_General_03-12-2012_9_3'!O2553,"AAAAAH3S+o8=")</f>
        <v>#VALUE!</v>
      </c>
      <c r="EO160">
        <f>IF('Planilla_General_03-12-2012_9_3'!2554:2554,"AAAAAH3S+pA=",0)</f>
        <v>0</v>
      </c>
      <c r="EP160" t="e">
        <f>AND('Planilla_General_03-12-2012_9_3'!A2554,"AAAAAH3S+pE=")</f>
        <v>#VALUE!</v>
      </c>
      <c r="EQ160" t="e">
        <f>AND('Planilla_General_03-12-2012_9_3'!B2554,"AAAAAH3S+pI=")</f>
        <v>#VALUE!</v>
      </c>
      <c r="ER160" t="e">
        <f>AND('Planilla_General_03-12-2012_9_3'!C2554,"AAAAAH3S+pM=")</f>
        <v>#VALUE!</v>
      </c>
      <c r="ES160" t="e">
        <f>AND('Planilla_General_03-12-2012_9_3'!D2554,"AAAAAH3S+pQ=")</f>
        <v>#VALUE!</v>
      </c>
      <c r="ET160" t="e">
        <f>AND('Planilla_General_03-12-2012_9_3'!E2554,"AAAAAH3S+pU=")</f>
        <v>#VALUE!</v>
      </c>
      <c r="EU160" t="e">
        <f>AND('Planilla_General_03-12-2012_9_3'!F2554,"AAAAAH3S+pY=")</f>
        <v>#VALUE!</v>
      </c>
      <c r="EV160" t="e">
        <f>AND('Planilla_General_03-12-2012_9_3'!G2554,"AAAAAH3S+pc=")</f>
        <v>#VALUE!</v>
      </c>
      <c r="EW160" t="e">
        <f>AND('Planilla_General_03-12-2012_9_3'!H2554,"AAAAAH3S+pg=")</f>
        <v>#VALUE!</v>
      </c>
      <c r="EX160" t="e">
        <f>AND('Planilla_General_03-12-2012_9_3'!I2554,"AAAAAH3S+pk=")</f>
        <v>#VALUE!</v>
      </c>
      <c r="EY160" t="e">
        <f>AND('Planilla_General_03-12-2012_9_3'!J2554,"AAAAAH3S+po=")</f>
        <v>#VALUE!</v>
      </c>
      <c r="EZ160" t="e">
        <f>AND('Planilla_General_03-12-2012_9_3'!K2554,"AAAAAH3S+ps=")</f>
        <v>#VALUE!</v>
      </c>
      <c r="FA160" t="e">
        <f>AND('Planilla_General_03-12-2012_9_3'!L2554,"AAAAAH3S+pw=")</f>
        <v>#VALUE!</v>
      </c>
      <c r="FB160" t="e">
        <f>AND('Planilla_General_03-12-2012_9_3'!M2554,"AAAAAH3S+p0=")</f>
        <v>#VALUE!</v>
      </c>
      <c r="FC160" t="e">
        <f>AND('Planilla_General_03-12-2012_9_3'!N2554,"AAAAAH3S+p4=")</f>
        <v>#VALUE!</v>
      </c>
      <c r="FD160" t="e">
        <f>AND('Planilla_General_03-12-2012_9_3'!O2554,"AAAAAH3S+p8=")</f>
        <v>#VALUE!</v>
      </c>
      <c r="FE160">
        <f>IF('Planilla_General_03-12-2012_9_3'!2555:2555,"AAAAAH3S+qA=",0)</f>
        <v>0</v>
      </c>
      <c r="FF160" t="e">
        <f>AND('Planilla_General_03-12-2012_9_3'!A2555,"AAAAAH3S+qE=")</f>
        <v>#VALUE!</v>
      </c>
      <c r="FG160" t="e">
        <f>AND('Planilla_General_03-12-2012_9_3'!B2555,"AAAAAH3S+qI=")</f>
        <v>#VALUE!</v>
      </c>
      <c r="FH160" t="e">
        <f>AND('Planilla_General_03-12-2012_9_3'!C2555,"AAAAAH3S+qM=")</f>
        <v>#VALUE!</v>
      </c>
      <c r="FI160" t="e">
        <f>AND('Planilla_General_03-12-2012_9_3'!D2555,"AAAAAH3S+qQ=")</f>
        <v>#VALUE!</v>
      </c>
      <c r="FJ160" t="e">
        <f>AND('Planilla_General_03-12-2012_9_3'!E2555,"AAAAAH3S+qU=")</f>
        <v>#VALUE!</v>
      </c>
      <c r="FK160" t="e">
        <f>AND('Planilla_General_03-12-2012_9_3'!F2555,"AAAAAH3S+qY=")</f>
        <v>#VALUE!</v>
      </c>
      <c r="FL160" t="e">
        <f>AND('Planilla_General_03-12-2012_9_3'!G2555,"AAAAAH3S+qc=")</f>
        <v>#VALUE!</v>
      </c>
      <c r="FM160" t="e">
        <f>AND('Planilla_General_03-12-2012_9_3'!H2555,"AAAAAH3S+qg=")</f>
        <v>#VALUE!</v>
      </c>
      <c r="FN160" t="e">
        <f>AND('Planilla_General_03-12-2012_9_3'!I2555,"AAAAAH3S+qk=")</f>
        <v>#VALUE!</v>
      </c>
      <c r="FO160" t="e">
        <f>AND('Planilla_General_03-12-2012_9_3'!J2555,"AAAAAH3S+qo=")</f>
        <v>#VALUE!</v>
      </c>
      <c r="FP160" t="e">
        <f>AND('Planilla_General_03-12-2012_9_3'!K2555,"AAAAAH3S+qs=")</f>
        <v>#VALUE!</v>
      </c>
      <c r="FQ160" t="e">
        <f>AND('Planilla_General_03-12-2012_9_3'!L2555,"AAAAAH3S+qw=")</f>
        <v>#VALUE!</v>
      </c>
      <c r="FR160" t="e">
        <f>AND('Planilla_General_03-12-2012_9_3'!M2555,"AAAAAH3S+q0=")</f>
        <v>#VALUE!</v>
      </c>
      <c r="FS160" t="e">
        <f>AND('Planilla_General_03-12-2012_9_3'!N2555,"AAAAAH3S+q4=")</f>
        <v>#VALUE!</v>
      </c>
      <c r="FT160" t="e">
        <f>AND('Planilla_General_03-12-2012_9_3'!O2555,"AAAAAH3S+q8=")</f>
        <v>#VALUE!</v>
      </c>
      <c r="FU160">
        <f>IF('Planilla_General_03-12-2012_9_3'!2556:2556,"AAAAAH3S+rA=",0)</f>
        <v>0</v>
      </c>
      <c r="FV160" t="e">
        <f>AND('Planilla_General_03-12-2012_9_3'!A2556,"AAAAAH3S+rE=")</f>
        <v>#VALUE!</v>
      </c>
      <c r="FW160" t="e">
        <f>AND('Planilla_General_03-12-2012_9_3'!B2556,"AAAAAH3S+rI=")</f>
        <v>#VALUE!</v>
      </c>
      <c r="FX160" t="e">
        <f>AND('Planilla_General_03-12-2012_9_3'!C2556,"AAAAAH3S+rM=")</f>
        <v>#VALUE!</v>
      </c>
      <c r="FY160" t="e">
        <f>AND('Planilla_General_03-12-2012_9_3'!D2556,"AAAAAH3S+rQ=")</f>
        <v>#VALUE!</v>
      </c>
      <c r="FZ160" t="e">
        <f>AND('Planilla_General_03-12-2012_9_3'!E2556,"AAAAAH3S+rU=")</f>
        <v>#VALUE!</v>
      </c>
      <c r="GA160" t="e">
        <f>AND('Planilla_General_03-12-2012_9_3'!F2556,"AAAAAH3S+rY=")</f>
        <v>#VALUE!</v>
      </c>
      <c r="GB160" t="e">
        <f>AND('Planilla_General_03-12-2012_9_3'!G2556,"AAAAAH3S+rc=")</f>
        <v>#VALUE!</v>
      </c>
      <c r="GC160" t="e">
        <f>AND('Planilla_General_03-12-2012_9_3'!H2556,"AAAAAH3S+rg=")</f>
        <v>#VALUE!</v>
      </c>
      <c r="GD160" t="e">
        <f>AND('Planilla_General_03-12-2012_9_3'!I2556,"AAAAAH3S+rk=")</f>
        <v>#VALUE!</v>
      </c>
      <c r="GE160" t="e">
        <f>AND('Planilla_General_03-12-2012_9_3'!J2556,"AAAAAH3S+ro=")</f>
        <v>#VALUE!</v>
      </c>
      <c r="GF160" t="e">
        <f>AND('Planilla_General_03-12-2012_9_3'!K2556,"AAAAAH3S+rs=")</f>
        <v>#VALUE!</v>
      </c>
      <c r="GG160" t="e">
        <f>AND('Planilla_General_03-12-2012_9_3'!L2556,"AAAAAH3S+rw=")</f>
        <v>#VALUE!</v>
      </c>
      <c r="GH160" t="e">
        <f>AND('Planilla_General_03-12-2012_9_3'!M2556,"AAAAAH3S+r0=")</f>
        <v>#VALUE!</v>
      </c>
      <c r="GI160" t="e">
        <f>AND('Planilla_General_03-12-2012_9_3'!N2556,"AAAAAH3S+r4=")</f>
        <v>#VALUE!</v>
      </c>
      <c r="GJ160" t="e">
        <f>AND('Planilla_General_03-12-2012_9_3'!O2556,"AAAAAH3S+r8=")</f>
        <v>#VALUE!</v>
      </c>
      <c r="GK160">
        <f>IF('Planilla_General_03-12-2012_9_3'!2557:2557,"AAAAAH3S+sA=",0)</f>
        <v>0</v>
      </c>
      <c r="GL160" t="e">
        <f>AND('Planilla_General_03-12-2012_9_3'!A2557,"AAAAAH3S+sE=")</f>
        <v>#VALUE!</v>
      </c>
      <c r="GM160" t="e">
        <f>AND('Planilla_General_03-12-2012_9_3'!B2557,"AAAAAH3S+sI=")</f>
        <v>#VALUE!</v>
      </c>
      <c r="GN160" t="e">
        <f>AND('Planilla_General_03-12-2012_9_3'!C2557,"AAAAAH3S+sM=")</f>
        <v>#VALUE!</v>
      </c>
      <c r="GO160" t="e">
        <f>AND('Planilla_General_03-12-2012_9_3'!D2557,"AAAAAH3S+sQ=")</f>
        <v>#VALUE!</v>
      </c>
      <c r="GP160" t="e">
        <f>AND('Planilla_General_03-12-2012_9_3'!E2557,"AAAAAH3S+sU=")</f>
        <v>#VALUE!</v>
      </c>
      <c r="GQ160" t="e">
        <f>AND('Planilla_General_03-12-2012_9_3'!F2557,"AAAAAH3S+sY=")</f>
        <v>#VALUE!</v>
      </c>
      <c r="GR160" t="e">
        <f>AND('Planilla_General_03-12-2012_9_3'!G2557,"AAAAAH3S+sc=")</f>
        <v>#VALUE!</v>
      </c>
      <c r="GS160" t="e">
        <f>AND('Planilla_General_03-12-2012_9_3'!H2557,"AAAAAH3S+sg=")</f>
        <v>#VALUE!</v>
      </c>
      <c r="GT160" t="e">
        <f>AND('Planilla_General_03-12-2012_9_3'!I2557,"AAAAAH3S+sk=")</f>
        <v>#VALUE!</v>
      </c>
      <c r="GU160" t="e">
        <f>AND('Planilla_General_03-12-2012_9_3'!J2557,"AAAAAH3S+so=")</f>
        <v>#VALUE!</v>
      </c>
      <c r="GV160" t="e">
        <f>AND('Planilla_General_03-12-2012_9_3'!K2557,"AAAAAH3S+ss=")</f>
        <v>#VALUE!</v>
      </c>
      <c r="GW160" t="e">
        <f>AND('Planilla_General_03-12-2012_9_3'!L2557,"AAAAAH3S+sw=")</f>
        <v>#VALUE!</v>
      </c>
      <c r="GX160" t="e">
        <f>AND('Planilla_General_03-12-2012_9_3'!M2557,"AAAAAH3S+s0=")</f>
        <v>#VALUE!</v>
      </c>
      <c r="GY160" t="e">
        <f>AND('Planilla_General_03-12-2012_9_3'!N2557,"AAAAAH3S+s4=")</f>
        <v>#VALUE!</v>
      </c>
      <c r="GZ160" t="e">
        <f>AND('Planilla_General_03-12-2012_9_3'!O2557,"AAAAAH3S+s8=")</f>
        <v>#VALUE!</v>
      </c>
      <c r="HA160">
        <f>IF('Planilla_General_03-12-2012_9_3'!2558:2558,"AAAAAH3S+tA=",0)</f>
        <v>0</v>
      </c>
      <c r="HB160" t="e">
        <f>AND('Planilla_General_03-12-2012_9_3'!A2558,"AAAAAH3S+tE=")</f>
        <v>#VALUE!</v>
      </c>
      <c r="HC160" t="e">
        <f>AND('Planilla_General_03-12-2012_9_3'!B2558,"AAAAAH3S+tI=")</f>
        <v>#VALUE!</v>
      </c>
      <c r="HD160" t="e">
        <f>AND('Planilla_General_03-12-2012_9_3'!C2558,"AAAAAH3S+tM=")</f>
        <v>#VALUE!</v>
      </c>
      <c r="HE160" t="e">
        <f>AND('Planilla_General_03-12-2012_9_3'!D2558,"AAAAAH3S+tQ=")</f>
        <v>#VALUE!</v>
      </c>
      <c r="HF160" t="e">
        <f>AND('Planilla_General_03-12-2012_9_3'!E2558,"AAAAAH3S+tU=")</f>
        <v>#VALUE!</v>
      </c>
      <c r="HG160" t="e">
        <f>AND('Planilla_General_03-12-2012_9_3'!F2558,"AAAAAH3S+tY=")</f>
        <v>#VALUE!</v>
      </c>
      <c r="HH160" t="e">
        <f>AND('Planilla_General_03-12-2012_9_3'!G2558,"AAAAAH3S+tc=")</f>
        <v>#VALUE!</v>
      </c>
      <c r="HI160" t="e">
        <f>AND('Planilla_General_03-12-2012_9_3'!H2558,"AAAAAH3S+tg=")</f>
        <v>#VALUE!</v>
      </c>
      <c r="HJ160" t="e">
        <f>AND('Planilla_General_03-12-2012_9_3'!I2558,"AAAAAH3S+tk=")</f>
        <v>#VALUE!</v>
      </c>
      <c r="HK160" t="e">
        <f>AND('Planilla_General_03-12-2012_9_3'!J2558,"AAAAAH3S+to=")</f>
        <v>#VALUE!</v>
      </c>
      <c r="HL160" t="e">
        <f>AND('Planilla_General_03-12-2012_9_3'!K2558,"AAAAAH3S+ts=")</f>
        <v>#VALUE!</v>
      </c>
      <c r="HM160" t="e">
        <f>AND('Planilla_General_03-12-2012_9_3'!L2558,"AAAAAH3S+tw=")</f>
        <v>#VALUE!</v>
      </c>
      <c r="HN160" t="e">
        <f>AND('Planilla_General_03-12-2012_9_3'!M2558,"AAAAAH3S+t0=")</f>
        <v>#VALUE!</v>
      </c>
      <c r="HO160" t="e">
        <f>AND('Planilla_General_03-12-2012_9_3'!N2558,"AAAAAH3S+t4=")</f>
        <v>#VALUE!</v>
      </c>
      <c r="HP160" t="e">
        <f>AND('Planilla_General_03-12-2012_9_3'!O2558,"AAAAAH3S+t8=")</f>
        <v>#VALUE!</v>
      </c>
      <c r="HQ160">
        <f>IF('Planilla_General_03-12-2012_9_3'!2559:2559,"AAAAAH3S+uA=",0)</f>
        <v>0</v>
      </c>
      <c r="HR160" t="e">
        <f>AND('Planilla_General_03-12-2012_9_3'!A2559,"AAAAAH3S+uE=")</f>
        <v>#VALUE!</v>
      </c>
      <c r="HS160" t="e">
        <f>AND('Planilla_General_03-12-2012_9_3'!B2559,"AAAAAH3S+uI=")</f>
        <v>#VALUE!</v>
      </c>
      <c r="HT160" t="e">
        <f>AND('Planilla_General_03-12-2012_9_3'!C2559,"AAAAAH3S+uM=")</f>
        <v>#VALUE!</v>
      </c>
      <c r="HU160" t="e">
        <f>AND('Planilla_General_03-12-2012_9_3'!D2559,"AAAAAH3S+uQ=")</f>
        <v>#VALUE!</v>
      </c>
      <c r="HV160" t="e">
        <f>AND('Planilla_General_03-12-2012_9_3'!E2559,"AAAAAH3S+uU=")</f>
        <v>#VALUE!</v>
      </c>
      <c r="HW160" t="e">
        <f>AND('Planilla_General_03-12-2012_9_3'!F2559,"AAAAAH3S+uY=")</f>
        <v>#VALUE!</v>
      </c>
      <c r="HX160" t="e">
        <f>AND('Planilla_General_03-12-2012_9_3'!G2559,"AAAAAH3S+uc=")</f>
        <v>#VALUE!</v>
      </c>
      <c r="HY160" t="e">
        <f>AND('Planilla_General_03-12-2012_9_3'!H2559,"AAAAAH3S+ug=")</f>
        <v>#VALUE!</v>
      </c>
      <c r="HZ160" t="e">
        <f>AND('Planilla_General_03-12-2012_9_3'!I2559,"AAAAAH3S+uk=")</f>
        <v>#VALUE!</v>
      </c>
      <c r="IA160" t="e">
        <f>AND('Planilla_General_03-12-2012_9_3'!J2559,"AAAAAH3S+uo=")</f>
        <v>#VALUE!</v>
      </c>
      <c r="IB160" t="e">
        <f>AND('Planilla_General_03-12-2012_9_3'!K2559,"AAAAAH3S+us=")</f>
        <v>#VALUE!</v>
      </c>
      <c r="IC160" t="e">
        <f>AND('Planilla_General_03-12-2012_9_3'!L2559,"AAAAAH3S+uw=")</f>
        <v>#VALUE!</v>
      </c>
      <c r="ID160" t="e">
        <f>AND('Planilla_General_03-12-2012_9_3'!M2559,"AAAAAH3S+u0=")</f>
        <v>#VALUE!</v>
      </c>
      <c r="IE160" t="e">
        <f>AND('Planilla_General_03-12-2012_9_3'!N2559,"AAAAAH3S+u4=")</f>
        <v>#VALUE!</v>
      </c>
      <c r="IF160" t="e">
        <f>AND('Planilla_General_03-12-2012_9_3'!O2559,"AAAAAH3S+u8=")</f>
        <v>#VALUE!</v>
      </c>
      <c r="IG160">
        <f>IF('Planilla_General_03-12-2012_9_3'!2560:2560,"AAAAAH3S+vA=",0)</f>
        <v>0</v>
      </c>
      <c r="IH160" t="e">
        <f>AND('Planilla_General_03-12-2012_9_3'!A2560,"AAAAAH3S+vE=")</f>
        <v>#VALUE!</v>
      </c>
      <c r="II160" t="e">
        <f>AND('Planilla_General_03-12-2012_9_3'!B2560,"AAAAAH3S+vI=")</f>
        <v>#VALUE!</v>
      </c>
      <c r="IJ160" t="e">
        <f>AND('Planilla_General_03-12-2012_9_3'!C2560,"AAAAAH3S+vM=")</f>
        <v>#VALUE!</v>
      </c>
      <c r="IK160" t="e">
        <f>AND('Planilla_General_03-12-2012_9_3'!D2560,"AAAAAH3S+vQ=")</f>
        <v>#VALUE!</v>
      </c>
      <c r="IL160" t="e">
        <f>AND('Planilla_General_03-12-2012_9_3'!E2560,"AAAAAH3S+vU=")</f>
        <v>#VALUE!</v>
      </c>
      <c r="IM160" t="e">
        <f>AND('Planilla_General_03-12-2012_9_3'!F2560,"AAAAAH3S+vY=")</f>
        <v>#VALUE!</v>
      </c>
      <c r="IN160" t="e">
        <f>AND('Planilla_General_03-12-2012_9_3'!G2560,"AAAAAH3S+vc=")</f>
        <v>#VALUE!</v>
      </c>
      <c r="IO160" t="e">
        <f>AND('Planilla_General_03-12-2012_9_3'!H2560,"AAAAAH3S+vg=")</f>
        <v>#VALUE!</v>
      </c>
      <c r="IP160" t="e">
        <f>AND('Planilla_General_03-12-2012_9_3'!I2560,"AAAAAH3S+vk=")</f>
        <v>#VALUE!</v>
      </c>
      <c r="IQ160" t="e">
        <f>AND('Planilla_General_03-12-2012_9_3'!J2560,"AAAAAH3S+vo=")</f>
        <v>#VALUE!</v>
      </c>
      <c r="IR160" t="e">
        <f>AND('Planilla_General_03-12-2012_9_3'!K2560,"AAAAAH3S+vs=")</f>
        <v>#VALUE!</v>
      </c>
      <c r="IS160" t="e">
        <f>AND('Planilla_General_03-12-2012_9_3'!L2560,"AAAAAH3S+vw=")</f>
        <v>#VALUE!</v>
      </c>
      <c r="IT160" t="e">
        <f>AND('Planilla_General_03-12-2012_9_3'!M2560,"AAAAAH3S+v0=")</f>
        <v>#VALUE!</v>
      </c>
      <c r="IU160" t="e">
        <f>AND('Planilla_General_03-12-2012_9_3'!N2560,"AAAAAH3S+v4=")</f>
        <v>#VALUE!</v>
      </c>
      <c r="IV160" t="e">
        <f>AND('Planilla_General_03-12-2012_9_3'!O2560,"AAAAAH3S+v8=")</f>
        <v>#VALUE!</v>
      </c>
    </row>
    <row r="161" spans="1:256" x14ac:dyDescent="0.25">
      <c r="A161" t="e">
        <f>IF('Planilla_General_03-12-2012_9_3'!2561:2561,"AAAAAG3tbwA=",0)</f>
        <v>#VALUE!</v>
      </c>
      <c r="B161" t="e">
        <f>AND('Planilla_General_03-12-2012_9_3'!A2561,"AAAAAG3tbwE=")</f>
        <v>#VALUE!</v>
      </c>
      <c r="C161" t="e">
        <f>AND('Planilla_General_03-12-2012_9_3'!B2561,"AAAAAG3tbwI=")</f>
        <v>#VALUE!</v>
      </c>
      <c r="D161" t="e">
        <f>AND('Planilla_General_03-12-2012_9_3'!C2561,"AAAAAG3tbwM=")</f>
        <v>#VALUE!</v>
      </c>
      <c r="E161" t="e">
        <f>AND('Planilla_General_03-12-2012_9_3'!D2561,"AAAAAG3tbwQ=")</f>
        <v>#VALUE!</v>
      </c>
      <c r="F161" t="e">
        <f>AND('Planilla_General_03-12-2012_9_3'!E2561,"AAAAAG3tbwU=")</f>
        <v>#VALUE!</v>
      </c>
      <c r="G161" t="e">
        <f>AND('Planilla_General_03-12-2012_9_3'!F2561,"AAAAAG3tbwY=")</f>
        <v>#VALUE!</v>
      </c>
      <c r="H161" t="e">
        <f>AND('Planilla_General_03-12-2012_9_3'!G2561,"AAAAAG3tbwc=")</f>
        <v>#VALUE!</v>
      </c>
      <c r="I161" t="e">
        <f>AND('Planilla_General_03-12-2012_9_3'!H2561,"AAAAAG3tbwg=")</f>
        <v>#VALUE!</v>
      </c>
      <c r="J161" t="e">
        <f>AND('Planilla_General_03-12-2012_9_3'!I2561,"AAAAAG3tbwk=")</f>
        <v>#VALUE!</v>
      </c>
      <c r="K161" t="e">
        <f>AND('Planilla_General_03-12-2012_9_3'!J2561,"AAAAAG3tbwo=")</f>
        <v>#VALUE!</v>
      </c>
      <c r="L161" t="e">
        <f>AND('Planilla_General_03-12-2012_9_3'!K2561,"AAAAAG3tbws=")</f>
        <v>#VALUE!</v>
      </c>
      <c r="M161" t="e">
        <f>AND('Planilla_General_03-12-2012_9_3'!L2561,"AAAAAG3tbww=")</f>
        <v>#VALUE!</v>
      </c>
      <c r="N161" t="e">
        <f>AND('Planilla_General_03-12-2012_9_3'!M2561,"AAAAAG3tbw0=")</f>
        <v>#VALUE!</v>
      </c>
      <c r="O161" t="e">
        <f>AND('Planilla_General_03-12-2012_9_3'!N2561,"AAAAAG3tbw4=")</f>
        <v>#VALUE!</v>
      </c>
      <c r="P161" t="e">
        <f>AND('Planilla_General_03-12-2012_9_3'!O2561,"AAAAAG3tbw8=")</f>
        <v>#VALUE!</v>
      </c>
      <c r="Q161">
        <f>IF('Planilla_General_03-12-2012_9_3'!2562:2562,"AAAAAG3tbxA=",0)</f>
        <v>0</v>
      </c>
      <c r="R161" t="e">
        <f>AND('Planilla_General_03-12-2012_9_3'!A2562,"AAAAAG3tbxE=")</f>
        <v>#VALUE!</v>
      </c>
      <c r="S161" t="e">
        <f>AND('Planilla_General_03-12-2012_9_3'!B2562,"AAAAAG3tbxI=")</f>
        <v>#VALUE!</v>
      </c>
      <c r="T161" t="e">
        <f>AND('Planilla_General_03-12-2012_9_3'!C2562,"AAAAAG3tbxM=")</f>
        <v>#VALUE!</v>
      </c>
      <c r="U161" t="e">
        <f>AND('Planilla_General_03-12-2012_9_3'!D2562,"AAAAAG3tbxQ=")</f>
        <v>#VALUE!</v>
      </c>
      <c r="V161" t="e">
        <f>AND('Planilla_General_03-12-2012_9_3'!E2562,"AAAAAG3tbxU=")</f>
        <v>#VALUE!</v>
      </c>
      <c r="W161" t="e">
        <f>AND('Planilla_General_03-12-2012_9_3'!F2562,"AAAAAG3tbxY=")</f>
        <v>#VALUE!</v>
      </c>
      <c r="X161" t="e">
        <f>AND('Planilla_General_03-12-2012_9_3'!G2562,"AAAAAG3tbxc=")</f>
        <v>#VALUE!</v>
      </c>
      <c r="Y161" t="e">
        <f>AND('Planilla_General_03-12-2012_9_3'!H2562,"AAAAAG3tbxg=")</f>
        <v>#VALUE!</v>
      </c>
      <c r="Z161" t="e">
        <f>AND('Planilla_General_03-12-2012_9_3'!I2562,"AAAAAG3tbxk=")</f>
        <v>#VALUE!</v>
      </c>
      <c r="AA161" t="e">
        <f>AND('Planilla_General_03-12-2012_9_3'!J2562,"AAAAAG3tbxo=")</f>
        <v>#VALUE!</v>
      </c>
      <c r="AB161" t="e">
        <f>AND('Planilla_General_03-12-2012_9_3'!K2562,"AAAAAG3tbxs=")</f>
        <v>#VALUE!</v>
      </c>
      <c r="AC161" t="e">
        <f>AND('Planilla_General_03-12-2012_9_3'!L2562,"AAAAAG3tbxw=")</f>
        <v>#VALUE!</v>
      </c>
      <c r="AD161" t="e">
        <f>AND('Planilla_General_03-12-2012_9_3'!M2562,"AAAAAG3tbx0=")</f>
        <v>#VALUE!</v>
      </c>
      <c r="AE161" t="e">
        <f>AND('Planilla_General_03-12-2012_9_3'!N2562,"AAAAAG3tbx4=")</f>
        <v>#VALUE!</v>
      </c>
      <c r="AF161" t="e">
        <f>AND('Planilla_General_03-12-2012_9_3'!O2562,"AAAAAG3tbx8=")</f>
        <v>#VALUE!</v>
      </c>
      <c r="AG161">
        <f>IF('Planilla_General_03-12-2012_9_3'!2563:2563,"AAAAAG3tbyA=",0)</f>
        <v>0</v>
      </c>
      <c r="AH161" t="e">
        <f>AND('Planilla_General_03-12-2012_9_3'!A2563,"AAAAAG3tbyE=")</f>
        <v>#VALUE!</v>
      </c>
      <c r="AI161" t="e">
        <f>AND('Planilla_General_03-12-2012_9_3'!B2563,"AAAAAG3tbyI=")</f>
        <v>#VALUE!</v>
      </c>
      <c r="AJ161" t="e">
        <f>AND('Planilla_General_03-12-2012_9_3'!C2563,"AAAAAG3tbyM=")</f>
        <v>#VALUE!</v>
      </c>
      <c r="AK161" t="e">
        <f>AND('Planilla_General_03-12-2012_9_3'!D2563,"AAAAAG3tbyQ=")</f>
        <v>#VALUE!</v>
      </c>
      <c r="AL161" t="e">
        <f>AND('Planilla_General_03-12-2012_9_3'!E2563,"AAAAAG3tbyU=")</f>
        <v>#VALUE!</v>
      </c>
      <c r="AM161" t="e">
        <f>AND('Planilla_General_03-12-2012_9_3'!F2563,"AAAAAG3tbyY=")</f>
        <v>#VALUE!</v>
      </c>
      <c r="AN161" t="e">
        <f>AND('Planilla_General_03-12-2012_9_3'!G2563,"AAAAAG3tbyc=")</f>
        <v>#VALUE!</v>
      </c>
      <c r="AO161" t="e">
        <f>AND('Planilla_General_03-12-2012_9_3'!H2563,"AAAAAG3tbyg=")</f>
        <v>#VALUE!</v>
      </c>
      <c r="AP161" t="e">
        <f>AND('Planilla_General_03-12-2012_9_3'!I2563,"AAAAAG3tbyk=")</f>
        <v>#VALUE!</v>
      </c>
      <c r="AQ161" t="e">
        <f>AND('Planilla_General_03-12-2012_9_3'!J2563,"AAAAAG3tbyo=")</f>
        <v>#VALUE!</v>
      </c>
      <c r="AR161" t="e">
        <f>AND('Planilla_General_03-12-2012_9_3'!K2563,"AAAAAG3tbys=")</f>
        <v>#VALUE!</v>
      </c>
      <c r="AS161" t="e">
        <f>AND('Planilla_General_03-12-2012_9_3'!L2563,"AAAAAG3tbyw=")</f>
        <v>#VALUE!</v>
      </c>
      <c r="AT161" t="e">
        <f>AND('Planilla_General_03-12-2012_9_3'!M2563,"AAAAAG3tby0=")</f>
        <v>#VALUE!</v>
      </c>
      <c r="AU161" t="e">
        <f>AND('Planilla_General_03-12-2012_9_3'!N2563,"AAAAAG3tby4=")</f>
        <v>#VALUE!</v>
      </c>
      <c r="AV161" t="e">
        <f>AND('Planilla_General_03-12-2012_9_3'!O2563,"AAAAAG3tby8=")</f>
        <v>#VALUE!</v>
      </c>
      <c r="AW161">
        <f>IF('Planilla_General_03-12-2012_9_3'!2564:2564,"AAAAAG3tbzA=",0)</f>
        <v>0</v>
      </c>
      <c r="AX161" t="e">
        <f>AND('Planilla_General_03-12-2012_9_3'!A2564,"AAAAAG3tbzE=")</f>
        <v>#VALUE!</v>
      </c>
      <c r="AY161" t="e">
        <f>AND('Planilla_General_03-12-2012_9_3'!B2564,"AAAAAG3tbzI=")</f>
        <v>#VALUE!</v>
      </c>
      <c r="AZ161" t="e">
        <f>AND('Planilla_General_03-12-2012_9_3'!C2564,"AAAAAG3tbzM=")</f>
        <v>#VALUE!</v>
      </c>
      <c r="BA161" t="e">
        <f>AND('Planilla_General_03-12-2012_9_3'!D2564,"AAAAAG3tbzQ=")</f>
        <v>#VALUE!</v>
      </c>
      <c r="BB161" t="e">
        <f>AND('Planilla_General_03-12-2012_9_3'!E2564,"AAAAAG3tbzU=")</f>
        <v>#VALUE!</v>
      </c>
      <c r="BC161" t="e">
        <f>AND('Planilla_General_03-12-2012_9_3'!F2564,"AAAAAG3tbzY=")</f>
        <v>#VALUE!</v>
      </c>
      <c r="BD161" t="e">
        <f>AND('Planilla_General_03-12-2012_9_3'!G2564,"AAAAAG3tbzc=")</f>
        <v>#VALUE!</v>
      </c>
      <c r="BE161" t="e">
        <f>AND('Planilla_General_03-12-2012_9_3'!H2564,"AAAAAG3tbzg=")</f>
        <v>#VALUE!</v>
      </c>
      <c r="BF161" t="e">
        <f>AND('Planilla_General_03-12-2012_9_3'!I2564,"AAAAAG3tbzk=")</f>
        <v>#VALUE!</v>
      </c>
      <c r="BG161" t="e">
        <f>AND('Planilla_General_03-12-2012_9_3'!J2564,"AAAAAG3tbzo=")</f>
        <v>#VALUE!</v>
      </c>
      <c r="BH161" t="e">
        <f>AND('Planilla_General_03-12-2012_9_3'!K2564,"AAAAAG3tbzs=")</f>
        <v>#VALUE!</v>
      </c>
      <c r="BI161" t="e">
        <f>AND('Planilla_General_03-12-2012_9_3'!L2564,"AAAAAG3tbzw=")</f>
        <v>#VALUE!</v>
      </c>
      <c r="BJ161" t="e">
        <f>AND('Planilla_General_03-12-2012_9_3'!M2564,"AAAAAG3tbz0=")</f>
        <v>#VALUE!</v>
      </c>
      <c r="BK161" t="e">
        <f>AND('Planilla_General_03-12-2012_9_3'!N2564,"AAAAAG3tbz4=")</f>
        <v>#VALUE!</v>
      </c>
      <c r="BL161" t="e">
        <f>AND('Planilla_General_03-12-2012_9_3'!O2564,"AAAAAG3tbz8=")</f>
        <v>#VALUE!</v>
      </c>
      <c r="BM161">
        <f>IF('Planilla_General_03-12-2012_9_3'!2565:2565,"AAAAAG3tb0A=",0)</f>
        <v>0</v>
      </c>
      <c r="BN161" t="e">
        <f>AND('Planilla_General_03-12-2012_9_3'!A2565,"AAAAAG3tb0E=")</f>
        <v>#VALUE!</v>
      </c>
      <c r="BO161" t="e">
        <f>AND('Planilla_General_03-12-2012_9_3'!B2565,"AAAAAG3tb0I=")</f>
        <v>#VALUE!</v>
      </c>
      <c r="BP161" t="e">
        <f>AND('Planilla_General_03-12-2012_9_3'!C2565,"AAAAAG3tb0M=")</f>
        <v>#VALUE!</v>
      </c>
      <c r="BQ161" t="e">
        <f>AND('Planilla_General_03-12-2012_9_3'!D2565,"AAAAAG3tb0Q=")</f>
        <v>#VALUE!</v>
      </c>
      <c r="BR161" t="e">
        <f>AND('Planilla_General_03-12-2012_9_3'!E2565,"AAAAAG3tb0U=")</f>
        <v>#VALUE!</v>
      </c>
      <c r="BS161" t="e">
        <f>AND('Planilla_General_03-12-2012_9_3'!F2565,"AAAAAG3tb0Y=")</f>
        <v>#VALUE!</v>
      </c>
      <c r="BT161" t="e">
        <f>AND('Planilla_General_03-12-2012_9_3'!G2565,"AAAAAG3tb0c=")</f>
        <v>#VALUE!</v>
      </c>
      <c r="BU161" t="e">
        <f>AND('Planilla_General_03-12-2012_9_3'!H2565,"AAAAAG3tb0g=")</f>
        <v>#VALUE!</v>
      </c>
      <c r="BV161" t="e">
        <f>AND('Planilla_General_03-12-2012_9_3'!I2565,"AAAAAG3tb0k=")</f>
        <v>#VALUE!</v>
      </c>
      <c r="BW161" t="e">
        <f>AND('Planilla_General_03-12-2012_9_3'!J2565,"AAAAAG3tb0o=")</f>
        <v>#VALUE!</v>
      </c>
      <c r="BX161" t="e">
        <f>AND('Planilla_General_03-12-2012_9_3'!K2565,"AAAAAG3tb0s=")</f>
        <v>#VALUE!</v>
      </c>
      <c r="BY161" t="e">
        <f>AND('Planilla_General_03-12-2012_9_3'!L2565,"AAAAAG3tb0w=")</f>
        <v>#VALUE!</v>
      </c>
      <c r="BZ161" t="e">
        <f>AND('Planilla_General_03-12-2012_9_3'!M2565,"AAAAAG3tb00=")</f>
        <v>#VALUE!</v>
      </c>
      <c r="CA161" t="e">
        <f>AND('Planilla_General_03-12-2012_9_3'!N2565,"AAAAAG3tb04=")</f>
        <v>#VALUE!</v>
      </c>
      <c r="CB161" t="e">
        <f>AND('Planilla_General_03-12-2012_9_3'!O2565,"AAAAAG3tb08=")</f>
        <v>#VALUE!</v>
      </c>
      <c r="CC161">
        <f>IF('Planilla_General_03-12-2012_9_3'!2566:2566,"AAAAAG3tb1A=",0)</f>
        <v>0</v>
      </c>
      <c r="CD161" t="e">
        <f>AND('Planilla_General_03-12-2012_9_3'!A2566,"AAAAAG3tb1E=")</f>
        <v>#VALUE!</v>
      </c>
      <c r="CE161" t="e">
        <f>AND('Planilla_General_03-12-2012_9_3'!B2566,"AAAAAG3tb1I=")</f>
        <v>#VALUE!</v>
      </c>
      <c r="CF161" t="e">
        <f>AND('Planilla_General_03-12-2012_9_3'!C2566,"AAAAAG3tb1M=")</f>
        <v>#VALUE!</v>
      </c>
      <c r="CG161" t="e">
        <f>AND('Planilla_General_03-12-2012_9_3'!D2566,"AAAAAG3tb1Q=")</f>
        <v>#VALUE!</v>
      </c>
      <c r="CH161" t="e">
        <f>AND('Planilla_General_03-12-2012_9_3'!E2566,"AAAAAG3tb1U=")</f>
        <v>#VALUE!</v>
      </c>
      <c r="CI161" t="e">
        <f>AND('Planilla_General_03-12-2012_9_3'!F2566,"AAAAAG3tb1Y=")</f>
        <v>#VALUE!</v>
      </c>
      <c r="CJ161" t="e">
        <f>AND('Planilla_General_03-12-2012_9_3'!G2566,"AAAAAG3tb1c=")</f>
        <v>#VALUE!</v>
      </c>
      <c r="CK161" t="e">
        <f>AND('Planilla_General_03-12-2012_9_3'!H2566,"AAAAAG3tb1g=")</f>
        <v>#VALUE!</v>
      </c>
      <c r="CL161" t="e">
        <f>AND('Planilla_General_03-12-2012_9_3'!I2566,"AAAAAG3tb1k=")</f>
        <v>#VALUE!</v>
      </c>
      <c r="CM161" t="e">
        <f>AND('Planilla_General_03-12-2012_9_3'!J2566,"AAAAAG3tb1o=")</f>
        <v>#VALUE!</v>
      </c>
      <c r="CN161" t="e">
        <f>AND('Planilla_General_03-12-2012_9_3'!K2566,"AAAAAG3tb1s=")</f>
        <v>#VALUE!</v>
      </c>
      <c r="CO161" t="e">
        <f>AND('Planilla_General_03-12-2012_9_3'!L2566,"AAAAAG3tb1w=")</f>
        <v>#VALUE!</v>
      </c>
      <c r="CP161" t="e">
        <f>AND('Planilla_General_03-12-2012_9_3'!M2566,"AAAAAG3tb10=")</f>
        <v>#VALUE!</v>
      </c>
      <c r="CQ161" t="e">
        <f>AND('Planilla_General_03-12-2012_9_3'!N2566,"AAAAAG3tb14=")</f>
        <v>#VALUE!</v>
      </c>
      <c r="CR161" t="e">
        <f>AND('Planilla_General_03-12-2012_9_3'!O2566,"AAAAAG3tb18=")</f>
        <v>#VALUE!</v>
      </c>
      <c r="CS161">
        <f>IF('Planilla_General_03-12-2012_9_3'!2567:2567,"AAAAAG3tb2A=",0)</f>
        <v>0</v>
      </c>
      <c r="CT161" t="e">
        <f>AND('Planilla_General_03-12-2012_9_3'!A2567,"AAAAAG3tb2E=")</f>
        <v>#VALUE!</v>
      </c>
      <c r="CU161" t="e">
        <f>AND('Planilla_General_03-12-2012_9_3'!B2567,"AAAAAG3tb2I=")</f>
        <v>#VALUE!</v>
      </c>
      <c r="CV161" t="e">
        <f>AND('Planilla_General_03-12-2012_9_3'!C2567,"AAAAAG3tb2M=")</f>
        <v>#VALUE!</v>
      </c>
      <c r="CW161" t="e">
        <f>AND('Planilla_General_03-12-2012_9_3'!D2567,"AAAAAG3tb2Q=")</f>
        <v>#VALUE!</v>
      </c>
      <c r="CX161" t="e">
        <f>AND('Planilla_General_03-12-2012_9_3'!E2567,"AAAAAG3tb2U=")</f>
        <v>#VALUE!</v>
      </c>
      <c r="CY161" t="e">
        <f>AND('Planilla_General_03-12-2012_9_3'!F2567,"AAAAAG3tb2Y=")</f>
        <v>#VALUE!</v>
      </c>
      <c r="CZ161" t="e">
        <f>AND('Planilla_General_03-12-2012_9_3'!G2567,"AAAAAG3tb2c=")</f>
        <v>#VALUE!</v>
      </c>
      <c r="DA161" t="e">
        <f>AND('Planilla_General_03-12-2012_9_3'!H2567,"AAAAAG3tb2g=")</f>
        <v>#VALUE!</v>
      </c>
      <c r="DB161" t="e">
        <f>AND('Planilla_General_03-12-2012_9_3'!I2567,"AAAAAG3tb2k=")</f>
        <v>#VALUE!</v>
      </c>
      <c r="DC161" t="e">
        <f>AND('Planilla_General_03-12-2012_9_3'!J2567,"AAAAAG3tb2o=")</f>
        <v>#VALUE!</v>
      </c>
      <c r="DD161" t="e">
        <f>AND('Planilla_General_03-12-2012_9_3'!K2567,"AAAAAG3tb2s=")</f>
        <v>#VALUE!</v>
      </c>
      <c r="DE161" t="e">
        <f>AND('Planilla_General_03-12-2012_9_3'!L2567,"AAAAAG3tb2w=")</f>
        <v>#VALUE!</v>
      </c>
      <c r="DF161" t="e">
        <f>AND('Planilla_General_03-12-2012_9_3'!M2567,"AAAAAG3tb20=")</f>
        <v>#VALUE!</v>
      </c>
      <c r="DG161" t="e">
        <f>AND('Planilla_General_03-12-2012_9_3'!N2567,"AAAAAG3tb24=")</f>
        <v>#VALUE!</v>
      </c>
      <c r="DH161" t="e">
        <f>AND('Planilla_General_03-12-2012_9_3'!O2567,"AAAAAG3tb28=")</f>
        <v>#VALUE!</v>
      </c>
      <c r="DI161">
        <f>IF('Planilla_General_03-12-2012_9_3'!2568:2568,"AAAAAG3tb3A=",0)</f>
        <v>0</v>
      </c>
      <c r="DJ161" t="e">
        <f>AND('Planilla_General_03-12-2012_9_3'!A2568,"AAAAAG3tb3E=")</f>
        <v>#VALUE!</v>
      </c>
      <c r="DK161" t="e">
        <f>AND('Planilla_General_03-12-2012_9_3'!B2568,"AAAAAG3tb3I=")</f>
        <v>#VALUE!</v>
      </c>
      <c r="DL161" t="e">
        <f>AND('Planilla_General_03-12-2012_9_3'!C2568,"AAAAAG3tb3M=")</f>
        <v>#VALUE!</v>
      </c>
      <c r="DM161" t="e">
        <f>AND('Planilla_General_03-12-2012_9_3'!D2568,"AAAAAG3tb3Q=")</f>
        <v>#VALUE!</v>
      </c>
      <c r="DN161" t="e">
        <f>AND('Planilla_General_03-12-2012_9_3'!E2568,"AAAAAG3tb3U=")</f>
        <v>#VALUE!</v>
      </c>
      <c r="DO161" t="e">
        <f>AND('Planilla_General_03-12-2012_9_3'!F2568,"AAAAAG3tb3Y=")</f>
        <v>#VALUE!</v>
      </c>
      <c r="DP161" t="e">
        <f>AND('Planilla_General_03-12-2012_9_3'!G2568,"AAAAAG3tb3c=")</f>
        <v>#VALUE!</v>
      </c>
      <c r="DQ161" t="e">
        <f>AND('Planilla_General_03-12-2012_9_3'!H2568,"AAAAAG3tb3g=")</f>
        <v>#VALUE!</v>
      </c>
      <c r="DR161" t="e">
        <f>AND('Planilla_General_03-12-2012_9_3'!I2568,"AAAAAG3tb3k=")</f>
        <v>#VALUE!</v>
      </c>
      <c r="DS161" t="e">
        <f>AND('Planilla_General_03-12-2012_9_3'!J2568,"AAAAAG3tb3o=")</f>
        <v>#VALUE!</v>
      </c>
      <c r="DT161" t="e">
        <f>AND('Planilla_General_03-12-2012_9_3'!K2568,"AAAAAG3tb3s=")</f>
        <v>#VALUE!</v>
      </c>
      <c r="DU161" t="e">
        <f>AND('Planilla_General_03-12-2012_9_3'!L2568,"AAAAAG3tb3w=")</f>
        <v>#VALUE!</v>
      </c>
      <c r="DV161" t="e">
        <f>AND('Planilla_General_03-12-2012_9_3'!M2568,"AAAAAG3tb30=")</f>
        <v>#VALUE!</v>
      </c>
      <c r="DW161" t="e">
        <f>AND('Planilla_General_03-12-2012_9_3'!N2568,"AAAAAG3tb34=")</f>
        <v>#VALUE!</v>
      </c>
      <c r="DX161" t="e">
        <f>AND('Planilla_General_03-12-2012_9_3'!O2568,"AAAAAG3tb38=")</f>
        <v>#VALUE!</v>
      </c>
      <c r="DY161">
        <f>IF('Planilla_General_03-12-2012_9_3'!2569:2569,"AAAAAG3tb4A=",0)</f>
        <v>0</v>
      </c>
      <c r="DZ161" t="e">
        <f>AND('Planilla_General_03-12-2012_9_3'!A2569,"AAAAAG3tb4E=")</f>
        <v>#VALUE!</v>
      </c>
      <c r="EA161" t="e">
        <f>AND('Planilla_General_03-12-2012_9_3'!B2569,"AAAAAG3tb4I=")</f>
        <v>#VALUE!</v>
      </c>
      <c r="EB161" t="e">
        <f>AND('Planilla_General_03-12-2012_9_3'!C2569,"AAAAAG3tb4M=")</f>
        <v>#VALUE!</v>
      </c>
      <c r="EC161" t="e">
        <f>AND('Planilla_General_03-12-2012_9_3'!D2569,"AAAAAG3tb4Q=")</f>
        <v>#VALUE!</v>
      </c>
      <c r="ED161" t="e">
        <f>AND('Planilla_General_03-12-2012_9_3'!E2569,"AAAAAG3tb4U=")</f>
        <v>#VALUE!</v>
      </c>
      <c r="EE161" t="e">
        <f>AND('Planilla_General_03-12-2012_9_3'!F2569,"AAAAAG3tb4Y=")</f>
        <v>#VALUE!</v>
      </c>
      <c r="EF161" t="e">
        <f>AND('Planilla_General_03-12-2012_9_3'!G2569,"AAAAAG3tb4c=")</f>
        <v>#VALUE!</v>
      </c>
      <c r="EG161" t="e">
        <f>AND('Planilla_General_03-12-2012_9_3'!H2569,"AAAAAG3tb4g=")</f>
        <v>#VALUE!</v>
      </c>
      <c r="EH161" t="e">
        <f>AND('Planilla_General_03-12-2012_9_3'!I2569,"AAAAAG3tb4k=")</f>
        <v>#VALUE!</v>
      </c>
      <c r="EI161" t="e">
        <f>AND('Planilla_General_03-12-2012_9_3'!J2569,"AAAAAG3tb4o=")</f>
        <v>#VALUE!</v>
      </c>
      <c r="EJ161" t="e">
        <f>AND('Planilla_General_03-12-2012_9_3'!K2569,"AAAAAG3tb4s=")</f>
        <v>#VALUE!</v>
      </c>
      <c r="EK161" t="e">
        <f>AND('Planilla_General_03-12-2012_9_3'!L2569,"AAAAAG3tb4w=")</f>
        <v>#VALUE!</v>
      </c>
      <c r="EL161" t="e">
        <f>AND('Planilla_General_03-12-2012_9_3'!M2569,"AAAAAG3tb40=")</f>
        <v>#VALUE!</v>
      </c>
      <c r="EM161" t="e">
        <f>AND('Planilla_General_03-12-2012_9_3'!N2569,"AAAAAG3tb44=")</f>
        <v>#VALUE!</v>
      </c>
      <c r="EN161" t="e">
        <f>AND('Planilla_General_03-12-2012_9_3'!O2569,"AAAAAG3tb48=")</f>
        <v>#VALUE!</v>
      </c>
      <c r="EO161">
        <f>IF('Planilla_General_03-12-2012_9_3'!2570:2570,"AAAAAG3tb5A=",0)</f>
        <v>0</v>
      </c>
      <c r="EP161" t="e">
        <f>AND('Planilla_General_03-12-2012_9_3'!A2570,"AAAAAG3tb5E=")</f>
        <v>#VALUE!</v>
      </c>
      <c r="EQ161" t="e">
        <f>AND('Planilla_General_03-12-2012_9_3'!B2570,"AAAAAG3tb5I=")</f>
        <v>#VALUE!</v>
      </c>
      <c r="ER161" t="e">
        <f>AND('Planilla_General_03-12-2012_9_3'!C2570,"AAAAAG3tb5M=")</f>
        <v>#VALUE!</v>
      </c>
      <c r="ES161" t="e">
        <f>AND('Planilla_General_03-12-2012_9_3'!D2570,"AAAAAG3tb5Q=")</f>
        <v>#VALUE!</v>
      </c>
      <c r="ET161" t="e">
        <f>AND('Planilla_General_03-12-2012_9_3'!E2570,"AAAAAG3tb5U=")</f>
        <v>#VALUE!</v>
      </c>
      <c r="EU161" t="e">
        <f>AND('Planilla_General_03-12-2012_9_3'!F2570,"AAAAAG3tb5Y=")</f>
        <v>#VALUE!</v>
      </c>
      <c r="EV161" t="e">
        <f>AND('Planilla_General_03-12-2012_9_3'!G2570,"AAAAAG3tb5c=")</f>
        <v>#VALUE!</v>
      </c>
      <c r="EW161" t="e">
        <f>AND('Planilla_General_03-12-2012_9_3'!H2570,"AAAAAG3tb5g=")</f>
        <v>#VALUE!</v>
      </c>
      <c r="EX161" t="e">
        <f>AND('Planilla_General_03-12-2012_9_3'!I2570,"AAAAAG3tb5k=")</f>
        <v>#VALUE!</v>
      </c>
      <c r="EY161" t="e">
        <f>AND('Planilla_General_03-12-2012_9_3'!J2570,"AAAAAG3tb5o=")</f>
        <v>#VALUE!</v>
      </c>
      <c r="EZ161" t="e">
        <f>AND('Planilla_General_03-12-2012_9_3'!K2570,"AAAAAG3tb5s=")</f>
        <v>#VALUE!</v>
      </c>
      <c r="FA161" t="e">
        <f>AND('Planilla_General_03-12-2012_9_3'!L2570,"AAAAAG3tb5w=")</f>
        <v>#VALUE!</v>
      </c>
      <c r="FB161" t="e">
        <f>AND('Planilla_General_03-12-2012_9_3'!M2570,"AAAAAG3tb50=")</f>
        <v>#VALUE!</v>
      </c>
      <c r="FC161" t="e">
        <f>AND('Planilla_General_03-12-2012_9_3'!N2570,"AAAAAG3tb54=")</f>
        <v>#VALUE!</v>
      </c>
      <c r="FD161" t="e">
        <f>AND('Planilla_General_03-12-2012_9_3'!O2570,"AAAAAG3tb58=")</f>
        <v>#VALUE!</v>
      </c>
      <c r="FE161">
        <f>IF('Planilla_General_03-12-2012_9_3'!2571:2571,"AAAAAG3tb6A=",0)</f>
        <v>0</v>
      </c>
      <c r="FF161" t="e">
        <f>AND('Planilla_General_03-12-2012_9_3'!A2571,"AAAAAG3tb6E=")</f>
        <v>#VALUE!</v>
      </c>
      <c r="FG161" t="e">
        <f>AND('Planilla_General_03-12-2012_9_3'!B2571,"AAAAAG3tb6I=")</f>
        <v>#VALUE!</v>
      </c>
      <c r="FH161" t="e">
        <f>AND('Planilla_General_03-12-2012_9_3'!C2571,"AAAAAG3tb6M=")</f>
        <v>#VALUE!</v>
      </c>
      <c r="FI161" t="e">
        <f>AND('Planilla_General_03-12-2012_9_3'!D2571,"AAAAAG3tb6Q=")</f>
        <v>#VALUE!</v>
      </c>
      <c r="FJ161" t="e">
        <f>AND('Planilla_General_03-12-2012_9_3'!E2571,"AAAAAG3tb6U=")</f>
        <v>#VALUE!</v>
      </c>
      <c r="FK161" t="e">
        <f>AND('Planilla_General_03-12-2012_9_3'!F2571,"AAAAAG3tb6Y=")</f>
        <v>#VALUE!</v>
      </c>
      <c r="FL161" t="e">
        <f>AND('Planilla_General_03-12-2012_9_3'!G2571,"AAAAAG3tb6c=")</f>
        <v>#VALUE!</v>
      </c>
      <c r="FM161" t="e">
        <f>AND('Planilla_General_03-12-2012_9_3'!H2571,"AAAAAG3tb6g=")</f>
        <v>#VALUE!</v>
      </c>
      <c r="FN161" t="e">
        <f>AND('Planilla_General_03-12-2012_9_3'!I2571,"AAAAAG3tb6k=")</f>
        <v>#VALUE!</v>
      </c>
      <c r="FO161" t="e">
        <f>AND('Planilla_General_03-12-2012_9_3'!J2571,"AAAAAG3tb6o=")</f>
        <v>#VALUE!</v>
      </c>
      <c r="FP161" t="e">
        <f>AND('Planilla_General_03-12-2012_9_3'!K2571,"AAAAAG3tb6s=")</f>
        <v>#VALUE!</v>
      </c>
      <c r="FQ161" t="e">
        <f>AND('Planilla_General_03-12-2012_9_3'!L2571,"AAAAAG3tb6w=")</f>
        <v>#VALUE!</v>
      </c>
      <c r="FR161" t="e">
        <f>AND('Planilla_General_03-12-2012_9_3'!M2571,"AAAAAG3tb60=")</f>
        <v>#VALUE!</v>
      </c>
      <c r="FS161" t="e">
        <f>AND('Planilla_General_03-12-2012_9_3'!N2571,"AAAAAG3tb64=")</f>
        <v>#VALUE!</v>
      </c>
      <c r="FT161" t="e">
        <f>AND('Planilla_General_03-12-2012_9_3'!O2571,"AAAAAG3tb68=")</f>
        <v>#VALUE!</v>
      </c>
      <c r="FU161">
        <f>IF('Planilla_General_03-12-2012_9_3'!2572:2572,"AAAAAG3tb7A=",0)</f>
        <v>0</v>
      </c>
      <c r="FV161" t="e">
        <f>AND('Planilla_General_03-12-2012_9_3'!A2572,"AAAAAG3tb7E=")</f>
        <v>#VALUE!</v>
      </c>
      <c r="FW161" t="e">
        <f>AND('Planilla_General_03-12-2012_9_3'!B2572,"AAAAAG3tb7I=")</f>
        <v>#VALUE!</v>
      </c>
      <c r="FX161" t="e">
        <f>AND('Planilla_General_03-12-2012_9_3'!C2572,"AAAAAG3tb7M=")</f>
        <v>#VALUE!</v>
      </c>
      <c r="FY161" t="e">
        <f>AND('Planilla_General_03-12-2012_9_3'!D2572,"AAAAAG3tb7Q=")</f>
        <v>#VALUE!</v>
      </c>
      <c r="FZ161" t="e">
        <f>AND('Planilla_General_03-12-2012_9_3'!E2572,"AAAAAG3tb7U=")</f>
        <v>#VALUE!</v>
      </c>
      <c r="GA161" t="e">
        <f>AND('Planilla_General_03-12-2012_9_3'!F2572,"AAAAAG3tb7Y=")</f>
        <v>#VALUE!</v>
      </c>
      <c r="GB161" t="e">
        <f>AND('Planilla_General_03-12-2012_9_3'!G2572,"AAAAAG3tb7c=")</f>
        <v>#VALUE!</v>
      </c>
      <c r="GC161" t="e">
        <f>AND('Planilla_General_03-12-2012_9_3'!H2572,"AAAAAG3tb7g=")</f>
        <v>#VALUE!</v>
      </c>
      <c r="GD161" t="e">
        <f>AND('Planilla_General_03-12-2012_9_3'!I2572,"AAAAAG3tb7k=")</f>
        <v>#VALUE!</v>
      </c>
      <c r="GE161" t="e">
        <f>AND('Planilla_General_03-12-2012_9_3'!J2572,"AAAAAG3tb7o=")</f>
        <v>#VALUE!</v>
      </c>
      <c r="GF161" t="e">
        <f>AND('Planilla_General_03-12-2012_9_3'!K2572,"AAAAAG3tb7s=")</f>
        <v>#VALUE!</v>
      </c>
      <c r="GG161" t="e">
        <f>AND('Planilla_General_03-12-2012_9_3'!L2572,"AAAAAG3tb7w=")</f>
        <v>#VALUE!</v>
      </c>
      <c r="GH161" t="e">
        <f>AND('Planilla_General_03-12-2012_9_3'!M2572,"AAAAAG3tb70=")</f>
        <v>#VALUE!</v>
      </c>
      <c r="GI161" t="e">
        <f>AND('Planilla_General_03-12-2012_9_3'!N2572,"AAAAAG3tb74=")</f>
        <v>#VALUE!</v>
      </c>
      <c r="GJ161" t="e">
        <f>AND('Planilla_General_03-12-2012_9_3'!O2572,"AAAAAG3tb78=")</f>
        <v>#VALUE!</v>
      </c>
      <c r="GK161">
        <f>IF('Planilla_General_03-12-2012_9_3'!2573:2573,"AAAAAG3tb8A=",0)</f>
        <v>0</v>
      </c>
      <c r="GL161" t="e">
        <f>AND('Planilla_General_03-12-2012_9_3'!A2573,"AAAAAG3tb8E=")</f>
        <v>#VALUE!</v>
      </c>
      <c r="GM161" t="e">
        <f>AND('Planilla_General_03-12-2012_9_3'!B2573,"AAAAAG3tb8I=")</f>
        <v>#VALUE!</v>
      </c>
      <c r="GN161" t="e">
        <f>AND('Planilla_General_03-12-2012_9_3'!C2573,"AAAAAG3tb8M=")</f>
        <v>#VALUE!</v>
      </c>
      <c r="GO161" t="e">
        <f>AND('Planilla_General_03-12-2012_9_3'!D2573,"AAAAAG3tb8Q=")</f>
        <v>#VALUE!</v>
      </c>
      <c r="GP161" t="e">
        <f>AND('Planilla_General_03-12-2012_9_3'!E2573,"AAAAAG3tb8U=")</f>
        <v>#VALUE!</v>
      </c>
      <c r="GQ161" t="e">
        <f>AND('Planilla_General_03-12-2012_9_3'!F2573,"AAAAAG3tb8Y=")</f>
        <v>#VALUE!</v>
      </c>
      <c r="GR161" t="e">
        <f>AND('Planilla_General_03-12-2012_9_3'!G2573,"AAAAAG3tb8c=")</f>
        <v>#VALUE!</v>
      </c>
      <c r="GS161" t="e">
        <f>AND('Planilla_General_03-12-2012_9_3'!H2573,"AAAAAG3tb8g=")</f>
        <v>#VALUE!</v>
      </c>
      <c r="GT161" t="e">
        <f>AND('Planilla_General_03-12-2012_9_3'!I2573,"AAAAAG3tb8k=")</f>
        <v>#VALUE!</v>
      </c>
      <c r="GU161" t="e">
        <f>AND('Planilla_General_03-12-2012_9_3'!J2573,"AAAAAG3tb8o=")</f>
        <v>#VALUE!</v>
      </c>
      <c r="GV161" t="e">
        <f>AND('Planilla_General_03-12-2012_9_3'!K2573,"AAAAAG3tb8s=")</f>
        <v>#VALUE!</v>
      </c>
      <c r="GW161" t="e">
        <f>AND('Planilla_General_03-12-2012_9_3'!L2573,"AAAAAG3tb8w=")</f>
        <v>#VALUE!</v>
      </c>
      <c r="GX161" t="e">
        <f>AND('Planilla_General_03-12-2012_9_3'!M2573,"AAAAAG3tb80=")</f>
        <v>#VALUE!</v>
      </c>
      <c r="GY161" t="e">
        <f>AND('Planilla_General_03-12-2012_9_3'!N2573,"AAAAAG3tb84=")</f>
        <v>#VALUE!</v>
      </c>
      <c r="GZ161" t="e">
        <f>AND('Planilla_General_03-12-2012_9_3'!O2573,"AAAAAG3tb88=")</f>
        <v>#VALUE!</v>
      </c>
      <c r="HA161">
        <f>IF('Planilla_General_03-12-2012_9_3'!2574:2574,"AAAAAG3tb9A=",0)</f>
        <v>0</v>
      </c>
      <c r="HB161" t="e">
        <f>AND('Planilla_General_03-12-2012_9_3'!A2574,"AAAAAG3tb9E=")</f>
        <v>#VALUE!</v>
      </c>
      <c r="HC161" t="e">
        <f>AND('Planilla_General_03-12-2012_9_3'!B2574,"AAAAAG3tb9I=")</f>
        <v>#VALUE!</v>
      </c>
      <c r="HD161" t="e">
        <f>AND('Planilla_General_03-12-2012_9_3'!C2574,"AAAAAG3tb9M=")</f>
        <v>#VALUE!</v>
      </c>
      <c r="HE161" t="e">
        <f>AND('Planilla_General_03-12-2012_9_3'!D2574,"AAAAAG3tb9Q=")</f>
        <v>#VALUE!</v>
      </c>
      <c r="HF161" t="e">
        <f>AND('Planilla_General_03-12-2012_9_3'!E2574,"AAAAAG3tb9U=")</f>
        <v>#VALUE!</v>
      </c>
      <c r="HG161" t="e">
        <f>AND('Planilla_General_03-12-2012_9_3'!F2574,"AAAAAG3tb9Y=")</f>
        <v>#VALUE!</v>
      </c>
      <c r="HH161" t="e">
        <f>AND('Planilla_General_03-12-2012_9_3'!G2574,"AAAAAG3tb9c=")</f>
        <v>#VALUE!</v>
      </c>
      <c r="HI161" t="e">
        <f>AND('Planilla_General_03-12-2012_9_3'!H2574,"AAAAAG3tb9g=")</f>
        <v>#VALUE!</v>
      </c>
      <c r="HJ161" t="e">
        <f>AND('Planilla_General_03-12-2012_9_3'!I2574,"AAAAAG3tb9k=")</f>
        <v>#VALUE!</v>
      </c>
      <c r="HK161" t="e">
        <f>AND('Planilla_General_03-12-2012_9_3'!J2574,"AAAAAG3tb9o=")</f>
        <v>#VALUE!</v>
      </c>
      <c r="HL161" t="e">
        <f>AND('Planilla_General_03-12-2012_9_3'!K2574,"AAAAAG3tb9s=")</f>
        <v>#VALUE!</v>
      </c>
      <c r="HM161" t="e">
        <f>AND('Planilla_General_03-12-2012_9_3'!L2574,"AAAAAG3tb9w=")</f>
        <v>#VALUE!</v>
      </c>
      <c r="HN161" t="e">
        <f>AND('Planilla_General_03-12-2012_9_3'!M2574,"AAAAAG3tb90=")</f>
        <v>#VALUE!</v>
      </c>
      <c r="HO161" t="e">
        <f>AND('Planilla_General_03-12-2012_9_3'!N2574,"AAAAAG3tb94=")</f>
        <v>#VALUE!</v>
      </c>
      <c r="HP161" t="e">
        <f>AND('Planilla_General_03-12-2012_9_3'!O2574,"AAAAAG3tb98=")</f>
        <v>#VALUE!</v>
      </c>
      <c r="HQ161">
        <f>IF('Planilla_General_03-12-2012_9_3'!2575:2575,"AAAAAG3tb+A=",0)</f>
        <v>0</v>
      </c>
      <c r="HR161" t="e">
        <f>AND('Planilla_General_03-12-2012_9_3'!A2575,"AAAAAG3tb+E=")</f>
        <v>#VALUE!</v>
      </c>
      <c r="HS161" t="e">
        <f>AND('Planilla_General_03-12-2012_9_3'!B2575,"AAAAAG3tb+I=")</f>
        <v>#VALUE!</v>
      </c>
      <c r="HT161" t="e">
        <f>AND('Planilla_General_03-12-2012_9_3'!C2575,"AAAAAG3tb+M=")</f>
        <v>#VALUE!</v>
      </c>
      <c r="HU161" t="e">
        <f>AND('Planilla_General_03-12-2012_9_3'!D2575,"AAAAAG3tb+Q=")</f>
        <v>#VALUE!</v>
      </c>
      <c r="HV161" t="e">
        <f>AND('Planilla_General_03-12-2012_9_3'!E2575,"AAAAAG3tb+U=")</f>
        <v>#VALUE!</v>
      </c>
      <c r="HW161" t="e">
        <f>AND('Planilla_General_03-12-2012_9_3'!F2575,"AAAAAG3tb+Y=")</f>
        <v>#VALUE!</v>
      </c>
      <c r="HX161" t="e">
        <f>AND('Planilla_General_03-12-2012_9_3'!G2575,"AAAAAG3tb+c=")</f>
        <v>#VALUE!</v>
      </c>
      <c r="HY161" t="e">
        <f>AND('Planilla_General_03-12-2012_9_3'!H2575,"AAAAAG3tb+g=")</f>
        <v>#VALUE!</v>
      </c>
      <c r="HZ161" t="e">
        <f>AND('Planilla_General_03-12-2012_9_3'!I2575,"AAAAAG3tb+k=")</f>
        <v>#VALUE!</v>
      </c>
      <c r="IA161" t="e">
        <f>AND('Planilla_General_03-12-2012_9_3'!J2575,"AAAAAG3tb+o=")</f>
        <v>#VALUE!</v>
      </c>
      <c r="IB161" t="e">
        <f>AND('Planilla_General_03-12-2012_9_3'!K2575,"AAAAAG3tb+s=")</f>
        <v>#VALUE!</v>
      </c>
      <c r="IC161" t="e">
        <f>AND('Planilla_General_03-12-2012_9_3'!L2575,"AAAAAG3tb+w=")</f>
        <v>#VALUE!</v>
      </c>
      <c r="ID161" t="e">
        <f>AND('Planilla_General_03-12-2012_9_3'!M2575,"AAAAAG3tb+0=")</f>
        <v>#VALUE!</v>
      </c>
      <c r="IE161" t="e">
        <f>AND('Planilla_General_03-12-2012_9_3'!N2575,"AAAAAG3tb+4=")</f>
        <v>#VALUE!</v>
      </c>
      <c r="IF161" t="e">
        <f>AND('Planilla_General_03-12-2012_9_3'!O2575,"AAAAAG3tb+8=")</f>
        <v>#VALUE!</v>
      </c>
      <c r="IG161">
        <f>IF('Planilla_General_03-12-2012_9_3'!2576:2576,"AAAAAG3tb/A=",0)</f>
        <v>0</v>
      </c>
      <c r="IH161" t="e">
        <f>AND('Planilla_General_03-12-2012_9_3'!A2576,"AAAAAG3tb/E=")</f>
        <v>#VALUE!</v>
      </c>
      <c r="II161" t="e">
        <f>AND('Planilla_General_03-12-2012_9_3'!B2576,"AAAAAG3tb/I=")</f>
        <v>#VALUE!</v>
      </c>
      <c r="IJ161" t="e">
        <f>AND('Planilla_General_03-12-2012_9_3'!C2576,"AAAAAG3tb/M=")</f>
        <v>#VALUE!</v>
      </c>
      <c r="IK161" t="e">
        <f>AND('Planilla_General_03-12-2012_9_3'!D2576,"AAAAAG3tb/Q=")</f>
        <v>#VALUE!</v>
      </c>
      <c r="IL161" t="e">
        <f>AND('Planilla_General_03-12-2012_9_3'!E2576,"AAAAAG3tb/U=")</f>
        <v>#VALUE!</v>
      </c>
      <c r="IM161" t="e">
        <f>AND('Planilla_General_03-12-2012_9_3'!F2576,"AAAAAG3tb/Y=")</f>
        <v>#VALUE!</v>
      </c>
      <c r="IN161" t="e">
        <f>AND('Planilla_General_03-12-2012_9_3'!G2576,"AAAAAG3tb/c=")</f>
        <v>#VALUE!</v>
      </c>
      <c r="IO161" t="e">
        <f>AND('Planilla_General_03-12-2012_9_3'!H2576,"AAAAAG3tb/g=")</f>
        <v>#VALUE!</v>
      </c>
      <c r="IP161" t="e">
        <f>AND('Planilla_General_03-12-2012_9_3'!I2576,"AAAAAG3tb/k=")</f>
        <v>#VALUE!</v>
      </c>
      <c r="IQ161" t="e">
        <f>AND('Planilla_General_03-12-2012_9_3'!J2576,"AAAAAG3tb/o=")</f>
        <v>#VALUE!</v>
      </c>
      <c r="IR161" t="e">
        <f>AND('Planilla_General_03-12-2012_9_3'!K2576,"AAAAAG3tb/s=")</f>
        <v>#VALUE!</v>
      </c>
      <c r="IS161" t="e">
        <f>AND('Planilla_General_03-12-2012_9_3'!L2576,"AAAAAG3tb/w=")</f>
        <v>#VALUE!</v>
      </c>
      <c r="IT161" t="e">
        <f>AND('Planilla_General_03-12-2012_9_3'!M2576,"AAAAAG3tb/0=")</f>
        <v>#VALUE!</v>
      </c>
      <c r="IU161" t="e">
        <f>AND('Planilla_General_03-12-2012_9_3'!N2576,"AAAAAG3tb/4=")</f>
        <v>#VALUE!</v>
      </c>
      <c r="IV161" t="e">
        <f>AND('Planilla_General_03-12-2012_9_3'!O2576,"AAAAAG3tb/8=")</f>
        <v>#VALUE!</v>
      </c>
    </row>
    <row r="162" spans="1:256" x14ac:dyDescent="0.25">
      <c r="A162" t="e">
        <f>IF('Planilla_General_03-12-2012_9_3'!2577:2577,"AAAAAFfs7wA=",0)</f>
        <v>#VALUE!</v>
      </c>
      <c r="B162" t="e">
        <f>AND('Planilla_General_03-12-2012_9_3'!A2577,"AAAAAFfs7wE=")</f>
        <v>#VALUE!</v>
      </c>
      <c r="C162" t="e">
        <f>AND('Planilla_General_03-12-2012_9_3'!B2577,"AAAAAFfs7wI=")</f>
        <v>#VALUE!</v>
      </c>
      <c r="D162" t="e">
        <f>AND('Planilla_General_03-12-2012_9_3'!C2577,"AAAAAFfs7wM=")</f>
        <v>#VALUE!</v>
      </c>
      <c r="E162" t="e">
        <f>AND('Planilla_General_03-12-2012_9_3'!D2577,"AAAAAFfs7wQ=")</f>
        <v>#VALUE!</v>
      </c>
      <c r="F162" t="e">
        <f>AND('Planilla_General_03-12-2012_9_3'!E2577,"AAAAAFfs7wU=")</f>
        <v>#VALUE!</v>
      </c>
      <c r="G162" t="e">
        <f>AND('Planilla_General_03-12-2012_9_3'!F2577,"AAAAAFfs7wY=")</f>
        <v>#VALUE!</v>
      </c>
      <c r="H162" t="e">
        <f>AND('Planilla_General_03-12-2012_9_3'!G2577,"AAAAAFfs7wc=")</f>
        <v>#VALUE!</v>
      </c>
      <c r="I162" t="e">
        <f>AND('Planilla_General_03-12-2012_9_3'!H2577,"AAAAAFfs7wg=")</f>
        <v>#VALUE!</v>
      </c>
      <c r="J162" t="e">
        <f>AND('Planilla_General_03-12-2012_9_3'!I2577,"AAAAAFfs7wk=")</f>
        <v>#VALUE!</v>
      </c>
      <c r="K162" t="e">
        <f>AND('Planilla_General_03-12-2012_9_3'!J2577,"AAAAAFfs7wo=")</f>
        <v>#VALUE!</v>
      </c>
      <c r="L162" t="e">
        <f>AND('Planilla_General_03-12-2012_9_3'!K2577,"AAAAAFfs7ws=")</f>
        <v>#VALUE!</v>
      </c>
      <c r="M162" t="e">
        <f>AND('Planilla_General_03-12-2012_9_3'!L2577,"AAAAAFfs7ww=")</f>
        <v>#VALUE!</v>
      </c>
      <c r="N162" t="e">
        <f>AND('Planilla_General_03-12-2012_9_3'!M2577,"AAAAAFfs7w0=")</f>
        <v>#VALUE!</v>
      </c>
      <c r="O162" t="e">
        <f>AND('Planilla_General_03-12-2012_9_3'!N2577,"AAAAAFfs7w4=")</f>
        <v>#VALUE!</v>
      </c>
      <c r="P162" t="e">
        <f>AND('Planilla_General_03-12-2012_9_3'!O2577,"AAAAAFfs7w8=")</f>
        <v>#VALUE!</v>
      </c>
      <c r="Q162">
        <f>IF('Planilla_General_03-12-2012_9_3'!2578:2578,"AAAAAFfs7xA=",0)</f>
        <v>0</v>
      </c>
      <c r="R162" t="e">
        <f>AND('Planilla_General_03-12-2012_9_3'!A2578,"AAAAAFfs7xE=")</f>
        <v>#VALUE!</v>
      </c>
      <c r="S162" t="e">
        <f>AND('Planilla_General_03-12-2012_9_3'!B2578,"AAAAAFfs7xI=")</f>
        <v>#VALUE!</v>
      </c>
      <c r="T162" t="e">
        <f>AND('Planilla_General_03-12-2012_9_3'!C2578,"AAAAAFfs7xM=")</f>
        <v>#VALUE!</v>
      </c>
      <c r="U162" t="e">
        <f>AND('Planilla_General_03-12-2012_9_3'!D2578,"AAAAAFfs7xQ=")</f>
        <v>#VALUE!</v>
      </c>
      <c r="V162" t="e">
        <f>AND('Planilla_General_03-12-2012_9_3'!E2578,"AAAAAFfs7xU=")</f>
        <v>#VALUE!</v>
      </c>
      <c r="W162" t="e">
        <f>AND('Planilla_General_03-12-2012_9_3'!F2578,"AAAAAFfs7xY=")</f>
        <v>#VALUE!</v>
      </c>
      <c r="X162" t="e">
        <f>AND('Planilla_General_03-12-2012_9_3'!G2578,"AAAAAFfs7xc=")</f>
        <v>#VALUE!</v>
      </c>
      <c r="Y162" t="e">
        <f>AND('Planilla_General_03-12-2012_9_3'!H2578,"AAAAAFfs7xg=")</f>
        <v>#VALUE!</v>
      </c>
      <c r="Z162" t="e">
        <f>AND('Planilla_General_03-12-2012_9_3'!I2578,"AAAAAFfs7xk=")</f>
        <v>#VALUE!</v>
      </c>
      <c r="AA162" t="e">
        <f>AND('Planilla_General_03-12-2012_9_3'!J2578,"AAAAAFfs7xo=")</f>
        <v>#VALUE!</v>
      </c>
      <c r="AB162" t="e">
        <f>AND('Planilla_General_03-12-2012_9_3'!K2578,"AAAAAFfs7xs=")</f>
        <v>#VALUE!</v>
      </c>
      <c r="AC162" t="e">
        <f>AND('Planilla_General_03-12-2012_9_3'!L2578,"AAAAAFfs7xw=")</f>
        <v>#VALUE!</v>
      </c>
      <c r="AD162" t="e">
        <f>AND('Planilla_General_03-12-2012_9_3'!M2578,"AAAAAFfs7x0=")</f>
        <v>#VALUE!</v>
      </c>
      <c r="AE162" t="e">
        <f>AND('Planilla_General_03-12-2012_9_3'!N2578,"AAAAAFfs7x4=")</f>
        <v>#VALUE!</v>
      </c>
      <c r="AF162" t="e">
        <f>AND('Planilla_General_03-12-2012_9_3'!O2578,"AAAAAFfs7x8=")</f>
        <v>#VALUE!</v>
      </c>
      <c r="AG162">
        <f>IF('Planilla_General_03-12-2012_9_3'!2579:2579,"AAAAAFfs7yA=",0)</f>
        <v>0</v>
      </c>
      <c r="AH162" t="e">
        <f>AND('Planilla_General_03-12-2012_9_3'!A2579,"AAAAAFfs7yE=")</f>
        <v>#VALUE!</v>
      </c>
      <c r="AI162" t="e">
        <f>AND('Planilla_General_03-12-2012_9_3'!B2579,"AAAAAFfs7yI=")</f>
        <v>#VALUE!</v>
      </c>
      <c r="AJ162" t="e">
        <f>AND('Planilla_General_03-12-2012_9_3'!C2579,"AAAAAFfs7yM=")</f>
        <v>#VALUE!</v>
      </c>
      <c r="AK162" t="e">
        <f>AND('Planilla_General_03-12-2012_9_3'!D2579,"AAAAAFfs7yQ=")</f>
        <v>#VALUE!</v>
      </c>
      <c r="AL162" t="e">
        <f>AND('Planilla_General_03-12-2012_9_3'!E2579,"AAAAAFfs7yU=")</f>
        <v>#VALUE!</v>
      </c>
      <c r="AM162" t="e">
        <f>AND('Planilla_General_03-12-2012_9_3'!F2579,"AAAAAFfs7yY=")</f>
        <v>#VALUE!</v>
      </c>
      <c r="AN162" t="e">
        <f>AND('Planilla_General_03-12-2012_9_3'!G2579,"AAAAAFfs7yc=")</f>
        <v>#VALUE!</v>
      </c>
      <c r="AO162" t="e">
        <f>AND('Planilla_General_03-12-2012_9_3'!H2579,"AAAAAFfs7yg=")</f>
        <v>#VALUE!</v>
      </c>
      <c r="AP162" t="e">
        <f>AND('Planilla_General_03-12-2012_9_3'!I2579,"AAAAAFfs7yk=")</f>
        <v>#VALUE!</v>
      </c>
      <c r="AQ162" t="e">
        <f>AND('Planilla_General_03-12-2012_9_3'!J2579,"AAAAAFfs7yo=")</f>
        <v>#VALUE!</v>
      </c>
      <c r="AR162" t="e">
        <f>AND('Planilla_General_03-12-2012_9_3'!K2579,"AAAAAFfs7ys=")</f>
        <v>#VALUE!</v>
      </c>
      <c r="AS162" t="e">
        <f>AND('Planilla_General_03-12-2012_9_3'!L2579,"AAAAAFfs7yw=")</f>
        <v>#VALUE!</v>
      </c>
      <c r="AT162" t="e">
        <f>AND('Planilla_General_03-12-2012_9_3'!M2579,"AAAAAFfs7y0=")</f>
        <v>#VALUE!</v>
      </c>
      <c r="AU162" t="e">
        <f>AND('Planilla_General_03-12-2012_9_3'!N2579,"AAAAAFfs7y4=")</f>
        <v>#VALUE!</v>
      </c>
      <c r="AV162" t="e">
        <f>AND('Planilla_General_03-12-2012_9_3'!O2579,"AAAAAFfs7y8=")</f>
        <v>#VALUE!</v>
      </c>
      <c r="AW162">
        <f>IF('Planilla_General_03-12-2012_9_3'!2580:2580,"AAAAAFfs7zA=",0)</f>
        <v>0</v>
      </c>
      <c r="AX162" t="e">
        <f>AND('Planilla_General_03-12-2012_9_3'!A2580,"AAAAAFfs7zE=")</f>
        <v>#VALUE!</v>
      </c>
      <c r="AY162" t="e">
        <f>AND('Planilla_General_03-12-2012_9_3'!B2580,"AAAAAFfs7zI=")</f>
        <v>#VALUE!</v>
      </c>
      <c r="AZ162" t="e">
        <f>AND('Planilla_General_03-12-2012_9_3'!C2580,"AAAAAFfs7zM=")</f>
        <v>#VALUE!</v>
      </c>
      <c r="BA162" t="e">
        <f>AND('Planilla_General_03-12-2012_9_3'!D2580,"AAAAAFfs7zQ=")</f>
        <v>#VALUE!</v>
      </c>
      <c r="BB162" t="e">
        <f>AND('Planilla_General_03-12-2012_9_3'!E2580,"AAAAAFfs7zU=")</f>
        <v>#VALUE!</v>
      </c>
      <c r="BC162" t="e">
        <f>AND('Planilla_General_03-12-2012_9_3'!F2580,"AAAAAFfs7zY=")</f>
        <v>#VALUE!</v>
      </c>
      <c r="BD162" t="e">
        <f>AND('Planilla_General_03-12-2012_9_3'!G2580,"AAAAAFfs7zc=")</f>
        <v>#VALUE!</v>
      </c>
      <c r="BE162" t="e">
        <f>AND('Planilla_General_03-12-2012_9_3'!H2580,"AAAAAFfs7zg=")</f>
        <v>#VALUE!</v>
      </c>
      <c r="BF162" t="e">
        <f>AND('Planilla_General_03-12-2012_9_3'!I2580,"AAAAAFfs7zk=")</f>
        <v>#VALUE!</v>
      </c>
      <c r="BG162" t="e">
        <f>AND('Planilla_General_03-12-2012_9_3'!J2580,"AAAAAFfs7zo=")</f>
        <v>#VALUE!</v>
      </c>
      <c r="BH162" t="e">
        <f>AND('Planilla_General_03-12-2012_9_3'!K2580,"AAAAAFfs7zs=")</f>
        <v>#VALUE!</v>
      </c>
      <c r="BI162" t="e">
        <f>AND('Planilla_General_03-12-2012_9_3'!L2580,"AAAAAFfs7zw=")</f>
        <v>#VALUE!</v>
      </c>
      <c r="BJ162" t="e">
        <f>AND('Planilla_General_03-12-2012_9_3'!M2580,"AAAAAFfs7z0=")</f>
        <v>#VALUE!</v>
      </c>
      <c r="BK162" t="e">
        <f>AND('Planilla_General_03-12-2012_9_3'!N2580,"AAAAAFfs7z4=")</f>
        <v>#VALUE!</v>
      </c>
      <c r="BL162" t="e">
        <f>AND('Planilla_General_03-12-2012_9_3'!O2580,"AAAAAFfs7z8=")</f>
        <v>#VALUE!</v>
      </c>
      <c r="BM162">
        <f>IF('Planilla_General_03-12-2012_9_3'!2581:2581,"AAAAAFfs70A=",0)</f>
        <v>0</v>
      </c>
      <c r="BN162" t="e">
        <f>AND('Planilla_General_03-12-2012_9_3'!A2581,"AAAAAFfs70E=")</f>
        <v>#VALUE!</v>
      </c>
      <c r="BO162" t="e">
        <f>AND('Planilla_General_03-12-2012_9_3'!B2581,"AAAAAFfs70I=")</f>
        <v>#VALUE!</v>
      </c>
      <c r="BP162" t="e">
        <f>AND('Planilla_General_03-12-2012_9_3'!C2581,"AAAAAFfs70M=")</f>
        <v>#VALUE!</v>
      </c>
      <c r="BQ162" t="e">
        <f>AND('Planilla_General_03-12-2012_9_3'!D2581,"AAAAAFfs70Q=")</f>
        <v>#VALUE!</v>
      </c>
      <c r="BR162" t="e">
        <f>AND('Planilla_General_03-12-2012_9_3'!E2581,"AAAAAFfs70U=")</f>
        <v>#VALUE!</v>
      </c>
      <c r="BS162" t="e">
        <f>AND('Planilla_General_03-12-2012_9_3'!F2581,"AAAAAFfs70Y=")</f>
        <v>#VALUE!</v>
      </c>
      <c r="BT162" t="e">
        <f>AND('Planilla_General_03-12-2012_9_3'!G2581,"AAAAAFfs70c=")</f>
        <v>#VALUE!</v>
      </c>
      <c r="BU162" t="e">
        <f>AND('Planilla_General_03-12-2012_9_3'!H2581,"AAAAAFfs70g=")</f>
        <v>#VALUE!</v>
      </c>
      <c r="BV162" t="e">
        <f>AND('Planilla_General_03-12-2012_9_3'!I2581,"AAAAAFfs70k=")</f>
        <v>#VALUE!</v>
      </c>
      <c r="BW162" t="e">
        <f>AND('Planilla_General_03-12-2012_9_3'!J2581,"AAAAAFfs70o=")</f>
        <v>#VALUE!</v>
      </c>
      <c r="BX162" t="e">
        <f>AND('Planilla_General_03-12-2012_9_3'!K2581,"AAAAAFfs70s=")</f>
        <v>#VALUE!</v>
      </c>
      <c r="BY162" t="e">
        <f>AND('Planilla_General_03-12-2012_9_3'!L2581,"AAAAAFfs70w=")</f>
        <v>#VALUE!</v>
      </c>
      <c r="BZ162" t="e">
        <f>AND('Planilla_General_03-12-2012_9_3'!M2581,"AAAAAFfs700=")</f>
        <v>#VALUE!</v>
      </c>
      <c r="CA162" t="e">
        <f>AND('Planilla_General_03-12-2012_9_3'!N2581,"AAAAAFfs704=")</f>
        <v>#VALUE!</v>
      </c>
      <c r="CB162" t="e">
        <f>AND('Planilla_General_03-12-2012_9_3'!O2581,"AAAAAFfs708=")</f>
        <v>#VALUE!</v>
      </c>
      <c r="CC162">
        <f>IF('Planilla_General_03-12-2012_9_3'!2582:2582,"AAAAAFfs71A=",0)</f>
        <v>0</v>
      </c>
      <c r="CD162" t="e">
        <f>AND('Planilla_General_03-12-2012_9_3'!A2582,"AAAAAFfs71E=")</f>
        <v>#VALUE!</v>
      </c>
      <c r="CE162" t="e">
        <f>AND('Planilla_General_03-12-2012_9_3'!B2582,"AAAAAFfs71I=")</f>
        <v>#VALUE!</v>
      </c>
      <c r="CF162" t="e">
        <f>AND('Planilla_General_03-12-2012_9_3'!C2582,"AAAAAFfs71M=")</f>
        <v>#VALUE!</v>
      </c>
      <c r="CG162" t="e">
        <f>AND('Planilla_General_03-12-2012_9_3'!D2582,"AAAAAFfs71Q=")</f>
        <v>#VALUE!</v>
      </c>
      <c r="CH162" t="e">
        <f>AND('Planilla_General_03-12-2012_9_3'!E2582,"AAAAAFfs71U=")</f>
        <v>#VALUE!</v>
      </c>
      <c r="CI162" t="e">
        <f>AND('Planilla_General_03-12-2012_9_3'!F2582,"AAAAAFfs71Y=")</f>
        <v>#VALUE!</v>
      </c>
      <c r="CJ162" t="e">
        <f>AND('Planilla_General_03-12-2012_9_3'!G2582,"AAAAAFfs71c=")</f>
        <v>#VALUE!</v>
      </c>
      <c r="CK162" t="e">
        <f>AND('Planilla_General_03-12-2012_9_3'!H2582,"AAAAAFfs71g=")</f>
        <v>#VALUE!</v>
      </c>
      <c r="CL162" t="e">
        <f>AND('Planilla_General_03-12-2012_9_3'!I2582,"AAAAAFfs71k=")</f>
        <v>#VALUE!</v>
      </c>
      <c r="CM162" t="e">
        <f>AND('Planilla_General_03-12-2012_9_3'!J2582,"AAAAAFfs71o=")</f>
        <v>#VALUE!</v>
      </c>
      <c r="CN162" t="e">
        <f>AND('Planilla_General_03-12-2012_9_3'!K2582,"AAAAAFfs71s=")</f>
        <v>#VALUE!</v>
      </c>
      <c r="CO162" t="e">
        <f>AND('Planilla_General_03-12-2012_9_3'!L2582,"AAAAAFfs71w=")</f>
        <v>#VALUE!</v>
      </c>
      <c r="CP162" t="e">
        <f>AND('Planilla_General_03-12-2012_9_3'!M2582,"AAAAAFfs710=")</f>
        <v>#VALUE!</v>
      </c>
      <c r="CQ162" t="e">
        <f>AND('Planilla_General_03-12-2012_9_3'!N2582,"AAAAAFfs714=")</f>
        <v>#VALUE!</v>
      </c>
      <c r="CR162" t="e">
        <f>AND('Planilla_General_03-12-2012_9_3'!O2582,"AAAAAFfs718=")</f>
        <v>#VALUE!</v>
      </c>
      <c r="CS162">
        <f>IF('Planilla_General_03-12-2012_9_3'!2583:2583,"AAAAAFfs72A=",0)</f>
        <v>0</v>
      </c>
      <c r="CT162" t="e">
        <f>AND('Planilla_General_03-12-2012_9_3'!A2583,"AAAAAFfs72E=")</f>
        <v>#VALUE!</v>
      </c>
      <c r="CU162" t="e">
        <f>AND('Planilla_General_03-12-2012_9_3'!B2583,"AAAAAFfs72I=")</f>
        <v>#VALUE!</v>
      </c>
      <c r="CV162" t="e">
        <f>AND('Planilla_General_03-12-2012_9_3'!C2583,"AAAAAFfs72M=")</f>
        <v>#VALUE!</v>
      </c>
      <c r="CW162" t="e">
        <f>AND('Planilla_General_03-12-2012_9_3'!D2583,"AAAAAFfs72Q=")</f>
        <v>#VALUE!</v>
      </c>
      <c r="CX162" t="e">
        <f>AND('Planilla_General_03-12-2012_9_3'!E2583,"AAAAAFfs72U=")</f>
        <v>#VALUE!</v>
      </c>
      <c r="CY162" t="e">
        <f>AND('Planilla_General_03-12-2012_9_3'!F2583,"AAAAAFfs72Y=")</f>
        <v>#VALUE!</v>
      </c>
      <c r="CZ162" t="e">
        <f>AND('Planilla_General_03-12-2012_9_3'!G2583,"AAAAAFfs72c=")</f>
        <v>#VALUE!</v>
      </c>
      <c r="DA162" t="e">
        <f>AND('Planilla_General_03-12-2012_9_3'!H2583,"AAAAAFfs72g=")</f>
        <v>#VALUE!</v>
      </c>
      <c r="DB162" t="e">
        <f>AND('Planilla_General_03-12-2012_9_3'!I2583,"AAAAAFfs72k=")</f>
        <v>#VALUE!</v>
      </c>
      <c r="DC162" t="e">
        <f>AND('Planilla_General_03-12-2012_9_3'!J2583,"AAAAAFfs72o=")</f>
        <v>#VALUE!</v>
      </c>
      <c r="DD162" t="e">
        <f>AND('Planilla_General_03-12-2012_9_3'!K2583,"AAAAAFfs72s=")</f>
        <v>#VALUE!</v>
      </c>
      <c r="DE162" t="e">
        <f>AND('Planilla_General_03-12-2012_9_3'!L2583,"AAAAAFfs72w=")</f>
        <v>#VALUE!</v>
      </c>
      <c r="DF162" t="e">
        <f>AND('Planilla_General_03-12-2012_9_3'!M2583,"AAAAAFfs720=")</f>
        <v>#VALUE!</v>
      </c>
      <c r="DG162" t="e">
        <f>AND('Planilla_General_03-12-2012_9_3'!N2583,"AAAAAFfs724=")</f>
        <v>#VALUE!</v>
      </c>
      <c r="DH162" t="e">
        <f>AND('Planilla_General_03-12-2012_9_3'!O2583,"AAAAAFfs728=")</f>
        <v>#VALUE!</v>
      </c>
      <c r="DI162">
        <f>IF('Planilla_General_03-12-2012_9_3'!2584:2584,"AAAAAFfs73A=",0)</f>
        <v>0</v>
      </c>
      <c r="DJ162" t="e">
        <f>AND('Planilla_General_03-12-2012_9_3'!A2584,"AAAAAFfs73E=")</f>
        <v>#VALUE!</v>
      </c>
      <c r="DK162" t="e">
        <f>AND('Planilla_General_03-12-2012_9_3'!B2584,"AAAAAFfs73I=")</f>
        <v>#VALUE!</v>
      </c>
      <c r="DL162" t="e">
        <f>AND('Planilla_General_03-12-2012_9_3'!C2584,"AAAAAFfs73M=")</f>
        <v>#VALUE!</v>
      </c>
      <c r="DM162" t="e">
        <f>AND('Planilla_General_03-12-2012_9_3'!D2584,"AAAAAFfs73Q=")</f>
        <v>#VALUE!</v>
      </c>
      <c r="DN162" t="e">
        <f>AND('Planilla_General_03-12-2012_9_3'!E2584,"AAAAAFfs73U=")</f>
        <v>#VALUE!</v>
      </c>
      <c r="DO162" t="e">
        <f>AND('Planilla_General_03-12-2012_9_3'!F2584,"AAAAAFfs73Y=")</f>
        <v>#VALUE!</v>
      </c>
      <c r="DP162" t="e">
        <f>AND('Planilla_General_03-12-2012_9_3'!G2584,"AAAAAFfs73c=")</f>
        <v>#VALUE!</v>
      </c>
      <c r="DQ162" t="e">
        <f>AND('Planilla_General_03-12-2012_9_3'!H2584,"AAAAAFfs73g=")</f>
        <v>#VALUE!</v>
      </c>
      <c r="DR162" t="e">
        <f>AND('Planilla_General_03-12-2012_9_3'!I2584,"AAAAAFfs73k=")</f>
        <v>#VALUE!</v>
      </c>
      <c r="DS162" t="e">
        <f>AND('Planilla_General_03-12-2012_9_3'!J2584,"AAAAAFfs73o=")</f>
        <v>#VALUE!</v>
      </c>
      <c r="DT162" t="e">
        <f>AND('Planilla_General_03-12-2012_9_3'!K2584,"AAAAAFfs73s=")</f>
        <v>#VALUE!</v>
      </c>
      <c r="DU162" t="e">
        <f>AND('Planilla_General_03-12-2012_9_3'!L2584,"AAAAAFfs73w=")</f>
        <v>#VALUE!</v>
      </c>
      <c r="DV162" t="e">
        <f>AND('Planilla_General_03-12-2012_9_3'!M2584,"AAAAAFfs730=")</f>
        <v>#VALUE!</v>
      </c>
      <c r="DW162" t="e">
        <f>AND('Planilla_General_03-12-2012_9_3'!N2584,"AAAAAFfs734=")</f>
        <v>#VALUE!</v>
      </c>
      <c r="DX162" t="e">
        <f>AND('Planilla_General_03-12-2012_9_3'!O2584,"AAAAAFfs738=")</f>
        <v>#VALUE!</v>
      </c>
      <c r="DY162">
        <f>IF('Planilla_General_03-12-2012_9_3'!2585:2585,"AAAAAFfs74A=",0)</f>
        <v>0</v>
      </c>
      <c r="DZ162" t="e">
        <f>AND('Planilla_General_03-12-2012_9_3'!A2585,"AAAAAFfs74E=")</f>
        <v>#VALUE!</v>
      </c>
      <c r="EA162" t="e">
        <f>AND('Planilla_General_03-12-2012_9_3'!B2585,"AAAAAFfs74I=")</f>
        <v>#VALUE!</v>
      </c>
      <c r="EB162" t="e">
        <f>AND('Planilla_General_03-12-2012_9_3'!C2585,"AAAAAFfs74M=")</f>
        <v>#VALUE!</v>
      </c>
      <c r="EC162" t="e">
        <f>AND('Planilla_General_03-12-2012_9_3'!D2585,"AAAAAFfs74Q=")</f>
        <v>#VALUE!</v>
      </c>
      <c r="ED162" t="e">
        <f>AND('Planilla_General_03-12-2012_9_3'!E2585,"AAAAAFfs74U=")</f>
        <v>#VALUE!</v>
      </c>
      <c r="EE162" t="e">
        <f>AND('Planilla_General_03-12-2012_9_3'!F2585,"AAAAAFfs74Y=")</f>
        <v>#VALUE!</v>
      </c>
      <c r="EF162" t="e">
        <f>AND('Planilla_General_03-12-2012_9_3'!G2585,"AAAAAFfs74c=")</f>
        <v>#VALUE!</v>
      </c>
      <c r="EG162" t="e">
        <f>AND('Planilla_General_03-12-2012_9_3'!H2585,"AAAAAFfs74g=")</f>
        <v>#VALUE!</v>
      </c>
      <c r="EH162" t="e">
        <f>AND('Planilla_General_03-12-2012_9_3'!I2585,"AAAAAFfs74k=")</f>
        <v>#VALUE!</v>
      </c>
      <c r="EI162" t="e">
        <f>AND('Planilla_General_03-12-2012_9_3'!J2585,"AAAAAFfs74o=")</f>
        <v>#VALUE!</v>
      </c>
      <c r="EJ162" t="e">
        <f>AND('Planilla_General_03-12-2012_9_3'!K2585,"AAAAAFfs74s=")</f>
        <v>#VALUE!</v>
      </c>
      <c r="EK162" t="e">
        <f>AND('Planilla_General_03-12-2012_9_3'!L2585,"AAAAAFfs74w=")</f>
        <v>#VALUE!</v>
      </c>
      <c r="EL162" t="e">
        <f>AND('Planilla_General_03-12-2012_9_3'!M2585,"AAAAAFfs740=")</f>
        <v>#VALUE!</v>
      </c>
      <c r="EM162" t="e">
        <f>AND('Planilla_General_03-12-2012_9_3'!N2585,"AAAAAFfs744=")</f>
        <v>#VALUE!</v>
      </c>
      <c r="EN162" t="e">
        <f>AND('Planilla_General_03-12-2012_9_3'!O2585,"AAAAAFfs748=")</f>
        <v>#VALUE!</v>
      </c>
      <c r="EO162">
        <f>IF('Planilla_General_03-12-2012_9_3'!2586:2586,"AAAAAFfs75A=",0)</f>
        <v>0</v>
      </c>
      <c r="EP162" t="e">
        <f>AND('Planilla_General_03-12-2012_9_3'!A2586,"AAAAAFfs75E=")</f>
        <v>#VALUE!</v>
      </c>
      <c r="EQ162" t="e">
        <f>AND('Planilla_General_03-12-2012_9_3'!B2586,"AAAAAFfs75I=")</f>
        <v>#VALUE!</v>
      </c>
      <c r="ER162" t="e">
        <f>AND('Planilla_General_03-12-2012_9_3'!C2586,"AAAAAFfs75M=")</f>
        <v>#VALUE!</v>
      </c>
      <c r="ES162" t="e">
        <f>AND('Planilla_General_03-12-2012_9_3'!D2586,"AAAAAFfs75Q=")</f>
        <v>#VALUE!</v>
      </c>
      <c r="ET162" t="e">
        <f>AND('Planilla_General_03-12-2012_9_3'!E2586,"AAAAAFfs75U=")</f>
        <v>#VALUE!</v>
      </c>
      <c r="EU162" t="e">
        <f>AND('Planilla_General_03-12-2012_9_3'!F2586,"AAAAAFfs75Y=")</f>
        <v>#VALUE!</v>
      </c>
      <c r="EV162" t="e">
        <f>AND('Planilla_General_03-12-2012_9_3'!G2586,"AAAAAFfs75c=")</f>
        <v>#VALUE!</v>
      </c>
      <c r="EW162" t="e">
        <f>AND('Planilla_General_03-12-2012_9_3'!H2586,"AAAAAFfs75g=")</f>
        <v>#VALUE!</v>
      </c>
      <c r="EX162" t="e">
        <f>AND('Planilla_General_03-12-2012_9_3'!I2586,"AAAAAFfs75k=")</f>
        <v>#VALUE!</v>
      </c>
      <c r="EY162" t="e">
        <f>AND('Planilla_General_03-12-2012_9_3'!J2586,"AAAAAFfs75o=")</f>
        <v>#VALUE!</v>
      </c>
      <c r="EZ162" t="e">
        <f>AND('Planilla_General_03-12-2012_9_3'!K2586,"AAAAAFfs75s=")</f>
        <v>#VALUE!</v>
      </c>
      <c r="FA162" t="e">
        <f>AND('Planilla_General_03-12-2012_9_3'!L2586,"AAAAAFfs75w=")</f>
        <v>#VALUE!</v>
      </c>
      <c r="FB162" t="e">
        <f>AND('Planilla_General_03-12-2012_9_3'!M2586,"AAAAAFfs750=")</f>
        <v>#VALUE!</v>
      </c>
      <c r="FC162" t="e">
        <f>AND('Planilla_General_03-12-2012_9_3'!N2586,"AAAAAFfs754=")</f>
        <v>#VALUE!</v>
      </c>
      <c r="FD162" t="e">
        <f>AND('Planilla_General_03-12-2012_9_3'!O2586,"AAAAAFfs758=")</f>
        <v>#VALUE!</v>
      </c>
      <c r="FE162">
        <f>IF('Planilla_General_03-12-2012_9_3'!2587:2587,"AAAAAFfs76A=",0)</f>
        <v>0</v>
      </c>
      <c r="FF162" t="e">
        <f>AND('Planilla_General_03-12-2012_9_3'!A2587,"AAAAAFfs76E=")</f>
        <v>#VALUE!</v>
      </c>
      <c r="FG162" t="e">
        <f>AND('Planilla_General_03-12-2012_9_3'!B2587,"AAAAAFfs76I=")</f>
        <v>#VALUE!</v>
      </c>
      <c r="FH162" t="e">
        <f>AND('Planilla_General_03-12-2012_9_3'!C2587,"AAAAAFfs76M=")</f>
        <v>#VALUE!</v>
      </c>
      <c r="FI162" t="e">
        <f>AND('Planilla_General_03-12-2012_9_3'!D2587,"AAAAAFfs76Q=")</f>
        <v>#VALUE!</v>
      </c>
      <c r="FJ162" t="e">
        <f>AND('Planilla_General_03-12-2012_9_3'!E2587,"AAAAAFfs76U=")</f>
        <v>#VALUE!</v>
      </c>
      <c r="FK162" t="e">
        <f>AND('Planilla_General_03-12-2012_9_3'!F2587,"AAAAAFfs76Y=")</f>
        <v>#VALUE!</v>
      </c>
      <c r="FL162" t="e">
        <f>AND('Planilla_General_03-12-2012_9_3'!G2587,"AAAAAFfs76c=")</f>
        <v>#VALUE!</v>
      </c>
      <c r="FM162" t="e">
        <f>AND('Planilla_General_03-12-2012_9_3'!H2587,"AAAAAFfs76g=")</f>
        <v>#VALUE!</v>
      </c>
      <c r="FN162" t="e">
        <f>AND('Planilla_General_03-12-2012_9_3'!I2587,"AAAAAFfs76k=")</f>
        <v>#VALUE!</v>
      </c>
      <c r="FO162" t="e">
        <f>AND('Planilla_General_03-12-2012_9_3'!J2587,"AAAAAFfs76o=")</f>
        <v>#VALUE!</v>
      </c>
      <c r="FP162" t="e">
        <f>AND('Planilla_General_03-12-2012_9_3'!K2587,"AAAAAFfs76s=")</f>
        <v>#VALUE!</v>
      </c>
      <c r="FQ162" t="e">
        <f>AND('Planilla_General_03-12-2012_9_3'!L2587,"AAAAAFfs76w=")</f>
        <v>#VALUE!</v>
      </c>
      <c r="FR162" t="e">
        <f>AND('Planilla_General_03-12-2012_9_3'!M2587,"AAAAAFfs760=")</f>
        <v>#VALUE!</v>
      </c>
      <c r="FS162" t="e">
        <f>AND('Planilla_General_03-12-2012_9_3'!N2587,"AAAAAFfs764=")</f>
        <v>#VALUE!</v>
      </c>
      <c r="FT162" t="e">
        <f>AND('Planilla_General_03-12-2012_9_3'!O2587,"AAAAAFfs768=")</f>
        <v>#VALUE!</v>
      </c>
      <c r="FU162">
        <f>IF('Planilla_General_03-12-2012_9_3'!2588:2588,"AAAAAFfs77A=",0)</f>
        <v>0</v>
      </c>
      <c r="FV162" t="e">
        <f>AND('Planilla_General_03-12-2012_9_3'!A2588,"AAAAAFfs77E=")</f>
        <v>#VALUE!</v>
      </c>
      <c r="FW162" t="e">
        <f>AND('Planilla_General_03-12-2012_9_3'!B2588,"AAAAAFfs77I=")</f>
        <v>#VALUE!</v>
      </c>
      <c r="FX162" t="e">
        <f>AND('Planilla_General_03-12-2012_9_3'!C2588,"AAAAAFfs77M=")</f>
        <v>#VALUE!</v>
      </c>
      <c r="FY162" t="e">
        <f>AND('Planilla_General_03-12-2012_9_3'!D2588,"AAAAAFfs77Q=")</f>
        <v>#VALUE!</v>
      </c>
      <c r="FZ162" t="e">
        <f>AND('Planilla_General_03-12-2012_9_3'!E2588,"AAAAAFfs77U=")</f>
        <v>#VALUE!</v>
      </c>
      <c r="GA162" t="e">
        <f>AND('Planilla_General_03-12-2012_9_3'!F2588,"AAAAAFfs77Y=")</f>
        <v>#VALUE!</v>
      </c>
      <c r="GB162" t="e">
        <f>AND('Planilla_General_03-12-2012_9_3'!G2588,"AAAAAFfs77c=")</f>
        <v>#VALUE!</v>
      </c>
      <c r="GC162" t="e">
        <f>AND('Planilla_General_03-12-2012_9_3'!H2588,"AAAAAFfs77g=")</f>
        <v>#VALUE!</v>
      </c>
      <c r="GD162" t="e">
        <f>AND('Planilla_General_03-12-2012_9_3'!I2588,"AAAAAFfs77k=")</f>
        <v>#VALUE!</v>
      </c>
      <c r="GE162" t="e">
        <f>AND('Planilla_General_03-12-2012_9_3'!J2588,"AAAAAFfs77o=")</f>
        <v>#VALUE!</v>
      </c>
      <c r="GF162" t="e">
        <f>AND('Planilla_General_03-12-2012_9_3'!K2588,"AAAAAFfs77s=")</f>
        <v>#VALUE!</v>
      </c>
      <c r="GG162" t="e">
        <f>AND('Planilla_General_03-12-2012_9_3'!L2588,"AAAAAFfs77w=")</f>
        <v>#VALUE!</v>
      </c>
      <c r="GH162" t="e">
        <f>AND('Planilla_General_03-12-2012_9_3'!M2588,"AAAAAFfs770=")</f>
        <v>#VALUE!</v>
      </c>
      <c r="GI162" t="e">
        <f>AND('Planilla_General_03-12-2012_9_3'!N2588,"AAAAAFfs774=")</f>
        <v>#VALUE!</v>
      </c>
      <c r="GJ162" t="e">
        <f>AND('Planilla_General_03-12-2012_9_3'!O2588,"AAAAAFfs778=")</f>
        <v>#VALUE!</v>
      </c>
      <c r="GK162">
        <f>IF('Planilla_General_03-12-2012_9_3'!2589:2589,"AAAAAFfs78A=",0)</f>
        <v>0</v>
      </c>
      <c r="GL162" t="e">
        <f>AND('Planilla_General_03-12-2012_9_3'!A2589,"AAAAAFfs78E=")</f>
        <v>#VALUE!</v>
      </c>
      <c r="GM162" t="e">
        <f>AND('Planilla_General_03-12-2012_9_3'!B2589,"AAAAAFfs78I=")</f>
        <v>#VALUE!</v>
      </c>
      <c r="GN162" t="e">
        <f>AND('Planilla_General_03-12-2012_9_3'!C2589,"AAAAAFfs78M=")</f>
        <v>#VALUE!</v>
      </c>
      <c r="GO162" t="e">
        <f>AND('Planilla_General_03-12-2012_9_3'!D2589,"AAAAAFfs78Q=")</f>
        <v>#VALUE!</v>
      </c>
      <c r="GP162" t="e">
        <f>AND('Planilla_General_03-12-2012_9_3'!E2589,"AAAAAFfs78U=")</f>
        <v>#VALUE!</v>
      </c>
      <c r="GQ162" t="e">
        <f>AND('Planilla_General_03-12-2012_9_3'!F2589,"AAAAAFfs78Y=")</f>
        <v>#VALUE!</v>
      </c>
      <c r="GR162" t="e">
        <f>AND('Planilla_General_03-12-2012_9_3'!G2589,"AAAAAFfs78c=")</f>
        <v>#VALUE!</v>
      </c>
      <c r="GS162" t="e">
        <f>AND('Planilla_General_03-12-2012_9_3'!H2589,"AAAAAFfs78g=")</f>
        <v>#VALUE!</v>
      </c>
      <c r="GT162" t="e">
        <f>AND('Planilla_General_03-12-2012_9_3'!I2589,"AAAAAFfs78k=")</f>
        <v>#VALUE!</v>
      </c>
      <c r="GU162" t="e">
        <f>AND('Planilla_General_03-12-2012_9_3'!J2589,"AAAAAFfs78o=")</f>
        <v>#VALUE!</v>
      </c>
      <c r="GV162" t="e">
        <f>AND('Planilla_General_03-12-2012_9_3'!K2589,"AAAAAFfs78s=")</f>
        <v>#VALUE!</v>
      </c>
      <c r="GW162" t="e">
        <f>AND('Planilla_General_03-12-2012_9_3'!L2589,"AAAAAFfs78w=")</f>
        <v>#VALUE!</v>
      </c>
      <c r="GX162" t="e">
        <f>AND('Planilla_General_03-12-2012_9_3'!M2589,"AAAAAFfs780=")</f>
        <v>#VALUE!</v>
      </c>
      <c r="GY162" t="e">
        <f>AND('Planilla_General_03-12-2012_9_3'!N2589,"AAAAAFfs784=")</f>
        <v>#VALUE!</v>
      </c>
      <c r="GZ162" t="e">
        <f>AND('Planilla_General_03-12-2012_9_3'!O2589,"AAAAAFfs788=")</f>
        <v>#VALUE!</v>
      </c>
      <c r="HA162">
        <f>IF('Planilla_General_03-12-2012_9_3'!2590:2590,"AAAAAFfs79A=",0)</f>
        <v>0</v>
      </c>
      <c r="HB162" t="e">
        <f>AND('Planilla_General_03-12-2012_9_3'!A2590,"AAAAAFfs79E=")</f>
        <v>#VALUE!</v>
      </c>
      <c r="HC162" t="e">
        <f>AND('Planilla_General_03-12-2012_9_3'!B2590,"AAAAAFfs79I=")</f>
        <v>#VALUE!</v>
      </c>
      <c r="HD162" t="e">
        <f>AND('Planilla_General_03-12-2012_9_3'!C2590,"AAAAAFfs79M=")</f>
        <v>#VALUE!</v>
      </c>
      <c r="HE162" t="e">
        <f>AND('Planilla_General_03-12-2012_9_3'!D2590,"AAAAAFfs79Q=")</f>
        <v>#VALUE!</v>
      </c>
      <c r="HF162" t="e">
        <f>AND('Planilla_General_03-12-2012_9_3'!E2590,"AAAAAFfs79U=")</f>
        <v>#VALUE!</v>
      </c>
      <c r="HG162" t="e">
        <f>AND('Planilla_General_03-12-2012_9_3'!F2590,"AAAAAFfs79Y=")</f>
        <v>#VALUE!</v>
      </c>
      <c r="HH162" t="e">
        <f>AND('Planilla_General_03-12-2012_9_3'!G2590,"AAAAAFfs79c=")</f>
        <v>#VALUE!</v>
      </c>
      <c r="HI162" t="e">
        <f>AND('Planilla_General_03-12-2012_9_3'!H2590,"AAAAAFfs79g=")</f>
        <v>#VALUE!</v>
      </c>
      <c r="HJ162" t="e">
        <f>AND('Planilla_General_03-12-2012_9_3'!I2590,"AAAAAFfs79k=")</f>
        <v>#VALUE!</v>
      </c>
      <c r="HK162" t="e">
        <f>AND('Planilla_General_03-12-2012_9_3'!J2590,"AAAAAFfs79o=")</f>
        <v>#VALUE!</v>
      </c>
      <c r="HL162" t="e">
        <f>AND('Planilla_General_03-12-2012_9_3'!K2590,"AAAAAFfs79s=")</f>
        <v>#VALUE!</v>
      </c>
      <c r="HM162" t="e">
        <f>AND('Planilla_General_03-12-2012_9_3'!L2590,"AAAAAFfs79w=")</f>
        <v>#VALUE!</v>
      </c>
      <c r="HN162" t="e">
        <f>AND('Planilla_General_03-12-2012_9_3'!M2590,"AAAAAFfs790=")</f>
        <v>#VALUE!</v>
      </c>
      <c r="HO162" t="e">
        <f>AND('Planilla_General_03-12-2012_9_3'!N2590,"AAAAAFfs794=")</f>
        <v>#VALUE!</v>
      </c>
      <c r="HP162" t="e">
        <f>AND('Planilla_General_03-12-2012_9_3'!O2590,"AAAAAFfs798=")</f>
        <v>#VALUE!</v>
      </c>
      <c r="HQ162">
        <f>IF('Planilla_General_03-12-2012_9_3'!2591:2591,"AAAAAFfs7+A=",0)</f>
        <v>0</v>
      </c>
      <c r="HR162" t="e">
        <f>AND('Planilla_General_03-12-2012_9_3'!A2591,"AAAAAFfs7+E=")</f>
        <v>#VALUE!</v>
      </c>
      <c r="HS162" t="e">
        <f>AND('Planilla_General_03-12-2012_9_3'!B2591,"AAAAAFfs7+I=")</f>
        <v>#VALUE!</v>
      </c>
      <c r="HT162" t="e">
        <f>AND('Planilla_General_03-12-2012_9_3'!C2591,"AAAAAFfs7+M=")</f>
        <v>#VALUE!</v>
      </c>
      <c r="HU162" t="e">
        <f>AND('Planilla_General_03-12-2012_9_3'!D2591,"AAAAAFfs7+Q=")</f>
        <v>#VALUE!</v>
      </c>
      <c r="HV162" t="e">
        <f>AND('Planilla_General_03-12-2012_9_3'!E2591,"AAAAAFfs7+U=")</f>
        <v>#VALUE!</v>
      </c>
      <c r="HW162" t="e">
        <f>AND('Planilla_General_03-12-2012_9_3'!F2591,"AAAAAFfs7+Y=")</f>
        <v>#VALUE!</v>
      </c>
      <c r="HX162" t="e">
        <f>AND('Planilla_General_03-12-2012_9_3'!G2591,"AAAAAFfs7+c=")</f>
        <v>#VALUE!</v>
      </c>
      <c r="HY162" t="e">
        <f>AND('Planilla_General_03-12-2012_9_3'!H2591,"AAAAAFfs7+g=")</f>
        <v>#VALUE!</v>
      </c>
      <c r="HZ162" t="e">
        <f>AND('Planilla_General_03-12-2012_9_3'!I2591,"AAAAAFfs7+k=")</f>
        <v>#VALUE!</v>
      </c>
      <c r="IA162" t="e">
        <f>AND('Planilla_General_03-12-2012_9_3'!J2591,"AAAAAFfs7+o=")</f>
        <v>#VALUE!</v>
      </c>
      <c r="IB162" t="e">
        <f>AND('Planilla_General_03-12-2012_9_3'!K2591,"AAAAAFfs7+s=")</f>
        <v>#VALUE!</v>
      </c>
      <c r="IC162" t="e">
        <f>AND('Planilla_General_03-12-2012_9_3'!L2591,"AAAAAFfs7+w=")</f>
        <v>#VALUE!</v>
      </c>
      <c r="ID162" t="e">
        <f>AND('Planilla_General_03-12-2012_9_3'!M2591,"AAAAAFfs7+0=")</f>
        <v>#VALUE!</v>
      </c>
      <c r="IE162" t="e">
        <f>AND('Planilla_General_03-12-2012_9_3'!N2591,"AAAAAFfs7+4=")</f>
        <v>#VALUE!</v>
      </c>
      <c r="IF162" t="e">
        <f>AND('Planilla_General_03-12-2012_9_3'!O2591,"AAAAAFfs7+8=")</f>
        <v>#VALUE!</v>
      </c>
      <c r="IG162">
        <f>IF('Planilla_General_03-12-2012_9_3'!2592:2592,"AAAAAFfs7/A=",0)</f>
        <v>0</v>
      </c>
      <c r="IH162" t="e">
        <f>AND('Planilla_General_03-12-2012_9_3'!A2592,"AAAAAFfs7/E=")</f>
        <v>#VALUE!</v>
      </c>
      <c r="II162" t="e">
        <f>AND('Planilla_General_03-12-2012_9_3'!B2592,"AAAAAFfs7/I=")</f>
        <v>#VALUE!</v>
      </c>
      <c r="IJ162" t="e">
        <f>AND('Planilla_General_03-12-2012_9_3'!C2592,"AAAAAFfs7/M=")</f>
        <v>#VALUE!</v>
      </c>
      <c r="IK162" t="e">
        <f>AND('Planilla_General_03-12-2012_9_3'!D2592,"AAAAAFfs7/Q=")</f>
        <v>#VALUE!</v>
      </c>
      <c r="IL162" t="e">
        <f>AND('Planilla_General_03-12-2012_9_3'!E2592,"AAAAAFfs7/U=")</f>
        <v>#VALUE!</v>
      </c>
      <c r="IM162" t="e">
        <f>AND('Planilla_General_03-12-2012_9_3'!F2592,"AAAAAFfs7/Y=")</f>
        <v>#VALUE!</v>
      </c>
      <c r="IN162" t="e">
        <f>AND('Planilla_General_03-12-2012_9_3'!G2592,"AAAAAFfs7/c=")</f>
        <v>#VALUE!</v>
      </c>
      <c r="IO162" t="e">
        <f>AND('Planilla_General_03-12-2012_9_3'!H2592,"AAAAAFfs7/g=")</f>
        <v>#VALUE!</v>
      </c>
      <c r="IP162" t="e">
        <f>AND('Planilla_General_03-12-2012_9_3'!I2592,"AAAAAFfs7/k=")</f>
        <v>#VALUE!</v>
      </c>
      <c r="IQ162" t="e">
        <f>AND('Planilla_General_03-12-2012_9_3'!J2592,"AAAAAFfs7/o=")</f>
        <v>#VALUE!</v>
      </c>
      <c r="IR162" t="e">
        <f>AND('Planilla_General_03-12-2012_9_3'!K2592,"AAAAAFfs7/s=")</f>
        <v>#VALUE!</v>
      </c>
      <c r="IS162" t="e">
        <f>AND('Planilla_General_03-12-2012_9_3'!L2592,"AAAAAFfs7/w=")</f>
        <v>#VALUE!</v>
      </c>
      <c r="IT162" t="e">
        <f>AND('Planilla_General_03-12-2012_9_3'!M2592,"AAAAAFfs7/0=")</f>
        <v>#VALUE!</v>
      </c>
      <c r="IU162" t="e">
        <f>AND('Planilla_General_03-12-2012_9_3'!N2592,"AAAAAFfs7/4=")</f>
        <v>#VALUE!</v>
      </c>
      <c r="IV162" t="e">
        <f>AND('Planilla_General_03-12-2012_9_3'!O2592,"AAAAAFfs7/8=")</f>
        <v>#VALUE!</v>
      </c>
    </row>
    <row r="163" spans="1:256" x14ac:dyDescent="0.25">
      <c r="A163" t="e">
        <f>IF('Planilla_General_03-12-2012_9_3'!2593:2593,"AAAAAH/3/gA=",0)</f>
        <v>#VALUE!</v>
      </c>
      <c r="B163" t="e">
        <f>AND('Planilla_General_03-12-2012_9_3'!A2593,"AAAAAH/3/gE=")</f>
        <v>#VALUE!</v>
      </c>
      <c r="C163" t="e">
        <f>AND('Planilla_General_03-12-2012_9_3'!B2593,"AAAAAH/3/gI=")</f>
        <v>#VALUE!</v>
      </c>
      <c r="D163" t="e">
        <f>AND('Planilla_General_03-12-2012_9_3'!C2593,"AAAAAH/3/gM=")</f>
        <v>#VALUE!</v>
      </c>
      <c r="E163" t="e">
        <f>AND('Planilla_General_03-12-2012_9_3'!D2593,"AAAAAH/3/gQ=")</f>
        <v>#VALUE!</v>
      </c>
      <c r="F163" t="e">
        <f>AND('Planilla_General_03-12-2012_9_3'!E2593,"AAAAAH/3/gU=")</f>
        <v>#VALUE!</v>
      </c>
      <c r="G163" t="e">
        <f>AND('Planilla_General_03-12-2012_9_3'!F2593,"AAAAAH/3/gY=")</f>
        <v>#VALUE!</v>
      </c>
      <c r="H163" t="e">
        <f>AND('Planilla_General_03-12-2012_9_3'!G2593,"AAAAAH/3/gc=")</f>
        <v>#VALUE!</v>
      </c>
      <c r="I163" t="e">
        <f>AND('Planilla_General_03-12-2012_9_3'!H2593,"AAAAAH/3/gg=")</f>
        <v>#VALUE!</v>
      </c>
      <c r="J163" t="e">
        <f>AND('Planilla_General_03-12-2012_9_3'!I2593,"AAAAAH/3/gk=")</f>
        <v>#VALUE!</v>
      </c>
      <c r="K163" t="e">
        <f>AND('Planilla_General_03-12-2012_9_3'!J2593,"AAAAAH/3/go=")</f>
        <v>#VALUE!</v>
      </c>
      <c r="L163" t="e">
        <f>AND('Planilla_General_03-12-2012_9_3'!K2593,"AAAAAH/3/gs=")</f>
        <v>#VALUE!</v>
      </c>
      <c r="M163" t="e">
        <f>AND('Planilla_General_03-12-2012_9_3'!L2593,"AAAAAH/3/gw=")</f>
        <v>#VALUE!</v>
      </c>
      <c r="N163" t="e">
        <f>AND('Planilla_General_03-12-2012_9_3'!M2593,"AAAAAH/3/g0=")</f>
        <v>#VALUE!</v>
      </c>
      <c r="O163" t="e">
        <f>AND('Planilla_General_03-12-2012_9_3'!N2593,"AAAAAH/3/g4=")</f>
        <v>#VALUE!</v>
      </c>
      <c r="P163" t="e">
        <f>AND('Planilla_General_03-12-2012_9_3'!O2593,"AAAAAH/3/g8=")</f>
        <v>#VALUE!</v>
      </c>
      <c r="Q163">
        <f>IF('Planilla_General_03-12-2012_9_3'!2594:2594,"AAAAAH/3/hA=",0)</f>
        <v>0</v>
      </c>
      <c r="R163" t="e">
        <f>AND('Planilla_General_03-12-2012_9_3'!A2594,"AAAAAH/3/hE=")</f>
        <v>#VALUE!</v>
      </c>
      <c r="S163" t="e">
        <f>AND('Planilla_General_03-12-2012_9_3'!B2594,"AAAAAH/3/hI=")</f>
        <v>#VALUE!</v>
      </c>
      <c r="T163" t="e">
        <f>AND('Planilla_General_03-12-2012_9_3'!C2594,"AAAAAH/3/hM=")</f>
        <v>#VALUE!</v>
      </c>
      <c r="U163" t="e">
        <f>AND('Planilla_General_03-12-2012_9_3'!D2594,"AAAAAH/3/hQ=")</f>
        <v>#VALUE!</v>
      </c>
      <c r="V163" t="e">
        <f>AND('Planilla_General_03-12-2012_9_3'!E2594,"AAAAAH/3/hU=")</f>
        <v>#VALUE!</v>
      </c>
      <c r="W163" t="e">
        <f>AND('Planilla_General_03-12-2012_9_3'!F2594,"AAAAAH/3/hY=")</f>
        <v>#VALUE!</v>
      </c>
      <c r="X163" t="e">
        <f>AND('Planilla_General_03-12-2012_9_3'!G2594,"AAAAAH/3/hc=")</f>
        <v>#VALUE!</v>
      </c>
      <c r="Y163" t="e">
        <f>AND('Planilla_General_03-12-2012_9_3'!H2594,"AAAAAH/3/hg=")</f>
        <v>#VALUE!</v>
      </c>
      <c r="Z163" t="e">
        <f>AND('Planilla_General_03-12-2012_9_3'!I2594,"AAAAAH/3/hk=")</f>
        <v>#VALUE!</v>
      </c>
      <c r="AA163" t="e">
        <f>AND('Planilla_General_03-12-2012_9_3'!J2594,"AAAAAH/3/ho=")</f>
        <v>#VALUE!</v>
      </c>
      <c r="AB163" t="e">
        <f>AND('Planilla_General_03-12-2012_9_3'!K2594,"AAAAAH/3/hs=")</f>
        <v>#VALUE!</v>
      </c>
      <c r="AC163" t="e">
        <f>AND('Planilla_General_03-12-2012_9_3'!L2594,"AAAAAH/3/hw=")</f>
        <v>#VALUE!</v>
      </c>
      <c r="AD163" t="e">
        <f>AND('Planilla_General_03-12-2012_9_3'!M2594,"AAAAAH/3/h0=")</f>
        <v>#VALUE!</v>
      </c>
      <c r="AE163" t="e">
        <f>AND('Planilla_General_03-12-2012_9_3'!N2594,"AAAAAH/3/h4=")</f>
        <v>#VALUE!</v>
      </c>
      <c r="AF163" t="e">
        <f>AND('Planilla_General_03-12-2012_9_3'!O2594,"AAAAAH/3/h8=")</f>
        <v>#VALUE!</v>
      </c>
      <c r="AG163">
        <f>IF('Planilla_General_03-12-2012_9_3'!2595:2595,"AAAAAH/3/iA=",0)</f>
        <v>0</v>
      </c>
      <c r="AH163" t="e">
        <f>AND('Planilla_General_03-12-2012_9_3'!A2595,"AAAAAH/3/iE=")</f>
        <v>#VALUE!</v>
      </c>
      <c r="AI163" t="e">
        <f>AND('Planilla_General_03-12-2012_9_3'!B2595,"AAAAAH/3/iI=")</f>
        <v>#VALUE!</v>
      </c>
      <c r="AJ163" t="e">
        <f>AND('Planilla_General_03-12-2012_9_3'!C2595,"AAAAAH/3/iM=")</f>
        <v>#VALUE!</v>
      </c>
      <c r="AK163" t="e">
        <f>AND('Planilla_General_03-12-2012_9_3'!D2595,"AAAAAH/3/iQ=")</f>
        <v>#VALUE!</v>
      </c>
      <c r="AL163" t="e">
        <f>AND('Planilla_General_03-12-2012_9_3'!E2595,"AAAAAH/3/iU=")</f>
        <v>#VALUE!</v>
      </c>
      <c r="AM163" t="e">
        <f>AND('Planilla_General_03-12-2012_9_3'!F2595,"AAAAAH/3/iY=")</f>
        <v>#VALUE!</v>
      </c>
      <c r="AN163" t="e">
        <f>AND('Planilla_General_03-12-2012_9_3'!G2595,"AAAAAH/3/ic=")</f>
        <v>#VALUE!</v>
      </c>
      <c r="AO163" t="e">
        <f>AND('Planilla_General_03-12-2012_9_3'!H2595,"AAAAAH/3/ig=")</f>
        <v>#VALUE!</v>
      </c>
      <c r="AP163" t="e">
        <f>AND('Planilla_General_03-12-2012_9_3'!I2595,"AAAAAH/3/ik=")</f>
        <v>#VALUE!</v>
      </c>
      <c r="AQ163" t="e">
        <f>AND('Planilla_General_03-12-2012_9_3'!J2595,"AAAAAH/3/io=")</f>
        <v>#VALUE!</v>
      </c>
      <c r="AR163" t="e">
        <f>AND('Planilla_General_03-12-2012_9_3'!K2595,"AAAAAH/3/is=")</f>
        <v>#VALUE!</v>
      </c>
      <c r="AS163" t="e">
        <f>AND('Planilla_General_03-12-2012_9_3'!L2595,"AAAAAH/3/iw=")</f>
        <v>#VALUE!</v>
      </c>
      <c r="AT163" t="e">
        <f>AND('Planilla_General_03-12-2012_9_3'!M2595,"AAAAAH/3/i0=")</f>
        <v>#VALUE!</v>
      </c>
      <c r="AU163" t="e">
        <f>AND('Planilla_General_03-12-2012_9_3'!N2595,"AAAAAH/3/i4=")</f>
        <v>#VALUE!</v>
      </c>
      <c r="AV163" t="e">
        <f>AND('Planilla_General_03-12-2012_9_3'!O2595,"AAAAAH/3/i8=")</f>
        <v>#VALUE!</v>
      </c>
      <c r="AW163">
        <f>IF('Planilla_General_03-12-2012_9_3'!2596:2596,"AAAAAH/3/jA=",0)</f>
        <v>0</v>
      </c>
      <c r="AX163" t="e">
        <f>AND('Planilla_General_03-12-2012_9_3'!A2596,"AAAAAH/3/jE=")</f>
        <v>#VALUE!</v>
      </c>
      <c r="AY163" t="e">
        <f>AND('Planilla_General_03-12-2012_9_3'!B2596,"AAAAAH/3/jI=")</f>
        <v>#VALUE!</v>
      </c>
      <c r="AZ163" t="e">
        <f>AND('Planilla_General_03-12-2012_9_3'!C2596,"AAAAAH/3/jM=")</f>
        <v>#VALUE!</v>
      </c>
      <c r="BA163" t="e">
        <f>AND('Planilla_General_03-12-2012_9_3'!D2596,"AAAAAH/3/jQ=")</f>
        <v>#VALUE!</v>
      </c>
      <c r="BB163" t="e">
        <f>AND('Planilla_General_03-12-2012_9_3'!E2596,"AAAAAH/3/jU=")</f>
        <v>#VALUE!</v>
      </c>
      <c r="BC163" t="e">
        <f>AND('Planilla_General_03-12-2012_9_3'!F2596,"AAAAAH/3/jY=")</f>
        <v>#VALUE!</v>
      </c>
      <c r="BD163" t="e">
        <f>AND('Planilla_General_03-12-2012_9_3'!G2596,"AAAAAH/3/jc=")</f>
        <v>#VALUE!</v>
      </c>
      <c r="BE163" t="e">
        <f>AND('Planilla_General_03-12-2012_9_3'!H2596,"AAAAAH/3/jg=")</f>
        <v>#VALUE!</v>
      </c>
      <c r="BF163" t="e">
        <f>AND('Planilla_General_03-12-2012_9_3'!I2596,"AAAAAH/3/jk=")</f>
        <v>#VALUE!</v>
      </c>
      <c r="BG163" t="e">
        <f>AND('Planilla_General_03-12-2012_9_3'!J2596,"AAAAAH/3/jo=")</f>
        <v>#VALUE!</v>
      </c>
      <c r="BH163" t="e">
        <f>AND('Planilla_General_03-12-2012_9_3'!K2596,"AAAAAH/3/js=")</f>
        <v>#VALUE!</v>
      </c>
      <c r="BI163" t="e">
        <f>AND('Planilla_General_03-12-2012_9_3'!L2596,"AAAAAH/3/jw=")</f>
        <v>#VALUE!</v>
      </c>
      <c r="BJ163" t="e">
        <f>AND('Planilla_General_03-12-2012_9_3'!M2596,"AAAAAH/3/j0=")</f>
        <v>#VALUE!</v>
      </c>
      <c r="BK163" t="e">
        <f>AND('Planilla_General_03-12-2012_9_3'!N2596,"AAAAAH/3/j4=")</f>
        <v>#VALUE!</v>
      </c>
      <c r="BL163" t="e">
        <f>AND('Planilla_General_03-12-2012_9_3'!O2596,"AAAAAH/3/j8=")</f>
        <v>#VALUE!</v>
      </c>
      <c r="BM163">
        <f>IF('Planilla_General_03-12-2012_9_3'!2597:2597,"AAAAAH/3/kA=",0)</f>
        <v>0</v>
      </c>
      <c r="BN163" t="e">
        <f>AND('Planilla_General_03-12-2012_9_3'!A2597,"AAAAAH/3/kE=")</f>
        <v>#VALUE!</v>
      </c>
      <c r="BO163" t="e">
        <f>AND('Planilla_General_03-12-2012_9_3'!B2597,"AAAAAH/3/kI=")</f>
        <v>#VALUE!</v>
      </c>
      <c r="BP163" t="e">
        <f>AND('Planilla_General_03-12-2012_9_3'!C2597,"AAAAAH/3/kM=")</f>
        <v>#VALUE!</v>
      </c>
      <c r="BQ163" t="e">
        <f>AND('Planilla_General_03-12-2012_9_3'!D2597,"AAAAAH/3/kQ=")</f>
        <v>#VALUE!</v>
      </c>
      <c r="BR163" t="e">
        <f>AND('Planilla_General_03-12-2012_9_3'!E2597,"AAAAAH/3/kU=")</f>
        <v>#VALUE!</v>
      </c>
      <c r="BS163" t="e">
        <f>AND('Planilla_General_03-12-2012_9_3'!F2597,"AAAAAH/3/kY=")</f>
        <v>#VALUE!</v>
      </c>
      <c r="BT163" t="e">
        <f>AND('Planilla_General_03-12-2012_9_3'!G2597,"AAAAAH/3/kc=")</f>
        <v>#VALUE!</v>
      </c>
      <c r="BU163" t="e">
        <f>AND('Planilla_General_03-12-2012_9_3'!H2597,"AAAAAH/3/kg=")</f>
        <v>#VALUE!</v>
      </c>
      <c r="BV163" t="e">
        <f>AND('Planilla_General_03-12-2012_9_3'!I2597,"AAAAAH/3/kk=")</f>
        <v>#VALUE!</v>
      </c>
      <c r="BW163" t="e">
        <f>AND('Planilla_General_03-12-2012_9_3'!J2597,"AAAAAH/3/ko=")</f>
        <v>#VALUE!</v>
      </c>
      <c r="BX163" t="e">
        <f>AND('Planilla_General_03-12-2012_9_3'!K2597,"AAAAAH/3/ks=")</f>
        <v>#VALUE!</v>
      </c>
      <c r="BY163" t="e">
        <f>AND('Planilla_General_03-12-2012_9_3'!L2597,"AAAAAH/3/kw=")</f>
        <v>#VALUE!</v>
      </c>
      <c r="BZ163" t="e">
        <f>AND('Planilla_General_03-12-2012_9_3'!M2597,"AAAAAH/3/k0=")</f>
        <v>#VALUE!</v>
      </c>
      <c r="CA163" t="e">
        <f>AND('Planilla_General_03-12-2012_9_3'!N2597,"AAAAAH/3/k4=")</f>
        <v>#VALUE!</v>
      </c>
      <c r="CB163" t="e">
        <f>AND('Planilla_General_03-12-2012_9_3'!O2597,"AAAAAH/3/k8=")</f>
        <v>#VALUE!</v>
      </c>
      <c r="CC163">
        <f>IF('Planilla_General_03-12-2012_9_3'!2598:2598,"AAAAAH/3/lA=",0)</f>
        <v>0</v>
      </c>
      <c r="CD163" t="e">
        <f>AND('Planilla_General_03-12-2012_9_3'!A2598,"AAAAAH/3/lE=")</f>
        <v>#VALUE!</v>
      </c>
      <c r="CE163" t="e">
        <f>AND('Planilla_General_03-12-2012_9_3'!B2598,"AAAAAH/3/lI=")</f>
        <v>#VALUE!</v>
      </c>
      <c r="CF163" t="e">
        <f>AND('Planilla_General_03-12-2012_9_3'!C2598,"AAAAAH/3/lM=")</f>
        <v>#VALUE!</v>
      </c>
      <c r="CG163" t="e">
        <f>AND('Planilla_General_03-12-2012_9_3'!D2598,"AAAAAH/3/lQ=")</f>
        <v>#VALUE!</v>
      </c>
      <c r="CH163" t="e">
        <f>AND('Planilla_General_03-12-2012_9_3'!E2598,"AAAAAH/3/lU=")</f>
        <v>#VALUE!</v>
      </c>
      <c r="CI163" t="e">
        <f>AND('Planilla_General_03-12-2012_9_3'!F2598,"AAAAAH/3/lY=")</f>
        <v>#VALUE!</v>
      </c>
      <c r="CJ163" t="e">
        <f>AND('Planilla_General_03-12-2012_9_3'!G2598,"AAAAAH/3/lc=")</f>
        <v>#VALUE!</v>
      </c>
      <c r="CK163" t="e">
        <f>AND('Planilla_General_03-12-2012_9_3'!H2598,"AAAAAH/3/lg=")</f>
        <v>#VALUE!</v>
      </c>
      <c r="CL163" t="e">
        <f>AND('Planilla_General_03-12-2012_9_3'!I2598,"AAAAAH/3/lk=")</f>
        <v>#VALUE!</v>
      </c>
      <c r="CM163" t="e">
        <f>AND('Planilla_General_03-12-2012_9_3'!J2598,"AAAAAH/3/lo=")</f>
        <v>#VALUE!</v>
      </c>
      <c r="CN163" t="e">
        <f>AND('Planilla_General_03-12-2012_9_3'!K2598,"AAAAAH/3/ls=")</f>
        <v>#VALUE!</v>
      </c>
      <c r="CO163" t="e">
        <f>AND('Planilla_General_03-12-2012_9_3'!L2598,"AAAAAH/3/lw=")</f>
        <v>#VALUE!</v>
      </c>
      <c r="CP163" t="e">
        <f>AND('Planilla_General_03-12-2012_9_3'!M2598,"AAAAAH/3/l0=")</f>
        <v>#VALUE!</v>
      </c>
      <c r="CQ163" t="e">
        <f>AND('Planilla_General_03-12-2012_9_3'!N2598,"AAAAAH/3/l4=")</f>
        <v>#VALUE!</v>
      </c>
      <c r="CR163" t="e">
        <f>AND('Planilla_General_03-12-2012_9_3'!O2598,"AAAAAH/3/l8=")</f>
        <v>#VALUE!</v>
      </c>
      <c r="CS163">
        <f>IF('Planilla_General_03-12-2012_9_3'!2599:2599,"AAAAAH/3/mA=",0)</f>
        <v>0</v>
      </c>
      <c r="CT163" t="e">
        <f>AND('Planilla_General_03-12-2012_9_3'!A2599,"AAAAAH/3/mE=")</f>
        <v>#VALUE!</v>
      </c>
      <c r="CU163" t="e">
        <f>AND('Planilla_General_03-12-2012_9_3'!B2599,"AAAAAH/3/mI=")</f>
        <v>#VALUE!</v>
      </c>
      <c r="CV163" t="e">
        <f>AND('Planilla_General_03-12-2012_9_3'!C2599,"AAAAAH/3/mM=")</f>
        <v>#VALUE!</v>
      </c>
      <c r="CW163" t="e">
        <f>AND('Planilla_General_03-12-2012_9_3'!D2599,"AAAAAH/3/mQ=")</f>
        <v>#VALUE!</v>
      </c>
      <c r="CX163" t="e">
        <f>AND('Planilla_General_03-12-2012_9_3'!E2599,"AAAAAH/3/mU=")</f>
        <v>#VALUE!</v>
      </c>
      <c r="CY163" t="e">
        <f>AND('Planilla_General_03-12-2012_9_3'!F2599,"AAAAAH/3/mY=")</f>
        <v>#VALUE!</v>
      </c>
      <c r="CZ163" t="e">
        <f>AND('Planilla_General_03-12-2012_9_3'!G2599,"AAAAAH/3/mc=")</f>
        <v>#VALUE!</v>
      </c>
      <c r="DA163" t="e">
        <f>AND('Planilla_General_03-12-2012_9_3'!H2599,"AAAAAH/3/mg=")</f>
        <v>#VALUE!</v>
      </c>
      <c r="DB163" t="e">
        <f>AND('Planilla_General_03-12-2012_9_3'!I2599,"AAAAAH/3/mk=")</f>
        <v>#VALUE!</v>
      </c>
      <c r="DC163" t="e">
        <f>AND('Planilla_General_03-12-2012_9_3'!J2599,"AAAAAH/3/mo=")</f>
        <v>#VALUE!</v>
      </c>
      <c r="DD163" t="e">
        <f>AND('Planilla_General_03-12-2012_9_3'!K2599,"AAAAAH/3/ms=")</f>
        <v>#VALUE!</v>
      </c>
      <c r="DE163" t="e">
        <f>AND('Planilla_General_03-12-2012_9_3'!L2599,"AAAAAH/3/mw=")</f>
        <v>#VALUE!</v>
      </c>
      <c r="DF163" t="e">
        <f>AND('Planilla_General_03-12-2012_9_3'!M2599,"AAAAAH/3/m0=")</f>
        <v>#VALUE!</v>
      </c>
      <c r="DG163" t="e">
        <f>AND('Planilla_General_03-12-2012_9_3'!N2599,"AAAAAH/3/m4=")</f>
        <v>#VALUE!</v>
      </c>
      <c r="DH163" t="e">
        <f>AND('Planilla_General_03-12-2012_9_3'!O2599,"AAAAAH/3/m8=")</f>
        <v>#VALUE!</v>
      </c>
      <c r="DI163">
        <f>IF('Planilla_General_03-12-2012_9_3'!2600:2600,"AAAAAH/3/nA=",0)</f>
        <v>0</v>
      </c>
      <c r="DJ163" t="e">
        <f>AND('Planilla_General_03-12-2012_9_3'!A2600,"AAAAAH/3/nE=")</f>
        <v>#VALUE!</v>
      </c>
      <c r="DK163" t="e">
        <f>AND('Planilla_General_03-12-2012_9_3'!B2600,"AAAAAH/3/nI=")</f>
        <v>#VALUE!</v>
      </c>
      <c r="DL163" t="e">
        <f>AND('Planilla_General_03-12-2012_9_3'!C2600,"AAAAAH/3/nM=")</f>
        <v>#VALUE!</v>
      </c>
      <c r="DM163" t="e">
        <f>AND('Planilla_General_03-12-2012_9_3'!D2600,"AAAAAH/3/nQ=")</f>
        <v>#VALUE!</v>
      </c>
      <c r="DN163" t="e">
        <f>AND('Planilla_General_03-12-2012_9_3'!E2600,"AAAAAH/3/nU=")</f>
        <v>#VALUE!</v>
      </c>
      <c r="DO163" t="e">
        <f>AND('Planilla_General_03-12-2012_9_3'!F2600,"AAAAAH/3/nY=")</f>
        <v>#VALUE!</v>
      </c>
      <c r="DP163" t="e">
        <f>AND('Planilla_General_03-12-2012_9_3'!G2600,"AAAAAH/3/nc=")</f>
        <v>#VALUE!</v>
      </c>
      <c r="DQ163" t="e">
        <f>AND('Planilla_General_03-12-2012_9_3'!H2600,"AAAAAH/3/ng=")</f>
        <v>#VALUE!</v>
      </c>
      <c r="DR163" t="e">
        <f>AND('Planilla_General_03-12-2012_9_3'!I2600,"AAAAAH/3/nk=")</f>
        <v>#VALUE!</v>
      </c>
      <c r="DS163" t="e">
        <f>AND('Planilla_General_03-12-2012_9_3'!J2600,"AAAAAH/3/no=")</f>
        <v>#VALUE!</v>
      </c>
      <c r="DT163" t="e">
        <f>AND('Planilla_General_03-12-2012_9_3'!K2600,"AAAAAH/3/ns=")</f>
        <v>#VALUE!</v>
      </c>
      <c r="DU163" t="e">
        <f>AND('Planilla_General_03-12-2012_9_3'!L2600,"AAAAAH/3/nw=")</f>
        <v>#VALUE!</v>
      </c>
      <c r="DV163" t="e">
        <f>AND('Planilla_General_03-12-2012_9_3'!M2600,"AAAAAH/3/n0=")</f>
        <v>#VALUE!</v>
      </c>
      <c r="DW163" t="e">
        <f>AND('Planilla_General_03-12-2012_9_3'!N2600,"AAAAAH/3/n4=")</f>
        <v>#VALUE!</v>
      </c>
      <c r="DX163" t="e">
        <f>AND('Planilla_General_03-12-2012_9_3'!O2600,"AAAAAH/3/n8=")</f>
        <v>#VALUE!</v>
      </c>
      <c r="DY163">
        <f>IF('Planilla_General_03-12-2012_9_3'!2601:2601,"AAAAAH/3/oA=",0)</f>
        <v>0</v>
      </c>
      <c r="DZ163" t="e">
        <f>AND('Planilla_General_03-12-2012_9_3'!A2601,"AAAAAH/3/oE=")</f>
        <v>#VALUE!</v>
      </c>
      <c r="EA163" t="e">
        <f>AND('Planilla_General_03-12-2012_9_3'!B2601,"AAAAAH/3/oI=")</f>
        <v>#VALUE!</v>
      </c>
      <c r="EB163" t="e">
        <f>AND('Planilla_General_03-12-2012_9_3'!C2601,"AAAAAH/3/oM=")</f>
        <v>#VALUE!</v>
      </c>
      <c r="EC163" t="e">
        <f>AND('Planilla_General_03-12-2012_9_3'!D2601,"AAAAAH/3/oQ=")</f>
        <v>#VALUE!</v>
      </c>
      <c r="ED163" t="e">
        <f>AND('Planilla_General_03-12-2012_9_3'!E2601,"AAAAAH/3/oU=")</f>
        <v>#VALUE!</v>
      </c>
      <c r="EE163" t="e">
        <f>AND('Planilla_General_03-12-2012_9_3'!F2601,"AAAAAH/3/oY=")</f>
        <v>#VALUE!</v>
      </c>
      <c r="EF163" t="e">
        <f>AND('Planilla_General_03-12-2012_9_3'!G2601,"AAAAAH/3/oc=")</f>
        <v>#VALUE!</v>
      </c>
      <c r="EG163" t="e">
        <f>AND('Planilla_General_03-12-2012_9_3'!H2601,"AAAAAH/3/og=")</f>
        <v>#VALUE!</v>
      </c>
      <c r="EH163" t="e">
        <f>AND('Planilla_General_03-12-2012_9_3'!I2601,"AAAAAH/3/ok=")</f>
        <v>#VALUE!</v>
      </c>
      <c r="EI163" t="e">
        <f>AND('Planilla_General_03-12-2012_9_3'!J2601,"AAAAAH/3/oo=")</f>
        <v>#VALUE!</v>
      </c>
      <c r="EJ163" t="e">
        <f>AND('Planilla_General_03-12-2012_9_3'!K2601,"AAAAAH/3/os=")</f>
        <v>#VALUE!</v>
      </c>
      <c r="EK163" t="e">
        <f>AND('Planilla_General_03-12-2012_9_3'!L2601,"AAAAAH/3/ow=")</f>
        <v>#VALUE!</v>
      </c>
      <c r="EL163" t="e">
        <f>AND('Planilla_General_03-12-2012_9_3'!M2601,"AAAAAH/3/o0=")</f>
        <v>#VALUE!</v>
      </c>
      <c r="EM163" t="e">
        <f>AND('Planilla_General_03-12-2012_9_3'!N2601,"AAAAAH/3/o4=")</f>
        <v>#VALUE!</v>
      </c>
      <c r="EN163" t="e">
        <f>AND('Planilla_General_03-12-2012_9_3'!O2601,"AAAAAH/3/o8=")</f>
        <v>#VALUE!</v>
      </c>
      <c r="EO163">
        <f>IF('Planilla_General_03-12-2012_9_3'!2602:2602,"AAAAAH/3/pA=",0)</f>
        <v>0</v>
      </c>
      <c r="EP163" t="e">
        <f>AND('Planilla_General_03-12-2012_9_3'!A2602,"AAAAAH/3/pE=")</f>
        <v>#VALUE!</v>
      </c>
      <c r="EQ163" t="e">
        <f>AND('Planilla_General_03-12-2012_9_3'!B2602,"AAAAAH/3/pI=")</f>
        <v>#VALUE!</v>
      </c>
      <c r="ER163" t="e">
        <f>AND('Planilla_General_03-12-2012_9_3'!C2602,"AAAAAH/3/pM=")</f>
        <v>#VALUE!</v>
      </c>
      <c r="ES163" t="e">
        <f>AND('Planilla_General_03-12-2012_9_3'!D2602,"AAAAAH/3/pQ=")</f>
        <v>#VALUE!</v>
      </c>
      <c r="ET163" t="e">
        <f>AND('Planilla_General_03-12-2012_9_3'!E2602,"AAAAAH/3/pU=")</f>
        <v>#VALUE!</v>
      </c>
      <c r="EU163" t="e">
        <f>AND('Planilla_General_03-12-2012_9_3'!F2602,"AAAAAH/3/pY=")</f>
        <v>#VALUE!</v>
      </c>
      <c r="EV163" t="e">
        <f>AND('Planilla_General_03-12-2012_9_3'!G2602,"AAAAAH/3/pc=")</f>
        <v>#VALUE!</v>
      </c>
      <c r="EW163" t="e">
        <f>AND('Planilla_General_03-12-2012_9_3'!H2602,"AAAAAH/3/pg=")</f>
        <v>#VALUE!</v>
      </c>
      <c r="EX163" t="e">
        <f>AND('Planilla_General_03-12-2012_9_3'!I2602,"AAAAAH/3/pk=")</f>
        <v>#VALUE!</v>
      </c>
      <c r="EY163" t="e">
        <f>AND('Planilla_General_03-12-2012_9_3'!J2602,"AAAAAH/3/po=")</f>
        <v>#VALUE!</v>
      </c>
      <c r="EZ163" t="e">
        <f>AND('Planilla_General_03-12-2012_9_3'!K2602,"AAAAAH/3/ps=")</f>
        <v>#VALUE!</v>
      </c>
      <c r="FA163" t="e">
        <f>AND('Planilla_General_03-12-2012_9_3'!L2602,"AAAAAH/3/pw=")</f>
        <v>#VALUE!</v>
      </c>
      <c r="FB163" t="e">
        <f>AND('Planilla_General_03-12-2012_9_3'!M2602,"AAAAAH/3/p0=")</f>
        <v>#VALUE!</v>
      </c>
      <c r="FC163" t="e">
        <f>AND('Planilla_General_03-12-2012_9_3'!N2602,"AAAAAH/3/p4=")</f>
        <v>#VALUE!</v>
      </c>
      <c r="FD163" t="e">
        <f>AND('Planilla_General_03-12-2012_9_3'!O2602,"AAAAAH/3/p8=")</f>
        <v>#VALUE!</v>
      </c>
      <c r="FE163">
        <f>IF('Planilla_General_03-12-2012_9_3'!2603:2603,"AAAAAH/3/qA=",0)</f>
        <v>0</v>
      </c>
      <c r="FF163" t="e">
        <f>AND('Planilla_General_03-12-2012_9_3'!A2603,"AAAAAH/3/qE=")</f>
        <v>#VALUE!</v>
      </c>
      <c r="FG163" t="e">
        <f>AND('Planilla_General_03-12-2012_9_3'!B2603,"AAAAAH/3/qI=")</f>
        <v>#VALUE!</v>
      </c>
      <c r="FH163" t="e">
        <f>AND('Planilla_General_03-12-2012_9_3'!C2603,"AAAAAH/3/qM=")</f>
        <v>#VALUE!</v>
      </c>
      <c r="FI163" t="e">
        <f>AND('Planilla_General_03-12-2012_9_3'!D2603,"AAAAAH/3/qQ=")</f>
        <v>#VALUE!</v>
      </c>
      <c r="FJ163" t="e">
        <f>AND('Planilla_General_03-12-2012_9_3'!E2603,"AAAAAH/3/qU=")</f>
        <v>#VALUE!</v>
      </c>
      <c r="FK163" t="e">
        <f>AND('Planilla_General_03-12-2012_9_3'!F2603,"AAAAAH/3/qY=")</f>
        <v>#VALUE!</v>
      </c>
      <c r="FL163" t="e">
        <f>AND('Planilla_General_03-12-2012_9_3'!G2603,"AAAAAH/3/qc=")</f>
        <v>#VALUE!</v>
      </c>
      <c r="FM163" t="e">
        <f>AND('Planilla_General_03-12-2012_9_3'!H2603,"AAAAAH/3/qg=")</f>
        <v>#VALUE!</v>
      </c>
      <c r="FN163" t="e">
        <f>AND('Planilla_General_03-12-2012_9_3'!I2603,"AAAAAH/3/qk=")</f>
        <v>#VALUE!</v>
      </c>
      <c r="FO163" t="e">
        <f>AND('Planilla_General_03-12-2012_9_3'!J2603,"AAAAAH/3/qo=")</f>
        <v>#VALUE!</v>
      </c>
      <c r="FP163" t="e">
        <f>AND('Planilla_General_03-12-2012_9_3'!K2603,"AAAAAH/3/qs=")</f>
        <v>#VALUE!</v>
      </c>
      <c r="FQ163" t="e">
        <f>AND('Planilla_General_03-12-2012_9_3'!L2603,"AAAAAH/3/qw=")</f>
        <v>#VALUE!</v>
      </c>
      <c r="FR163" t="e">
        <f>AND('Planilla_General_03-12-2012_9_3'!M2603,"AAAAAH/3/q0=")</f>
        <v>#VALUE!</v>
      </c>
      <c r="FS163" t="e">
        <f>AND('Planilla_General_03-12-2012_9_3'!N2603,"AAAAAH/3/q4=")</f>
        <v>#VALUE!</v>
      </c>
      <c r="FT163" t="e">
        <f>AND('Planilla_General_03-12-2012_9_3'!O2603,"AAAAAH/3/q8=")</f>
        <v>#VALUE!</v>
      </c>
      <c r="FU163">
        <f>IF('Planilla_General_03-12-2012_9_3'!2604:2604,"AAAAAH/3/rA=",0)</f>
        <v>0</v>
      </c>
      <c r="FV163" t="e">
        <f>AND('Planilla_General_03-12-2012_9_3'!A2604,"AAAAAH/3/rE=")</f>
        <v>#VALUE!</v>
      </c>
      <c r="FW163" t="e">
        <f>AND('Planilla_General_03-12-2012_9_3'!B2604,"AAAAAH/3/rI=")</f>
        <v>#VALUE!</v>
      </c>
      <c r="FX163" t="e">
        <f>AND('Planilla_General_03-12-2012_9_3'!C2604,"AAAAAH/3/rM=")</f>
        <v>#VALUE!</v>
      </c>
      <c r="FY163" t="e">
        <f>AND('Planilla_General_03-12-2012_9_3'!D2604,"AAAAAH/3/rQ=")</f>
        <v>#VALUE!</v>
      </c>
      <c r="FZ163" t="e">
        <f>AND('Planilla_General_03-12-2012_9_3'!E2604,"AAAAAH/3/rU=")</f>
        <v>#VALUE!</v>
      </c>
      <c r="GA163" t="e">
        <f>AND('Planilla_General_03-12-2012_9_3'!F2604,"AAAAAH/3/rY=")</f>
        <v>#VALUE!</v>
      </c>
      <c r="GB163" t="e">
        <f>AND('Planilla_General_03-12-2012_9_3'!G2604,"AAAAAH/3/rc=")</f>
        <v>#VALUE!</v>
      </c>
      <c r="GC163" t="e">
        <f>AND('Planilla_General_03-12-2012_9_3'!H2604,"AAAAAH/3/rg=")</f>
        <v>#VALUE!</v>
      </c>
      <c r="GD163" t="e">
        <f>AND('Planilla_General_03-12-2012_9_3'!I2604,"AAAAAH/3/rk=")</f>
        <v>#VALUE!</v>
      </c>
      <c r="GE163" t="e">
        <f>AND('Planilla_General_03-12-2012_9_3'!J2604,"AAAAAH/3/ro=")</f>
        <v>#VALUE!</v>
      </c>
      <c r="GF163" t="e">
        <f>AND('Planilla_General_03-12-2012_9_3'!K2604,"AAAAAH/3/rs=")</f>
        <v>#VALUE!</v>
      </c>
      <c r="GG163" t="e">
        <f>AND('Planilla_General_03-12-2012_9_3'!L2604,"AAAAAH/3/rw=")</f>
        <v>#VALUE!</v>
      </c>
      <c r="GH163" t="e">
        <f>AND('Planilla_General_03-12-2012_9_3'!M2604,"AAAAAH/3/r0=")</f>
        <v>#VALUE!</v>
      </c>
      <c r="GI163" t="e">
        <f>AND('Planilla_General_03-12-2012_9_3'!N2604,"AAAAAH/3/r4=")</f>
        <v>#VALUE!</v>
      </c>
      <c r="GJ163" t="e">
        <f>AND('Planilla_General_03-12-2012_9_3'!O2604,"AAAAAH/3/r8=")</f>
        <v>#VALUE!</v>
      </c>
      <c r="GK163">
        <f>IF('Planilla_General_03-12-2012_9_3'!2605:2605,"AAAAAH/3/sA=",0)</f>
        <v>0</v>
      </c>
      <c r="GL163" t="e">
        <f>AND('Planilla_General_03-12-2012_9_3'!A2605,"AAAAAH/3/sE=")</f>
        <v>#VALUE!</v>
      </c>
      <c r="GM163" t="e">
        <f>AND('Planilla_General_03-12-2012_9_3'!B2605,"AAAAAH/3/sI=")</f>
        <v>#VALUE!</v>
      </c>
      <c r="GN163" t="e">
        <f>AND('Planilla_General_03-12-2012_9_3'!C2605,"AAAAAH/3/sM=")</f>
        <v>#VALUE!</v>
      </c>
      <c r="GO163" t="e">
        <f>AND('Planilla_General_03-12-2012_9_3'!D2605,"AAAAAH/3/sQ=")</f>
        <v>#VALUE!</v>
      </c>
      <c r="GP163" t="e">
        <f>AND('Planilla_General_03-12-2012_9_3'!E2605,"AAAAAH/3/sU=")</f>
        <v>#VALUE!</v>
      </c>
      <c r="GQ163" t="e">
        <f>AND('Planilla_General_03-12-2012_9_3'!F2605,"AAAAAH/3/sY=")</f>
        <v>#VALUE!</v>
      </c>
      <c r="GR163" t="e">
        <f>AND('Planilla_General_03-12-2012_9_3'!G2605,"AAAAAH/3/sc=")</f>
        <v>#VALUE!</v>
      </c>
      <c r="GS163" t="e">
        <f>AND('Planilla_General_03-12-2012_9_3'!H2605,"AAAAAH/3/sg=")</f>
        <v>#VALUE!</v>
      </c>
      <c r="GT163" t="e">
        <f>AND('Planilla_General_03-12-2012_9_3'!I2605,"AAAAAH/3/sk=")</f>
        <v>#VALUE!</v>
      </c>
      <c r="GU163" t="e">
        <f>AND('Planilla_General_03-12-2012_9_3'!J2605,"AAAAAH/3/so=")</f>
        <v>#VALUE!</v>
      </c>
      <c r="GV163" t="e">
        <f>AND('Planilla_General_03-12-2012_9_3'!K2605,"AAAAAH/3/ss=")</f>
        <v>#VALUE!</v>
      </c>
      <c r="GW163" t="e">
        <f>AND('Planilla_General_03-12-2012_9_3'!L2605,"AAAAAH/3/sw=")</f>
        <v>#VALUE!</v>
      </c>
      <c r="GX163" t="e">
        <f>AND('Planilla_General_03-12-2012_9_3'!M2605,"AAAAAH/3/s0=")</f>
        <v>#VALUE!</v>
      </c>
      <c r="GY163" t="e">
        <f>AND('Planilla_General_03-12-2012_9_3'!N2605,"AAAAAH/3/s4=")</f>
        <v>#VALUE!</v>
      </c>
      <c r="GZ163" t="e">
        <f>AND('Planilla_General_03-12-2012_9_3'!O2605,"AAAAAH/3/s8=")</f>
        <v>#VALUE!</v>
      </c>
      <c r="HA163">
        <f>IF('Planilla_General_03-12-2012_9_3'!2606:2606,"AAAAAH/3/tA=",0)</f>
        <v>0</v>
      </c>
      <c r="HB163" t="e">
        <f>AND('Planilla_General_03-12-2012_9_3'!A2606,"AAAAAH/3/tE=")</f>
        <v>#VALUE!</v>
      </c>
      <c r="HC163" t="e">
        <f>AND('Planilla_General_03-12-2012_9_3'!B2606,"AAAAAH/3/tI=")</f>
        <v>#VALUE!</v>
      </c>
      <c r="HD163" t="e">
        <f>AND('Planilla_General_03-12-2012_9_3'!C2606,"AAAAAH/3/tM=")</f>
        <v>#VALUE!</v>
      </c>
      <c r="HE163" t="e">
        <f>AND('Planilla_General_03-12-2012_9_3'!D2606,"AAAAAH/3/tQ=")</f>
        <v>#VALUE!</v>
      </c>
      <c r="HF163" t="e">
        <f>AND('Planilla_General_03-12-2012_9_3'!E2606,"AAAAAH/3/tU=")</f>
        <v>#VALUE!</v>
      </c>
      <c r="HG163" t="e">
        <f>AND('Planilla_General_03-12-2012_9_3'!F2606,"AAAAAH/3/tY=")</f>
        <v>#VALUE!</v>
      </c>
      <c r="HH163" t="e">
        <f>AND('Planilla_General_03-12-2012_9_3'!G2606,"AAAAAH/3/tc=")</f>
        <v>#VALUE!</v>
      </c>
      <c r="HI163" t="e">
        <f>AND('Planilla_General_03-12-2012_9_3'!H2606,"AAAAAH/3/tg=")</f>
        <v>#VALUE!</v>
      </c>
      <c r="HJ163" t="e">
        <f>AND('Planilla_General_03-12-2012_9_3'!I2606,"AAAAAH/3/tk=")</f>
        <v>#VALUE!</v>
      </c>
      <c r="HK163" t="e">
        <f>AND('Planilla_General_03-12-2012_9_3'!J2606,"AAAAAH/3/to=")</f>
        <v>#VALUE!</v>
      </c>
      <c r="HL163" t="e">
        <f>AND('Planilla_General_03-12-2012_9_3'!K2606,"AAAAAH/3/ts=")</f>
        <v>#VALUE!</v>
      </c>
      <c r="HM163" t="e">
        <f>AND('Planilla_General_03-12-2012_9_3'!L2606,"AAAAAH/3/tw=")</f>
        <v>#VALUE!</v>
      </c>
      <c r="HN163" t="e">
        <f>AND('Planilla_General_03-12-2012_9_3'!M2606,"AAAAAH/3/t0=")</f>
        <v>#VALUE!</v>
      </c>
      <c r="HO163" t="e">
        <f>AND('Planilla_General_03-12-2012_9_3'!N2606,"AAAAAH/3/t4=")</f>
        <v>#VALUE!</v>
      </c>
      <c r="HP163" t="e">
        <f>AND('Planilla_General_03-12-2012_9_3'!O2606,"AAAAAH/3/t8=")</f>
        <v>#VALUE!</v>
      </c>
      <c r="HQ163">
        <f>IF('Planilla_General_03-12-2012_9_3'!2607:2607,"AAAAAH/3/uA=",0)</f>
        <v>0</v>
      </c>
      <c r="HR163" t="e">
        <f>AND('Planilla_General_03-12-2012_9_3'!A2607,"AAAAAH/3/uE=")</f>
        <v>#VALUE!</v>
      </c>
      <c r="HS163" t="e">
        <f>AND('Planilla_General_03-12-2012_9_3'!B2607,"AAAAAH/3/uI=")</f>
        <v>#VALUE!</v>
      </c>
      <c r="HT163" t="e">
        <f>AND('Planilla_General_03-12-2012_9_3'!C2607,"AAAAAH/3/uM=")</f>
        <v>#VALUE!</v>
      </c>
      <c r="HU163" t="e">
        <f>AND('Planilla_General_03-12-2012_9_3'!D2607,"AAAAAH/3/uQ=")</f>
        <v>#VALUE!</v>
      </c>
      <c r="HV163" t="e">
        <f>AND('Planilla_General_03-12-2012_9_3'!E2607,"AAAAAH/3/uU=")</f>
        <v>#VALUE!</v>
      </c>
      <c r="HW163" t="e">
        <f>AND('Planilla_General_03-12-2012_9_3'!F2607,"AAAAAH/3/uY=")</f>
        <v>#VALUE!</v>
      </c>
      <c r="HX163" t="e">
        <f>AND('Planilla_General_03-12-2012_9_3'!G2607,"AAAAAH/3/uc=")</f>
        <v>#VALUE!</v>
      </c>
      <c r="HY163" t="e">
        <f>AND('Planilla_General_03-12-2012_9_3'!H2607,"AAAAAH/3/ug=")</f>
        <v>#VALUE!</v>
      </c>
      <c r="HZ163" t="e">
        <f>AND('Planilla_General_03-12-2012_9_3'!I2607,"AAAAAH/3/uk=")</f>
        <v>#VALUE!</v>
      </c>
      <c r="IA163" t="e">
        <f>AND('Planilla_General_03-12-2012_9_3'!J2607,"AAAAAH/3/uo=")</f>
        <v>#VALUE!</v>
      </c>
      <c r="IB163" t="e">
        <f>AND('Planilla_General_03-12-2012_9_3'!K2607,"AAAAAH/3/us=")</f>
        <v>#VALUE!</v>
      </c>
      <c r="IC163" t="e">
        <f>AND('Planilla_General_03-12-2012_9_3'!L2607,"AAAAAH/3/uw=")</f>
        <v>#VALUE!</v>
      </c>
      <c r="ID163" t="e">
        <f>AND('Planilla_General_03-12-2012_9_3'!M2607,"AAAAAH/3/u0=")</f>
        <v>#VALUE!</v>
      </c>
      <c r="IE163" t="e">
        <f>AND('Planilla_General_03-12-2012_9_3'!N2607,"AAAAAH/3/u4=")</f>
        <v>#VALUE!</v>
      </c>
      <c r="IF163" t="e">
        <f>AND('Planilla_General_03-12-2012_9_3'!O2607,"AAAAAH/3/u8=")</f>
        <v>#VALUE!</v>
      </c>
      <c r="IG163">
        <f>IF('Planilla_General_03-12-2012_9_3'!2608:2608,"AAAAAH/3/vA=",0)</f>
        <v>0</v>
      </c>
      <c r="IH163" t="e">
        <f>AND('Planilla_General_03-12-2012_9_3'!A2608,"AAAAAH/3/vE=")</f>
        <v>#VALUE!</v>
      </c>
      <c r="II163" t="e">
        <f>AND('Planilla_General_03-12-2012_9_3'!B2608,"AAAAAH/3/vI=")</f>
        <v>#VALUE!</v>
      </c>
      <c r="IJ163" t="e">
        <f>AND('Planilla_General_03-12-2012_9_3'!C2608,"AAAAAH/3/vM=")</f>
        <v>#VALUE!</v>
      </c>
      <c r="IK163" t="e">
        <f>AND('Planilla_General_03-12-2012_9_3'!D2608,"AAAAAH/3/vQ=")</f>
        <v>#VALUE!</v>
      </c>
      <c r="IL163" t="e">
        <f>AND('Planilla_General_03-12-2012_9_3'!E2608,"AAAAAH/3/vU=")</f>
        <v>#VALUE!</v>
      </c>
      <c r="IM163" t="e">
        <f>AND('Planilla_General_03-12-2012_9_3'!F2608,"AAAAAH/3/vY=")</f>
        <v>#VALUE!</v>
      </c>
      <c r="IN163" t="e">
        <f>AND('Planilla_General_03-12-2012_9_3'!G2608,"AAAAAH/3/vc=")</f>
        <v>#VALUE!</v>
      </c>
      <c r="IO163" t="e">
        <f>AND('Planilla_General_03-12-2012_9_3'!H2608,"AAAAAH/3/vg=")</f>
        <v>#VALUE!</v>
      </c>
      <c r="IP163" t="e">
        <f>AND('Planilla_General_03-12-2012_9_3'!I2608,"AAAAAH/3/vk=")</f>
        <v>#VALUE!</v>
      </c>
      <c r="IQ163" t="e">
        <f>AND('Planilla_General_03-12-2012_9_3'!J2608,"AAAAAH/3/vo=")</f>
        <v>#VALUE!</v>
      </c>
      <c r="IR163" t="e">
        <f>AND('Planilla_General_03-12-2012_9_3'!K2608,"AAAAAH/3/vs=")</f>
        <v>#VALUE!</v>
      </c>
      <c r="IS163" t="e">
        <f>AND('Planilla_General_03-12-2012_9_3'!L2608,"AAAAAH/3/vw=")</f>
        <v>#VALUE!</v>
      </c>
      <c r="IT163" t="e">
        <f>AND('Planilla_General_03-12-2012_9_3'!M2608,"AAAAAH/3/v0=")</f>
        <v>#VALUE!</v>
      </c>
      <c r="IU163" t="e">
        <f>AND('Planilla_General_03-12-2012_9_3'!N2608,"AAAAAH/3/v4=")</f>
        <v>#VALUE!</v>
      </c>
      <c r="IV163" t="e">
        <f>AND('Planilla_General_03-12-2012_9_3'!O2608,"AAAAAH/3/v8=")</f>
        <v>#VALUE!</v>
      </c>
    </row>
    <row r="164" spans="1:256" x14ac:dyDescent="0.25">
      <c r="A164" t="e">
        <f>IF('Planilla_General_03-12-2012_9_3'!2609:2609,"AAAAAGt/4wA=",0)</f>
        <v>#VALUE!</v>
      </c>
      <c r="B164" t="e">
        <f>AND('Planilla_General_03-12-2012_9_3'!A2609,"AAAAAGt/4wE=")</f>
        <v>#VALUE!</v>
      </c>
      <c r="C164" t="e">
        <f>AND('Planilla_General_03-12-2012_9_3'!B2609,"AAAAAGt/4wI=")</f>
        <v>#VALUE!</v>
      </c>
      <c r="D164" t="e">
        <f>AND('Planilla_General_03-12-2012_9_3'!C2609,"AAAAAGt/4wM=")</f>
        <v>#VALUE!</v>
      </c>
      <c r="E164" t="e">
        <f>AND('Planilla_General_03-12-2012_9_3'!D2609,"AAAAAGt/4wQ=")</f>
        <v>#VALUE!</v>
      </c>
      <c r="F164" t="e">
        <f>AND('Planilla_General_03-12-2012_9_3'!E2609,"AAAAAGt/4wU=")</f>
        <v>#VALUE!</v>
      </c>
      <c r="G164" t="e">
        <f>AND('Planilla_General_03-12-2012_9_3'!F2609,"AAAAAGt/4wY=")</f>
        <v>#VALUE!</v>
      </c>
      <c r="H164" t="e">
        <f>AND('Planilla_General_03-12-2012_9_3'!G2609,"AAAAAGt/4wc=")</f>
        <v>#VALUE!</v>
      </c>
      <c r="I164" t="e">
        <f>AND('Planilla_General_03-12-2012_9_3'!H2609,"AAAAAGt/4wg=")</f>
        <v>#VALUE!</v>
      </c>
      <c r="J164" t="e">
        <f>AND('Planilla_General_03-12-2012_9_3'!I2609,"AAAAAGt/4wk=")</f>
        <v>#VALUE!</v>
      </c>
      <c r="K164" t="e">
        <f>AND('Planilla_General_03-12-2012_9_3'!J2609,"AAAAAGt/4wo=")</f>
        <v>#VALUE!</v>
      </c>
      <c r="L164" t="e">
        <f>AND('Planilla_General_03-12-2012_9_3'!K2609,"AAAAAGt/4ws=")</f>
        <v>#VALUE!</v>
      </c>
      <c r="M164" t="e">
        <f>AND('Planilla_General_03-12-2012_9_3'!L2609,"AAAAAGt/4ww=")</f>
        <v>#VALUE!</v>
      </c>
      <c r="N164" t="e">
        <f>AND('Planilla_General_03-12-2012_9_3'!M2609,"AAAAAGt/4w0=")</f>
        <v>#VALUE!</v>
      </c>
      <c r="O164" t="e">
        <f>AND('Planilla_General_03-12-2012_9_3'!N2609,"AAAAAGt/4w4=")</f>
        <v>#VALUE!</v>
      </c>
      <c r="P164" t="e">
        <f>AND('Planilla_General_03-12-2012_9_3'!O2609,"AAAAAGt/4w8=")</f>
        <v>#VALUE!</v>
      </c>
      <c r="Q164">
        <f>IF('Planilla_General_03-12-2012_9_3'!2610:2610,"AAAAAGt/4xA=",0)</f>
        <v>0</v>
      </c>
      <c r="R164" t="e">
        <f>AND('Planilla_General_03-12-2012_9_3'!A2610,"AAAAAGt/4xE=")</f>
        <v>#VALUE!</v>
      </c>
      <c r="S164" t="e">
        <f>AND('Planilla_General_03-12-2012_9_3'!B2610,"AAAAAGt/4xI=")</f>
        <v>#VALUE!</v>
      </c>
      <c r="T164" t="e">
        <f>AND('Planilla_General_03-12-2012_9_3'!C2610,"AAAAAGt/4xM=")</f>
        <v>#VALUE!</v>
      </c>
      <c r="U164" t="e">
        <f>AND('Planilla_General_03-12-2012_9_3'!D2610,"AAAAAGt/4xQ=")</f>
        <v>#VALUE!</v>
      </c>
      <c r="V164" t="e">
        <f>AND('Planilla_General_03-12-2012_9_3'!E2610,"AAAAAGt/4xU=")</f>
        <v>#VALUE!</v>
      </c>
      <c r="W164" t="e">
        <f>AND('Planilla_General_03-12-2012_9_3'!F2610,"AAAAAGt/4xY=")</f>
        <v>#VALUE!</v>
      </c>
      <c r="X164" t="e">
        <f>AND('Planilla_General_03-12-2012_9_3'!G2610,"AAAAAGt/4xc=")</f>
        <v>#VALUE!</v>
      </c>
      <c r="Y164" t="e">
        <f>AND('Planilla_General_03-12-2012_9_3'!H2610,"AAAAAGt/4xg=")</f>
        <v>#VALUE!</v>
      </c>
      <c r="Z164" t="e">
        <f>AND('Planilla_General_03-12-2012_9_3'!I2610,"AAAAAGt/4xk=")</f>
        <v>#VALUE!</v>
      </c>
      <c r="AA164" t="e">
        <f>AND('Planilla_General_03-12-2012_9_3'!J2610,"AAAAAGt/4xo=")</f>
        <v>#VALUE!</v>
      </c>
      <c r="AB164" t="e">
        <f>AND('Planilla_General_03-12-2012_9_3'!K2610,"AAAAAGt/4xs=")</f>
        <v>#VALUE!</v>
      </c>
      <c r="AC164" t="e">
        <f>AND('Planilla_General_03-12-2012_9_3'!L2610,"AAAAAGt/4xw=")</f>
        <v>#VALUE!</v>
      </c>
      <c r="AD164" t="e">
        <f>AND('Planilla_General_03-12-2012_9_3'!M2610,"AAAAAGt/4x0=")</f>
        <v>#VALUE!</v>
      </c>
      <c r="AE164" t="e">
        <f>AND('Planilla_General_03-12-2012_9_3'!N2610,"AAAAAGt/4x4=")</f>
        <v>#VALUE!</v>
      </c>
      <c r="AF164" t="e">
        <f>AND('Planilla_General_03-12-2012_9_3'!O2610,"AAAAAGt/4x8=")</f>
        <v>#VALUE!</v>
      </c>
      <c r="AG164">
        <f>IF('Planilla_General_03-12-2012_9_3'!2611:2611,"AAAAAGt/4yA=",0)</f>
        <v>0</v>
      </c>
      <c r="AH164" t="e">
        <f>AND('Planilla_General_03-12-2012_9_3'!A2611,"AAAAAGt/4yE=")</f>
        <v>#VALUE!</v>
      </c>
      <c r="AI164" t="e">
        <f>AND('Planilla_General_03-12-2012_9_3'!B2611,"AAAAAGt/4yI=")</f>
        <v>#VALUE!</v>
      </c>
      <c r="AJ164" t="e">
        <f>AND('Planilla_General_03-12-2012_9_3'!C2611,"AAAAAGt/4yM=")</f>
        <v>#VALUE!</v>
      </c>
      <c r="AK164" t="e">
        <f>AND('Planilla_General_03-12-2012_9_3'!D2611,"AAAAAGt/4yQ=")</f>
        <v>#VALUE!</v>
      </c>
      <c r="AL164" t="e">
        <f>AND('Planilla_General_03-12-2012_9_3'!E2611,"AAAAAGt/4yU=")</f>
        <v>#VALUE!</v>
      </c>
      <c r="AM164" t="e">
        <f>AND('Planilla_General_03-12-2012_9_3'!F2611,"AAAAAGt/4yY=")</f>
        <v>#VALUE!</v>
      </c>
      <c r="AN164" t="e">
        <f>AND('Planilla_General_03-12-2012_9_3'!G2611,"AAAAAGt/4yc=")</f>
        <v>#VALUE!</v>
      </c>
      <c r="AO164" t="e">
        <f>AND('Planilla_General_03-12-2012_9_3'!H2611,"AAAAAGt/4yg=")</f>
        <v>#VALUE!</v>
      </c>
      <c r="AP164" t="e">
        <f>AND('Planilla_General_03-12-2012_9_3'!I2611,"AAAAAGt/4yk=")</f>
        <v>#VALUE!</v>
      </c>
      <c r="AQ164" t="e">
        <f>AND('Planilla_General_03-12-2012_9_3'!J2611,"AAAAAGt/4yo=")</f>
        <v>#VALUE!</v>
      </c>
      <c r="AR164" t="e">
        <f>AND('Planilla_General_03-12-2012_9_3'!K2611,"AAAAAGt/4ys=")</f>
        <v>#VALUE!</v>
      </c>
      <c r="AS164" t="e">
        <f>AND('Planilla_General_03-12-2012_9_3'!L2611,"AAAAAGt/4yw=")</f>
        <v>#VALUE!</v>
      </c>
      <c r="AT164" t="e">
        <f>AND('Planilla_General_03-12-2012_9_3'!M2611,"AAAAAGt/4y0=")</f>
        <v>#VALUE!</v>
      </c>
      <c r="AU164" t="e">
        <f>AND('Planilla_General_03-12-2012_9_3'!N2611,"AAAAAGt/4y4=")</f>
        <v>#VALUE!</v>
      </c>
      <c r="AV164" t="e">
        <f>AND('Planilla_General_03-12-2012_9_3'!O2611,"AAAAAGt/4y8=")</f>
        <v>#VALUE!</v>
      </c>
      <c r="AW164">
        <f>IF('Planilla_General_03-12-2012_9_3'!2612:2612,"AAAAAGt/4zA=",0)</f>
        <v>0</v>
      </c>
      <c r="AX164" t="e">
        <f>AND('Planilla_General_03-12-2012_9_3'!A2612,"AAAAAGt/4zE=")</f>
        <v>#VALUE!</v>
      </c>
      <c r="AY164" t="e">
        <f>AND('Planilla_General_03-12-2012_9_3'!B2612,"AAAAAGt/4zI=")</f>
        <v>#VALUE!</v>
      </c>
      <c r="AZ164" t="e">
        <f>AND('Planilla_General_03-12-2012_9_3'!C2612,"AAAAAGt/4zM=")</f>
        <v>#VALUE!</v>
      </c>
      <c r="BA164" t="e">
        <f>AND('Planilla_General_03-12-2012_9_3'!D2612,"AAAAAGt/4zQ=")</f>
        <v>#VALUE!</v>
      </c>
      <c r="BB164" t="e">
        <f>AND('Planilla_General_03-12-2012_9_3'!E2612,"AAAAAGt/4zU=")</f>
        <v>#VALUE!</v>
      </c>
      <c r="BC164" t="e">
        <f>AND('Planilla_General_03-12-2012_9_3'!F2612,"AAAAAGt/4zY=")</f>
        <v>#VALUE!</v>
      </c>
      <c r="BD164" t="e">
        <f>AND('Planilla_General_03-12-2012_9_3'!G2612,"AAAAAGt/4zc=")</f>
        <v>#VALUE!</v>
      </c>
      <c r="BE164" t="e">
        <f>AND('Planilla_General_03-12-2012_9_3'!H2612,"AAAAAGt/4zg=")</f>
        <v>#VALUE!</v>
      </c>
      <c r="BF164" t="e">
        <f>AND('Planilla_General_03-12-2012_9_3'!I2612,"AAAAAGt/4zk=")</f>
        <v>#VALUE!</v>
      </c>
      <c r="BG164" t="e">
        <f>AND('Planilla_General_03-12-2012_9_3'!J2612,"AAAAAGt/4zo=")</f>
        <v>#VALUE!</v>
      </c>
      <c r="BH164" t="e">
        <f>AND('Planilla_General_03-12-2012_9_3'!K2612,"AAAAAGt/4zs=")</f>
        <v>#VALUE!</v>
      </c>
      <c r="BI164" t="e">
        <f>AND('Planilla_General_03-12-2012_9_3'!L2612,"AAAAAGt/4zw=")</f>
        <v>#VALUE!</v>
      </c>
      <c r="BJ164" t="e">
        <f>AND('Planilla_General_03-12-2012_9_3'!M2612,"AAAAAGt/4z0=")</f>
        <v>#VALUE!</v>
      </c>
      <c r="BK164" t="e">
        <f>AND('Planilla_General_03-12-2012_9_3'!N2612,"AAAAAGt/4z4=")</f>
        <v>#VALUE!</v>
      </c>
      <c r="BL164" t="e">
        <f>AND('Planilla_General_03-12-2012_9_3'!O2612,"AAAAAGt/4z8=")</f>
        <v>#VALUE!</v>
      </c>
      <c r="BM164">
        <f>IF('Planilla_General_03-12-2012_9_3'!2613:2613,"AAAAAGt/40A=",0)</f>
        <v>0</v>
      </c>
      <c r="BN164" t="e">
        <f>AND('Planilla_General_03-12-2012_9_3'!A2613,"AAAAAGt/40E=")</f>
        <v>#VALUE!</v>
      </c>
      <c r="BO164" t="e">
        <f>AND('Planilla_General_03-12-2012_9_3'!B2613,"AAAAAGt/40I=")</f>
        <v>#VALUE!</v>
      </c>
      <c r="BP164" t="e">
        <f>AND('Planilla_General_03-12-2012_9_3'!C2613,"AAAAAGt/40M=")</f>
        <v>#VALUE!</v>
      </c>
      <c r="BQ164" t="e">
        <f>AND('Planilla_General_03-12-2012_9_3'!D2613,"AAAAAGt/40Q=")</f>
        <v>#VALUE!</v>
      </c>
      <c r="BR164" t="e">
        <f>AND('Planilla_General_03-12-2012_9_3'!E2613,"AAAAAGt/40U=")</f>
        <v>#VALUE!</v>
      </c>
      <c r="BS164" t="e">
        <f>AND('Planilla_General_03-12-2012_9_3'!F2613,"AAAAAGt/40Y=")</f>
        <v>#VALUE!</v>
      </c>
      <c r="BT164" t="e">
        <f>AND('Planilla_General_03-12-2012_9_3'!G2613,"AAAAAGt/40c=")</f>
        <v>#VALUE!</v>
      </c>
      <c r="BU164" t="e">
        <f>AND('Planilla_General_03-12-2012_9_3'!H2613,"AAAAAGt/40g=")</f>
        <v>#VALUE!</v>
      </c>
      <c r="BV164" t="e">
        <f>AND('Planilla_General_03-12-2012_9_3'!I2613,"AAAAAGt/40k=")</f>
        <v>#VALUE!</v>
      </c>
      <c r="BW164" t="e">
        <f>AND('Planilla_General_03-12-2012_9_3'!J2613,"AAAAAGt/40o=")</f>
        <v>#VALUE!</v>
      </c>
      <c r="BX164" t="e">
        <f>AND('Planilla_General_03-12-2012_9_3'!K2613,"AAAAAGt/40s=")</f>
        <v>#VALUE!</v>
      </c>
      <c r="BY164" t="e">
        <f>AND('Planilla_General_03-12-2012_9_3'!L2613,"AAAAAGt/40w=")</f>
        <v>#VALUE!</v>
      </c>
      <c r="BZ164" t="e">
        <f>AND('Planilla_General_03-12-2012_9_3'!M2613,"AAAAAGt/400=")</f>
        <v>#VALUE!</v>
      </c>
      <c r="CA164" t="e">
        <f>AND('Planilla_General_03-12-2012_9_3'!N2613,"AAAAAGt/404=")</f>
        <v>#VALUE!</v>
      </c>
      <c r="CB164" t="e">
        <f>AND('Planilla_General_03-12-2012_9_3'!O2613,"AAAAAGt/408=")</f>
        <v>#VALUE!</v>
      </c>
      <c r="CC164">
        <f>IF('Planilla_General_03-12-2012_9_3'!2614:2614,"AAAAAGt/41A=",0)</f>
        <v>0</v>
      </c>
      <c r="CD164" t="e">
        <f>AND('Planilla_General_03-12-2012_9_3'!A2614,"AAAAAGt/41E=")</f>
        <v>#VALUE!</v>
      </c>
      <c r="CE164" t="e">
        <f>AND('Planilla_General_03-12-2012_9_3'!B2614,"AAAAAGt/41I=")</f>
        <v>#VALUE!</v>
      </c>
      <c r="CF164" t="e">
        <f>AND('Planilla_General_03-12-2012_9_3'!C2614,"AAAAAGt/41M=")</f>
        <v>#VALUE!</v>
      </c>
      <c r="CG164" t="e">
        <f>AND('Planilla_General_03-12-2012_9_3'!D2614,"AAAAAGt/41Q=")</f>
        <v>#VALUE!</v>
      </c>
      <c r="CH164" t="e">
        <f>AND('Planilla_General_03-12-2012_9_3'!E2614,"AAAAAGt/41U=")</f>
        <v>#VALUE!</v>
      </c>
      <c r="CI164" t="e">
        <f>AND('Planilla_General_03-12-2012_9_3'!F2614,"AAAAAGt/41Y=")</f>
        <v>#VALUE!</v>
      </c>
      <c r="CJ164" t="e">
        <f>AND('Planilla_General_03-12-2012_9_3'!G2614,"AAAAAGt/41c=")</f>
        <v>#VALUE!</v>
      </c>
      <c r="CK164" t="e">
        <f>AND('Planilla_General_03-12-2012_9_3'!H2614,"AAAAAGt/41g=")</f>
        <v>#VALUE!</v>
      </c>
      <c r="CL164" t="e">
        <f>AND('Planilla_General_03-12-2012_9_3'!I2614,"AAAAAGt/41k=")</f>
        <v>#VALUE!</v>
      </c>
      <c r="CM164" t="e">
        <f>AND('Planilla_General_03-12-2012_9_3'!J2614,"AAAAAGt/41o=")</f>
        <v>#VALUE!</v>
      </c>
      <c r="CN164" t="e">
        <f>AND('Planilla_General_03-12-2012_9_3'!K2614,"AAAAAGt/41s=")</f>
        <v>#VALUE!</v>
      </c>
      <c r="CO164" t="e">
        <f>AND('Planilla_General_03-12-2012_9_3'!L2614,"AAAAAGt/41w=")</f>
        <v>#VALUE!</v>
      </c>
      <c r="CP164" t="e">
        <f>AND('Planilla_General_03-12-2012_9_3'!M2614,"AAAAAGt/410=")</f>
        <v>#VALUE!</v>
      </c>
      <c r="CQ164" t="e">
        <f>AND('Planilla_General_03-12-2012_9_3'!N2614,"AAAAAGt/414=")</f>
        <v>#VALUE!</v>
      </c>
      <c r="CR164" t="e">
        <f>AND('Planilla_General_03-12-2012_9_3'!O2614,"AAAAAGt/418=")</f>
        <v>#VALUE!</v>
      </c>
      <c r="CS164">
        <f>IF('Planilla_General_03-12-2012_9_3'!2615:2615,"AAAAAGt/42A=",0)</f>
        <v>0</v>
      </c>
      <c r="CT164" t="e">
        <f>AND('Planilla_General_03-12-2012_9_3'!A2615,"AAAAAGt/42E=")</f>
        <v>#VALUE!</v>
      </c>
      <c r="CU164" t="e">
        <f>AND('Planilla_General_03-12-2012_9_3'!B2615,"AAAAAGt/42I=")</f>
        <v>#VALUE!</v>
      </c>
      <c r="CV164" t="e">
        <f>AND('Planilla_General_03-12-2012_9_3'!C2615,"AAAAAGt/42M=")</f>
        <v>#VALUE!</v>
      </c>
      <c r="CW164" t="e">
        <f>AND('Planilla_General_03-12-2012_9_3'!D2615,"AAAAAGt/42Q=")</f>
        <v>#VALUE!</v>
      </c>
      <c r="CX164" t="e">
        <f>AND('Planilla_General_03-12-2012_9_3'!E2615,"AAAAAGt/42U=")</f>
        <v>#VALUE!</v>
      </c>
      <c r="CY164" t="e">
        <f>AND('Planilla_General_03-12-2012_9_3'!F2615,"AAAAAGt/42Y=")</f>
        <v>#VALUE!</v>
      </c>
      <c r="CZ164" t="e">
        <f>AND('Planilla_General_03-12-2012_9_3'!G2615,"AAAAAGt/42c=")</f>
        <v>#VALUE!</v>
      </c>
      <c r="DA164" t="e">
        <f>AND('Planilla_General_03-12-2012_9_3'!H2615,"AAAAAGt/42g=")</f>
        <v>#VALUE!</v>
      </c>
      <c r="DB164" t="e">
        <f>AND('Planilla_General_03-12-2012_9_3'!I2615,"AAAAAGt/42k=")</f>
        <v>#VALUE!</v>
      </c>
      <c r="DC164" t="e">
        <f>AND('Planilla_General_03-12-2012_9_3'!J2615,"AAAAAGt/42o=")</f>
        <v>#VALUE!</v>
      </c>
      <c r="DD164" t="e">
        <f>AND('Planilla_General_03-12-2012_9_3'!K2615,"AAAAAGt/42s=")</f>
        <v>#VALUE!</v>
      </c>
      <c r="DE164" t="e">
        <f>AND('Planilla_General_03-12-2012_9_3'!L2615,"AAAAAGt/42w=")</f>
        <v>#VALUE!</v>
      </c>
      <c r="DF164" t="e">
        <f>AND('Planilla_General_03-12-2012_9_3'!M2615,"AAAAAGt/420=")</f>
        <v>#VALUE!</v>
      </c>
      <c r="DG164" t="e">
        <f>AND('Planilla_General_03-12-2012_9_3'!N2615,"AAAAAGt/424=")</f>
        <v>#VALUE!</v>
      </c>
      <c r="DH164" t="e">
        <f>AND('Planilla_General_03-12-2012_9_3'!O2615,"AAAAAGt/428=")</f>
        <v>#VALUE!</v>
      </c>
      <c r="DI164">
        <f>IF('Planilla_General_03-12-2012_9_3'!2616:2616,"AAAAAGt/43A=",0)</f>
        <v>0</v>
      </c>
      <c r="DJ164" t="e">
        <f>AND('Planilla_General_03-12-2012_9_3'!A2616,"AAAAAGt/43E=")</f>
        <v>#VALUE!</v>
      </c>
      <c r="DK164" t="e">
        <f>AND('Planilla_General_03-12-2012_9_3'!B2616,"AAAAAGt/43I=")</f>
        <v>#VALUE!</v>
      </c>
      <c r="DL164" t="e">
        <f>AND('Planilla_General_03-12-2012_9_3'!C2616,"AAAAAGt/43M=")</f>
        <v>#VALUE!</v>
      </c>
      <c r="DM164" t="e">
        <f>AND('Planilla_General_03-12-2012_9_3'!D2616,"AAAAAGt/43Q=")</f>
        <v>#VALUE!</v>
      </c>
      <c r="DN164" t="e">
        <f>AND('Planilla_General_03-12-2012_9_3'!E2616,"AAAAAGt/43U=")</f>
        <v>#VALUE!</v>
      </c>
      <c r="DO164" t="e">
        <f>AND('Planilla_General_03-12-2012_9_3'!F2616,"AAAAAGt/43Y=")</f>
        <v>#VALUE!</v>
      </c>
      <c r="DP164" t="e">
        <f>AND('Planilla_General_03-12-2012_9_3'!G2616,"AAAAAGt/43c=")</f>
        <v>#VALUE!</v>
      </c>
      <c r="DQ164" t="e">
        <f>AND('Planilla_General_03-12-2012_9_3'!H2616,"AAAAAGt/43g=")</f>
        <v>#VALUE!</v>
      </c>
      <c r="DR164" t="e">
        <f>AND('Planilla_General_03-12-2012_9_3'!I2616,"AAAAAGt/43k=")</f>
        <v>#VALUE!</v>
      </c>
      <c r="DS164" t="e">
        <f>AND('Planilla_General_03-12-2012_9_3'!J2616,"AAAAAGt/43o=")</f>
        <v>#VALUE!</v>
      </c>
      <c r="DT164" t="e">
        <f>AND('Planilla_General_03-12-2012_9_3'!K2616,"AAAAAGt/43s=")</f>
        <v>#VALUE!</v>
      </c>
      <c r="DU164" t="e">
        <f>AND('Planilla_General_03-12-2012_9_3'!L2616,"AAAAAGt/43w=")</f>
        <v>#VALUE!</v>
      </c>
      <c r="DV164" t="e">
        <f>AND('Planilla_General_03-12-2012_9_3'!M2616,"AAAAAGt/430=")</f>
        <v>#VALUE!</v>
      </c>
      <c r="DW164" t="e">
        <f>AND('Planilla_General_03-12-2012_9_3'!N2616,"AAAAAGt/434=")</f>
        <v>#VALUE!</v>
      </c>
      <c r="DX164" t="e">
        <f>AND('Planilla_General_03-12-2012_9_3'!O2616,"AAAAAGt/438=")</f>
        <v>#VALUE!</v>
      </c>
      <c r="DY164">
        <f>IF('Planilla_General_03-12-2012_9_3'!2617:2617,"AAAAAGt/44A=",0)</f>
        <v>0</v>
      </c>
      <c r="DZ164" t="e">
        <f>AND('Planilla_General_03-12-2012_9_3'!A2617,"AAAAAGt/44E=")</f>
        <v>#VALUE!</v>
      </c>
      <c r="EA164" t="e">
        <f>AND('Planilla_General_03-12-2012_9_3'!B2617,"AAAAAGt/44I=")</f>
        <v>#VALUE!</v>
      </c>
      <c r="EB164" t="e">
        <f>AND('Planilla_General_03-12-2012_9_3'!C2617,"AAAAAGt/44M=")</f>
        <v>#VALUE!</v>
      </c>
      <c r="EC164" t="e">
        <f>AND('Planilla_General_03-12-2012_9_3'!D2617,"AAAAAGt/44Q=")</f>
        <v>#VALUE!</v>
      </c>
      <c r="ED164" t="e">
        <f>AND('Planilla_General_03-12-2012_9_3'!E2617,"AAAAAGt/44U=")</f>
        <v>#VALUE!</v>
      </c>
      <c r="EE164" t="e">
        <f>AND('Planilla_General_03-12-2012_9_3'!F2617,"AAAAAGt/44Y=")</f>
        <v>#VALUE!</v>
      </c>
      <c r="EF164" t="e">
        <f>AND('Planilla_General_03-12-2012_9_3'!G2617,"AAAAAGt/44c=")</f>
        <v>#VALUE!</v>
      </c>
      <c r="EG164" t="e">
        <f>AND('Planilla_General_03-12-2012_9_3'!H2617,"AAAAAGt/44g=")</f>
        <v>#VALUE!</v>
      </c>
      <c r="EH164" t="e">
        <f>AND('Planilla_General_03-12-2012_9_3'!I2617,"AAAAAGt/44k=")</f>
        <v>#VALUE!</v>
      </c>
      <c r="EI164" t="e">
        <f>AND('Planilla_General_03-12-2012_9_3'!J2617,"AAAAAGt/44o=")</f>
        <v>#VALUE!</v>
      </c>
      <c r="EJ164" t="e">
        <f>AND('Planilla_General_03-12-2012_9_3'!K2617,"AAAAAGt/44s=")</f>
        <v>#VALUE!</v>
      </c>
      <c r="EK164" t="e">
        <f>AND('Planilla_General_03-12-2012_9_3'!L2617,"AAAAAGt/44w=")</f>
        <v>#VALUE!</v>
      </c>
      <c r="EL164" t="e">
        <f>AND('Planilla_General_03-12-2012_9_3'!M2617,"AAAAAGt/440=")</f>
        <v>#VALUE!</v>
      </c>
      <c r="EM164" t="e">
        <f>AND('Planilla_General_03-12-2012_9_3'!N2617,"AAAAAGt/444=")</f>
        <v>#VALUE!</v>
      </c>
      <c r="EN164" t="e">
        <f>AND('Planilla_General_03-12-2012_9_3'!O2617,"AAAAAGt/448=")</f>
        <v>#VALUE!</v>
      </c>
      <c r="EO164">
        <f>IF('Planilla_General_03-12-2012_9_3'!2618:2618,"AAAAAGt/45A=",0)</f>
        <v>0</v>
      </c>
      <c r="EP164" t="e">
        <f>AND('Planilla_General_03-12-2012_9_3'!A2618,"AAAAAGt/45E=")</f>
        <v>#VALUE!</v>
      </c>
      <c r="EQ164" t="e">
        <f>AND('Planilla_General_03-12-2012_9_3'!B2618,"AAAAAGt/45I=")</f>
        <v>#VALUE!</v>
      </c>
      <c r="ER164" t="e">
        <f>AND('Planilla_General_03-12-2012_9_3'!C2618,"AAAAAGt/45M=")</f>
        <v>#VALUE!</v>
      </c>
      <c r="ES164" t="e">
        <f>AND('Planilla_General_03-12-2012_9_3'!D2618,"AAAAAGt/45Q=")</f>
        <v>#VALUE!</v>
      </c>
      <c r="ET164" t="e">
        <f>AND('Planilla_General_03-12-2012_9_3'!E2618,"AAAAAGt/45U=")</f>
        <v>#VALUE!</v>
      </c>
      <c r="EU164" t="e">
        <f>AND('Planilla_General_03-12-2012_9_3'!F2618,"AAAAAGt/45Y=")</f>
        <v>#VALUE!</v>
      </c>
      <c r="EV164" t="e">
        <f>AND('Planilla_General_03-12-2012_9_3'!G2618,"AAAAAGt/45c=")</f>
        <v>#VALUE!</v>
      </c>
      <c r="EW164" t="e">
        <f>AND('Planilla_General_03-12-2012_9_3'!H2618,"AAAAAGt/45g=")</f>
        <v>#VALUE!</v>
      </c>
      <c r="EX164" t="e">
        <f>AND('Planilla_General_03-12-2012_9_3'!I2618,"AAAAAGt/45k=")</f>
        <v>#VALUE!</v>
      </c>
      <c r="EY164" t="e">
        <f>AND('Planilla_General_03-12-2012_9_3'!J2618,"AAAAAGt/45o=")</f>
        <v>#VALUE!</v>
      </c>
      <c r="EZ164" t="e">
        <f>AND('Planilla_General_03-12-2012_9_3'!K2618,"AAAAAGt/45s=")</f>
        <v>#VALUE!</v>
      </c>
      <c r="FA164" t="e">
        <f>AND('Planilla_General_03-12-2012_9_3'!L2618,"AAAAAGt/45w=")</f>
        <v>#VALUE!</v>
      </c>
      <c r="FB164" t="e">
        <f>AND('Planilla_General_03-12-2012_9_3'!M2618,"AAAAAGt/450=")</f>
        <v>#VALUE!</v>
      </c>
      <c r="FC164" t="e">
        <f>AND('Planilla_General_03-12-2012_9_3'!N2618,"AAAAAGt/454=")</f>
        <v>#VALUE!</v>
      </c>
      <c r="FD164" t="e">
        <f>AND('Planilla_General_03-12-2012_9_3'!O2618,"AAAAAGt/458=")</f>
        <v>#VALUE!</v>
      </c>
      <c r="FE164">
        <f>IF('Planilla_General_03-12-2012_9_3'!2619:2619,"AAAAAGt/46A=",0)</f>
        <v>0</v>
      </c>
      <c r="FF164" t="e">
        <f>AND('Planilla_General_03-12-2012_9_3'!A2619,"AAAAAGt/46E=")</f>
        <v>#VALUE!</v>
      </c>
      <c r="FG164" t="e">
        <f>AND('Planilla_General_03-12-2012_9_3'!B2619,"AAAAAGt/46I=")</f>
        <v>#VALUE!</v>
      </c>
      <c r="FH164" t="e">
        <f>AND('Planilla_General_03-12-2012_9_3'!C2619,"AAAAAGt/46M=")</f>
        <v>#VALUE!</v>
      </c>
      <c r="FI164" t="e">
        <f>AND('Planilla_General_03-12-2012_9_3'!D2619,"AAAAAGt/46Q=")</f>
        <v>#VALUE!</v>
      </c>
      <c r="FJ164" t="e">
        <f>AND('Planilla_General_03-12-2012_9_3'!E2619,"AAAAAGt/46U=")</f>
        <v>#VALUE!</v>
      </c>
      <c r="FK164" t="e">
        <f>AND('Planilla_General_03-12-2012_9_3'!F2619,"AAAAAGt/46Y=")</f>
        <v>#VALUE!</v>
      </c>
      <c r="FL164" t="e">
        <f>AND('Planilla_General_03-12-2012_9_3'!G2619,"AAAAAGt/46c=")</f>
        <v>#VALUE!</v>
      </c>
      <c r="FM164" t="e">
        <f>AND('Planilla_General_03-12-2012_9_3'!H2619,"AAAAAGt/46g=")</f>
        <v>#VALUE!</v>
      </c>
      <c r="FN164" t="e">
        <f>AND('Planilla_General_03-12-2012_9_3'!I2619,"AAAAAGt/46k=")</f>
        <v>#VALUE!</v>
      </c>
      <c r="FO164" t="e">
        <f>AND('Planilla_General_03-12-2012_9_3'!J2619,"AAAAAGt/46o=")</f>
        <v>#VALUE!</v>
      </c>
      <c r="FP164" t="e">
        <f>AND('Planilla_General_03-12-2012_9_3'!K2619,"AAAAAGt/46s=")</f>
        <v>#VALUE!</v>
      </c>
      <c r="FQ164" t="e">
        <f>AND('Planilla_General_03-12-2012_9_3'!L2619,"AAAAAGt/46w=")</f>
        <v>#VALUE!</v>
      </c>
      <c r="FR164" t="e">
        <f>AND('Planilla_General_03-12-2012_9_3'!M2619,"AAAAAGt/460=")</f>
        <v>#VALUE!</v>
      </c>
      <c r="FS164" t="e">
        <f>AND('Planilla_General_03-12-2012_9_3'!N2619,"AAAAAGt/464=")</f>
        <v>#VALUE!</v>
      </c>
      <c r="FT164" t="e">
        <f>AND('Planilla_General_03-12-2012_9_3'!O2619,"AAAAAGt/468=")</f>
        <v>#VALUE!</v>
      </c>
      <c r="FU164">
        <f>IF('Planilla_General_03-12-2012_9_3'!2620:2620,"AAAAAGt/47A=",0)</f>
        <v>0</v>
      </c>
      <c r="FV164" t="e">
        <f>AND('Planilla_General_03-12-2012_9_3'!A2620,"AAAAAGt/47E=")</f>
        <v>#VALUE!</v>
      </c>
      <c r="FW164" t="e">
        <f>AND('Planilla_General_03-12-2012_9_3'!B2620,"AAAAAGt/47I=")</f>
        <v>#VALUE!</v>
      </c>
      <c r="FX164" t="e">
        <f>AND('Planilla_General_03-12-2012_9_3'!C2620,"AAAAAGt/47M=")</f>
        <v>#VALUE!</v>
      </c>
      <c r="FY164" t="e">
        <f>AND('Planilla_General_03-12-2012_9_3'!D2620,"AAAAAGt/47Q=")</f>
        <v>#VALUE!</v>
      </c>
      <c r="FZ164" t="e">
        <f>AND('Planilla_General_03-12-2012_9_3'!E2620,"AAAAAGt/47U=")</f>
        <v>#VALUE!</v>
      </c>
      <c r="GA164" t="e">
        <f>AND('Planilla_General_03-12-2012_9_3'!F2620,"AAAAAGt/47Y=")</f>
        <v>#VALUE!</v>
      </c>
      <c r="GB164" t="e">
        <f>AND('Planilla_General_03-12-2012_9_3'!G2620,"AAAAAGt/47c=")</f>
        <v>#VALUE!</v>
      </c>
      <c r="GC164" t="e">
        <f>AND('Planilla_General_03-12-2012_9_3'!H2620,"AAAAAGt/47g=")</f>
        <v>#VALUE!</v>
      </c>
      <c r="GD164" t="e">
        <f>AND('Planilla_General_03-12-2012_9_3'!I2620,"AAAAAGt/47k=")</f>
        <v>#VALUE!</v>
      </c>
      <c r="GE164" t="e">
        <f>AND('Planilla_General_03-12-2012_9_3'!J2620,"AAAAAGt/47o=")</f>
        <v>#VALUE!</v>
      </c>
      <c r="GF164" t="e">
        <f>AND('Planilla_General_03-12-2012_9_3'!K2620,"AAAAAGt/47s=")</f>
        <v>#VALUE!</v>
      </c>
      <c r="GG164" t="e">
        <f>AND('Planilla_General_03-12-2012_9_3'!L2620,"AAAAAGt/47w=")</f>
        <v>#VALUE!</v>
      </c>
      <c r="GH164" t="e">
        <f>AND('Planilla_General_03-12-2012_9_3'!M2620,"AAAAAGt/470=")</f>
        <v>#VALUE!</v>
      </c>
      <c r="GI164" t="e">
        <f>AND('Planilla_General_03-12-2012_9_3'!N2620,"AAAAAGt/474=")</f>
        <v>#VALUE!</v>
      </c>
      <c r="GJ164" t="e">
        <f>AND('Planilla_General_03-12-2012_9_3'!O2620,"AAAAAGt/478=")</f>
        <v>#VALUE!</v>
      </c>
      <c r="GK164">
        <f>IF('Planilla_General_03-12-2012_9_3'!2621:2621,"AAAAAGt/48A=",0)</f>
        <v>0</v>
      </c>
      <c r="GL164" t="e">
        <f>AND('Planilla_General_03-12-2012_9_3'!A2621,"AAAAAGt/48E=")</f>
        <v>#VALUE!</v>
      </c>
      <c r="GM164" t="e">
        <f>AND('Planilla_General_03-12-2012_9_3'!B2621,"AAAAAGt/48I=")</f>
        <v>#VALUE!</v>
      </c>
      <c r="GN164" t="e">
        <f>AND('Planilla_General_03-12-2012_9_3'!C2621,"AAAAAGt/48M=")</f>
        <v>#VALUE!</v>
      </c>
      <c r="GO164" t="e">
        <f>AND('Planilla_General_03-12-2012_9_3'!D2621,"AAAAAGt/48Q=")</f>
        <v>#VALUE!</v>
      </c>
      <c r="GP164" t="e">
        <f>AND('Planilla_General_03-12-2012_9_3'!E2621,"AAAAAGt/48U=")</f>
        <v>#VALUE!</v>
      </c>
      <c r="GQ164" t="e">
        <f>AND('Planilla_General_03-12-2012_9_3'!F2621,"AAAAAGt/48Y=")</f>
        <v>#VALUE!</v>
      </c>
      <c r="GR164" t="e">
        <f>AND('Planilla_General_03-12-2012_9_3'!G2621,"AAAAAGt/48c=")</f>
        <v>#VALUE!</v>
      </c>
      <c r="GS164" t="e">
        <f>AND('Planilla_General_03-12-2012_9_3'!H2621,"AAAAAGt/48g=")</f>
        <v>#VALUE!</v>
      </c>
      <c r="GT164" t="e">
        <f>AND('Planilla_General_03-12-2012_9_3'!I2621,"AAAAAGt/48k=")</f>
        <v>#VALUE!</v>
      </c>
      <c r="GU164" t="e">
        <f>AND('Planilla_General_03-12-2012_9_3'!J2621,"AAAAAGt/48o=")</f>
        <v>#VALUE!</v>
      </c>
      <c r="GV164" t="e">
        <f>AND('Planilla_General_03-12-2012_9_3'!K2621,"AAAAAGt/48s=")</f>
        <v>#VALUE!</v>
      </c>
      <c r="GW164" t="e">
        <f>AND('Planilla_General_03-12-2012_9_3'!L2621,"AAAAAGt/48w=")</f>
        <v>#VALUE!</v>
      </c>
      <c r="GX164" t="e">
        <f>AND('Planilla_General_03-12-2012_9_3'!M2621,"AAAAAGt/480=")</f>
        <v>#VALUE!</v>
      </c>
      <c r="GY164" t="e">
        <f>AND('Planilla_General_03-12-2012_9_3'!N2621,"AAAAAGt/484=")</f>
        <v>#VALUE!</v>
      </c>
      <c r="GZ164" t="e">
        <f>AND('Planilla_General_03-12-2012_9_3'!O2621,"AAAAAGt/488=")</f>
        <v>#VALUE!</v>
      </c>
      <c r="HA164">
        <f>IF('Planilla_General_03-12-2012_9_3'!2622:2622,"AAAAAGt/49A=",0)</f>
        <v>0</v>
      </c>
      <c r="HB164" t="e">
        <f>AND('Planilla_General_03-12-2012_9_3'!A2622,"AAAAAGt/49E=")</f>
        <v>#VALUE!</v>
      </c>
      <c r="HC164" t="e">
        <f>AND('Planilla_General_03-12-2012_9_3'!B2622,"AAAAAGt/49I=")</f>
        <v>#VALUE!</v>
      </c>
      <c r="HD164" t="e">
        <f>AND('Planilla_General_03-12-2012_9_3'!C2622,"AAAAAGt/49M=")</f>
        <v>#VALUE!</v>
      </c>
      <c r="HE164" t="e">
        <f>AND('Planilla_General_03-12-2012_9_3'!D2622,"AAAAAGt/49Q=")</f>
        <v>#VALUE!</v>
      </c>
      <c r="HF164" t="e">
        <f>AND('Planilla_General_03-12-2012_9_3'!E2622,"AAAAAGt/49U=")</f>
        <v>#VALUE!</v>
      </c>
      <c r="HG164" t="e">
        <f>AND('Planilla_General_03-12-2012_9_3'!F2622,"AAAAAGt/49Y=")</f>
        <v>#VALUE!</v>
      </c>
      <c r="HH164" t="e">
        <f>AND('Planilla_General_03-12-2012_9_3'!G2622,"AAAAAGt/49c=")</f>
        <v>#VALUE!</v>
      </c>
      <c r="HI164" t="e">
        <f>AND('Planilla_General_03-12-2012_9_3'!H2622,"AAAAAGt/49g=")</f>
        <v>#VALUE!</v>
      </c>
      <c r="HJ164" t="e">
        <f>AND('Planilla_General_03-12-2012_9_3'!I2622,"AAAAAGt/49k=")</f>
        <v>#VALUE!</v>
      </c>
      <c r="HK164" t="e">
        <f>AND('Planilla_General_03-12-2012_9_3'!J2622,"AAAAAGt/49o=")</f>
        <v>#VALUE!</v>
      </c>
      <c r="HL164" t="e">
        <f>AND('Planilla_General_03-12-2012_9_3'!K2622,"AAAAAGt/49s=")</f>
        <v>#VALUE!</v>
      </c>
      <c r="HM164" t="e">
        <f>AND('Planilla_General_03-12-2012_9_3'!L2622,"AAAAAGt/49w=")</f>
        <v>#VALUE!</v>
      </c>
      <c r="HN164" t="e">
        <f>AND('Planilla_General_03-12-2012_9_3'!M2622,"AAAAAGt/490=")</f>
        <v>#VALUE!</v>
      </c>
      <c r="HO164" t="e">
        <f>AND('Planilla_General_03-12-2012_9_3'!N2622,"AAAAAGt/494=")</f>
        <v>#VALUE!</v>
      </c>
      <c r="HP164" t="e">
        <f>AND('Planilla_General_03-12-2012_9_3'!O2622,"AAAAAGt/498=")</f>
        <v>#VALUE!</v>
      </c>
      <c r="HQ164">
        <f>IF('Planilla_General_03-12-2012_9_3'!2623:2623,"AAAAAGt/4+A=",0)</f>
        <v>0</v>
      </c>
      <c r="HR164" t="e">
        <f>AND('Planilla_General_03-12-2012_9_3'!A2623,"AAAAAGt/4+E=")</f>
        <v>#VALUE!</v>
      </c>
      <c r="HS164" t="e">
        <f>AND('Planilla_General_03-12-2012_9_3'!B2623,"AAAAAGt/4+I=")</f>
        <v>#VALUE!</v>
      </c>
      <c r="HT164" t="e">
        <f>AND('Planilla_General_03-12-2012_9_3'!C2623,"AAAAAGt/4+M=")</f>
        <v>#VALUE!</v>
      </c>
      <c r="HU164" t="e">
        <f>AND('Planilla_General_03-12-2012_9_3'!D2623,"AAAAAGt/4+Q=")</f>
        <v>#VALUE!</v>
      </c>
      <c r="HV164" t="e">
        <f>AND('Planilla_General_03-12-2012_9_3'!E2623,"AAAAAGt/4+U=")</f>
        <v>#VALUE!</v>
      </c>
      <c r="HW164" t="e">
        <f>AND('Planilla_General_03-12-2012_9_3'!F2623,"AAAAAGt/4+Y=")</f>
        <v>#VALUE!</v>
      </c>
      <c r="HX164" t="e">
        <f>AND('Planilla_General_03-12-2012_9_3'!G2623,"AAAAAGt/4+c=")</f>
        <v>#VALUE!</v>
      </c>
      <c r="HY164" t="e">
        <f>AND('Planilla_General_03-12-2012_9_3'!H2623,"AAAAAGt/4+g=")</f>
        <v>#VALUE!</v>
      </c>
      <c r="HZ164" t="e">
        <f>AND('Planilla_General_03-12-2012_9_3'!I2623,"AAAAAGt/4+k=")</f>
        <v>#VALUE!</v>
      </c>
      <c r="IA164" t="e">
        <f>AND('Planilla_General_03-12-2012_9_3'!J2623,"AAAAAGt/4+o=")</f>
        <v>#VALUE!</v>
      </c>
      <c r="IB164" t="e">
        <f>AND('Planilla_General_03-12-2012_9_3'!K2623,"AAAAAGt/4+s=")</f>
        <v>#VALUE!</v>
      </c>
      <c r="IC164" t="e">
        <f>AND('Planilla_General_03-12-2012_9_3'!L2623,"AAAAAGt/4+w=")</f>
        <v>#VALUE!</v>
      </c>
      <c r="ID164" t="e">
        <f>AND('Planilla_General_03-12-2012_9_3'!M2623,"AAAAAGt/4+0=")</f>
        <v>#VALUE!</v>
      </c>
      <c r="IE164" t="e">
        <f>AND('Planilla_General_03-12-2012_9_3'!N2623,"AAAAAGt/4+4=")</f>
        <v>#VALUE!</v>
      </c>
      <c r="IF164" t="e">
        <f>AND('Planilla_General_03-12-2012_9_3'!O2623,"AAAAAGt/4+8=")</f>
        <v>#VALUE!</v>
      </c>
      <c r="IG164">
        <f>IF('Planilla_General_03-12-2012_9_3'!2624:2624,"AAAAAGt/4/A=",0)</f>
        <v>0</v>
      </c>
      <c r="IH164" t="e">
        <f>AND('Planilla_General_03-12-2012_9_3'!A2624,"AAAAAGt/4/E=")</f>
        <v>#VALUE!</v>
      </c>
      <c r="II164" t="e">
        <f>AND('Planilla_General_03-12-2012_9_3'!B2624,"AAAAAGt/4/I=")</f>
        <v>#VALUE!</v>
      </c>
      <c r="IJ164" t="e">
        <f>AND('Planilla_General_03-12-2012_9_3'!C2624,"AAAAAGt/4/M=")</f>
        <v>#VALUE!</v>
      </c>
      <c r="IK164" t="e">
        <f>AND('Planilla_General_03-12-2012_9_3'!D2624,"AAAAAGt/4/Q=")</f>
        <v>#VALUE!</v>
      </c>
      <c r="IL164" t="e">
        <f>AND('Planilla_General_03-12-2012_9_3'!E2624,"AAAAAGt/4/U=")</f>
        <v>#VALUE!</v>
      </c>
      <c r="IM164" t="e">
        <f>AND('Planilla_General_03-12-2012_9_3'!F2624,"AAAAAGt/4/Y=")</f>
        <v>#VALUE!</v>
      </c>
      <c r="IN164" t="e">
        <f>AND('Planilla_General_03-12-2012_9_3'!G2624,"AAAAAGt/4/c=")</f>
        <v>#VALUE!</v>
      </c>
      <c r="IO164" t="e">
        <f>AND('Planilla_General_03-12-2012_9_3'!H2624,"AAAAAGt/4/g=")</f>
        <v>#VALUE!</v>
      </c>
      <c r="IP164" t="e">
        <f>AND('Planilla_General_03-12-2012_9_3'!I2624,"AAAAAGt/4/k=")</f>
        <v>#VALUE!</v>
      </c>
      <c r="IQ164" t="e">
        <f>AND('Planilla_General_03-12-2012_9_3'!J2624,"AAAAAGt/4/o=")</f>
        <v>#VALUE!</v>
      </c>
      <c r="IR164" t="e">
        <f>AND('Planilla_General_03-12-2012_9_3'!K2624,"AAAAAGt/4/s=")</f>
        <v>#VALUE!</v>
      </c>
      <c r="IS164" t="e">
        <f>AND('Planilla_General_03-12-2012_9_3'!L2624,"AAAAAGt/4/w=")</f>
        <v>#VALUE!</v>
      </c>
      <c r="IT164" t="e">
        <f>AND('Planilla_General_03-12-2012_9_3'!M2624,"AAAAAGt/4/0=")</f>
        <v>#VALUE!</v>
      </c>
      <c r="IU164" t="e">
        <f>AND('Planilla_General_03-12-2012_9_3'!N2624,"AAAAAGt/4/4=")</f>
        <v>#VALUE!</v>
      </c>
      <c r="IV164" t="e">
        <f>AND('Planilla_General_03-12-2012_9_3'!O2624,"AAAAAGt/4/8=")</f>
        <v>#VALUE!</v>
      </c>
    </row>
    <row r="165" spans="1:256" x14ac:dyDescent="0.25">
      <c r="A165" t="e">
        <f>IF('Planilla_General_03-12-2012_9_3'!2625:2625,"AAAAAHym7wA=",0)</f>
        <v>#VALUE!</v>
      </c>
      <c r="B165" t="e">
        <f>AND('Planilla_General_03-12-2012_9_3'!A2625,"AAAAAHym7wE=")</f>
        <v>#VALUE!</v>
      </c>
      <c r="C165" t="e">
        <f>AND('Planilla_General_03-12-2012_9_3'!B2625,"AAAAAHym7wI=")</f>
        <v>#VALUE!</v>
      </c>
      <c r="D165" t="e">
        <f>AND('Planilla_General_03-12-2012_9_3'!C2625,"AAAAAHym7wM=")</f>
        <v>#VALUE!</v>
      </c>
      <c r="E165" t="e">
        <f>AND('Planilla_General_03-12-2012_9_3'!D2625,"AAAAAHym7wQ=")</f>
        <v>#VALUE!</v>
      </c>
      <c r="F165" t="e">
        <f>AND('Planilla_General_03-12-2012_9_3'!E2625,"AAAAAHym7wU=")</f>
        <v>#VALUE!</v>
      </c>
      <c r="G165" t="e">
        <f>AND('Planilla_General_03-12-2012_9_3'!F2625,"AAAAAHym7wY=")</f>
        <v>#VALUE!</v>
      </c>
      <c r="H165" t="e">
        <f>AND('Planilla_General_03-12-2012_9_3'!G2625,"AAAAAHym7wc=")</f>
        <v>#VALUE!</v>
      </c>
      <c r="I165" t="e">
        <f>AND('Planilla_General_03-12-2012_9_3'!H2625,"AAAAAHym7wg=")</f>
        <v>#VALUE!</v>
      </c>
      <c r="J165" t="e">
        <f>AND('Planilla_General_03-12-2012_9_3'!I2625,"AAAAAHym7wk=")</f>
        <v>#VALUE!</v>
      </c>
      <c r="K165" t="e">
        <f>AND('Planilla_General_03-12-2012_9_3'!J2625,"AAAAAHym7wo=")</f>
        <v>#VALUE!</v>
      </c>
      <c r="L165" t="e">
        <f>AND('Planilla_General_03-12-2012_9_3'!K2625,"AAAAAHym7ws=")</f>
        <v>#VALUE!</v>
      </c>
      <c r="M165" t="e">
        <f>AND('Planilla_General_03-12-2012_9_3'!L2625,"AAAAAHym7ww=")</f>
        <v>#VALUE!</v>
      </c>
      <c r="N165" t="e">
        <f>AND('Planilla_General_03-12-2012_9_3'!M2625,"AAAAAHym7w0=")</f>
        <v>#VALUE!</v>
      </c>
      <c r="O165" t="e">
        <f>AND('Planilla_General_03-12-2012_9_3'!N2625,"AAAAAHym7w4=")</f>
        <v>#VALUE!</v>
      </c>
      <c r="P165" t="e">
        <f>AND('Planilla_General_03-12-2012_9_3'!O2625,"AAAAAHym7w8=")</f>
        <v>#VALUE!</v>
      </c>
      <c r="Q165">
        <f>IF('Planilla_General_03-12-2012_9_3'!2626:2626,"AAAAAHym7xA=",0)</f>
        <v>0</v>
      </c>
      <c r="R165" t="e">
        <f>AND('Planilla_General_03-12-2012_9_3'!A2626,"AAAAAHym7xE=")</f>
        <v>#VALUE!</v>
      </c>
      <c r="S165" t="e">
        <f>AND('Planilla_General_03-12-2012_9_3'!B2626,"AAAAAHym7xI=")</f>
        <v>#VALUE!</v>
      </c>
      <c r="T165" t="e">
        <f>AND('Planilla_General_03-12-2012_9_3'!C2626,"AAAAAHym7xM=")</f>
        <v>#VALUE!</v>
      </c>
      <c r="U165" t="e">
        <f>AND('Planilla_General_03-12-2012_9_3'!D2626,"AAAAAHym7xQ=")</f>
        <v>#VALUE!</v>
      </c>
      <c r="V165" t="e">
        <f>AND('Planilla_General_03-12-2012_9_3'!E2626,"AAAAAHym7xU=")</f>
        <v>#VALUE!</v>
      </c>
      <c r="W165" t="e">
        <f>AND('Planilla_General_03-12-2012_9_3'!F2626,"AAAAAHym7xY=")</f>
        <v>#VALUE!</v>
      </c>
      <c r="X165" t="e">
        <f>AND('Planilla_General_03-12-2012_9_3'!G2626,"AAAAAHym7xc=")</f>
        <v>#VALUE!</v>
      </c>
      <c r="Y165" t="e">
        <f>AND('Planilla_General_03-12-2012_9_3'!H2626,"AAAAAHym7xg=")</f>
        <v>#VALUE!</v>
      </c>
      <c r="Z165" t="e">
        <f>AND('Planilla_General_03-12-2012_9_3'!I2626,"AAAAAHym7xk=")</f>
        <v>#VALUE!</v>
      </c>
      <c r="AA165" t="e">
        <f>AND('Planilla_General_03-12-2012_9_3'!J2626,"AAAAAHym7xo=")</f>
        <v>#VALUE!</v>
      </c>
      <c r="AB165" t="e">
        <f>AND('Planilla_General_03-12-2012_9_3'!K2626,"AAAAAHym7xs=")</f>
        <v>#VALUE!</v>
      </c>
      <c r="AC165" t="e">
        <f>AND('Planilla_General_03-12-2012_9_3'!L2626,"AAAAAHym7xw=")</f>
        <v>#VALUE!</v>
      </c>
      <c r="AD165" t="e">
        <f>AND('Planilla_General_03-12-2012_9_3'!M2626,"AAAAAHym7x0=")</f>
        <v>#VALUE!</v>
      </c>
      <c r="AE165" t="e">
        <f>AND('Planilla_General_03-12-2012_9_3'!N2626,"AAAAAHym7x4=")</f>
        <v>#VALUE!</v>
      </c>
      <c r="AF165" t="e">
        <f>AND('Planilla_General_03-12-2012_9_3'!O2626,"AAAAAHym7x8=")</f>
        <v>#VALUE!</v>
      </c>
      <c r="AG165">
        <f>IF('Planilla_General_03-12-2012_9_3'!2627:2627,"AAAAAHym7yA=",0)</f>
        <v>0</v>
      </c>
      <c r="AH165" t="e">
        <f>AND('Planilla_General_03-12-2012_9_3'!A2627,"AAAAAHym7yE=")</f>
        <v>#VALUE!</v>
      </c>
      <c r="AI165" t="e">
        <f>AND('Planilla_General_03-12-2012_9_3'!B2627,"AAAAAHym7yI=")</f>
        <v>#VALUE!</v>
      </c>
      <c r="AJ165" t="e">
        <f>AND('Planilla_General_03-12-2012_9_3'!C2627,"AAAAAHym7yM=")</f>
        <v>#VALUE!</v>
      </c>
      <c r="AK165" t="e">
        <f>AND('Planilla_General_03-12-2012_9_3'!D2627,"AAAAAHym7yQ=")</f>
        <v>#VALUE!</v>
      </c>
      <c r="AL165" t="e">
        <f>AND('Planilla_General_03-12-2012_9_3'!E2627,"AAAAAHym7yU=")</f>
        <v>#VALUE!</v>
      </c>
      <c r="AM165" t="e">
        <f>AND('Planilla_General_03-12-2012_9_3'!F2627,"AAAAAHym7yY=")</f>
        <v>#VALUE!</v>
      </c>
      <c r="AN165" t="e">
        <f>AND('Planilla_General_03-12-2012_9_3'!G2627,"AAAAAHym7yc=")</f>
        <v>#VALUE!</v>
      </c>
      <c r="AO165" t="e">
        <f>AND('Planilla_General_03-12-2012_9_3'!H2627,"AAAAAHym7yg=")</f>
        <v>#VALUE!</v>
      </c>
      <c r="AP165" t="e">
        <f>AND('Planilla_General_03-12-2012_9_3'!I2627,"AAAAAHym7yk=")</f>
        <v>#VALUE!</v>
      </c>
      <c r="AQ165" t="e">
        <f>AND('Planilla_General_03-12-2012_9_3'!J2627,"AAAAAHym7yo=")</f>
        <v>#VALUE!</v>
      </c>
      <c r="AR165" t="e">
        <f>AND('Planilla_General_03-12-2012_9_3'!K2627,"AAAAAHym7ys=")</f>
        <v>#VALUE!</v>
      </c>
      <c r="AS165" t="e">
        <f>AND('Planilla_General_03-12-2012_9_3'!L2627,"AAAAAHym7yw=")</f>
        <v>#VALUE!</v>
      </c>
      <c r="AT165" t="e">
        <f>AND('Planilla_General_03-12-2012_9_3'!M2627,"AAAAAHym7y0=")</f>
        <v>#VALUE!</v>
      </c>
      <c r="AU165" t="e">
        <f>AND('Planilla_General_03-12-2012_9_3'!N2627,"AAAAAHym7y4=")</f>
        <v>#VALUE!</v>
      </c>
      <c r="AV165" t="e">
        <f>AND('Planilla_General_03-12-2012_9_3'!O2627,"AAAAAHym7y8=")</f>
        <v>#VALUE!</v>
      </c>
      <c r="AW165">
        <f>IF('Planilla_General_03-12-2012_9_3'!2628:2628,"AAAAAHym7zA=",0)</f>
        <v>0</v>
      </c>
      <c r="AX165" t="e">
        <f>AND('Planilla_General_03-12-2012_9_3'!A2628,"AAAAAHym7zE=")</f>
        <v>#VALUE!</v>
      </c>
      <c r="AY165" t="e">
        <f>AND('Planilla_General_03-12-2012_9_3'!B2628,"AAAAAHym7zI=")</f>
        <v>#VALUE!</v>
      </c>
      <c r="AZ165" t="e">
        <f>AND('Planilla_General_03-12-2012_9_3'!C2628,"AAAAAHym7zM=")</f>
        <v>#VALUE!</v>
      </c>
      <c r="BA165" t="e">
        <f>AND('Planilla_General_03-12-2012_9_3'!D2628,"AAAAAHym7zQ=")</f>
        <v>#VALUE!</v>
      </c>
      <c r="BB165" t="e">
        <f>AND('Planilla_General_03-12-2012_9_3'!E2628,"AAAAAHym7zU=")</f>
        <v>#VALUE!</v>
      </c>
      <c r="BC165" t="e">
        <f>AND('Planilla_General_03-12-2012_9_3'!F2628,"AAAAAHym7zY=")</f>
        <v>#VALUE!</v>
      </c>
      <c r="BD165" t="e">
        <f>AND('Planilla_General_03-12-2012_9_3'!G2628,"AAAAAHym7zc=")</f>
        <v>#VALUE!</v>
      </c>
      <c r="BE165" t="e">
        <f>AND('Planilla_General_03-12-2012_9_3'!H2628,"AAAAAHym7zg=")</f>
        <v>#VALUE!</v>
      </c>
      <c r="BF165" t="e">
        <f>AND('Planilla_General_03-12-2012_9_3'!I2628,"AAAAAHym7zk=")</f>
        <v>#VALUE!</v>
      </c>
      <c r="BG165" t="e">
        <f>AND('Planilla_General_03-12-2012_9_3'!J2628,"AAAAAHym7zo=")</f>
        <v>#VALUE!</v>
      </c>
      <c r="BH165" t="e">
        <f>AND('Planilla_General_03-12-2012_9_3'!K2628,"AAAAAHym7zs=")</f>
        <v>#VALUE!</v>
      </c>
      <c r="BI165" t="e">
        <f>AND('Planilla_General_03-12-2012_9_3'!L2628,"AAAAAHym7zw=")</f>
        <v>#VALUE!</v>
      </c>
      <c r="BJ165" t="e">
        <f>AND('Planilla_General_03-12-2012_9_3'!M2628,"AAAAAHym7z0=")</f>
        <v>#VALUE!</v>
      </c>
      <c r="BK165" t="e">
        <f>AND('Planilla_General_03-12-2012_9_3'!N2628,"AAAAAHym7z4=")</f>
        <v>#VALUE!</v>
      </c>
      <c r="BL165" t="e">
        <f>AND('Planilla_General_03-12-2012_9_3'!O2628,"AAAAAHym7z8=")</f>
        <v>#VALUE!</v>
      </c>
      <c r="BM165">
        <f>IF('Planilla_General_03-12-2012_9_3'!2629:2629,"AAAAAHym70A=",0)</f>
        <v>0</v>
      </c>
      <c r="BN165" t="e">
        <f>AND('Planilla_General_03-12-2012_9_3'!A2629,"AAAAAHym70E=")</f>
        <v>#VALUE!</v>
      </c>
      <c r="BO165" t="e">
        <f>AND('Planilla_General_03-12-2012_9_3'!B2629,"AAAAAHym70I=")</f>
        <v>#VALUE!</v>
      </c>
      <c r="BP165" t="e">
        <f>AND('Planilla_General_03-12-2012_9_3'!C2629,"AAAAAHym70M=")</f>
        <v>#VALUE!</v>
      </c>
      <c r="BQ165" t="e">
        <f>AND('Planilla_General_03-12-2012_9_3'!D2629,"AAAAAHym70Q=")</f>
        <v>#VALUE!</v>
      </c>
      <c r="BR165" t="e">
        <f>AND('Planilla_General_03-12-2012_9_3'!E2629,"AAAAAHym70U=")</f>
        <v>#VALUE!</v>
      </c>
      <c r="BS165" t="e">
        <f>AND('Planilla_General_03-12-2012_9_3'!F2629,"AAAAAHym70Y=")</f>
        <v>#VALUE!</v>
      </c>
      <c r="BT165" t="e">
        <f>AND('Planilla_General_03-12-2012_9_3'!G2629,"AAAAAHym70c=")</f>
        <v>#VALUE!</v>
      </c>
      <c r="BU165" t="e">
        <f>AND('Planilla_General_03-12-2012_9_3'!H2629,"AAAAAHym70g=")</f>
        <v>#VALUE!</v>
      </c>
      <c r="BV165" t="e">
        <f>AND('Planilla_General_03-12-2012_9_3'!I2629,"AAAAAHym70k=")</f>
        <v>#VALUE!</v>
      </c>
      <c r="BW165" t="e">
        <f>AND('Planilla_General_03-12-2012_9_3'!J2629,"AAAAAHym70o=")</f>
        <v>#VALUE!</v>
      </c>
      <c r="BX165" t="e">
        <f>AND('Planilla_General_03-12-2012_9_3'!K2629,"AAAAAHym70s=")</f>
        <v>#VALUE!</v>
      </c>
      <c r="BY165" t="e">
        <f>AND('Planilla_General_03-12-2012_9_3'!L2629,"AAAAAHym70w=")</f>
        <v>#VALUE!</v>
      </c>
      <c r="BZ165" t="e">
        <f>AND('Planilla_General_03-12-2012_9_3'!M2629,"AAAAAHym700=")</f>
        <v>#VALUE!</v>
      </c>
      <c r="CA165" t="e">
        <f>AND('Planilla_General_03-12-2012_9_3'!N2629,"AAAAAHym704=")</f>
        <v>#VALUE!</v>
      </c>
      <c r="CB165" t="e">
        <f>AND('Planilla_General_03-12-2012_9_3'!O2629,"AAAAAHym708=")</f>
        <v>#VALUE!</v>
      </c>
      <c r="CC165">
        <f>IF('Planilla_General_03-12-2012_9_3'!2630:2630,"AAAAAHym71A=",0)</f>
        <v>0</v>
      </c>
      <c r="CD165" t="e">
        <f>AND('Planilla_General_03-12-2012_9_3'!A2630,"AAAAAHym71E=")</f>
        <v>#VALUE!</v>
      </c>
      <c r="CE165" t="e">
        <f>AND('Planilla_General_03-12-2012_9_3'!B2630,"AAAAAHym71I=")</f>
        <v>#VALUE!</v>
      </c>
      <c r="CF165" t="e">
        <f>AND('Planilla_General_03-12-2012_9_3'!C2630,"AAAAAHym71M=")</f>
        <v>#VALUE!</v>
      </c>
      <c r="CG165" t="e">
        <f>AND('Planilla_General_03-12-2012_9_3'!D2630,"AAAAAHym71Q=")</f>
        <v>#VALUE!</v>
      </c>
      <c r="CH165" t="e">
        <f>AND('Planilla_General_03-12-2012_9_3'!E2630,"AAAAAHym71U=")</f>
        <v>#VALUE!</v>
      </c>
      <c r="CI165" t="e">
        <f>AND('Planilla_General_03-12-2012_9_3'!F2630,"AAAAAHym71Y=")</f>
        <v>#VALUE!</v>
      </c>
      <c r="CJ165" t="e">
        <f>AND('Planilla_General_03-12-2012_9_3'!G2630,"AAAAAHym71c=")</f>
        <v>#VALUE!</v>
      </c>
      <c r="CK165" t="e">
        <f>AND('Planilla_General_03-12-2012_9_3'!H2630,"AAAAAHym71g=")</f>
        <v>#VALUE!</v>
      </c>
      <c r="CL165" t="e">
        <f>AND('Planilla_General_03-12-2012_9_3'!I2630,"AAAAAHym71k=")</f>
        <v>#VALUE!</v>
      </c>
      <c r="CM165" t="e">
        <f>AND('Planilla_General_03-12-2012_9_3'!J2630,"AAAAAHym71o=")</f>
        <v>#VALUE!</v>
      </c>
      <c r="CN165" t="e">
        <f>AND('Planilla_General_03-12-2012_9_3'!K2630,"AAAAAHym71s=")</f>
        <v>#VALUE!</v>
      </c>
      <c r="CO165" t="e">
        <f>AND('Planilla_General_03-12-2012_9_3'!L2630,"AAAAAHym71w=")</f>
        <v>#VALUE!</v>
      </c>
      <c r="CP165" t="e">
        <f>AND('Planilla_General_03-12-2012_9_3'!M2630,"AAAAAHym710=")</f>
        <v>#VALUE!</v>
      </c>
      <c r="CQ165" t="e">
        <f>AND('Planilla_General_03-12-2012_9_3'!N2630,"AAAAAHym714=")</f>
        <v>#VALUE!</v>
      </c>
      <c r="CR165" t="e">
        <f>AND('Planilla_General_03-12-2012_9_3'!O2630,"AAAAAHym718=")</f>
        <v>#VALUE!</v>
      </c>
      <c r="CS165">
        <f>IF('Planilla_General_03-12-2012_9_3'!2631:2631,"AAAAAHym72A=",0)</f>
        <v>0</v>
      </c>
      <c r="CT165" t="e">
        <f>AND('Planilla_General_03-12-2012_9_3'!A2631,"AAAAAHym72E=")</f>
        <v>#VALUE!</v>
      </c>
      <c r="CU165" t="e">
        <f>AND('Planilla_General_03-12-2012_9_3'!B2631,"AAAAAHym72I=")</f>
        <v>#VALUE!</v>
      </c>
      <c r="CV165" t="e">
        <f>AND('Planilla_General_03-12-2012_9_3'!C2631,"AAAAAHym72M=")</f>
        <v>#VALUE!</v>
      </c>
      <c r="CW165" t="e">
        <f>AND('Planilla_General_03-12-2012_9_3'!D2631,"AAAAAHym72Q=")</f>
        <v>#VALUE!</v>
      </c>
      <c r="CX165" t="e">
        <f>AND('Planilla_General_03-12-2012_9_3'!E2631,"AAAAAHym72U=")</f>
        <v>#VALUE!</v>
      </c>
      <c r="CY165" t="e">
        <f>AND('Planilla_General_03-12-2012_9_3'!F2631,"AAAAAHym72Y=")</f>
        <v>#VALUE!</v>
      </c>
      <c r="CZ165" t="e">
        <f>AND('Planilla_General_03-12-2012_9_3'!G2631,"AAAAAHym72c=")</f>
        <v>#VALUE!</v>
      </c>
      <c r="DA165" t="e">
        <f>AND('Planilla_General_03-12-2012_9_3'!H2631,"AAAAAHym72g=")</f>
        <v>#VALUE!</v>
      </c>
      <c r="DB165" t="e">
        <f>AND('Planilla_General_03-12-2012_9_3'!I2631,"AAAAAHym72k=")</f>
        <v>#VALUE!</v>
      </c>
      <c r="DC165" t="e">
        <f>AND('Planilla_General_03-12-2012_9_3'!J2631,"AAAAAHym72o=")</f>
        <v>#VALUE!</v>
      </c>
      <c r="DD165" t="e">
        <f>AND('Planilla_General_03-12-2012_9_3'!K2631,"AAAAAHym72s=")</f>
        <v>#VALUE!</v>
      </c>
      <c r="DE165" t="e">
        <f>AND('Planilla_General_03-12-2012_9_3'!L2631,"AAAAAHym72w=")</f>
        <v>#VALUE!</v>
      </c>
      <c r="DF165" t="e">
        <f>AND('Planilla_General_03-12-2012_9_3'!M2631,"AAAAAHym720=")</f>
        <v>#VALUE!</v>
      </c>
      <c r="DG165" t="e">
        <f>AND('Planilla_General_03-12-2012_9_3'!N2631,"AAAAAHym724=")</f>
        <v>#VALUE!</v>
      </c>
      <c r="DH165" t="e">
        <f>AND('Planilla_General_03-12-2012_9_3'!O2631,"AAAAAHym728=")</f>
        <v>#VALUE!</v>
      </c>
      <c r="DI165">
        <f>IF('Planilla_General_03-12-2012_9_3'!2632:2632,"AAAAAHym73A=",0)</f>
        <v>0</v>
      </c>
      <c r="DJ165" t="e">
        <f>AND('Planilla_General_03-12-2012_9_3'!A2632,"AAAAAHym73E=")</f>
        <v>#VALUE!</v>
      </c>
      <c r="DK165" t="e">
        <f>AND('Planilla_General_03-12-2012_9_3'!B2632,"AAAAAHym73I=")</f>
        <v>#VALUE!</v>
      </c>
      <c r="DL165" t="e">
        <f>AND('Planilla_General_03-12-2012_9_3'!C2632,"AAAAAHym73M=")</f>
        <v>#VALUE!</v>
      </c>
      <c r="DM165" t="e">
        <f>AND('Planilla_General_03-12-2012_9_3'!D2632,"AAAAAHym73Q=")</f>
        <v>#VALUE!</v>
      </c>
      <c r="DN165" t="e">
        <f>AND('Planilla_General_03-12-2012_9_3'!E2632,"AAAAAHym73U=")</f>
        <v>#VALUE!</v>
      </c>
      <c r="DO165" t="e">
        <f>AND('Planilla_General_03-12-2012_9_3'!F2632,"AAAAAHym73Y=")</f>
        <v>#VALUE!</v>
      </c>
      <c r="DP165" t="e">
        <f>AND('Planilla_General_03-12-2012_9_3'!G2632,"AAAAAHym73c=")</f>
        <v>#VALUE!</v>
      </c>
      <c r="DQ165" t="e">
        <f>AND('Planilla_General_03-12-2012_9_3'!H2632,"AAAAAHym73g=")</f>
        <v>#VALUE!</v>
      </c>
      <c r="DR165" t="e">
        <f>AND('Planilla_General_03-12-2012_9_3'!I2632,"AAAAAHym73k=")</f>
        <v>#VALUE!</v>
      </c>
      <c r="DS165" t="e">
        <f>AND('Planilla_General_03-12-2012_9_3'!J2632,"AAAAAHym73o=")</f>
        <v>#VALUE!</v>
      </c>
      <c r="DT165" t="e">
        <f>AND('Planilla_General_03-12-2012_9_3'!K2632,"AAAAAHym73s=")</f>
        <v>#VALUE!</v>
      </c>
      <c r="DU165" t="e">
        <f>AND('Planilla_General_03-12-2012_9_3'!L2632,"AAAAAHym73w=")</f>
        <v>#VALUE!</v>
      </c>
      <c r="DV165" t="e">
        <f>AND('Planilla_General_03-12-2012_9_3'!M2632,"AAAAAHym730=")</f>
        <v>#VALUE!</v>
      </c>
      <c r="DW165" t="e">
        <f>AND('Planilla_General_03-12-2012_9_3'!N2632,"AAAAAHym734=")</f>
        <v>#VALUE!</v>
      </c>
      <c r="DX165" t="e">
        <f>AND('Planilla_General_03-12-2012_9_3'!O2632,"AAAAAHym738=")</f>
        <v>#VALUE!</v>
      </c>
      <c r="DY165">
        <f>IF('Planilla_General_03-12-2012_9_3'!2633:2633,"AAAAAHym74A=",0)</f>
        <v>0</v>
      </c>
      <c r="DZ165" t="e">
        <f>AND('Planilla_General_03-12-2012_9_3'!A2633,"AAAAAHym74E=")</f>
        <v>#VALUE!</v>
      </c>
      <c r="EA165" t="e">
        <f>AND('Planilla_General_03-12-2012_9_3'!B2633,"AAAAAHym74I=")</f>
        <v>#VALUE!</v>
      </c>
      <c r="EB165" t="e">
        <f>AND('Planilla_General_03-12-2012_9_3'!C2633,"AAAAAHym74M=")</f>
        <v>#VALUE!</v>
      </c>
      <c r="EC165" t="e">
        <f>AND('Planilla_General_03-12-2012_9_3'!D2633,"AAAAAHym74Q=")</f>
        <v>#VALUE!</v>
      </c>
      <c r="ED165" t="e">
        <f>AND('Planilla_General_03-12-2012_9_3'!E2633,"AAAAAHym74U=")</f>
        <v>#VALUE!</v>
      </c>
      <c r="EE165" t="e">
        <f>AND('Planilla_General_03-12-2012_9_3'!F2633,"AAAAAHym74Y=")</f>
        <v>#VALUE!</v>
      </c>
      <c r="EF165" t="e">
        <f>AND('Planilla_General_03-12-2012_9_3'!G2633,"AAAAAHym74c=")</f>
        <v>#VALUE!</v>
      </c>
      <c r="EG165" t="e">
        <f>AND('Planilla_General_03-12-2012_9_3'!H2633,"AAAAAHym74g=")</f>
        <v>#VALUE!</v>
      </c>
      <c r="EH165" t="e">
        <f>AND('Planilla_General_03-12-2012_9_3'!I2633,"AAAAAHym74k=")</f>
        <v>#VALUE!</v>
      </c>
      <c r="EI165" t="e">
        <f>AND('Planilla_General_03-12-2012_9_3'!J2633,"AAAAAHym74o=")</f>
        <v>#VALUE!</v>
      </c>
      <c r="EJ165" t="e">
        <f>AND('Planilla_General_03-12-2012_9_3'!K2633,"AAAAAHym74s=")</f>
        <v>#VALUE!</v>
      </c>
      <c r="EK165" t="e">
        <f>AND('Planilla_General_03-12-2012_9_3'!L2633,"AAAAAHym74w=")</f>
        <v>#VALUE!</v>
      </c>
      <c r="EL165" t="e">
        <f>AND('Planilla_General_03-12-2012_9_3'!M2633,"AAAAAHym740=")</f>
        <v>#VALUE!</v>
      </c>
      <c r="EM165" t="e">
        <f>AND('Planilla_General_03-12-2012_9_3'!N2633,"AAAAAHym744=")</f>
        <v>#VALUE!</v>
      </c>
      <c r="EN165" t="e">
        <f>AND('Planilla_General_03-12-2012_9_3'!O2633,"AAAAAHym748=")</f>
        <v>#VALUE!</v>
      </c>
      <c r="EO165">
        <f>IF('Planilla_General_03-12-2012_9_3'!2634:2634,"AAAAAHym75A=",0)</f>
        <v>0</v>
      </c>
      <c r="EP165" t="e">
        <f>AND('Planilla_General_03-12-2012_9_3'!A2634,"AAAAAHym75E=")</f>
        <v>#VALUE!</v>
      </c>
      <c r="EQ165" t="e">
        <f>AND('Planilla_General_03-12-2012_9_3'!B2634,"AAAAAHym75I=")</f>
        <v>#VALUE!</v>
      </c>
      <c r="ER165" t="e">
        <f>AND('Planilla_General_03-12-2012_9_3'!C2634,"AAAAAHym75M=")</f>
        <v>#VALUE!</v>
      </c>
      <c r="ES165" t="e">
        <f>AND('Planilla_General_03-12-2012_9_3'!D2634,"AAAAAHym75Q=")</f>
        <v>#VALUE!</v>
      </c>
      <c r="ET165" t="e">
        <f>AND('Planilla_General_03-12-2012_9_3'!E2634,"AAAAAHym75U=")</f>
        <v>#VALUE!</v>
      </c>
      <c r="EU165" t="e">
        <f>AND('Planilla_General_03-12-2012_9_3'!F2634,"AAAAAHym75Y=")</f>
        <v>#VALUE!</v>
      </c>
      <c r="EV165" t="e">
        <f>AND('Planilla_General_03-12-2012_9_3'!G2634,"AAAAAHym75c=")</f>
        <v>#VALUE!</v>
      </c>
      <c r="EW165" t="e">
        <f>AND('Planilla_General_03-12-2012_9_3'!H2634,"AAAAAHym75g=")</f>
        <v>#VALUE!</v>
      </c>
      <c r="EX165" t="e">
        <f>AND('Planilla_General_03-12-2012_9_3'!I2634,"AAAAAHym75k=")</f>
        <v>#VALUE!</v>
      </c>
      <c r="EY165" t="e">
        <f>AND('Planilla_General_03-12-2012_9_3'!J2634,"AAAAAHym75o=")</f>
        <v>#VALUE!</v>
      </c>
      <c r="EZ165" t="e">
        <f>AND('Planilla_General_03-12-2012_9_3'!K2634,"AAAAAHym75s=")</f>
        <v>#VALUE!</v>
      </c>
      <c r="FA165" t="e">
        <f>AND('Planilla_General_03-12-2012_9_3'!L2634,"AAAAAHym75w=")</f>
        <v>#VALUE!</v>
      </c>
      <c r="FB165" t="e">
        <f>AND('Planilla_General_03-12-2012_9_3'!M2634,"AAAAAHym750=")</f>
        <v>#VALUE!</v>
      </c>
      <c r="FC165" t="e">
        <f>AND('Planilla_General_03-12-2012_9_3'!N2634,"AAAAAHym754=")</f>
        <v>#VALUE!</v>
      </c>
      <c r="FD165" t="e">
        <f>AND('Planilla_General_03-12-2012_9_3'!O2634,"AAAAAHym758=")</f>
        <v>#VALUE!</v>
      </c>
      <c r="FE165">
        <f>IF('Planilla_General_03-12-2012_9_3'!2635:2635,"AAAAAHym76A=",0)</f>
        <v>0</v>
      </c>
      <c r="FF165" t="e">
        <f>AND('Planilla_General_03-12-2012_9_3'!A2635,"AAAAAHym76E=")</f>
        <v>#VALUE!</v>
      </c>
      <c r="FG165" t="e">
        <f>AND('Planilla_General_03-12-2012_9_3'!B2635,"AAAAAHym76I=")</f>
        <v>#VALUE!</v>
      </c>
      <c r="FH165" t="e">
        <f>AND('Planilla_General_03-12-2012_9_3'!C2635,"AAAAAHym76M=")</f>
        <v>#VALUE!</v>
      </c>
      <c r="FI165" t="e">
        <f>AND('Planilla_General_03-12-2012_9_3'!D2635,"AAAAAHym76Q=")</f>
        <v>#VALUE!</v>
      </c>
      <c r="FJ165" t="e">
        <f>AND('Planilla_General_03-12-2012_9_3'!E2635,"AAAAAHym76U=")</f>
        <v>#VALUE!</v>
      </c>
      <c r="FK165" t="e">
        <f>AND('Planilla_General_03-12-2012_9_3'!F2635,"AAAAAHym76Y=")</f>
        <v>#VALUE!</v>
      </c>
      <c r="FL165" t="e">
        <f>AND('Planilla_General_03-12-2012_9_3'!G2635,"AAAAAHym76c=")</f>
        <v>#VALUE!</v>
      </c>
      <c r="FM165" t="e">
        <f>AND('Planilla_General_03-12-2012_9_3'!H2635,"AAAAAHym76g=")</f>
        <v>#VALUE!</v>
      </c>
      <c r="FN165" t="e">
        <f>AND('Planilla_General_03-12-2012_9_3'!I2635,"AAAAAHym76k=")</f>
        <v>#VALUE!</v>
      </c>
      <c r="FO165" t="e">
        <f>AND('Planilla_General_03-12-2012_9_3'!J2635,"AAAAAHym76o=")</f>
        <v>#VALUE!</v>
      </c>
      <c r="FP165" t="e">
        <f>AND('Planilla_General_03-12-2012_9_3'!K2635,"AAAAAHym76s=")</f>
        <v>#VALUE!</v>
      </c>
      <c r="FQ165" t="e">
        <f>AND('Planilla_General_03-12-2012_9_3'!L2635,"AAAAAHym76w=")</f>
        <v>#VALUE!</v>
      </c>
      <c r="FR165" t="e">
        <f>AND('Planilla_General_03-12-2012_9_3'!M2635,"AAAAAHym760=")</f>
        <v>#VALUE!</v>
      </c>
      <c r="FS165" t="e">
        <f>AND('Planilla_General_03-12-2012_9_3'!N2635,"AAAAAHym764=")</f>
        <v>#VALUE!</v>
      </c>
      <c r="FT165" t="e">
        <f>AND('Planilla_General_03-12-2012_9_3'!O2635,"AAAAAHym768=")</f>
        <v>#VALUE!</v>
      </c>
      <c r="FU165">
        <f>IF('Planilla_General_03-12-2012_9_3'!2636:2636,"AAAAAHym77A=",0)</f>
        <v>0</v>
      </c>
      <c r="FV165" t="e">
        <f>AND('Planilla_General_03-12-2012_9_3'!A2636,"AAAAAHym77E=")</f>
        <v>#VALUE!</v>
      </c>
      <c r="FW165" t="e">
        <f>AND('Planilla_General_03-12-2012_9_3'!B2636,"AAAAAHym77I=")</f>
        <v>#VALUE!</v>
      </c>
      <c r="FX165" t="e">
        <f>AND('Planilla_General_03-12-2012_9_3'!C2636,"AAAAAHym77M=")</f>
        <v>#VALUE!</v>
      </c>
      <c r="FY165" t="e">
        <f>AND('Planilla_General_03-12-2012_9_3'!D2636,"AAAAAHym77Q=")</f>
        <v>#VALUE!</v>
      </c>
      <c r="FZ165" t="e">
        <f>AND('Planilla_General_03-12-2012_9_3'!E2636,"AAAAAHym77U=")</f>
        <v>#VALUE!</v>
      </c>
      <c r="GA165" t="e">
        <f>AND('Planilla_General_03-12-2012_9_3'!F2636,"AAAAAHym77Y=")</f>
        <v>#VALUE!</v>
      </c>
      <c r="GB165" t="e">
        <f>AND('Planilla_General_03-12-2012_9_3'!G2636,"AAAAAHym77c=")</f>
        <v>#VALUE!</v>
      </c>
      <c r="GC165" t="e">
        <f>AND('Planilla_General_03-12-2012_9_3'!H2636,"AAAAAHym77g=")</f>
        <v>#VALUE!</v>
      </c>
      <c r="GD165" t="e">
        <f>AND('Planilla_General_03-12-2012_9_3'!I2636,"AAAAAHym77k=")</f>
        <v>#VALUE!</v>
      </c>
      <c r="GE165" t="e">
        <f>AND('Planilla_General_03-12-2012_9_3'!J2636,"AAAAAHym77o=")</f>
        <v>#VALUE!</v>
      </c>
      <c r="GF165" t="e">
        <f>AND('Planilla_General_03-12-2012_9_3'!K2636,"AAAAAHym77s=")</f>
        <v>#VALUE!</v>
      </c>
      <c r="GG165" t="e">
        <f>AND('Planilla_General_03-12-2012_9_3'!L2636,"AAAAAHym77w=")</f>
        <v>#VALUE!</v>
      </c>
      <c r="GH165" t="e">
        <f>AND('Planilla_General_03-12-2012_9_3'!M2636,"AAAAAHym770=")</f>
        <v>#VALUE!</v>
      </c>
      <c r="GI165" t="e">
        <f>AND('Planilla_General_03-12-2012_9_3'!N2636,"AAAAAHym774=")</f>
        <v>#VALUE!</v>
      </c>
      <c r="GJ165" t="e">
        <f>AND('Planilla_General_03-12-2012_9_3'!O2636,"AAAAAHym778=")</f>
        <v>#VALUE!</v>
      </c>
      <c r="GK165">
        <f>IF('Planilla_General_03-12-2012_9_3'!2637:2637,"AAAAAHym78A=",0)</f>
        <v>0</v>
      </c>
      <c r="GL165" t="e">
        <f>AND('Planilla_General_03-12-2012_9_3'!A2637,"AAAAAHym78E=")</f>
        <v>#VALUE!</v>
      </c>
      <c r="GM165" t="e">
        <f>AND('Planilla_General_03-12-2012_9_3'!B2637,"AAAAAHym78I=")</f>
        <v>#VALUE!</v>
      </c>
      <c r="GN165" t="e">
        <f>AND('Planilla_General_03-12-2012_9_3'!C2637,"AAAAAHym78M=")</f>
        <v>#VALUE!</v>
      </c>
      <c r="GO165" t="e">
        <f>AND('Planilla_General_03-12-2012_9_3'!D2637,"AAAAAHym78Q=")</f>
        <v>#VALUE!</v>
      </c>
      <c r="GP165" t="e">
        <f>AND('Planilla_General_03-12-2012_9_3'!E2637,"AAAAAHym78U=")</f>
        <v>#VALUE!</v>
      </c>
      <c r="GQ165" t="e">
        <f>AND('Planilla_General_03-12-2012_9_3'!F2637,"AAAAAHym78Y=")</f>
        <v>#VALUE!</v>
      </c>
      <c r="GR165" t="e">
        <f>AND('Planilla_General_03-12-2012_9_3'!G2637,"AAAAAHym78c=")</f>
        <v>#VALUE!</v>
      </c>
      <c r="GS165" t="e">
        <f>AND('Planilla_General_03-12-2012_9_3'!H2637,"AAAAAHym78g=")</f>
        <v>#VALUE!</v>
      </c>
      <c r="GT165" t="e">
        <f>AND('Planilla_General_03-12-2012_9_3'!I2637,"AAAAAHym78k=")</f>
        <v>#VALUE!</v>
      </c>
      <c r="GU165" t="e">
        <f>AND('Planilla_General_03-12-2012_9_3'!J2637,"AAAAAHym78o=")</f>
        <v>#VALUE!</v>
      </c>
      <c r="GV165" t="e">
        <f>AND('Planilla_General_03-12-2012_9_3'!K2637,"AAAAAHym78s=")</f>
        <v>#VALUE!</v>
      </c>
      <c r="GW165" t="e">
        <f>AND('Planilla_General_03-12-2012_9_3'!L2637,"AAAAAHym78w=")</f>
        <v>#VALUE!</v>
      </c>
      <c r="GX165" t="e">
        <f>AND('Planilla_General_03-12-2012_9_3'!M2637,"AAAAAHym780=")</f>
        <v>#VALUE!</v>
      </c>
      <c r="GY165" t="e">
        <f>AND('Planilla_General_03-12-2012_9_3'!N2637,"AAAAAHym784=")</f>
        <v>#VALUE!</v>
      </c>
      <c r="GZ165" t="e">
        <f>AND('Planilla_General_03-12-2012_9_3'!O2637,"AAAAAHym788=")</f>
        <v>#VALUE!</v>
      </c>
      <c r="HA165">
        <f>IF('Planilla_General_03-12-2012_9_3'!2638:2638,"AAAAAHym79A=",0)</f>
        <v>0</v>
      </c>
      <c r="HB165" t="e">
        <f>AND('Planilla_General_03-12-2012_9_3'!A2638,"AAAAAHym79E=")</f>
        <v>#VALUE!</v>
      </c>
      <c r="HC165" t="e">
        <f>AND('Planilla_General_03-12-2012_9_3'!B2638,"AAAAAHym79I=")</f>
        <v>#VALUE!</v>
      </c>
      <c r="HD165" t="e">
        <f>AND('Planilla_General_03-12-2012_9_3'!C2638,"AAAAAHym79M=")</f>
        <v>#VALUE!</v>
      </c>
      <c r="HE165" t="e">
        <f>AND('Planilla_General_03-12-2012_9_3'!D2638,"AAAAAHym79Q=")</f>
        <v>#VALUE!</v>
      </c>
      <c r="HF165" t="e">
        <f>AND('Planilla_General_03-12-2012_9_3'!E2638,"AAAAAHym79U=")</f>
        <v>#VALUE!</v>
      </c>
      <c r="HG165" t="e">
        <f>AND('Planilla_General_03-12-2012_9_3'!F2638,"AAAAAHym79Y=")</f>
        <v>#VALUE!</v>
      </c>
      <c r="HH165" t="e">
        <f>AND('Planilla_General_03-12-2012_9_3'!G2638,"AAAAAHym79c=")</f>
        <v>#VALUE!</v>
      </c>
      <c r="HI165" t="e">
        <f>AND('Planilla_General_03-12-2012_9_3'!H2638,"AAAAAHym79g=")</f>
        <v>#VALUE!</v>
      </c>
      <c r="HJ165" t="e">
        <f>AND('Planilla_General_03-12-2012_9_3'!I2638,"AAAAAHym79k=")</f>
        <v>#VALUE!</v>
      </c>
      <c r="HK165" t="e">
        <f>AND('Planilla_General_03-12-2012_9_3'!J2638,"AAAAAHym79o=")</f>
        <v>#VALUE!</v>
      </c>
      <c r="HL165" t="e">
        <f>AND('Planilla_General_03-12-2012_9_3'!K2638,"AAAAAHym79s=")</f>
        <v>#VALUE!</v>
      </c>
      <c r="HM165" t="e">
        <f>AND('Planilla_General_03-12-2012_9_3'!L2638,"AAAAAHym79w=")</f>
        <v>#VALUE!</v>
      </c>
      <c r="HN165" t="e">
        <f>AND('Planilla_General_03-12-2012_9_3'!M2638,"AAAAAHym790=")</f>
        <v>#VALUE!</v>
      </c>
      <c r="HO165" t="e">
        <f>AND('Planilla_General_03-12-2012_9_3'!N2638,"AAAAAHym794=")</f>
        <v>#VALUE!</v>
      </c>
      <c r="HP165" t="e">
        <f>AND('Planilla_General_03-12-2012_9_3'!O2638,"AAAAAHym798=")</f>
        <v>#VALUE!</v>
      </c>
      <c r="HQ165">
        <f>IF('Planilla_General_03-12-2012_9_3'!2639:2639,"AAAAAHym7+A=",0)</f>
        <v>0</v>
      </c>
      <c r="HR165" t="e">
        <f>AND('Planilla_General_03-12-2012_9_3'!A2639,"AAAAAHym7+E=")</f>
        <v>#VALUE!</v>
      </c>
      <c r="HS165" t="e">
        <f>AND('Planilla_General_03-12-2012_9_3'!B2639,"AAAAAHym7+I=")</f>
        <v>#VALUE!</v>
      </c>
      <c r="HT165" t="e">
        <f>AND('Planilla_General_03-12-2012_9_3'!C2639,"AAAAAHym7+M=")</f>
        <v>#VALUE!</v>
      </c>
      <c r="HU165" t="e">
        <f>AND('Planilla_General_03-12-2012_9_3'!D2639,"AAAAAHym7+Q=")</f>
        <v>#VALUE!</v>
      </c>
      <c r="HV165" t="e">
        <f>AND('Planilla_General_03-12-2012_9_3'!E2639,"AAAAAHym7+U=")</f>
        <v>#VALUE!</v>
      </c>
      <c r="HW165" t="e">
        <f>AND('Planilla_General_03-12-2012_9_3'!F2639,"AAAAAHym7+Y=")</f>
        <v>#VALUE!</v>
      </c>
      <c r="HX165" t="e">
        <f>AND('Planilla_General_03-12-2012_9_3'!G2639,"AAAAAHym7+c=")</f>
        <v>#VALUE!</v>
      </c>
      <c r="HY165" t="e">
        <f>AND('Planilla_General_03-12-2012_9_3'!H2639,"AAAAAHym7+g=")</f>
        <v>#VALUE!</v>
      </c>
      <c r="HZ165" t="e">
        <f>AND('Planilla_General_03-12-2012_9_3'!I2639,"AAAAAHym7+k=")</f>
        <v>#VALUE!</v>
      </c>
      <c r="IA165" t="e">
        <f>AND('Planilla_General_03-12-2012_9_3'!J2639,"AAAAAHym7+o=")</f>
        <v>#VALUE!</v>
      </c>
      <c r="IB165" t="e">
        <f>AND('Planilla_General_03-12-2012_9_3'!K2639,"AAAAAHym7+s=")</f>
        <v>#VALUE!</v>
      </c>
      <c r="IC165" t="e">
        <f>AND('Planilla_General_03-12-2012_9_3'!L2639,"AAAAAHym7+w=")</f>
        <v>#VALUE!</v>
      </c>
      <c r="ID165" t="e">
        <f>AND('Planilla_General_03-12-2012_9_3'!M2639,"AAAAAHym7+0=")</f>
        <v>#VALUE!</v>
      </c>
      <c r="IE165" t="e">
        <f>AND('Planilla_General_03-12-2012_9_3'!N2639,"AAAAAHym7+4=")</f>
        <v>#VALUE!</v>
      </c>
      <c r="IF165" t="e">
        <f>AND('Planilla_General_03-12-2012_9_3'!O2639,"AAAAAHym7+8=")</f>
        <v>#VALUE!</v>
      </c>
      <c r="IG165">
        <f>IF('Planilla_General_03-12-2012_9_3'!2640:2640,"AAAAAHym7/A=",0)</f>
        <v>0</v>
      </c>
      <c r="IH165" t="e">
        <f>AND('Planilla_General_03-12-2012_9_3'!A2640,"AAAAAHym7/E=")</f>
        <v>#VALUE!</v>
      </c>
      <c r="II165" t="e">
        <f>AND('Planilla_General_03-12-2012_9_3'!B2640,"AAAAAHym7/I=")</f>
        <v>#VALUE!</v>
      </c>
      <c r="IJ165" t="e">
        <f>AND('Planilla_General_03-12-2012_9_3'!C2640,"AAAAAHym7/M=")</f>
        <v>#VALUE!</v>
      </c>
      <c r="IK165" t="e">
        <f>AND('Planilla_General_03-12-2012_9_3'!D2640,"AAAAAHym7/Q=")</f>
        <v>#VALUE!</v>
      </c>
      <c r="IL165" t="e">
        <f>AND('Planilla_General_03-12-2012_9_3'!E2640,"AAAAAHym7/U=")</f>
        <v>#VALUE!</v>
      </c>
      <c r="IM165" t="e">
        <f>AND('Planilla_General_03-12-2012_9_3'!F2640,"AAAAAHym7/Y=")</f>
        <v>#VALUE!</v>
      </c>
      <c r="IN165" t="e">
        <f>AND('Planilla_General_03-12-2012_9_3'!G2640,"AAAAAHym7/c=")</f>
        <v>#VALUE!</v>
      </c>
      <c r="IO165" t="e">
        <f>AND('Planilla_General_03-12-2012_9_3'!H2640,"AAAAAHym7/g=")</f>
        <v>#VALUE!</v>
      </c>
      <c r="IP165" t="e">
        <f>AND('Planilla_General_03-12-2012_9_3'!I2640,"AAAAAHym7/k=")</f>
        <v>#VALUE!</v>
      </c>
      <c r="IQ165" t="e">
        <f>AND('Planilla_General_03-12-2012_9_3'!J2640,"AAAAAHym7/o=")</f>
        <v>#VALUE!</v>
      </c>
      <c r="IR165" t="e">
        <f>AND('Planilla_General_03-12-2012_9_3'!K2640,"AAAAAHym7/s=")</f>
        <v>#VALUE!</v>
      </c>
      <c r="IS165" t="e">
        <f>AND('Planilla_General_03-12-2012_9_3'!L2640,"AAAAAHym7/w=")</f>
        <v>#VALUE!</v>
      </c>
      <c r="IT165" t="e">
        <f>AND('Planilla_General_03-12-2012_9_3'!M2640,"AAAAAHym7/0=")</f>
        <v>#VALUE!</v>
      </c>
      <c r="IU165" t="e">
        <f>AND('Planilla_General_03-12-2012_9_3'!N2640,"AAAAAHym7/4=")</f>
        <v>#VALUE!</v>
      </c>
      <c r="IV165" t="e">
        <f>AND('Planilla_General_03-12-2012_9_3'!O2640,"AAAAAHym7/8=")</f>
        <v>#VALUE!</v>
      </c>
    </row>
    <row r="166" spans="1:256" x14ac:dyDescent="0.25">
      <c r="A166" t="e">
        <f>IF('Planilla_General_03-12-2012_9_3'!2641:2641,"AAAAAG/tvwA=",0)</f>
        <v>#VALUE!</v>
      </c>
      <c r="B166" t="e">
        <f>AND('Planilla_General_03-12-2012_9_3'!A2641,"AAAAAG/tvwE=")</f>
        <v>#VALUE!</v>
      </c>
      <c r="C166" t="e">
        <f>AND('Planilla_General_03-12-2012_9_3'!B2641,"AAAAAG/tvwI=")</f>
        <v>#VALUE!</v>
      </c>
      <c r="D166" t="e">
        <f>AND('Planilla_General_03-12-2012_9_3'!C2641,"AAAAAG/tvwM=")</f>
        <v>#VALUE!</v>
      </c>
      <c r="E166" t="e">
        <f>AND('Planilla_General_03-12-2012_9_3'!D2641,"AAAAAG/tvwQ=")</f>
        <v>#VALUE!</v>
      </c>
      <c r="F166" t="e">
        <f>AND('Planilla_General_03-12-2012_9_3'!E2641,"AAAAAG/tvwU=")</f>
        <v>#VALUE!</v>
      </c>
      <c r="G166" t="e">
        <f>AND('Planilla_General_03-12-2012_9_3'!F2641,"AAAAAG/tvwY=")</f>
        <v>#VALUE!</v>
      </c>
      <c r="H166" t="e">
        <f>AND('Planilla_General_03-12-2012_9_3'!G2641,"AAAAAG/tvwc=")</f>
        <v>#VALUE!</v>
      </c>
      <c r="I166" t="e">
        <f>AND('Planilla_General_03-12-2012_9_3'!H2641,"AAAAAG/tvwg=")</f>
        <v>#VALUE!</v>
      </c>
      <c r="J166" t="e">
        <f>AND('Planilla_General_03-12-2012_9_3'!I2641,"AAAAAG/tvwk=")</f>
        <v>#VALUE!</v>
      </c>
      <c r="K166" t="e">
        <f>AND('Planilla_General_03-12-2012_9_3'!J2641,"AAAAAG/tvwo=")</f>
        <v>#VALUE!</v>
      </c>
      <c r="L166" t="e">
        <f>AND('Planilla_General_03-12-2012_9_3'!K2641,"AAAAAG/tvws=")</f>
        <v>#VALUE!</v>
      </c>
      <c r="M166" t="e">
        <f>AND('Planilla_General_03-12-2012_9_3'!L2641,"AAAAAG/tvww=")</f>
        <v>#VALUE!</v>
      </c>
      <c r="N166" t="e">
        <f>AND('Planilla_General_03-12-2012_9_3'!M2641,"AAAAAG/tvw0=")</f>
        <v>#VALUE!</v>
      </c>
      <c r="O166" t="e">
        <f>AND('Planilla_General_03-12-2012_9_3'!N2641,"AAAAAG/tvw4=")</f>
        <v>#VALUE!</v>
      </c>
      <c r="P166" t="e">
        <f>AND('Planilla_General_03-12-2012_9_3'!O2641,"AAAAAG/tvw8=")</f>
        <v>#VALUE!</v>
      </c>
      <c r="Q166">
        <f>IF('Planilla_General_03-12-2012_9_3'!2642:2642,"AAAAAG/tvxA=",0)</f>
        <v>0</v>
      </c>
      <c r="R166" t="e">
        <f>AND('Planilla_General_03-12-2012_9_3'!A2642,"AAAAAG/tvxE=")</f>
        <v>#VALUE!</v>
      </c>
      <c r="S166" t="e">
        <f>AND('Planilla_General_03-12-2012_9_3'!B2642,"AAAAAG/tvxI=")</f>
        <v>#VALUE!</v>
      </c>
      <c r="T166" t="e">
        <f>AND('Planilla_General_03-12-2012_9_3'!C2642,"AAAAAG/tvxM=")</f>
        <v>#VALUE!</v>
      </c>
      <c r="U166" t="e">
        <f>AND('Planilla_General_03-12-2012_9_3'!D2642,"AAAAAG/tvxQ=")</f>
        <v>#VALUE!</v>
      </c>
      <c r="V166" t="e">
        <f>AND('Planilla_General_03-12-2012_9_3'!E2642,"AAAAAG/tvxU=")</f>
        <v>#VALUE!</v>
      </c>
      <c r="W166" t="e">
        <f>AND('Planilla_General_03-12-2012_9_3'!F2642,"AAAAAG/tvxY=")</f>
        <v>#VALUE!</v>
      </c>
      <c r="X166" t="e">
        <f>AND('Planilla_General_03-12-2012_9_3'!G2642,"AAAAAG/tvxc=")</f>
        <v>#VALUE!</v>
      </c>
      <c r="Y166" t="e">
        <f>AND('Planilla_General_03-12-2012_9_3'!H2642,"AAAAAG/tvxg=")</f>
        <v>#VALUE!</v>
      </c>
      <c r="Z166" t="e">
        <f>AND('Planilla_General_03-12-2012_9_3'!I2642,"AAAAAG/tvxk=")</f>
        <v>#VALUE!</v>
      </c>
      <c r="AA166" t="e">
        <f>AND('Planilla_General_03-12-2012_9_3'!J2642,"AAAAAG/tvxo=")</f>
        <v>#VALUE!</v>
      </c>
      <c r="AB166" t="e">
        <f>AND('Planilla_General_03-12-2012_9_3'!K2642,"AAAAAG/tvxs=")</f>
        <v>#VALUE!</v>
      </c>
      <c r="AC166" t="e">
        <f>AND('Planilla_General_03-12-2012_9_3'!L2642,"AAAAAG/tvxw=")</f>
        <v>#VALUE!</v>
      </c>
      <c r="AD166" t="e">
        <f>AND('Planilla_General_03-12-2012_9_3'!M2642,"AAAAAG/tvx0=")</f>
        <v>#VALUE!</v>
      </c>
      <c r="AE166" t="e">
        <f>AND('Planilla_General_03-12-2012_9_3'!N2642,"AAAAAG/tvx4=")</f>
        <v>#VALUE!</v>
      </c>
      <c r="AF166" t="e">
        <f>AND('Planilla_General_03-12-2012_9_3'!O2642,"AAAAAG/tvx8=")</f>
        <v>#VALUE!</v>
      </c>
      <c r="AG166">
        <f>IF('Planilla_General_03-12-2012_9_3'!2643:2643,"AAAAAG/tvyA=",0)</f>
        <v>0</v>
      </c>
      <c r="AH166" t="e">
        <f>AND('Planilla_General_03-12-2012_9_3'!A2643,"AAAAAG/tvyE=")</f>
        <v>#VALUE!</v>
      </c>
      <c r="AI166" t="e">
        <f>AND('Planilla_General_03-12-2012_9_3'!B2643,"AAAAAG/tvyI=")</f>
        <v>#VALUE!</v>
      </c>
      <c r="AJ166" t="e">
        <f>AND('Planilla_General_03-12-2012_9_3'!C2643,"AAAAAG/tvyM=")</f>
        <v>#VALUE!</v>
      </c>
      <c r="AK166" t="e">
        <f>AND('Planilla_General_03-12-2012_9_3'!D2643,"AAAAAG/tvyQ=")</f>
        <v>#VALUE!</v>
      </c>
      <c r="AL166" t="e">
        <f>AND('Planilla_General_03-12-2012_9_3'!E2643,"AAAAAG/tvyU=")</f>
        <v>#VALUE!</v>
      </c>
      <c r="AM166" t="e">
        <f>AND('Planilla_General_03-12-2012_9_3'!F2643,"AAAAAG/tvyY=")</f>
        <v>#VALUE!</v>
      </c>
      <c r="AN166" t="e">
        <f>AND('Planilla_General_03-12-2012_9_3'!G2643,"AAAAAG/tvyc=")</f>
        <v>#VALUE!</v>
      </c>
      <c r="AO166" t="e">
        <f>AND('Planilla_General_03-12-2012_9_3'!H2643,"AAAAAG/tvyg=")</f>
        <v>#VALUE!</v>
      </c>
      <c r="AP166" t="e">
        <f>AND('Planilla_General_03-12-2012_9_3'!I2643,"AAAAAG/tvyk=")</f>
        <v>#VALUE!</v>
      </c>
      <c r="AQ166" t="e">
        <f>AND('Planilla_General_03-12-2012_9_3'!J2643,"AAAAAG/tvyo=")</f>
        <v>#VALUE!</v>
      </c>
      <c r="AR166" t="e">
        <f>AND('Planilla_General_03-12-2012_9_3'!K2643,"AAAAAG/tvys=")</f>
        <v>#VALUE!</v>
      </c>
      <c r="AS166" t="e">
        <f>AND('Planilla_General_03-12-2012_9_3'!L2643,"AAAAAG/tvyw=")</f>
        <v>#VALUE!</v>
      </c>
      <c r="AT166" t="e">
        <f>AND('Planilla_General_03-12-2012_9_3'!M2643,"AAAAAG/tvy0=")</f>
        <v>#VALUE!</v>
      </c>
      <c r="AU166" t="e">
        <f>AND('Planilla_General_03-12-2012_9_3'!N2643,"AAAAAG/tvy4=")</f>
        <v>#VALUE!</v>
      </c>
      <c r="AV166" t="e">
        <f>AND('Planilla_General_03-12-2012_9_3'!O2643,"AAAAAG/tvy8=")</f>
        <v>#VALUE!</v>
      </c>
      <c r="AW166">
        <f>IF('Planilla_General_03-12-2012_9_3'!2644:2644,"AAAAAG/tvzA=",0)</f>
        <v>0</v>
      </c>
      <c r="AX166" t="e">
        <f>AND('Planilla_General_03-12-2012_9_3'!A2644,"AAAAAG/tvzE=")</f>
        <v>#VALUE!</v>
      </c>
      <c r="AY166" t="e">
        <f>AND('Planilla_General_03-12-2012_9_3'!B2644,"AAAAAG/tvzI=")</f>
        <v>#VALUE!</v>
      </c>
      <c r="AZ166" t="e">
        <f>AND('Planilla_General_03-12-2012_9_3'!C2644,"AAAAAG/tvzM=")</f>
        <v>#VALUE!</v>
      </c>
      <c r="BA166" t="e">
        <f>AND('Planilla_General_03-12-2012_9_3'!D2644,"AAAAAG/tvzQ=")</f>
        <v>#VALUE!</v>
      </c>
      <c r="BB166" t="e">
        <f>AND('Planilla_General_03-12-2012_9_3'!E2644,"AAAAAG/tvzU=")</f>
        <v>#VALUE!</v>
      </c>
      <c r="BC166" t="e">
        <f>AND('Planilla_General_03-12-2012_9_3'!F2644,"AAAAAG/tvzY=")</f>
        <v>#VALUE!</v>
      </c>
      <c r="BD166" t="e">
        <f>AND('Planilla_General_03-12-2012_9_3'!G2644,"AAAAAG/tvzc=")</f>
        <v>#VALUE!</v>
      </c>
      <c r="BE166" t="e">
        <f>AND('Planilla_General_03-12-2012_9_3'!H2644,"AAAAAG/tvzg=")</f>
        <v>#VALUE!</v>
      </c>
      <c r="BF166" t="e">
        <f>AND('Planilla_General_03-12-2012_9_3'!I2644,"AAAAAG/tvzk=")</f>
        <v>#VALUE!</v>
      </c>
      <c r="BG166" t="e">
        <f>AND('Planilla_General_03-12-2012_9_3'!J2644,"AAAAAG/tvzo=")</f>
        <v>#VALUE!</v>
      </c>
      <c r="BH166" t="e">
        <f>AND('Planilla_General_03-12-2012_9_3'!K2644,"AAAAAG/tvzs=")</f>
        <v>#VALUE!</v>
      </c>
      <c r="BI166" t="e">
        <f>AND('Planilla_General_03-12-2012_9_3'!L2644,"AAAAAG/tvzw=")</f>
        <v>#VALUE!</v>
      </c>
      <c r="BJ166" t="e">
        <f>AND('Planilla_General_03-12-2012_9_3'!M2644,"AAAAAG/tvz0=")</f>
        <v>#VALUE!</v>
      </c>
      <c r="BK166" t="e">
        <f>AND('Planilla_General_03-12-2012_9_3'!N2644,"AAAAAG/tvz4=")</f>
        <v>#VALUE!</v>
      </c>
      <c r="BL166" t="e">
        <f>AND('Planilla_General_03-12-2012_9_3'!O2644,"AAAAAG/tvz8=")</f>
        <v>#VALUE!</v>
      </c>
      <c r="BM166">
        <f>IF('Planilla_General_03-12-2012_9_3'!2645:2645,"AAAAAG/tv0A=",0)</f>
        <v>0</v>
      </c>
      <c r="BN166" t="e">
        <f>AND('Planilla_General_03-12-2012_9_3'!A2645,"AAAAAG/tv0E=")</f>
        <v>#VALUE!</v>
      </c>
      <c r="BO166" t="e">
        <f>AND('Planilla_General_03-12-2012_9_3'!B2645,"AAAAAG/tv0I=")</f>
        <v>#VALUE!</v>
      </c>
      <c r="BP166" t="e">
        <f>AND('Planilla_General_03-12-2012_9_3'!C2645,"AAAAAG/tv0M=")</f>
        <v>#VALUE!</v>
      </c>
      <c r="BQ166" t="e">
        <f>AND('Planilla_General_03-12-2012_9_3'!D2645,"AAAAAG/tv0Q=")</f>
        <v>#VALUE!</v>
      </c>
      <c r="BR166" t="e">
        <f>AND('Planilla_General_03-12-2012_9_3'!E2645,"AAAAAG/tv0U=")</f>
        <v>#VALUE!</v>
      </c>
      <c r="BS166" t="e">
        <f>AND('Planilla_General_03-12-2012_9_3'!F2645,"AAAAAG/tv0Y=")</f>
        <v>#VALUE!</v>
      </c>
      <c r="BT166" t="e">
        <f>AND('Planilla_General_03-12-2012_9_3'!G2645,"AAAAAG/tv0c=")</f>
        <v>#VALUE!</v>
      </c>
      <c r="BU166" t="e">
        <f>AND('Planilla_General_03-12-2012_9_3'!H2645,"AAAAAG/tv0g=")</f>
        <v>#VALUE!</v>
      </c>
      <c r="BV166" t="e">
        <f>AND('Planilla_General_03-12-2012_9_3'!I2645,"AAAAAG/tv0k=")</f>
        <v>#VALUE!</v>
      </c>
      <c r="BW166" t="e">
        <f>AND('Planilla_General_03-12-2012_9_3'!J2645,"AAAAAG/tv0o=")</f>
        <v>#VALUE!</v>
      </c>
      <c r="BX166" t="e">
        <f>AND('Planilla_General_03-12-2012_9_3'!K2645,"AAAAAG/tv0s=")</f>
        <v>#VALUE!</v>
      </c>
      <c r="BY166" t="e">
        <f>AND('Planilla_General_03-12-2012_9_3'!L2645,"AAAAAG/tv0w=")</f>
        <v>#VALUE!</v>
      </c>
      <c r="BZ166" t="e">
        <f>AND('Planilla_General_03-12-2012_9_3'!M2645,"AAAAAG/tv00=")</f>
        <v>#VALUE!</v>
      </c>
      <c r="CA166" t="e">
        <f>AND('Planilla_General_03-12-2012_9_3'!N2645,"AAAAAG/tv04=")</f>
        <v>#VALUE!</v>
      </c>
      <c r="CB166" t="e">
        <f>AND('Planilla_General_03-12-2012_9_3'!O2645,"AAAAAG/tv08=")</f>
        <v>#VALUE!</v>
      </c>
      <c r="CC166">
        <f>IF('Planilla_General_03-12-2012_9_3'!2646:2646,"AAAAAG/tv1A=",0)</f>
        <v>0</v>
      </c>
      <c r="CD166" t="e">
        <f>AND('Planilla_General_03-12-2012_9_3'!A2646,"AAAAAG/tv1E=")</f>
        <v>#VALUE!</v>
      </c>
      <c r="CE166" t="e">
        <f>AND('Planilla_General_03-12-2012_9_3'!B2646,"AAAAAG/tv1I=")</f>
        <v>#VALUE!</v>
      </c>
      <c r="CF166" t="e">
        <f>AND('Planilla_General_03-12-2012_9_3'!C2646,"AAAAAG/tv1M=")</f>
        <v>#VALUE!</v>
      </c>
      <c r="CG166" t="e">
        <f>AND('Planilla_General_03-12-2012_9_3'!D2646,"AAAAAG/tv1Q=")</f>
        <v>#VALUE!</v>
      </c>
      <c r="CH166" t="e">
        <f>AND('Planilla_General_03-12-2012_9_3'!E2646,"AAAAAG/tv1U=")</f>
        <v>#VALUE!</v>
      </c>
      <c r="CI166" t="e">
        <f>AND('Planilla_General_03-12-2012_9_3'!F2646,"AAAAAG/tv1Y=")</f>
        <v>#VALUE!</v>
      </c>
      <c r="CJ166" t="e">
        <f>AND('Planilla_General_03-12-2012_9_3'!G2646,"AAAAAG/tv1c=")</f>
        <v>#VALUE!</v>
      </c>
      <c r="CK166" t="e">
        <f>AND('Planilla_General_03-12-2012_9_3'!H2646,"AAAAAG/tv1g=")</f>
        <v>#VALUE!</v>
      </c>
      <c r="CL166" t="e">
        <f>AND('Planilla_General_03-12-2012_9_3'!I2646,"AAAAAG/tv1k=")</f>
        <v>#VALUE!</v>
      </c>
      <c r="CM166" t="e">
        <f>AND('Planilla_General_03-12-2012_9_3'!J2646,"AAAAAG/tv1o=")</f>
        <v>#VALUE!</v>
      </c>
      <c r="CN166" t="e">
        <f>AND('Planilla_General_03-12-2012_9_3'!K2646,"AAAAAG/tv1s=")</f>
        <v>#VALUE!</v>
      </c>
      <c r="CO166" t="e">
        <f>AND('Planilla_General_03-12-2012_9_3'!L2646,"AAAAAG/tv1w=")</f>
        <v>#VALUE!</v>
      </c>
      <c r="CP166" t="e">
        <f>AND('Planilla_General_03-12-2012_9_3'!M2646,"AAAAAG/tv10=")</f>
        <v>#VALUE!</v>
      </c>
      <c r="CQ166" t="e">
        <f>AND('Planilla_General_03-12-2012_9_3'!N2646,"AAAAAG/tv14=")</f>
        <v>#VALUE!</v>
      </c>
      <c r="CR166" t="e">
        <f>AND('Planilla_General_03-12-2012_9_3'!O2646,"AAAAAG/tv18=")</f>
        <v>#VALUE!</v>
      </c>
      <c r="CS166">
        <f>IF('Planilla_General_03-12-2012_9_3'!2647:2647,"AAAAAG/tv2A=",0)</f>
        <v>0</v>
      </c>
      <c r="CT166" t="e">
        <f>AND('Planilla_General_03-12-2012_9_3'!A2647,"AAAAAG/tv2E=")</f>
        <v>#VALUE!</v>
      </c>
      <c r="CU166" t="e">
        <f>AND('Planilla_General_03-12-2012_9_3'!B2647,"AAAAAG/tv2I=")</f>
        <v>#VALUE!</v>
      </c>
      <c r="CV166" t="e">
        <f>AND('Planilla_General_03-12-2012_9_3'!C2647,"AAAAAG/tv2M=")</f>
        <v>#VALUE!</v>
      </c>
      <c r="CW166" t="e">
        <f>AND('Planilla_General_03-12-2012_9_3'!D2647,"AAAAAG/tv2Q=")</f>
        <v>#VALUE!</v>
      </c>
      <c r="CX166" t="e">
        <f>AND('Planilla_General_03-12-2012_9_3'!E2647,"AAAAAG/tv2U=")</f>
        <v>#VALUE!</v>
      </c>
      <c r="CY166" t="e">
        <f>AND('Planilla_General_03-12-2012_9_3'!F2647,"AAAAAG/tv2Y=")</f>
        <v>#VALUE!</v>
      </c>
      <c r="CZ166" t="e">
        <f>AND('Planilla_General_03-12-2012_9_3'!G2647,"AAAAAG/tv2c=")</f>
        <v>#VALUE!</v>
      </c>
      <c r="DA166" t="e">
        <f>AND('Planilla_General_03-12-2012_9_3'!H2647,"AAAAAG/tv2g=")</f>
        <v>#VALUE!</v>
      </c>
      <c r="DB166" t="e">
        <f>AND('Planilla_General_03-12-2012_9_3'!I2647,"AAAAAG/tv2k=")</f>
        <v>#VALUE!</v>
      </c>
      <c r="DC166" t="e">
        <f>AND('Planilla_General_03-12-2012_9_3'!J2647,"AAAAAG/tv2o=")</f>
        <v>#VALUE!</v>
      </c>
      <c r="DD166" t="e">
        <f>AND('Planilla_General_03-12-2012_9_3'!K2647,"AAAAAG/tv2s=")</f>
        <v>#VALUE!</v>
      </c>
      <c r="DE166" t="e">
        <f>AND('Planilla_General_03-12-2012_9_3'!L2647,"AAAAAG/tv2w=")</f>
        <v>#VALUE!</v>
      </c>
      <c r="DF166" t="e">
        <f>AND('Planilla_General_03-12-2012_9_3'!M2647,"AAAAAG/tv20=")</f>
        <v>#VALUE!</v>
      </c>
      <c r="DG166" t="e">
        <f>AND('Planilla_General_03-12-2012_9_3'!N2647,"AAAAAG/tv24=")</f>
        <v>#VALUE!</v>
      </c>
      <c r="DH166" t="e">
        <f>AND('Planilla_General_03-12-2012_9_3'!O2647,"AAAAAG/tv28=")</f>
        <v>#VALUE!</v>
      </c>
      <c r="DI166">
        <f>IF('Planilla_General_03-12-2012_9_3'!2648:2648,"AAAAAG/tv3A=",0)</f>
        <v>0</v>
      </c>
      <c r="DJ166" t="e">
        <f>AND('Planilla_General_03-12-2012_9_3'!A2648,"AAAAAG/tv3E=")</f>
        <v>#VALUE!</v>
      </c>
      <c r="DK166" t="e">
        <f>AND('Planilla_General_03-12-2012_9_3'!B2648,"AAAAAG/tv3I=")</f>
        <v>#VALUE!</v>
      </c>
      <c r="DL166" t="e">
        <f>AND('Planilla_General_03-12-2012_9_3'!C2648,"AAAAAG/tv3M=")</f>
        <v>#VALUE!</v>
      </c>
      <c r="DM166" t="e">
        <f>AND('Planilla_General_03-12-2012_9_3'!D2648,"AAAAAG/tv3Q=")</f>
        <v>#VALUE!</v>
      </c>
      <c r="DN166" t="e">
        <f>AND('Planilla_General_03-12-2012_9_3'!E2648,"AAAAAG/tv3U=")</f>
        <v>#VALUE!</v>
      </c>
      <c r="DO166" t="e">
        <f>AND('Planilla_General_03-12-2012_9_3'!F2648,"AAAAAG/tv3Y=")</f>
        <v>#VALUE!</v>
      </c>
      <c r="DP166" t="e">
        <f>AND('Planilla_General_03-12-2012_9_3'!G2648,"AAAAAG/tv3c=")</f>
        <v>#VALUE!</v>
      </c>
      <c r="DQ166" t="e">
        <f>AND('Planilla_General_03-12-2012_9_3'!H2648,"AAAAAG/tv3g=")</f>
        <v>#VALUE!</v>
      </c>
      <c r="DR166" t="e">
        <f>AND('Planilla_General_03-12-2012_9_3'!I2648,"AAAAAG/tv3k=")</f>
        <v>#VALUE!</v>
      </c>
      <c r="DS166" t="e">
        <f>AND('Planilla_General_03-12-2012_9_3'!J2648,"AAAAAG/tv3o=")</f>
        <v>#VALUE!</v>
      </c>
      <c r="DT166" t="e">
        <f>AND('Planilla_General_03-12-2012_9_3'!K2648,"AAAAAG/tv3s=")</f>
        <v>#VALUE!</v>
      </c>
      <c r="DU166" t="e">
        <f>AND('Planilla_General_03-12-2012_9_3'!L2648,"AAAAAG/tv3w=")</f>
        <v>#VALUE!</v>
      </c>
      <c r="DV166" t="e">
        <f>AND('Planilla_General_03-12-2012_9_3'!M2648,"AAAAAG/tv30=")</f>
        <v>#VALUE!</v>
      </c>
      <c r="DW166" t="e">
        <f>AND('Planilla_General_03-12-2012_9_3'!N2648,"AAAAAG/tv34=")</f>
        <v>#VALUE!</v>
      </c>
      <c r="DX166" t="e">
        <f>AND('Planilla_General_03-12-2012_9_3'!O2648,"AAAAAG/tv38=")</f>
        <v>#VALUE!</v>
      </c>
      <c r="DY166">
        <f>IF('Planilla_General_03-12-2012_9_3'!2649:2649,"AAAAAG/tv4A=",0)</f>
        <v>0</v>
      </c>
      <c r="DZ166" t="e">
        <f>AND('Planilla_General_03-12-2012_9_3'!A2649,"AAAAAG/tv4E=")</f>
        <v>#VALUE!</v>
      </c>
      <c r="EA166" t="e">
        <f>AND('Planilla_General_03-12-2012_9_3'!B2649,"AAAAAG/tv4I=")</f>
        <v>#VALUE!</v>
      </c>
      <c r="EB166" t="e">
        <f>AND('Planilla_General_03-12-2012_9_3'!C2649,"AAAAAG/tv4M=")</f>
        <v>#VALUE!</v>
      </c>
      <c r="EC166" t="e">
        <f>AND('Planilla_General_03-12-2012_9_3'!D2649,"AAAAAG/tv4Q=")</f>
        <v>#VALUE!</v>
      </c>
      <c r="ED166" t="e">
        <f>AND('Planilla_General_03-12-2012_9_3'!E2649,"AAAAAG/tv4U=")</f>
        <v>#VALUE!</v>
      </c>
      <c r="EE166" t="e">
        <f>AND('Planilla_General_03-12-2012_9_3'!F2649,"AAAAAG/tv4Y=")</f>
        <v>#VALUE!</v>
      </c>
      <c r="EF166" t="e">
        <f>AND('Planilla_General_03-12-2012_9_3'!G2649,"AAAAAG/tv4c=")</f>
        <v>#VALUE!</v>
      </c>
      <c r="EG166" t="e">
        <f>AND('Planilla_General_03-12-2012_9_3'!H2649,"AAAAAG/tv4g=")</f>
        <v>#VALUE!</v>
      </c>
      <c r="EH166" t="e">
        <f>AND('Planilla_General_03-12-2012_9_3'!I2649,"AAAAAG/tv4k=")</f>
        <v>#VALUE!</v>
      </c>
      <c r="EI166" t="e">
        <f>AND('Planilla_General_03-12-2012_9_3'!J2649,"AAAAAG/tv4o=")</f>
        <v>#VALUE!</v>
      </c>
      <c r="EJ166" t="e">
        <f>AND('Planilla_General_03-12-2012_9_3'!K2649,"AAAAAG/tv4s=")</f>
        <v>#VALUE!</v>
      </c>
      <c r="EK166" t="e">
        <f>AND('Planilla_General_03-12-2012_9_3'!L2649,"AAAAAG/tv4w=")</f>
        <v>#VALUE!</v>
      </c>
      <c r="EL166" t="e">
        <f>AND('Planilla_General_03-12-2012_9_3'!M2649,"AAAAAG/tv40=")</f>
        <v>#VALUE!</v>
      </c>
      <c r="EM166" t="e">
        <f>AND('Planilla_General_03-12-2012_9_3'!N2649,"AAAAAG/tv44=")</f>
        <v>#VALUE!</v>
      </c>
      <c r="EN166" t="e">
        <f>AND('Planilla_General_03-12-2012_9_3'!O2649,"AAAAAG/tv48=")</f>
        <v>#VALUE!</v>
      </c>
      <c r="EO166">
        <f>IF('Planilla_General_03-12-2012_9_3'!2650:2650,"AAAAAG/tv5A=",0)</f>
        <v>0</v>
      </c>
      <c r="EP166" t="e">
        <f>AND('Planilla_General_03-12-2012_9_3'!A2650,"AAAAAG/tv5E=")</f>
        <v>#VALUE!</v>
      </c>
      <c r="EQ166" t="e">
        <f>AND('Planilla_General_03-12-2012_9_3'!B2650,"AAAAAG/tv5I=")</f>
        <v>#VALUE!</v>
      </c>
      <c r="ER166" t="e">
        <f>AND('Planilla_General_03-12-2012_9_3'!C2650,"AAAAAG/tv5M=")</f>
        <v>#VALUE!</v>
      </c>
      <c r="ES166" t="e">
        <f>AND('Planilla_General_03-12-2012_9_3'!D2650,"AAAAAG/tv5Q=")</f>
        <v>#VALUE!</v>
      </c>
      <c r="ET166" t="e">
        <f>AND('Planilla_General_03-12-2012_9_3'!E2650,"AAAAAG/tv5U=")</f>
        <v>#VALUE!</v>
      </c>
      <c r="EU166" t="e">
        <f>AND('Planilla_General_03-12-2012_9_3'!F2650,"AAAAAG/tv5Y=")</f>
        <v>#VALUE!</v>
      </c>
      <c r="EV166" t="e">
        <f>AND('Planilla_General_03-12-2012_9_3'!G2650,"AAAAAG/tv5c=")</f>
        <v>#VALUE!</v>
      </c>
      <c r="EW166" t="e">
        <f>AND('Planilla_General_03-12-2012_9_3'!H2650,"AAAAAG/tv5g=")</f>
        <v>#VALUE!</v>
      </c>
      <c r="EX166" t="e">
        <f>AND('Planilla_General_03-12-2012_9_3'!I2650,"AAAAAG/tv5k=")</f>
        <v>#VALUE!</v>
      </c>
      <c r="EY166" t="e">
        <f>AND('Planilla_General_03-12-2012_9_3'!J2650,"AAAAAG/tv5o=")</f>
        <v>#VALUE!</v>
      </c>
      <c r="EZ166" t="e">
        <f>AND('Planilla_General_03-12-2012_9_3'!K2650,"AAAAAG/tv5s=")</f>
        <v>#VALUE!</v>
      </c>
      <c r="FA166" t="e">
        <f>AND('Planilla_General_03-12-2012_9_3'!L2650,"AAAAAG/tv5w=")</f>
        <v>#VALUE!</v>
      </c>
      <c r="FB166" t="e">
        <f>AND('Planilla_General_03-12-2012_9_3'!M2650,"AAAAAG/tv50=")</f>
        <v>#VALUE!</v>
      </c>
      <c r="FC166" t="e">
        <f>AND('Planilla_General_03-12-2012_9_3'!N2650,"AAAAAG/tv54=")</f>
        <v>#VALUE!</v>
      </c>
      <c r="FD166" t="e">
        <f>AND('Planilla_General_03-12-2012_9_3'!O2650,"AAAAAG/tv58=")</f>
        <v>#VALUE!</v>
      </c>
      <c r="FE166">
        <f>IF('Planilla_General_03-12-2012_9_3'!2651:2651,"AAAAAG/tv6A=",0)</f>
        <v>0</v>
      </c>
      <c r="FF166" t="e">
        <f>AND('Planilla_General_03-12-2012_9_3'!A2651,"AAAAAG/tv6E=")</f>
        <v>#VALUE!</v>
      </c>
      <c r="FG166" t="e">
        <f>AND('Planilla_General_03-12-2012_9_3'!B2651,"AAAAAG/tv6I=")</f>
        <v>#VALUE!</v>
      </c>
      <c r="FH166" t="e">
        <f>AND('Planilla_General_03-12-2012_9_3'!C2651,"AAAAAG/tv6M=")</f>
        <v>#VALUE!</v>
      </c>
      <c r="FI166" t="e">
        <f>AND('Planilla_General_03-12-2012_9_3'!D2651,"AAAAAG/tv6Q=")</f>
        <v>#VALUE!</v>
      </c>
      <c r="FJ166" t="e">
        <f>AND('Planilla_General_03-12-2012_9_3'!E2651,"AAAAAG/tv6U=")</f>
        <v>#VALUE!</v>
      </c>
      <c r="FK166" t="e">
        <f>AND('Planilla_General_03-12-2012_9_3'!F2651,"AAAAAG/tv6Y=")</f>
        <v>#VALUE!</v>
      </c>
      <c r="FL166" t="e">
        <f>AND('Planilla_General_03-12-2012_9_3'!G2651,"AAAAAG/tv6c=")</f>
        <v>#VALUE!</v>
      </c>
      <c r="FM166" t="e">
        <f>AND('Planilla_General_03-12-2012_9_3'!H2651,"AAAAAG/tv6g=")</f>
        <v>#VALUE!</v>
      </c>
      <c r="FN166" t="e">
        <f>AND('Planilla_General_03-12-2012_9_3'!I2651,"AAAAAG/tv6k=")</f>
        <v>#VALUE!</v>
      </c>
      <c r="FO166" t="e">
        <f>AND('Planilla_General_03-12-2012_9_3'!J2651,"AAAAAG/tv6o=")</f>
        <v>#VALUE!</v>
      </c>
      <c r="FP166" t="e">
        <f>AND('Planilla_General_03-12-2012_9_3'!K2651,"AAAAAG/tv6s=")</f>
        <v>#VALUE!</v>
      </c>
      <c r="FQ166" t="e">
        <f>AND('Planilla_General_03-12-2012_9_3'!L2651,"AAAAAG/tv6w=")</f>
        <v>#VALUE!</v>
      </c>
      <c r="FR166" t="e">
        <f>AND('Planilla_General_03-12-2012_9_3'!M2651,"AAAAAG/tv60=")</f>
        <v>#VALUE!</v>
      </c>
      <c r="FS166" t="e">
        <f>AND('Planilla_General_03-12-2012_9_3'!N2651,"AAAAAG/tv64=")</f>
        <v>#VALUE!</v>
      </c>
      <c r="FT166" t="e">
        <f>AND('Planilla_General_03-12-2012_9_3'!O2651,"AAAAAG/tv68=")</f>
        <v>#VALUE!</v>
      </c>
      <c r="FU166">
        <f>IF('Planilla_General_03-12-2012_9_3'!2652:2652,"AAAAAG/tv7A=",0)</f>
        <v>0</v>
      </c>
      <c r="FV166" t="e">
        <f>AND('Planilla_General_03-12-2012_9_3'!A2652,"AAAAAG/tv7E=")</f>
        <v>#VALUE!</v>
      </c>
      <c r="FW166" t="e">
        <f>AND('Planilla_General_03-12-2012_9_3'!B2652,"AAAAAG/tv7I=")</f>
        <v>#VALUE!</v>
      </c>
      <c r="FX166" t="e">
        <f>AND('Planilla_General_03-12-2012_9_3'!C2652,"AAAAAG/tv7M=")</f>
        <v>#VALUE!</v>
      </c>
      <c r="FY166" t="e">
        <f>AND('Planilla_General_03-12-2012_9_3'!D2652,"AAAAAG/tv7Q=")</f>
        <v>#VALUE!</v>
      </c>
      <c r="FZ166" t="e">
        <f>AND('Planilla_General_03-12-2012_9_3'!E2652,"AAAAAG/tv7U=")</f>
        <v>#VALUE!</v>
      </c>
      <c r="GA166" t="e">
        <f>AND('Planilla_General_03-12-2012_9_3'!F2652,"AAAAAG/tv7Y=")</f>
        <v>#VALUE!</v>
      </c>
      <c r="GB166" t="e">
        <f>AND('Planilla_General_03-12-2012_9_3'!G2652,"AAAAAG/tv7c=")</f>
        <v>#VALUE!</v>
      </c>
      <c r="GC166" t="e">
        <f>AND('Planilla_General_03-12-2012_9_3'!H2652,"AAAAAG/tv7g=")</f>
        <v>#VALUE!</v>
      </c>
      <c r="GD166" t="e">
        <f>AND('Planilla_General_03-12-2012_9_3'!I2652,"AAAAAG/tv7k=")</f>
        <v>#VALUE!</v>
      </c>
      <c r="GE166" t="e">
        <f>AND('Planilla_General_03-12-2012_9_3'!J2652,"AAAAAG/tv7o=")</f>
        <v>#VALUE!</v>
      </c>
      <c r="GF166" t="e">
        <f>AND('Planilla_General_03-12-2012_9_3'!K2652,"AAAAAG/tv7s=")</f>
        <v>#VALUE!</v>
      </c>
      <c r="GG166" t="e">
        <f>AND('Planilla_General_03-12-2012_9_3'!L2652,"AAAAAG/tv7w=")</f>
        <v>#VALUE!</v>
      </c>
      <c r="GH166" t="e">
        <f>AND('Planilla_General_03-12-2012_9_3'!M2652,"AAAAAG/tv70=")</f>
        <v>#VALUE!</v>
      </c>
      <c r="GI166" t="e">
        <f>AND('Planilla_General_03-12-2012_9_3'!N2652,"AAAAAG/tv74=")</f>
        <v>#VALUE!</v>
      </c>
      <c r="GJ166" t="e">
        <f>AND('Planilla_General_03-12-2012_9_3'!O2652,"AAAAAG/tv78=")</f>
        <v>#VALUE!</v>
      </c>
      <c r="GK166">
        <f>IF('Planilla_General_03-12-2012_9_3'!2653:2653,"AAAAAG/tv8A=",0)</f>
        <v>0</v>
      </c>
      <c r="GL166" t="e">
        <f>AND('Planilla_General_03-12-2012_9_3'!A2653,"AAAAAG/tv8E=")</f>
        <v>#VALUE!</v>
      </c>
      <c r="GM166" t="e">
        <f>AND('Planilla_General_03-12-2012_9_3'!B2653,"AAAAAG/tv8I=")</f>
        <v>#VALUE!</v>
      </c>
      <c r="GN166" t="e">
        <f>AND('Planilla_General_03-12-2012_9_3'!C2653,"AAAAAG/tv8M=")</f>
        <v>#VALUE!</v>
      </c>
      <c r="GO166" t="e">
        <f>AND('Planilla_General_03-12-2012_9_3'!D2653,"AAAAAG/tv8Q=")</f>
        <v>#VALUE!</v>
      </c>
      <c r="GP166" t="e">
        <f>AND('Planilla_General_03-12-2012_9_3'!E2653,"AAAAAG/tv8U=")</f>
        <v>#VALUE!</v>
      </c>
      <c r="GQ166" t="e">
        <f>AND('Planilla_General_03-12-2012_9_3'!F2653,"AAAAAG/tv8Y=")</f>
        <v>#VALUE!</v>
      </c>
      <c r="GR166" t="e">
        <f>AND('Planilla_General_03-12-2012_9_3'!G2653,"AAAAAG/tv8c=")</f>
        <v>#VALUE!</v>
      </c>
      <c r="GS166" t="e">
        <f>AND('Planilla_General_03-12-2012_9_3'!H2653,"AAAAAG/tv8g=")</f>
        <v>#VALUE!</v>
      </c>
      <c r="GT166" t="e">
        <f>AND('Planilla_General_03-12-2012_9_3'!I2653,"AAAAAG/tv8k=")</f>
        <v>#VALUE!</v>
      </c>
      <c r="GU166" t="e">
        <f>AND('Planilla_General_03-12-2012_9_3'!J2653,"AAAAAG/tv8o=")</f>
        <v>#VALUE!</v>
      </c>
      <c r="GV166" t="e">
        <f>AND('Planilla_General_03-12-2012_9_3'!K2653,"AAAAAG/tv8s=")</f>
        <v>#VALUE!</v>
      </c>
      <c r="GW166" t="e">
        <f>AND('Planilla_General_03-12-2012_9_3'!L2653,"AAAAAG/tv8w=")</f>
        <v>#VALUE!</v>
      </c>
      <c r="GX166" t="e">
        <f>AND('Planilla_General_03-12-2012_9_3'!M2653,"AAAAAG/tv80=")</f>
        <v>#VALUE!</v>
      </c>
      <c r="GY166" t="e">
        <f>AND('Planilla_General_03-12-2012_9_3'!N2653,"AAAAAG/tv84=")</f>
        <v>#VALUE!</v>
      </c>
      <c r="GZ166" t="e">
        <f>AND('Planilla_General_03-12-2012_9_3'!O2653,"AAAAAG/tv88=")</f>
        <v>#VALUE!</v>
      </c>
      <c r="HA166">
        <f>IF('Planilla_General_03-12-2012_9_3'!2654:2654,"AAAAAG/tv9A=",0)</f>
        <v>0</v>
      </c>
      <c r="HB166" t="e">
        <f>AND('Planilla_General_03-12-2012_9_3'!A2654,"AAAAAG/tv9E=")</f>
        <v>#VALUE!</v>
      </c>
      <c r="HC166" t="e">
        <f>AND('Planilla_General_03-12-2012_9_3'!B2654,"AAAAAG/tv9I=")</f>
        <v>#VALUE!</v>
      </c>
      <c r="HD166" t="e">
        <f>AND('Planilla_General_03-12-2012_9_3'!C2654,"AAAAAG/tv9M=")</f>
        <v>#VALUE!</v>
      </c>
      <c r="HE166" t="e">
        <f>AND('Planilla_General_03-12-2012_9_3'!D2654,"AAAAAG/tv9Q=")</f>
        <v>#VALUE!</v>
      </c>
      <c r="HF166" t="e">
        <f>AND('Planilla_General_03-12-2012_9_3'!E2654,"AAAAAG/tv9U=")</f>
        <v>#VALUE!</v>
      </c>
      <c r="HG166" t="e">
        <f>AND('Planilla_General_03-12-2012_9_3'!F2654,"AAAAAG/tv9Y=")</f>
        <v>#VALUE!</v>
      </c>
      <c r="HH166" t="e">
        <f>AND('Planilla_General_03-12-2012_9_3'!G2654,"AAAAAG/tv9c=")</f>
        <v>#VALUE!</v>
      </c>
      <c r="HI166" t="e">
        <f>AND('Planilla_General_03-12-2012_9_3'!H2654,"AAAAAG/tv9g=")</f>
        <v>#VALUE!</v>
      </c>
      <c r="HJ166" t="e">
        <f>AND('Planilla_General_03-12-2012_9_3'!I2654,"AAAAAG/tv9k=")</f>
        <v>#VALUE!</v>
      </c>
      <c r="HK166" t="e">
        <f>AND('Planilla_General_03-12-2012_9_3'!J2654,"AAAAAG/tv9o=")</f>
        <v>#VALUE!</v>
      </c>
      <c r="HL166" t="e">
        <f>AND('Planilla_General_03-12-2012_9_3'!K2654,"AAAAAG/tv9s=")</f>
        <v>#VALUE!</v>
      </c>
      <c r="HM166" t="e">
        <f>AND('Planilla_General_03-12-2012_9_3'!L2654,"AAAAAG/tv9w=")</f>
        <v>#VALUE!</v>
      </c>
      <c r="HN166" t="e">
        <f>AND('Planilla_General_03-12-2012_9_3'!M2654,"AAAAAG/tv90=")</f>
        <v>#VALUE!</v>
      </c>
      <c r="HO166" t="e">
        <f>AND('Planilla_General_03-12-2012_9_3'!N2654,"AAAAAG/tv94=")</f>
        <v>#VALUE!</v>
      </c>
      <c r="HP166" t="e">
        <f>AND('Planilla_General_03-12-2012_9_3'!O2654,"AAAAAG/tv98=")</f>
        <v>#VALUE!</v>
      </c>
      <c r="HQ166">
        <f>IF('Planilla_General_03-12-2012_9_3'!2655:2655,"AAAAAG/tv+A=",0)</f>
        <v>0</v>
      </c>
      <c r="HR166" t="e">
        <f>AND('Planilla_General_03-12-2012_9_3'!A2655,"AAAAAG/tv+E=")</f>
        <v>#VALUE!</v>
      </c>
      <c r="HS166" t="e">
        <f>AND('Planilla_General_03-12-2012_9_3'!B2655,"AAAAAG/tv+I=")</f>
        <v>#VALUE!</v>
      </c>
      <c r="HT166" t="e">
        <f>AND('Planilla_General_03-12-2012_9_3'!C2655,"AAAAAG/tv+M=")</f>
        <v>#VALUE!</v>
      </c>
      <c r="HU166" t="e">
        <f>AND('Planilla_General_03-12-2012_9_3'!D2655,"AAAAAG/tv+Q=")</f>
        <v>#VALUE!</v>
      </c>
      <c r="HV166" t="e">
        <f>AND('Planilla_General_03-12-2012_9_3'!E2655,"AAAAAG/tv+U=")</f>
        <v>#VALUE!</v>
      </c>
      <c r="HW166" t="e">
        <f>AND('Planilla_General_03-12-2012_9_3'!F2655,"AAAAAG/tv+Y=")</f>
        <v>#VALUE!</v>
      </c>
      <c r="HX166" t="e">
        <f>AND('Planilla_General_03-12-2012_9_3'!G2655,"AAAAAG/tv+c=")</f>
        <v>#VALUE!</v>
      </c>
      <c r="HY166" t="e">
        <f>AND('Planilla_General_03-12-2012_9_3'!H2655,"AAAAAG/tv+g=")</f>
        <v>#VALUE!</v>
      </c>
      <c r="HZ166" t="e">
        <f>AND('Planilla_General_03-12-2012_9_3'!I2655,"AAAAAG/tv+k=")</f>
        <v>#VALUE!</v>
      </c>
      <c r="IA166" t="e">
        <f>AND('Planilla_General_03-12-2012_9_3'!J2655,"AAAAAG/tv+o=")</f>
        <v>#VALUE!</v>
      </c>
      <c r="IB166" t="e">
        <f>AND('Planilla_General_03-12-2012_9_3'!K2655,"AAAAAG/tv+s=")</f>
        <v>#VALUE!</v>
      </c>
      <c r="IC166" t="e">
        <f>AND('Planilla_General_03-12-2012_9_3'!L2655,"AAAAAG/tv+w=")</f>
        <v>#VALUE!</v>
      </c>
      <c r="ID166" t="e">
        <f>AND('Planilla_General_03-12-2012_9_3'!M2655,"AAAAAG/tv+0=")</f>
        <v>#VALUE!</v>
      </c>
      <c r="IE166" t="e">
        <f>AND('Planilla_General_03-12-2012_9_3'!N2655,"AAAAAG/tv+4=")</f>
        <v>#VALUE!</v>
      </c>
      <c r="IF166" t="e">
        <f>AND('Planilla_General_03-12-2012_9_3'!O2655,"AAAAAG/tv+8=")</f>
        <v>#VALUE!</v>
      </c>
      <c r="IG166">
        <f>IF('Planilla_General_03-12-2012_9_3'!2656:2656,"AAAAAG/tv/A=",0)</f>
        <v>0</v>
      </c>
      <c r="IH166" t="e">
        <f>AND('Planilla_General_03-12-2012_9_3'!A2656,"AAAAAG/tv/E=")</f>
        <v>#VALUE!</v>
      </c>
      <c r="II166" t="e">
        <f>AND('Planilla_General_03-12-2012_9_3'!B2656,"AAAAAG/tv/I=")</f>
        <v>#VALUE!</v>
      </c>
      <c r="IJ166" t="e">
        <f>AND('Planilla_General_03-12-2012_9_3'!C2656,"AAAAAG/tv/M=")</f>
        <v>#VALUE!</v>
      </c>
      <c r="IK166" t="e">
        <f>AND('Planilla_General_03-12-2012_9_3'!D2656,"AAAAAG/tv/Q=")</f>
        <v>#VALUE!</v>
      </c>
      <c r="IL166" t="e">
        <f>AND('Planilla_General_03-12-2012_9_3'!E2656,"AAAAAG/tv/U=")</f>
        <v>#VALUE!</v>
      </c>
      <c r="IM166" t="e">
        <f>AND('Planilla_General_03-12-2012_9_3'!F2656,"AAAAAG/tv/Y=")</f>
        <v>#VALUE!</v>
      </c>
      <c r="IN166" t="e">
        <f>AND('Planilla_General_03-12-2012_9_3'!G2656,"AAAAAG/tv/c=")</f>
        <v>#VALUE!</v>
      </c>
      <c r="IO166" t="e">
        <f>AND('Planilla_General_03-12-2012_9_3'!H2656,"AAAAAG/tv/g=")</f>
        <v>#VALUE!</v>
      </c>
      <c r="IP166" t="e">
        <f>AND('Planilla_General_03-12-2012_9_3'!I2656,"AAAAAG/tv/k=")</f>
        <v>#VALUE!</v>
      </c>
      <c r="IQ166" t="e">
        <f>AND('Planilla_General_03-12-2012_9_3'!J2656,"AAAAAG/tv/o=")</f>
        <v>#VALUE!</v>
      </c>
      <c r="IR166" t="e">
        <f>AND('Planilla_General_03-12-2012_9_3'!K2656,"AAAAAG/tv/s=")</f>
        <v>#VALUE!</v>
      </c>
      <c r="IS166" t="e">
        <f>AND('Planilla_General_03-12-2012_9_3'!L2656,"AAAAAG/tv/w=")</f>
        <v>#VALUE!</v>
      </c>
      <c r="IT166" t="e">
        <f>AND('Planilla_General_03-12-2012_9_3'!M2656,"AAAAAG/tv/0=")</f>
        <v>#VALUE!</v>
      </c>
      <c r="IU166" t="e">
        <f>AND('Planilla_General_03-12-2012_9_3'!N2656,"AAAAAG/tv/4=")</f>
        <v>#VALUE!</v>
      </c>
      <c r="IV166" t="e">
        <f>AND('Planilla_General_03-12-2012_9_3'!O2656,"AAAAAG/tv/8=")</f>
        <v>#VALUE!</v>
      </c>
    </row>
    <row r="167" spans="1:256" x14ac:dyDescent="0.25">
      <c r="A167" t="e">
        <f>IF('Planilla_General_03-12-2012_9_3'!2657:2657,"AAAAAHPJ/wA=",0)</f>
        <v>#VALUE!</v>
      </c>
      <c r="B167" t="e">
        <f>AND('Planilla_General_03-12-2012_9_3'!A2657,"AAAAAHPJ/wE=")</f>
        <v>#VALUE!</v>
      </c>
      <c r="C167" t="e">
        <f>AND('Planilla_General_03-12-2012_9_3'!B2657,"AAAAAHPJ/wI=")</f>
        <v>#VALUE!</v>
      </c>
      <c r="D167" t="e">
        <f>AND('Planilla_General_03-12-2012_9_3'!C2657,"AAAAAHPJ/wM=")</f>
        <v>#VALUE!</v>
      </c>
      <c r="E167" t="e">
        <f>AND('Planilla_General_03-12-2012_9_3'!D2657,"AAAAAHPJ/wQ=")</f>
        <v>#VALUE!</v>
      </c>
      <c r="F167" t="e">
        <f>AND('Planilla_General_03-12-2012_9_3'!E2657,"AAAAAHPJ/wU=")</f>
        <v>#VALUE!</v>
      </c>
      <c r="G167" t="e">
        <f>AND('Planilla_General_03-12-2012_9_3'!F2657,"AAAAAHPJ/wY=")</f>
        <v>#VALUE!</v>
      </c>
      <c r="H167" t="e">
        <f>AND('Planilla_General_03-12-2012_9_3'!G2657,"AAAAAHPJ/wc=")</f>
        <v>#VALUE!</v>
      </c>
      <c r="I167" t="e">
        <f>AND('Planilla_General_03-12-2012_9_3'!H2657,"AAAAAHPJ/wg=")</f>
        <v>#VALUE!</v>
      </c>
      <c r="J167" t="e">
        <f>AND('Planilla_General_03-12-2012_9_3'!I2657,"AAAAAHPJ/wk=")</f>
        <v>#VALUE!</v>
      </c>
      <c r="K167" t="e">
        <f>AND('Planilla_General_03-12-2012_9_3'!J2657,"AAAAAHPJ/wo=")</f>
        <v>#VALUE!</v>
      </c>
      <c r="L167" t="e">
        <f>AND('Planilla_General_03-12-2012_9_3'!K2657,"AAAAAHPJ/ws=")</f>
        <v>#VALUE!</v>
      </c>
      <c r="M167" t="e">
        <f>AND('Planilla_General_03-12-2012_9_3'!L2657,"AAAAAHPJ/ww=")</f>
        <v>#VALUE!</v>
      </c>
      <c r="N167" t="e">
        <f>AND('Planilla_General_03-12-2012_9_3'!M2657,"AAAAAHPJ/w0=")</f>
        <v>#VALUE!</v>
      </c>
      <c r="O167" t="e">
        <f>AND('Planilla_General_03-12-2012_9_3'!N2657,"AAAAAHPJ/w4=")</f>
        <v>#VALUE!</v>
      </c>
      <c r="P167" t="e">
        <f>AND('Planilla_General_03-12-2012_9_3'!O2657,"AAAAAHPJ/w8=")</f>
        <v>#VALUE!</v>
      </c>
      <c r="Q167">
        <f>IF('Planilla_General_03-12-2012_9_3'!2658:2658,"AAAAAHPJ/xA=",0)</f>
        <v>0</v>
      </c>
      <c r="R167" t="e">
        <f>AND('Planilla_General_03-12-2012_9_3'!A2658,"AAAAAHPJ/xE=")</f>
        <v>#VALUE!</v>
      </c>
      <c r="S167" t="e">
        <f>AND('Planilla_General_03-12-2012_9_3'!B2658,"AAAAAHPJ/xI=")</f>
        <v>#VALUE!</v>
      </c>
      <c r="T167" t="e">
        <f>AND('Planilla_General_03-12-2012_9_3'!C2658,"AAAAAHPJ/xM=")</f>
        <v>#VALUE!</v>
      </c>
      <c r="U167" t="e">
        <f>AND('Planilla_General_03-12-2012_9_3'!D2658,"AAAAAHPJ/xQ=")</f>
        <v>#VALUE!</v>
      </c>
      <c r="V167" t="e">
        <f>AND('Planilla_General_03-12-2012_9_3'!E2658,"AAAAAHPJ/xU=")</f>
        <v>#VALUE!</v>
      </c>
      <c r="W167" t="e">
        <f>AND('Planilla_General_03-12-2012_9_3'!F2658,"AAAAAHPJ/xY=")</f>
        <v>#VALUE!</v>
      </c>
      <c r="X167" t="e">
        <f>AND('Planilla_General_03-12-2012_9_3'!G2658,"AAAAAHPJ/xc=")</f>
        <v>#VALUE!</v>
      </c>
      <c r="Y167" t="e">
        <f>AND('Planilla_General_03-12-2012_9_3'!H2658,"AAAAAHPJ/xg=")</f>
        <v>#VALUE!</v>
      </c>
      <c r="Z167" t="e">
        <f>AND('Planilla_General_03-12-2012_9_3'!I2658,"AAAAAHPJ/xk=")</f>
        <v>#VALUE!</v>
      </c>
      <c r="AA167" t="e">
        <f>AND('Planilla_General_03-12-2012_9_3'!J2658,"AAAAAHPJ/xo=")</f>
        <v>#VALUE!</v>
      </c>
      <c r="AB167" t="e">
        <f>AND('Planilla_General_03-12-2012_9_3'!K2658,"AAAAAHPJ/xs=")</f>
        <v>#VALUE!</v>
      </c>
      <c r="AC167" t="e">
        <f>AND('Planilla_General_03-12-2012_9_3'!L2658,"AAAAAHPJ/xw=")</f>
        <v>#VALUE!</v>
      </c>
      <c r="AD167" t="e">
        <f>AND('Planilla_General_03-12-2012_9_3'!M2658,"AAAAAHPJ/x0=")</f>
        <v>#VALUE!</v>
      </c>
      <c r="AE167" t="e">
        <f>AND('Planilla_General_03-12-2012_9_3'!N2658,"AAAAAHPJ/x4=")</f>
        <v>#VALUE!</v>
      </c>
      <c r="AF167" t="e">
        <f>AND('Planilla_General_03-12-2012_9_3'!O2658,"AAAAAHPJ/x8=")</f>
        <v>#VALUE!</v>
      </c>
      <c r="AG167">
        <f>IF('Planilla_General_03-12-2012_9_3'!2659:2659,"AAAAAHPJ/yA=",0)</f>
        <v>0</v>
      </c>
      <c r="AH167" t="e">
        <f>AND('Planilla_General_03-12-2012_9_3'!A2659,"AAAAAHPJ/yE=")</f>
        <v>#VALUE!</v>
      </c>
      <c r="AI167" t="e">
        <f>AND('Planilla_General_03-12-2012_9_3'!B2659,"AAAAAHPJ/yI=")</f>
        <v>#VALUE!</v>
      </c>
      <c r="AJ167" t="e">
        <f>AND('Planilla_General_03-12-2012_9_3'!C2659,"AAAAAHPJ/yM=")</f>
        <v>#VALUE!</v>
      </c>
      <c r="AK167" t="e">
        <f>AND('Planilla_General_03-12-2012_9_3'!D2659,"AAAAAHPJ/yQ=")</f>
        <v>#VALUE!</v>
      </c>
      <c r="AL167" t="e">
        <f>AND('Planilla_General_03-12-2012_9_3'!E2659,"AAAAAHPJ/yU=")</f>
        <v>#VALUE!</v>
      </c>
      <c r="AM167" t="e">
        <f>AND('Planilla_General_03-12-2012_9_3'!F2659,"AAAAAHPJ/yY=")</f>
        <v>#VALUE!</v>
      </c>
      <c r="AN167" t="e">
        <f>AND('Planilla_General_03-12-2012_9_3'!G2659,"AAAAAHPJ/yc=")</f>
        <v>#VALUE!</v>
      </c>
      <c r="AO167" t="e">
        <f>AND('Planilla_General_03-12-2012_9_3'!H2659,"AAAAAHPJ/yg=")</f>
        <v>#VALUE!</v>
      </c>
      <c r="AP167" t="e">
        <f>AND('Planilla_General_03-12-2012_9_3'!I2659,"AAAAAHPJ/yk=")</f>
        <v>#VALUE!</v>
      </c>
      <c r="AQ167" t="e">
        <f>AND('Planilla_General_03-12-2012_9_3'!J2659,"AAAAAHPJ/yo=")</f>
        <v>#VALUE!</v>
      </c>
      <c r="AR167" t="e">
        <f>AND('Planilla_General_03-12-2012_9_3'!K2659,"AAAAAHPJ/ys=")</f>
        <v>#VALUE!</v>
      </c>
      <c r="AS167" t="e">
        <f>AND('Planilla_General_03-12-2012_9_3'!L2659,"AAAAAHPJ/yw=")</f>
        <v>#VALUE!</v>
      </c>
      <c r="AT167" t="e">
        <f>AND('Planilla_General_03-12-2012_9_3'!M2659,"AAAAAHPJ/y0=")</f>
        <v>#VALUE!</v>
      </c>
      <c r="AU167" t="e">
        <f>AND('Planilla_General_03-12-2012_9_3'!N2659,"AAAAAHPJ/y4=")</f>
        <v>#VALUE!</v>
      </c>
      <c r="AV167" t="e">
        <f>AND('Planilla_General_03-12-2012_9_3'!O2659,"AAAAAHPJ/y8=")</f>
        <v>#VALUE!</v>
      </c>
      <c r="AW167">
        <f>IF('Planilla_General_03-12-2012_9_3'!2660:2660,"AAAAAHPJ/zA=",0)</f>
        <v>0</v>
      </c>
      <c r="AX167" t="e">
        <f>AND('Planilla_General_03-12-2012_9_3'!A2660,"AAAAAHPJ/zE=")</f>
        <v>#VALUE!</v>
      </c>
      <c r="AY167" t="e">
        <f>AND('Planilla_General_03-12-2012_9_3'!B2660,"AAAAAHPJ/zI=")</f>
        <v>#VALUE!</v>
      </c>
      <c r="AZ167" t="e">
        <f>AND('Planilla_General_03-12-2012_9_3'!C2660,"AAAAAHPJ/zM=")</f>
        <v>#VALUE!</v>
      </c>
      <c r="BA167" t="e">
        <f>AND('Planilla_General_03-12-2012_9_3'!D2660,"AAAAAHPJ/zQ=")</f>
        <v>#VALUE!</v>
      </c>
      <c r="BB167" t="e">
        <f>AND('Planilla_General_03-12-2012_9_3'!E2660,"AAAAAHPJ/zU=")</f>
        <v>#VALUE!</v>
      </c>
      <c r="BC167" t="e">
        <f>AND('Planilla_General_03-12-2012_9_3'!F2660,"AAAAAHPJ/zY=")</f>
        <v>#VALUE!</v>
      </c>
      <c r="BD167" t="e">
        <f>AND('Planilla_General_03-12-2012_9_3'!G2660,"AAAAAHPJ/zc=")</f>
        <v>#VALUE!</v>
      </c>
      <c r="BE167" t="e">
        <f>AND('Planilla_General_03-12-2012_9_3'!H2660,"AAAAAHPJ/zg=")</f>
        <v>#VALUE!</v>
      </c>
      <c r="BF167" t="e">
        <f>AND('Planilla_General_03-12-2012_9_3'!I2660,"AAAAAHPJ/zk=")</f>
        <v>#VALUE!</v>
      </c>
      <c r="BG167" t="e">
        <f>AND('Planilla_General_03-12-2012_9_3'!J2660,"AAAAAHPJ/zo=")</f>
        <v>#VALUE!</v>
      </c>
      <c r="BH167" t="e">
        <f>AND('Planilla_General_03-12-2012_9_3'!K2660,"AAAAAHPJ/zs=")</f>
        <v>#VALUE!</v>
      </c>
      <c r="BI167" t="e">
        <f>AND('Planilla_General_03-12-2012_9_3'!L2660,"AAAAAHPJ/zw=")</f>
        <v>#VALUE!</v>
      </c>
      <c r="BJ167" t="e">
        <f>AND('Planilla_General_03-12-2012_9_3'!M2660,"AAAAAHPJ/z0=")</f>
        <v>#VALUE!</v>
      </c>
      <c r="BK167" t="e">
        <f>AND('Planilla_General_03-12-2012_9_3'!N2660,"AAAAAHPJ/z4=")</f>
        <v>#VALUE!</v>
      </c>
      <c r="BL167" t="e">
        <f>AND('Planilla_General_03-12-2012_9_3'!O2660,"AAAAAHPJ/z8=")</f>
        <v>#VALUE!</v>
      </c>
      <c r="BM167">
        <f>IF('Planilla_General_03-12-2012_9_3'!2661:2661,"AAAAAHPJ/0A=",0)</f>
        <v>0</v>
      </c>
      <c r="BN167" t="e">
        <f>AND('Planilla_General_03-12-2012_9_3'!A2661,"AAAAAHPJ/0E=")</f>
        <v>#VALUE!</v>
      </c>
      <c r="BO167" t="e">
        <f>AND('Planilla_General_03-12-2012_9_3'!B2661,"AAAAAHPJ/0I=")</f>
        <v>#VALUE!</v>
      </c>
      <c r="BP167" t="e">
        <f>AND('Planilla_General_03-12-2012_9_3'!C2661,"AAAAAHPJ/0M=")</f>
        <v>#VALUE!</v>
      </c>
      <c r="BQ167" t="e">
        <f>AND('Planilla_General_03-12-2012_9_3'!D2661,"AAAAAHPJ/0Q=")</f>
        <v>#VALUE!</v>
      </c>
      <c r="BR167" t="e">
        <f>AND('Planilla_General_03-12-2012_9_3'!E2661,"AAAAAHPJ/0U=")</f>
        <v>#VALUE!</v>
      </c>
      <c r="BS167" t="e">
        <f>AND('Planilla_General_03-12-2012_9_3'!F2661,"AAAAAHPJ/0Y=")</f>
        <v>#VALUE!</v>
      </c>
      <c r="BT167" t="e">
        <f>AND('Planilla_General_03-12-2012_9_3'!G2661,"AAAAAHPJ/0c=")</f>
        <v>#VALUE!</v>
      </c>
      <c r="BU167" t="e">
        <f>AND('Planilla_General_03-12-2012_9_3'!H2661,"AAAAAHPJ/0g=")</f>
        <v>#VALUE!</v>
      </c>
      <c r="BV167" t="e">
        <f>AND('Planilla_General_03-12-2012_9_3'!I2661,"AAAAAHPJ/0k=")</f>
        <v>#VALUE!</v>
      </c>
      <c r="BW167" t="e">
        <f>AND('Planilla_General_03-12-2012_9_3'!J2661,"AAAAAHPJ/0o=")</f>
        <v>#VALUE!</v>
      </c>
      <c r="BX167" t="e">
        <f>AND('Planilla_General_03-12-2012_9_3'!K2661,"AAAAAHPJ/0s=")</f>
        <v>#VALUE!</v>
      </c>
      <c r="BY167" t="e">
        <f>AND('Planilla_General_03-12-2012_9_3'!L2661,"AAAAAHPJ/0w=")</f>
        <v>#VALUE!</v>
      </c>
      <c r="BZ167" t="e">
        <f>AND('Planilla_General_03-12-2012_9_3'!M2661,"AAAAAHPJ/00=")</f>
        <v>#VALUE!</v>
      </c>
      <c r="CA167" t="e">
        <f>AND('Planilla_General_03-12-2012_9_3'!N2661,"AAAAAHPJ/04=")</f>
        <v>#VALUE!</v>
      </c>
      <c r="CB167" t="e">
        <f>AND('Planilla_General_03-12-2012_9_3'!O2661,"AAAAAHPJ/08=")</f>
        <v>#VALUE!</v>
      </c>
      <c r="CC167">
        <f>IF('Planilla_General_03-12-2012_9_3'!2662:2662,"AAAAAHPJ/1A=",0)</f>
        <v>0</v>
      </c>
      <c r="CD167" t="e">
        <f>AND('Planilla_General_03-12-2012_9_3'!A2662,"AAAAAHPJ/1E=")</f>
        <v>#VALUE!</v>
      </c>
      <c r="CE167" t="e">
        <f>AND('Planilla_General_03-12-2012_9_3'!B2662,"AAAAAHPJ/1I=")</f>
        <v>#VALUE!</v>
      </c>
      <c r="CF167" t="e">
        <f>AND('Planilla_General_03-12-2012_9_3'!C2662,"AAAAAHPJ/1M=")</f>
        <v>#VALUE!</v>
      </c>
      <c r="CG167" t="e">
        <f>AND('Planilla_General_03-12-2012_9_3'!D2662,"AAAAAHPJ/1Q=")</f>
        <v>#VALUE!</v>
      </c>
      <c r="CH167" t="e">
        <f>AND('Planilla_General_03-12-2012_9_3'!E2662,"AAAAAHPJ/1U=")</f>
        <v>#VALUE!</v>
      </c>
      <c r="CI167" t="e">
        <f>AND('Planilla_General_03-12-2012_9_3'!F2662,"AAAAAHPJ/1Y=")</f>
        <v>#VALUE!</v>
      </c>
      <c r="CJ167" t="e">
        <f>AND('Planilla_General_03-12-2012_9_3'!G2662,"AAAAAHPJ/1c=")</f>
        <v>#VALUE!</v>
      </c>
      <c r="CK167" t="e">
        <f>AND('Planilla_General_03-12-2012_9_3'!H2662,"AAAAAHPJ/1g=")</f>
        <v>#VALUE!</v>
      </c>
      <c r="CL167" t="e">
        <f>AND('Planilla_General_03-12-2012_9_3'!I2662,"AAAAAHPJ/1k=")</f>
        <v>#VALUE!</v>
      </c>
      <c r="CM167" t="e">
        <f>AND('Planilla_General_03-12-2012_9_3'!J2662,"AAAAAHPJ/1o=")</f>
        <v>#VALUE!</v>
      </c>
      <c r="CN167" t="e">
        <f>AND('Planilla_General_03-12-2012_9_3'!K2662,"AAAAAHPJ/1s=")</f>
        <v>#VALUE!</v>
      </c>
      <c r="CO167" t="e">
        <f>AND('Planilla_General_03-12-2012_9_3'!L2662,"AAAAAHPJ/1w=")</f>
        <v>#VALUE!</v>
      </c>
      <c r="CP167" t="e">
        <f>AND('Planilla_General_03-12-2012_9_3'!M2662,"AAAAAHPJ/10=")</f>
        <v>#VALUE!</v>
      </c>
      <c r="CQ167" t="e">
        <f>AND('Planilla_General_03-12-2012_9_3'!N2662,"AAAAAHPJ/14=")</f>
        <v>#VALUE!</v>
      </c>
      <c r="CR167" t="e">
        <f>AND('Planilla_General_03-12-2012_9_3'!O2662,"AAAAAHPJ/18=")</f>
        <v>#VALUE!</v>
      </c>
      <c r="CS167">
        <f>IF('Planilla_General_03-12-2012_9_3'!2663:2663,"AAAAAHPJ/2A=",0)</f>
        <v>0</v>
      </c>
      <c r="CT167" t="e">
        <f>AND('Planilla_General_03-12-2012_9_3'!A2663,"AAAAAHPJ/2E=")</f>
        <v>#VALUE!</v>
      </c>
      <c r="CU167" t="e">
        <f>AND('Planilla_General_03-12-2012_9_3'!B2663,"AAAAAHPJ/2I=")</f>
        <v>#VALUE!</v>
      </c>
      <c r="CV167" t="e">
        <f>AND('Planilla_General_03-12-2012_9_3'!C2663,"AAAAAHPJ/2M=")</f>
        <v>#VALUE!</v>
      </c>
      <c r="CW167" t="e">
        <f>AND('Planilla_General_03-12-2012_9_3'!D2663,"AAAAAHPJ/2Q=")</f>
        <v>#VALUE!</v>
      </c>
      <c r="CX167" t="e">
        <f>AND('Planilla_General_03-12-2012_9_3'!E2663,"AAAAAHPJ/2U=")</f>
        <v>#VALUE!</v>
      </c>
      <c r="CY167" t="e">
        <f>AND('Planilla_General_03-12-2012_9_3'!F2663,"AAAAAHPJ/2Y=")</f>
        <v>#VALUE!</v>
      </c>
      <c r="CZ167" t="e">
        <f>AND('Planilla_General_03-12-2012_9_3'!G2663,"AAAAAHPJ/2c=")</f>
        <v>#VALUE!</v>
      </c>
      <c r="DA167" t="e">
        <f>AND('Planilla_General_03-12-2012_9_3'!H2663,"AAAAAHPJ/2g=")</f>
        <v>#VALUE!</v>
      </c>
      <c r="DB167" t="e">
        <f>AND('Planilla_General_03-12-2012_9_3'!I2663,"AAAAAHPJ/2k=")</f>
        <v>#VALUE!</v>
      </c>
      <c r="DC167" t="e">
        <f>AND('Planilla_General_03-12-2012_9_3'!J2663,"AAAAAHPJ/2o=")</f>
        <v>#VALUE!</v>
      </c>
      <c r="DD167" t="e">
        <f>AND('Planilla_General_03-12-2012_9_3'!K2663,"AAAAAHPJ/2s=")</f>
        <v>#VALUE!</v>
      </c>
      <c r="DE167" t="e">
        <f>AND('Planilla_General_03-12-2012_9_3'!L2663,"AAAAAHPJ/2w=")</f>
        <v>#VALUE!</v>
      </c>
      <c r="DF167" t="e">
        <f>AND('Planilla_General_03-12-2012_9_3'!M2663,"AAAAAHPJ/20=")</f>
        <v>#VALUE!</v>
      </c>
      <c r="DG167" t="e">
        <f>AND('Planilla_General_03-12-2012_9_3'!N2663,"AAAAAHPJ/24=")</f>
        <v>#VALUE!</v>
      </c>
      <c r="DH167" t="e">
        <f>AND('Planilla_General_03-12-2012_9_3'!O2663,"AAAAAHPJ/28=")</f>
        <v>#VALUE!</v>
      </c>
      <c r="DI167">
        <f>IF('Planilla_General_03-12-2012_9_3'!2664:2664,"AAAAAHPJ/3A=",0)</f>
        <v>0</v>
      </c>
      <c r="DJ167" t="e">
        <f>AND('Planilla_General_03-12-2012_9_3'!A2664,"AAAAAHPJ/3E=")</f>
        <v>#VALUE!</v>
      </c>
      <c r="DK167" t="e">
        <f>AND('Planilla_General_03-12-2012_9_3'!B2664,"AAAAAHPJ/3I=")</f>
        <v>#VALUE!</v>
      </c>
      <c r="DL167" t="e">
        <f>AND('Planilla_General_03-12-2012_9_3'!C2664,"AAAAAHPJ/3M=")</f>
        <v>#VALUE!</v>
      </c>
      <c r="DM167" t="e">
        <f>AND('Planilla_General_03-12-2012_9_3'!D2664,"AAAAAHPJ/3Q=")</f>
        <v>#VALUE!</v>
      </c>
      <c r="DN167" t="e">
        <f>AND('Planilla_General_03-12-2012_9_3'!E2664,"AAAAAHPJ/3U=")</f>
        <v>#VALUE!</v>
      </c>
      <c r="DO167" t="e">
        <f>AND('Planilla_General_03-12-2012_9_3'!F2664,"AAAAAHPJ/3Y=")</f>
        <v>#VALUE!</v>
      </c>
      <c r="DP167" t="e">
        <f>AND('Planilla_General_03-12-2012_9_3'!G2664,"AAAAAHPJ/3c=")</f>
        <v>#VALUE!</v>
      </c>
      <c r="DQ167" t="e">
        <f>AND('Planilla_General_03-12-2012_9_3'!H2664,"AAAAAHPJ/3g=")</f>
        <v>#VALUE!</v>
      </c>
      <c r="DR167" t="e">
        <f>AND('Planilla_General_03-12-2012_9_3'!I2664,"AAAAAHPJ/3k=")</f>
        <v>#VALUE!</v>
      </c>
      <c r="DS167" t="e">
        <f>AND('Planilla_General_03-12-2012_9_3'!J2664,"AAAAAHPJ/3o=")</f>
        <v>#VALUE!</v>
      </c>
      <c r="DT167" t="e">
        <f>AND('Planilla_General_03-12-2012_9_3'!K2664,"AAAAAHPJ/3s=")</f>
        <v>#VALUE!</v>
      </c>
      <c r="DU167" t="e">
        <f>AND('Planilla_General_03-12-2012_9_3'!L2664,"AAAAAHPJ/3w=")</f>
        <v>#VALUE!</v>
      </c>
      <c r="DV167" t="e">
        <f>AND('Planilla_General_03-12-2012_9_3'!M2664,"AAAAAHPJ/30=")</f>
        <v>#VALUE!</v>
      </c>
      <c r="DW167" t="e">
        <f>AND('Planilla_General_03-12-2012_9_3'!N2664,"AAAAAHPJ/34=")</f>
        <v>#VALUE!</v>
      </c>
      <c r="DX167" t="e">
        <f>AND('Planilla_General_03-12-2012_9_3'!O2664,"AAAAAHPJ/38=")</f>
        <v>#VALUE!</v>
      </c>
      <c r="DY167">
        <f>IF('Planilla_General_03-12-2012_9_3'!2665:2665,"AAAAAHPJ/4A=",0)</f>
        <v>0</v>
      </c>
      <c r="DZ167" t="e">
        <f>AND('Planilla_General_03-12-2012_9_3'!A2665,"AAAAAHPJ/4E=")</f>
        <v>#VALUE!</v>
      </c>
      <c r="EA167" t="e">
        <f>AND('Planilla_General_03-12-2012_9_3'!B2665,"AAAAAHPJ/4I=")</f>
        <v>#VALUE!</v>
      </c>
      <c r="EB167" t="e">
        <f>AND('Planilla_General_03-12-2012_9_3'!C2665,"AAAAAHPJ/4M=")</f>
        <v>#VALUE!</v>
      </c>
      <c r="EC167" t="e">
        <f>AND('Planilla_General_03-12-2012_9_3'!D2665,"AAAAAHPJ/4Q=")</f>
        <v>#VALUE!</v>
      </c>
      <c r="ED167" t="e">
        <f>AND('Planilla_General_03-12-2012_9_3'!E2665,"AAAAAHPJ/4U=")</f>
        <v>#VALUE!</v>
      </c>
      <c r="EE167" t="e">
        <f>AND('Planilla_General_03-12-2012_9_3'!F2665,"AAAAAHPJ/4Y=")</f>
        <v>#VALUE!</v>
      </c>
      <c r="EF167" t="e">
        <f>AND('Planilla_General_03-12-2012_9_3'!G2665,"AAAAAHPJ/4c=")</f>
        <v>#VALUE!</v>
      </c>
      <c r="EG167" t="e">
        <f>AND('Planilla_General_03-12-2012_9_3'!H2665,"AAAAAHPJ/4g=")</f>
        <v>#VALUE!</v>
      </c>
      <c r="EH167" t="e">
        <f>AND('Planilla_General_03-12-2012_9_3'!I2665,"AAAAAHPJ/4k=")</f>
        <v>#VALUE!</v>
      </c>
      <c r="EI167" t="e">
        <f>AND('Planilla_General_03-12-2012_9_3'!J2665,"AAAAAHPJ/4o=")</f>
        <v>#VALUE!</v>
      </c>
      <c r="EJ167" t="e">
        <f>AND('Planilla_General_03-12-2012_9_3'!K2665,"AAAAAHPJ/4s=")</f>
        <v>#VALUE!</v>
      </c>
      <c r="EK167" t="e">
        <f>AND('Planilla_General_03-12-2012_9_3'!L2665,"AAAAAHPJ/4w=")</f>
        <v>#VALUE!</v>
      </c>
      <c r="EL167" t="e">
        <f>AND('Planilla_General_03-12-2012_9_3'!M2665,"AAAAAHPJ/40=")</f>
        <v>#VALUE!</v>
      </c>
      <c r="EM167" t="e">
        <f>AND('Planilla_General_03-12-2012_9_3'!N2665,"AAAAAHPJ/44=")</f>
        <v>#VALUE!</v>
      </c>
      <c r="EN167" t="e">
        <f>AND('Planilla_General_03-12-2012_9_3'!O2665,"AAAAAHPJ/48=")</f>
        <v>#VALUE!</v>
      </c>
      <c r="EO167">
        <f>IF('Planilla_General_03-12-2012_9_3'!2666:2666,"AAAAAHPJ/5A=",0)</f>
        <v>0</v>
      </c>
      <c r="EP167" t="e">
        <f>AND('Planilla_General_03-12-2012_9_3'!A2666,"AAAAAHPJ/5E=")</f>
        <v>#VALUE!</v>
      </c>
      <c r="EQ167" t="e">
        <f>AND('Planilla_General_03-12-2012_9_3'!B2666,"AAAAAHPJ/5I=")</f>
        <v>#VALUE!</v>
      </c>
      <c r="ER167" t="e">
        <f>AND('Planilla_General_03-12-2012_9_3'!C2666,"AAAAAHPJ/5M=")</f>
        <v>#VALUE!</v>
      </c>
      <c r="ES167" t="e">
        <f>AND('Planilla_General_03-12-2012_9_3'!D2666,"AAAAAHPJ/5Q=")</f>
        <v>#VALUE!</v>
      </c>
      <c r="ET167" t="e">
        <f>AND('Planilla_General_03-12-2012_9_3'!E2666,"AAAAAHPJ/5U=")</f>
        <v>#VALUE!</v>
      </c>
      <c r="EU167" t="e">
        <f>AND('Planilla_General_03-12-2012_9_3'!F2666,"AAAAAHPJ/5Y=")</f>
        <v>#VALUE!</v>
      </c>
      <c r="EV167" t="e">
        <f>AND('Planilla_General_03-12-2012_9_3'!G2666,"AAAAAHPJ/5c=")</f>
        <v>#VALUE!</v>
      </c>
      <c r="EW167" t="e">
        <f>AND('Planilla_General_03-12-2012_9_3'!H2666,"AAAAAHPJ/5g=")</f>
        <v>#VALUE!</v>
      </c>
      <c r="EX167" t="e">
        <f>AND('Planilla_General_03-12-2012_9_3'!I2666,"AAAAAHPJ/5k=")</f>
        <v>#VALUE!</v>
      </c>
      <c r="EY167" t="e">
        <f>AND('Planilla_General_03-12-2012_9_3'!J2666,"AAAAAHPJ/5o=")</f>
        <v>#VALUE!</v>
      </c>
      <c r="EZ167" t="e">
        <f>AND('Planilla_General_03-12-2012_9_3'!K2666,"AAAAAHPJ/5s=")</f>
        <v>#VALUE!</v>
      </c>
      <c r="FA167" t="e">
        <f>AND('Planilla_General_03-12-2012_9_3'!L2666,"AAAAAHPJ/5w=")</f>
        <v>#VALUE!</v>
      </c>
      <c r="FB167" t="e">
        <f>AND('Planilla_General_03-12-2012_9_3'!M2666,"AAAAAHPJ/50=")</f>
        <v>#VALUE!</v>
      </c>
      <c r="FC167" t="e">
        <f>AND('Planilla_General_03-12-2012_9_3'!N2666,"AAAAAHPJ/54=")</f>
        <v>#VALUE!</v>
      </c>
      <c r="FD167" t="e">
        <f>AND('Planilla_General_03-12-2012_9_3'!O2666,"AAAAAHPJ/58=")</f>
        <v>#VALUE!</v>
      </c>
      <c r="FE167">
        <f>IF('Planilla_General_03-12-2012_9_3'!2667:2667,"AAAAAHPJ/6A=",0)</f>
        <v>0</v>
      </c>
      <c r="FF167" t="e">
        <f>AND('Planilla_General_03-12-2012_9_3'!A2667,"AAAAAHPJ/6E=")</f>
        <v>#VALUE!</v>
      </c>
      <c r="FG167" t="e">
        <f>AND('Planilla_General_03-12-2012_9_3'!B2667,"AAAAAHPJ/6I=")</f>
        <v>#VALUE!</v>
      </c>
      <c r="FH167" t="e">
        <f>AND('Planilla_General_03-12-2012_9_3'!C2667,"AAAAAHPJ/6M=")</f>
        <v>#VALUE!</v>
      </c>
      <c r="FI167" t="e">
        <f>AND('Planilla_General_03-12-2012_9_3'!D2667,"AAAAAHPJ/6Q=")</f>
        <v>#VALUE!</v>
      </c>
      <c r="FJ167" t="e">
        <f>AND('Planilla_General_03-12-2012_9_3'!E2667,"AAAAAHPJ/6U=")</f>
        <v>#VALUE!</v>
      </c>
      <c r="FK167" t="e">
        <f>AND('Planilla_General_03-12-2012_9_3'!F2667,"AAAAAHPJ/6Y=")</f>
        <v>#VALUE!</v>
      </c>
      <c r="FL167" t="e">
        <f>AND('Planilla_General_03-12-2012_9_3'!G2667,"AAAAAHPJ/6c=")</f>
        <v>#VALUE!</v>
      </c>
      <c r="FM167" t="e">
        <f>AND('Planilla_General_03-12-2012_9_3'!H2667,"AAAAAHPJ/6g=")</f>
        <v>#VALUE!</v>
      </c>
      <c r="FN167" t="e">
        <f>AND('Planilla_General_03-12-2012_9_3'!I2667,"AAAAAHPJ/6k=")</f>
        <v>#VALUE!</v>
      </c>
      <c r="FO167" t="e">
        <f>AND('Planilla_General_03-12-2012_9_3'!J2667,"AAAAAHPJ/6o=")</f>
        <v>#VALUE!</v>
      </c>
      <c r="FP167" t="e">
        <f>AND('Planilla_General_03-12-2012_9_3'!K2667,"AAAAAHPJ/6s=")</f>
        <v>#VALUE!</v>
      </c>
      <c r="FQ167" t="e">
        <f>AND('Planilla_General_03-12-2012_9_3'!L2667,"AAAAAHPJ/6w=")</f>
        <v>#VALUE!</v>
      </c>
      <c r="FR167" t="e">
        <f>AND('Planilla_General_03-12-2012_9_3'!M2667,"AAAAAHPJ/60=")</f>
        <v>#VALUE!</v>
      </c>
      <c r="FS167" t="e">
        <f>AND('Planilla_General_03-12-2012_9_3'!N2667,"AAAAAHPJ/64=")</f>
        <v>#VALUE!</v>
      </c>
      <c r="FT167" t="e">
        <f>AND('Planilla_General_03-12-2012_9_3'!O2667,"AAAAAHPJ/68=")</f>
        <v>#VALUE!</v>
      </c>
      <c r="FU167">
        <f>IF('Planilla_General_03-12-2012_9_3'!2668:2668,"AAAAAHPJ/7A=",0)</f>
        <v>0</v>
      </c>
      <c r="FV167" t="e">
        <f>AND('Planilla_General_03-12-2012_9_3'!A2668,"AAAAAHPJ/7E=")</f>
        <v>#VALUE!</v>
      </c>
      <c r="FW167" t="e">
        <f>AND('Planilla_General_03-12-2012_9_3'!B2668,"AAAAAHPJ/7I=")</f>
        <v>#VALUE!</v>
      </c>
      <c r="FX167" t="e">
        <f>AND('Planilla_General_03-12-2012_9_3'!C2668,"AAAAAHPJ/7M=")</f>
        <v>#VALUE!</v>
      </c>
      <c r="FY167" t="e">
        <f>AND('Planilla_General_03-12-2012_9_3'!D2668,"AAAAAHPJ/7Q=")</f>
        <v>#VALUE!</v>
      </c>
      <c r="FZ167" t="e">
        <f>AND('Planilla_General_03-12-2012_9_3'!E2668,"AAAAAHPJ/7U=")</f>
        <v>#VALUE!</v>
      </c>
      <c r="GA167" t="e">
        <f>AND('Planilla_General_03-12-2012_9_3'!F2668,"AAAAAHPJ/7Y=")</f>
        <v>#VALUE!</v>
      </c>
      <c r="GB167" t="e">
        <f>AND('Planilla_General_03-12-2012_9_3'!G2668,"AAAAAHPJ/7c=")</f>
        <v>#VALUE!</v>
      </c>
      <c r="GC167" t="e">
        <f>AND('Planilla_General_03-12-2012_9_3'!H2668,"AAAAAHPJ/7g=")</f>
        <v>#VALUE!</v>
      </c>
      <c r="GD167" t="e">
        <f>AND('Planilla_General_03-12-2012_9_3'!I2668,"AAAAAHPJ/7k=")</f>
        <v>#VALUE!</v>
      </c>
      <c r="GE167" t="e">
        <f>AND('Planilla_General_03-12-2012_9_3'!J2668,"AAAAAHPJ/7o=")</f>
        <v>#VALUE!</v>
      </c>
      <c r="GF167" t="e">
        <f>AND('Planilla_General_03-12-2012_9_3'!K2668,"AAAAAHPJ/7s=")</f>
        <v>#VALUE!</v>
      </c>
      <c r="GG167" t="e">
        <f>AND('Planilla_General_03-12-2012_9_3'!L2668,"AAAAAHPJ/7w=")</f>
        <v>#VALUE!</v>
      </c>
      <c r="GH167" t="e">
        <f>AND('Planilla_General_03-12-2012_9_3'!M2668,"AAAAAHPJ/70=")</f>
        <v>#VALUE!</v>
      </c>
      <c r="GI167" t="e">
        <f>AND('Planilla_General_03-12-2012_9_3'!N2668,"AAAAAHPJ/74=")</f>
        <v>#VALUE!</v>
      </c>
      <c r="GJ167" t="e">
        <f>AND('Planilla_General_03-12-2012_9_3'!O2668,"AAAAAHPJ/78=")</f>
        <v>#VALUE!</v>
      </c>
      <c r="GK167">
        <f>IF('Planilla_General_03-12-2012_9_3'!2669:2669,"AAAAAHPJ/8A=",0)</f>
        <v>0</v>
      </c>
      <c r="GL167" t="e">
        <f>AND('Planilla_General_03-12-2012_9_3'!A2669,"AAAAAHPJ/8E=")</f>
        <v>#VALUE!</v>
      </c>
      <c r="GM167" t="e">
        <f>AND('Planilla_General_03-12-2012_9_3'!B2669,"AAAAAHPJ/8I=")</f>
        <v>#VALUE!</v>
      </c>
      <c r="GN167" t="e">
        <f>AND('Planilla_General_03-12-2012_9_3'!C2669,"AAAAAHPJ/8M=")</f>
        <v>#VALUE!</v>
      </c>
      <c r="GO167" t="e">
        <f>AND('Planilla_General_03-12-2012_9_3'!D2669,"AAAAAHPJ/8Q=")</f>
        <v>#VALUE!</v>
      </c>
      <c r="GP167" t="e">
        <f>AND('Planilla_General_03-12-2012_9_3'!E2669,"AAAAAHPJ/8U=")</f>
        <v>#VALUE!</v>
      </c>
      <c r="GQ167" t="e">
        <f>AND('Planilla_General_03-12-2012_9_3'!F2669,"AAAAAHPJ/8Y=")</f>
        <v>#VALUE!</v>
      </c>
      <c r="GR167" t="e">
        <f>AND('Planilla_General_03-12-2012_9_3'!G2669,"AAAAAHPJ/8c=")</f>
        <v>#VALUE!</v>
      </c>
      <c r="GS167" t="e">
        <f>AND('Planilla_General_03-12-2012_9_3'!H2669,"AAAAAHPJ/8g=")</f>
        <v>#VALUE!</v>
      </c>
      <c r="GT167" t="e">
        <f>AND('Planilla_General_03-12-2012_9_3'!I2669,"AAAAAHPJ/8k=")</f>
        <v>#VALUE!</v>
      </c>
      <c r="GU167" t="e">
        <f>AND('Planilla_General_03-12-2012_9_3'!J2669,"AAAAAHPJ/8o=")</f>
        <v>#VALUE!</v>
      </c>
      <c r="GV167" t="e">
        <f>AND('Planilla_General_03-12-2012_9_3'!K2669,"AAAAAHPJ/8s=")</f>
        <v>#VALUE!</v>
      </c>
      <c r="GW167" t="e">
        <f>AND('Planilla_General_03-12-2012_9_3'!L2669,"AAAAAHPJ/8w=")</f>
        <v>#VALUE!</v>
      </c>
      <c r="GX167" t="e">
        <f>AND('Planilla_General_03-12-2012_9_3'!M2669,"AAAAAHPJ/80=")</f>
        <v>#VALUE!</v>
      </c>
      <c r="GY167" t="e">
        <f>AND('Planilla_General_03-12-2012_9_3'!N2669,"AAAAAHPJ/84=")</f>
        <v>#VALUE!</v>
      </c>
      <c r="GZ167" t="e">
        <f>AND('Planilla_General_03-12-2012_9_3'!O2669,"AAAAAHPJ/88=")</f>
        <v>#VALUE!</v>
      </c>
      <c r="HA167">
        <f>IF('Planilla_General_03-12-2012_9_3'!2670:2670,"AAAAAHPJ/9A=",0)</f>
        <v>0</v>
      </c>
      <c r="HB167" t="e">
        <f>AND('Planilla_General_03-12-2012_9_3'!A2670,"AAAAAHPJ/9E=")</f>
        <v>#VALUE!</v>
      </c>
      <c r="HC167" t="e">
        <f>AND('Planilla_General_03-12-2012_9_3'!B2670,"AAAAAHPJ/9I=")</f>
        <v>#VALUE!</v>
      </c>
      <c r="HD167" t="e">
        <f>AND('Planilla_General_03-12-2012_9_3'!C2670,"AAAAAHPJ/9M=")</f>
        <v>#VALUE!</v>
      </c>
      <c r="HE167" t="e">
        <f>AND('Planilla_General_03-12-2012_9_3'!D2670,"AAAAAHPJ/9Q=")</f>
        <v>#VALUE!</v>
      </c>
      <c r="HF167" t="e">
        <f>AND('Planilla_General_03-12-2012_9_3'!E2670,"AAAAAHPJ/9U=")</f>
        <v>#VALUE!</v>
      </c>
      <c r="HG167" t="e">
        <f>AND('Planilla_General_03-12-2012_9_3'!F2670,"AAAAAHPJ/9Y=")</f>
        <v>#VALUE!</v>
      </c>
      <c r="HH167" t="e">
        <f>AND('Planilla_General_03-12-2012_9_3'!G2670,"AAAAAHPJ/9c=")</f>
        <v>#VALUE!</v>
      </c>
      <c r="HI167" t="e">
        <f>AND('Planilla_General_03-12-2012_9_3'!H2670,"AAAAAHPJ/9g=")</f>
        <v>#VALUE!</v>
      </c>
      <c r="HJ167" t="e">
        <f>AND('Planilla_General_03-12-2012_9_3'!I2670,"AAAAAHPJ/9k=")</f>
        <v>#VALUE!</v>
      </c>
      <c r="HK167" t="e">
        <f>AND('Planilla_General_03-12-2012_9_3'!J2670,"AAAAAHPJ/9o=")</f>
        <v>#VALUE!</v>
      </c>
      <c r="HL167" t="e">
        <f>AND('Planilla_General_03-12-2012_9_3'!K2670,"AAAAAHPJ/9s=")</f>
        <v>#VALUE!</v>
      </c>
      <c r="HM167" t="e">
        <f>AND('Planilla_General_03-12-2012_9_3'!L2670,"AAAAAHPJ/9w=")</f>
        <v>#VALUE!</v>
      </c>
      <c r="HN167" t="e">
        <f>AND('Planilla_General_03-12-2012_9_3'!M2670,"AAAAAHPJ/90=")</f>
        <v>#VALUE!</v>
      </c>
      <c r="HO167" t="e">
        <f>AND('Planilla_General_03-12-2012_9_3'!N2670,"AAAAAHPJ/94=")</f>
        <v>#VALUE!</v>
      </c>
      <c r="HP167" t="e">
        <f>AND('Planilla_General_03-12-2012_9_3'!O2670,"AAAAAHPJ/98=")</f>
        <v>#VALUE!</v>
      </c>
      <c r="HQ167">
        <f>IF('Planilla_General_03-12-2012_9_3'!2671:2671,"AAAAAHPJ/+A=",0)</f>
        <v>0</v>
      </c>
      <c r="HR167" t="e">
        <f>AND('Planilla_General_03-12-2012_9_3'!A2671,"AAAAAHPJ/+E=")</f>
        <v>#VALUE!</v>
      </c>
      <c r="HS167" t="e">
        <f>AND('Planilla_General_03-12-2012_9_3'!B2671,"AAAAAHPJ/+I=")</f>
        <v>#VALUE!</v>
      </c>
      <c r="HT167" t="e">
        <f>AND('Planilla_General_03-12-2012_9_3'!C2671,"AAAAAHPJ/+M=")</f>
        <v>#VALUE!</v>
      </c>
      <c r="HU167" t="e">
        <f>AND('Planilla_General_03-12-2012_9_3'!D2671,"AAAAAHPJ/+Q=")</f>
        <v>#VALUE!</v>
      </c>
      <c r="HV167" t="e">
        <f>AND('Planilla_General_03-12-2012_9_3'!E2671,"AAAAAHPJ/+U=")</f>
        <v>#VALUE!</v>
      </c>
      <c r="HW167" t="e">
        <f>AND('Planilla_General_03-12-2012_9_3'!F2671,"AAAAAHPJ/+Y=")</f>
        <v>#VALUE!</v>
      </c>
      <c r="HX167" t="e">
        <f>AND('Planilla_General_03-12-2012_9_3'!G2671,"AAAAAHPJ/+c=")</f>
        <v>#VALUE!</v>
      </c>
      <c r="HY167" t="e">
        <f>AND('Planilla_General_03-12-2012_9_3'!H2671,"AAAAAHPJ/+g=")</f>
        <v>#VALUE!</v>
      </c>
      <c r="HZ167" t="e">
        <f>AND('Planilla_General_03-12-2012_9_3'!I2671,"AAAAAHPJ/+k=")</f>
        <v>#VALUE!</v>
      </c>
      <c r="IA167" t="e">
        <f>AND('Planilla_General_03-12-2012_9_3'!J2671,"AAAAAHPJ/+o=")</f>
        <v>#VALUE!</v>
      </c>
      <c r="IB167" t="e">
        <f>AND('Planilla_General_03-12-2012_9_3'!K2671,"AAAAAHPJ/+s=")</f>
        <v>#VALUE!</v>
      </c>
      <c r="IC167" t="e">
        <f>AND('Planilla_General_03-12-2012_9_3'!L2671,"AAAAAHPJ/+w=")</f>
        <v>#VALUE!</v>
      </c>
      <c r="ID167" t="e">
        <f>AND('Planilla_General_03-12-2012_9_3'!M2671,"AAAAAHPJ/+0=")</f>
        <v>#VALUE!</v>
      </c>
      <c r="IE167" t="e">
        <f>AND('Planilla_General_03-12-2012_9_3'!N2671,"AAAAAHPJ/+4=")</f>
        <v>#VALUE!</v>
      </c>
      <c r="IF167" t="e">
        <f>AND('Planilla_General_03-12-2012_9_3'!O2671,"AAAAAHPJ/+8=")</f>
        <v>#VALUE!</v>
      </c>
      <c r="IG167">
        <f>IF('Planilla_General_03-12-2012_9_3'!2672:2672,"AAAAAHPJ//A=",0)</f>
        <v>0</v>
      </c>
      <c r="IH167" t="e">
        <f>AND('Planilla_General_03-12-2012_9_3'!A2672,"AAAAAHPJ//E=")</f>
        <v>#VALUE!</v>
      </c>
      <c r="II167" t="e">
        <f>AND('Planilla_General_03-12-2012_9_3'!B2672,"AAAAAHPJ//I=")</f>
        <v>#VALUE!</v>
      </c>
      <c r="IJ167" t="e">
        <f>AND('Planilla_General_03-12-2012_9_3'!C2672,"AAAAAHPJ//M=")</f>
        <v>#VALUE!</v>
      </c>
      <c r="IK167" t="e">
        <f>AND('Planilla_General_03-12-2012_9_3'!D2672,"AAAAAHPJ//Q=")</f>
        <v>#VALUE!</v>
      </c>
      <c r="IL167" t="e">
        <f>AND('Planilla_General_03-12-2012_9_3'!E2672,"AAAAAHPJ//U=")</f>
        <v>#VALUE!</v>
      </c>
      <c r="IM167" t="e">
        <f>AND('Planilla_General_03-12-2012_9_3'!F2672,"AAAAAHPJ//Y=")</f>
        <v>#VALUE!</v>
      </c>
      <c r="IN167" t="e">
        <f>AND('Planilla_General_03-12-2012_9_3'!G2672,"AAAAAHPJ//c=")</f>
        <v>#VALUE!</v>
      </c>
      <c r="IO167" t="e">
        <f>AND('Planilla_General_03-12-2012_9_3'!H2672,"AAAAAHPJ//g=")</f>
        <v>#VALUE!</v>
      </c>
      <c r="IP167" t="e">
        <f>AND('Planilla_General_03-12-2012_9_3'!I2672,"AAAAAHPJ//k=")</f>
        <v>#VALUE!</v>
      </c>
      <c r="IQ167" t="e">
        <f>AND('Planilla_General_03-12-2012_9_3'!J2672,"AAAAAHPJ//o=")</f>
        <v>#VALUE!</v>
      </c>
      <c r="IR167" t="e">
        <f>AND('Planilla_General_03-12-2012_9_3'!K2672,"AAAAAHPJ//s=")</f>
        <v>#VALUE!</v>
      </c>
      <c r="IS167" t="e">
        <f>AND('Planilla_General_03-12-2012_9_3'!L2672,"AAAAAHPJ//w=")</f>
        <v>#VALUE!</v>
      </c>
      <c r="IT167" t="e">
        <f>AND('Planilla_General_03-12-2012_9_3'!M2672,"AAAAAHPJ//0=")</f>
        <v>#VALUE!</v>
      </c>
      <c r="IU167" t="e">
        <f>AND('Planilla_General_03-12-2012_9_3'!N2672,"AAAAAHPJ//4=")</f>
        <v>#VALUE!</v>
      </c>
      <c r="IV167" t="e">
        <f>AND('Planilla_General_03-12-2012_9_3'!O2672,"AAAAAHPJ//8=")</f>
        <v>#VALUE!</v>
      </c>
    </row>
    <row r="168" spans="1:256" x14ac:dyDescent="0.25">
      <c r="A168" t="e">
        <f>IF('Planilla_General_03-12-2012_9_3'!2673:2673,"AAAAAGD3/wA=",0)</f>
        <v>#VALUE!</v>
      </c>
      <c r="B168" t="e">
        <f>AND('Planilla_General_03-12-2012_9_3'!A2673,"AAAAAGD3/wE=")</f>
        <v>#VALUE!</v>
      </c>
      <c r="C168" t="e">
        <f>AND('Planilla_General_03-12-2012_9_3'!B2673,"AAAAAGD3/wI=")</f>
        <v>#VALUE!</v>
      </c>
      <c r="D168" t="e">
        <f>AND('Planilla_General_03-12-2012_9_3'!C2673,"AAAAAGD3/wM=")</f>
        <v>#VALUE!</v>
      </c>
      <c r="E168" t="e">
        <f>AND('Planilla_General_03-12-2012_9_3'!D2673,"AAAAAGD3/wQ=")</f>
        <v>#VALUE!</v>
      </c>
      <c r="F168" t="e">
        <f>AND('Planilla_General_03-12-2012_9_3'!E2673,"AAAAAGD3/wU=")</f>
        <v>#VALUE!</v>
      </c>
      <c r="G168" t="e">
        <f>AND('Planilla_General_03-12-2012_9_3'!F2673,"AAAAAGD3/wY=")</f>
        <v>#VALUE!</v>
      </c>
      <c r="H168" t="e">
        <f>AND('Planilla_General_03-12-2012_9_3'!G2673,"AAAAAGD3/wc=")</f>
        <v>#VALUE!</v>
      </c>
      <c r="I168" t="e">
        <f>AND('Planilla_General_03-12-2012_9_3'!H2673,"AAAAAGD3/wg=")</f>
        <v>#VALUE!</v>
      </c>
      <c r="J168" t="e">
        <f>AND('Planilla_General_03-12-2012_9_3'!I2673,"AAAAAGD3/wk=")</f>
        <v>#VALUE!</v>
      </c>
      <c r="K168" t="e">
        <f>AND('Planilla_General_03-12-2012_9_3'!J2673,"AAAAAGD3/wo=")</f>
        <v>#VALUE!</v>
      </c>
      <c r="L168" t="e">
        <f>AND('Planilla_General_03-12-2012_9_3'!K2673,"AAAAAGD3/ws=")</f>
        <v>#VALUE!</v>
      </c>
      <c r="M168" t="e">
        <f>AND('Planilla_General_03-12-2012_9_3'!L2673,"AAAAAGD3/ww=")</f>
        <v>#VALUE!</v>
      </c>
      <c r="N168" t="e">
        <f>AND('Planilla_General_03-12-2012_9_3'!M2673,"AAAAAGD3/w0=")</f>
        <v>#VALUE!</v>
      </c>
      <c r="O168" t="e">
        <f>AND('Planilla_General_03-12-2012_9_3'!N2673,"AAAAAGD3/w4=")</f>
        <v>#VALUE!</v>
      </c>
      <c r="P168" t="e">
        <f>AND('Planilla_General_03-12-2012_9_3'!O2673,"AAAAAGD3/w8=")</f>
        <v>#VALUE!</v>
      </c>
      <c r="Q168">
        <f>IF('Planilla_General_03-12-2012_9_3'!2674:2674,"AAAAAGD3/xA=",0)</f>
        <v>0</v>
      </c>
      <c r="R168" t="e">
        <f>AND('Planilla_General_03-12-2012_9_3'!A2674,"AAAAAGD3/xE=")</f>
        <v>#VALUE!</v>
      </c>
      <c r="S168" t="e">
        <f>AND('Planilla_General_03-12-2012_9_3'!B2674,"AAAAAGD3/xI=")</f>
        <v>#VALUE!</v>
      </c>
      <c r="T168" t="e">
        <f>AND('Planilla_General_03-12-2012_9_3'!C2674,"AAAAAGD3/xM=")</f>
        <v>#VALUE!</v>
      </c>
      <c r="U168" t="e">
        <f>AND('Planilla_General_03-12-2012_9_3'!D2674,"AAAAAGD3/xQ=")</f>
        <v>#VALUE!</v>
      </c>
      <c r="V168" t="e">
        <f>AND('Planilla_General_03-12-2012_9_3'!E2674,"AAAAAGD3/xU=")</f>
        <v>#VALUE!</v>
      </c>
      <c r="W168" t="e">
        <f>AND('Planilla_General_03-12-2012_9_3'!F2674,"AAAAAGD3/xY=")</f>
        <v>#VALUE!</v>
      </c>
      <c r="X168" t="e">
        <f>AND('Planilla_General_03-12-2012_9_3'!G2674,"AAAAAGD3/xc=")</f>
        <v>#VALUE!</v>
      </c>
      <c r="Y168" t="e">
        <f>AND('Planilla_General_03-12-2012_9_3'!H2674,"AAAAAGD3/xg=")</f>
        <v>#VALUE!</v>
      </c>
      <c r="Z168" t="e">
        <f>AND('Planilla_General_03-12-2012_9_3'!I2674,"AAAAAGD3/xk=")</f>
        <v>#VALUE!</v>
      </c>
      <c r="AA168" t="e">
        <f>AND('Planilla_General_03-12-2012_9_3'!J2674,"AAAAAGD3/xo=")</f>
        <v>#VALUE!</v>
      </c>
      <c r="AB168" t="e">
        <f>AND('Planilla_General_03-12-2012_9_3'!K2674,"AAAAAGD3/xs=")</f>
        <v>#VALUE!</v>
      </c>
      <c r="AC168" t="e">
        <f>AND('Planilla_General_03-12-2012_9_3'!L2674,"AAAAAGD3/xw=")</f>
        <v>#VALUE!</v>
      </c>
      <c r="AD168" t="e">
        <f>AND('Planilla_General_03-12-2012_9_3'!M2674,"AAAAAGD3/x0=")</f>
        <v>#VALUE!</v>
      </c>
      <c r="AE168" t="e">
        <f>AND('Planilla_General_03-12-2012_9_3'!N2674,"AAAAAGD3/x4=")</f>
        <v>#VALUE!</v>
      </c>
      <c r="AF168" t="e">
        <f>AND('Planilla_General_03-12-2012_9_3'!O2674,"AAAAAGD3/x8=")</f>
        <v>#VALUE!</v>
      </c>
      <c r="AG168">
        <f>IF('Planilla_General_03-12-2012_9_3'!2675:2675,"AAAAAGD3/yA=",0)</f>
        <v>0</v>
      </c>
      <c r="AH168" t="e">
        <f>AND('Planilla_General_03-12-2012_9_3'!A2675,"AAAAAGD3/yE=")</f>
        <v>#VALUE!</v>
      </c>
      <c r="AI168" t="e">
        <f>AND('Planilla_General_03-12-2012_9_3'!B2675,"AAAAAGD3/yI=")</f>
        <v>#VALUE!</v>
      </c>
      <c r="AJ168" t="e">
        <f>AND('Planilla_General_03-12-2012_9_3'!C2675,"AAAAAGD3/yM=")</f>
        <v>#VALUE!</v>
      </c>
      <c r="AK168" t="e">
        <f>AND('Planilla_General_03-12-2012_9_3'!D2675,"AAAAAGD3/yQ=")</f>
        <v>#VALUE!</v>
      </c>
      <c r="AL168" t="e">
        <f>AND('Planilla_General_03-12-2012_9_3'!E2675,"AAAAAGD3/yU=")</f>
        <v>#VALUE!</v>
      </c>
      <c r="AM168" t="e">
        <f>AND('Planilla_General_03-12-2012_9_3'!F2675,"AAAAAGD3/yY=")</f>
        <v>#VALUE!</v>
      </c>
      <c r="AN168" t="e">
        <f>AND('Planilla_General_03-12-2012_9_3'!G2675,"AAAAAGD3/yc=")</f>
        <v>#VALUE!</v>
      </c>
      <c r="AO168" t="e">
        <f>AND('Planilla_General_03-12-2012_9_3'!H2675,"AAAAAGD3/yg=")</f>
        <v>#VALUE!</v>
      </c>
      <c r="AP168" t="e">
        <f>AND('Planilla_General_03-12-2012_9_3'!I2675,"AAAAAGD3/yk=")</f>
        <v>#VALUE!</v>
      </c>
      <c r="AQ168" t="e">
        <f>AND('Planilla_General_03-12-2012_9_3'!J2675,"AAAAAGD3/yo=")</f>
        <v>#VALUE!</v>
      </c>
      <c r="AR168" t="e">
        <f>AND('Planilla_General_03-12-2012_9_3'!K2675,"AAAAAGD3/ys=")</f>
        <v>#VALUE!</v>
      </c>
      <c r="AS168" t="e">
        <f>AND('Planilla_General_03-12-2012_9_3'!L2675,"AAAAAGD3/yw=")</f>
        <v>#VALUE!</v>
      </c>
      <c r="AT168" t="e">
        <f>AND('Planilla_General_03-12-2012_9_3'!M2675,"AAAAAGD3/y0=")</f>
        <v>#VALUE!</v>
      </c>
      <c r="AU168" t="e">
        <f>AND('Planilla_General_03-12-2012_9_3'!N2675,"AAAAAGD3/y4=")</f>
        <v>#VALUE!</v>
      </c>
      <c r="AV168" t="e">
        <f>AND('Planilla_General_03-12-2012_9_3'!O2675,"AAAAAGD3/y8=")</f>
        <v>#VALUE!</v>
      </c>
      <c r="AW168">
        <f>IF('Planilla_General_03-12-2012_9_3'!2676:2676,"AAAAAGD3/zA=",0)</f>
        <v>0</v>
      </c>
      <c r="AX168" t="e">
        <f>AND('Planilla_General_03-12-2012_9_3'!A2676,"AAAAAGD3/zE=")</f>
        <v>#VALUE!</v>
      </c>
      <c r="AY168" t="e">
        <f>AND('Planilla_General_03-12-2012_9_3'!B2676,"AAAAAGD3/zI=")</f>
        <v>#VALUE!</v>
      </c>
      <c r="AZ168" t="e">
        <f>AND('Planilla_General_03-12-2012_9_3'!C2676,"AAAAAGD3/zM=")</f>
        <v>#VALUE!</v>
      </c>
      <c r="BA168" t="e">
        <f>AND('Planilla_General_03-12-2012_9_3'!D2676,"AAAAAGD3/zQ=")</f>
        <v>#VALUE!</v>
      </c>
      <c r="BB168" t="e">
        <f>AND('Planilla_General_03-12-2012_9_3'!E2676,"AAAAAGD3/zU=")</f>
        <v>#VALUE!</v>
      </c>
      <c r="BC168" t="e">
        <f>AND('Planilla_General_03-12-2012_9_3'!F2676,"AAAAAGD3/zY=")</f>
        <v>#VALUE!</v>
      </c>
      <c r="BD168" t="e">
        <f>AND('Planilla_General_03-12-2012_9_3'!G2676,"AAAAAGD3/zc=")</f>
        <v>#VALUE!</v>
      </c>
      <c r="BE168" t="e">
        <f>AND('Planilla_General_03-12-2012_9_3'!H2676,"AAAAAGD3/zg=")</f>
        <v>#VALUE!</v>
      </c>
      <c r="BF168" t="e">
        <f>AND('Planilla_General_03-12-2012_9_3'!I2676,"AAAAAGD3/zk=")</f>
        <v>#VALUE!</v>
      </c>
      <c r="BG168" t="e">
        <f>AND('Planilla_General_03-12-2012_9_3'!J2676,"AAAAAGD3/zo=")</f>
        <v>#VALUE!</v>
      </c>
      <c r="BH168" t="e">
        <f>AND('Planilla_General_03-12-2012_9_3'!K2676,"AAAAAGD3/zs=")</f>
        <v>#VALUE!</v>
      </c>
      <c r="BI168" t="e">
        <f>AND('Planilla_General_03-12-2012_9_3'!L2676,"AAAAAGD3/zw=")</f>
        <v>#VALUE!</v>
      </c>
      <c r="BJ168" t="e">
        <f>AND('Planilla_General_03-12-2012_9_3'!M2676,"AAAAAGD3/z0=")</f>
        <v>#VALUE!</v>
      </c>
      <c r="BK168" t="e">
        <f>AND('Planilla_General_03-12-2012_9_3'!N2676,"AAAAAGD3/z4=")</f>
        <v>#VALUE!</v>
      </c>
      <c r="BL168" t="e">
        <f>AND('Planilla_General_03-12-2012_9_3'!O2676,"AAAAAGD3/z8=")</f>
        <v>#VALUE!</v>
      </c>
      <c r="BM168">
        <f>IF('Planilla_General_03-12-2012_9_3'!2677:2677,"AAAAAGD3/0A=",0)</f>
        <v>0</v>
      </c>
      <c r="BN168" t="e">
        <f>AND('Planilla_General_03-12-2012_9_3'!A2677,"AAAAAGD3/0E=")</f>
        <v>#VALUE!</v>
      </c>
      <c r="BO168" t="e">
        <f>AND('Planilla_General_03-12-2012_9_3'!B2677,"AAAAAGD3/0I=")</f>
        <v>#VALUE!</v>
      </c>
      <c r="BP168" t="e">
        <f>AND('Planilla_General_03-12-2012_9_3'!C2677,"AAAAAGD3/0M=")</f>
        <v>#VALUE!</v>
      </c>
      <c r="BQ168" t="e">
        <f>AND('Planilla_General_03-12-2012_9_3'!D2677,"AAAAAGD3/0Q=")</f>
        <v>#VALUE!</v>
      </c>
      <c r="BR168" t="e">
        <f>AND('Planilla_General_03-12-2012_9_3'!E2677,"AAAAAGD3/0U=")</f>
        <v>#VALUE!</v>
      </c>
      <c r="BS168" t="e">
        <f>AND('Planilla_General_03-12-2012_9_3'!F2677,"AAAAAGD3/0Y=")</f>
        <v>#VALUE!</v>
      </c>
      <c r="BT168" t="e">
        <f>AND('Planilla_General_03-12-2012_9_3'!G2677,"AAAAAGD3/0c=")</f>
        <v>#VALUE!</v>
      </c>
      <c r="BU168" t="e">
        <f>AND('Planilla_General_03-12-2012_9_3'!H2677,"AAAAAGD3/0g=")</f>
        <v>#VALUE!</v>
      </c>
      <c r="BV168" t="e">
        <f>AND('Planilla_General_03-12-2012_9_3'!I2677,"AAAAAGD3/0k=")</f>
        <v>#VALUE!</v>
      </c>
      <c r="BW168" t="e">
        <f>AND('Planilla_General_03-12-2012_9_3'!J2677,"AAAAAGD3/0o=")</f>
        <v>#VALUE!</v>
      </c>
      <c r="BX168" t="e">
        <f>AND('Planilla_General_03-12-2012_9_3'!K2677,"AAAAAGD3/0s=")</f>
        <v>#VALUE!</v>
      </c>
      <c r="BY168" t="e">
        <f>AND('Planilla_General_03-12-2012_9_3'!L2677,"AAAAAGD3/0w=")</f>
        <v>#VALUE!</v>
      </c>
      <c r="BZ168" t="e">
        <f>AND('Planilla_General_03-12-2012_9_3'!M2677,"AAAAAGD3/00=")</f>
        <v>#VALUE!</v>
      </c>
      <c r="CA168" t="e">
        <f>AND('Planilla_General_03-12-2012_9_3'!N2677,"AAAAAGD3/04=")</f>
        <v>#VALUE!</v>
      </c>
      <c r="CB168" t="e">
        <f>AND('Planilla_General_03-12-2012_9_3'!O2677,"AAAAAGD3/08=")</f>
        <v>#VALUE!</v>
      </c>
      <c r="CC168">
        <f>IF('Planilla_General_03-12-2012_9_3'!2678:2678,"AAAAAGD3/1A=",0)</f>
        <v>0</v>
      </c>
      <c r="CD168" t="e">
        <f>AND('Planilla_General_03-12-2012_9_3'!A2678,"AAAAAGD3/1E=")</f>
        <v>#VALUE!</v>
      </c>
      <c r="CE168" t="e">
        <f>AND('Planilla_General_03-12-2012_9_3'!B2678,"AAAAAGD3/1I=")</f>
        <v>#VALUE!</v>
      </c>
      <c r="CF168" t="e">
        <f>AND('Planilla_General_03-12-2012_9_3'!C2678,"AAAAAGD3/1M=")</f>
        <v>#VALUE!</v>
      </c>
      <c r="CG168" t="e">
        <f>AND('Planilla_General_03-12-2012_9_3'!D2678,"AAAAAGD3/1Q=")</f>
        <v>#VALUE!</v>
      </c>
      <c r="CH168" t="e">
        <f>AND('Planilla_General_03-12-2012_9_3'!E2678,"AAAAAGD3/1U=")</f>
        <v>#VALUE!</v>
      </c>
      <c r="CI168" t="e">
        <f>AND('Planilla_General_03-12-2012_9_3'!F2678,"AAAAAGD3/1Y=")</f>
        <v>#VALUE!</v>
      </c>
      <c r="CJ168" t="e">
        <f>AND('Planilla_General_03-12-2012_9_3'!G2678,"AAAAAGD3/1c=")</f>
        <v>#VALUE!</v>
      </c>
      <c r="CK168" t="e">
        <f>AND('Planilla_General_03-12-2012_9_3'!H2678,"AAAAAGD3/1g=")</f>
        <v>#VALUE!</v>
      </c>
      <c r="CL168" t="e">
        <f>AND('Planilla_General_03-12-2012_9_3'!I2678,"AAAAAGD3/1k=")</f>
        <v>#VALUE!</v>
      </c>
      <c r="CM168" t="e">
        <f>AND('Planilla_General_03-12-2012_9_3'!J2678,"AAAAAGD3/1o=")</f>
        <v>#VALUE!</v>
      </c>
      <c r="CN168" t="e">
        <f>AND('Planilla_General_03-12-2012_9_3'!K2678,"AAAAAGD3/1s=")</f>
        <v>#VALUE!</v>
      </c>
      <c r="CO168" t="e">
        <f>AND('Planilla_General_03-12-2012_9_3'!L2678,"AAAAAGD3/1w=")</f>
        <v>#VALUE!</v>
      </c>
      <c r="CP168" t="e">
        <f>AND('Planilla_General_03-12-2012_9_3'!M2678,"AAAAAGD3/10=")</f>
        <v>#VALUE!</v>
      </c>
      <c r="CQ168" t="e">
        <f>AND('Planilla_General_03-12-2012_9_3'!N2678,"AAAAAGD3/14=")</f>
        <v>#VALUE!</v>
      </c>
      <c r="CR168" t="e">
        <f>AND('Planilla_General_03-12-2012_9_3'!O2678,"AAAAAGD3/18=")</f>
        <v>#VALUE!</v>
      </c>
      <c r="CS168">
        <f>IF('Planilla_General_03-12-2012_9_3'!2679:2679,"AAAAAGD3/2A=",0)</f>
        <v>0</v>
      </c>
      <c r="CT168" t="e">
        <f>AND('Planilla_General_03-12-2012_9_3'!A2679,"AAAAAGD3/2E=")</f>
        <v>#VALUE!</v>
      </c>
      <c r="CU168" t="e">
        <f>AND('Planilla_General_03-12-2012_9_3'!B2679,"AAAAAGD3/2I=")</f>
        <v>#VALUE!</v>
      </c>
      <c r="CV168" t="e">
        <f>AND('Planilla_General_03-12-2012_9_3'!C2679,"AAAAAGD3/2M=")</f>
        <v>#VALUE!</v>
      </c>
      <c r="CW168" t="e">
        <f>AND('Planilla_General_03-12-2012_9_3'!D2679,"AAAAAGD3/2Q=")</f>
        <v>#VALUE!</v>
      </c>
      <c r="CX168" t="e">
        <f>AND('Planilla_General_03-12-2012_9_3'!E2679,"AAAAAGD3/2U=")</f>
        <v>#VALUE!</v>
      </c>
      <c r="CY168" t="e">
        <f>AND('Planilla_General_03-12-2012_9_3'!F2679,"AAAAAGD3/2Y=")</f>
        <v>#VALUE!</v>
      </c>
      <c r="CZ168" t="e">
        <f>AND('Planilla_General_03-12-2012_9_3'!G2679,"AAAAAGD3/2c=")</f>
        <v>#VALUE!</v>
      </c>
      <c r="DA168" t="e">
        <f>AND('Planilla_General_03-12-2012_9_3'!H2679,"AAAAAGD3/2g=")</f>
        <v>#VALUE!</v>
      </c>
      <c r="DB168" t="e">
        <f>AND('Planilla_General_03-12-2012_9_3'!I2679,"AAAAAGD3/2k=")</f>
        <v>#VALUE!</v>
      </c>
      <c r="DC168" t="e">
        <f>AND('Planilla_General_03-12-2012_9_3'!J2679,"AAAAAGD3/2o=")</f>
        <v>#VALUE!</v>
      </c>
      <c r="DD168" t="e">
        <f>AND('Planilla_General_03-12-2012_9_3'!K2679,"AAAAAGD3/2s=")</f>
        <v>#VALUE!</v>
      </c>
      <c r="DE168" t="e">
        <f>AND('Planilla_General_03-12-2012_9_3'!L2679,"AAAAAGD3/2w=")</f>
        <v>#VALUE!</v>
      </c>
      <c r="DF168" t="e">
        <f>AND('Planilla_General_03-12-2012_9_3'!M2679,"AAAAAGD3/20=")</f>
        <v>#VALUE!</v>
      </c>
      <c r="DG168" t="e">
        <f>AND('Planilla_General_03-12-2012_9_3'!N2679,"AAAAAGD3/24=")</f>
        <v>#VALUE!</v>
      </c>
      <c r="DH168" t="e">
        <f>AND('Planilla_General_03-12-2012_9_3'!O2679,"AAAAAGD3/28=")</f>
        <v>#VALUE!</v>
      </c>
      <c r="DI168">
        <f>IF('Planilla_General_03-12-2012_9_3'!2680:2680,"AAAAAGD3/3A=",0)</f>
        <v>0</v>
      </c>
      <c r="DJ168" t="e">
        <f>AND('Planilla_General_03-12-2012_9_3'!A2680,"AAAAAGD3/3E=")</f>
        <v>#VALUE!</v>
      </c>
      <c r="DK168" t="e">
        <f>AND('Planilla_General_03-12-2012_9_3'!B2680,"AAAAAGD3/3I=")</f>
        <v>#VALUE!</v>
      </c>
      <c r="DL168" t="e">
        <f>AND('Planilla_General_03-12-2012_9_3'!C2680,"AAAAAGD3/3M=")</f>
        <v>#VALUE!</v>
      </c>
      <c r="DM168" t="e">
        <f>AND('Planilla_General_03-12-2012_9_3'!D2680,"AAAAAGD3/3Q=")</f>
        <v>#VALUE!</v>
      </c>
      <c r="DN168" t="e">
        <f>AND('Planilla_General_03-12-2012_9_3'!E2680,"AAAAAGD3/3U=")</f>
        <v>#VALUE!</v>
      </c>
      <c r="DO168" t="e">
        <f>AND('Planilla_General_03-12-2012_9_3'!F2680,"AAAAAGD3/3Y=")</f>
        <v>#VALUE!</v>
      </c>
      <c r="DP168" t="e">
        <f>AND('Planilla_General_03-12-2012_9_3'!G2680,"AAAAAGD3/3c=")</f>
        <v>#VALUE!</v>
      </c>
      <c r="DQ168" t="e">
        <f>AND('Planilla_General_03-12-2012_9_3'!H2680,"AAAAAGD3/3g=")</f>
        <v>#VALUE!</v>
      </c>
      <c r="DR168" t="e">
        <f>AND('Planilla_General_03-12-2012_9_3'!I2680,"AAAAAGD3/3k=")</f>
        <v>#VALUE!</v>
      </c>
      <c r="DS168" t="e">
        <f>AND('Planilla_General_03-12-2012_9_3'!J2680,"AAAAAGD3/3o=")</f>
        <v>#VALUE!</v>
      </c>
      <c r="DT168" t="e">
        <f>AND('Planilla_General_03-12-2012_9_3'!K2680,"AAAAAGD3/3s=")</f>
        <v>#VALUE!</v>
      </c>
      <c r="DU168" t="e">
        <f>AND('Planilla_General_03-12-2012_9_3'!L2680,"AAAAAGD3/3w=")</f>
        <v>#VALUE!</v>
      </c>
      <c r="DV168" t="e">
        <f>AND('Planilla_General_03-12-2012_9_3'!M2680,"AAAAAGD3/30=")</f>
        <v>#VALUE!</v>
      </c>
      <c r="DW168" t="e">
        <f>AND('Planilla_General_03-12-2012_9_3'!N2680,"AAAAAGD3/34=")</f>
        <v>#VALUE!</v>
      </c>
      <c r="DX168" t="e">
        <f>AND('Planilla_General_03-12-2012_9_3'!O2680,"AAAAAGD3/38=")</f>
        <v>#VALUE!</v>
      </c>
      <c r="DY168">
        <f>IF('Planilla_General_03-12-2012_9_3'!2681:2681,"AAAAAGD3/4A=",0)</f>
        <v>0</v>
      </c>
      <c r="DZ168" t="e">
        <f>AND('Planilla_General_03-12-2012_9_3'!A2681,"AAAAAGD3/4E=")</f>
        <v>#VALUE!</v>
      </c>
      <c r="EA168" t="e">
        <f>AND('Planilla_General_03-12-2012_9_3'!B2681,"AAAAAGD3/4I=")</f>
        <v>#VALUE!</v>
      </c>
      <c r="EB168" t="e">
        <f>AND('Planilla_General_03-12-2012_9_3'!C2681,"AAAAAGD3/4M=")</f>
        <v>#VALUE!</v>
      </c>
      <c r="EC168" t="e">
        <f>AND('Planilla_General_03-12-2012_9_3'!D2681,"AAAAAGD3/4Q=")</f>
        <v>#VALUE!</v>
      </c>
      <c r="ED168" t="e">
        <f>AND('Planilla_General_03-12-2012_9_3'!E2681,"AAAAAGD3/4U=")</f>
        <v>#VALUE!</v>
      </c>
      <c r="EE168" t="e">
        <f>AND('Planilla_General_03-12-2012_9_3'!F2681,"AAAAAGD3/4Y=")</f>
        <v>#VALUE!</v>
      </c>
      <c r="EF168" t="e">
        <f>AND('Planilla_General_03-12-2012_9_3'!G2681,"AAAAAGD3/4c=")</f>
        <v>#VALUE!</v>
      </c>
      <c r="EG168" t="e">
        <f>AND('Planilla_General_03-12-2012_9_3'!H2681,"AAAAAGD3/4g=")</f>
        <v>#VALUE!</v>
      </c>
      <c r="EH168" t="e">
        <f>AND('Planilla_General_03-12-2012_9_3'!I2681,"AAAAAGD3/4k=")</f>
        <v>#VALUE!</v>
      </c>
      <c r="EI168" t="e">
        <f>AND('Planilla_General_03-12-2012_9_3'!J2681,"AAAAAGD3/4o=")</f>
        <v>#VALUE!</v>
      </c>
      <c r="EJ168" t="e">
        <f>AND('Planilla_General_03-12-2012_9_3'!K2681,"AAAAAGD3/4s=")</f>
        <v>#VALUE!</v>
      </c>
      <c r="EK168" t="e">
        <f>AND('Planilla_General_03-12-2012_9_3'!L2681,"AAAAAGD3/4w=")</f>
        <v>#VALUE!</v>
      </c>
      <c r="EL168" t="e">
        <f>AND('Planilla_General_03-12-2012_9_3'!M2681,"AAAAAGD3/40=")</f>
        <v>#VALUE!</v>
      </c>
      <c r="EM168" t="e">
        <f>AND('Planilla_General_03-12-2012_9_3'!N2681,"AAAAAGD3/44=")</f>
        <v>#VALUE!</v>
      </c>
      <c r="EN168" t="e">
        <f>AND('Planilla_General_03-12-2012_9_3'!O2681,"AAAAAGD3/48=")</f>
        <v>#VALUE!</v>
      </c>
      <c r="EO168">
        <f>IF('Planilla_General_03-12-2012_9_3'!2682:2682,"AAAAAGD3/5A=",0)</f>
        <v>0</v>
      </c>
      <c r="EP168" t="e">
        <f>AND('Planilla_General_03-12-2012_9_3'!A2682,"AAAAAGD3/5E=")</f>
        <v>#VALUE!</v>
      </c>
      <c r="EQ168" t="e">
        <f>AND('Planilla_General_03-12-2012_9_3'!B2682,"AAAAAGD3/5I=")</f>
        <v>#VALUE!</v>
      </c>
      <c r="ER168" t="e">
        <f>AND('Planilla_General_03-12-2012_9_3'!C2682,"AAAAAGD3/5M=")</f>
        <v>#VALUE!</v>
      </c>
      <c r="ES168" t="e">
        <f>AND('Planilla_General_03-12-2012_9_3'!D2682,"AAAAAGD3/5Q=")</f>
        <v>#VALUE!</v>
      </c>
      <c r="ET168" t="e">
        <f>AND('Planilla_General_03-12-2012_9_3'!E2682,"AAAAAGD3/5U=")</f>
        <v>#VALUE!</v>
      </c>
      <c r="EU168" t="e">
        <f>AND('Planilla_General_03-12-2012_9_3'!F2682,"AAAAAGD3/5Y=")</f>
        <v>#VALUE!</v>
      </c>
      <c r="EV168" t="e">
        <f>AND('Planilla_General_03-12-2012_9_3'!G2682,"AAAAAGD3/5c=")</f>
        <v>#VALUE!</v>
      </c>
      <c r="EW168" t="e">
        <f>AND('Planilla_General_03-12-2012_9_3'!H2682,"AAAAAGD3/5g=")</f>
        <v>#VALUE!</v>
      </c>
      <c r="EX168" t="e">
        <f>AND('Planilla_General_03-12-2012_9_3'!I2682,"AAAAAGD3/5k=")</f>
        <v>#VALUE!</v>
      </c>
      <c r="EY168" t="e">
        <f>AND('Planilla_General_03-12-2012_9_3'!J2682,"AAAAAGD3/5o=")</f>
        <v>#VALUE!</v>
      </c>
      <c r="EZ168" t="e">
        <f>AND('Planilla_General_03-12-2012_9_3'!K2682,"AAAAAGD3/5s=")</f>
        <v>#VALUE!</v>
      </c>
      <c r="FA168" t="e">
        <f>AND('Planilla_General_03-12-2012_9_3'!L2682,"AAAAAGD3/5w=")</f>
        <v>#VALUE!</v>
      </c>
      <c r="FB168" t="e">
        <f>AND('Planilla_General_03-12-2012_9_3'!M2682,"AAAAAGD3/50=")</f>
        <v>#VALUE!</v>
      </c>
      <c r="FC168" t="e">
        <f>AND('Planilla_General_03-12-2012_9_3'!N2682,"AAAAAGD3/54=")</f>
        <v>#VALUE!</v>
      </c>
      <c r="FD168" t="e">
        <f>AND('Planilla_General_03-12-2012_9_3'!O2682,"AAAAAGD3/58=")</f>
        <v>#VALUE!</v>
      </c>
      <c r="FE168">
        <f>IF('Planilla_General_03-12-2012_9_3'!2683:2683,"AAAAAGD3/6A=",0)</f>
        <v>0</v>
      </c>
      <c r="FF168" t="e">
        <f>AND('Planilla_General_03-12-2012_9_3'!A2683,"AAAAAGD3/6E=")</f>
        <v>#VALUE!</v>
      </c>
      <c r="FG168" t="e">
        <f>AND('Planilla_General_03-12-2012_9_3'!B2683,"AAAAAGD3/6I=")</f>
        <v>#VALUE!</v>
      </c>
      <c r="FH168" t="e">
        <f>AND('Planilla_General_03-12-2012_9_3'!C2683,"AAAAAGD3/6M=")</f>
        <v>#VALUE!</v>
      </c>
      <c r="FI168" t="e">
        <f>AND('Planilla_General_03-12-2012_9_3'!D2683,"AAAAAGD3/6Q=")</f>
        <v>#VALUE!</v>
      </c>
      <c r="FJ168" t="e">
        <f>AND('Planilla_General_03-12-2012_9_3'!E2683,"AAAAAGD3/6U=")</f>
        <v>#VALUE!</v>
      </c>
      <c r="FK168" t="e">
        <f>AND('Planilla_General_03-12-2012_9_3'!F2683,"AAAAAGD3/6Y=")</f>
        <v>#VALUE!</v>
      </c>
      <c r="FL168" t="e">
        <f>AND('Planilla_General_03-12-2012_9_3'!G2683,"AAAAAGD3/6c=")</f>
        <v>#VALUE!</v>
      </c>
      <c r="FM168" t="e">
        <f>AND('Planilla_General_03-12-2012_9_3'!H2683,"AAAAAGD3/6g=")</f>
        <v>#VALUE!</v>
      </c>
      <c r="FN168" t="e">
        <f>AND('Planilla_General_03-12-2012_9_3'!I2683,"AAAAAGD3/6k=")</f>
        <v>#VALUE!</v>
      </c>
      <c r="FO168" t="e">
        <f>AND('Planilla_General_03-12-2012_9_3'!J2683,"AAAAAGD3/6o=")</f>
        <v>#VALUE!</v>
      </c>
      <c r="FP168" t="e">
        <f>AND('Planilla_General_03-12-2012_9_3'!K2683,"AAAAAGD3/6s=")</f>
        <v>#VALUE!</v>
      </c>
      <c r="FQ168" t="e">
        <f>AND('Planilla_General_03-12-2012_9_3'!L2683,"AAAAAGD3/6w=")</f>
        <v>#VALUE!</v>
      </c>
      <c r="FR168" t="e">
        <f>AND('Planilla_General_03-12-2012_9_3'!M2683,"AAAAAGD3/60=")</f>
        <v>#VALUE!</v>
      </c>
      <c r="FS168" t="e">
        <f>AND('Planilla_General_03-12-2012_9_3'!N2683,"AAAAAGD3/64=")</f>
        <v>#VALUE!</v>
      </c>
      <c r="FT168" t="e">
        <f>AND('Planilla_General_03-12-2012_9_3'!O2683,"AAAAAGD3/68=")</f>
        <v>#VALUE!</v>
      </c>
      <c r="FU168">
        <f>IF('Planilla_General_03-12-2012_9_3'!2684:2684,"AAAAAGD3/7A=",0)</f>
        <v>0</v>
      </c>
      <c r="FV168" t="e">
        <f>AND('Planilla_General_03-12-2012_9_3'!A2684,"AAAAAGD3/7E=")</f>
        <v>#VALUE!</v>
      </c>
      <c r="FW168" t="e">
        <f>AND('Planilla_General_03-12-2012_9_3'!B2684,"AAAAAGD3/7I=")</f>
        <v>#VALUE!</v>
      </c>
      <c r="FX168" t="e">
        <f>AND('Planilla_General_03-12-2012_9_3'!C2684,"AAAAAGD3/7M=")</f>
        <v>#VALUE!</v>
      </c>
      <c r="FY168" t="e">
        <f>AND('Planilla_General_03-12-2012_9_3'!D2684,"AAAAAGD3/7Q=")</f>
        <v>#VALUE!</v>
      </c>
      <c r="FZ168" t="e">
        <f>AND('Planilla_General_03-12-2012_9_3'!E2684,"AAAAAGD3/7U=")</f>
        <v>#VALUE!</v>
      </c>
      <c r="GA168" t="e">
        <f>AND('Planilla_General_03-12-2012_9_3'!F2684,"AAAAAGD3/7Y=")</f>
        <v>#VALUE!</v>
      </c>
      <c r="GB168" t="e">
        <f>AND('Planilla_General_03-12-2012_9_3'!G2684,"AAAAAGD3/7c=")</f>
        <v>#VALUE!</v>
      </c>
      <c r="GC168" t="e">
        <f>AND('Planilla_General_03-12-2012_9_3'!H2684,"AAAAAGD3/7g=")</f>
        <v>#VALUE!</v>
      </c>
      <c r="GD168" t="e">
        <f>AND('Planilla_General_03-12-2012_9_3'!I2684,"AAAAAGD3/7k=")</f>
        <v>#VALUE!</v>
      </c>
      <c r="GE168" t="e">
        <f>AND('Planilla_General_03-12-2012_9_3'!J2684,"AAAAAGD3/7o=")</f>
        <v>#VALUE!</v>
      </c>
      <c r="GF168" t="e">
        <f>AND('Planilla_General_03-12-2012_9_3'!K2684,"AAAAAGD3/7s=")</f>
        <v>#VALUE!</v>
      </c>
      <c r="GG168" t="e">
        <f>AND('Planilla_General_03-12-2012_9_3'!L2684,"AAAAAGD3/7w=")</f>
        <v>#VALUE!</v>
      </c>
      <c r="GH168" t="e">
        <f>AND('Planilla_General_03-12-2012_9_3'!M2684,"AAAAAGD3/70=")</f>
        <v>#VALUE!</v>
      </c>
      <c r="GI168" t="e">
        <f>AND('Planilla_General_03-12-2012_9_3'!N2684,"AAAAAGD3/74=")</f>
        <v>#VALUE!</v>
      </c>
      <c r="GJ168" t="e">
        <f>AND('Planilla_General_03-12-2012_9_3'!O2684,"AAAAAGD3/78=")</f>
        <v>#VALUE!</v>
      </c>
      <c r="GK168">
        <f>IF('Planilla_General_03-12-2012_9_3'!2685:2685,"AAAAAGD3/8A=",0)</f>
        <v>0</v>
      </c>
      <c r="GL168" t="e">
        <f>AND('Planilla_General_03-12-2012_9_3'!A2685,"AAAAAGD3/8E=")</f>
        <v>#VALUE!</v>
      </c>
      <c r="GM168" t="e">
        <f>AND('Planilla_General_03-12-2012_9_3'!B2685,"AAAAAGD3/8I=")</f>
        <v>#VALUE!</v>
      </c>
      <c r="GN168" t="e">
        <f>AND('Planilla_General_03-12-2012_9_3'!C2685,"AAAAAGD3/8M=")</f>
        <v>#VALUE!</v>
      </c>
      <c r="GO168" t="e">
        <f>AND('Planilla_General_03-12-2012_9_3'!D2685,"AAAAAGD3/8Q=")</f>
        <v>#VALUE!</v>
      </c>
      <c r="GP168" t="e">
        <f>AND('Planilla_General_03-12-2012_9_3'!E2685,"AAAAAGD3/8U=")</f>
        <v>#VALUE!</v>
      </c>
      <c r="GQ168" t="e">
        <f>AND('Planilla_General_03-12-2012_9_3'!F2685,"AAAAAGD3/8Y=")</f>
        <v>#VALUE!</v>
      </c>
      <c r="GR168" t="e">
        <f>AND('Planilla_General_03-12-2012_9_3'!G2685,"AAAAAGD3/8c=")</f>
        <v>#VALUE!</v>
      </c>
      <c r="GS168" t="e">
        <f>AND('Planilla_General_03-12-2012_9_3'!H2685,"AAAAAGD3/8g=")</f>
        <v>#VALUE!</v>
      </c>
      <c r="GT168" t="e">
        <f>AND('Planilla_General_03-12-2012_9_3'!I2685,"AAAAAGD3/8k=")</f>
        <v>#VALUE!</v>
      </c>
      <c r="GU168" t="e">
        <f>AND('Planilla_General_03-12-2012_9_3'!J2685,"AAAAAGD3/8o=")</f>
        <v>#VALUE!</v>
      </c>
      <c r="GV168" t="e">
        <f>AND('Planilla_General_03-12-2012_9_3'!K2685,"AAAAAGD3/8s=")</f>
        <v>#VALUE!</v>
      </c>
      <c r="GW168" t="e">
        <f>AND('Planilla_General_03-12-2012_9_3'!L2685,"AAAAAGD3/8w=")</f>
        <v>#VALUE!</v>
      </c>
      <c r="GX168" t="e">
        <f>AND('Planilla_General_03-12-2012_9_3'!M2685,"AAAAAGD3/80=")</f>
        <v>#VALUE!</v>
      </c>
      <c r="GY168" t="e">
        <f>AND('Planilla_General_03-12-2012_9_3'!N2685,"AAAAAGD3/84=")</f>
        <v>#VALUE!</v>
      </c>
      <c r="GZ168" t="e">
        <f>AND('Planilla_General_03-12-2012_9_3'!O2685,"AAAAAGD3/88=")</f>
        <v>#VALUE!</v>
      </c>
      <c r="HA168">
        <f>IF('Planilla_General_03-12-2012_9_3'!2686:2686,"AAAAAGD3/9A=",0)</f>
        <v>0</v>
      </c>
      <c r="HB168" t="e">
        <f>AND('Planilla_General_03-12-2012_9_3'!A2686,"AAAAAGD3/9E=")</f>
        <v>#VALUE!</v>
      </c>
      <c r="HC168" t="e">
        <f>AND('Planilla_General_03-12-2012_9_3'!B2686,"AAAAAGD3/9I=")</f>
        <v>#VALUE!</v>
      </c>
      <c r="HD168" t="e">
        <f>AND('Planilla_General_03-12-2012_9_3'!C2686,"AAAAAGD3/9M=")</f>
        <v>#VALUE!</v>
      </c>
      <c r="HE168" t="e">
        <f>AND('Planilla_General_03-12-2012_9_3'!D2686,"AAAAAGD3/9Q=")</f>
        <v>#VALUE!</v>
      </c>
      <c r="HF168" t="e">
        <f>AND('Planilla_General_03-12-2012_9_3'!E2686,"AAAAAGD3/9U=")</f>
        <v>#VALUE!</v>
      </c>
      <c r="HG168" t="e">
        <f>AND('Planilla_General_03-12-2012_9_3'!F2686,"AAAAAGD3/9Y=")</f>
        <v>#VALUE!</v>
      </c>
      <c r="HH168" t="e">
        <f>AND('Planilla_General_03-12-2012_9_3'!G2686,"AAAAAGD3/9c=")</f>
        <v>#VALUE!</v>
      </c>
      <c r="HI168" t="e">
        <f>AND('Planilla_General_03-12-2012_9_3'!H2686,"AAAAAGD3/9g=")</f>
        <v>#VALUE!</v>
      </c>
      <c r="HJ168" t="e">
        <f>AND('Planilla_General_03-12-2012_9_3'!I2686,"AAAAAGD3/9k=")</f>
        <v>#VALUE!</v>
      </c>
      <c r="HK168" t="e">
        <f>AND('Planilla_General_03-12-2012_9_3'!J2686,"AAAAAGD3/9o=")</f>
        <v>#VALUE!</v>
      </c>
      <c r="HL168" t="e">
        <f>AND('Planilla_General_03-12-2012_9_3'!K2686,"AAAAAGD3/9s=")</f>
        <v>#VALUE!</v>
      </c>
      <c r="HM168" t="e">
        <f>AND('Planilla_General_03-12-2012_9_3'!L2686,"AAAAAGD3/9w=")</f>
        <v>#VALUE!</v>
      </c>
      <c r="HN168" t="e">
        <f>AND('Planilla_General_03-12-2012_9_3'!M2686,"AAAAAGD3/90=")</f>
        <v>#VALUE!</v>
      </c>
      <c r="HO168" t="e">
        <f>AND('Planilla_General_03-12-2012_9_3'!N2686,"AAAAAGD3/94=")</f>
        <v>#VALUE!</v>
      </c>
      <c r="HP168" t="e">
        <f>AND('Planilla_General_03-12-2012_9_3'!O2686,"AAAAAGD3/98=")</f>
        <v>#VALUE!</v>
      </c>
      <c r="HQ168">
        <f>IF('Planilla_General_03-12-2012_9_3'!2687:2687,"AAAAAGD3/+A=",0)</f>
        <v>0</v>
      </c>
      <c r="HR168" t="e">
        <f>AND('Planilla_General_03-12-2012_9_3'!A2687,"AAAAAGD3/+E=")</f>
        <v>#VALUE!</v>
      </c>
      <c r="HS168" t="e">
        <f>AND('Planilla_General_03-12-2012_9_3'!B2687,"AAAAAGD3/+I=")</f>
        <v>#VALUE!</v>
      </c>
      <c r="HT168" t="e">
        <f>AND('Planilla_General_03-12-2012_9_3'!C2687,"AAAAAGD3/+M=")</f>
        <v>#VALUE!</v>
      </c>
      <c r="HU168" t="e">
        <f>AND('Planilla_General_03-12-2012_9_3'!D2687,"AAAAAGD3/+Q=")</f>
        <v>#VALUE!</v>
      </c>
      <c r="HV168" t="e">
        <f>AND('Planilla_General_03-12-2012_9_3'!E2687,"AAAAAGD3/+U=")</f>
        <v>#VALUE!</v>
      </c>
      <c r="HW168" t="e">
        <f>AND('Planilla_General_03-12-2012_9_3'!F2687,"AAAAAGD3/+Y=")</f>
        <v>#VALUE!</v>
      </c>
      <c r="HX168" t="e">
        <f>AND('Planilla_General_03-12-2012_9_3'!G2687,"AAAAAGD3/+c=")</f>
        <v>#VALUE!</v>
      </c>
      <c r="HY168" t="e">
        <f>AND('Planilla_General_03-12-2012_9_3'!H2687,"AAAAAGD3/+g=")</f>
        <v>#VALUE!</v>
      </c>
      <c r="HZ168" t="e">
        <f>AND('Planilla_General_03-12-2012_9_3'!I2687,"AAAAAGD3/+k=")</f>
        <v>#VALUE!</v>
      </c>
      <c r="IA168" t="e">
        <f>AND('Planilla_General_03-12-2012_9_3'!J2687,"AAAAAGD3/+o=")</f>
        <v>#VALUE!</v>
      </c>
      <c r="IB168" t="e">
        <f>AND('Planilla_General_03-12-2012_9_3'!K2687,"AAAAAGD3/+s=")</f>
        <v>#VALUE!</v>
      </c>
      <c r="IC168" t="e">
        <f>AND('Planilla_General_03-12-2012_9_3'!L2687,"AAAAAGD3/+w=")</f>
        <v>#VALUE!</v>
      </c>
      <c r="ID168" t="e">
        <f>AND('Planilla_General_03-12-2012_9_3'!M2687,"AAAAAGD3/+0=")</f>
        <v>#VALUE!</v>
      </c>
      <c r="IE168" t="e">
        <f>AND('Planilla_General_03-12-2012_9_3'!N2687,"AAAAAGD3/+4=")</f>
        <v>#VALUE!</v>
      </c>
      <c r="IF168" t="e">
        <f>AND('Planilla_General_03-12-2012_9_3'!O2687,"AAAAAGD3/+8=")</f>
        <v>#VALUE!</v>
      </c>
      <c r="IG168">
        <f>IF('Planilla_General_03-12-2012_9_3'!2688:2688,"AAAAAGD3//A=",0)</f>
        <v>0</v>
      </c>
      <c r="IH168" t="e">
        <f>AND('Planilla_General_03-12-2012_9_3'!A2688,"AAAAAGD3//E=")</f>
        <v>#VALUE!</v>
      </c>
      <c r="II168" t="e">
        <f>AND('Planilla_General_03-12-2012_9_3'!B2688,"AAAAAGD3//I=")</f>
        <v>#VALUE!</v>
      </c>
      <c r="IJ168" t="e">
        <f>AND('Planilla_General_03-12-2012_9_3'!C2688,"AAAAAGD3//M=")</f>
        <v>#VALUE!</v>
      </c>
      <c r="IK168" t="e">
        <f>AND('Planilla_General_03-12-2012_9_3'!D2688,"AAAAAGD3//Q=")</f>
        <v>#VALUE!</v>
      </c>
      <c r="IL168" t="e">
        <f>AND('Planilla_General_03-12-2012_9_3'!E2688,"AAAAAGD3//U=")</f>
        <v>#VALUE!</v>
      </c>
      <c r="IM168" t="e">
        <f>AND('Planilla_General_03-12-2012_9_3'!F2688,"AAAAAGD3//Y=")</f>
        <v>#VALUE!</v>
      </c>
      <c r="IN168" t="e">
        <f>AND('Planilla_General_03-12-2012_9_3'!G2688,"AAAAAGD3//c=")</f>
        <v>#VALUE!</v>
      </c>
      <c r="IO168" t="e">
        <f>AND('Planilla_General_03-12-2012_9_3'!H2688,"AAAAAGD3//g=")</f>
        <v>#VALUE!</v>
      </c>
      <c r="IP168" t="e">
        <f>AND('Planilla_General_03-12-2012_9_3'!I2688,"AAAAAGD3//k=")</f>
        <v>#VALUE!</v>
      </c>
      <c r="IQ168" t="e">
        <f>AND('Planilla_General_03-12-2012_9_3'!J2688,"AAAAAGD3//o=")</f>
        <v>#VALUE!</v>
      </c>
      <c r="IR168" t="e">
        <f>AND('Planilla_General_03-12-2012_9_3'!K2688,"AAAAAGD3//s=")</f>
        <v>#VALUE!</v>
      </c>
      <c r="IS168" t="e">
        <f>AND('Planilla_General_03-12-2012_9_3'!L2688,"AAAAAGD3//w=")</f>
        <v>#VALUE!</v>
      </c>
      <c r="IT168" t="e">
        <f>AND('Planilla_General_03-12-2012_9_3'!M2688,"AAAAAGD3//0=")</f>
        <v>#VALUE!</v>
      </c>
      <c r="IU168" t="e">
        <f>AND('Planilla_General_03-12-2012_9_3'!N2688,"AAAAAGD3//4=")</f>
        <v>#VALUE!</v>
      </c>
      <c r="IV168" t="e">
        <f>AND('Planilla_General_03-12-2012_9_3'!O2688,"AAAAAGD3//8=")</f>
        <v>#VALUE!</v>
      </c>
    </row>
    <row r="169" spans="1:256" x14ac:dyDescent="0.25">
      <c r="A169" t="e">
        <f>IF('Planilla_General_03-12-2012_9_3'!2689:2689,"AAAAABv3+QA=",0)</f>
        <v>#VALUE!</v>
      </c>
      <c r="B169" t="e">
        <f>AND('Planilla_General_03-12-2012_9_3'!A2689,"AAAAABv3+QE=")</f>
        <v>#VALUE!</v>
      </c>
      <c r="C169" t="e">
        <f>AND('Planilla_General_03-12-2012_9_3'!B2689,"AAAAABv3+QI=")</f>
        <v>#VALUE!</v>
      </c>
      <c r="D169" t="e">
        <f>AND('Planilla_General_03-12-2012_9_3'!C2689,"AAAAABv3+QM=")</f>
        <v>#VALUE!</v>
      </c>
      <c r="E169" t="e">
        <f>AND('Planilla_General_03-12-2012_9_3'!D2689,"AAAAABv3+QQ=")</f>
        <v>#VALUE!</v>
      </c>
      <c r="F169" t="e">
        <f>AND('Planilla_General_03-12-2012_9_3'!E2689,"AAAAABv3+QU=")</f>
        <v>#VALUE!</v>
      </c>
      <c r="G169" t="e">
        <f>AND('Planilla_General_03-12-2012_9_3'!F2689,"AAAAABv3+QY=")</f>
        <v>#VALUE!</v>
      </c>
      <c r="H169" t="e">
        <f>AND('Planilla_General_03-12-2012_9_3'!G2689,"AAAAABv3+Qc=")</f>
        <v>#VALUE!</v>
      </c>
      <c r="I169" t="e">
        <f>AND('Planilla_General_03-12-2012_9_3'!H2689,"AAAAABv3+Qg=")</f>
        <v>#VALUE!</v>
      </c>
      <c r="J169" t="e">
        <f>AND('Planilla_General_03-12-2012_9_3'!I2689,"AAAAABv3+Qk=")</f>
        <v>#VALUE!</v>
      </c>
      <c r="K169" t="e">
        <f>AND('Planilla_General_03-12-2012_9_3'!J2689,"AAAAABv3+Qo=")</f>
        <v>#VALUE!</v>
      </c>
      <c r="L169" t="e">
        <f>AND('Planilla_General_03-12-2012_9_3'!K2689,"AAAAABv3+Qs=")</f>
        <v>#VALUE!</v>
      </c>
      <c r="M169" t="e">
        <f>AND('Planilla_General_03-12-2012_9_3'!L2689,"AAAAABv3+Qw=")</f>
        <v>#VALUE!</v>
      </c>
      <c r="N169" t="e">
        <f>AND('Planilla_General_03-12-2012_9_3'!M2689,"AAAAABv3+Q0=")</f>
        <v>#VALUE!</v>
      </c>
      <c r="O169" t="e">
        <f>AND('Planilla_General_03-12-2012_9_3'!N2689,"AAAAABv3+Q4=")</f>
        <v>#VALUE!</v>
      </c>
      <c r="P169" t="e">
        <f>AND('Planilla_General_03-12-2012_9_3'!O2689,"AAAAABv3+Q8=")</f>
        <v>#VALUE!</v>
      </c>
      <c r="Q169">
        <f>IF('Planilla_General_03-12-2012_9_3'!2690:2690,"AAAAABv3+RA=",0)</f>
        <v>0</v>
      </c>
      <c r="R169" t="e">
        <f>AND('Planilla_General_03-12-2012_9_3'!A2690,"AAAAABv3+RE=")</f>
        <v>#VALUE!</v>
      </c>
      <c r="S169" t="e">
        <f>AND('Planilla_General_03-12-2012_9_3'!B2690,"AAAAABv3+RI=")</f>
        <v>#VALUE!</v>
      </c>
      <c r="T169" t="e">
        <f>AND('Planilla_General_03-12-2012_9_3'!C2690,"AAAAABv3+RM=")</f>
        <v>#VALUE!</v>
      </c>
      <c r="U169" t="e">
        <f>AND('Planilla_General_03-12-2012_9_3'!D2690,"AAAAABv3+RQ=")</f>
        <v>#VALUE!</v>
      </c>
      <c r="V169" t="e">
        <f>AND('Planilla_General_03-12-2012_9_3'!E2690,"AAAAABv3+RU=")</f>
        <v>#VALUE!</v>
      </c>
      <c r="W169" t="e">
        <f>AND('Planilla_General_03-12-2012_9_3'!F2690,"AAAAABv3+RY=")</f>
        <v>#VALUE!</v>
      </c>
      <c r="X169" t="e">
        <f>AND('Planilla_General_03-12-2012_9_3'!G2690,"AAAAABv3+Rc=")</f>
        <v>#VALUE!</v>
      </c>
      <c r="Y169" t="e">
        <f>AND('Planilla_General_03-12-2012_9_3'!H2690,"AAAAABv3+Rg=")</f>
        <v>#VALUE!</v>
      </c>
      <c r="Z169" t="e">
        <f>AND('Planilla_General_03-12-2012_9_3'!I2690,"AAAAABv3+Rk=")</f>
        <v>#VALUE!</v>
      </c>
      <c r="AA169" t="e">
        <f>AND('Planilla_General_03-12-2012_9_3'!J2690,"AAAAABv3+Ro=")</f>
        <v>#VALUE!</v>
      </c>
      <c r="AB169" t="e">
        <f>AND('Planilla_General_03-12-2012_9_3'!K2690,"AAAAABv3+Rs=")</f>
        <v>#VALUE!</v>
      </c>
      <c r="AC169" t="e">
        <f>AND('Planilla_General_03-12-2012_9_3'!L2690,"AAAAABv3+Rw=")</f>
        <v>#VALUE!</v>
      </c>
      <c r="AD169" t="e">
        <f>AND('Planilla_General_03-12-2012_9_3'!M2690,"AAAAABv3+R0=")</f>
        <v>#VALUE!</v>
      </c>
      <c r="AE169" t="e">
        <f>AND('Planilla_General_03-12-2012_9_3'!N2690,"AAAAABv3+R4=")</f>
        <v>#VALUE!</v>
      </c>
      <c r="AF169" t="e">
        <f>AND('Planilla_General_03-12-2012_9_3'!O2690,"AAAAABv3+R8=")</f>
        <v>#VALUE!</v>
      </c>
      <c r="AG169">
        <f>IF('Planilla_General_03-12-2012_9_3'!2691:2691,"AAAAABv3+SA=",0)</f>
        <v>0</v>
      </c>
      <c r="AH169" t="e">
        <f>AND('Planilla_General_03-12-2012_9_3'!A2691,"AAAAABv3+SE=")</f>
        <v>#VALUE!</v>
      </c>
      <c r="AI169" t="e">
        <f>AND('Planilla_General_03-12-2012_9_3'!B2691,"AAAAABv3+SI=")</f>
        <v>#VALUE!</v>
      </c>
      <c r="AJ169" t="e">
        <f>AND('Planilla_General_03-12-2012_9_3'!C2691,"AAAAABv3+SM=")</f>
        <v>#VALUE!</v>
      </c>
      <c r="AK169" t="e">
        <f>AND('Planilla_General_03-12-2012_9_3'!D2691,"AAAAABv3+SQ=")</f>
        <v>#VALUE!</v>
      </c>
      <c r="AL169" t="e">
        <f>AND('Planilla_General_03-12-2012_9_3'!E2691,"AAAAABv3+SU=")</f>
        <v>#VALUE!</v>
      </c>
      <c r="AM169" t="e">
        <f>AND('Planilla_General_03-12-2012_9_3'!F2691,"AAAAABv3+SY=")</f>
        <v>#VALUE!</v>
      </c>
      <c r="AN169" t="e">
        <f>AND('Planilla_General_03-12-2012_9_3'!G2691,"AAAAABv3+Sc=")</f>
        <v>#VALUE!</v>
      </c>
      <c r="AO169" t="e">
        <f>AND('Planilla_General_03-12-2012_9_3'!H2691,"AAAAABv3+Sg=")</f>
        <v>#VALUE!</v>
      </c>
      <c r="AP169" t="e">
        <f>AND('Planilla_General_03-12-2012_9_3'!I2691,"AAAAABv3+Sk=")</f>
        <v>#VALUE!</v>
      </c>
      <c r="AQ169" t="e">
        <f>AND('Planilla_General_03-12-2012_9_3'!J2691,"AAAAABv3+So=")</f>
        <v>#VALUE!</v>
      </c>
      <c r="AR169" t="e">
        <f>AND('Planilla_General_03-12-2012_9_3'!K2691,"AAAAABv3+Ss=")</f>
        <v>#VALUE!</v>
      </c>
      <c r="AS169" t="e">
        <f>AND('Planilla_General_03-12-2012_9_3'!L2691,"AAAAABv3+Sw=")</f>
        <v>#VALUE!</v>
      </c>
      <c r="AT169" t="e">
        <f>AND('Planilla_General_03-12-2012_9_3'!M2691,"AAAAABv3+S0=")</f>
        <v>#VALUE!</v>
      </c>
      <c r="AU169" t="e">
        <f>AND('Planilla_General_03-12-2012_9_3'!N2691,"AAAAABv3+S4=")</f>
        <v>#VALUE!</v>
      </c>
      <c r="AV169" t="e">
        <f>AND('Planilla_General_03-12-2012_9_3'!O2691,"AAAAABv3+S8=")</f>
        <v>#VALUE!</v>
      </c>
      <c r="AW169">
        <f>IF('Planilla_General_03-12-2012_9_3'!2692:2692,"AAAAABv3+TA=",0)</f>
        <v>0</v>
      </c>
      <c r="AX169" t="e">
        <f>AND('Planilla_General_03-12-2012_9_3'!A2692,"AAAAABv3+TE=")</f>
        <v>#VALUE!</v>
      </c>
      <c r="AY169" t="e">
        <f>AND('Planilla_General_03-12-2012_9_3'!B2692,"AAAAABv3+TI=")</f>
        <v>#VALUE!</v>
      </c>
      <c r="AZ169" t="e">
        <f>AND('Planilla_General_03-12-2012_9_3'!C2692,"AAAAABv3+TM=")</f>
        <v>#VALUE!</v>
      </c>
      <c r="BA169" t="e">
        <f>AND('Planilla_General_03-12-2012_9_3'!D2692,"AAAAABv3+TQ=")</f>
        <v>#VALUE!</v>
      </c>
      <c r="BB169" t="e">
        <f>AND('Planilla_General_03-12-2012_9_3'!E2692,"AAAAABv3+TU=")</f>
        <v>#VALUE!</v>
      </c>
      <c r="BC169" t="e">
        <f>AND('Planilla_General_03-12-2012_9_3'!F2692,"AAAAABv3+TY=")</f>
        <v>#VALUE!</v>
      </c>
      <c r="BD169" t="e">
        <f>AND('Planilla_General_03-12-2012_9_3'!G2692,"AAAAABv3+Tc=")</f>
        <v>#VALUE!</v>
      </c>
      <c r="BE169" t="e">
        <f>AND('Planilla_General_03-12-2012_9_3'!H2692,"AAAAABv3+Tg=")</f>
        <v>#VALUE!</v>
      </c>
      <c r="BF169" t="e">
        <f>AND('Planilla_General_03-12-2012_9_3'!I2692,"AAAAABv3+Tk=")</f>
        <v>#VALUE!</v>
      </c>
      <c r="BG169" t="e">
        <f>AND('Planilla_General_03-12-2012_9_3'!J2692,"AAAAABv3+To=")</f>
        <v>#VALUE!</v>
      </c>
      <c r="BH169" t="e">
        <f>AND('Planilla_General_03-12-2012_9_3'!K2692,"AAAAABv3+Ts=")</f>
        <v>#VALUE!</v>
      </c>
      <c r="BI169" t="e">
        <f>AND('Planilla_General_03-12-2012_9_3'!L2692,"AAAAABv3+Tw=")</f>
        <v>#VALUE!</v>
      </c>
      <c r="BJ169" t="e">
        <f>AND('Planilla_General_03-12-2012_9_3'!M2692,"AAAAABv3+T0=")</f>
        <v>#VALUE!</v>
      </c>
      <c r="BK169" t="e">
        <f>AND('Planilla_General_03-12-2012_9_3'!N2692,"AAAAABv3+T4=")</f>
        <v>#VALUE!</v>
      </c>
      <c r="BL169" t="e">
        <f>AND('Planilla_General_03-12-2012_9_3'!O2692,"AAAAABv3+T8=")</f>
        <v>#VALUE!</v>
      </c>
      <c r="BM169">
        <f>IF('Planilla_General_03-12-2012_9_3'!2693:2693,"AAAAABv3+UA=",0)</f>
        <v>0</v>
      </c>
      <c r="BN169" t="e">
        <f>AND('Planilla_General_03-12-2012_9_3'!A2693,"AAAAABv3+UE=")</f>
        <v>#VALUE!</v>
      </c>
      <c r="BO169" t="e">
        <f>AND('Planilla_General_03-12-2012_9_3'!B2693,"AAAAABv3+UI=")</f>
        <v>#VALUE!</v>
      </c>
      <c r="BP169" t="e">
        <f>AND('Planilla_General_03-12-2012_9_3'!C2693,"AAAAABv3+UM=")</f>
        <v>#VALUE!</v>
      </c>
      <c r="BQ169" t="e">
        <f>AND('Planilla_General_03-12-2012_9_3'!D2693,"AAAAABv3+UQ=")</f>
        <v>#VALUE!</v>
      </c>
      <c r="BR169" t="e">
        <f>AND('Planilla_General_03-12-2012_9_3'!E2693,"AAAAABv3+UU=")</f>
        <v>#VALUE!</v>
      </c>
      <c r="BS169" t="e">
        <f>AND('Planilla_General_03-12-2012_9_3'!F2693,"AAAAABv3+UY=")</f>
        <v>#VALUE!</v>
      </c>
      <c r="BT169" t="e">
        <f>AND('Planilla_General_03-12-2012_9_3'!G2693,"AAAAABv3+Uc=")</f>
        <v>#VALUE!</v>
      </c>
      <c r="BU169" t="e">
        <f>AND('Planilla_General_03-12-2012_9_3'!H2693,"AAAAABv3+Ug=")</f>
        <v>#VALUE!</v>
      </c>
      <c r="BV169" t="e">
        <f>AND('Planilla_General_03-12-2012_9_3'!I2693,"AAAAABv3+Uk=")</f>
        <v>#VALUE!</v>
      </c>
      <c r="BW169" t="e">
        <f>AND('Planilla_General_03-12-2012_9_3'!J2693,"AAAAABv3+Uo=")</f>
        <v>#VALUE!</v>
      </c>
      <c r="BX169" t="e">
        <f>AND('Planilla_General_03-12-2012_9_3'!K2693,"AAAAABv3+Us=")</f>
        <v>#VALUE!</v>
      </c>
      <c r="BY169" t="e">
        <f>AND('Planilla_General_03-12-2012_9_3'!L2693,"AAAAABv3+Uw=")</f>
        <v>#VALUE!</v>
      </c>
      <c r="BZ169" t="e">
        <f>AND('Planilla_General_03-12-2012_9_3'!M2693,"AAAAABv3+U0=")</f>
        <v>#VALUE!</v>
      </c>
      <c r="CA169" t="e">
        <f>AND('Planilla_General_03-12-2012_9_3'!N2693,"AAAAABv3+U4=")</f>
        <v>#VALUE!</v>
      </c>
      <c r="CB169" t="e">
        <f>AND('Planilla_General_03-12-2012_9_3'!O2693,"AAAAABv3+U8=")</f>
        <v>#VALUE!</v>
      </c>
      <c r="CC169">
        <f>IF('Planilla_General_03-12-2012_9_3'!2694:2694,"AAAAABv3+VA=",0)</f>
        <v>0</v>
      </c>
      <c r="CD169" t="e">
        <f>AND('Planilla_General_03-12-2012_9_3'!A2694,"AAAAABv3+VE=")</f>
        <v>#VALUE!</v>
      </c>
      <c r="CE169" t="e">
        <f>AND('Planilla_General_03-12-2012_9_3'!B2694,"AAAAABv3+VI=")</f>
        <v>#VALUE!</v>
      </c>
      <c r="CF169" t="e">
        <f>AND('Planilla_General_03-12-2012_9_3'!C2694,"AAAAABv3+VM=")</f>
        <v>#VALUE!</v>
      </c>
      <c r="CG169" t="e">
        <f>AND('Planilla_General_03-12-2012_9_3'!D2694,"AAAAABv3+VQ=")</f>
        <v>#VALUE!</v>
      </c>
      <c r="CH169" t="e">
        <f>AND('Planilla_General_03-12-2012_9_3'!E2694,"AAAAABv3+VU=")</f>
        <v>#VALUE!</v>
      </c>
      <c r="CI169" t="e">
        <f>AND('Planilla_General_03-12-2012_9_3'!F2694,"AAAAABv3+VY=")</f>
        <v>#VALUE!</v>
      </c>
      <c r="CJ169" t="e">
        <f>AND('Planilla_General_03-12-2012_9_3'!G2694,"AAAAABv3+Vc=")</f>
        <v>#VALUE!</v>
      </c>
      <c r="CK169" t="e">
        <f>AND('Planilla_General_03-12-2012_9_3'!H2694,"AAAAABv3+Vg=")</f>
        <v>#VALUE!</v>
      </c>
      <c r="CL169" t="e">
        <f>AND('Planilla_General_03-12-2012_9_3'!I2694,"AAAAABv3+Vk=")</f>
        <v>#VALUE!</v>
      </c>
      <c r="CM169" t="e">
        <f>AND('Planilla_General_03-12-2012_9_3'!J2694,"AAAAABv3+Vo=")</f>
        <v>#VALUE!</v>
      </c>
      <c r="CN169" t="e">
        <f>AND('Planilla_General_03-12-2012_9_3'!K2694,"AAAAABv3+Vs=")</f>
        <v>#VALUE!</v>
      </c>
      <c r="CO169" t="e">
        <f>AND('Planilla_General_03-12-2012_9_3'!L2694,"AAAAABv3+Vw=")</f>
        <v>#VALUE!</v>
      </c>
      <c r="CP169" t="e">
        <f>AND('Planilla_General_03-12-2012_9_3'!M2694,"AAAAABv3+V0=")</f>
        <v>#VALUE!</v>
      </c>
      <c r="CQ169" t="e">
        <f>AND('Planilla_General_03-12-2012_9_3'!N2694,"AAAAABv3+V4=")</f>
        <v>#VALUE!</v>
      </c>
      <c r="CR169" t="e">
        <f>AND('Planilla_General_03-12-2012_9_3'!O2694,"AAAAABv3+V8=")</f>
        <v>#VALUE!</v>
      </c>
      <c r="CS169">
        <f>IF('Planilla_General_03-12-2012_9_3'!2695:2695,"AAAAABv3+WA=",0)</f>
        <v>0</v>
      </c>
      <c r="CT169" t="e">
        <f>AND('Planilla_General_03-12-2012_9_3'!A2695,"AAAAABv3+WE=")</f>
        <v>#VALUE!</v>
      </c>
      <c r="CU169" t="e">
        <f>AND('Planilla_General_03-12-2012_9_3'!B2695,"AAAAABv3+WI=")</f>
        <v>#VALUE!</v>
      </c>
      <c r="CV169" t="e">
        <f>AND('Planilla_General_03-12-2012_9_3'!C2695,"AAAAABv3+WM=")</f>
        <v>#VALUE!</v>
      </c>
      <c r="CW169" t="e">
        <f>AND('Planilla_General_03-12-2012_9_3'!D2695,"AAAAABv3+WQ=")</f>
        <v>#VALUE!</v>
      </c>
      <c r="CX169" t="e">
        <f>AND('Planilla_General_03-12-2012_9_3'!E2695,"AAAAABv3+WU=")</f>
        <v>#VALUE!</v>
      </c>
      <c r="CY169" t="e">
        <f>AND('Planilla_General_03-12-2012_9_3'!F2695,"AAAAABv3+WY=")</f>
        <v>#VALUE!</v>
      </c>
      <c r="CZ169" t="e">
        <f>AND('Planilla_General_03-12-2012_9_3'!G2695,"AAAAABv3+Wc=")</f>
        <v>#VALUE!</v>
      </c>
      <c r="DA169" t="e">
        <f>AND('Planilla_General_03-12-2012_9_3'!H2695,"AAAAABv3+Wg=")</f>
        <v>#VALUE!</v>
      </c>
      <c r="DB169" t="e">
        <f>AND('Planilla_General_03-12-2012_9_3'!I2695,"AAAAABv3+Wk=")</f>
        <v>#VALUE!</v>
      </c>
      <c r="DC169" t="e">
        <f>AND('Planilla_General_03-12-2012_9_3'!J2695,"AAAAABv3+Wo=")</f>
        <v>#VALUE!</v>
      </c>
      <c r="DD169" t="e">
        <f>AND('Planilla_General_03-12-2012_9_3'!K2695,"AAAAABv3+Ws=")</f>
        <v>#VALUE!</v>
      </c>
      <c r="DE169" t="e">
        <f>AND('Planilla_General_03-12-2012_9_3'!L2695,"AAAAABv3+Ww=")</f>
        <v>#VALUE!</v>
      </c>
      <c r="DF169" t="e">
        <f>AND('Planilla_General_03-12-2012_9_3'!M2695,"AAAAABv3+W0=")</f>
        <v>#VALUE!</v>
      </c>
      <c r="DG169" t="e">
        <f>AND('Planilla_General_03-12-2012_9_3'!N2695,"AAAAABv3+W4=")</f>
        <v>#VALUE!</v>
      </c>
      <c r="DH169" t="e">
        <f>AND('Planilla_General_03-12-2012_9_3'!O2695,"AAAAABv3+W8=")</f>
        <v>#VALUE!</v>
      </c>
      <c r="DI169">
        <f>IF('Planilla_General_03-12-2012_9_3'!2696:2696,"AAAAABv3+XA=",0)</f>
        <v>0</v>
      </c>
      <c r="DJ169" t="e">
        <f>AND('Planilla_General_03-12-2012_9_3'!A2696,"AAAAABv3+XE=")</f>
        <v>#VALUE!</v>
      </c>
      <c r="DK169" t="e">
        <f>AND('Planilla_General_03-12-2012_9_3'!B2696,"AAAAABv3+XI=")</f>
        <v>#VALUE!</v>
      </c>
      <c r="DL169" t="e">
        <f>AND('Planilla_General_03-12-2012_9_3'!C2696,"AAAAABv3+XM=")</f>
        <v>#VALUE!</v>
      </c>
      <c r="DM169" t="e">
        <f>AND('Planilla_General_03-12-2012_9_3'!D2696,"AAAAABv3+XQ=")</f>
        <v>#VALUE!</v>
      </c>
      <c r="DN169" t="e">
        <f>AND('Planilla_General_03-12-2012_9_3'!E2696,"AAAAABv3+XU=")</f>
        <v>#VALUE!</v>
      </c>
      <c r="DO169" t="e">
        <f>AND('Planilla_General_03-12-2012_9_3'!F2696,"AAAAABv3+XY=")</f>
        <v>#VALUE!</v>
      </c>
      <c r="DP169" t="e">
        <f>AND('Planilla_General_03-12-2012_9_3'!G2696,"AAAAABv3+Xc=")</f>
        <v>#VALUE!</v>
      </c>
      <c r="DQ169" t="e">
        <f>AND('Planilla_General_03-12-2012_9_3'!H2696,"AAAAABv3+Xg=")</f>
        <v>#VALUE!</v>
      </c>
      <c r="DR169" t="e">
        <f>AND('Planilla_General_03-12-2012_9_3'!I2696,"AAAAABv3+Xk=")</f>
        <v>#VALUE!</v>
      </c>
      <c r="DS169" t="e">
        <f>AND('Planilla_General_03-12-2012_9_3'!J2696,"AAAAABv3+Xo=")</f>
        <v>#VALUE!</v>
      </c>
      <c r="DT169" t="e">
        <f>AND('Planilla_General_03-12-2012_9_3'!K2696,"AAAAABv3+Xs=")</f>
        <v>#VALUE!</v>
      </c>
      <c r="DU169" t="e">
        <f>AND('Planilla_General_03-12-2012_9_3'!L2696,"AAAAABv3+Xw=")</f>
        <v>#VALUE!</v>
      </c>
      <c r="DV169" t="e">
        <f>AND('Planilla_General_03-12-2012_9_3'!M2696,"AAAAABv3+X0=")</f>
        <v>#VALUE!</v>
      </c>
      <c r="DW169" t="e">
        <f>AND('Planilla_General_03-12-2012_9_3'!N2696,"AAAAABv3+X4=")</f>
        <v>#VALUE!</v>
      </c>
      <c r="DX169" t="e">
        <f>AND('Planilla_General_03-12-2012_9_3'!O2696,"AAAAABv3+X8=")</f>
        <v>#VALUE!</v>
      </c>
      <c r="DY169">
        <f>IF('Planilla_General_03-12-2012_9_3'!2697:2697,"AAAAABv3+YA=",0)</f>
        <v>0</v>
      </c>
      <c r="DZ169" t="e">
        <f>AND('Planilla_General_03-12-2012_9_3'!A2697,"AAAAABv3+YE=")</f>
        <v>#VALUE!</v>
      </c>
      <c r="EA169" t="e">
        <f>AND('Planilla_General_03-12-2012_9_3'!B2697,"AAAAABv3+YI=")</f>
        <v>#VALUE!</v>
      </c>
      <c r="EB169" t="e">
        <f>AND('Planilla_General_03-12-2012_9_3'!C2697,"AAAAABv3+YM=")</f>
        <v>#VALUE!</v>
      </c>
      <c r="EC169" t="e">
        <f>AND('Planilla_General_03-12-2012_9_3'!D2697,"AAAAABv3+YQ=")</f>
        <v>#VALUE!</v>
      </c>
      <c r="ED169" t="e">
        <f>AND('Planilla_General_03-12-2012_9_3'!E2697,"AAAAABv3+YU=")</f>
        <v>#VALUE!</v>
      </c>
      <c r="EE169" t="e">
        <f>AND('Planilla_General_03-12-2012_9_3'!F2697,"AAAAABv3+YY=")</f>
        <v>#VALUE!</v>
      </c>
      <c r="EF169" t="e">
        <f>AND('Planilla_General_03-12-2012_9_3'!G2697,"AAAAABv3+Yc=")</f>
        <v>#VALUE!</v>
      </c>
      <c r="EG169" t="e">
        <f>AND('Planilla_General_03-12-2012_9_3'!H2697,"AAAAABv3+Yg=")</f>
        <v>#VALUE!</v>
      </c>
      <c r="EH169" t="e">
        <f>AND('Planilla_General_03-12-2012_9_3'!I2697,"AAAAABv3+Yk=")</f>
        <v>#VALUE!</v>
      </c>
      <c r="EI169" t="e">
        <f>AND('Planilla_General_03-12-2012_9_3'!J2697,"AAAAABv3+Yo=")</f>
        <v>#VALUE!</v>
      </c>
      <c r="EJ169" t="e">
        <f>AND('Planilla_General_03-12-2012_9_3'!K2697,"AAAAABv3+Ys=")</f>
        <v>#VALUE!</v>
      </c>
      <c r="EK169" t="e">
        <f>AND('Planilla_General_03-12-2012_9_3'!L2697,"AAAAABv3+Yw=")</f>
        <v>#VALUE!</v>
      </c>
      <c r="EL169" t="e">
        <f>AND('Planilla_General_03-12-2012_9_3'!M2697,"AAAAABv3+Y0=")</f>
        <v>#VALUE!</v>
      </c>
      <c r="EM169" t="e">
        <f>AND('Planilla_General_03-12-2012_9_3'!N2697,"AAAAABv3+Y4=")</f>
        <v>#VALUE!</v>
      </c>
      <c r="EN169" t="e">
        <f>AND('Planilla_General_03-12-2012_9_3'!O2697,"AAAAABv3+Y8=")</f>
        <v>#VALUE!</v>
      </c>
      <c r="EO169">
        <f>IF('Planilla_General_03-12-2012_9_3'!2698:2698,"AAAAABv3+ZA=",0)</f>
        <v>0</v>
      </c>
      <c r="EP169" t="e">
        <f>AND('Planilla_General_03-12-2012_9_3'!A2698,"AAAAABv3+ZE=")</f>
        <v>#VALUE!</v>
      </c>
      <c r="EQ169" t="e">
        <f>AND('Planilla_General_03-12-2012_9_3'!B2698,"AAAAABv3+ZI=")</f>
        <v>#VALUE!</v>
      </c>
      <c r="ER169" t="e">
        <f>AND('Planilla_General_03-12-2012_9_3'!C2698,"AAAAABv3+ZM=")</f>
        <v>#VALUE!</v>
      </c>
      <c r="ES169" t="e">
        <f>AND('Planilla_General_03-12-2012_9_3'!D2698,"AAAAABv3+ZQ=")</f>
        <v>#VALUE!</v>
      </c>
      <c r="ET169" t="e">
        <f>AND('Planilla_General_03-12-2012_9_3'!E2698,"AAAAABv3+ZU=")</f>
        <v>#VALUE!</v>
      </c>
      <c r="EU169" t="e">
        <f>AND('Planilla_General_03-12-2012_9_3'!F2698,"AAAAABv3+ZY=")</f>
        <v>#VALUE!</v>
      </c>
      <c r="EV169" t="e">
        <f>AND('Planilla_General_03-12-2012_9_3'!G2698,"AAAAABv3+Zc=")</f>
        <v>#VALUE!</v>
      </c>
      <c r="EW169" t="e">
        <f>AND('Planilla_General_03-12-2012_9_3'!H2698,"AAAAABv3+Zg=")</f>
        <v>#VALUE!</v>
      </c>
      <c r="EX169" t="e">
        <f>AND('Planilla_General_03-12-2012_9_3'!I2698,"AAAAABv3+Zk=")</f>
        <v>#VALUE!</v>
      </c>
      <c r="EY169" t="e">
        <f>AND('Planilla_General_03-12-2012_9_3'!J2698,"AAAAABv3+Zo=")</f>
        <v>#VALUE!</v>
      </c>
      <c r="EZ169" t="e">
        <f>AND('Planilla_General_03-12-2012_9_3'!K2698,"AAAAABv3+Zs=")</f>
        <v>#VALUE!</v>
      </c>
      <c r="FA169" t="e">
        <f>AND('Planilla_General_03-12-2012_9_3'!L2698,"AAAAABv3+Zw=")</f>
        <v>#VALUE!</v>
      </c>
      <c r="FB169" t="e">
        <f>AND('Planilla_General_03-12-2012_9_3'!M2698,"AAAAABv3+Z0=")</f>
        <v>#VALUE!</v>
      </c>
      <c r="FC169" t="e">
        <f>AND('Planilla_General_03-12-2012_9_3'!N2698,"AAAAABv3+Z4=")</f>
        <v>#VALUE!</v>
      </c>
      <c r="FD169" t="e">
        <f>AND('Planilla_General_03-12-2012_9_3'!O2698,"AAAAABv3+Z8=")</f>
        <v>#VALUE!</v>
      </c>
      <c r="FE169">
        <f>IF('Planilla_General_03-12-2012_9_3'!2699:2699,"AAAAABv3+aA=",0)</f>
        <v>0</v>
      </c>
      <c r="FF169" t="e">
        <f>AND('Planilla_General_03-12-2012_9_3'!A2699,"AAAAABv3+aE=")</f>
        <v>#VALUE!</v>
      </c>
      <c r="FG169" t="e">
        <f>AND('Planilla_General_03-12-2012_9_3'!B2699,"AAAAABv3+aI=")</f>
        <v>#VALUE!</v>
      </c>
      <c r="FH169" t="e">
        <f>AND('Planilla_General_03-12-2012_9_3'!C2699,"AAAAABv3+aM=")</f>
        <v>#VALUE!</v>
      </c>
      <c r="FI169" t="e">
        <f>AND('Planilla_General_03-12-2012_9_3'!D2699,"AAAAABv3+aQ=")</f>
        <v>#VALUE!</v>
      </c>
      <c r="FJ169" t="e">
        <f>AND('Planilla_General_03-12-2012_9_3'!E2699,"AAAAABv3+aU=")</f>
        <v>#VALUE!</v>
      </c>
      <c r="FK169" t="e">
        <f>AND('Planilla_General_03-12-2012_9_3'!F2699,"AAAAABv3+aY=")</f>
        <v>#VALUE!</v>
      </c>
      <c r="FL169" t="e">
        <f>AND('Planilla_General_03-12-2012_9_3'!G2699,"AAAAABv3+ac=")</f>
        <v>#VALUE!</v>
      </c>
      <c r="FM169" t="e">
        <f>AND('Planilla_General_03-12-2012_9_3'!H2699,"AAAAABv3+ag=")</f>
        <v>#VALUE!</v>
      </c>
      <c r="FN169" t="e">
        <f>AND('Planilla_General_03-12-2012_9_3'!I2699,"AAAAABv3+ak=")</f>
        <v>#VALUE!</v>
      </c>
      <c r="FO169" t="e">
        <f>AND('Planilla_General_03-12-2012_9_3'!J2699,"AAAAABv3+ao=")</f>
        <v>#VALUE!</v>
      </c>
      <c r="FP169" t="e">
        <f>AND('Planilla_General_03-12-2012_9_3'!K2699,"AAAAABv3+as=")</f>
        <v>#VALUE!</v>
      </c>
      <c r="FQ169" t="e">
        <f>AND('Planilla_General_03-12-2012_9_3'!L2699,"AAAAABv3+aw=")</f>
        <v>#VALUE!</v>
      </c>
      <c r="FR169" t="e">
        <f>AND('Planilla_General_03-12-2012_9_3'!M2699,"AAAAABv3+a0=")</f>
        <v>#VALUE!</v>
      </c>
      <c r="FS169" t="e">
        <f>AND('Planilla_General_03-12-2012_9_3'!N2699,"AAAAABv3+a4=")</f>
        <v>#VALUE!</v>
      </c>
      <c r="FT169" t="e">
        <f>AND('Planilla_General_03-12-2012_9_3'!O2699,"AAAAABv3+a8=")</f>
        <v>#VALUE!</v>
      </c>
      <c r="FU169">
        <f>IF('Planilla_General_03-12-2012_9_3'!2700:2700,"AAAAABv3+bA=",0)</f>
        <v>0</v>
      </c>
      <c r="FV169" t="e">
        <f>AND('Planilla_General_03-12-2012_9_3'!A2700,"AAAAABv3+bE=")</f>
        <v>#VALUE!</v>
      </c>
      <c r="FW169" t="e">
        <f>AND('Planilla_General_03-12-2012_9_3'!B2700,"AAAAABv3+bI=")</f>
        <v>#VALUE!</v>
      </c>
      <c r="FX169" t="e">
        <f>AND('Planilla_General_03-12-2012_9_3'!C2700,"AAAAABv3+bM=")</f>
        <v>#VALUE!</v>
      </c>
      <c r="FY169" t="e">
        <f>AND('Planilla_General_03-12-2012_9_3'!D2700,"AAAAABv3+bQ=")</f>
        <v>#VALUE!</v>
      </c>
      <c r="FZ169" t="e">
        <f>AND('Planilla_General_03-12-2012_9_3'!E2700,"AAAAABv3+bU=")</f>
        <v>#VALUE!</v>
      </c>
      <c r="GA169" t="e">
        <f>AND('Planilla_General_03-12-2012_9_3'!F2700,"AAAAABv3+bY=")</f>
        <v>#VALUE!</v>
      </c>
      <c r="GB169" t="e">
        <f>AND('Planilla_General_03-12-2012_9_3'!G2700,"AAAAABv3+bc=")</f>
        <v>#VALUE!</v>
      </c>
      <c r="GC169" t="e">
        <f>AND('Planilla_General_03-12-2012_9_3'!H2700,"AAAAABv3+bg=")</f>
        <v>#VALUE!</v>
      </c>
      <c r="GD169" t="e">
        <f>AND('Planilla_General_03-12-2012_9_3'!I2700,"AAAAABv3+bk=")</f>
        <v>#VALUE!</v>
      </c>
      <c r="GE169" t="e">
        <f>AND('Planilla_General_03-12-2012_9_3'!J2700,"AAAAABv3+bo=")</f>
        <v>#VALUE!</v>
      </c>
      <c r="GF169" t="e">
        <f>AND('Planilla_General_03-12-2012_9_3'!K2700,"AAAAABv3+bs=")</f>
        <v>#VALUE!</v>
      </c>
      <c r="GG169" t="e">
        <f>AND('Planilla_General_03-12-2012_9_3'!L2700,"AAAAABv3+bw=")</f>
        <v>#VALUE!</v>
      </c>
      <c r="GH169" t="e">
        <f>AND('Planilla_General_03-12-2012_9_3'!M2700,"AAAAABv3+b0=")</f>
        <v>#VALUE!</v>
      </c>
      <c r="GI169" t="e">
        <f>AND('Planilla_General_03-12-2012_9_3'!N2700,"AAAAABv3+b4=")</f>
        <v>#VALUE!</v>
      </c>
      <c r="GJ169" t="e">
        <f>AND('Planilla_General_03-12-2012_9_3'!O2700,"AAAAABv3+b8=")</f>
        <v>#VALUE!</v>
      </c>
      <c r="GK169">
        <f>IF('Planilla_General_03-12-2012_9_3'!2701:2701,"AAAAABv3+cA=",0)</f>
        <v>0</v>
      </c>
      <c r="GL169" t="e">
        <f>AND('Planilla_General_03-12-2012_9_3'!A2701,"AAAAABv3+cE=")</f>
        <v>#VALUE!</v>
      </c>
      <c r="GM169" t="e">
        <f>AND('Planilla_General_03-12-2012_9_3'!B2701,"AAAAABv3+cI=")</f>
        <v>#VALUE!</v>
      </c>
      <c r="GN169" t="e">
        <f>AND('Planilla_General_03-12-2012_9_3'!C2701,"AAAAABv3+cM=")</f>
        <v>#VALUE!</v>
      </c>
      <c r="GO169" t="e">
        <f>AND('Planilla_General_03-12-2012_9_3'!D2701,"AAAAABv3+cQ=")</f>
        <v>#VALUE!</v>
      </c>
      <c r="GP169" t="e">
        <f>AND('Planilla_General_03-12-2012_9_3'!E2701,"AAAAABv3+cU=")</f>
        <v>#VALUE!</v>
      </c>
      <c r="GQ169" t="e">
        <f>AND('Planilla_General_03-12-2012_9_3'!F2701,"AAAAABv3+cY=")</f>
        <v>#VALUE!</v>
      </c>
      <c r="GR169" t="e">
        <f>AND('Planilla_General_03-12-2012_9_3'!G2701,"AAAAABv3+cc=")</f>
        <v>#VALUE!</v>
      </c>
      <c r="GS169" t="e">
        <f>AND('Planilla_General_03-12-2012_9_3'!H2701,"AAAAABv3+cg=")</f>
        <v>#VALUE!</v>
      </c>
      <c r="GT169" t="e">
        <f>AND('Planilla_General_03-12-2012_9_3'!I2701,"AAAAABv3+ck=")</f>
        <v>#VALUE!</v>
      </c>
      <c r="GU169" t="e">
        <f>AND('Planilla_General_03-12-2012_9_3'!J2701,"AAAAABv3+co=")</f>
        <v>#VALUE!</v>
      </c>
      <c r="GV169" t="e">
        <f>AND('Planilla_General_03-12-2012_9_3'!K2701,"AAAAABv3+cs=")</f>
        <v>#VALUE!</v>
      </c>
      <c r="GW169" t="e">
        <f>AND('Planilla_General_03-12-2012_9_3'!L2701,"AAAAABv3+cw=")</f>
        <v>#VALUE!</v>
      </c>
      <c r="GX169" t="e">
        <f>AND('Planilla_General_03-12-2012_9_3'!M2701,"AAAAABv3+c0=")</f>
        <v>#VALUE!</v>
      </c>
      <c r="GY169" t="e">
        <f>AND('Planilla_General_03-12-2012_9_3'!N2701,"AAAAABv3+c4=")</f>
        <v>#VALUE!</v>
      </c>
      <c r="GZ169" t="e">
        <f>AND('Planilla_General_03-12-2012_9_3'!O2701,"AAAAABv3+c8=")</f>
        <v>#VALUE!</v>
      </c>
      <c r="HA169">
        <f>IF('Planilla_General_03-12-2012_9_3'!2702:2702,"AAAAABv3+dA=",0)</f>
        <v>0</v>
      </c>
      <c r="HB169" t="e">
        <f>AND('Planilla_General_03-12-2012_9_3'!A2702,"AAAAABv3+dE=")</f>
        <v>#VALUE!</v>
      </c>
      <c r="HC169" t="e">
        <f>AND('Planilla_General_03-12-2012_9_3'!B2702,"AAAAABv3+dI=")</f>
        <v>#VALUE!</v>
      </c>
      <c r="HD169" t="e">
        <f>AND('Planilla_General_03-12-2012_9_3'!C2702,"AAAAABv3+dM=")</f>
        <v>#VALUE!</v>
      </c>
      <c r="HE169" t="e">
        <f>AND('Planilla_General_03-12-2012_9_3'!D2702,"AAAAABv3+dQ=")</f>
        <v>#VALUE!</v>
      </c>
      <c r="HF169" t="e">
        <f>AND('Planilla_General_03-12-2012_9_3'!E2702,"AAAAABv3+dU=")</f>
        <v>#VALUE!</v>
      </c>
      <c r="HG169" t="e">
        <f>AND('Planilla_General_03-12-2012_9_3'!F2702,"AAAAABv3+dY=")</f>
        <v>#VALUE!</v>
      </c>
      <c r="HH169" t="e">
        <f>AND('Planilla_General_03-12-2012_9_3'!G2702,"AAAAABv3+dc=")</f>
        <v>#VALUE!</v>
      </c>
      <c r="HI169" t="e">
        <f>AND('Planilla_General_03-12-2012_9_3'!H2702,"AAAAABv3+dg=")</f>
        <v>#VALUE!</v>
      </c>
      <c r="HJ169" t="e">
        <f>AND('Planilla_General_03-12-2012_9_3'!I2702,"AAAAABv3+dk=")</f>
        <v>#VALUE!</v>
      </c>
      <c r="HK169" t="e">
        <f>AND('Planilla_General_03-12-2012_9_3'!J2702,"AAAAABv3+do=")</f>
        <v>#VALUE!</v>
      </c>
      <c r="HL169" t="e">
        <f>AND('Planilla_General_03-12-2012_9_3'!K2702,"AAAAABv3+ds=")</f>
        <v>#VALUE!</v>
      </c>
      <c r="HM169" t="e">
        <f>AND('Planilla_General_03-12-2012_9_3'!L2702,"AAAAABv3+dw=")</f>
        <v>#VALUE!</v>
      </c>
      <c r="HN169" t="e">
        <f>AND('Planilla_General_03-12-2012_9_3'!M2702,"AAAAABv3+d0=")</f>
        <v>#VALUE!</v>
      </c>
      <c r="HO169" t="e">
        <f>AND('Planilla_General_03-12-2012_9_3'!N2702,"AAAAABv3+d4=")</f>
        <v>#VALUE!</v>
      </c>
      <c r="HP169" t="e">
        <f>AND('Planilla_General_03-12-2012_9_3'!O2702,"AAAAABv3+d8=")</f>
        <v>#VALUE!</v>
      </c>
      <c r="HQ169">
        <f>IF('Planilla_General_03-12-2012_9_3'!2703:2703,"AAAAABv3+eA=",0)</f>
        <v>0</v>
      </c>
      <c r="HR169" t="e">
        <f>AND('Planilla_General_03-12-2012_9_3'!A2703,"AAAAABv3+eE=")</f>
        <v>#VALUE!</v>
      </c>
      <c r="HS169" t="e">
        <f>AND('Planilla_General_03-12-2012_9_3'!B2703,"AAAAABv3+eI=")</f>
        <v>#VALUE!</v>
      </c>
      <c r="HT169" t="e">
        <f>AND('Planilla_General_03-12-2012_9_3'!C2703,"AAAAABv3+eM=")</f>
        <v>#VALUE!</v>
      </c>
      <c r="HU169" t="e">
        <f>AND('Planilla_General_03-12-2012_9_3'!D2703,"AAAAABv3+eQ=")</f>
        <v>#VALUE!</v>
      </c>
      <c r="HV169" t="e">
        <f>AND('Planilla_General_03-12-2012_9_3'!E2703,"AAAAABv3+eU=")</f>
        <v>#VALUE!</v>
      </c>
      <c r="HW169" t="e">
        <f>AND('Planilla_General_03-12-2012_9_3'!F2703,"AAAAABv3+eY=")</f>
        <v>#VALUE!</v>
      </c>
      <c r="HX169" t="e">
        <f>AND('Planilla_General_03-12-2012_9_3'!G2703,"AAAAABv3+ec=")</f>
        <v>#VALUE!</v>
      </c>
      <c r="HY169" t="e">
        <f>AND('Planilla_General_03-12-2012_9_3'!H2703,"AAAAABv3+eg=")</f>
        <v>#VALUE!</v>
      </c>
      <c r="HZ169" t="e">
        <f>AND('Planilla_General_03-12-2012_9_3'!I2703,"AAAAABv3+ek=")</f>
        <v>#VALUE!</v>
      </c>
      <c r="IA169" t="e">
        <f>AND('Planilla_General_03-12-2012_9_3'!J2703,"AAAAABv3+eo=")</f>
        <v>#VALUE!</v>
      </c>
      <c r="IB169" t="e">
        <f>AND('Planilla_General_03-12-2012_9_3'!K2703,"AAAAABv3+es=")</f>
        <v>#VALUE!</v>
      </c>
      <c r="IC169" t="e">
        <f>AND('Planilla_General_03-12-2012_9_3'!L2703,"AAAAABv3+ew=")</f>
        <v>#VALUE!</v>
      </c>
      <c r="ID169" t="e">
        <f>AND('Planilla_General_03-12-2012_9_3'!M2703,"AAAAABv3+e0=")</f>
        <v>#VALUE!</v>
      </c>
      <c r="IE169" t="e">
        <f>AND('Planilla_General_03-12-2012_9_3'!N2703,"AAAAABv3+e4=")</f>
        <v>#VALUE!</v>
      </c>
      <c r="IF169" t="e">
        <f>AND('Planilla_General_03-12-2012_9_3'!O2703,"AAAAABv3+e8=")</f>
        <v>#VALUE!</v>
      </c>
      <c r="IG169">
        <f>IF('Planilla_General_03-12-2012_9_3'!2704:2704,"AAAAABv3+fA=",0)</f>
        <v>0</v>
      </c>
      <c r="IH169" t="e">
        <f>AND('Planilla_General_03-12-2012_9_3'!A2704,"AAAAABv3+fE=")</f>
        <v>#VALUE!</v>
      </c>
      <c r="II169" t="e">
        <f>AND('Planilla_General_03-12-2012_9_3'!B2704,"AAAAABv3+fI=")</f>
        <v>#VALUE!</v>
      </c>
      <c r="IJ169" t="e">
        <f>AND('Planilla_General_03-12-2012_9_3'!C2704,"AAAAABv3+fM=")</f>
        <v>#VALUE!</v>
      </c>
      <c r="IK169" t="e">
        <f>AND('Planilla_General_03-12-2012_9_3'!D2704,"AAAAABv3+fQ=")</f>
        <v>#VALUE!</v>
      </c>
      <c r="IL169" t="e">
        <f>AND('Planilla_General_03-12-2012_9_3'!E2704,"AAAAABv3+fU=")</f>
        <v>#VALUE!</v>
      </c>
      <c r="IM169" t="e">
        <f>AND('Planilla_General_03-12-2012_9_3'!F2704,"AAAAABv3+fY=")</f>
        <v>#VALUE!</v>
      </c>
      <c r="IN169" t="e">
        <f>AND('Planilla_General_03-12-2012_9_3'!G2704,"AAAAABv3+fc=")</f>
        <v>#VALUE!</v>
      </c>
      <c r="IO169" t="e">
        <f>AND('Planilla_General_03-12-2012_9_3'!H2704,"AAAAABv3+fg=")</f>
        <v>#VALUE!</v>
      </c>
      <c r="IP169" t="e">
        <f>AND('Planilla_General_03-12-2012_9_3'!I2704,"AAAAABv3+fk=")</f>
        <v>#VALUE!</v>
      </c>
      <c r="IQ169" t="e">
        <f>AND('Planilla_General_03-12-2012_9_3'!J2704,"AAAAABv3+fo=")</f>
        <v>#VALUE!</v>
      </c>
      <c r="IR169" t="e">
        <f>AND('Planilla_General_03-12-2012_9_3'!K2704,"AAAAABv3+fs=")</f>
        <v>#VALUE!</v>
      </c>
      <c r="IS169" t="e">
        <f>AND('Planilla_General_03-12-2012_9_3'!L2704,"AAAAABv3+fw=")</f>
        <v>#VALUE!</v>
      </c>
      <c r="IT169" t="e">
        <f>AND('Planilla_General_03-12-2012_9_3'!M2704,"AAAAABv3+f0=")</f>
        <v>#VALUE!</v>
      </c>
      <c r="IU169" t="e">
        <f>AND('Planilla_General_03-12-2012_9_3'!N2704,"AAAAABv3+f4=")</f>
        <v>#VALUE!</v>
      </c>
      <c r="IV169" t="e">
        <f>AND('Planilla_General_03-12-2012_9_3'!O2704,"AAAAABv3+f8=")</f>
        <v>#VALUE!</v>
      </c>
    </row>
    <row r="170" spans="1:256" x14ac:dyDescent="0.25">
      <c r="A170" t="e">
        <f>IF('Planilla_General_03-12-2012_9_3'!2705:2705,"AAAAAG/pdAA=",0)</f>
        <v>#VALUE!</v>
      </c>
      <c r="B170" t="e">
        <f>AND('Planilla_General_03-12-2012_9_3'!A2705,"AAAAAG/pdAE=")</f>
        <v>#VALUE!</v>
      </c>
      <c r="C170" t="e">
        <f>AND('Planilla_General_03-12-2012_9_3'!B2705,"AAAAAG/pdAI=")</f>
        <v>#VALUE!</v>
      </c>
      <c r="D170" t="e">
        <f>AND('Planilla_General_03-12-2012_9_3'!C2705,"AAAAAG/pdAM=")</f>
        <v>#VALUE!</v>
      </c>
      <c r="E170" t="e">
        <f>AND('Planilla_General_03-12-2012_9_3'!D2705,"AAAAAG/pdAQ=")</f>
        <v>#VALUE!</v>
      </c>
      <c r="F170" t="e">
        <f>AND('Planilla_General_03-12-2012_9_3'!E2705,"AAAAAG/pdAU=")</f>
        <v>#VALUE!</v>
      </c>
      <c r="G170" t="e">
        <f>AND('Planilla_General_03-12-2012_9_3'!F2705,"AAAAAG/pdAY=")</f>
        <v>#VALUE!</v>
      </c>
      <c r="H170" t="e">
        <f>AND('Planilla_General_03-12-2012_9_3'!G2705,"AAAAAG/pdAc=")</f>
        <v>#VALUE!</v>
      </c>
      <c r="I170" t="e">
        <f>AND('Planilla_General_03-12-2012_9_3'!H2705,"AAAAAG/pdAg=")</f>
        <v>#VALUE!</v>
      </c>
      <c r="J170" t="e">
        <f>AND('Planilla_General_03-12-2012_9_3'!I2705,"AAAAAG/pdAk=")</f>
        <v>#VALUE!</v>
      </c>
      <c r="K170" t="e">
        <f>AND('Planilla_General_03-12-2012_9_3'!J2705,"AAAAAG/pdAo=")</f>
        <v>#VALUE!</v>
      </c>
      <c r="L170" t="e">
        <f>AND('Planilla_General_03-12-2012_9_3'!K2705,"AAAAAG/pdAs=")</f>
        <v>#VALUE!</v>
      </c>
      <c r="M170" t="e">
        <f>AND('Planilla_General_03-12-2012_9_3'!L2705,"AAAAAG/pdAw=")</f>
        <v>#VALUE!</v>
      </c>
      <c r="N170" t="e">
        <f>AND('Planilla_General_03-12-2012_9_3'!M2705,"AAAAAG/pdA0=")</f>
        <v>#VALUE!</v>
      </c>
      <c r="O170" t="e">
        <f>AND('Planilla_General_03-12-2012_9_3'!N2705,"AAAAAG/pdA4=")</f>
        <v>#VALUE!</v>
      </c>
      <c r="P170" t="e">
        <f>AND('Planilla_General_03-12-2012_9_3'!O2705,"AAAAAG/pdA8=")</f>
        <v>#VALUE!</v>
      </c>
      <c r="Q170">
        <f>IF('Planilla_General_03-12-2012_9_3'!2706:2706,"AAAAAG/pdBA=",0)</f>
        <v>0</v>
      </c>
      <c r="R170" t="e">
        <f>AND('Planilla_General_03-12-2012_9_3'!A2706,"AAAAAG/pdBE=")</f>
        <v>#VALUE!</v>
      </c>
      <c r="S170" t="e">
        <f>AND('Planilla_General_03-12-2012_9_3'!B2706,"AAAAAG/pdBI=")</f>
        <v>#VALUE!</v>
      </c>
      <c r="T170" t="e">
        <f>AND('Planilla_General_03-12-2012_9_3'!C2706,"AAAAAG/pdBM=")</f>
        <v>#VALUE!</v>
      </c>
      <c r="U170" t="e">
        <f>AND('Planilla_General_03-12-2012_9_3'!D2706,"AAAAAG/pdBQ=")</f>
        <v>#VALUE!</v>
      </c>
      <c r="V170" t="e">
        <f>AND('Planilla_General_03-12-2012_9_3'!E2706,"AAAAAG/pdBU=")</f>
        <v>#VALUE!</v>
      </c>
      <c r="W170" t="e">
        <f>AND('Planilla_General_03-12-2012_9_3'!F2706,"AAAAAG/pdBY=")</f>
        <v>#VALUE!</v>
      </c>
      <c r="X170" t="e">
        <f>AND('Planilla_General_03-12-2012_9_3'!G2706,"AAAAAG/pdBc=")</f>
        <v>#VALUE!</v>
      </c>
      <c r="Y170" t="e">
        <f>AND('Planilla_General_03-12-2012_9_3'!H2706,"AAAAAG/pdBg=")</f>
        <v>#VALUE!</v>
      </c>
      <c r="Z170" t="e">
        <f>AND('Planilla_General_03-12-2012_9_3'!I2706,"AAAAAG/pdBk=")</f>
        <v>#VALUE!</v>
      </c>
      <c r="AA170" t="e">
        <f>AND('Planilla_General_03-12-2012_9_3'!J2706,"AAAAAG/pdBo=")</f>
        <v>#VALUE!</v>
      </c>
      <c r="AB170" t="e">
        <f>AND('Planilla_General_03-12-2012_9_3'!K2706,"AAAAAG/pdBs=")</f>
        <v>#VALUE!</v>
      </c>
      <c r="AC170" t="e">
        <f>AND('Planilla_General_03-12-2012_9_3'!L2706,"AAAAAG/pdBw=")</f>
        <v>#VALUE!</v>
      </c>
      <c r="AD170" t="e">
        <f>AND('Planilla_General_03-12-2012_9_3'!M2706,"AAAAAG/pdB0=")</f>
        <v>#VALUE!</v>
      </c>
      <c r="AE170" t="e">
        <f>AND('Planilla_General_03-12-2012_9_3'!N2706,"AAAAAG/pdB4=")</f>
        <v>#VALUE!</v>
      </c>
      <c r="AF170" t="e">
        <f>AND('Planilla_General_03-12-2012_9_3'!O2706,"AAAAAG/pdB8=")</f>
        <v>#VALUE!</v>
      </c>
      <c r="AG170">
        <f>IF('Planilla_General_03-12-2012_9_3'!2707:2707,"AAAAAG/pdCA=",0)</f>
        <v>0</v>
      </c>
      <c r="AH170" t="e">
        <f>AND('Planilla_General_03-12-2012_9_3'!A2707,"AAAAAG/pdCE=")</f>
        <v>#VALUE!</v>
      </c>
      <c r="AI170" t="e">
        <f>AND('Planilla_General_03-12-2012_9_3'!B2707,"AAAAAG/pdCI=")</f>
        <v>#VALUE!</v>
      </c>
      <c r="AJ170" t="e">
        <f>AND('Planilla_General_03-12-2012_9_3'!C2707,"AAAAAG/pdCM=")</f>
        <v>#VALUE!</v>
      </c>
      <c r="AK170" t="e">
        <f>AND('Planilla_General_03-12-2012_9_3'!D2707,"AAAAAG/pdCQ=")</f>
        <v>#VALUE!</v>
      </c>
      <c r="AL170" t="e">
        <f>AND('Planilla_General_03-12-2012_9_3'!E2707,"AAAAAG/pdCU=")</f>
        <v>#VALUE!</v>
      </c>
      <c r="AM170" t="e">
        <f>AND('Planilla_General_03-12-2012_9_3'!F2707,"AAAAAG/pdCY=")</f>
        <v>#VALUE!</v>
      </c>
      <c r="AN170" t="e">
        <f>AND('Planilla_General_03-12-2012_9_3'!G2707,"AAAAAG/pdCc=")</f>
        <v>#VALUE!</v>
      </c>
      <c r="AO170" t="e">
        <f>AND('Planilla_General_03-12-2012_9_3'!H2707,"AAAAAG/pdCg=")</f>
        <v>#VALUE!</v>
      </c>
      <c r="AP170" t="e">
        <f>AND('Planilla_General_03-12-2012_9_3'!I2707,"AAAAAG/pdCk=")</f>
        <v>#VALUE!</v>
      </c>
      <c r="AQ170" t="e">
        <f>AND('Planilla_General_03-12-2012_9_3'!J2707,"AAAAAG/pdCo=")</f>
        <v>#VALUE!</v>
      </c>
      <c r="AR170" t="e">
        <f>AND('Planilla_General_03-12-2012_9_3'!K2707,"AAAAAG/pdCs=")</f>
        <v>#VALUE!</v>
      </c>
      <c r="AS170" t="e">
        <f>AND('Planilla_General_03-12-2012_9_3'!L2707,"AAAAAG/pdCw=")</f>
        <v>#VALUE!</v>
      </c>
      <c r="AT170" t="e">
        <f>AND('Planilla_General_03-12-2012_9_3'!M2707,"AAAAAG/pdC0=")</f>
        <v>#VALUE!</v>
      </c>
      <c r="AU170" t="e">
        <f>AND('Planilla_General_03-12-2012_9_3'!N2707,"AAAAAG/pdC4=")</f>
        <v>#VALUE!</v>
      </c>
      <c r="AV170" t="e">
        <f>AND('Planilla_General_03-12-2012_9_3'!O2707,"AAAAAG/pdC8=")</f>
        <v>#VALUE!</v>
      </c>
      <c r="AW170">
        <f>IF('Planilla_General_03-12-2012_9_3'!2708:2708,"AAAAAG/pdDA=",0)</f>
        <v>0</v>
      </c>
      <c r="AX170" t="e">
        <f>AND('Planilla_General_03-12-2012_9_3'!A2708,"AAAAAG/pdDE=")</f>
        <v>#VALUE!</v>
      </c>
      <c r="AY170" t="e">
        <f>AND('Planilla_General_03-12-2012_9_3'!B2708,"AAAAAG/pdDI=")</f>
        <v>#VALUE!</v>
      </c>
      <c r="AZ170" t="e">
        <f>AND('Planilla_General_03-12-2012_9_3'!C2708,"AAAAAG/pdDM=")</f>
        <v>#VALUE!</v>
      </c>
      <c r="BA170" t="e">
        <f>AND('Planilla_General_03-12-2012_9_3'!D2708,"AAAAAG/pdDQ=")</f>
        <v>#VALUE!</v>
      </c>
      <c r="BB170" t="e">
        <f>AND('Planilla_General_03-12-2012_9_3'!E2708,"AAAAAG/pdDU=")</f>
        <v>#VALUE!</v>
      </c>
      <c r="BC170" t="e">
        <f>AND('Planilla_General_03-12-2012_9_3'!F2708,"AAAAAG/pdDY=")</f>
        <v>#VALUE!</v>
      </c>
      <c r="BD170" t="e">
        <f>AND('Planilla_General_03-12-2012_9_3'!G2708,"AAAAAG/pdDc=")</f>
        <v>#VALUE!</v>
      </c>
      <c r="BE170" t="e">
        <f>AND('Planilla_General_03-12-2012_9_3'!H2708,"AAAAAG/pdDg=")</f>
        <v>#VALUE!</v>
      </c>
      <c r="BF170" t="e">
        <f>AND('Planilla_General_03-12-2012_9_3'!I2708,"AAAAAG/pdDk=")</f>
        <v>#VALUE!</v>
      </c>
      <c r="BG170" t="e">
        <f>AND('Planilla_General_03-12-2012_9_3'!J2708,"AAAAAG/pdDo=")</f>
        <v>#VALUE!</v>
      </c>
      <c r="BH170" t="e">
        <f>AND('Planilla_General_03-12-2012_9_3'!K2708,"AAAAAG/pdDs=")</f>
        <v>#VALUE!</v>
      </c>
      <c r="BI170" t="e">
        <f>AND('Planilla_General_03-12-2012_9_3'!L2708,"AAAAAG/pdDw=")</f>
        <v>#VALUE!</v>
      </c>
      <c r="BJ170" t="e">
        <f>AND('Planilla_General_03-12-2012_9_3'!M2708,"AAAAAG/pdD0=")</f>
        <v>#VALUE!</v>
      </c>
      <c r="BK170" t="e">
        <f>AND('Planilla_General_03-12-2012_9_3'!N2708,"AAAAAG/pdD4=")</f>
        <v>#VALUE!</v>
      </c>
      <c r="BL170" t="e">
        <f>AND('Planilla_General_03-12-2012_9_3'!O2708,"AAAAAG/pdD8=")</f>
        <v>#VALUE!</v>
      </c>
      <c r="BM170">
        <f>IF('Planilla_General_03-12-2012_9_3'!2709:2709,"AAAAAG/pdEA=",0)</f>
        <v>0</v>
      </c>
      <c r="BN170" t="e">
        <f>AND('Planilla_General_03-12-2012_9_3'!A2709,"AAAAAG/pdEE=")</f>
        <v>#VALUE!</v>
      </c>
      <c r="BO170" t="e">
        <f>AND('Planilla_General_03-12-2012_9_3'!B2709,"AAAAAG/pdEI=")</f>
        <v>#VALUE!</v>
      </c>
      <c r="BP170" t="e">
        <f>AND('Planilla_General_03-12-2012_9_3'!C2709,"AAAAAG/pdEM=")</f>
        <v>#VALUE!</v>
      </c>
      <c r="BQ170" t="e">
        <f>AND('Planilla_General_03-12-2012_9_3'!D2709,"AAAAAG/pdEQ=")</f>
        <v>#VALUE!</v>
      </c>
      <c r="BR170" t="e">
        <f>AND('Planilla_General_03-12-2012_9_3'!E2709,"AAAAAG/pdEU=")</f>
        <v>#VALUE!</v>
      </c>
      <c r="BS170" t="e">
        <f>AND('Planilla_General_03-12-2012_9_3'!F2709,"AAAAAG/pdEY=")</f>
        <v>#VALUE!</v>
      </c>
      <c r="BT170" t="e">
        <f>AND('Planilla_General_03-12-2012_9_3'!G2709,"AAAAAG/pdEc=")</f>
        <v>#VALUE!</v>
      </c>
      <c r="BU170" t="e">
        <f>AND('Planilla_General_03-12-2012_9_3'!H2709,"AAAAAG/pdEg=")</f>
        <v>#VALUE!</v>
      </c>
      <c r="BV170" t="e">
        <f>AND('Planilla_General_03-12-2012_9_3'!I2709,"AAAAAG/pdEk=")</f>
        <v>#VALUE!</v>
      </c>
      <c r="BW170" t="e">
        <f>AND('Planilla_General_03-12-2012_9_3'!J2709,"AAAAAG/pdEo=")</f>
        <v>#VALUE!</v>
      </c>
      <c r="BX170" t="e">
        <f>AND('Planilla_General_03-12-2012_9_3'!K2709,"AAAAAG/pdEs=")</f>
        <v>#VALUE!</v>
      </c>
      <c r="BY170" t="e">
        <f>AND('Planilla_General_03-12-2012_9_3'!L2709,"AAAAAG/pdEw=")</f>
        <v>#VALUE!</v>
      </c>
      <c r="BZ170" t="e">
        <f>AND('Planilla_General_03-12-2012_9_3'!M2709,"AAAAAG/pdE0=")</f>
        <v>#VALUE!</v>
      </c>
      <c r="CA170" t="e">
        <f>AND('Planilla_General_03-12-2012_9_3'!N2709,"AAAAAG/pdE4=")</f>
        <v>#VALUE!</v>
      </c>
      <c r="CB170" t="e">
        <f>AND('Planilla_General_03-12-2012_9_3'!O2709,"AAAAAG/pdE8=")</f>
        <v>#VALUE!</v>
      </c>
      <c r="CC170">
        <f>IF('Planilla_General_03-12-2012_9_3'!2710:2710,"AAAAAG/pdFA=",0)</f>
        <v>0</v>
      </c>
      <c r="CD170" t="e">
        <f>AND('Planilla_General_03-12-2012_9_3'!A2710,"AAAAAG/pdFE=")</f>
        <v>#VALUE!</v>
      </c>
      <c r="CE170" t="e">
        <f>AND('Planilla_General_03-12-2012_9_3'!B2710,"AAAAAG/pdFI=")</f>
        <v>#VALUE!</v>
      </c>
      <c r="CF170" t="e">
        <f>AND('Planilla_General_03-12-2012_9_3'!C2710,"AAAAAG/pdFM=")</f>
        <v>#VALUE!</v>
      </c>
      <c r="CG170" t="e">
        <f>AND('Planilla_General_03-12-2012_9_3'!D2710,"AAAAAG/pdFQ=")</f>
        <v>#VALUE!</v>
      </c>
      <c r="CH170" t="e">
        <f>AND('Planilla_General_03-12-2012_9_3'!E2710,"AAAAAG/pdFU=")</f>
        <v>#VALUE!</v>
      </c>
      <c r="CI170" t="e">
        <f>AND('Planilla_General_03-12-2012_9_3'!F2710,"AAAAAG/pdFY=")</f>
        <v>#VALUE!</v>
      </c>
      <c r="CJ170" t="e">
        <f>AND('Planilla_General_03-12-2012_9_3'!G2710,"AAAAAG/pdFc=")</f>
        <v>#VALUE!</v>
      </c>
      <c r="CK170" t="e">
        <f>AND('Planilla_General_03-12-2012_9_3'!H2710,"AAAAAG/pdFg=")</f>
        <v>#VALUE!</v>
      </c>
      <c r="CL170" t="e">
        <f>AND('Planilla_General_03-12-2012_9_3'!I2710,"AAAAAG/pdFk=")</f>
        <v>#VALUE!</v>
      </c>
      <c r="CM170" t="e">
        <f>AND('Planilla_General_03-12-2012_9_3'!J2710,"AAAAAG/pdFo=")</f>
        <v>#VALUE!</v>
      </c>
      <c r="CN170" t="e">
        <f>AND('Planilla_General_03-12-2012_9_3'!K2710,"AAAAAG/pdFs=")</f>
        <v>#VALUE!</v>
      </c>
      <c r="CO170" t="e">
        <f>AND('Planilla_General_03-12-2012_9_3'!L2710,"AAAAAG/pdFw=")</f>
        <v>#VALUE!</v>
      </c>
      <c r="CP170" t="e">
        <f>AND('Planilla_General_03-12-2012_9_3'!M2710,"AAAAAG/pdF0=")</f>
        <v>#VALUE!</v>
      </c>
      <c r="CQ170" t="e">
        <f>AND('Planilla_General_03-12-2012_9_3'!N2710,"AAAAAG/pdF4=")</f>
        <v>#VALUE!</v>
      </c>
      <c r="CR170" t="e">
        <f>AND('Planilla_General_03-12-2012_9_3'!O2710,"AAAAAG/pdF8=")</f>
        <v>#VALUE!</v>
      </c>
      <c r="CS170">
        <f>IF('Planilla_General_03-12-2012_9_3'!2711:2711,"AAAAAG/pdGA=",0)</f>
        <v>0</v>
      </c>
      <c r="CT170" t="e">
        <f>AND('Planilla_General_03-12-2012_9_3'!A2711,"AAAAAG/pdGE=")</f>
        <v>#VALUE!</v>
      </c>
      <c r="CU170" t="e">
        <f>AND('Planilla_General_03-12-2012_9_3'!B2711,"AAAAAG/pdGI=")</f>
        <v>#VALUE!</v>
      </c>
      <c r="CV170" t="e">
        <f>AND('Planilla_General_03-12-2012_9_3'!C2711,"AAAAAG/pdGM=")</f>
        <v>#VALUE!</v>
      </c>
      <c r="CW170" t="e">
        <f>AND('Planilla_General_03-12-2012_9_3'!D2711,"AAAAAG/pdGQ=")</f>
        <v>#VALUE!</v>
      </c>
      <c r="CX170" t="e">
        <f>AND('Planilla_General_03-12-2012_9_3'!E2711,"AAAAAG/pdGU=")</f>
        <v>#VALUE!</v>
      </c>
      <c r="CY170" t="e">
        <f>AND('Planilla_General_03-12-2012_9_3'!F2711,"AAAAAG/pdGY=")</f>
        <v>#VALUE!</v>
      </c>
      <c r="CZ170" t="e">
        <f>AND('Planilla_General_03-12-2012_9_3'!G2711,"AAAAAG/pdGc=")</f>
        <v>#VALUE!</v>
      </c>
      <c r="DA170" t="e">
        <f>AND('Planilla_General_03-12-2012_9_3'!H2711,"AAAAAG/pdGg=")</f>
        <v>#VALUE!</v>
      </c>
      <c r="DB170" t="e">
        <f>AND('Planilla_General_03-12-2012_9_3'!I2711,"AAAAAG/pdGk=")</f>
        <v>#VALUE!</v>
      </c>
      <c r="DC170" t="e">
        <f>AND('Planilla_General_03-12-2012_9_3'!J2711,"AAAAAG/pdGo=")</f>
        <v>#VALUE!</v>
      </c>
      <c r="DD170" t="e">
        <f>AND('Planilla_General_03-12-2012_9_3'!K2711,"AAAAAG/pdGs=")</f>
        <v>#VALUE!</v>
      </c>
      <c r="DE170" t="e">
        <f>AND('Planilla_General_03-12-2012_9_3'!L2711,"AAAAAG/pdGw=")</f>
        <v>#VALUE!</v>
      </c>
      <c r="DF170" t="e">
        <f>AND('Planilla_General_03-12-2012_9_3'!M2711,"AAAAAG/pdG0=")</f>
        <v>#VALUE!</v>
      </c>
      <c r="DG170" t="e">
        <f>AND('Planilla_General_03-12-2012_9_3'!N2711,"AAAAAG/pdG4=")</f>
        <v>#VALUE!</v>
      </c>
      <c r="DH170" t="e">
        <f>AND('Planilla_General_03-12-2012_9_3'!O2711,"AAAAAG/pdG8=")</f>
        <v>#VALUE!</v>
      </c>
      <c r="DI170">
        <f>IF('Planilla_General_03-12-2012_9_3'!2712:2712,"AAAAAG/pdHA=",0)</f>
        <v>0</v>
      </c>
      <c r="DJ170" t="e">
        <f>AND('Planilla_General_03-12-2012_9_3'!A2712,"AAAAAG/pdHE=")</f>
        <v>#VALUE!</v>
      </c>
      <c r="DK170" t="e">
        <f>AND('Planilla_General_03-12-2012_9_3'!B2712,"AAAAAG/pdHI=")</f>
        <v>#VALUE!</v>
      </c>
      <c r="DL170" t="e">
        <f>AND('Planilla_General_03-12-2012_9_3'!C2712,"AAAAAG/pdHM=")</f>
        <v>#VALUE!</v>
      </c>
      <c r="DM170" t="e">
        <f>AND('Planilla_General_03-12-2012_9_3'!D2712,"AAAAAG/pdHQ=")</f>
        <v>#VALUE!</v>
      </c>
      <c r="DN170" t="e">
        <f>AND('Planilla_General_03-12-2012_9_3'!E2712,"AAAAAG/pdHU=")</f>
        <v>#VALUE!</v>
      </c>
      <c r="DO170" t="e">
        <f>AND('Planilla_General_03-12-2012_9_3'!F2712,"AAAAAG/pdHY=")</f>
        <v>#VALUE!</v>
      </c>
      <c r="DP170" t="e">
        <f>AND('Planilla_General_03-12-2012_9_3'!G2712,"AAAAAG/pdHc=")</f>
        <v>#VALUE!</v>
      </c>
      <c r="DQ170" t="e">
        <f>AND('Planilla_General_03-12-2012_9_3'!H2712,"AAAAAG/pdHg=")</f>
        <v>#VALUE!</v>
      </c>
      <c r="DR170" t="e">
        <f>AND('Planilla_General_03-12-2012_9_3'!I2712,"AAAAAG/pdHk=")</f>
        <v>#VALUE!</v>
      </c>
      <c r="DS170" t="e">
        <f>AND('Planilla_General_03-12-2012_9_3'!J2712,"AAAAAG/pdHo=")</f>
        <v>#VALUE!</v>
      </c>
      <c r="DT170" t="e">
        <f>AND('Planilla_General_03-12-2012_9_3'!K2712,"AAAAAG/pdHs=")</f>
        <v>#VALUE!</v>
      </c>
      <c r="DU170" t="e">
        <f>AND('Planilla_General_03-12-2012_9_3'!L2712,"AAAAAG/pdHw=")</f>
        <v>#VALUE!</v>
      </c>
      <c r="DV170" t="e">
        <f>AND('Planilla_General_03-12-2012_9_3'!M2712,"AAAAAG/pdH0=")</f>
        <v>#VALUE!</v>
      </c>
      <c r="DW170" t="e">
        <f>AND('Planilla_General_03-12-2012_9_3'!N2712,"AAAAAG/pdH4=")</f>
        <v>#VALUE!</v>
      </c>
      <c r="DX170" t="e">
        <f>AND('Planilla_General_03-12-2012_9_3'!O2712,"AAAAAG/pdH8=")</f>
        <v>#VALUE!</v>
      </c>
      <c r="DY170">
        <f>IF('Planilla_General_03-12-2012_9_3'!2713:2713,"AAAAAG/pdIA=",0)</f>
        <v>0</v>
      </c>
      <c r="DZ170" t="e">
        <f>AND('Planilla_General_03-12-2012_9_3'!A2713,"AAAAAG/pdIE=")</f>
        <v>#VALUE!</v>
      </c>
      <c r="EA170" t="e">
        <f>AND('Planilla_General_03-12-2012_9_3'!B2713,"AAAAAG/pdII=")</f>
        <v>#VALUE!</v>
      </c>
      <c r="EB170" t="e">
        <f>AND('Planilla_General_03-12-2012_9_3'!C2713,"AAAAAG/pdIM=")</f>
        <v>#VALUE!</v>
      </c>
      <c r="EC170" t="e">
        <f>AND('Planilla_General_03-12-2012_9_3'!D2713,"AAAAAG/pdIQ=")</f>
        <v>#VALUE!</v>
      </c>
      <c r="ED170" t="e">
        <f>AND('Planilla_General_03-12-2012_9_3'!E2713,"AAAAAG/pdIU=")</f>
        <v>#VALUE!</v>
      </c>
      <c r="EE170" t="e">
        <f>AND('Planilla_General_03-12-2012_9_3'!F2713,"AAAAAG/pdIY=")</f>
        <v>#VALUE!</v>
      </c>
      <c r="EF170" t="e">
        <f>AND('Planilla_General_03-12-2012_9_3'!G2713,"AAAAAG/pdIc=")</f>
        <v>#VALUE!</v>
      </c>
      <c r="EG170" t="e">
        <f>AND('Planilla_General_03-12-2012_9_3'!H2713,"AAAAAG/pdIg=")</f>
        <v>#VALUE!</v>
      </c>
      <c r="EH170" t="e">
        <f>AND('Planilla_General_03-12-2012_9_3'!I2713,"AAAAAG/pdIk=")</f>
        <v>#VALUE!</v>
      </c>
      <c r="EI170" t="e">
        <f>AND('Planilla_General_03-12-2012_9_3'!J2713,"AAAAAG/pdIo=")</f>
        <v>#VALUE!</v>
      </c>
      <c r="EJ170" t="e">
        <f>AND('Planilla_General_03-12-2012_9_3'!K2713,"AAAAAG/pdIs=")</f>
        <v>#VALUE!</v>
      </c>
      <c r="EK170" t="e">
        <f>AND('Planilla_General_03-12-2012_9_3'!L2713,"AAAAAG/pdIw=")</f>
        <v>#VALUE!</v>
      </c>
      <c r="EL170" t="e">
        <f>AND('Planilla_General_03-12-2012_9_3'!M2713,"AAAAAG/pdI0=")</f>
        <v>#VALUE!</v>
      </c>
      <c r="EM170" t="e">
        <f>AND('Planilla_General_03-12-2012_9_3'!N2713,"AAAAAG/pdI4=")</f>
        <v>#VALUE!</v>
      </c>
      <c r="EN170" t="e">
        <f>AND('Planilla_General_03-12-2012_9_3'!O2713,"AAAAAG/pdI8=")</f>
        <v>#VALUE!</v>
      </c>
      <c r="EO170">
        <f>IF('Planilla_General_03-12-2012_9_3'!2714:2714,"AAAAAG/pdJA=",0)</f>
        <v>0</v>
      </c>
      <c r="EP170" t="e">
        <f>AND('Planilla_General_03-12-2012_9_3'!A2714,"AAAAAG/pdJE=")</f>
        <v>#VALUE!</v>
      </c>
      <c r="EQ170" t="e">
        <f>AND('Planilla_General_03-12-2012_9_3'!B2714,"AAAAAG/pdJI=")</f>
        <v>#VALUE!</v>
      </c>
      <c r="ER170" t="e">
        <f>AND('Planilla_General_03-12-2012_9_3'!C2714,"AAAAAG/pdJM=")</f>
        <v>#VALUE!</v>
      </c>
      <c r="ES170" t="e">
        <f>AND('Planilla_General_03-12-2012_9_3'!D2714,"AAAAAG/pdJQ=")</f>
        <v>#VALUE!</v>
      </c>
      <c r="ET170" t="e">
        <f>AND('Planilla_General_03-12-2012_9_3'!E2714,"AAAAAG/pdJU=")</f>
        <v>#VALUE!</v>
      </c>
      <c r="EU170" t="e">
        <f>AND('Planilla_General_03-12-2012_9_3'!F2714,"AAAAAG/pdJY=")</f>
        <v>#VALUE!</v>
      </c>
      <c r="EV170" t="e">
        <f>AND('Planilla_General_03-12-2012_9_3'!G2714,"AAAAAG/pdJc=")</f>
        <v>#VALUE!</v>
      </c>
      <c r="EW170" t="e">
        <f>AND('Planilla_General_03-12-2012_9_3'!H2714,"AAAAAG/pdJg=")</f>
        <v>#VALUE!</v>
      </c>
      <c r="EX170" t="e">
        <f>AND('Planilla_General_03-12-2012_9_3'!I2714,"AAAAAG/pdJk=")</f>
        <v>#VALUE!</v>
      </c>
      <c r="EY170" t="e">
        <f>AND('Planilla_General_03-12-2012_9_3'!J2714,"AAAAAG/pdJo=")</f>
        <v>#VALUE!</v>
      </c>
      <c r="EZ170" t="e">
        <f>AND('Planilla_General_03-12-2012_9_3'!K2714,"AAAAAG/pdJs=")</f>
        <v>#VALUE!</v>
      </c>
      <c r="FA170" t="e">
        <f>AND('Planilla_General_03-12-2012_9_3'!L2714,"AAAAAG/pdJw=")</f>
        <v>#VALUE!</v>
      </c>
      <c r="FB170" t="e">
        <f>AND('Planilla_General_03-12-2012_9_3'!M2714,"AAAAAG/pdJ0=")</f>
        <v>#VALUE!</v>
      </c>
      <c r="FC170" t="e">
        <f>AND('Planilla_General_03-12-2012_9_3'!N2714,"AAAAAG/pdJ4=")</f>
        <v>#VALUE!</v>
      </c>
      <c r="FD170" t="e">
        <f>AND('Planilla_General_03-12-2012_9_3'!O2714,"AAAAAG/pdJ8=")</f>
        <v>#VALUE!</v>
      </c>
      <c r="FE170">
        <f>IF('Planilla_General_03-12-2012_9_3'!2715:2715,"AAAAAG/pdKA=",0)</f>
        <v>0</v>
      </c>
      <c r="FF170" t="e">
        <f>AND('Planilla_General_03-12-2012_9_3'!A2715,"AAAAAG/pdKE=")</f>
        <v>#VALUE!</v>
      </c>
      <c r="FG170" t="e">
        <f>AND('Planilla_General_03-12-2012_9_3'!B2715,"AAAAAG/pdKI=")</f>
        <v>#VALUE!</v>
      </c>
      <c r="FH170" t="e">
        <f>AND('Planilla_General_03-12-2012_9_3'!C2715,"AAAAAG/pdKM=")</f>
        <v>#VALUE!</v>
      </c>
      <c r="FI170" t="e">
        <f>AND('Planilla_General_03-12-2012_9_3'!D2715,"AAAAAG/pdKQ=")</f>
        <v>#VALUE!</v>
      </c>
      <c r="FJ170" t="e">
        <f>AND('Planilla_General_03-12-2012_9_3'!E2715,"AAAAAG/pdKU=")</f>
        <v>#VALUE!</v>
      </c>
      <c r="FK170" t="e">
        <f>AND('Planilla_General_03-12-2012_9_3'!F2715,"AAAAAG/pdKY=")</f>
        <v>#VALUE!</v>
      </c>
      <c r="FL170" t="e">
        <f>AND('Planilla_General_03-12-2012_9_3'!G2715,"AAAAAG/pdKc=")</f>
        <v>#VALUE!</v>
      </c>
      <c r="FM170" t="e">
        <f>AND('Planilla_General_03-12-2012_9_3'!H2715,"AAAAAG/pdKg=")</f>
        <v>#VALUE!</v>
      </c>
      <c r="FN170" t="e">
        <f>AND('Planilla_General_03-12-2012_9_3'!I2715,"AAAAAG/pdKk=")</f>
        <v>#VALUE!</v>
      </c>
      <c r="FO170" t="e">
        <f>AND('Planilla_General_03-12-2012_9_3'!J2715,"AAAAAG/pdKo=")</f>
        <v>#VALUE!</v>
      </c>
      <c r="FP170" t="e">
        <f>AND('Planilla_General_03-12-2012_9_3'!K2715,"AAAAAG/pdKs=")</f>
        <v>#VALUE!</v>
      </c>
      <c r="FQ170" t="e">
        <f>AND('Planilla_General_03-12-2012_9_3'!L2715,"AAAAAG/pdKw=")</f>
        <v>#VALUE!</v>
      </c>
      <c r="FR170" t="e">
        <f>AND('Planilla_General_03-12-2012_9_3'!M2715,"AAAAAG/pdK0=")</f>
        <v>#VALUE!</v>
      </c>
      <c r="FS170" t="e">
        <f>AND('Planilla_General_03-12-2012_9_3'!N2715,"AAAAAG/pdK4=")</f>
        <v>#VALUE!</v>
      </c>
      <c r="FT170" t="e">
        <f>AND('Planilla_General_03-12-2012_9_3'!O2715,"AAAAAG/pdK8=")</f>
        <v>#VALUE!</v>
      </c>
      <c r="FU170">
        <f>IF('Planilla_General_03-12-2012_9_3'!2716:2716,"AAAAAG/pdLA=",0)</f>
        <v>0</v>
      </c>
      <c r="FV170" t="e">
        <f>AND('Planilla_General_03-12-2012_9_3'!A2716,"AAAAAG/pdLE=")</f>
        <v>#VALUE!</v>
      </c>
      <c r="FW170" t="e">
        <f>AND('Planilla_General_03-12-2012_9_3'!B2716,"AAAAAG/pdLI=")</f>
        <v>#VALUE!</v>
      </c>
      <c r="FX170" t="e">
        <f>AND('Planilla_General_03-12-2012_9_3'!C2716,"AAAAAG/pdLM=")</f>
        <v>#VALUE!</v>
      </c>
      <c r="FY170" t="e">
        <f>AND('Planilla_General_03-12-2012_9_3'!D2716,"AAAAAG/pdLQ=")</f>
        <v>#VALUE!</v>
      </c>
      <c r="FZ170" t="e">
        <f>AND('Planilla_General_03-12-2012_9_3'!E2716,"AAAAAG/pdLU=")</f>
        <v>#VALUE!</v>
      </c>
      <c r="GA170" t="e">
        <f>AND('Planilla_General_03-12-2012_9_3'!F2716,"AAAAAG/pdLY=")</f>
        <v>#VALUE!</v>
      </c>
      <c r="GB170" t="e">
        <f>AND('Planilla_General_03-12-2012_9_3'!G2716,"AAAAAG/pdLc=")</f>
        <v>#VALUE!</v>
      </c>
      <c r="GC170" t="e">
        <f>AND('Planilla_General_03-12-2012_9_3'!H2716,"AAAAAG/pdLg=")</f>
        <v>#VALUE!</v>
      </c>
      <c r="GD170" t="e">
        <f>AND('Planilla_General_03-12-2012_9_3'!I2716,"AAAAAG/pdLk=")</f>
        <v>#VALUE!</v>
      </c>
      <c r="GE170" t="e">
        <f>AND('Planilla_General_03-12-2012_9_3'!J2716,"AAAAAG/pdLo=")</f>
        <v>#VALUE!</v>
      </c>
      <c r="GF170" t="e">
        <f>AND('Planilla_General_03-12-2012_9_3'!K2716,"AAAAAG/pdLs=")</f>
        <v>#VALUE!</v>
      </c>
      <c r="GG170" t="e">
        <f>AND('Planilla_General_03-12-2012_9_3'!L2716,"AAAAAG/pdLw=")</f>
        <v>#VALUE!</v>
      </c>
      <c r="GH170" t="e">
        <f>AND('Planilla_General_03-12-2012_9_3'!M2716,"AAAAAG/pdL0=")</f>
        <v>#VALUE!</v>
      </c>
      <c r="GI170" t="e">
        <f>AND('Planilla_General_03-12-2012_9_3'!N2716,"AAAAAG/pdL4=")</f>
        <v>#VALUE!</v>
      </c>
      <c r="GJ170" t="e">
        <f>AND('Planilla_General_03-12-2012_9_3'!O2716,"AAAAAG/pdL8=")</f>
        <v>#VALUE!</v>
      </c>
      <c r="GK170">
        <f>IF('Planilla_General_03-12-2012_9_3'!2717:2717,"AAAAAG/pdMA=",0)</f>
        <v>0</v>
      </c>
      <c r="GL170" t="e">
        <f>AND('Planilla_General_03-12-2012_9_3'!A2717,"AAAAAG/pdME=")</f>
        <v>#VALUE!</v>
      </c>
      <c r="GM170" t="e">
        <f>AND('Planilla_General_03-12-2012_9_3'!B2717,"AAAAAG/pdMI=")</f>
        <v>#VALUE!</v>
      </c>
      <c r="GN170" t="e">
        <f>AND('Planilla_General_03-12-2012_9_3'!C2717,"AAAAAG/pdMM=")</f>
        <v>#VALUE!</v>
      </c>
      <c r="GO170" t="e">
        <f>AND('Planilla_General_03-12-2012_9_3'!D2717,"AAAAAG/pdMQ=")</f>
        <v>#VALUE!</v>
      </c>
      <c r="GP170" t="e">
        <f>AND('Planilla_General_03-12-2012_9_3'!E2717,"AAAAAG/pdMU=")</f>
        <v>#VALUE!</v>
      </c>
      <c r="GQ170" t="e">
        <f>AND('Planilla_General_03-12-2012_9_3'!F2717,"AAAAAG/pdMY=")</f>
        <v>#VALUE!</v>
      </c>
      <c r="GR170" t="e">
        <f>AND('Planilla_General_03-12-2012_9_3'!G2717,"AAAAAG/pdMc=")</f>
        <v>#VALUE!</v>
      </c>
      <c r="GS170" t="e">
        <f>AND('Planilla_General_03-12-2012_9_3'!H2717,"AAAAAG/pdMg=")</f>
        <v>#VALUE!</v>
      </c>
      <c r="GT170" t="e">
        <f>AND('Planilla_General_03-12-2012_9_3'!I2717,"AAAAAG/pdMk=")</f>
        <v>#VALUE!</v>
      </c>
      <c r="GU170" t="e">
        <f>AND('Planilla_General_03-12-2012_9_3'!J2717,"AAAAAG/pdMo=")</f>
        <v>#VALUE!</v>
      </c>
      <c r="GV170" t="e">
        <f>AND('Planilla_General_03-12-2012_9_3'!K2717,"AAAAAG/pdMs=")</f>
        <v>#VALUE!</v>
      </c>
      <c r="GW170" t="e">
        <f>AND('Planilla_General_03-12-2012_9_3'!L2717,"AAAAAG/pdMw=")</f>
        <v>#VALUE!</v>
      </c>
      <c r="GX170" t="e">
        <f>AND('Planilla_General_03-12-2012_9_3'!M2717,"AAAAAG/pdM0=")</f>
        <v>#VALUE!</v>
      </c>
      <c r="GY170" t="e">
        <f>AND('Planilla_General_03-12-2012_9_3'!N2717,"AAAAAG/pdM4=")</f>
        <v>#VALUE!</v>
      </c>
      <c r="GZ170" t="e">
        <f>AND('Planilla_General_03-12-2012_9_3'!O2717,"AAAAAG/pdM8=")</f>
        <v>#VALUE!</v>
      </c>
      <c r="HA170">
        <f>IF('Planilla_General_03-12-2012_9_3'!2718:2718,"AAAAAG/pdNA=",0)</f>
        <v>0</v>
      </c>
      <c r="HB170" t="e">
        <f>AND('Planilla_General_03-12-2012_9_3'!A2718,"AAAAAG/pdNE=")</f>
        <v>#VALUE!</v>
      </c>
      <c r="HC170" t="e">
        <f>AND('Planilla_General_03-12-2012_9_3'!B2718,"AAAAAG/pdNI=")</f>
        <v>#VALUE!</v>
      </c>
      <c r="HD170" t="e">
        <f>AND('Planilla_General_03-12-2012_9_3'!C2718,"AAAAAG/pdNM=")</f>
        <v>#VALUE!</v>
      </c>
      <c r="HE170" t="e">
        <f>AND('Planilla_General_03-12-2012_9_3'!D2718,"AAAAAG/pdNQ=")</f>
        <v>#VALUE!</v>
      </c>
      <c r="HF170" t="e">
        <f>AND('Planilla_General_03-12-2012_9_3'!E2718,"AAAAAG/pdNU=")</f>
        <v>#VALUE!</v>
      </c>
      <c r="HG170" t="e">
        <f>AND('Planilla_General_03-12-2012_9_3'!F2718,"AAAAAG/pdNY=")</f>
        <v>#VALUE!</v>
      </c>
      <c r="HH170" t="e">
        <f>AND('Planilla_General_03-12-2012_9_3'!G2718,"AAAAAG/pdNc=")</f>
        <v>#VALUE!</v>
      </c>
      <c r="HI170" t="e">
        <f>AND('Planilla_General_03-12-2012_9_3'!H2718,"AAAAAG/pdNg=")</f>
        <v>#VALUE!</v>
      </c>
      <c r="HJ170" t="e">
        <f>AND('Planilla_General_03-12-2012_9_3'!I2718,"AAAAAG/pdNk=")</f>
        <v>#VALUE!</v>
      </c>
      <c r="HK170" t="e">
        <f>AND('Planilla_General_03-12-2012_9_3'!J2718,"AAAAAG/pdNo=")</f>
        <v>#VALUE!</v>
      </c>
      <c r="HL170" t="e">
        <f>AND('Planilla_General_03-12-2012_9_3'!K2718,"AAAAAG/pdNs=")</f>
        <v>#VALUE!</v>
      </c>
      <c r="HM170" t="e">
        <f>AND('Planilla_General_03-12-2012_9_3'!L2718,"AAAAAG/pdNw=")</f>
        <v>#VALUE!</v>
      </c>
      <c r="HN170" t="e">
        <f>AND('Planilla_General_03-12-2012_9_3'!M2718,"AAAAAG/pdN0=")</f>
        <v>#VALUE!</v>
      </c>
      <c r="HO170" t="e">
        <f>AND('Planilla_General_03-12-2012_9_3'!N2718,"AAAAAG/pdN4=")</f>
        <v>#VALUE!</v>
      </c>
      <c r="HP170" t="e">
        <f>AND('Planilla_General_03-12-2012_9_3'!O2718,"AAAAAG/pdN8=")</f>
        <v>#VALUE!</v>
      </c>
      <c r="HQ170">
        <f>IF('Planilla_General_03-12-2012_9_3'!2719:2719,"AAAAAG/pdOA=",0)</f>
        <v>0</v>
      </c>
      <c r="HR170" t="e">
        <f>AND('Planilla_General_03-12-2012_9_3'!A2719,"AAAAAG/pdOE=")</f>
        <v>#VALUE!</v>
      </c>
      <c r="HS170" t="e">
        <f>AND('Planilla_General_03-12-2012_9_3'!B2719,"AAAAAG/pdOI=")</f>
        <v>#VALUE!</v>
      </c>
      <c r="HT170" t="e">
        <f>AND('Planilla_General_03-12-2012_9_3'!C2719,"AAAAAG/pdOM=")</f>
        <v>#VALUE!</v>
      </c>
      <c r="HU170" t="e">
        <f>AND('Planilla_General_03-12-2012_9_3'!D2719,"AAAAAG/pdOQ=")</f>
        <v>#VALUE!</v>
      </c>
      <c r="HV170" t="e">
        <f>AND('Planilla_General_03-12-2012_9_3'!E2719,"AAAAAG/pdOU=")</f>
        <v>#VALUE!</v>
      </c>
      <c r="HW170" t="e">
        <f>AND('Planilla_General_03-12-2012_9_3'!F2719,"AAAAAG/pdOY=")</f>
        <v>#VALUE!</v>
      </c>
      <c r="HX170" t="e">
        <f>AND('Planilla_General_03-12-2012_9_3'!G2719,"AAAAAG/pdOc=")</f>
        <v>#VALUE!</v>
      </c>
      <c r="HY170" t="e">
        <f>AND('Planilla_General_03-12-2012_9_3'!H2719,"AAAAAG/pdOg=")</f>
        <v>#VALUE!</v>
      </c>
      <c r="HZ170" t="e">
        <f>AND('Planilla_General_03-12-2012_9_3'!I2719,"AAAAAG/pdOk=")</f>
        <v>#VALUE!</v>
      </c>
      <c r="IA170" t="e">
        <f>AND('Planilla_General_03-12-2012_9_3'!J2719,"AAAAAG/pdOo=")</f>
        <v>#VALUE!</v>
      </c>
      <c r="IB170" t="e">
        <f>AND('Planilla_General_03-12-2012_9_3'!K2719,"AAAAAG/pdOs=")</f>
        <v>#VALUE!</v>
      </c>
      <c r="IC170" t="e">
        <f>AND('Planilla_General_03-12-2012_9_3'!L2719,"AAAAAG/pdOw=")</f>
        <v>#VALUE!</v>
      </c>
      <c r="ID170" t="e">
        <f>AND('Planilla_General_03-12-2012_9_3'!M2719,"AAAAAG/pdO0=")</f>
        <v>#VALUE!</v>
      </c>
      <c r="IE170" t="e">
        <f>AND('Planilla_General_03-12-2012_9_3'!N2719,"AAAAAG/pdO4=")</f>
        <v>#VALUE!</v>
      </c>
      <c r="IF170" t="e">
        <f>AND('Planilla_General_03-12-2012_9_3'!O2719,"AAAAAG/pdO8=")</f>
        <v>#VALUE!</v>
      </c>
      <c r="IG170">
        <f>IF('Planilla_General_03-12-2012_9_3'!2720:2720,"AAAAAG/pdPA=",0)</f>
        <v>0</v>
      </c>
      <c r="IH170" t="e">
        <f>AND('Planilla_General_03-12-2012_9_3'!A2720,"AAAAAG/pdPE=")</f>
        <v>#VALUE!</v>
      </c>
      <c r="II170" t="e">
        <f>AND('Planilla_General_03-12-2012_9_3'!B2720,"AAAAAG/pdPI=")</f>
        <v>#VALUE!</v>
      </c>
      <c r="IJ170" t="e">
        <f>AND('Planilla_General_03-12-2012_9_3'!C2720,"AAAAAG/pdPM=")</f>
        <v>#VALUE!</v>
      </c>
      <c r="IK170" t="e">
        <f>AND('Planilla_General_03-12-2012_9_3'!D2720,"AAAAAG/pdPQ=")</f>
        <v>#VALUE!</v>
      </c>
      <c r="IL170" t="e">
        <f>AND('Planilla_General_03-12-2012_9_3'!E2720,"AAAAAG/pdPU=")</f>
        <v>#VALUE!</v>
      </c>
      <c r="IM170" t="e">
        <f>AND('Planilla_General_03-12-2012_9_3'!F2720,"AAAAAG/pdPY=")</f>
        <v>#VALUE!</v>
      </c>
      <c r="IN170" t="e">
        <f>AND('Planilla_General_03-12-2012_9_3'!G2720,"AAAAAG/pdPc=")</f>
        <v>#VALUE!</v>
      </c>
      <c r="IO170" t="e">
        <f>AND('Planilla_General_03-12-2012_9_3'!H2720,"AAAAAG/pdPg=")</f>
        <v>#VALUE!</v>
      </c>
      <c r="IP170" t="e">
        <f>AND('Planilla_General_03-12-2012_9_3'!I2720,"AAAAAG/pdPk=")</f>
        <v>#VALUE!</v>
      </c>
      <c r="IQ170" t="e">
        <f>AND('Planilla_General_03-12-2012_9_3'!J2720,"AAAAAG/pdPo=")</f>
        <v>#VALUE!</v>
      </c>
      <c r="IR170" t="e">
        <f>AND('Planilla_General_03-12-2012_9_3'!K2720,"AAAAAG/pdPs=")</f>
        <v>#VALUE!</v>
      </c>
      <c r="IS170" t="e">
        <f>AND('Planilla_General_03-12-2012_9_3'!L2720,"AAAAAG/pdPw=")</f>
        <v>#VALUE!</v>
      </c>
      <c r="IT170" t="e">
        <f>AND('Planilla_General_03-12-2012_9_3'!M2720,"AAAAAG/pdP0=")</f>
        <v>#VALUE!</v>
      </c>
      <c r="IU170" t="e">
        <f>AND('Planilla_General_03-12-2012_9_3'!N2720,"AAAAAG/pdP4=")</f>
        <v>#VALUE!</v>
      </c>
      <c r="IV170" t="e">
        <f>AND('Planilla_General_03-12-2012_9_3'!O2720,"AAAAAG/pdP8=")</f>
        <v>#VALUE!</v>
      </c>
    </row>
    <row r="171" spans="1:256" x14ac:dyDescent="0.25">
      <c r="A171" t="e">
        <f>IF('Planilla_General_03-12-2012_9_3'!2721:2721,"AAAAAHH9/QA=",0)</f>
        <v>#VALUE!</v>
      </c>
      <c r="B171" t="e">
        <f>AND('Planilla_General_03-12-2012_9_3'!A2721,"AAAAAHH9/QE=")</f>
        <v>#VALUE!</v>
      </c>
      <c r="C171" t="e">
        <f>AND('Planilla_General_03-12-2012_9_3'!B2721,"AAAAAHH9/QI=")</f>
        <v>#VALUE!</v>
      </c>
      <c r="D171" t="e">
        <f>AND('Planilla_General_03-12-2012_9_3'!C2721,"AAAAAHH9/QM=")</f>
        <v>#VALUE!</v>
      </c>
      <c r="E171" t="e">
        <f>AND('Planilla_General_03-12-2012_9_3'!D2721,"AAAAAHH9/QQ=")</f>
        <v>#VALUE!</v>
      </c>
      <c r="F171" t="e">
        <f>AND('Planilla_General_03-12-2012_9_3'!E2721,"AAAAAHH9/QU=")</f>
        <v>#VALUE!</v>
      </c>
      <c r="G171" t="e">
        <f>AND('Planilla_General_03-12-2012_9_3'!F2721,"AAAAAHH9/QY=")</f>
        <v>#VALUE!</v>
      </c>
      <c r="H171" t="e">
        <f>AND('Planilla_General_03-12-2012_9_3'!G2721,"AAAAAHH9/Qc=")</f>
        <v>#VALUE!</v>
      </c>
      <c r="I171" t="e">
        <f>AND('Planilla_General_03-12-2012_9_3'!H2721,"AAAAAHH9/Qg=")</f>
        <v>#VALUE!</v>
      </c>
      <c r="J171" t="e">
        <f>AND('Planilla_General_03-12-2012_9_3'!I2721,"AAAAAHH9/Qk=")</f>
        <v>#VALUE!</v>
      </c>
      <c r="K171" t="e">
        <f>AND('Planilla_General_03-12-2012_9_3'!J2721,"AAAAAHH9/Qo=")</f>
        <v>#VALUE!</v>
      </c>
      <c r="L171" t="e">
        <f>AND('Planilla_General_03-12-2012_9_3'!K2721,"AAAAAHH9/Qs=")</f>
        <v>#VALUE!</v>
      </c>
      <c r="M171" t="e">
        <f>AND('Planilla_General_03-12-2012_9_3'!L2721,"AAAAAHH9/Qw=")</f>
        <v>#VALUE!</v>
      </c>
      <c r="N171" t="e">
        <f>AND('Planilla_General_03-12-2012_9_3'!M2721,"AAAAAHH9/Q0=")</f>
        <v>#VALUE!</v>
      </c>
      <c r="O171" t="e">
        <f>AND('Planilla_General_03-12-2012_9_3'!N2721,"AAAAAHH9/Q4=")</f>
        <v>#VALUE!</v>
      </c>
      <c r="P171" t="e">
        <f>AND('Planilla_General_03-12-2012_9_3'!O2721,"AAAAAHH9/Q8=")</f>
        <v>#VALUE!</v>
      </c>
      <c r="Q171">
        <f>IF('Planilla_General_03-12-2012_9_3'!2722:2722,"AAAAAHH9/RA=",0)</f>
        <v>0</v>
      </c>
      <c r="R171" t="e">
        <f>AND('Planilla_General_03-12-2012_9_3'!A2722,"AAAAAHH9/RE=")</f>
        <v>#VALUE!</v>
      </c>
      <c r="S171" t="e">
        <f>AND('Planilla_General_03-12-2012_9_3'!B2722,"AAAAAHH9/RI=")</f>
        <v>#VALUE!</v>
      </c>
      <c r="T171" t="e">
        <f>AND('Planilla_General_03-12-2012_9_3'!C2722,"AAAAAHH9/RM=")</f>
        <v>#VALUE!</v>
      </c>
      <c r="U171" t="e">
        <f>AND('Planilla_General_03-12-2012_9_3'!D2722,"AAAAAHH9/RQ=")</f>
        <v>#VALUE!</v>
      </c>
      <c r="V171" t="e">
        <f>AND('Planilla_General_03-12-2012_9_3'!E2722,"AAAAAHH9/RU=")</f>
        <v>#VALUE!</v>
      </c>
      <c r="W171" t="e">
        <f>AND('Planilla_General_03-12-2012_9_3'!F2722,"AAAAAHH9/RY=")</f>
        <v>#VALUE!</v>
      </c>
      <c r="X171" t="e">
        <f>AND('Planilla_General_03-12-2012_9_3'!G2722,"AAAAAHH9/Rc=")</f>
        <v>#VALUE!</v>
      </c>
      <c r="Y171" t="e">
        <f>AND('Planilla_General_03-12-2012_9_3'!H2722,"AAAAAHH9/Rg=")</f>
        <v>#VALUE!</v>
      </c>
      <c r="Z171" t="e">
        <f>AND('Planilla_General_03-12-2012_9_3'!I2722,"AAAAAHH9/Rk=")</f>
        <v>#VALUE!</v>
      </c>
      <c r="AA171" t="e">
        <f>AND('Planilla_General_03-12-2012_9_3'!J2722,"AAAAAHH9/Ro=")</f>
        <v>#VALUE!</v>
      </c>
      <c r="AB171" t="e">
        <f>AND('Planilla_General_03-12-2012_9_3'!K2722,"AAAAAHH9/Rs=")</f>
        <v>#VALUE!</v>
      </c>
      <c r="AC171" t="e">
        <f>AND('Planilla_General_03-12-2012_9_3'!L2722,"AAAAAHH9/Rw=")</f>
        <v>#VALUE!</v>
      </c>
      <c r="AD171" t="e">
        <f>AND('Planilla_General_03-12-2012_9_3'!M2722,"AAAAAHH9/R0=")</f>
        <v>#VALUE!</v>
      </c>
      <c r="AE171" t="e">
        <f>AND('Planilla_General_03-12-2012_9_3'!N2722,"AAAAAHH9/R4=")</f>
        <v>#VALUE!</v>
      </c>
      <c r="AF171" t="e">
        <f>AND('Planilla_General_03-12-2012_9_3'!O2722,"AAAAAHH9/R8=")</f>
        <v>#VALUE!</v>
      </c>
      <c r="AG171">
        <f>IF('Planilla_General_03-12-2012_9_3'!2723:2723,"AAAAAHH9/SA=",0)</f>
        <v>0</v>
      </c>
      <c r="AH171" t="e">
        <f>AND('Planilla_General_03-12-2012_9_3'!A2723,"AAAAAHH9/SE=")</f>
        <v>#VALUE!</v>
      </c>
      <c r="AI171" t="e">
        <f>AND('Planilla_General_03-12-2012_9_3'!B2723,"AAAAAHH9/SI=")</f>
        <v>#VALUE!</v>
      </c>
      <c r="AJ171" t="e">
        <f>AND('Planilla_General_03-12-2012_9_3'!C2723,"AAAAAHH9/SM=")</f>
        <v>#VALUE!</v>
      </c>
      <c r="AK171" t="e">
        <f>AND('Planilla_General_03-12-2012_9_3'!D2723,"AAAAAHH9/SQ=")</f>
        <v>#VALUE!</v>
      </c>
      <c r="AL171" t="e">
        <f>AND('Planilla_General_03-12-2012_9_3'!E2723,"AAAAAHH9/SU=")</f>
        <v>#VALUE!</v>
      </c>
      <c r="AM171" t="e">
        <f>AND('Planilla_General_03-12-2012_9_3'!F2723,"AAAAAHH9/SY=")</f>
        <v>#VALUE!</v>
      </c>
      <c r="AN171" t="e">
        <f>AND('Planilla_General_03-12-2012_9_3'!G2723,"AAAAAHH9/Sc=")</f>
        <v>#VALUE!</v>
      </c>
      <c r="AO171" t="e">
        <f>AND('Planilla_General_03-12-2012_9_3'!H2723,"AAAAAHH9/Sg=")</f>
        <v>#VALUE!</v>
      </c>
      <c r="AP171" t="e">
        <f>AND('Planilla_General_03-12-2012_9_3'!I2723,"AAAAAHH9/Sk=")</f>
        <v>#VALUE!</v>
      </c>
      <c r="AQ171" t="e">
        <f>AND('Planilla_General_03-12-2012_9_3'!J2723,"AAAAAHH9/So=")</f>
        <v>#VALUE!</v>
      </c>
      <c r="AR171" t="e">
        <f>AND('Planilla_General_03-12-2012_9_3'!K2723,"AAAAAHH9/Ss=")</f>
        <v>#VALUE!</v>
      </c>
      <c r="AS171" t="e">
        <f>AND('Planilla_General_03-12-2012_9_3'!L2723,"AAAAAHH9/Sw=")</f>
        <v>#VALUE!</v>
      </c>
      <c r="AT171" t="e">
        <f>AND('Planilla_General_03-12-2012_9_3'!M2723,"AAAAAHH9/S0=")</f>
        <v>#VALUE!</v>
      </c>
      <c r="AU171" t="e">
        <f>AND('Planilla_General_03-12-2012_9_3'!N2723,"AAAAAHH9/S4=")</f>
        <v>#VALUE!</v>
      </c>
      <c r="AV171" t="e">
        <f>AND('Planilla_General_03-12-2012_9_3'!O2723,"AAAAAHH9/S8=")</f>
        <v>#VALUE!</v>
      </c>
      <c r="AW171">
        <f>IF('Planilla_General_03-12-2012_9_3'!2724:2724,"AAAAAHH9/TA=",0)</f>
        <v>0</v>
      </c>
      <c r="AX171" t="e">
        <f>AND('Planilla_General_03-12-2012_9_3'!A2724,"AAAAAHH9/TE=")</f>
        <v>#VALUE!</v>
      </c>
      <c r="AY171" t="e">
        <f>AND('Planilla_General_03-12-2012_9_3'!B2724,"AAAAAHH9/TI=")</f>
        <v>#VALUE!</v>
      </c>
      <c r="AZ171" t="e">
        <f>AND('Planilla_General_03-12-2012_9_3'!C2724,"AAAAAHH9/TM=")</f>
        <v>#VALUE!</v>
      </c>
      <c r="BA171" t="e">
        <f>AND('Planilla_General_03-12-2012_9_3'!D2724,"AAAAAHH9/TQ=")</f>
        <v>#VALUE!</v>
      </c>
      <c r="BB171" t="e">
        <f>AND('Planilla_General_03-12-2012_9_3'!E2724,"AAAAAHH9/TU=")</f>
        <v>#VALUE!</v>
      </c>
      <c r="BC171" t="e">
        <f>AND('Planilla_General_03-12-2012_9_3'!F2724,"AAAAAHH9/TY=")</f>
        <v>#VALUE!</v>
      </c>
      <c r="BD171" t="e">
        <f>AND('Planilla_General_03-12-2012_9_3'!G2724,"AAAAAHH9/Tc=")</f>
        <v>#VALUE!</v>
      </c>
      <c r="BE171" t="e">
        <f>AND('Planilla_General_03-12-2012_9_3'!H2724,"AAAAAHH9/Tg=")</f>
        <v>#VALUE!</v>
      </c>
      <c r="BF171" t="e">
        <f>AND('Planilla_General_03-12-2012_9_3'!I2724,"AAAAAHH9/Tk=")</f>
        <v>#VALUE!</v>
      </c>
      <c r="BG171" t="e">
        <f>AND('Planilla_General_03-12-2012_9_3'!J2724,"AAAAAHH9/To=")</f>
        <v>#VALUE!</v>
      </c>
      <c r="BH171" t="e">
        <f>AND('Planilla_General_03-12-2012_9_3'!K2724,"AAAAAHH9/Ts=")</f>
        <v>#VALUE!</v>
      </c>
      <c r="BI171" t="e">
        <f>AND('Planilla_General_03-12-2012_9_3'!L2724,"AAAAAHH9/Tw=")</f>
        <v>#VALUE!</v>
      </c>
      <c r="BJ171" t="e">
        <f>AND('Planilla_General_03-12-2012_9_3'!M2724,"AAAAAHH9/T0=")</f>
        <v>#VALUE!</v>
      </c>
      <c r="BK171" t="e">
        <f>AND('Planilla_General_03-12-2012_9_3'!N2724,"AAAAAHH9/T4=")</f>
        <v>#VALUE!</v>
      </c>
      <c r="BL171" t="e">
        <f>AND('Planilla_General_03-12-2012_9_3'!O2724,"AAAAAHH9/T8=")</f>
        <v>#VALUE!</v>
      </c>
      <c r="BM171">
        <f>IF('Planilla_General_03-12-2012_9_3'!2725:2725,"AAAAAHH9/UA=",0)</f>
        <v>0</v>
      </c>
      <c r="BN171" t="e">
        <f>AND('Planilla_General_03-12-2012_9_3'!A2725,"AAAAAHH9/UE=")</f>
        <v>#VALUE!</v>
      </c>
      <c r="BO171" t="e">
        <f>AND('Planilla_General_03-12-2012_9_3'!B2725,"AAAAAHH9/UI=")</f>
        <v>#VALUE!</v>
      </c>
      <c r="BP171" t="e">
        <f>AND('Planilla_General_03-12-2012_9_3'!C2725,"AAAAAHH9/UM=")</f>
        <v>#VALUE!</v>
      </c>
      <c r="BQ171" t="e">
        <f>AND('Planilla_General_03-12-2012_9_3'!D2725,"AAAAAHH9/UQ=")</f>
        <v>#VALUE!</v>
      </c>
      <c r="BR171" t="e">
        <f>AND('Planilla_General_03-12-2012_9_3'!E2725,"AAAAAHH9/UU=")</f>
        <v>#VALUE!</v>
      </c>
      <c r="BS171" t="e">
        <f>AND('Planilla_General_03-12-2012_9_3'!F2725,"AAAAAHH9/UY=")</f>
        <v>#VALUE!</v>
      </c>
      <c r="BT171" t="e">
        <f>AND('Planilla_General_03-12-2012_9_3'!G2725,"AAAAAHH9/Uc=")</f>
        <v>#VALUE!</v>
      </c>
      <c r="BU171" t="e">
        <f>AND('Planilla_General_03-12-2012_9_3'!H2725,"AAAAAHH9/Ug=")</f>
        <v>#VALUE!</v>
      </c>
      <c r="BV171" t="e">
        <f>AND('Planilla_General_03-12-2012_9_3'!I2725,"AAAAAHH9/Uk=")</f>
        <v>#VALUE!</v>
      </c>
      <c r="BW171" t="e">
        <f>AND('Planilla_General_03-12-2012_9_3'!J2725,"AAAAAHH9/Uo=")</f>
        <v>#VALUE!</v>
      </c>
      <c r="BX171" t="e">
        <f>AND('Planilla_General_03-12-2012_9_3'!K2725,"AAAAAHH9/Us=")</f>
        <v>#VALUE!</v>
      </c>
      <c r="BY171" t="e">
        <f>AND('Planilla_General_03-12-2012_9_3'!L2725,"AAAAAHH9/Uw=")</f>
        <v>#VALUE!</v>
      </c>
      <c r="BZ171" t="e">
        <f>AND('Planilla_General_03-12-2012_9_3'!M2725,"AAAAAHH9/U0=")</f>
        <v>#VALUE!</v>
      </c>
      <c r="CA171" t="e">
        <f>AND('Planilla_General_03-12-2012_9_3'!N2725,"AAAAAHH9/U4=")</f>
        <v>#VALUE!</v>
      </c>
      <c r="CB171" t="e">
        <f>AND('Planilla_General_03-12-2012_9_3'!O2725,"AAAAAHH9/U8=")</f>
        <v>#VALUE!</v>
      </c>
      <c r="CC171">
        <f>IF('Planilla_General_03-12-2012_9_3'!2726:2726,"AAAAAHH9/VA=",0)</f>
        <v>0</v>
      </c>
      <c r="CD171" t="e">
        <f>AND('Planilla_General_03-12-2012_9_3'!A2726,"AAAAAHH9/VE=")</f>
        <v>#VALUE!</v>
      </c>
      <c r="CE171" t="e">
        <f>AND('Planilla_General_03-12-2012_9_3'!B2726,"AAAAAHH9/VI=")</f>
        <v>#VALUE!</v>
      </c>
      <c r="CF171" t="e">
        <f>AND('Planilla_General_03-12-2012_9_3'!C2726,"AAAAAHH9/VM=")</f>
        <v>#VALUE!</v>
      </c>
      <c r="CG171" t="e">
        <f>AND('Planilla_General_03-12-2012_9_3'!D2726,"AAAAAHH9/VQ=")</f>
        <v>#VALUE!</v>
      </c>
      <c r="CH171" t="e">
        <f>AND('Planilla_General_03-12-2012_9_3'!E2726,"AAAAAHH9/VU=")</f>
        <v>#VALUE!</v>
      </c>
      <c r="CI171" t="e">
        <f>AND('Planilla_General_03-12-2012_9_3'!F2726,"AAAAAHH9/VY=")</f>
        <v>#VALUE!</v>
      </c>
      <c r="CJ171" t="e">
        <f>AND('Planilla_General_03-12-2012_9_3'!G2726,"AAAAAHH9/Vc=")</f>
        <v>#VALUE!</v>
      </c>
      <c r="CK171" t="e">
        <f>AND('Planilla_General_03-12-2012_9_3'!H2726,"AAAAAHH9/Vg=")</f>
        <v>#VALUE!</v>
      </c>
      <c r="CL171" t="e">
        <f>AND('Planilla_General_03-12-2012_9_3'!I2726,"AAAAAHH9/Vk=")</f>
        <v>#VALUE!</v>
      </c>
      <c r="CM171" t="e">
        <f>AND('Planilla_General_03-12-2012_9_3'!J2726,"AAAAAHH9/Vo=")</f>
        <v>#VALUE!</v>
      </c>
      <c r="CN171" t="e">
        <f>AND('Planilla_General_03-12-2012_9_3'!K2726,"AAAAAHH9/Vs=")</f>
        <v>#VALUE!</v>
      </c>
      <c r="CO171" t="e">
        <f>AND('Planilla_General_03-12-2012_9_3'!L2726,"AAAAAHH9/Vw=")</f>
        <v>#VALUE!</v>
      </c>
      <c r="CP171" t="e">
        <f>AND('Planilla_General_03-12-2012_9_3'!M2726,"AAAAAHH9/V0=")</f>
        <v>#VALUE!</v>
      </c>
      <c r="CQ171" t="e">
        <f>AND('Planilla_General_03-12-2012_9_3'!N2726,"AAAAAHH9/V4=")</f>
        <v>#VALUE!</v>
      </c>
      <c r="CR171" t="e">
        <f>AND('Planilla_General_03-12-2012_9_3'!O2726,"AAAAAHH9/V8=")</f>
        <v>#VALUE!</v>
      </c>
      <c r="CS171">
        <f>IF('Planilla_General_03-12-2012_9_3'!2727:2727,"AAAAAHH9/WA=",0)</f>
        <v>0</v>
      </c>
      <c r="CT171" t="e">
        <f>AND('Planilla_General_03-12-2012_9_3'!A2727,"AAAAAHH9/WE=")</f>
        <v>#VALUE!</v>
      </c>
      <c r="CU171" t="e">
        <f>AND('Planilla_General_03-12-2012_9_3'!B2727,"AAAAAHH9/WI=")</f>
        <v>#VALUE!</v>
      </c>
      <c r="CV171" t="e">
        <f>AND('Planilla_General_03-12-2012_9_3'!C2727,"AAAAAHH9/WM=")</f>
        <v>#VALUE!</v>
      </c>
      <c r="CW171" t="e">
        <f>AND('Planilla_General_03-12-2012_9_3'!D2727,"AAAAAHH9/WQ=")</f>
        <v>#VALUE!</v>
      </c>
      <c r="CX171" t="e">
        <f>AND('Planilla_General_03-12-2012_9_3'!E2727,"AAAAAHH9/WU=")</f>
        <v>#VALUE!</v>
      </c>
      <c r="CY171" t="e">
        <f>AND('Planilla_General_03-12-2012_9_3'!F2727,"AAAAAHH9/WY=")</f>
        <v>#VALUE!</v>
      </c>
      <c r="CZ171" t="e">
        <f>AND('Planilla_General_03-12-2012_9_3'!G2727,"AAAAAHH9/Wc=")</f>
        <v>#VALUE!</v>
      </c>
      <c r="DA171" t="e">
        <f>AND('Planilla_General_03-12-2012_9_3'!H2727,"AAAAAHH9/Wg=")</f>
        <v>#VALUE!</v>
      </c>
      <c r="DB171" t="e">
        <f>AND('Planilla_General_03-12-2012_9_3'!I2727,"AAAAAHH9/Wk=")</f>
        <v>#VALUE!</v>
      </c>
      <c r="DC171" t="e">
        <f>AND('Planilla_General_03-12-2012_9_3'!J2727,"AAAAAHH9/Wo=")</f>
        <v>#VALUE!</v>
      </c>
      <c r="DD171" t="e">
        <f>AND('Planilla_General_03-12-2012_9_3'!K2727,"AAAAAHH9/Ws=")</f>
        <v>#VALUE!</v>
      </c>
      <c r="DE171" t="e">
        <f>AND('Planilla_General_03-12-2012_9_3'!L2727,"AAAAAHH9/Ww=")</f>
        <v>#VALUE!</v>
      </c>
      <c r="DF171" t="e">
        <f>AND('Planilla_General_03-12-2012_9_3'!M2727,"AAAAAHH9/W0=")</f>
        <v>#VALUE!</v>
      </c>
      <c r="DG171" t="e">
        <f>AND('Planilla_General_03-12-2012_9_3'!N2727,"AAAAAHH9/W4=")</f>
        <v>#VALUE!</v>
      </c>
      <c r="DH171" t="e">
        <f>AND('Planilla_General_03-12-2012_9_3'!O2727,"AAAAAHH9/W8=")</f>
        <v>#VALUE!</v>
      </c>
      <c r="DI171">
        <f>IF('Planilla_General_03-12-2012_9_3'!2728:2728,"AAAAAHH9/XA=",0)</f>
        <v>0</v>
      </c>
      <c r="DJ171" t="e">
        <f>AND('Planilla_General_03-12-2012_9_3'!A2728,"AAAAAHH9/XE=")</f>
        <v>#VALUE!</v>
      </c>
      <c r="DK171" t="e">
        <f>AND('Planilla_General_03-12-2012_9_3'!B2728,"AAAAAHH9/XI=")</f>
        <v>#VALUE!</v>
      </c>
      <c r="DL171" t="e">
        <f>AND('Planilla_General_03-12-2012_9_3'!C2728,"AAAAAHH9/XM=")</f>
        <v>#VALUE!</v>
      </c>
      <c r="DM171" t="e">
        <f>AND('Planilla_General_03-12-2012_9_3'!D2728,"AAAAAHH9/XQ=")</f>
        <v>#VALUE!</v>
      </c>
      <c r="DN171" t="e">
        <f>AND('Planilla_General_03-12-2012_9_3'!E2728,"AAAAAHH9/XU=")</f>
        <v>#VALUE!</v>
      </c>
      <c r="DO171" t="e">
        <f>AND('Planilla_General_03-12-2012_9_3'!F2728,"AAAAAHH9/XY=")</f>
        <v>#VALUE!</v>
      </c>
      <c r="DP171" t="e">
        <f>AND('Planilla_General_03-12-2012_9_3'!G2728,"AAAAAHH9/Xc=")</f>
        <v>#VALUE!</v>
      </c>
      <c r="DQ171" t="e">
        <f>AND('Planilla_General_03-12-2012_9_3'!H2728,"AAAAAHH9/Xg=")</f>
        <v>#VALUE!</v>
      </c>
      <c r="DR171" t="e">
        <f>AND('Planilla_General_03-12-2012_9_3'!I2728,"AAAAAHH9/Xk=")</f>
        <v>#VALUE!</v>
      </c>
      <c r="DS171" t="e">
        <f>AND('Planilla_General_03-12-2012_9_3'!J2728,"AAAAAHH9/Xo=")</f>
        <v>#VALUE!</v>
      </c>
      <c r="DT171" t="e">
        <f>AND('Planilla_General_03-12-2012_9_3'!K2728,"AAAAAHH9/Xs=")</f>
        <v>#VALUE!</v>
      </c>
      <c r="DU171" t="e">
        <f>AND('Planilla_General_03-12-2012_9_3'!L2728,"AAAAAHH9/Xw=")</f>
        <v>#VALUE!</v>
      </c>
      <c r="DV171" t="e">
        <f>AND('Planilla_General_03-12-2012_9_3'!M2728,"AAAAAHH9/X0=")</f>
        <v>#VALUE!</v>
      </c>
      <c r="DW171" t="e">
        <f>AND('Planilla_General_03-12-2012_9_3'!N2728,"AAAAAHH9/X4=")</f>
        <v>#VALUE!</v>
      </c>
      <c r="DX171" t="e">
        <f>AND('Planilla_General_03-12-2012_9_3'!O2728,"AAAAAHH9/X8=")</f>
        <v>#VALUE!</v>
      </c>
      <c r="DY171">
        <f>IF('Planilla_General_03-12-2012_9_3'!2729:2729,"AAAAAHH9/YA=",0)</f>
        <v>0</v>
      </c>
      <c r="DZ171" t="e">
        <f>AND('Planilla_General_03-12-2012_9_3'!A2729,"AAAAAHH9/YE=")</f>
        <v>#VALUE!</v>
      </c>
      <c r="EA171" t="e">
        <f>AND('Planilla_General_03-12-2012_9_3'!B2729,"AAAAAHH9/YI=")</f>
        <v>#VALUE!</v>
      </c>
      <c r="EB171" t="e">
        <f>AND('Planilla_General_03-12-2012_9_3'!C2729,"AAAAAHH9/YM=")</f>
        <v>#VALUE!</v>
      </c>
      <c r="EC171" t="e">
        <f>AND('Planilla_General_03-12-2012_9_3'!D2729,"AAAAAHH9/YQ=")</f>
        <v>#VALUE!</v>
      </c>
      <c r="ED171" t="e">
        <f>AND('Planilla_General_03-12-2012_9_3'!E2729,"AAAAAHH9/YU=")</f>
        <v>#VALUE!</v>
      </c>
      <c r="EE171" t="e">
        <f>AND('Planilla_General_03-12-2012_9_3'!F2729,"AAAAAHH9/YY=")</f>
        <v>#VALUE!</v>
      </c>
      <c r="EF171" t="e">
        <f>AND('Planilla_General_03-12-2012_9_3'!G2729,"AAAAAHH9/Yc=")</f>
        <v>#VALUE!</v>
      </c>
      <c r="EG171" t="e">
        <f>AND('Planilla_General_03-12-2012_9_3'!H2729,"AAAAAHH9/Yg=")</f>
        <v>#VALUE!</v>
      </c>
      <c r="EH171" t="e">
        <f>AND('Planilla_General_03-12-2012_9_3'!I2729,"AAAAAHH9/Yk=")</f>
        <v>#VALUE!</v>
      </c>
      <c r="EI171" t="e">
        <f>AND('Planilla_General_03-12-2012_9_3'!J2729,"AAAAAHH9/Yo=")</f>
        <v>#VALUE!</v>
      </c>
      <c r="EJ171" t="e">
        <f>AND('Planilla_General_03-12-2012_9_3'!K2729,"AAAAAHH9/Ys=")</f>
        <v>#VALUE!</v>
      </c>
      <c r="EK171" t="e">
        <f>AND('Planilla_General_03-12-2012_9_3'!L2729,"AAAAAHH9/Yw=")</f>
        <v>#VALUE!</v>
      </c>
      <c r="EL171" t="e">
        <f>AND('Planilla_General_03-12-2012_9_3'!M2729,"AAAAAHH9/Y0=")</f>
        <v>#VALUE!</v>
      </c>
      <c r="EM171" t="e">
        <f>AND('Planilla_General_03-12-2012_9_3'!N2729,"AAAAAHH9/Y4=")</f>
        <v>#VALUE!</v>
      </c>
      <c r="EN171" t="e">
        <f>AND('Planilla_General_03-12-2012_9_3'!O2729,"AAAAAHH9/Y8=")</f>
        <v>#VALUE!</v>
      </c>
      <c r="EO171">
        <f>IF('Planilla_General_03-12-2012_9_3'!2730:2730,"AAAAAHH9/ZA=",0)</f>
        <v>0</v>
      </c>
      <c r="EP171" t="e">
        <f>AND('Planilla_General_03-12-2012_9_3'!A2730,"AAAAAHH9/ZE=")</f>
        <v>#VALUE!</v>
      </c>
      <c r="EQ171" t="e">
        <f>AND('Planilla_General_03-12-2012_9_3'!B2730,"AAAAAHH9/ZI=")</f>
        <v>#VALUE!</v>
      </c>
      <c r="ER171" t="e">
        <f>AND('Planilla_General_03-12-2012_9_3'!C2730,"AAAAAHH9/ZM=")</f>
        <v>#VALUE!</v>
      </c>
      <c r="ES171" t="e">
        <f>AND('Planilla_General_03-12-2012_9_3'!D2730,"AAAAAHH9/ZQ=")</f>
        <v>#VALUE!</v>
      </c>
      <c r="ET171" t="e">
        <f>AND('Planilla_General_03-12-2012_9_3'!E2730,"AAAAAHH9/ZU=")</f>
        <v>#VALUE!</v>
      </c>
      <c r="EU171" t="e">
        <f>AND('Planilla_General_03-12-2012_9_3'!F2730,"AAAAAHH9/ZY=")</f>
        <v>#VALUE!</v>
      </c>
      <c r="EV171" t="e">
        <f>AND('Planilla_General_03-12-2012_9_3'!G2730,"AAAAAHH9/Zc=")</f>
        <v>#VALUE!</v>
      </c>
      <c r="EW171" t="e">
        <f>AND('Planilla_General_03-12-2012_9_3'!H2730,"AAAAAHH9/Zg=")</f>
        <v>#VALUE!</v>
      </c>
      <c r="EX171" t="e">
        <f>AND('Planilla_General_03-12-2012_9_3'!I2730,"AAAAAHH9/Zk=")</f>
        <v>#VALUE!</v>
      </c>
      <c r="EY171" t="e">
        <f>AND('Planilla_General_03-12-2012_9_3'!J2730,"AAAAAHH9/Zo=")</f>
        <v>#VALUE!</v>
      </c>
      <c r="EZ171" t="e">
        <f>AND('Planilla_General_03-12-2012_9_3'!K2730,"AAAAAHH9/Zs=")</f>
        <v>#VALUE!</v>
      </c>
      <c r="FA171" t="e">
        <f>AND('Planilla_General_03-12-2012_9_3'!L2730,"AAAAAHH9/Zw=")</f>
        <v>#VALUE!</v>
      </c>
      <c r="FB171" t="e">
        <f>AND('Planilla_General_03-12-2012_9_3'!M2730,"AAAAAHH9/Z0=")</f>
        <v>#VALUE!</v>
      </c>
      <c r="FC171" t="e">
        <f>AND('Planilla_General_03-12-2012_9_3'!N2730,"AAAAAHH9/Z4=")</f>
        <v>#VALUE!</v>
      </c>
      <c r="FD171" t="e">
        <f>AND('Planilla_General_03-12-2012_9_3'!O2730,"AAAAAHH9/Z8=")</f>
        <v>#VALUE!</v>
      </c>
      <c r="FE171">
        <f>IF('Planilla_General_03-12-2012_9_3'!2731:2731,"AAAAAHH9/aA=",0)</f>
        <v>0</v>
      </c>
      <c r="FF171" t="e">
        <f>AND('Planilla_General_03-12-2012_9_3'!A2731,"AAAAAHH9/aE=")</f>
        <v>#VALUE!</v>
      </c>
      <c r="FG171" t="e">
        <f>AND('Planilla_General_03-12-2012_9_3'!B2731,"AAAAAHH9/aI=")</f>
        <v>#VALUE!</v>
      </c>
      <c r="FH171" t="e">
        <f>AND('Planilla_General_03-12-2012_9_3'!C2731,"AAAAAHH9/aM=")</f>
        <v>#VALUE!</v>
      </c>
      <c r="FI171" t="e">
        <f>AND('Planilla_General_03-12-2012_9_3'!D2731,"AAAAAHH9/aQ=")</f>
        <v>#VALUE!</v>
      </c>
      <c r="FJ171" t="e">
        <f>AND('Planilla_General_03-12-2012_9_3'!E2731,"AAAAAHH9/aU=")</f>
        <v>#VALUE!</v>
      </c>
      <c r="FK171" t="e">
        <f>AND('Planilla_General_03-12-2012_9_3'!F2731,"AAAAAHH9/aY=")</f>
        <v>#VALUE!</v>
      </c>
      <c r="FL171" t="e">
        <f>AND('Planilla_General_03-12-2012_9_3'!G2731,"AAAAAHH9/ac=")</f>
        <v>#VALUE!</v>
      </c>
      <c r="FM171" t="e">
        <f>AND('Planilla_General_03-12-2012_9_3'!H2731,"AAAAAHH9/ag=")</f>
        <v>#VALUE!</v>
      </c>
      <c r="FN171" t="e">
        <f>AND('Planilla_General_03-12-2012_9_3'!I2731,"AAAAAHH9/ak=")</f>
        <v>#VALUE!</v>
      </c>
      <c r="FO171" t="e">
        <f>AND('Planilla_General_03-12-2012_9_3'!J2731,"AAAAAHH9/ao=")</f>
        <v>#VALUE!</v>
      </c>
      <c r="FP171" t="e">
        <f>AND('Planilla_General_03-12-2012_9_3'!K2731,"AAAAAHH9/as=")</f>
        <v>#VALUE!</v>
      </c>
      <c r="FQ171" t="e">
        <f>AND('Planilla_General_03-12-2012_9_3'!L2731,"AAAAAHH9/aw=")</f>
        <v>#VALUE!</v>
      </c>
      <c r="FR171" t="e">
        <f>AND('Planilla_General_03-12-2012_9_3'!M2731,"AAAAAHH9/a0=")</f>
        <v>#VALUE!</v>
      </c>
      <c r="FS171" t="e">
        <f>AND('Planilla_General_03-12-2012_9_3'!N2731,"AAAAAHH9/a4=")</f>
        <v>#VALUE!</v>
      </c>
      <c r="FT171" t="e">
        <f>AND('Planilla_General_03-12-2012_9_3'!O2731,"AAAAAHH9/a8=")</f>
        <v>#VALUE!</v>
      </c>
      <c r="FU171">
        <f>IF('Planilla_General_03-12-2012_9_3'!2732:2732,"AAAAAHH9/bA=",0)</f>
        <v>0</v>
      </c>
      <c r="FV171" t="e">
        <f>AND('Planilla_General_03-12-2012_9_3'!A2732,"AAAAAHH9/bE=")</f>
        <v>#VALUE!</v>
      </c>
      <c r="FW171" t="e">
        <f>AND('Planilla_General_03-12-2012_9_3'!B2732,"AAAAAHH9/bI=")</f>
        <v>#VALUE!</v>
      </c>
      <c r="FX171" t="e">
        <f>AND('Planilla_General_03-12-2012_9_3'!C2732,"AAAAAHH9/bM=")</f>
        <v>#VALUE!</v>
      </c>
      <c r="FY171" t="e">
        <f>AND('Planilla_General_03-12-2012_9_3'!D2732,"AAAAAHH9/bQ=")</f>
        <v>#VALUE!</v>
      </c>
      <c r="FZ171" t="e">
        <f>AND('Planilla_General_03-12-2012_9_3'!E2732,"AAAAAHH9/bU=")</f>
        <v>#VALUE!</v>
      </c>
      <c r="GA171" t="e">
        <f>AND('Planilla_General_03-12-2012_9_3'!F2732,"AAAAAHH9/bY=")</f>
        <v>#VALUE!</v>
      </c>
      <c r="GB171" t="e">
        <f>AND('Planilla_General_03-12-2012_9_3'!G2732,"AAAAAHH9/bc=")</f>
        <v>#VALUE!</v>
      </c>
      <c r="GC171" t="e">
        <f>AND('Planilla_General_03-12-2012_9_3'!H2732,"AAAAAHH9/bg=")</f>
        <v>#VALUE!</v>
      </c>
      <c r="GD171" t="e">
        <f>AND('Planilla_General_03-12-2012_9_3'!I2732,"AAAAAHH9/bk=")</f>
        <v>#VALUE!</v>
      </c>
      <c r="GE171" t="e">
        <f>AND('Planilla_General_03-12-2012_9_3'!J2732,"AAAAAHH9/bo=")</f>
        <v>#VALUE!</v>
      </c>
      <c r="GF171" t="e">
        <f>AND('Planilla_General_03-12-2012_9_3'!K2732,"AAAAAHH9/bs=")</f>
        <v>#VALUE!</v>
      </c>
      <c r="GG171" t="e">
        <f>AND('Planilla_General_03-12-2012_9_3'!L2732,"AAAAAHH9/bw=")</f>
        <v>#VALUE!</v>
      </c>
      <c r="GH171" t="e">
        <f>AND('Planilla_General_03-12-2012_9_3'!M2732,"AAAAAHH9/b0=")</f>
        <v>#VALUE!</v>
      </c>
      <c r="GI171" t="e">
        <f>AND('Planilla_General_03-12-2012_9_3'!N2732,"AAAAAHH9/b4=")</f>
        <v>#VALUE!</v>
      </c>
      <c r="GJ171" t="e">
        <f>AND('Planilla_General_03-12-2012_9_3'!O2732,"AAAAAHH9/b8=")</f>
        <v>#VALUE!</v>
      </c>
      <c r="GK171">
        <f>IF('Planilla_General_03-12-2012_9_3'!2733:2733,"AAAAAHH9/cA=",0)</f>
        <v>0</v>
      </c>
      <c r="GL171" t="e">
        <f>AND('Planilla_General_03-12-2012_9_3'!A2733,"AAAAAHH9/cE=")</f>
        <v>#VALUE!</v>
      </c>
      <c r="GM171" t="e">
        <f>AND('Planilla_General_03-12-2012_9_3'!B2733,"AAAAAHH9/cI=")</f>
        <v>#VALUE!</v>
      </c>
      <c r="GN171" t="e">
        <f>AND('Planilla_General_03-12-2012_9_3'!C2733,"AAAAAHH9/cM=")</f>
        <v>#VALUE!</v>
      </c>
      <c r="GO171" t="e">
        <f>AND('Planilla_General_03-12-2012_9_3'!D2733,"AAAAAHH9/cQ=")</f>
        <v>#VALUE!</v>
      </c>
      <c r="GP171" t="e">
        <f>AND('Planilla_General_03-12-2012_9_3'!E2733,"AAAAAHH9/cU=")</f>
        <v>#VALUE!</v>
      </c>
      <c r="GQ171" t="e">
        <f>AND('Planilla_General_03-12-2012_9_3'!F2733,"AAAAAHH9/cY=")</f>
        <v>#VALUE!</v>
      </c>
      <c r="GR171" t="e">
        <f>AND('Planilla_General_03-12-2012_9_3'!G2733,"AAAAAHH9/cc=")</f>
        <v>#VALUE!</v>
      </c>
      <c r="GS171" t="e">
        <f>AND('Planilla_General_03-12-2012_9_3'!H2733,"AAAAAHH9/cg=")</f>
        <v>#VALUE!</v>
      </c>
      <c r="GT171" t="e">
        <f>AND('Planilla_General_03-12-2012_9_3'!I2733,"AAAAAHH9/ck=")</f>
        <v>#VALUE!</v>
      </c>
      <c r="GU171" t="e">
        <f>AND('Planilla_General_03-12-2012_9_3'!J2733,"AAAAAHH9/co=")</f>
        <v>#VALUE!</v>
      </c>
      <c r="GV171" t="e">
        <f>AND('Planilla_General_03-12-2012_9_3'!K2733,"AAAAAHH9/cs=")</f>
        <v>#VALUE!</v>
      </c>
      <c r="GW171" t="e">
        <f>AND('Planilla_General_03-12-2012_9_3'!L2733,"AAAAAHH9/cw=")</f>
        <v>#VALUE!</v>
      </c>
      <c r="GX171" t="e">
        <f>AND('Planilla_General_03-12-2012_9_3'!M2733,"AAAAAHH9/c0=")</f>
        <v>#VALUE!</v>
      </c>
      <c r="GY171" t="e">
        <f>AND('Planilla_General_03-12-2012_9_3'!N2733,"AAAAAHH9/c4=")</f>
        <v>#VALUE!</v>
      </c>
      <c r="GZ171" t="e">
        <f>AND('Planilla_General_03-12-2012_9_3'!O2733,"AAAAAHH9/c8=")</f>
        <v>#VALUE!</v>
      </c>
      <c r="HA171">
        <f>IF('Planilla_General_03-12-2012_9_3'!2734:2734,"AAAAAHH9/dA=",0)</f>
        <v>0</v>
      </c>
      <c r="HB171" t="e">
        <f>AND('Planilla_General_03-12-2012_9_3'!A2734,"AAAAAHH9/dE=")</f>
        <v>#VALUE!</v>
      </c>
      <c r="HC171" t="e">
        <f>AND('Planilla_General_03-12-2012_9_3'!B2734,"AAAAAHH9/dI=")</f>
        <v>#VALUE!</v>
      </c>
      <c r="HD171" t="e">
        <f>AND('Planilla_General_03-12-2012_9_3'!C2734,"AAAAAHH9/dM=")</f>
        <v>#VALUE!</v>
      </c>
      <c r="HE171" t="e">
        <f>AND('Planilla_General_03-12-2012_9_3'!D2734,"AAAAAHH9/dQ=")</f>
        <v>#VALUE!</v>
      </c>
      <c r="HF171" t="e">
        <f>AND('Planilla_General_03-12-2012_9_3'!E2734,"AAAAAHH9/dU=")</f>
        <v>#VALUE!</v>
      </c>
      <c r="HG171" t="e">
        <f>AND('Planilla_General_03-12-2012_9_3'!F2734,"AAAAAHH9/dY=")</f>
        <v>#VALUE!</v>
      </c>
      <c r="HH171" t="e">
        <f>AND('Planilla_General_03-12-2012_9_3'!G2734,"AAAAAHH9/dc=")</f>
        <v>#VALUE!</v>
      </c>
      <c r="HI171" t="e">
        <f>AND('Planilla_General_03-12-2012_9_3'!H2734,"AAAAAHH9/dg=")</f>
        <v>#VALUE!</v>
      </c>
      <c r="HJ171" t="e">
        <f>AND('Planilla_General_03-12-2012_9_3'!I2734,"AAAAAHH9/dk=")</f>
        <v>#VALUE!</v>
      </c>
      <c r="HK171" t="e">
        <f>AND('Planilla_General_03-12-2012_9_3'!J2734,"AAAAAHH9/do=")</f>
        <v>#VALUE!</v>
      </c>
      <c r="HL171" t="e">
        <f>AND('Planilla_General_03-12-2012_9_3'!K2734,"AAAAAHH9/ds=")</f>
        <v>#VALUE!</v>
      </c>
      <c r="HM171" t="e">
        <f>AND('Planilla_General_03-12-2012_9_3'!L2734,"AAAAAHH9/dw=")</f>
        <v>#VALUE!</v>
      </c>
      <c r="HN171" t="e">
        <f>AND('Planilla_General_03-12-2012_9_3'!M2734,"AAAAAHH9/d0=")</f>
        <v>#VALUE!</v>
      </c>
      <c r="HO171" t="e">
        <f>AND('Planilla_General_03-12-2012_9_3'!N2734,"AAAAAHH9/d4=")</f>
        <v>#VALUE!</v>
      </c>
      <c r="HP171" t="e">
        <f>AND('Planilla_General_03-12-2012_9_3'!O2734,"AAAAAHH9/d8=")</f>
        <v>#VALUE!</v>
      </c>
      <c r="HQ171">
        <f>IF('Planilla_General_03-12-2012_9_3'!2735:2735,"AAAAAHH9/eA=",0)</f>
        <v>0</v>
      </c>
      <c r="HR171" t="e">
        <f>AND('Planilla_General_03-12-2012_9_3'!A2735,"AAAAAHH9/eE=")</f>
        <v>#VALUE!</v>
      </c>
      <c r="HS171" t="e">
        <f>AND('Planilla_General_03-12-2012_9_3'!B2735,"AAAAAHH9/eI=")</f>
        <v>#VALUE!</v>
      </c>
      <c r="HT171" t="e">
        <f>AND('Planilla_General_03-12-2012_9_3'!C2735,"AAAAAHH9/eM=")</f>
        <v>#VALUE!</v>
      </c>
      <c r="HU171" t="e">
        <f>AND('Planilla_General_03-12-2012_9_3'!D2735,"AAAAAHH9/eQ=")</f>
        <v>#VALUE!</v>
      </c>
      <c r="HV171" t="e">
        <f>AND('Planilla_General_03-12-2012_9_3'!E2735,"AAAAAHH9/eU=")</f>
        <v>#VALUE!</v>
      </c>
      <c r="HW171" t="e">
        <f>AND('Planilla_General_03-12-2012_9_3'!F2735,"AAAAAHH9/eY=")</f>
        <v>#VALUE!</v>
      </c>
      <c r="HX171" t="e">
        <f>AND('Planilla_General_03-12-2012_9_3'!G2735,"AAAAAHH9/ec=")</f>
        <v>#VALUE!</v>
      </c>
      <c r="HY171" t="e">
        <f>AND('Planilla_General_03-12-2012_9_3'!H2735,"AAAAAHH9/eg=")</f>
        <v>#VALUE!</v>
      </c>
      <c r="HZ171" t="e">
        <f>AND('Planilla_General_03-12-2012_9_3'!I2735,"AAAAAHH9/ek=")</f>
        <v>#VALUE!</v>
      </c>
      <c r="IA171" t="e">
        <f>AND('Planilla_General_03-12-2012_9_3'!J2735,"AAAAAHH9/eo=")</f>
        <v>#VALUE!</v>
      </c>
      <c r="IB171" t="e">
        <f>AND('Planilla_General_03-12-2012_9_3'!K2735,"AAAAAHH9/es=")</f>
        <v>#VALUE!</v>
      </c>
      <c r="IC171" t="e">
        <f>AND('Planilla_General_03-12-2012_9_3'!L2735,"AAAAAHH9/ew=")</f>
        <v>#VALUE!</v>
      </c>
      <c r="ID171" t="e">
        <f>AND('Planilla_General_03-12-2012_9_3'!M2735,"AAAAAHH9/e0=")</f>
        <v>#VALUE!</v>
      </c>
      <c r="IE171" t="e">
        <f>AND('Planilla_General_03-12-2012_9_3'!N2735,"AAAAAHH9/e4=")</f>
        <v>#VALUE!</v>
      </c>
      <c r="IF171" t="e">
        <f>AND('Planilla_General_03-12-2012_9_3'!O2735,"AAAAAHH9/e8=")</f>
        <v>#VALUE!</v>
      </c>
      <c r="IG171">
        <f>IF('Planilla_General_03-12-2012_9_3'!2736:2736,"AAAAAHH9/fA=",0)</f>
        <v>0</v>
      </c>
      <c r="IH171" t="e">
        <f>AND('Planilla_General_03-12-2012_9_3'!A2736,"AAAAAHH9/fE=")</f>
        <v>#VALUE!</v>
      </c>
      <c r="II171" t="e">
        <f>AND('Planilla_General_03-12-2012_9_3'!B2736,"AAAAAHH9/fI=")</f>
        <v>#VALUE!</v>
      </c>
      <c r="IJ171" t="e">
        <f>AND('Planilla_General_03-12-2012_9_3'!C2736,"AAAAAHH9/fM=")</f>
        <v>#VALUE!</v>
      </c>
      <c r="IK171" t="e">
        <f>AND('Planilla_General_03-12-2012_9_3'!D2736,"AAAAAHH9/fQ=")</f>
        <v>#VALUE!</v>
      </c>
      <c r="IL171" t="e">
        <f>AND('Planilla_General_03-12-2012_9_3'!E2736,"AAAAAHH9/fU=")</f>
        <v>#VALUE!</v>
      </c>
      <c r="IM171" t="e">
        <f>AND('Planilla_General_03-12-2012_9_3'!F2736,"AAAAAHH9/fY=")</f>
        <v>#VALUE!</v>
      </c>
      <c r="IN171" t="e">
        <f>AND('Planilla_General_03-12-2012_9_3'!G2736,"AAAAAHH9/fc=")</f>
        <v>#VALUE!</v>
      </c>
      <c r="IO171" t="e">
        <f>AND('Planilla_General_03-12-2012_9_3'!H2736,"AAAAAHH9/fg=")</f>
        <v>#VALUE!</v>
      </c>
      <c r="IP171" t="e">
        <f>AND('Planilla_General_03-12-2012_9_3'!I2736,"AAAAAHH9/fk=")</f>
        <v>#VALUE!</v>
      </c>
      <c r="IQ171" t="e">
        <f>AND('Planilla_General_03-12-2012_9_3'!J2736,"AAAAAHH9/fo=")</f>
        <v>#VALUE!</v>
      </c>
      <c r="IR171" t="e">
        <f>AND('Planilla_General_03-12-2012_9_3'!K2736,"AAAAAHH9/fs=")</f>
        <v>#VALUE!</v>
      </c>
      <c r="IS171" t="e">
        <f>AND('Planilla_General_03-12-2012_9_3'!L2736,"AAAAAHH9/fw=")</f>
        <v>#VALUE!</v>
      </c>
      <c r="IT171" t="e">
        <f>AND('Planilla_General_03-12-2012_9_3'!M2736,"AAAAAHH9/f0=")</f>
        <v>#VALUE!</v>
      </c>
      <c r="IU171" t="e">
        <f>AND('Planilla_General_03-12-2012_9_3'!N2736,"AAAAAHH9/f4=")</f>
        <v>#VALUE!</v>
      </c>
      <c r="IV171" t="e">
        <f>AND('Planilla_General_03-12-2012_9_3'!O2736,"AAAAAHH9/f8=")</f>
        <v>#VALUE!</v>
      </c>
    </row>
    <row r="172" spans="1:256" x14ac:dyDescent="0.25">
      <c r="A172" t="e">
        <f>IF('Planilla_General_03-12-2012_9_3'!2737:2737,"AAAAAF71pQA=",0)</f>
        <v>#VALUE!</v>
      </c>
      <c r="B172" t="e">
        <f>AND('Planilla_General_03-12-2012_9_3'!A2737,"AAAAAF71pQE=")</f>
        <v>#VALUE!</v>
      </c>
      <c r="C172" t="e">
        <f>AND('Planilla_General_03-12-2012_9_3'!B2737,"AAAAAF71pQI=")</f>
        <v>#VALUE!</v>
      </c>
      <c r="D172" t="e">
        <f>AND('Planilla_General_03-12-2012_9_3'!C2737,"AAAAAF71pQM=")</f>
        <v>#VALUE!</v>
      </c>
      <c r="E172" t="e">
        <f>AND('Planilla_General_03-12-2012_9_3'!D2737,"AAAAAF71pQQ=")</f>
        <v>#VALUE!</v>
      </c>
      <c r="F172" t="e">
        <f>AND('Planilla_General_03-12-2012_9_3'!E2737,"AAAAAF71pQU=")</f>
        <v>#VALUE!</v>
      </c>
      <c r="G172" t="e">
        <f>AND('Planilla_General_03-12-2012_9_3'!F2737,"AAAAAF71pQY=")</f>
        <v>#VALUE!</v>
      </c>
      <c r="H172" t="e">
        <f>AND('Planilla_General_03-12-2012_9_3'!G2737,"AAAAAF71pQc=")</f>
        <v>#VALUE!</v>
      </c>
      <c r="I172" t="e">
        <f>AND('Planilla_General_03-12-2012_9_3'!H2737,"AAAAAF71pQg=")</f>
        <v>#VALUE!</v>
      </c>
      <c r="J172" t="e">
        <f>AND('Planilla_General_03-12-2012_9_3'!I2737,"AAAAAF71pQk=")</f>
        <v>#VALUE!</v>
      </c>
      <c r="K172" t="e">
        <f>AND('Planilla_General_03-12-2012_9_3'!J2737,"AAAAAF71pQo=")</f>
        <v>#VALUE!</v>
      </c>
      <c r="L172" t="e">
        <f>AND('Planilla_General_03-12-2012_9_3'!K2737,"AAAAAF71pQs=")</f>
        <v>#VALUE!</v>
      </c>
      <c r="M172" t="e">
        <f>AND('Planilla_General_03-12-2012_9_3'!L2737,"AAAAAF71pQw=")</f>
        <v>#VALUE!</v>
      </c>
      <c r="N172" t="e">
        <f>AND('Planilla_General_03-12-2012_9_3'!M2737,"AAAAAF71pQ0=")</f>
        <v>#VALUE!</v>
      </c>
      <c r="O172" t="e">
        <f>AND('Planilla_General_03-12-2012_9_3'!N2737,"AAAAAF71pQ4=")</f>
        <v>#VALUE!</v>
      </c>
      <c r="P172" t="e">
        <f>AND('Planilla_General_03-12-2012_9_3'!O2737,"AAAAAF71pQ8=")</f>
        <v>#VALUE!</v>
      </c>
      <c r="Q172">
        <f>IF('Planilla_General_03-12-2012_9_3'!2738:2738,"AAAAAF71pRA=",0)</f>
        <v>0</v>
      </c>
      <c r="R172" t="e">
        <f>AND('Planilla_General_03-12-2012_9_3'!A2738,"AAAAAF71pRE=")</f>
        <v>#VALUE!</v>
      </c>
      <c r="S172" t="e">
        <f>AND('Planilla_General_03-12-2012_9_3'!B2738,"AAAAAF71pRI=")</f>
        <v>#VALUE!</v>
      </c>
      <c r="T172" t="e">
        <f>AND('Planilla_General_03-12-2012_9_3'!C2738,"AAAAAF71pRM=")</f>
        <v>#VALUE!</v>
      </c>
      <c r="U172" t="e">
        <f>AND('Planilla_General_03-12-2012_9_3'!D2738,"AAAAAF71pRQ=")</f>
        <v>#VALUE!</v>
      </c>
      <c r="V172" t="e">
        <f>AND('Planilla_General_03-12-2012_9_3'!E2738,"AAAAAF71pRU=")</f>
        <v>#VALUE!</v>
      </c>
      <c r="W172" t="e">
        <f>AND('Planilla_General_03-12-2012_9_3'!F2738,"AAAAAF71pRY=")</f>
        <v>#VALUE!</v>
      </c>
      <c r="X172" t="e">
        <f>AND('Planilla_General_03-12-2012_9_3'!G2738,"AAAAAF71pRc=")</f>
        <v>#VALUE!</v>
      </c>
      <c r="Y172" t="e">
        <f>AND('Planilla_General_03-12-2012_9_3'!H2738,"AAAAAF71pRg=")</f>
        <v>#VALUE!</v>
      </c>
      <c r="Z172" t="e">
        <f>AND('Planilla_General_03-12-2012_9_3'!I2738,"AAAAAF71pRk=")</f>
        <v>#VALUE!</v>
      </c>
      <c r="AA172" t="e">
        <f>AND('Planilla_General_03-12-2012_9_3'!J2738,"AAAAAF71pRo=")</f>
        <v>#VALUE!</v>
      </c>
      <c r="AB172" t="e">
        <f>AND('Planilla_General_03-12-2012_9_3'!K2738,"AAAAAF71pRs=")</f>
        <v>#VALUE!</v>
      </c>
      <c r="AC172" t="e">
        <f>AND('Planilla_General_03-12-2012_9_3'!L2738,"AAAAAF71pRw=")</f>
        <v>#VALUE!</v>
      </c>
      <c r="AD172" t="e">
        <f>AND('Planilla_General_03-12-2012_9_3'!M2738,"AAAAAF71pR0=")</f>
        <v>#VALUE!</v>
      </c>
      <c r="AE172" t="e">
        <f>AND('Planilla_General_03-12-2012_9_3'!N2738,"AAAAAF71pR4=")</f>
        <v>#VALUE!</v>
      </c>
      <c r="AF172" t="e">
        <f>AND('Planilla_General_03-12-2012_9_3'!O2738,"AAAAAF71pR8=")</f>
        <v>#VALUE!</v>
      </c>
      <c r="AG172">
        <f>IF('Planilla_General_03-12-2012_9_3'!2739:2739,"AAAAAF71pSA=",0)</f>
        <v>0</v>
      </c>
      <c r="AH172" t="e">
        <f>AND('Planilla_General_03-12-2012_9_3'!A2739,"AAAAAF71pSE=")</f>
        <v>#VALUE!</v>
      </c>
      <c r="AI172" t="e">
        <f>AND('Planilla_General_03-12-2012_9_3'!B2739,"AAAAAF71pSI=")</f>
        <v>#VALUE!</v>
      </c>
      <c r="AJ172" t="e">
        <f>AND('Planilla_General_03-12-2012_9_3'!C2739,"AAAAAF71pSM=")</f>
        <v>#VALUE!</v>
      </c>
      <c r="AK172" t="e">
        <f>AND('Planilla_General_03-12-2012_9_3'!D2739,"AAAAAF71pSQ=")</f>
        <v>#VALUE!</v>
      </c>
      <c r="AL172" t="e">
        <f>AND('Planilla_General_03-12-2012_9_3'!E2739,"AAAAAF71pSU=")</f>
        <v>#VALUE!</v>
      </c>
      <c r="AM172" t="e">
        <f>AND('Planilla_General_03-12-2012_9_3'!F2739,"AAAAAF71pSY=")</f>
        <v>#VALUE!</v>
      </c>
      <c r="AN172" t="e">
        <f>AND('Planilla_General_03-12-2012_9_3'!G2739,"AAAAAF71pSc=")</f>
        <v>#VALUE!</v>
      </c>
      <c r="AO172" t="e">
        <f>AND('Planilla_General_03-12-2012_9_3'!H2739,"AAAAAF71pSg=")</f>
        <v>#VALUE!</v>
      </c>
      <c r="AP172" t="e">
        <f>AND('Planilla_General_03-12-2012_9_3'!I2739,"AAAAAF71pSk=")</f>
        <v>#VALUE!</v>
      </c>
      <c r="AQ172" t="e">
        <f>AND('Planilla_General_03-12-2012_9_3'!J2739,"AAAAAF71pSo=")</f>
        <v>#VALUE!</v>
      </c>
      <c r="AR172" t="e">
        <f>AND('Planilla_General_03-12-2012_9_3'!K2739,"AAAAAF71pSs=")</f>
        <v>#VALUE!</v>
      </c>
      <c r="AS172" t="e">
        <f>AND('Planilla_General_03-12-2012_9_3'!L2739,"AAAAAF71pSw=")</f>
        <v>#VALUE!</v>
      </c>
      <c r="AT172" t="e">
        <f>AND('Planilla_General_03-12-2012_9_3'!M2739,"AAAAAF71pS0=")</f>
        <v>#VALUE!</v>
      </c>
      <c r="AU172" t="e">
        <f>AND('Planilla_General_03-12-2012_9_3'!N2739,"AAAAAF71pS4=")</f>
        <v>#VALUE!</v>
      </c>
      <c r="AV172" t="e">
        <f>AND('Planilla_General_03-12-2012_9_3'!O2739,"AAAAAF71pS8=")</f>
        <v>#VALUE!</v>
      </c>
      <c r="AW172">
        <f>IF('Planilla_General_03-12-2012_9_3'!2740:2740,"AAAAAF71pTA=",0)</f>
        <v>0</v>
      </c>
      <c r="AX172" t="e">
        <f>AND('Planilla_General_03-12-2012_9_3'!A2740,"AAAAAF71pTE=")</f>
        <v>#VALUE!</v>
      </c>
      <c r="AY172" t="e">
        <f>AND('Planilla_General_03-12-2012_9_3'!B2740,"AAAAAF71pTI=")</f>
        <v>#VALUE!</v>
      </c>
      <c r="AZ172" t="e">
        <f>AND('Planilla_General_03-12-2012_9_3'!C2740,"AAAAAF71pTM=")</f>
        <v>#VALUE!</v>
      </c>
      <c r="BA172" t="e">
        <f>AND('Planilla_General_03-12-2012_9_3'!D2740,"AAAAAF71pTQ=")</f>
        <v>#VALUE!</v>
      </c>
      <c r="BB172" t="e">
        <f>AND('Planilla_General_03-12-2012_9_3'!E2740,"AAAAAF71pTU=")</f>
        <v>#VALUE!</v>
      </c>
      <c r="BC172" t="e">
        <f>AND('Planilla_General_03-12-2012_9_3'!F2740,"AAAAAF71pTY=")</f>
        <v>#VALUE!</v>
      </c>
      <c r="BD172" t="e">
        <f>AND('Planilla_General_03-12-2012_9_3'!G2740,"AAAAAF71pTc=")</f>
        <v>#VALUE!</v>
      </c>
      <c r="BE172" t="e">
        <f>AND('Planilla_General_03-12-2012_9_3'!H2740,"AAAAAF71pTg=")</f>
        <v>#VALUE!</v>
      </c>
      <c r="BF172" t="e">
        <f>AND('Planilla_General_03-12-2012_9_3'!I2740,"AAAAAF71pTk=")</f>
        <v>#VALUE!</v>
      </c>
      <c r="BG172" t="e">
        <f>AND('Planilla_General_03-12-2012_9_3'!J2740,"AAAAAF71pTo=")</f>
        <v>#VALUE!</v>
      </c>
      <c r="BH172" t="e">
        <f>AND('Planilla_General_03-12-2012_9_3'!K2740,"AAAAAF71pTs=")</f>
        <v>#VALUE!</v>
      </c>
      <c r="BI172" t="e">
        <f>AND('Planilla_General_03-12-2012_9_3'!L2740,"AAAAAF71pTw=")</f>
        <v>#VALUE!</v>
      </c>
      <c r="BJ172" t="e">
        <f>AND('Planilla_General_03-12-2012_9_3'!M2740,"AAAAAF71pT0=")</f>
        <v>#VALUE!</v>
      </c>
      <c r="BK172" t="e">
        <f>AND('Planilla_General_03-12-2012_9_3'!N2740,"AAAAAF71pT4=")</f>
        <v>#VALUE!</v>
      </c>
      <c r="BL172" t="e">
        <f>AND('Planilla_General_03-12-2012_9_3'!O2740,"AAAAAF71pT8=")</f>
        <v>#VALUE!</v>
      </c>
      <c r="BM172">
        <f>IF('Planilla_General_03-12-2012_9_3'!2741:2741,"AAAAAF71pUA=",0)</f>
        <v>0</v>
      </c>
      <c r="BN172" t="e">
        <f>AND('Planilla_General_03-12-2012_9_3'!A2741,"AAAAAF71pUE=")</f>
        <v>#VALUE!</v>
      </c>
      <c r="BO172" t="e">
        <f>AND('Planilla_General_03-12-2012_9_3'!B2741,"AAAAAF71pUI=")</f>
        <v>#VALUE!</v>
      </c>
      <c r="BP172" t="e">
        <f>AND('Planilla_General_03-12-2012_9_3'!C2741,"AAAAAF71pUM=")</f>
        <v>#VALUE!</v>
      </c>
      <c r="BQ172" t="e">
        <f>AND('Planilla_General_03-12-2012_9_3'!D2741,"AAAAAF71pUQ=")</f>
        <v>#VALUE!</v>
      </c>
      <c r="BR172" t="e">
        <f>AND('Planilla_General_03-12-2012_9_3'!E2741,"AAAAAF71pUU=")</f>
        <v>#VALUE!</v>
      </c>
      <c r="BS172" t="e">
        <f>AND('Planilla_General_03-12-2012_9_3'!F2741,"AAAAAF71pUY=")</f>
        <v>#VALUE!</v>
      </c>
      <c r="BT172" t="e">
        <f>AND('Planilla_General_03-12-2012_9_3'!G2741,"AAAAAF71pUc=")</f>
        <v>#VALUE!</v>
      </c>
      <c r="BU172" t="e">
        <f>AND('Planilla_General_03-12-2012_9_3'!H2741,"AAAAAF71pUg=")</f>
        <v>#VALUE!</v>
      </c>
      <c r="BV172" t="e">
        <f>AND('Planilla_General_03-12-2012_9_3'!I2741,"AAAAAF71pUk=")</f>
        <v>#VALUE!</v>
      </c>
      <c r="BW172" t="e">
        <f>AND('Planilla_General_03-12-2012_9_3'!J2741,"AAAAAF71pUo=")</f>
        <v>#VALUE!</v>
      </c>
      <c r="BX172" t="e">
        <f>AND('Planilla_General_03-12-2012_9_3'!K2741,"AAAAAF71pUs=")</f>
        <v>#VALUE!</v>
      </c>
      <c r="BY172" t="e">
        <f>AND('Planilla_General_03-12-2012_9_3'!L2741,"AAAAAF71pUw=")</f>
        <v>#VALUE!</v>
      </c>
      <c r="BZ172" t="e">
        <f>AND('Planilla_General_03-12-2012_9_3'!M2741,"AAAAAF71pU0=")</f>
        <v>#VALUE!</v>
      </c>
      <c r="CA172" t="e">
        <f>AND('Planilla_General_03-12-2012_9_3'!N2741,"AAAAAF71pU4=")</f>
        <v>#VALUE!</v>
      </c>
      <c r="CB172" t="e">
        <f>AND('Planilla_General_03-12-2012_9_3'!O2741,"AAAAAF71pU8=")</f>
        <v>#VALUE!</v>
      </c>
      <c r="CC172">
        <f>IF('Planilla_General_03-12-2012_9_3'!2742:2742,"AAAAAF71pVA=",0)</f>
        <v>0</v>
      </c>
      <c r="CD172" t="e">
        <f>AND('Planilla_General_03-12-2012_9_3'!A2742,"AAAAAF71pVE=")</f>
        <v>#VALUE!</v>
      </c>
      <c r="CE172" t="e">
        <f>AND('Planilla_General_03-12-2012_9_3'!B2742,"AAAAAF71pVI=")</f>
        <v>#VALUE!</v>
      </c>
      <c r="CF172" t="e">
        <f>AND('Planilla_General_03-12-2012_9_3'!C2742,"AAAAAF71pVM=")</f>
        <v>#VALUE!</v>
      </c>
      <c r="CG172" t="e">
        <f>AND('Planilla_General_03-12-2012_9_3'!D2742,"AAAAAF71pVQ=")</f>
        <v>#VALUE!</v>
      </c>
      <c r="CH172" t="e">
        <f>AND('Planilla_General_03-12-2012_9_3'!E2742,"AAAAAF71pVU=")</f>
        <v>#VALUE!</v>
      </c>
      <c r="CI172" t="e">
        <f>AND('Planilla_General_03-12-2012_9_3'!F2742,"AAAAAF71pVY=")</f>
        <v>#VALUE!</v>
      </c>
      <c r="CJ172" t="e">
        <f>AND('Planilla_General_03-12-2012_9_3'!G2742,"AAAAAF71pVc=")</f>
        <v>#VALUE!</v>
      </c>
      <c r="CK172" t="e">
        <f>AND('Planilla_General_03-12-2012_9_3'!H2742,"AAAAAF71pVg=")</f>
        <v>#VALUE!</v>
      </c>
      <c r="CL172" t="e">
        <f>AND('Planilla_General_03-12-2012_9_3'!I2742,"AAAAAF71pVk=")</f>
        <v>#VALUE!</v>
      </c>
      <c r="CM172" t="e">
        <f>AND('Planilla_General_03-12-2012_9_3'!J2742,"AAAAAF71pVo=")</f>
        <v>#VALUE!</v>
      </c>
      <c r="CN172" t="e">
        <f>AND('Planilla_General_03-12-2012_9_3'!K2742,"AAAAAF71pVs=")</f>
        <v>#VALUE!</v>
      </c>
      <c r="CO172" t="e">
        <f>AND('Planilla_General_03-12-2012_9_3'!L2742,"AAAAAF71pVw=")</f>
        <v>#VALUE!</v>
      </c>
      <c r="CP172" t="e">
        <f>AND('Planilla_General_03-12-2012_9_3'!M2742,"AAAAAF71pV0=")</f>
        <v>#VALUE!</v>
      </c>
      <c r="CQ172" t="e">
        <f>AND('Planilla_General_03-12-2012_9_3'!N2742,"AAAAAF71pV4=")</f>
        <v>#VALUE!</v>
      </c>
      <c r="CR172" t="e">
        <f>AND('Planilla_General_03-12-2012_9_3'!O2742,"AAAAAF71pV8=")</f>
        <v>#VALUE!</v>
      </c>
      <c r="CS172">
        <f>IF('Planilla_General_03-12-2012_9_3'!2743:2743,"AAAAAF71pWA=",0)</f>
        <v>0</v>
      </c>
      <c r="CT172" t="e">
        <f>AND('Planilla_General_03-12-2012_9_3'!A2743,"AAAAAF71pWE=")</f>
        <v>#VALUE!</v>
      </c>
      <c r="CU172" t="e">
        <f>AND('Planilla_General_03-12-2012_9_3'!B2743,"AAAAAF71pWI=")</f>
        <v>#VALUE!</v>
      </c>
      <c r="CV172" t="e">
        <f>AND('Planilla_General_03-12-2012_9_3'!C2743,"AAAAAF71pWM=")</f>
        <v>#VALUE!</v>
      </c>
      <c r="CW172" t="e">
        <f>AND('Planilla_General_03-12-2012_9_3'!D2743,"AAAAAF71pWQ=")</f>
        <v>#VALUE!</v>
      </c>
      <c r="CX172" t="e">
        <f>AND('Planilla_General_03-12-2012_9_3'!E2743,"AAAAAF71pWU=")</f>
        <v>#VALUE!</v>
      </c>
      <c r="CY172" t="e">
        <f>AND('Planilla_General_03-12-2012_9_3'!F2743,"AAAAAF71pWY=")</f>
        <v>#VALUE!</v>
      </c>
      <c r="CZ172" t="e">
        <f>AND('Planilla_General_03-12-2012_9_3'!G2743,"AAAAAF71pWc=")</f>
        <v>#VALUE!</v>
      </c>
      <c r="DA172" t="e">
        <f>AND('Planilla_General_03-12-2012_9_3'!H2743,"AAAAAF71pWg=")</f>
        <v>#VALUE!</v>
      </c>
      <c r="DB172" t="e">
        <f>AND('Planilla_General_03-12-2012_9_3'!I2743,"AAAAAF71pWk=")</f>
        <v>#VALUE!</v>
      </c>
      <c r="DC172" t="e">
        <f>AND('Planilla_General_03-12-2012_9_3'!J2743,"AAAAAF71pWo=")</f>
        <v>#VALUE!</v>
      </c>
      <c r="DD172" t="e">
        <f>AND('Planilla_General_03-12-2012_9_3'!K2743,"AAAAAF71pWs=")</f>
        <v>#VALUE!</v>
      </c>
      <c r="DE172" t="e">
        <f>AND('Planilla_General_03-12-2012_9_3'!L2743,"AAAAAF71pWw=")</f>
        <v>#VALUE!</v>
      </c>
      <c r="DF172" t="e">
        <f>AND('Planilla_General_03-12-2012_9_3'!M2743,"AAAAAF71pW0=")</f>
        <v>#VALUE!</v>
      </c>
      <c r="DG172" t="e">
        <f>AND('Planilla_General_03-12-2012_9_3'!N2743,"AAAAAF71pW4=")</f>
        <v>#VALUE!</v>
      </c>
      <c r="DH172" t="e">
        <f>AND('Planilla_General_03-12-2012_9_3'!O2743,"AAAAAF71pW8=")</f>
        <v>#VALUE!</v>
      </c>
      <c r="DI172">
        <f>IF('Planilla_General_03-12-2012_9_3'!2744:2744,"AAAAAF71pXA=",0)</f>
        <v>0</v>
      </c>
      <c r="DJ172" t="e">
        <f>AND('Planilla_General_03-12-2012_9_3'!A2744,"AAAAAF71pXE=")</f>
        <v>#VALUE!</v>
      </c>
      <c r="DK172" t="e">
        <f>AND('Planilla_General_03-12-2012_9_3'!B2744,"AAAAAF71pXI=")</f>
        <v>#VALUE!</v>
      </c>
      <c r="DL172" t="e">
        <f>AND('Planilla_General_03-12-2012_9_3'!C2744,"AAAAAF71pXM=")</f>
        <v>#VALUE!</v>
      </c>
      <c r="DM172" t="e">
        <f>AND('Planilla_General_03-12-2012_9_3'!D2744,"AAAAAF71pXQ=")</f>
        <v>#VALUE!</v>
      </c>
      <c r="DN172" t="e">
        <f>AND('Planilla_General_03-12-2012_9_3'!E2744,"AAAAAF71pXU=")</f>
        <v>#VALUE!</v>
      </c>
      <c r="DO172" t="e">
        <f>AND('Planilla_General_03-12-2012_9_3'!F2744,"AAAAAF71pXY=")</f>
        <v>#VALUE!</v>
      </c>
      <c r="DP172" t="e">
        <f>AND('Planilla_General_03-12-2012_9_3'!G2744,"AAAAAF71pXc=")</f>
        <v>#VALUE!</v>
      </c>
      <c r="DQ172" t="e">
        <f>AND('Planilla_General_03-12-2012_9_3'!H2744,"AAAAAF71pXg=")</f>
        <v>#VALUE!</v>
      </c>
      <c r="DR172" t="e">
        <f>AND('Planilla_General_03-12-2012_9_3'!I2744,"AAAAAF71pXk=")</f>
        <v>#VALUE!</v>
      </c>
      <c r="DS172" t="e">
        <f>AND('Planilla_General_03-12-2012_9_3'!J2744,"AAAAAF71pXo=")</f>
        <v>#VALUE!</v>
      </c>
      <c r="DT172" t="e">
        <f>AND('Planilla_General_03-12-2012_9_3'!K2744,"AAAAAF71pXs=")</f>
        <v>#VALUE!</v>
      </c>
      <c r="DU172" t="e">
        <f>AND('Planilla_General_03-12-2012_9_3'!L2744,"AAAAAF71pXw=")</f>
        <v>#VALUE!</v>
      </c>
      <c r="DV172" t="e">
        <f>AND('Planilla_General_03-12-2012_9_3'!M2744,"AAAAAF71pX0=")</f>
        <v>#VALUE!</v>
      </c>
      <c r="DW172" t="e">
        <f>AND('Planilla_General_03-12-2012_9_3'!N2744,"AAAAAF71pX4=")</f>
        <v>#VALUE!</v>
      </c>
      <c r="DX172" t="e">
        <f>AND('Planilla_General_03-12-2012_9_3'!O2744,"AAAAAF71pX8=")</f>
        <v>#VALUE!</v>
      </c>
      <c r="DY172">
        <f>IF('Planilla_General_03-12-2012_9_3'!2745:2745,"AAAAAF71pYA=",0)</f>
        <v>0</v>
      </c>
      <c r="DZ172" t="e">
        <f>AND('Planilla_General_03-12-2012_9_3'!A2745,"AAAAAF71pYE=")</f>
        <v>#VALUE!</v>
      </c>
      <c r="EA172" t="e">
        <f>AND('Planilla_General_03-12-2012_9_3'!B2745,"AAAAAF71pYI=")</f>
        <v>#VALUE!</v>
      </c>
      <c r="EB172" t="e">
        <f>AND('Planilla_General_03-12-2012_9_3'!C2745,"AAAAAF71pYM=")</f>
        <v>#VALUE!</v>
      </c>
      <c r="EC172" t="e">
        <f>AND('Planilla_General_03-12-2012_9_3'!D2745,"AAAAAF71pYQ=")</f>
        <v>#VALUE!</v>
      </c>
      <c r="ED172" t="e">
        <f>AND('Planilla_General_03-12-2012_9_3'!E2745,"AAAAAF71pYU=")</f>
        <v>#VALUE!</v>
      </c>
      <c r="EE172" t="e">
        <f>AND('Planilla_General_03-12-2012_9_3'!F2745,"AAAAAF71pYY=")</f>
        <v>#VALUE!</v>
      </c>
      <c r="EF172" t="e">
        <f>AND('Planilla_General_03-12-2012_9_3'!G2745,"AAAAAF71pYc=")</f>
        <v>#VALUE!</v>
      </c>
      <c r="EG172" t="e">
        <f>AND('Planilla_General_03-12-2012_9_3'!H2745,"AAAAAF71pYg=")</f>
        <v>#VALUE!</v>
      </c>
      <c r="EH172" t="e">
        <f>AND('Planilla_General_03-12-2012_9_3'!I2745,"AAAAAF71pYk=")</f>
        <v>#VALUE!</v>
      </c>
      <c r="EI172" t="e">
        <f>AND('Planilla_General_03-12-2012_9_3'!J2745,"AAAAAF71pYo=")</f>
        <v>#VALUE!</v>
      </c>
      <c r="EJ172" t="e">
        <f>AND('Planilla_General_03-12-2012_9_3'!K2745,"AAAAAF71pYs=")</f>
        <v>#VALUE!</v>
      </c>
      <c r="EK172" t="e">
        <f>AND('Planilla_General_03-12-2012_9_3'!L2745,"AAAAAF71pYw=")</f>
        <v>#VALUE!</v>
      </c>
      <c r="EL172" t="e">
        <f>AND('Planilla_General_03-12-2012_9_3'!M2745,"AAAAAF71pY0=")</f>
        <v>#VALUE!</v>
      </c>
      <c r="EM172" t="e">
        <f>AND('Planilla_General_03-12-2012_9_3'!N2745,"AAAAAF71pY4=")</f>
        <v>#VALUE!</v>
      </c>
      <c r="EN172" t="e">
        <f>AND('Planilla_General_03-12-2012_9_3'!O2745,"AAAAAF71pY8=")</f>
        <v>#VALUE!</v>
      </c>
      <c r="EO172">
        <f>IF('Planilla_General_03-12-2012_9_3'!2746:2746,"AAAAAF71pZA=",0)</f>
        <v>0</v>
      </c>
      <c r="EP172" t="e">
        <f>AND('Planilla_General_03-12-2012_9_3'!A2746,"AAAAAF71pZE=")</f>
        <v>#VALUE!</v>
      </c>
      <c r="EQ172" t="e">
        <f>AND('Planilla_General_03-12-2012_9_3'!B2746,"AAAAAF71pZI=")</f>
        <v>#VALUE!</v>
      </c>
      <c r="ER172" t="e">
        <f>AND('Planilla_General_03-12-2012_9_3'!C2746,"AAAAAF71pZM=")</f>
        <v>#VALUE!</v>
      </c>
      <c r="ES172" t="e">
        <f>AND('Planilla_General_03-12-2012_9_3'!D2746,"AAAAAF71pZQ=")</f>
        <v>#VALUE!</v>
      </c>
      <c r="ET172" t="e">
        <f>AND('Planilla_General_03-12-2012_9_3'!E2746,"AAAAAF71pZU=")</f>
        <v>#VALUE!</v>
      </c>
      <c r="EU172" t="e">
        <f>AND('Planilla_General_03-12-2012_9_3'!F2746,"AAAAAF71pZY=")</f>
        <v>#VALUE!</v>
      </c>
      <c r="EV172" t="e">
        <f>AND('Planilla_General_03-12-2012_9_3'!G2746,"AAAAAF71pZc=")</f>
        <v>#VALUE!</v>
      </c>
      <c r="EW172" t="e">
        <f>AND('Planilla_General_03-12-2012_9_3'!H2746,"AAAAAF71pZg=")</f>
        <v>#VALUE!</v>
      </c>
      <c r="EX172" t="e">
        <f>AND('Planilla_General_03-12-2012_9_3'!I2746,"AAAAAF71pZk=")</f>
        <v>#VALUE!</v>
      </c>
      <c r="EY172" t="e">
        <f>AND('Planilla_General_03-12-2012_9_3'!J2746,"AAAAAF71pZo=")</f>
        <v>#VALUE!</v>
      </c>
      <c r="EZ172" t="e">
        <f>AND('Planilla_General_03-12-2012_9_3'!K2746,"AAAAAF71pZs=")</f>
        <v>#VALUE!</v>
      </c>
      <c r="FA172" t="e">
        <f>AND('Planilla_General_03-12-2012_9_3'!L2746,"AAAAAF71pZw=")</f>
        <v>#VALUE!</v>
      </c>
      <c r="FB172" t="e">
        <f>AND('Planilla_General_03-12-2012_9_3'!M2746,"AAAAAF71pZ0=")</f>
        <v>#VALUE!</v>
      </c>
      <c r="FC172" t="e">
        <f>AND('Planilla_General_03-12-2012_9_3'!N2746,"AAAAAF71pZ4=")</f>
        <v>#VALUE!</v>
      </c>
      <c r="FD172" t="e">
        <f>AND('Planilla_General_03-12-2012_9_3'!O2746,"AAAAAF71pZ8=")</f>
        <v>#VALUE!</v>
      </c>
      <c r="FE172">
        <f>IF('Planilla_General_03-12-2012_9_3'!2747:2747,"AAAAAF71paA=",0)</f>
        <v>0</v>
      </c>
      <c r="FF172" t="e">
        <f>AND('Planilla_General_03-12-2012_9_3'!A2747,"AAAAAF71paE=")</f>
        <v>#VALUE!</v>
      </c>
      <c r="FG172" t="e">
        <f>AND('Planilla_General_03-12-2012_9_3'!B2747,"AAAAAF71paI=")</f>
        <v>#VALUE!</v>
      </c>
      <c r="FH172" t="e">
        <f>AND('Planilla_General_03-12-2012_9_3'!C2747,"AAAAAF71paM=")</f>
        <v>#VALUE!</v>
      </c>
      <c r="FI172" t="e">
        <f>AND('Planilla_General_03-12-2012_9_3'!D2747,"AAAAAF71paQ=")</f>
        <v>#VALUE!</v>
      </c>
      <c r="FJ172" t="e">
        <f>AND('Planilla_General_03-12-2012_9_3'!E2747,"AAAAAF71paU=")</f>
        <v>#VALUE!</v>
      </c>
      <c r="FK172" t="e">
        <f>AND('Planilla_General_03-12-2012_9_3'!F2747,"AAAAAF71paY=")</f>
        <v>#VALUE!</v>
      </c>
      <c r="FL172" t="e">
        <f>AND('Planilla_General_03-12-2012_9_3'!G2747,"AAAAAF71pac=")</f>
        <v>#VALUE!</v>
      </c>
      <c r="FM172" t="e">
        <f>AND('Planilla_General_03-12-2012_9_3'!H2747,"AAAAAF71pag=")</f>
        <v>#VALUE!</v>
      </c>
      <c r="FN172" t="e">
        <f>AND('Planilla_General_03-12-2012_9_3'!I2747,"AAAAAF71pak=")</f>
        <v>#VALUE!</v>
      </c>
      <c r="FO172" t="e">
        <f>AND('Planilla_General_03-12-2012_9_3'!J2747,"AAAAAF71pao=")</f>
        <v>#VALUE!</v>
      </c>
      <c r="FP172" t="e">
        <f>AND('Planilla_General_03-12-2012_9_3'!K2747,"AAAAAF71pas=")</f>
        <v>#VALUE!</v>
      </c>
      <c r="FQ172" t="e">
        <f>AND('Planilla_General_03-12-2012_9_3'!L2747,"AAAAAF71paw=")</f>
        <v>#VALUE!</v>
      </c>
      <c r="FR172" t="e">
        <f>AND('Planilla_General_03-12-2012_9_3'!M2747,"AAAAAF71pa0=")</f>
        <v>#VALUE!</v>
      </c>
      <c r="FS172" t="e">
        <f>AND('Planilla_General_03-12-2012_9_3'!N2747,"AAAAAF71pa4=")</f>
        <v>#VALUE!</v>
      </c>
      <c r="FT172" t="e">
        <f>AND('Planilla_General_03-12-2012_9_3'!O2747,"AAAAAF71pa8=")</f>
        <v>#VALUE!</v>
      </c>
      <c r="FU172">
        <f>IF('Planilla_General_03-12-2012_9_3'!2748:2748,"AAAAAF71pbA=",0)</f>
        <v>0</v>
      </c>
      <c r="FV172" t="e">
        <f>AND('Planilla_General_03-12-2012_9_3'!A2748,"AAAAAF71pbE=")</f>
        <v>#VALUE!</v>
      </c>
      <c r="FW172" t="e">
        <f>AND('Planilla_General_03-12-2012_9_3'!B2748,"AAAAAF71pbI=")</f>
        <v>#VALUE!</v>
      </c>
      <c r="FX172" t="e">
        <f>AND('Planilla_General_03-12-2012_9_3'!C2748,"AAAAAF71pbM=")</f>
        <v>#VALUE!</v>
      </c>
      <c r="FY172" t="e">
        <f>AND('Planilla_General_03-12-2012_9_3'!D2748,"AAAAAF71pbQ=")</f>
        <v>#VALUE!</v>
      </c>
      <c r="FZ172" t="e">
        <f>AND('Planilla_General_03-12-2012_9_3'!E2748,"AAAAAF71pbU=")</f>
        <v>#VALUE!</v>
      </c>
      <c r="GA172" t="e">
        <f>AND('Planilla_General_03-12-2012_9_3'!F2748,"AAAAAF71pbY=")</f>
        <v>#VALUE!</v>
      </c>
      <c r="GB172" t="e">
        <f>AND('Planilla_General_03-12-2012_9_3'!G2748,"AAAAAF71pbc=")</f>
        <v>#VALUE!</v>
      </c>
      <c r="GC172" t="e">
        <f>AND('Planilla_General_03-12-2012_9_3'!H2748,"AAAAAF71pbg=")</f>
        <v>#VALUE!</v>
      </c>
      <c r="GD172" t="e">
        <f>AND('Planilla_General_03-12-2012_9_3'!I2748,"AAAAAF71pbk=")</f>
        <v>#VALUE!</v>
      </c>
      <c r="GE172" t="e">
        <f>AND('Planilla_General_03-12-2012_9_3'!J2748,"AAAAAF71pbo=")</f>
        <v>#VALUE!</v>
      </c>
      <c r="GF172" t="e">
        <f>AND('Planilla_General_03-12-2012_9_3'!K2748,"AAAAAF71pbs=")</f>
        <v>#VALUE!</v>
      </c>
      <c r="GG172" t="e">
        <f>AND('Planilla_General_03-12-2012_9_3'!L2748,"AAAAAF71pbw=")</f>
        <v>#VALUE!</v>
      </c>
      <c r="GH172" t="e">
        <f>AND('Planilla_General_03-12-2012_9_3'!M2748,"AAAAAF71pb0=")</f>
        <v>#VALUE!</v>
      </c>
      <c r="GI172" t="e">
        <f>AND('Planilla_General_03-12-2012_9_3'!N2748,"AAAAAF71pb4=")</f>
        <v>#VALUE!</v>
      </c>
      <c r="GJ172" t="e">
        <f>AND('Planilla_General_03-12-2012_9_3'!O2748,"AAAAAF71pb8=")</f>
        <v>#VALUE!</v>
      </c>
      <c r="GK172">
        <f>IF('Planilla_General_03-12-2012_9_3'!2749:2749,"AAAAAF71pcA=",0)</f>
        <v>0</v>
      </c>
      <c r="GL172" t="e">
        <f>AND('Planilla_General_03-12-2012_9_3'!A2749,"AAAAAF71pcE=")</f>
        <v>#VALUE!</v>
      </c>
      <c r="GM172" t="e">
        <f>AND('Planilla_General_03-12-2012_9_3'!B2749,"AAAAAF71pcI=")</f>
        <v>#VALUE!</v>
      </c>
      <c r="GN172" t="e">
        <f>AND('Planilla_General_03-12-2012_9_3'!C2749,"AAAAAF71pcM=")</f>
        <v>#VALUE!</v>
      </c>
      <c r="GO172" t="e">
        <f>AND('Planilla_General_03-12-2012_9_3'!D2749,"AAAAAF71pcQ=")</f>
        <v>#VALUE!</v>
      </c>
      <c r="GP172" t="e">
        <f>AND('Planilla_General_03-12-2012_9_3'!E2749,"AAAAAF71pcU=")</f>
        <v>#VALUE!</v>
      </c>
      <c r="GQ172" t="e">
        <f>AND('Planilla_General_03-12-2012_9_3'!F2749,"AAAAAF71pcY=")</f>
        <v>#VALUE!</v>
      </c>
      <c r="GR172" t="e">
        <f>AND('Planilla_General_03-12-2012_9_3'!G2749,"AAAAAF71pcc=")</f>
        <v>#VALUE!</v>
      </c>
      <c r="GS172" t="e">
        <f>AND('Planilla_General_03-12-2012_9_3'!H2749,"AAAAAF71pcg=")</f>
        <v>#VALUE!</v>
      </c>
      <c r="GT172" t="e">
        <f>AND('Planilla_General_03-12-2012_9_3'!I2749,"AAAAAF71pck=")</f>
        <v>#VALUE!</v>
      </c>
      <c r="GU172" t="e">
        <f>AND('Planilla_General_03-12-2012_9_3'!J2749,"AAAAAF71pco=")</f>
        <v>#VALUE!</v>
      </c>
      <c r="GV172" t="e">
        <f>AND('Planilla_General_03-12-2012_9_3'!K2749,"AAAAAF71pcs=")</f>
        <v>#VALUE!</v>
      </c>
      <c r="GW172" t="e">
        <f>AND('Planilla_General_03-12-2012_9_3'!L2749,"AAAAAF71pcw=")</f>
        <v>#VALUE!</v>
      </c>
      <c r="GX172" t="e">
        <f>AND('Planilla_General_03-12-2012_9_3'!M2749,"AAAAAF71pc0=")</f>
        <v>#VALUE!</v>
      </c>
      <c r="GY172" t="e">
        <f>AND('Planilla_General_03-12-2012_9_3'!N2749,"AAAAAF71pc4=")</f>
        <v>#VALUE!</v>
      </c>
      <c r="GZ172" t="e">
        <f>AND('Planilla_General_03-12-2012_9_3'!O2749,"AAAAAF71pc8=")</f>
        <v>#VALUE!</v>
      </c>
      <c r="HA172">
        <f>IF('Planilla_General_03-12-2012_9_3'!2750:2750,"AAAAAF71pdA=",0)</f>
        <v>0</v>
      </c>
      <c r="HB172" t="e">
        <f>AND('Planilla_General_03-12-2012_9_3'!A2750,"AAAAAF71pdE=")</f>
        <v>#VALUE!</v>
      </c>
      <c r="HC172" t="e">
        <f>AND('Planilla_General_03-12-2012_9_3'!B2750,"AAAAAF71pdI=")</f>
        <v>#VALUE!</v>
      </c>
      <c r="HD172" t="e">
        <f>AND('Planilla_General_03-12-2012_9_3'!C2750,"AAAAAF71pdM=")</f>
        <v>#VALUE!</v>
      </c>
      <c r="HE172" t="e">
        <f>AND('Planilla_General_03-12-2012_9_3'!D2750,"AAAAAF71pdQ=")</f>
        <v>#VALUE!</v>
      </c>
      <c r="HF172" t="e">
        <f>AND('Planilla_General_03-12-2012_9_3'!E2750,"AAAAAF71pdU=")</f>
        <v>#VALUE!</v>
      </c>
      <c r="HG172" t="e">
        <f>AND('Planilla_General_03-12-2012_9_3'!F2750,"AAAAAF71pdY=")</f>
        <v>#VALUE!</v>
      </c>
      <c r="HH172" t="e">
        <f>AND('Planilla_General_03-12-2012_9_3'!G2750,"AAAAAF71pdc=")</f>
        <v>#VALUE!</v>
      </c>
      <c r="HI172" t="e">
        <f>AND('Planilla_General_03-12-2012_9_3'!H2750,"AAAAAF71pdg=")</f>
        <v>#VALUE!</v>
      </c>
      <c r="HJ172" t="e">
        <f>AND('Planilla_General_03-12-2012_9_3'!I2750,"AAAAAF71pdk=")</f>
        <v>#VALUE!</v>
      </c>
      <c r="HK172" t="e">
        <f>AND('Planilla_General_03-12-2012_9_3'!J2750,"AAAAAF71pdo=")</f>
        <v>#VALUE!</v>
      </c>
      <c r="HL172" t="e">
        <f>AND('Planilla_General_03-12-2012_9_3'!K2750,"AAAAAF71pds=")</f>
        <v>#VALUE!</v>
      </c>
      <c r="HM172" t="e">
        <f>AND('Planilla_General_03-12-2012_9_3'!L2750,"AAAAAF71pdw=")</f>
        <v>#VALUE!</v>
      </c>
      <c r="HN172" t="e">
        <f>AND('Planilla_General_03-12-2012_9_3'!M2750,"AAAAAF71pd0=")</f>
        <v>#VALUE!</v>
      </c>
      <c r="HO172" t="e">
        <f>AND('Planilla_General_03-12-2012_9_3'!N2750,"AAAAAF71pd4=")</f>
        <v>#VALUE!</v>
      </c>
      <c r="HP172" t="e">
        <f>AND('Planilla_General_03-12-2012_9_3'!O2750,"AAAAAF71pd8=")</f>
        <v>#VALUE!</v>
      </c>
      <c r="HQ172">
        <f>IF('Planilla_General_03-12-2012_9_3'!2751:2751,"AAAAAF71peA=",0)</f>
        <v>0</v>
      </c>
      <c r="HR172" t="e">
        <f>AND('Planilla_General_03-12-2012_9_3'!A2751,"AAAAAF71peE=")</f>
        <v>#VALUE!</v>
      </c>
      <c r="HS172" t="e">
        <f>AND('Planilla_General_03-12-2012_9_3'!B2751,"AAAAAF71peI=")</f>
        <v>#VALUE!</v>
      </c>
      <c r="HT172" t="e">
        <f>AND('Planilla_General_03-12-2012_9_3'!C2751,"AAAAAF71peM=")</f>
        <v>#VALUE!</v>
      </c>
      <c r="HU172" t="e">
        <f>AND('Planilla_General_03-12-2012_9_3'!D2751,"AAAAAF71peQ=")</f>
        <v>#VALUE!</v>
      </c>
      <c r="HV172" t="e">
        <f>AND('Planilla_General_03-12-2012_9_3'!E2751,"AAAAAF71peU=")</f>
        <v>#VALUE!</v>
      </c>
      <c r="HW172" t="e">
        <f>AND('Planilla_General_03-12-2012_9_3'!F2751,"AAAAAF71peY=")</f>
        <v>#VALUE!</v>
      </c>
      <c r="HX172" t="e">
        <f>AND('Planilla_General_03-12-2012_9_3'!G2751,"AAAAAF71pec=")</f>
        <v>#VALUE!</v>
      </c>
      <c r="HY172" t="e">
        <f>AND('Planilla_General_03-12-2012_9_3'!H2751,"AAAAAF71peg=")</f>
        <v>#VALUE!</v>
      </c>
      <c r="HZ172" t="e">
        <f>AND('Planilla_General_03-12-2012_9_3'!I2751,"AAAAAF71pek=")</f>
        <v>#VALUE!</v>
      </c>
      <c r="IA172" t="e">
        <f>AND('Planilla_General_03-12-2012_9_3'!J2751,"AAAAAF71peo=")</f>
        <v>#VALUE!</v>
      </c>
      <c r="IB172" t="e">
        <f>AND('Planilla_General_03-12-2012_9_3'!K2751,"AAAAAF71pes=")</f>
        <v>#VALUE!</v>
      </c>
      <c r="IC172" t="e">
        <f>AND('Planilla_General_03-12-2012_9_3'!L2751,"AAAAAF71pew=")</f>
        <v>#VALUE!</v>
      </c>
      <c r="ID172" t="e">
        <f>AND('Planilla_General_03-12-2012_9_3'!M2751,"AAAAAF71pe0=")</f>
        <v>#VALUE!</v>
      </c>
      <c r="IE172" t="e">
        <f>AND('Planilla_General_03-12-2012_9_3'!N2751,"AAAAAF71pe4=")</f>
        <v>#VALUE!</v>
      </c>
      <c r="IF172" t="e">
        <f>AND('Planilla_General_03-12-2012_9_3'!O2751,"AAAAAF71pe8=")</f>
        <v>#VALUE!</v>
      </c>
      <c r="IG172">
        <f>IF('Planilla_General_03-12-2012_9_3'!2752:2752,"AAAAAF71pfA=",0)</f>
        <v>0</v>
      </c>
      <c r="IH172" t="e">
        <f>AND('Planilla_General_03-12-2012_9_3'!A2752,"AAAAAF71pfE=")</f>
        <v>#VALUE!</v>
      </c>
      <c r="II172" t="e">
        <f>AND('Planilla_General_03-12-2012_9_3'!B2752,"AAAAAF71pfI=")</f>
        <v>#VALUE!</v>
      </c>
      <c r="IJ172" t="e">
        <f>AND('Planilla_General_03-12-2012_9_3'!C2752,"AAAAAF71pfM=")</f>
        <v>#VALUE!</v>
      </c>
      <c r="IK172" t="e">
        <f>AND('Planilla_General_03-12-2012_9_3'!D2752,"AAAAAF71pfQ=")</f>
        <v>#VALUE!</v>
      </c>
      <c r="IL172" t="e">
        <f>AND('Planilla_General_03-12-2012_9_3'!E2752,"AAAAAF71pfU=")</f>
        <v>#VALUE!</v>
      </c>
      <c r="IM172" t="e">
        <f>AND('Planilla_General_03-12-2012_9_3'!F2752,"AAAAAF71pfY=")</f>
        <v>#VALUE!</v>
      </c>
      <c r="IN172" t="e">
        <f>AND('Planilla_General_03-12-2012_9_3'!G2752,"AAAAAF71pfc=")</f>
        <v>#VALUE!</v>
      </c>
      <c r="IO172" t="e">
        <f>AND('Planilla_General_03-12-2012_9_3'!H2752,"AAAAAF71pfg=")</f>
        <v>#VALUE!</v>
      </c>
      <c r="IP172" t="e">
        <f>AND('Planilla_General_03-12-2012_9_3'!I2752,"AAAAAF71pfk=")</f>
        <v>#VALUE!</v>
      </c>
      <c r="IQ172" t="e">
        <f>AND('Planilla_General_03-12-2012_9_3'!J2752,"AAAAAF71pfo=")</f>
        <v>#VALUE!</v>
      </c>
      <c r="IR172" t="e">
        <f>AND('Planilla_General_03-12-2012_9_3'!K2752,"AAAAAF71pfs=")</f>
        <v>#VALUE!</v>
      </c>
      <c r="IS172" t="e">
        <f>AND('Planilla_General_03-12-2012_9_3'!L2752,"AAAAAF71pfw=")</f>
        <v>#VALUE!</v>
      </c>
      <c r="IT172" t="e">
        <f>AND('Planilla_General_03-12-2012_9_3'!M2752,"AAAAAF71pf0=")</f>
        <v>#VALUE!</v>
      </c>
      <c r="IU172" t="e">
        <f>AND('Planilla_General_03-12-2012_9_3'!N2752,"AAAAAF71pf4=")</f>
        <v>#VALUE!</v>
      </c>
      <c r="IV172" t="e">
        <f>AND('Planilla_General_03-12-2012_9_3'!O2752,"AAAAAF71pf8=")</f>
        <v>#VALUE!</v>
      </c>
    </row>
    <row r="173" spans="1:256" x14ac:dyDescent="0.25">
      <c r="A173" t="e">
        <f>IF('Planilla_General_03-12-2012_9_3'!2753:2753,"AAAAAG+dXgA=",0)</f>
        <v>#VALUE!</v>
      </c>
      <c r="B173" t="e">
        <f>AND('Planilla_General_03-12-2012_9_3'!A2753,"AAAAAG+dXgE=")</f>
        <v>#VALUE!</v>
      </c>
      <c r="C173" t="e">
        <f>AND('Planilla_General_03-12-2012_9_3'!B2753,"AAAAAG+dXgI=")</f>
        <v>#VALUE!</v>
      </c>
      <c r="D173" t="e">
        <f>AND('Planilla_General_03-12-2012_9_3'!C2753,"AAAAAG+dXgM=")</f>
        <v>#VALUE!</v>
      </c>
      <c r="E173" t="e">
        <f>AND('Planilla_General_03-12-2012_9_3'!D2753,"AAAAAG+dXgQ=")</f>
        <v>#VALUE!</v>
      </c>
      <c r="F173" t="e">
        <f>AND('Planilla_General_03-12-2012_9_3'!E2753,"AAAAAG+dXgU=")</f>
        <v>#VALUE!</v>
      </c>
      <c r="G173" t="e">
        <f>AND('Planilla_General_03-12-2012_9_3'!F2753,"AAAAAG+dXgY=")</f>
        <v>#VALUE!</v>
      </c>
      <c r="H173" t="e">
        <f>AND('Planilla_General_03-12-2012_9_3'!G2753,"AAAAAG+dXgc=")</f>
        <v>#VALUE!</v>
      </c>
      <c r="I173" t="e">
        <f>AND('Planilla_General_03-12-2012_9_3'!H2753,"AAAAAG+dXgg=")</f>
        <v>#VALUE!</v>
      </c>
      <c r="J173" t="e">
        <f>AND('Planilla_General_03-12-2012_9_3'!I2753,"AAAAAG+dXgk=")</f>
        <v>#VALUE!</v>
      </c>
      <c r="K173" t="e">
        <f>AND('Planilla_General_03-12-2012_9_3'!J2753,"AAAAAG+dXgo=")</f>
        <v>#VALUE!</v>
      </c>
      <c r="L173" t="e">
        <f>AND('Planilla_General_03-12-2012_9_3'!K2753,"AAAAAG+dXgs=")</f>
        <v>#VALUE!</v>
      </c>
      <c r="M173" t="e">
        <f>AND('Planilla_General_03-12-2012_9_3'!L2753,"AAAAAG+dXgw=")</f>
        <v>#VALUE!</v>
      </c>
      <c r="N173" t="e">
        <f>AND('Planilla_General_03-12-2012_9_3'!M2753,"AAAAAG+dXg0=")</f>
        <v>#VALUE!</v>
      </c>
      <c r="O173" t="e">
        <f>AND('Planilla_General_03-12-2012_9_3'!N2753,"AAAAAG+dXg4=")</f>
        <v>#VALUE!</v>
      </c>
      <c r="P173" t="e">
        <f>AND('Planilla_General_03-12-2012_9_3'!O2753,"AAAAAG+dXg8=")</f>
        <v>#VALUE!</v>
      </c>
      <c r="Q173">
        <f>IF('Planilla_General_03-12-2012_9_3'!2754:2754,"AAAAAG+dXhA=",0)</f>
        <v>0</v>
      </c>
      <c r="R173" t="e">
        <f>AND('Planilla_General_03-12-2012_9_3'!A2754,"AAAAAG+dXhE=")</f>
        <v>#VALUE!</v>
      </c>
      <c r="S173" t="e">
        <f>AND('Planilla_General_03-12-2012_9_3'!B2754,"AAAAAG+dXhI=")</f>
        <v>#VALUE!</v>
      </c>
      <c r="T173" t="e">
        <f>AND('Planilla_General_03-12-2012_9_3'!C2754,"AAAAAG+dXhM=")</f>
        <v>#VALUE!</v>
      </c>
      <c r="U173" t="e">
        <f>AND('Planilla_General_03-12-2012_9_3'!D2754,"AAAAAG+dXhQ=")</f>
        <v>#VALUE!</v>
      </c>
      <c r="V173" t="e">
        <f>AND('Planilla_General_03-12-2012_9_3'!E2754,"AAAAAG+dXhU=")</f>
        <v>#VALUE!</v>
      </c>
      <c r="W173" t="e">
        <f>AND('Planilla_General_03-12-2012_9_3'!F2754,"AAAAAG+dXhY=")</f>
        <v>#VALUE!</v>
      </c>
      <c r="X173" t="e">
        <f>AND('Planilla_General_03-12-2012_9_3'!G2754,"AAAAAG+dXhc=")</f>
        <v>#VALUE!</v>
      </c>
      <c r="Y173" t="e">
        <f>AND('Planilla_General_03-12-2012_9_3'!H2754,"AAAAAG+dXhg=")</f>
        <v>#VALUE!</v>
      </c>
      <c r="Z173" t="e">
        <f>AND('Planilla_General_03-12-2012_9_3'!I2754,"AAAAAG+dXhk=")</f>
        <v>#VALUE!</v>
      </c>
      <c r="AA173" t="e">
        <f>AND('Planilla_General_03-12-2012_9_3'!J2754,"AAAAAG+dXho=")</f>
        <v>#VALUE!</v>
      </c>
      <c r="AB173" t="e">
        <f>AND('Planilla_General_03-12-2012_9_3'!K2754,"AAAAAG+dXhs=")</f>
        <v>#VALUE!</v>
      </c>
      <c r="AC173" t="e">
        <f>AND('Planilla_General_03-12-2012_9_3'!L2754,"AAAAAG+dXhw=")</f>
        <v>#VALUE!</v>
      </c>
      <c r="AD173" t="e">
        <f>AND('Planilla_General_03-12-2012_9_3'!M2754,"AAAAAG+dXh0=")</f>
        <v>#VALUE!</v>
      </c>
      <c r="AE173" t="e">
        <f>AND('Planilla_General_03-12-2012_9_3'!N2754,"AAAAAG+dXh4=")</f>
        <v>#VALUE!</v>
      </c>
      <c r="AF173" t="e">
        <f>AND('Planilla_General_03-12-2012_9_3'!O2754,"AAAAAG+dXh8=")</f>
        <v>#VALUE!</v>
      </c>
      <c r="AG173">
        <f>IF('Planilla_General_03-12-2012_9_3'!2755:2755,"AAAAAG+dXiA=",0)</f>
        <v>0</v>
      </c>
      <c r="AH173" t="e">
        <f>AND('Planilla_General_03-12-2012_9_3'!A2755,"AAAAAG+dXiE=")</f>
        <v>#VALUE!</v>
      </c>
      <c r="AI173" t="e">
        <f>AND('Planilla_General_03-12-2012_9_3'!B2755,"AAAAAG+dXiI=")</f>
        <v>#VALUE!</v>
      </c>
      <c r="AJ173" t="e">
        <f>AND('Planilla_General_03-12-2012_9_3'!C2755,"AAAAAG+dXiM=")</f>
        <v>#VALUE!</v>
      </c>
      <c r="AK173" t="e">
        <f>AND('Planilla_General_03-12-2012_9_3'!D2755,"AAAAAG+dXiQ=")</f>
        <v>#VALUE!</v>
      </c>
      <c r="AL173" t="e">
        <f>AND('Planilla_General_03-12-2012_9_3'!E2755,"AAAAAG+dXiU=")</f>
        <v>#VALUE!</v>
      </c>
      <c r="AM173" t="e">
        <f>AND('Planilla_General_03-12-2012_9_3'!F2755,"AAAAAG+dXiY=")</f>
        <v>#VALUE!</v>
      </c>
      <c r="AN173" t="e">
        <f>AND('Planilla_General_03-12-2012_9_3'!G2755,"AAAAAG+dXic=")</f>
        <v>#VALUE!</v>
      </c>
      <c r="AO173" t="e">
        <f>AND('Planilla_General_03-12-2012_9_3'!H2755,"AAAAAG+dXig=")</f>
        <v>#VALUE!</v>
      </c>
      <c r="AP173" t="e">
        <f>AND('Planilla_General_03-12-2012_9_3'!I2755,"AAAAAG+dXik=")</f>
        <v>#VALUE!</v>
      </c>
      <c r="AQ173" t="e">
        <f>AND('Planilla_General_03-12-2012_9_3'!J2755,"AAAAAG+dXio=")</f>
        <v>#VALUE!</v>
      </c>
      <c r="AR173" t="e">
        <f>AND('Planilla_General_03-12-2012_9_3'!K2755,"AAAAAG+dXis=")</f>
        <v>#VALUE!</v>
      </c>
      <c r="AS173" t="e">
        <f>AND('Planilla_General_03-12-2012_9_3'!L2755,"AAAAAG+dXiw=")</f>
        <v>#VALUE!</v>
      </c>
      <c r="AT173" t="e">
        <f>AND('Planilla_General_03-12-2012_9_3'!M2755,"AAAAAG+dXi0=")</f>
        <v>#VALUE!</v>
      </c>
      <c r="AU173" t="e">
        <f>AND('Planilla_General_03-12-2012_9_3'!N2755,"AAAAAG+dXi4=")</f>
        <v>#VALUE!</v>
      </c>
      <c r="AV173" t="e">
        <f>AND('Planilla_General_03-12-2012_9_3'!O2755,"AAAAAG+dXi8=")</f>
        <v>#VALUE!</v>
      </c>
      <c r="AW173">
        <f>IF('Planilla_General_03-12-2012_9_3'!2756:2756,"AAAAAG+dXjA=",0)</f>
        <v>0</v>
      </c>
      <c r="AX173" t="e">
        <f>AND('Planilla_General_03-12-2012_9_3'!A2756,"AAAAAG+dXjE=")</f>
        <v>#VALUE!</v>
      </c>
      <c r="AY173" t="e">
        <f>AND('Planilla_General_03-12-2012_9_3'!B2756,"AAAAAG+dXjI=")</f>
        <v>#VALUE!</v>
      </c>
      <c r="AZ173" t="e">
        <f>AND('Planilla_General_03-12-2012_9_3'!C2756,"AAAAAG+dXjM=")</f>
        <v>#VALUE!</v>
      </c>
      <c r="BA173" t="e">
        <f>AND('Planilla_General_03-12-2012_9_3'!D2756,"AAAAAG+dXjQ=")</f>
        <v>#VALUE!</v>
      </c>
      <c r="BB173" t="e">
        <f>AND('Planilla_General_03-12-2012_9_3'!E2756,"AAAAAG+dXjU=")</f>
        <v>#VALUE!</v>
      </c>
      <c r="BC173" t="e">
        <f>AND('Planilla_General_03-12-2012_9_3'!F2756,"AAAAAG+dXjY=")</f>
        <v>#VALUE!</v>
      </c>
      <c r="BD173" t="e">
        <f>AND('Planilla_General_03-12-2012_9_3'!G2756,"AAAAAG+dXjc=")</f>
        <v>#VALUE!</v>
      </c>
      <c r="BE173" t="e">
        <f>AND('Planilla_General_03-12-2012_9_3'!H2756,"AAAAAG+dXjg=")</f>
        <v>#VALUE!</v>
      </c>
      <c r="BF173" t="e">
        <f>AND('Planilla_General_03-12-2012_9_3'!I2756,"AAAAAG+dXjk=")</f>
        <v>#VALUE!</v>
      </c>
      <c r="BG173" t="e">
        <f>AND('Planilla_General_03-12-2012_9_3'!J2756,"AAAAAG+dXjo=")</f>
        <v>#VALUE!</v>
      </c>
      <c r="BH173" t="e">
        <f>AND('Planilla_General_03-12-2012_9_3'!K2756,"AAAAAG+dXjs=")</f>
        <v>#VALUE!</v>
      </c>
      <c r="BI173" t="e">
        <f>AND('Planilla_General_03-12-2012_9_3'!L2756,"AAAAAG+dXjw=")</f>
        <v>#VALUE!</v>
      </c>
      <c r="BJ173" t="e">
        <f>AND('Planilla_General_03-12-2012_9_3'!M2756,"AAAAAG+dXj0=")</f>
        <v>#VALUE!</v>
      </c>
      <c r="BK173" t="e">
        <f>AND('Planilla_General_03-12-2012_9_3'!N2756,"AAAAAG+dXj4=")</f>
        <v>#VALUE!</v>
      </c>
      <c r="BL173" t="e">
        <f>AND('Planilla_General_03-12-2012_9_3'!O2756,"AAAAAG+dXj8=")</f>
        <v>#VALUE!</v>
      </c>
      <c r="BM173">
        <f>IF('Planilla_General_03-12-2012_9_3'!2757:2757,"AAAAAG+dXkA=",0)</f>
        <v>0</v>
      </c>
      <c r="BN173" t="e">
        <f>AND('Planilla_General_03-12-2012_9_3'!A2757,"AAAAAG+dXkE=")</f>
        <v>#VALUE!</v>
      </c>
      <c r="BO173" t="e">
        <f>AND('Planilla_General_03-12-2012_9_3'!B2757,"AAAAAG+dXkI=")</f>
        <v>#VALUE!</v>
      </c>
      <c r="BP173" t="e">
        <f>AND('Planilla_General_03-12-2012_9_3'!C2757,"AAAAAG+dXkM=")</f>
        <v>#VALUE!</v>
      </c>
      <c r="BQ173" t="e">
        <f>AND('Planilla_General_03-12-2012_9_3'!D2757,"AAAAAG+dXkQ=")</f>
        <v>#VALUE!</v>
      </c>
      <c r="BR173" t="e">
        <f>AND('Planilla_General_03-12-2012_9_3'!E2757,"AAAAAG+dXkU=")</f>
        <v>#VALUE!</v>
      </c>
      <c r="BS173" t="e">
        <f>AND('Planilla_General_03-12-2012_9_3'!F2757,"AAAAAG+dXkY=")</f>
        <v>#VALUE!</v>
      </c>
      <c r="BT173" t="e">
        <f>AND('Planilla_General_03-12-2012_9_3'!G2757,"AAAAAG+dXkc=")</f>
        <v>#VALUE!</v>
      </c>
      <c r="BU173" t="e">
        <f>AND('Planilla_General_03-12-2012_9_3'!H2757,"AAAAAG+dXkg=")</f>
        <v>#VALUE!</v>
      </c>
      <c r="BV173" t="e">
        <f>AND('Planilla_General_03-12-2012_9_3'!I2757,"AAAAAG+dXkk=")</f>
        <v>#VALUE!</v>
      </c>
      <c r="BW173" t="e">
        <f>AND('Planilla_General_03-12-2012_9_3'!J2757,"AAAAAG+dXko=")</f>
        <v>#VALUE!</v>
      </c>
      <c r="BX173" t="e">
        <f>AND('Planilla_General_03-12-2012_9_3'!K2757,"AAAAAG+dXks=")</f>
        <v>#VALUE!</v>
      </c>
      <c r="BY173" t="e">
        <f>AND('Planilla_General_03-12-2012_9_3'!L2757,"AAAAAG+dXkw=")</f>
        <v>#VALUE!</v>
      </c>
      <c r="BZ173" t="e">
        <f>AND('Planilla_General_03-12-2012_9_3'!M2757,"AAAAAG+dXk0=")</f>
        <v>#VALUE!</v>
      </c>
      <c r="CA173" t="e">
        <f>AND('Planilla_General_03-12-2012_9_3'!N2757,"AAAAAG+dXk4=")</f>
        <v>#VALUE!</v>
      </c>
      <c r="CB173" t="e">
        <f>AND('Planilla_General_03-12-2012_9_3'!O2757,"AAAAAG+dXk8=")</f>
        <v>#VALUE!</v>
      </c>
      <c r="CC173">
        <f>IF('Planilla_General_03-12-2012_9_3'!2758:2758,"AAAAAG+dXlA=",0)</f>
        <v>0</v>
      </c>
      <c r="CD173" t="e">
        <f>AND('Planilla_General_03-12-2012_9_3'!A2758,"AAAAAG+dXlE=")</f>
        <v>#VALUE!</v>
      </c>
      <c r="CE173" t="e">
        <f>AND('Planilla_General_03-12-2012_9_3'!B2758,"AAAAAG+dXlI=")</f>
        <v>#VALUE!</v>
      </c>
      <c r="CF173" t="e">
        <f>AND('Planilla_General_03-12-2012_9_3'!C2758,"AAAAAG+dXlM=")</f>
        <v>#VALUE!</v>
      </c>
      <c r="CG173" t="e">
        <f>AND('Planilla_General_03-12-2012_9_3'!D2758,"AAAAAG+dXlQ=")</f>
        <v>#VALUE!</v>
      </c>
      <c r="CH173" t="e">
        <f>AND('Planilla_General_03-12-2012_9_3'!E2758,"AAAAAG+dXlU=")</f>
        <v>#VALUE!</v>
      </c>
      <c r="CI173" t="e">
        <f>AND('Planilla_General_03-12-2012_9_3'!F2758,"AAAAAG+dXlY=")</f>
        <v>#VALUE!</v>
      </c>
      <c r="CJ173" t="e">
        <f>AND('Planilla_General_03-12-2012_9_3'!G2758,"AAAAAG+dXlc=")</f>
        <v>#VALUE!</v>
      </c>
      <c r="CK173" t="e">
        <f>AND('Planilla_General_03-12-2012_9_3'!H2758,"AAAAAG+dXlg=")</f>
        <v>#VALUE!</v>
      </c>
      <c r="CL173" t="e">
        <f>AND('Planilla_General_03-12-2012_9_3'!I2758,"AAAAAG+dXlk=")</f>
        <v>#VALUE!</v>
      </c>
      <c r="CM173" t="e">
        <f>AND('Planilla_General_03-12-2012_9_3'!J2758,"AAAAAG+dXlo=")</f>
        <v>#VALUE!</v>
      </c>
      <c r="CN173" t="e">
        <f>AND('Planilla_General_03-12-2012_9_3'!K2758,"AAAAAG+dXls=")</f>
        <v>#VALUE!</v>
      </c>
      <c r="CO173" t="e">
        <f>AND('Planilla_General_03-12-2012_9_3'!L2758,"AAAAAG+dXlw=")</f>
        <v>#VALUE!</v>
      </c>
      <c r="CP173" t="e">
        <f>AND('Planilla_General_03-12-2012_9_3'!M2758,"AAAAAG+dXl0=")</f>
        <v>#VALUE!</v>
      </c>
      <c r="CQ173" t="e">
        <f>AND('Planilla_General_03-12-2012_9_3'!N2758,"AAAAAG+dXl4=")</f>
        <v>#VALUE!</v>
      </c>
      <c r="CR173" t="e">
        <f>AND('Planilla_General_03-12-2012_9_3'!O2758,"AAAAAG+dXl8=")</f>
        <v>#VALUE!</v>
      </c>
      <c r="CS173">
        <f>IF('Planilla_General_03-12-2012_9_3'!2759:2759,"AAAAAG+dXmA=",0)</f>
        <v>0</v>
      </c>
      <c r="CT173" t="e">
        <f>AND('Planilla_General_03-12-2012_9_3'!A2759,"AAAAAG+dXmE=")</f>
        <v>#VALUE!</v>
      </c>
      <c r="CU173" t="e">
        <f>AND('Planilla_General_03-12-2012_9_3'!B2759,"AAAAAG+dXmI=")</f>
        <v>#VALUE!</v>
      </c>
      <c r="CV173" t="e">
        <f>AND('Planilla_General_03-12-2012_9_3'!C2759,"AAAAAG+dXmM=")</f>
        <v>#VALUE!</v>
      </c>
      <c r="CW173" t="e">
        <f>AND('Planilla_General_03-12-2012_9_3'!D2759,"AAAAAG+dXmQ=")</f>
        <v>#VALUE!</v>
      </c>
      <c r="CX173" t="e">
        <f>AND('Planilla_General_03-12-2012_9_3'!E2759,"AAAAAG+dXmU=")</f>
        <v>#VALUE!</v>
      </c>
      <c r="CY173" t="e">
        <f>AND('Planilla_General_03-12-2012_9_3'!F2759,"AAAAAG+dXmY=")</f>
        <v>#VALUE!</v>
      </c>
      <c r="CZ173" t="e">
        <f>AND('Planilla_General_03-12-2012_9_3'!G2759,"AAAAAG+dXmc=")</f>
        <v>#VALUE!</v>
      </c>
      <c r="DA173" t="e">
        <f>AND('Planilla_General_03-12-2012_9_3'!H2759,"AAAAAG+dXmg=")</f>
        <v>#VALUE!</v>
      </c>
      <c r="DB173" t="e">
        <f>AND('Planilla_General_03-12-2012_9_3'!I2759,"AAAAAG+dXmk=")</f>
        <v>#VALUE!</v>
      </c>
      <c r="DC173" t="e">
        <f>AND('Planilla_General_03-12-2012_9_3'!J2759,"AAAAAG+dXmo=")</f>
        <v>#VALUE!</v>
      </c>
      <c r="DD173" t="e">
        <f>AND('Planilla_General_03-12-2012_9_3'!K2759,"AAAAAG+dXms=")</f>
        <v>#VALUE!</v>
      </c>
      <c r="DE173" t="e">
        <f>AND('Planilla_General_03-12-2012_9_3'!L2759,"AAAAAG+dXmw=")</f>
        <v>#VALUE!</v>
      </c>
      <c r="DF173" t="e">
        <f>AND('Planilla_General_03-12-2012_9_3'!M2759,"AAAAAG+dXm0=")</f>
        <v>#VALUE!</v>
      </c>
      <c r="DG173" t="e">
        <f>AND('Planilla_General_03-12-2012_9_3'!N2759,"AAAAAG+dXm4=")</f>
        <v>#VALUE!</v>
      </c>
      <c r="DH173" t="e">
        <f>AND('Planilla_General_03-12-2012_9_3'!O2759,"AAAAAG+dXm8=")</f>
        <v>#VALUE!</v>
      </c>
      <c r="DI173">
        <f>IF('Planilla_General_03-12-2012_9_3'!2760:2760,"AAAAAG+dXnA=",0)</f>
        <v>0</v>
      </c>
      <c r="DJ173" t="e">
        <f>AND('Planilla_General_03-12-2012_9_3'!A2760,"AAAAAG+dXnE=")</f>
        <v>#VALUE!</v>
      </c>
      <c r="DK173" t="e">
        <f>AND('Planilla_General_03-12-2012_9_3'!B2760,"AAAAAG+dXnI=")</f>
        <v>#VALUE!</v>
      </c>
      <c r="DL173" t="e">
        <f>AND('Planilla_General_03-12-2012_9_3'!C2760,"AAAAAG+dXnM=")</f>
        <v>#VALUE!</v>
      </c>
      <c r="DM173" t="e">
        <f>AND('Planilla_General_03-12-2012_9_3'!D2760,"AAAAAG+dXnQ=")</f>
        <v>#VALUE!</v>
      </c>
      <c r="DN173" t="e">
        <f>AND('Planilla_General_03-12-2012_9_3'!E2760,"AAAAAG+dXnU=")</f>
        <v>#VALUE!</v>
      </c>
      <c r="DO173" t="e">
        <f>AND('Planilla_General_03-12-2012_9_3'!F2760,"AAAAAG+dXnY=")</f>
        <v>#VALUE!</v>
      </c>
      <c r="DP173" t="e">
        <f>AND('Planilla_General_03-12-2012_9_3'!G2760,"AAAAAG+dXnc=")</f>
        <v>#VALUE!</v>
      </c>
      <c r="DQ173" t="e">
        <f>AND('Planilla_General_03-12-2012_9_3'!H2760,"AAAAAG+dXng=")</f>
        <v>#VALUE!</v>
      </c>
      <c r="DR173" t="e">
        <f>AND('Planilla_General_03-12-2012_9_3'!I2760,"AAAAAG+dXnk=")</f>
        <v>#VALUE!</v>
      </c>
      <c r="DS173" t="e">
        <f>AND('Planilla_General_03-12-2012_9_3'!J2760,"AAAAAG+dXno=")</f>
        <v>#VALUE!</v>
      </c>
      <c r="DT173" t="e">
        <f>AND('Planilla_General_03-12-2012_9_3'!K2760,"AAAAAG+dXns=")</f>
        <v>#VALUE!</v>
      </c>
      <c r="DU173" t="e">
        <f>AND('Planilla_General_03-12-2012_9_3'!L2760,"AAAAAG+dXnw=")</f>
        <v>#VALUE!</v>
      </c>
      <c r="DV173" t="e">
        <f>AND('Planilla_General_03-12-2012_9_3'!M2760,"AAAAAG+dXn0=")</f>
        <v>#VALUE!</v>
      </c>
      <c r="DW173" t="e">
        <f>AND('Planilla_General_03-12-2012_9_3'!N2760,"AAAAAG+dXn4=")</f>
        <v>#VALUE!</v>
      </c>
      <c r="DX173" t="e">
        <f>AND('Planilla_General_03-12-2012_9_3'!O2760,"AAAAAG+dXn8=")</f>
        <v>#VALUE!</v>
      </c>
      <c r="DY173">
        <f>IF('Planilla_General_03-12-2012_9_3'!2761:2761,"AAAAAG+dXoA=",0)</f>
        <v>0</v>
      </c>
      <c r="DZ173" t="e">
        <f>AND('Planilla_General_03-12-2012_9_3'!A2761,"AAAAAG+dXoE=")</f>
        <v>#VALUE!</v>
      </c>
      <c r="EA173" t="e">
        <f>AND('Planilla_General_03-12-2012_9_3'!B2761,"AAAAAG+dXoI=")</f>
        <v>#VALUE!</v>
      </c>
      <c r="EB173" t="e">
        <f>AND('Planilla_General_03-12-2012_9_3'!C2761,"AAAAAG+dXoM=")</f>
        <v>#VALUE!</v>
      </c>
      <c r="EC173" t="e">
        <f>AND('Planilla_General_03-12-2012_9_3'!D2761,"AAAAAG+dXoQ=")</f>
        <v>#VALUE!</v>
      </c>
      <c r="ED173" t="e">
        <f>AND('Planilla_General_03-12-2012_9_3'!E2761,"AAAAAG+dXoU=")</f>
        <v>#VALUE!</v>
      </c>
      <c r="EE173" t="e">
        <f>AND('Planilla_General_03-12-2012_9_3'!F2761,"AAAAAG+dXoY=")</f>
        <v>#VALUE!</v>
      </c>
      <c r="EF173" t="e">
        <f>AND('Planilla_General_03-12-2012_9_3'!G2761,"AAAAAG+dXoc=")</f>
        <v>#VALUE!</v>
      </c>
      <c r="EG173" t="e">
        <f>AND('Planilla_General_03-12-2012_9_3'!H2761,"AAAAAG+dXog=")</f>
        <v>#VALUE!</v>
      </c>
      <c r="EH173" t="e">
        <f>AND('Planilla_General_03-12-2012_9_3'!I2761,"AAAAAG+dXok=")</f>
        <v>#VALUE!</v>
      </c>
      <c r="EI173" t="e">
        <f>AND('Planilla_General_03-12-2012_9_3'!J2761,"AAAAAG+dXoo=")</f>
        <v>#VALUE!</v>
      </c>
      <c r="EJ173" t="e">
        <f>AND('Planilla_General_03-12-2012_9_3'!K2761,"AAAAAG+dXos=")</f>
        <v>#VALUE!</v>
      </c>
      <c r="EK173" t="e">
        <f>AND('Planilla_General_03-12-2012_9_3'!L2761,"AAAAAG+dXow=")</f>
        <v>#VALUE!</v>
      </c>
      <c r="EL173" t="e">
        <f>AND('Planilla_General_03-12-2012_9_3'!M2761,"AAAAAG+dXo0=")</f>
        <v>#VALUE!</v>
      </c>
      <c r="EM173" t="e">
        <f>AND('Planilla_General_03-12-2012_9_3'!N2761,"AAAAAG+dXo4=")</f>
        <v>#VALUE!</v>
      </c>
      <c r="EN173" t="e">
        <f>AND('Planilla_General_03-12-2012_9_3'!O2761,"AAAAAG+dXo8=")</f>
        <v>#VALUE!</v>
      </c>
      <c r="EO173">
        <f>IF('Planilla_General_03-12-2012_9_3'!2762:2762,"AAAAAG+dXpA=",0)</f>
        <v>0</v>
      </c>
      <c r="EP173" t="e">
        <f>AND('Planilla_General_03-12-2012_9_3'!A2762,"AAAAAG+dXpE=")</f>
        <v>#VALUE!</v>
      </c>
      <c r="EQ173" t="e">
        <f>AND('Planilla_General_03-12-2012_9_3'!B2762,"AAAAAG+dXpI=")</f>
        <v>#VALUE!</v>
      </c>
      <c r="ER173" t="e">
        <f>AND('Planilla_General_03-12-2012_9_3'!C2762,"AAAAAG+dXpM=")</f>
        <v>#VALUE!</v>
      </c>
      <c r="ES173" t="e">
        <f>AND('Planilla_General_03-12-2012_9_3'!D2762,"AAAAAG+dXpQ=")</f>
        <v>#VALUE!</v>
      </c>
      <c r="ET173" t="e">
        <f>AND('Planilla_General_03-12-2012_9_3'!E2762,"AAAAAG+dXpU=")</f>
        <v>#VALUE!</v>
      </c>
      <c r="EU173" t="e">
        <f>AND('Planilla_General_03-12-2012_9_3'!F2762,"AAAAAG+dXpY=")</f>
        <v>#VALUE!</v>
      </c>
      <c r="EV173" t="e">
        <f>AND('Planilla_General_03-12-2012_9_3'!G2762,"AAAAAG+dXpc=")</f>
        <v>#VALUE!</v>
      </c>
      <c r="EW173" t="e">
        <f>AND('Planilla_General_03-12-2012_9_3'!H2762,"AAAAAG+dXpg=")</f>
        <v>#VALUE!</v>
      </c>
      <c r="EX173" t="e">
        <f>AND('Planilla_General_03-12-2012_9_3'!I2762,"AAAAAG+dXpk=")</f>
        <v>#VALUE!</v>
      </c>
      <c r="EY173" t="e">
        <f>AND('Planilla_General_03-12-2012_9_3'!J2762,"AAAAAG+dXpo=")</f>
        <v>#VALUE!</v>
      </c>
      <c r="EZ173" t="e">
        <f>AND('Planilla_General_03-12-2012_9_3'!K2762,"AAAAAG+dXps=")</f>
        <v>#VALUE!</v>
      </c>
      <c r="FA173" t="e">
        <f>AND('Planilla_General_03-12-2012_9_3'!L2762,"AAAAAG+dXpw=")</f>
        <v>#VALUE!</v>
      </c>
      <c r="FB173" t="e">
        <f>AND('Planilla_General_03-12-2012_9_3'!M2762,"AAAAAG+dXp0=")</f>
        <v>#VALUE!</v>
      </c>
      <c r="FC173" t="e">
        <f>AND('Planilla_General_03-12-2012_9_3'!N2762,"AAAAAG+dXp4=")</f>
        <v>#VALUE!</v>
      </c>
      <c r="FD173" t="e">
        <f>AND('Planilla_General_03-12-2012_9_3'!O2762,"AAAAAG+dXp8=")</f>
        <v>#VALUE!</v>
      </c>
      <c r="FE173">
        <f>IF('Planilla_General_03-12-2012_9_3'!2763:2763,"AAAAAG+dXqA=",0)</f>
        <v>0</v>
      </c>
      <c r="FF173" t="e">
        <f>AND('Planilla_General_03-12-2012_9_3'!A2763,"AAAAAG+dXqE=")</f>
        <v>#VALUE!</v>
      </c>
      <c r="FG173" t="e">
        <f>AND('Planilla_General_03-12-2012_9_3'!B2763,"AAAAAG+dXqI=")</f>
        <v>#VALUE!</v>
      </c>
      <c r="FH173" t="e">
        <f>AND('Planilla_General_03-12-2012_9_3'!C2763,"AAAAAG+dXqM=")</f>
        <v>#VALUE!</v>
      </c>
      <c r="FI173" t="e">
        <f>AND('Planilla_General_03-12-2012_9_3'!D2763,"AAAAAG+dXqQ=")</f>
        <v>#VALUE!</v>
      </c>
      <c r="FJ173" t="e">
        <f>AND('Planilla_General_03-12-2012_9_3'!E2763,"AAAAAG+dXqU=")</f>
        <v>#VALUE!</v>
      </c>
      <c r="FK173" t="e">
        <f>AND('Planilla_General_03-12-2012_9_3'!F2763,"AAAAAG+dXqY=")</f>
        <v>#VALUE!</v>
      </c>
      <c r="FL173" t="e">
        <f>AND('Planilla_General_03-12-2012_9_3'!G2763,"AAAAAG+dXqc=")</f>
        <v>#VALUE!</v>
      </c>
      <c r="FM173" t="e">
        <f>AND('Planilla_General_03-12-2012_9_3'!H2763,"AAAAAG+dXqg=")</f>
        <v>#VALUE!</v>
      </c>
      <c r="FN173" t="e">
        <f>AND('Planilla_General_03-12-2012_9_3'!I2763,"AAAAAG+dXqk=")</f>
        <v>#VALUE!</v>
      </c>
      <c r="FO173" t="e">
        <f>AND('Planilla_General_03-12-2012_9_3'!J2763,"AAAAAG+dXqo=")</f>
        <v>#VALUE!</v>
      </c>
      <c r="FP173" t="e">
        <f>AND('Planilla_General_03-12-2012_9_3'!K2763,"AAAAAG+dXqs=")</f>
        <v>#VALUE!</v>
      </c>
      <c r="FQ173" t="e">
        <f>AND('Planilla_General_03-12-2012_9_3'!L2763,"AAAAAG+dXqw=")</f>
        <v>#VALUE!</v>
      </c>
      <c r="FR173" t="e">
        <f>AND('Planilla_General_03-12-2012_9_3'!M2763,"AAAAAG+dXq0=")</f>
        <v>#VALUE!</v>
      </c>
      <c r="FS173" t="e">
        <f>AND('Planilla_General_03-12-2012_9_3'!N2763,"AAAAAG+dXq4=")</f>
        <v>#VALUE!</v>
      </c>
      <c r="FT173" t="e">
        <f>AND('Planilla_General_03-12-2012_9_3'!O2763,"AAAAAG+dXq8=")</f>
        <v>#VALUE!</v>
      </c>
      <c r="FU173">
        <f>IF('Planilla_General_03-12-2012_9_3'!2764:2764,"AAAAAG+dXrA=",0)</f>
        <v>0</v>
      </c>
      <c r="FV173" t="e">
        <f>AND('Planilla_General_03-12-2012_9_3'!A2764,"AAAAAG+dXrE=")</f>
        <v>#VALUE!</v>
      </c>
      <c r="FW173" t="e">
        <f>AND('Planilla_General_03-12-2012_9_3'!B2764,"AAAAAG+dXrI=")</f>
        <v>#VALUE!</v>
      </c>
      <c r="FX173" t="e">
        <f>AND('Planilla_General_03-12-2012_9_3'!C2764,"AAAAAG+dXrM=")</f>
        <v>#VALUE!</v>
      </c>
      <c r="FY173" t="e">
        <f>AND('Planilla_General_03-12-2012_9_3'!D2764,"AAAAAG+dXrQ=")</f>
        <v>#VALUE!</v>
      </c>
      <c r="FZ173" t="e">
        <f>AND('Planilla_General_03-12-2012_9_3'!E2764,"AAAAAG+dXrU=")</f>
        <v>#VALUE!</v>
      </c>
      <c r="GA173" t="e">
        <f>AND('Planilla_General_03-12-2012_9_3'!F2764,"AAAAAG+dXrY=")</f>
        <v>#VALUE!</v>
      </c>
      <c r="GB173" t="e">
        <f>AND('Planilla_General_03-12-2012_9_3'!G2764,"AAAAAG+dXrc=")</f>
        <v>#VALUE!</v>
      </c>
      <c r="GC173" t="e">
        <f>AND('Planilla_General_03-12-2012_9_3'!H2764,"AAAAAG+dXrg=")</f>
        <v>#VALUE!</v>
      </c>
      <c r="GD173" t="e">
        <f>AND('Planilla_General_03-12-2012_9_3'!I2764,"AAAAAG+dXrk=")</f>
        <v>#VALUE!</v>
      </c>
      <c r="GE173" t="e">
        <f>AND('Planilla_General_03-12-2012_9_3'!J2764,"AAAAAG+dXro=")</f>
        <v>#VALUE!</v>
      </c>
      <c r="GF173" t="e">
        <f>AND('Planilla_General_03-12-2012_9_3'!K2764,"AAAAAG+dXrs=")</f>
        <v>#VALUE!</v>
      </c>
      <c r="GG173" t="e">
        <f>AND('Planilla_General_03-12-2012_9_3'!L2764,"AAAAAG+dXrw=")</f>
        <v>#VALUE!</v>
      </c>
      <c r="GH173" t="e">
        <f>AND('Planilla_General_03-12-2012_9_3'!M2764,"AAAAAG+dXr0=")</f>
        <v>#VALUE!</v>
      </c>
      <c r="GI173" t="e">
        <f>AND('Planilla_General_03-12-2012_9_3'!N2764,"AAAAAG+dXr4=")</f>
        <v>#VALUE!</v>
      </c>
      <c r="GJ173" t="e">
        <f>AND('Planilla_General_03-12-2012_9_3'!O2764,"AAAAAG+dXr8=")</f>
        <v>#VALUE!</v>
      </c>
      <c r="GK173">
        <f>IF('Planilla_General_03-12-2012_9_3'!2765:2765,"AAAAAG+dXsA=",0)</f>
        <v>0</v>
      </c>
      <c r="GL173" t="e">
        <f>AND('Planilla_General_03-12-2012_9_3'!A2765,"AAAAAG+dXsE=")</f>
        <v>#VALUE!</v>
      </c>
      <c r="GM173" t="e">
        <f>AND('Planilla_General_03-12-2012_9_3'!B2765,"AAAAAG+dXsI=")</f>
        <v>#VALUE!</v>
      </c>
      <c r="GN173" t="e">
        <f>AND('Planilla_General_03-12-2012_9_3'!C2765,"AAAAAG+dXsM=")</f>
        <v>#VALUE!</v>
      </c>
      <c r="GO173" t="e">
        <f>AND('Planilla_General_03-12-2012_9_3'!D2765,"AAAAAG+dXsQ=")</f>
        <v>#VALUE!</v>
      </c>
      <c r="GP173" t="e">
        <f>AND('Planilla_General_03-12-2012_9_3'!E2765,"AAAAAG+dXsU=")</f>
        <v>#VALUE!</v>
      </c>
      <c r="GQ173" t="e">
        <f>AND('Planilla_General_03-12-2012_9_3'!F2765,"AAAAAG+dXsY=")</f>
        <v>#VALUE!</v>
      </c>
      <c r="GR173" t="e">
        <f>AND('Planilla_General_03-12-2012_9_3'!G2765,"AAAAAG+dXsc=")</f>
        <v>#VALUE!</v>
      </c>
      <c r="GS173" t="e">
        <f>AND('Planilla_General_03-12-2012_9_3'!H2765,"AAAAAG+dXsg=")</f>
        <v>#VALUE!</v>
      </c>
      <c r="GT173" t="e">
        <f>AND('Planilla_General_03-12-2012_9_3'!I2765,"AAAAAG+dXsk=")</f>
        <v>#VALUE!</v>
      </c>
      <c r="GU173" t="e">
        <f>AND('Planilla_General_03-12-2012_9_3'!J2765,"AAAAAG+dXso=")</f>
        <v>#VALUE!</v>
      </c>
      <c r="GV173" t="e">
        <f>AND('Planilla_General_03-12-2012_9_3'!K2765,"AAAAAG+dXss=")</f>
        <v>#VALUE!</v>
      </c>
      <c r="GW173" t="e">
        <f>AND('Planilla_General_03-12-2012_9_3'!L2765,"AAAAAG+dXsw=")</f>
        <v>#VALUE!</v>
      </c>
      <c r="GX173" t="e">
        <f>AND('Planilla_General_03-12-2012_9_3'!M2765,"AAAAAG+dXs0=")</f>
        <v>#VALUE!</v>
      </c>
      <c r="GY173" t="e">
        <f>AND('Planilla_General_03-12-2012_9_3'!N2765,"AAAAAG+dXs4=")</f>
        <v>#VALUE!</v>
      </c>
      <c r="GZ173" t="e">
        <f>AND('Planilla_General_03-12-2012_9_3'!O2765,"AAAAAG+dXs8=")</f>
        <v>#VALUE!</v>
      </c>
      <c r="HA173">
        <f>IF('Planilla_General_03-12-2012_9_3'!2766:2766,"AAAAAG+dXtA=",0)</f>
        <v>0</v>
      </c>
      <c r="HB173" t="e">
        <f>AND('Planilla_General_03-12-2012_9_3'!A2766,"AAAAAG+dXtE=")</f>
        <v>#VALUE!</v>
      </c>
      <c r="HC173" t="e">
        <f>AND('Planilla_General_03-12-2012_9_3'!B2766,"AAAAAG+dXtI=")</f>
        <v>#VALUE!</v>
      </c>
      <c r="HD173" t="e">
        <f>AND('Planilla_General_03-12-2012_9_3'!C2766,"AAAAAG+dXtM=")</f>
        <v>#VALUE!</v>
      </c>
      <c r="HE173" t="e">
        <f>AND('Planilla_General_03-12-2012_9_3'!D2766,"AAAAAG+dXtQ=")</f>
        <v>#VALUE!</v>
      </c>
      <c r="HF173" t="e">
        <f>AND('Planilla_General_03-12-2012_9_3'!E2766,"AAAAAG+dXtU=")</f>
        <v>#VALUE!</v>
      </c>
      <c r="HG173" t="e">
        <f>AND('Planilla_General_03-12-2012_9_3'!F2766,"AAAAAG+dXtY=")</f>
        <v>#VALUE!</v>
      </c>
      <c r="HH173" t="e">
        <f>AND('Planilla_General_03-12-2012_9_3'!G2766,"AAAAAG+dXtc=")</f>
        <v>#VALUE!</v>
      </c>
      <c r="HI173" t="e">
        <f>AND('Planilla_General_03-12-2012_9_3'!H2766,"AAAAAG+dXtg=")</f>
        <v>#VALUE!</v>
      </c>
      <c r="HJ173" t="e">
        <f>AND('Planilla_General_03-12-2012_9_3'!I2766,"AAAAAG+dXtk=")</f>
        <v>#VALUE!</v>
      </c>
      <c r="HK173" t="e">
        <f>AND('Planilla_General_03-12-2012_9_3'!J2766,"AAAAAG+dXto=")</f>
        <v>#VALUE!</v>
      </c>
      <c r="HL173" t="e">
        <f>AND('Planilla_General_03-12-2012_9_3'!K2766,"AAAAAG+dXts=")</f>
        <v>#VALUE!</v>
      </c>
      <c r="HM173" t="e">
        <f>AND('Planilla_General_03-12-2012_9_3'!L2766,"AAAAAG+dXtw=")</f>
        <v>#VALUE!</v>
      </c>
      <c r="HN173" t="e">
        <f>AND('Planilla_General_03-12-2012_9_3'!M2766,"AAAAAG+dXt0=")</f>
        <v>#VALUE!</v>
      </c>
      <c r="HO173" t="e">
        <f>AND('Planilla_General_03-12-2012_9_3'!N2766,"AAAAAG+dXt4=")</f>
        <v>#VALUE!</v>
      </c>
      <c r="HP173" t="e">
        <f>AND('Planilla_General_03-12-2012_9_3'!O2766,"AAAAAG+dXt8=")</f>
        <v>#VALUE!</v>
      </c>
      <c r="HQ173">
        <f>IF('Planilla_General_03-12-2012_9_3'!2767:2767,"AAAAAG+dXuA=",0)</f>
        <v>0</v>
      </c>
      <c r="HR173" t="e">
        <f>AND('Planilla_General_03-12-2012_9_3'!A2767,"AAAAAG+dXuE=")</f>
        <v>#VALUE!</v>
      </c>
      <c r="HS173" t="e">
        <f>AND('Planilla_General_03-12-2012_9_3'!B2767,"AAAAAG+dXuI=")</f>
        <v>#VALUE!</v>
      </c>
      <c r="HT173" t="e">
        <f>AND('Planilla_General_03-12-2012_9_3'!C2767,"AAAAAG+dXuM=")</f>
        <v>#VALUE!</v>
      </c>
      <c r="HU173" t="e">
        <f>AND('Planilla_General_03-12-2012_9_3'!D2767,"AAAAAG+dXuQ=")</f>
        <v>#VALUE!</v>
      </c>
      <c r="HV173" t="e">
        <f>AND('Planilla_General_03-12-2012_9_3'!E2767,"AAAAAG+dXuU=")</f>
        <v>#VALUE!</v>
      </c>
      <c r="HW173" t="e">
        <f>AND('Planilla_General_03-12-2012_9_3'!F2767,"AAAAAG+dXuY=")</f>
        <v>#VALUE!</v>
      </c>
      <c r="HX173" t="e">
        <f>AND('Planilla_General_03-12-2012_9_3'!G2767,"AAAAAG+dXuc=")</f>
        <v>#VALUE!</v>
      </c>
      <c r="HY173" t="e">
        <f>AND('Planilla_General_03-12-2012_9_3'!H2767,"AAAAAG+dXug=")</f>
        <v>#VALUE!</v>
      </c>
      <c r="HZ173" t="e">
        <f>AND('Planilla_General_03-12-2012_9_3'!I2767,"AAAAAG+dXuk=")</f>
        <v>#VALUE!</v>
      </c>
      <c r="IA173" t="e">
        <f>AND('Planilla_General_03-12-2012_9_3'!J2767,"AAAAAG+dXuo=")</f>
        <v>#VALUE!</v>
      </c>
      <c r="IB173" t="e">
        <f>AND('Planilla_General_03-12-2012_9_3'!K2767,"AAAAAG+dXus=")</f>
        <v>#VALUE!</v>
      </c>
      <c r="IC173" t="e">
        <f>AND('Planilla_General_03-12-2012_9_3'!L2767,"AAAAAG+dXuw=")</f>
        <v>#VALUE!</v>
      </c>
      <c r="ID173" t="e">
        <f>AND('Planilla_General_03-12-2012_9_3'!M2767,"AAAAAG+dXu0=")</f>
        <v>#VALUE!</v>
      </c>
      <c r="IE173" t="e">
        <f>AND('Planilla_General_03-12-2012_9_3'!N2767,"AAAAAG+dXu4=")</f>
        <v>#VALUE!</v>
      </c>
      <c r="IF173" t="e">
        <f>AND('Planilla_General_03-12-2012_9_3'!O2767,"AAAAAG+dXu8=")</f>
        <v>#VALUE!</v>
      </c>
      <c r="IG173">
        <f>IF('Planilla_General_03-12-2012_9_3'!2768:2768,"AAAAAG+dXvA=",0)</f>
        <v>0</v>
      </c>
      <c r="IH173" t="e">
        <f>AND('Planilla_General_03-12-2012_9_3'!A2768,"AAAAAG+dXvE=")</f>
        <v>#VALUE!</v>
      </c>
      <c r="II173" t="e">
        <f>AND('Planilla_General_03-12-2012_9_3'!B2768,"AAAAAG+dXvI=")</f>
        <v>#VALUE!</v>
      </c>
      <c r="IJ173" t="e">
        <f>AND('Planilla_General_03-12-2012_9_3'!C2768,"AAAAAG+dXvM=")</f>
        <v>#VALUE!</v>
      </c>
      <c r="IK173" t="e">
        <f>AND('Planilla_General_03-12-2012_9_3'!D2768,"AAAAAG+dXvQ=")</f>
        <v>#VALUE!</v>
      </c>
      <c r="IL173" t="e">
        <f>AND('Planilla_General_03-12-2012_9_3'!E2768,"AAAAAG+dXvU=")</f>
        <v>#VALUE!</v>
      </c>
      <c r="IM173" t="e">
        <f>AND('Planilla_General_03-12-2012_9_3'!F2768,"AAAAAG+dXvY=")</f>
        <v>#VALUE!</v>
      </c>
      <c r="IN173" t="e">
        <f>AND('Planilla_General_03-12-2012_9_3'!G2768,"AAAAAG+dXvc=")</f>
        <v>#VALUE!</v>
      </c>
      <c r="IO173" t="e">
        <f>AND('Planilla_General_03-12-2012_9_3'!H2768,"AAAAAG+dXvg=")</f>
        <v>#VALUE!</v>
      </c>
      <c r="IP173" t="e">
        <f>AND('Planilla_General_03-12-2012_9_3'!I2768,"AAAAAG+dXvk=")</f>
        <v>#VALUE!</v>
      </c>
      <c r="IQ173" t="e">
        <f>AND('Planilla_General_03-12-2012_9_3'!J2768,"AAAAAG+dXvo=")</f>
        <v>#VALUE!</v>
      </c>
      <c r="IR173" t="e">
        <f>AND('Planilla_General_03-12-2012_9_3'!K2768,"AAAAAG+dXvs=")</f>
        <v>#VALUE!</v>
      </c>
      <c r="IS173" t="e">
        <f>AND('Planilla_General_03-12-2012_9_3'!L2768,"AAAAAG+dXvw=")</f>
        <v>#VALUE!</v>
      </c>
      <c r="IT173" t="e">
        <f>AND('Planilla_General_03-12-2012_9_3'!M2768,"AAAAAG+dXv0=")</f>
        <v>#VALUE!</v>
      </c>
      <c r="IU173" t="e">
        <f>AND('Planilla_General_03-12-2012_9_3'!N2768,"AAAAAG+dXv4=")</f>
        <v>#VALUE!</v>
      </c>
      <c r="IV173" t="e">
        <f>AND('Planilla_General_03-12-2012_9_3'!O2768,"AAAAAG+dXv8=")</f>
        <v>#VALUE!</v>
      </c>
    </row>
    <row r="174" spans="1:256" x14ac:dyDescent="0.25">
      <c r="A174" t="e">
        <f>IF('Planilla_General_03-12-2012_9_3'!2769:2769,"AAAAAG+/XQA=",0)</f>
        <v>#VALUE!</v>
      </c>
      <c r="B174" t="e">
        <f>AND('Planilla_General_03-12-2012_9_3'!A2769,"AAAAAG+/XQE=")</f>
        <v>#VALUE!</v>
      </c>
      <c r="C174" t="e">
        <f>AND('Planilla_General_03-12-2012_9_3'!B2769,"AAAAAG+/XQI=")</f>
        <v>#VALUE!</v>
      </c>
      <c r="D174" t="e">
        <f>AND('Planilla_General_03-12-2012_9_3'!C2769,"AAAAAG+/XQM=")</f>
        <v>#VALUE!</v>
      </c>
      <c r="E174" t="e">
        <f>AND('Planilla_General_03-12-2012_9_3'!D2769,"AAAAAG+/XQQ=")</f>
        <v>#VALUE!</v>
      </c>
      <c r="F174" t="e">
        <f>AND('Planilla_General_03-12-2012_9_3'!E2769,"AAAAAG+/XQU=")</f>
        <v>#VALUE!</v>
      </c>
      <c r="G174" t="e">
        <f>AND('Planilla_General_03-12-2012_9_3'!F2769,"AAAAAG+/XQY=")</f>
        <v>#VALUE!</v>
      </c>
      <c r="H174" t="e">
        <f>AND('Planilla_General_03-12-2012_9_3'!G2769,"AAAAAG+/XQc=")</f>
        <v>#VALUE!</v>
      </c>
      <c r="I174" t="e">
        <f>AND('Planilla_General_03-12-2012_9_3'!H2769,"AAAAAG+/XQg=")</f>
        <v>#VALUE!</v>
      </c>
      <c r="J174" t="e">
        <f>AND('Planilla_General_03-12-2012_9_3'!I2769,"AAAAAG+/XQk=")</f>
        <v>#VALUE!</v>
      </c>
      <c r="K174" t="e">
        <f>AND('Planilla_General_03-12-2012_9_3'!J2769,"AAAAAG+/XQo=")</f>
        <v>#VALUE!</v>
      </c>
      <c r="L174" t="e">
        <f>AND('Planilla_General_03-12-2012_9_3'!K2769,"AAAAAG+/XQs=")</f>
        <v>#VALUE!</v>
      </c>
      <c r="M174" t="e">
        <f>AND('Planilla_General_03-12-2012_9_3'!L2769,"AAAAAG+/XQw=")</f>
        <v>#VALUE!</v>
      </c>
      <c r="N174" t="e">
        <f>AND('Planilla_General_03-12-2012_9_3'!M2769,"AAAAAG+/XQ0=")</f>
        <v>#VALUE!</v>
      </c>
      <c r="O174" t="e">
        <f>AND('Planilla_General_03-12-2012_9_3'!N2769,"AAAAAG+/XQ4=")</f>
        <v>#VALUE!</v>
      </c>
      <c r="P174" t="e">
        <f>AND('Planilla_General_03-12-2012_9_3'!O2769,"AAAAAG+/XQ8=")</f>
        <v>#VALUE!</v>
      </c>
      <c r="Q174">
        <f>IF('Planilla_General_03-12-2012_9_3'!2770:2770,"AAAAAG+/XRA=",0)</f>
        <v>0</v>
      </c>
      <c r="R174" t="e">
        <f>AND('Planilla_General_03-12-2012_9_3'!A2770,"AAAAAG+/XRE=")</f>
        <v>#VALUE!</v>
      </c>
      <c r="S174" t="e">
        <f>AND('Planilla_General_03-12-2012_9_3'!B2770,"AAAAAG+/XRI=")</f>
        <v>#VALUE!</v>
      </c>
      <c r="T174" t="e">
        <f>AND('Planilla_General_03-12-2012_9_3'!C2770,"AAAAAG+/XRM=")</f>
        <v>#VALUE!</v>
      </c>
      <c r="U174" t="e">
        <f>AND('Planilla_General_03-12-2012_9_3'!D2770,"AAAAAG+/XRQ=")</f>
        <v>#VALUE!</v>
      </c>
      <c r="V174" t="e">
        <f>AND('Planilla_General_03-12-2012_9_3'!E2770,"AAAAAG+/XRU=")</f>
        <v>#VALUE!</v>
      </c>
      <c r="W174" t="e">
        <f>AND('Planilla_General_03-12-2012_9_3'!F2770,"AAAAAG+/XRY=")</f>
        <v>#VALUE!</v>
      </c>
      <c r="X174" t="e">
        <f>AND('Planilla_General_03-12-2012_9_3'!G2770,"AAAAAG+/XRc=")</f>
        <v>#VALUE!</v>
      </c>
      <c r="Y174" t="e">
        <f>AND('Planilla_General_03-12-2012_9_3'!H2770,"AAAAAG+/XRg=")</f>
        <v>#VALUE!</v>
      </c>
      <c r="Z174" t="e">
        <f>AND('Planilla_General_03-12-2012_9_3'!I2770,"AAAAAG+/XRk=")</f>
        <v>#VALUE!</v>
      </c>
      <c r="AA174" t="e">
        <f>AND('Planilla_General_03-12-2012_9_3'!J2770,"AAAAAG+/XRo=")</f>
        <v>#VALUE!</v>
      </c>
      <c r="AB174" t="e">
        <f>AND('Planilla_General_03-12-2012_9_3'!K2770,"AAAAAG+/XRs=")</f>
        <v>#VALUE!</v>
      </c>
      <c r="AC174" t="e">
        <f>AND('Planilla_General_03-12-2012_9_3'!L2770,"AAAAAG+/XRw=")</f>
        <v>#VALUE!</v>
      </c>
      <c r="AD174" t="e">
        <f>AND('Planilla_General_03-12-2012_9_3'!M2770,"AAAAAG+/XR0=")</f>
        <v>#VALUE!</v>
      </c>
      <c r="AE174" t="e">
        <f>AND('Planilla_General_03-12-2012_9_3'!N2770,"AAAAAG+/XR4=")</f>
        <v>#VALUE!</v>
      </c>
      <c r="AF174" t="e">
        <f>AND('Planilla_General_03-12-2012_9_3'!O2770,"AAAAAG+/XR8=")</f>
        <v>#VALUE!</v>
      </c>
      <c r="AG174">
        <f>IF('Planilla_General_03-12-2012_9_3'!2771:2771,"AAAAAG+/XSA=",0)</f>
        <v>0</v>
      </c>
      <c r="AH174" t="e">
        <f>AND('Planilla_General_03-12-2012_9_3'!A2771,"AAAAAG+/XSE=")</f>
        <v>#VALUE!</v>
      </c>
      <c r="AI174" t="e">
        <f>AND('Planilla_General_03-12-2012_9_3'!B2771,"AAAAAG+/XSI=")</f>
        <v>#VALUE!</v>
      </c>
      <c r="AJ174" t="e">
        <f>AND('Planilla_General_03-12-2012_9_3'!C2771,"AAAAAG+/XSM=")</f>
        <v>#VALUE!</v>
      </c>
      <c r="AK174" t="e">
        <f>AND('Planilla_General_03-12-2012_9_3'!D2771,"AAAAAG+/XSQ=")</f>
        <v>#VALUE!</v>
      </c>
      <c r="AL174" t="e">
        <f>AND('Planilla_General_03-12-2012_9_3'!E2771,"AAAAAG+/XSU=")</f>
        <v>#VALUE!</v>
      </c>
      <c r="AM174" t="e">
        <f>AND('Planilla_General_03-12-2012_9_3'!F2771,"AAAAAG+/XSY=")</f>
        <v>#VALUE!</v>
      </c>
      <c r="AN174" t="e">
        <f>AND('Planilla_General_03-12-2012_9_3'!G2771,"AAAAAG+/XSc=")</f>
        <v>#VALUE!</v>
      </c>
      <c r="AO174" t="e">
        <f>AND('Planilla_General_03-12-2012_9_3'!H2771,"AAAAAG+/XSg=")</f>
        <v>#VALUE!</v>
      </c>
      <c r="AP174" t="e">
        <f>AND('Planilla_General_03-12-2012_9_3'!I2771,"AAAAAG+/XSk=")</f>
        <v>#VALUE!</v>
      </c>
      <c r="AQ174" t="e">
        <f>AND('Planilla_General_03-12-2012_9_3'!J2771,"AAAAAG+/XSo=")</f>
        <v>#VALUE!</v>
      </c>
      <c r="AR174" t="e">
        <f>AND('Planilla_General_03-12-2012_9_3'!K2771,"AAAAAG+/XSs=")</f>
        <v>#VALUE!</v>
      </c>
      <c r="AS174" t="e">
        <f>AND('Planilla_General_03-12-2012_9_3'!L2771,"AAAAAG+/XSw=")</f>
        <v>#VALUE!</v>
      </c>
      <c r="AT174" t="e">
        <f>AND('Planilla_General_03-12-2012_9_3'!M2771,"AAAAAG+/XS0=")</f>
        <v>#VALUE!</v>
      </c>
      <c r="AU174" t="e">
        <f>AND('Planilla_General_03-12-2012_9_3'!N2771,"AAAAAG+/XS4=")</f>
        <v>#VALUE!</v>
      </c>
      <c r="AV174" t="e">
        <f>AND('Planilla_General_03-12-2012_9_3'!O2771,"AAAAAG+/XS8=")</f>
        <v>#VALUE!</v>
      </c>
      <c r="AW174">
        <f>IF('Planilla_General_03-12-2012_9_3'!2772:2772,"AAAAAG+/XTA=",0)</f>
        <v>0</v>
      </c>
      <c r="AX174" t="e">
        <f>AND('Planilla_General_03-12-2012_9_3'!A2772,"AAAAAG+/XTE=")</f>
        <v>#VALUE!</v>
      </c>
      <c r="AY174" t="e">
        <f>AND('Planilla_General_03-12-2012_9_3'!B2772,"AAAAAG+/XTI=")</f>
        <v>#VALUE!</v>
      </c>
      <c r="AZ174" t="e">
        <f>AND('Planilla_General_03-12-2012_9_3'!C2772,"AAAAAG+/XTM=")</f>
        <v>#VALUE!</v>
      </c>
      <c r="BA174" t="e">
        <f>AND('Planilla_General_03-12-2012_9_3'!D2772,"AAAAAG+/XTQ=")</f>
        <v>#VALUE!</v>
      </c>
      <c r="BB174" t="e">
        <f>AND('Planilla_General_03-12-2012_9_3'!E2772,"AAAAAG+/XTU=")</f>
        <v>#VALUE!</v>
      </c>
      <c r="BC174" t="e">
        <f>AND('Planilla_General_03-12-2012_9_3'!F2772,"AAAAAG+/XTY=")</f>
        <v>#VALUE!</v>
      </c>
      <c r="BD174" t="e">
        <f>AND('Planilla_General_03-12-2012_9_3'!G2772,"AAAAAG+/XTc=")</f>
        <v>#VALUE!</v>
      </c>
      <c r="BE174" t="e">
        <f>AND('Planilla_General_03-12-2012_9_3'!H2772,"AAAAAG+/XTg=")</f>
        <v>#VALUE!</v>
      </c>
      <c r="BF174" t="e">
        <f>AND('Planilla_General_03-12-2012_9_3'!I2772,"AAAAAG+/XTk=")</f>
        <v>#VALUE!</v>
      </c>
      <c r="BG174" t="e">
        <f>AND('Planilla_General_03-12-2012_9_3'!J2772,"AAAAAG+/XTo=")</f>
        <v>#VALUE!</v>
      </c>
      <c r="BH174" t="e">
        <f>AND('Planilla_General_03-12-2012_9_3'!K2772,"AAAAAG+/XTs=")</f>
        <v>#VALUE!</v>
      </c>
      <c r="BI174" t="e">
        <f>AND('Planilla_General_03-12-2012_9_3'!L2772,"AAAAAG+/XTw=")</f>
        <v>#VALUE!</v>
      </c>
      <c r="BJ174" t="e">
        <f>AND('Planilla_General_03-12-2012_9_3'!M2772,"AAAAAG+/XT0=")</f>
        <v>#VALUE!</v>
      </c>
      <c r="BK174" t="e">
        <f>AND('Planilla_General_03-12-2012_9_3'!N2772,"AAAAAG+/XT4=")</f>
        <v>#VALUE!</v>
      </c>
      <c r="BL174" t="e">
        <f>AND('Planilla_General_03-12-2012_9_3'!O2772,"AAAAAG+/XT8=")</f>
        <v>#VALUE!</v>
      </c>
      <c r="BM174">
        <f>IF('Planilla_General_03-12-2012_9_3'!2773:2773,"AAAAAG+/XUA=",0)</f>
        <v>0</v>
      </c>
      <c r="BN174" t="e">
        <f>AND('Planilla_General_03-12-2012_9_3'!A2773,"AAAAAG+/XUE=")</f>
        <v>#VALUE!</v>
      </c>
      <c r="BO174" t="e">
        <f>AND('Planilla_General_03-12-2012_9_3'!B2773,"AAAAAG+/XUI=")</f>
        <v>#VALUE!</v>
      </c>
      <c r="BP174" t="e">
        <f>AND('Planilla_General_03-12-2012_9_3'!C2773,"AAAAAG+/XUM=")</f>
        <v>#VALUE!</v>
      </c>
      <c r="BQ174" t="e">
        <f>AND('Planilla_General_03-12-2012_9_3'!D2773,"AAAAAG+/XUQ=")</f>
        <v>#VALUE!</v>
      </c>
      <c r="BR174" t="e">
        <f>AND('Planilla_General_03-12-2012_9_3'!E2773,"AAAAAG+/XUU=")</f>
        <v>#VALUE!</v>
      </c>
      <c r="BS174" t="e">
        <f>AND('Planilla_General_03-12-2012_9_3'!F2773,"AAAAAG+/XUY=")</f>
        <v>#VALUE!</v>
      </c>
      <c r="BT174" t="e">
        <f>AND('Planilla_General_03-12-2012_9_3'!G2773,"AAAAAG+/XUc=")</f>
        <v>#VALUE!</v>
      </c>
      <c r="BU174" t="e">
        <f>AND('Planilla_General_03-12-2012_9_3'!H2773,"AAAAAG+/XUg=")</f>
        <v>#VALUE!</v>
      </c>
      <c r="BV174" t="e">
        <f>AND('Planilla_General_03-12-2012_9_3'!I2773,"AAAAAG+/XUk=")</f>
        <v>#VALUE!</v>
      </c>
      <c r="BW174" t="e">
        <f>AND('Planilla_General_03-12-2012_9_3'!J2773,"AAAAAG+/XUo=")</f>
        <v>#VALUE!</v>
      </c>
      <c r="BX174" t="e">
        <f>AND('Planilla_General_03-12-2012_9_3'!K2773,"AAAAAG+/XUs=")</f>
        <v>#VALUE!</v>
      </c>
      <c r="BY174" t="e">
        <f>AND('Planilla_General_03-12-2012_9_3'!L2773,"AAAAAG+/XUw=")</f>
        <v>#VALUE!</v>
      </c>
      <c r="BZ174" t="e">
        <f>AND('Planilla_General_03-12-2012_9_3'!M2773,"AAAAAG+/XU0=")</f>
        <v>#VALUE!</v>
      </c>
      <c r="CA174" t="e">
        <f>AND('Planilla_General_03-12-2012_9_3'!N2773,"AAAAAG+/XU4=")</f>
        <v>#VALUE!</v>
      </c>
      <c r="CB174" t="e">
        <f>AND('Planilla_General_03-12-2012_9_3'!O2773,"AAAAAG+/XU8=")</f>
        <v>#VALUE!</v>
      </c>
      <c r="CC174">
        <f>IF('Planilla_General_03-12-2012_9_3'!2774:2774,"AAAAAG+/XVA=",0)</f>
        <v>0</v>
      </c>
      <c r="CD174" t="e">
        <f>AND('Planilla_General_03-12-2012_9_3'!A2774,"AAAAAG+/XVE=")</f>
        <v>#VALUE!</v>
      </c>
      <c r="CE174" t="e">
        <f>AND('Planilla_General_03-12-2012_9_3'!B2774,"AAAAAG+/XVI=")</f>
        <v>#VALUE!</v>
      </c>
      <c r="CF174" t="e">
        <f>AND('Planilla_General_03-12-2012_9_3'!C2774,"AAAAAG+/XVM=")</f>
        <v>#VALUE!</v>
      </c>
      <c r="CG174" t="e">
        <f>AND('Planilla_General_03-12-2012_9_3'!D2774,"AAAAAG+/XVQ=")</f>
        <v>#VALUE!</v>
      </c>
      <c r="CH174" t="e">
        <f>AND('Planilla_General_03-12-2012_9_3'!E2774,"AAAAAG+/XVU=")</f>
        <v>#VALUE!</v>
      </c>
      <c r="CI174" t="e">
        <f>AND('Planilla_General_03-12-2012_9_3'!F2774,"AAAAAG+/XVY=")</f>
        <v>#VALUE!</v>
      </c>
      <c r="CJ174" t="e">
        <f>AND('Planilla_General_03-12-2012_9_3'!G2774,"AAAAAG+/XVc=")</f>
        <v>#VALUE!</v>
      </c>
      <c r="CK174" t="e">
        <f>AND('Planilla_General_03-12-2012_9_3'!H2774,"AAAAAG+/XVg=")</f>
        <v>#VALUE!</v>
      </c>
      <c r="CL174" t="e">
        <f>AND('Planilla_General_03-12-2012_9_3'!I2774,"AAAAAG+/XVk=")</f>
        <v>#VALUE!</v>
      </c>
      <c r="CM174" t="e">
        <f>AND('Planilla_General_03-12-2012_9_3'!J2774,"AAAAAG+/XVo=")</f>
        <v>#VALUE!</v>
      </c>
      <c r="CN174" t="e">
        <f>AND('Planilla_General_03-12-2012_9_3'!K2774,"AAAAAG+/XVs=")</f>
        <v>#VALUE!</v>
      </c>
      <c r="CO174" t="e">
        <f>AND('Planilla_General_03-12-2012_9_3'!L2774,"AAAAAG+/XVw=")</f>
        <v>#VALUE!</v>
      </c>
      <c r="CP174" t="e">
        <f>AND('Planilla_General_03-12-2012_9_3'!M2774,"AAAAAG+/XV0=")</f>
        <v>#VALUE!</v>
      </c>
      <c r="CQ174" t="e">
        <f>AND('Planilla_General_03-12-2012_9_3'!N2774,"AAAAAG+/XV4=")</f>
        <v>#VALUE!</v>
      </c>
      <c r="CR174" t="e">
        <f>AND('Planilla_General_03-12-2012_9_3'!O2774,"AAAAAG+/XV8=")</f>
        <v>#VALUE!</v>
      </c>
      <c r="CS174">
        <f>IF('Planilla_General_03-12-2012_9_3'!2775:2775,"AAAAAG+/XWA=",0)</f>
        <v>0</v>
      </c>
      <c r="CT174" t="e">
        <f>AND('Planilla_General_03-12-2012_9_3'!A2775,"AAAAAG+/XWE=")</f>
        <v>#VALUE!</v>
      </c>
      <c r="CU174" t="e">
        <f>AND('Planilla_General_03-12-2012_9_3'!B2775,"AAAAAG+/XWI=")</f>
        <v>#VALUE!</v>
      </c>
      <c r="CV174" t="e">
        <f>AND('Planilla_General_03-12-2012_9_3'!C2775,"AAAAAG+/XWM=")</f>
        <v>#VALUE!</v>
      </c>
      <c r="CW174" t="e">
        <f>AND('Planilla_General_03-12-2012_9_3'!D2775,"AAAAAG+/XWQ=")</f>
        <v>#VALUE!</v>
      </c>
      <c r="CX174" t="e">
        <f>AND('Planilla_General_03-12-2012_9_3'!E2775,"AAAAAG+/XWU=")</f>
        <v>#VALUE!</v>
      </c>
      <c r="CY174" t="e">
        <f>AND('Planilla_General_03-12-2012_9_3'!F2775,"AAAAAG+/XWY=")</f>
        <v>#VALUE!</v>
      </c>
      <c r="CZ174" t="e">
        <f>AND('Planilla_General_03-12-2012_9_3'!G2775,"AAAAAG+/XWc=")</f>
        <v>#VALUE!</v>
      </c>
      <c r="DA174" t="e">
        <f>AND('Planilla_General_03-12-2012_9_3'!H2775,"AAAAAG+/XWg=")</f>
        <v>#VALUE!</v>
      </c>
      <c r="DB174" t="e">
        <f>AND('Planilla_General_03-12-2012_9_3'!I2775,"AAAAAG+/XWk=")</f>
        <v>#VALUE!</v>
      </c>
      <c r="DC174" t="e">
        <f>AND('Planilla_General_03-12-2012_9_3'!J2775,"AAAAAG+/XWo=")</f>
        <v>#VALUE!</v>
      </c>
      <c r="DD174" t="e">
        <f>AND('Planilla_General_03-12-2012_9_3'!K2775,"AAAAAG+/XWs=")</f>
        <v>#VALUE!</v>
      </c>
      <c r="DE174" t="e">
        <f>AND('Planilla_General_03-12-2012_9_3'!L2775,"AAAAAG+/XWw=")</f>
        <v>#VALUE!</v>
      </c>
      <c r="DF174" t="e">
        <f>AND('Planilla_General_03-12-2012_9_3'!M2775,"AAAAAG+/XW0=")</f>
        <v>#VALUE!</v>
      </c>
      <c r="DG174" t="e">
        <f>AND('Planilla_General_03-12-2012_9_3'!N2775,"AAAAAG+/XW4=")</f>
        <v>#VALUE!</v>
      </c>
      <c r="DH174" t="e">
        <f>AND('Planilla_General_03-12-2012_9_3'!O2775,"AAAAAG+/XW8=")</f>
        <v>#VALUE!</v>
      </c>
      <c r="DI174">
        <f>IF('Planilla_General_03-12-2012_9_3'!2776:2776,"AAAAAG+/XXA=",0)</f>
        <v>0</v>
      </c>
      <c r="DJ174" t="e">
        <f>AND('Planilla_General_03-12-2012_9_3'!A2776,"AAAAAG+/XXE=")</f>
        <v>#VALUE!</v>
      </c>
      <c r="DK174" t="e">
        <f>AND('Planilla_General_03-12-2012_9_3'!B2776,"AAAAAG+/XXI=")</f>
        <v>#VALUE!</v>
      </c>
      <c r="DL174" t="e">
        <f>AND('Planilla_General_03-12-2012_9_3'!C2776,"AAAAAG+/XXM=")</f>
        <v>#VALUE!</v>
      </c>
      <c r="DM174" t="e">
        <f>AND('Planilla_General_03-12-2012_9_3'!D2776,"AAAAAG+/XXQ=")</f>
        <v>#VALUE!</v>
      </c>
      <c r="DN174" t="e">
        <f>AND('Planilla_General_03-12-2012_9_3'!E2776,"AAAAAG+/XXU=")</f>
        <v>#VALUE!</v>
      </c>
      <c r="DO174" t="e">
        <f>AND('Planilla_General_03-12-2012_9_3'!F2776,"AAAAAG+/XXY=")</f>
        <v>#VALUE!</v>
      </c>
      <c r="DP174" t="e">
        <f>AND('Planilla_General_03-12-2012_9_3'!G2776,"AAAAAG+/XXc=")</f>
        <v>#VALUE!</v>
      </c>
      <c r="DQ174" t="e">
        <f>AND('Planilla_General_03-12-2012_9_3'!H2776,"AAAAAG+/XXg=")</f>
        <v>#VALUE!</v>
      </c>
      <c r="DR174" t="e">
        <f>AND('Planilla_General_03-12-2012_9_3'!I2776,"AAAAAG+/XXk=")</f>
        <v>#VALUE!</v>
      </c>
      <c r="DS174" t="e">
        <f>AND('Planilla_General_03-12-2012_9_3'!J2776,"AAAAAG+/XXo=")</f>
        <v>#VALUE!</v>
      </c>
      <c r="DT174" t="e">
        <f>AND('Planilla_General_03-12-2012_9_3'!K2776,"AAAAAG+/XXs=")</f>
        <v>#VALUE!</v>
      </c>
      <c r="DU174" t="e">
        <f>AND('Planilla_General_03-12-2012_9_3'!L2776,"AAAAAG+/XXw=")</f>
        <v>#VALUE!</v>
      </c>
      <c r="DV174" t="e">
        <f>AND('Planilla_General_03-12-2012_9_3'!M2776,"AAAAAG+/XX0=")</f>
        <v>#VALUE!</v>
      </c>
      <c r="DW174" t="e">
        <f>AND('Planilla_General_03-12-2012_9_3'!N2776,"AAAAAG+/XX4=")</f>
        <v>#VALUE!</v>
      </c>
      <c r="DX174" t="e">
        <f>AND('Planilla_General_03-12-2012_9_3'!O2776,"AAAAAG+/XX8=")</f>
        <v>#VALUE!</v>
      </c>
      <c r="DY174">
        <f>IF('Planilla_General_03-12-2012_9_3'!2777:2777,"AAAAAG+/XYA=",0)</f>
        <v>0</v>
      </c>
      <c r="DZ174" t="e">
        <f>AND('Planilla_General_03-12-2012_9_3'!A2777,"AAAAAG+/XYE=")</f>
        <v>#VALUE!</v>
      </c>
      <c r="EA174" t="e">
        <f>AND('Planilla_General_03-12-2012_9_3'!B2777,"AAAAAG+/XYI=")</f>
        <v>#VALUE!</v>
      </c>
      <c r="EB174" t="e">
        <f>AND('Planilla_General_03-12-2012_9_3'!C2777,"AAAAAG+/XYM=")</f>
        <v>#VALUE!</v>
      </c>
      <c r="EC174" t="e">
        <f>AND('Planilla_General_03-12-2012_9_3'!D2777,"AAAAAG+/XYQ=")</f>
        <v>#VALUE!</v>
      </c>
      <c r="ED174" t="e">
        <f>AND('Planilla_General_03-12-2012_9_3'!E2777,"AAAAAG+/XYU=")</f>
        <v>#VALUE!</v>
      </c>
      <c r="EE174" t="e">
        <f>AND('Planilla_General_03-12-2012_9_3'!F2777,"AAAAAG+/XYY=")</f>
        <v>#VALUE!</v>
      </c>
      <c r="EF174" t="e">
        <f>AND('Planilla_General_03-12-2012_9_3'!G2777,"AAAAAG+/XYc=")</f>
        <v>#VALUE!</v>
      </c>
      <c r="EG174" t="e">
        <f>AND('Planilla_General_03-12-2012_9_3'!H2777,"AAAAAG+/XYg=")</f>
        <v>#VALUE!</v>
      </c>
      <c r="EH174" t="e">
        <f>AND('Planilla_General_03-12-2012_9_3'!I2777,"AAAAAG+/XYk=")</f>
        <v>#VALUE!</v>
      </c>
      <c r="EI174" t="e">
        <f>AND('Planilla_General_03-12-2012_9_3'!J2777,"AAAAAG+/XYo=")</f>
        <v>#VALUE!</v>
      </c>
      <c r="EJ174" t="e">
        <f>AND('Planilla_General_03-12-2012_9_3'!K2777,"AAAAAG+/XYs=")</f>
        <v>#VALUE!</v>
      </c>
      <c r="EK174" t="e">
        <f>AND('Planilla_General_03-12-2012_9_3'!L2777,"AAAAAG+/XYw=")</f>
        <v>#VALUE!</v>
      </c>
      <c r="EL174" t="e">
        <f>AND('Planilla_General_03-12-2012_9_3'!M2777,"AAAAAG+/XY0=")</f>
        <v>#VALUE!</v>
      </c>
      <c r="EM174" t="e">
        <f>AND('Planilla_General_03-12-2012_9_3'!N2777,"AAAAAG+/XY4=")</f>
        <v>#VALUE!</v>
      </c>
      <c r="EN174" t="e">
        <f>AND('Planilla_General_03-12-2012_9_3'!O2777,"AAAAAG+/XY8=")</f>
        <v>#VALUE!</v>
      </c>
      <c r="EO174">
        <f>IF('Planilla_General_03-12-2012_9_3'!2778:2778,"AAAAAG+/XZA=",0)</f>
        <v>0</v>
      </c>
      <c r="EP174" t="e">
        <f>AND('Planilla_General_03-12-2012_9_3'!A2778,"AAAAAG+/XZE=")</f>
        <v>#VALUE!</v>
      </c>
      <c r="EQ174" t="e">
        <f>AND('Planilla_General_03-12-2012_9_3'!B2778,"AAAAAG+/XZI=")</f>
        <v>#VALUE!</v>
      </c>
      <c r="ER174" t="e">
        <f>AND('Planilla_General_03-12-2012_9_3'!C2778,"AAAAAG+/XZM=")</f>
        <v>#VALUE!</v>
      </c>
      <c r="ES174" t="e">
        <f>AND('Planilla_General_03-12-2012_9_3'!D2778,"AAAAAG+/XZQ=")</f>
        <v>#VALUE!</v>
      </c>
      <c r="ET174" t="e">
        <f>AND('Planilla_General_03-12-2012_9_3'!E2778,"AAAAAG+/XZU=")</f>
        <v>#VALUE!</v>
      </c>
      <c r="EU174" t="e">
        <f>AND('Planilla_General_03-12-2012_9_3'!F2778,"AAAAAG+/XZY=")</f>
        <v>#VALUE!</v>
      </c>
      <c r="EV174" t="e">
        <f>AND('Planilla_General_03-12-2012_9_3'!G2778,"AAAAAG+/XZc=")</f>
        <v>#VALUE!</v>
      </c>
      <c r="EW174" t="e">
        <f>AND('Planilla_General_03-12-2012_9_3'!H2778,"AAAAAG+/XZg=")</f>
        <v>#VALUE!</v>
      </c>
      <c r="EX174" t="e">
        <f>AND('Planilla_General_03-12-2012_9_3'!I2778,"AAAAAG+/XZk=")</f>
        <v>#VALUE!</v>
      </c>
      <c r="EY174" t="e">
        <f>AND('Planilla_General_03-12-2012_9_3'!J2778,"AAAAAG+/XZo=")</f>
        <v>#VALUE!</v>
      </c>
      <c r="EZ174" t="e">
        <f>AND('Planilla_General_03-12-2012_9_3'!K2778,"AAAAAG+/XZs=")</f>
        <v>#VALUE!</v>
      </c>
      <c r="FA174" t="e">
        <f>AND('Planilla_General_03-12-2012_9_3'!L2778,"AAAAAG+/XZw=")</f>
        <v>#VALUE!</v>
      </c>
      <c r="FB174" t="e">
        <f>AND('Planilla_General_03-12-2012_9_3'!M2778,"AAAAAG+/XZ0=")</f>
        <v>#VALUE!</v>
      </c>
      <c r="FC174" t="e">
        <f>AND('Planilla_General_03-12-2012_9_3'!N2778,"AAAAAG+/XZ4=")</f>
        <v>#VALUE!</v>
      </c>
      <c r="FD174" t="e">
        <f>AND('Planilla_General_03-12-2012_9_3'!O2778,"AAAAAG+/XZ8=")</f>
        <v>#VALUE!</v>
      </c>
      <c r="FE174">
        <f>IF('Planilla_General_03-12-2012_9_3'!2779:2779,"AAAAAG+/XaA=",0)</f>
        <v>0</v>
      </c>
      <c r="FF174" t="e">
        <f>AND('Planilla_General_03-12-2012_9_3'!A2779,"AAAAAG+/XaE=")</f>
        <v>#VALUE!</v>
      </c>
      <c r="FG174" t="e">
        <f>AND('Planilla_General_03-12-2012_9_3'!B2779,"AAAAAG+/XaI=")</f>
        <v>#VALUE!</v>
      </c>
      <c r="FH174" t="e">
        <f>AND('Planilla_General_03-12-2012_9_3'!C2779,"AAAAAG+/XaM=")</f>
        <v>#VALUE!</v>
      </c>
      <c r="FI174" t="e">
        <f>AND('Planilla_General_03-12-2012_9_3'!D2779,"AAAAAG+/XaQ=")</f>
        <v>#VALUE!</v>
      </c>
      <c r="FJ174" t="e">
        <f>AND('Planilla_General_03-12-2012_9_3'!E2779,"AAAAAG+/XaU=")</f>
        <v>#VALUE!</v>
      </c>
      <c r="FK174" t="e">
        <f>AND('Planilla_General_03-12-2012_9_3'!F2779,"AAAAAG+/XaY=")</f>
        <v>#VALUE!</v>
      </c>
      <c r="FL174" t="e">
        <f>AND('Planilla_General_03-12-2012_9_3'!G2779,"AAAAAG+/Xac=")</f>
        <v>#VALUE!</v>
      </c>
      <c r="FM174" t="e">
        <f>AND('Planilla_General_03-12-2012_9_3'!H2779,"AAAAAG+/Xag=")</f>
        <v>#VALUE!</v>
      </c>
      <c r="FN174" t="e">
        <f>AND('Planilla_General_03-12-2012_9_3'!I2779,"AAAAAG+/Xak=")</f>
        <v>#VALUE!</v>
      </c>
      <c r="FO174" t="e">
        <f>AND('Planilla_General_03-12-2012_9_3'!J2779,"AAAAAG+/Xao=")</f>
        <v>#VALUE!</v>
      </c>
      <c r="FP174" t="e">
        <f>AND('Planilla_General_03-12-2012_9_3'!K2779,"AAAAAG+/Xas=")</f>
        <v>#VALUE!</v>
      </c>
      <c r="FQ174" t="e">
        <f>AND('Planilla_General_03-12-2012_9_3'!L2779,"AAAAAG+/Xaw=")</f>
        <v>#VALUE!</v>
      </c>
      <c r="FR174" t="e">
        <f>AND('Planilla_General_03-12-2012_9_3'!M2779,"AAAAAG+/Xa0=")</f>
        <v>#VALUE!</v>
      </c>
      <c r="FS174" t="e">
        <f>AND('Planilla_General_03-12-2012_9_3'!N2779,"AAAAAG+/Xa4=")</f>
        <v>#VALUE!</v>
      </c>
      <c r="FT174" t="e">
        <f>AND('Planilla_General_03-12-2012_9_3'!O2779,"AAAAAG+/Xa8=")</f>
        <v>#VALUE!</v>
      </c>
      <c r="FU174">
        <f>IF('Planilla_General_03-12-2012_9_3'!2780:2780,"AAAAAG+/XbA=",0)</f>
        <v>0</v>
      </c>
      <c r="FV174" t="e">
        <f>AND('Planilla_General_03-12-2012_9_3'!A2780,"AAAAAG+/XbE=")</f>
        <v>#VALUE!</v>
      </c>
      <c r="FW174" t="e">
        <f>AND('Planilla_General_03-12-2012_9_3'!B2780,"AAAAAG+/XbI=")</f>
        <v>#VALUE!</v>
      </c>
      <c r="FX174" t="e">
        <f>AND('Planilla_General_03-12-2012_9_3'!C2780,"AAAAAG+/XbM=")</f>
        <v>#VALUE!</v>
      </c>
      <c r="FY174" t="e">
        <f>AND('Planilla_General_03-12-2012_9_3'!D2780,"AAAAAG+/XbQ=")</f>
        <v>#VALUE!</v>
      </c>
      <c r="FZ174" t="e">
        <f>AND('Planilla_General_03-12-2012_9_3'!E2780,"AAAAAG+/XbU=")</f>
        <v>#VALUE!</v>
      </c>
      <c r="GA174" t="e">
        <f>AND('Planilla_General_03-12-2012_9_3'!F2780,"AAAAAG+/XbY=")</f>
        <v>#VALUE!</v>
      </c>
      <c r="GB174" t="e">
        <f>AND('Planilla_General_03-12-2012_9_3'!G2780,"AAAAAG+/Xbc=")</f>
        <v>#VALUE!</v>
      </c>
      <c r="GC174" t="e">
        <f>AND('Planilla_General_03-12-2012_9_3'!H2780,"AAAAAG+/Xbg=")</f>
        <v>#VALUE!</v>
      </c>
      <c r="GD174" t="e">
        <f>AND('Planilla_General_03-12-2012_9_3'!I2780,"AAAAAG+/Xbk=")</f>
        <v>#VALUE!</v>
      </c>
      <c r="GE174" t="e">
        <f>AND('Planilla_General_03-12-2012_9_3'!J2780,"AAAAAG+/Xbo=")</f>
        <v>#VALUE!</v>
      </c>
      <c r="GF174" t="e">
        <f>AND('Planilla_General_03-12-2012_9_3'!K2780,"AAAAAG+/Xbs=")</f>
        <v>#VALUE!</v>
      </c>
      <c r="GG174" t="e">
        <f>AND('Planilla_General_03-12-2012_9_3'!L2780,"AAAAAG+/Xbw=")</f>
        <v>#VALUE!</v>
      </c>
      <c r="GH174" t="e">
        <f>AND('Planilla_General_03-12-2012_9_3'!M2780,"AAAAAG+/Xb0=")</f>
        <v>#VALUE!</v>
      </c>
      <c r="GI174" t="e">
        <f>AND('Planilla_General_03-12-2012_9_3'!N2780,"AAAAAG+/Xb4=")</f>
        <v>#VALUE!</v>
      </c>
      <c r="GJ174" t="e">
        <f>AND('Planilla_General_03-12-2012_9_3'!O2780,"AAAAAG+/Xb8=")</f>
        <v>#VALUE!</v>
      </c>
      <c r="GK174">
        <f>IF('Planilla_General_03-12-2012_9_3'!2781:2781,"AAAAAG+/XcA=",0)</f>
        <v>0</v>
      </c>
      <c r="GL174" t="e">
        <f>AND('Planilla_General_03-12-2012_9_3'!A2781,"AAAAAG+/XcE=")</f>
        <v>#VALUE!</v>
      </c>
      <c r="GM174" t="e">
        <f>AND('Planilla_General_03-12-2012_9_3'!B2781,"AAAAAG+/XcI=")</f>
        <v>#VALUE!</v>
      </c>
      <c r="GN174" t="e">
        <f>AND('Planilla_General_03-12-2012_9_3'!C2781,"AAAAAG+/XcM=")</f>
        <v>#VALUE!</v>
      </c>
      <c r="GO174" t="e">
        <f>AND('Planilla_General_03-12-2012_9_3'!D2781,"AAAAAG+/XcQ=")</f>
        <v>#VALUE!</v>
      </c>
      <c r="GP174" t="e">
        <f>AND('Planilla_General_03-12-2012_9_3'!E2781,"AAAAAG+/XcU=")</f>
        <v>#VALUE!</v>
      </c>
      <c r="GQ174" t="e">
        <f>AND('Planilla_General_03-12-2012_9_3'!F2781,"AAAAAG+/XcY=")</f>
        <v>#VALUE!</v>
      </c>
      <c r="GR174" t="e">
        <f>AND('Planilla_General_03-12-2012_9_3'!G2781,"AAAAAG+/Xcc=")</f>
        <v>#VALUE!</v>
      </c>
      <c r="GS174" t="e">
        <f>AND('Planilla_General_03-12-2012_9_3'!H2781,"AAAAAG+/Xcg=")</f>
        <v>#VALUE!</v>
      </c>
      <c r="GT174" t="e">
        <f>AND('Planilla_General_03-12-2012_9_3'!I2781,"AAAAAG+/Xck=")</f>
        <v>#VALUE!</v>
      </c>
      <c r="GU174" t="e">
        <f>AND('Planilla_General_03-12-2012_9_3'!J2781,"AAAAAG+/Xco=")</f>
        <v>#VALUE!</v>
      </c>
      <c r="GV174" t="e">
        <f>AND('Planilla_General_03-12-2012_9_3'!K2781,"AAAAAG+/Xcs=")</f>
        <v>#VALUE!</v>
      </c>
      <c r="GW174" t="e">
        <f>AND('Planilla_General_03-12-2012_9_3'!L2781,"AAAAAG+/Xcw=")</f>
        <v>#VALUE!</v>
      </c>
      <c r="GX174" t="e">
        <f>AND('Planilla_General_03-12-2012_9_3'!M2781,"AAAAAG+/Xc0=")</f>
        <v>#VALUE!</v>
      </c>
      <c r="GY174" t="e">
        <f>AND('Planilla_General_03-12-2012_9_3'!N2781,"AAAAAG+/Xc4=")</f>
        <v>#VALUE!</v>
      </c>
      <c r="GZ174" t="e">
        <f>AND('Planilla_General_03-12-2012_9_3'!O2781,"AAAAAG+/Xc8=")</f>
        <v>#VALUE!</v>
      </c>
      <c r="HA174">
        <f>IF('Planilla_General_03-12-2012_9_3'!2782:2782,"AAAAAG+/XdA=",0)</f>
        <v>0</v>
      </c>
      <c r="HB174" t="e">
        <f>AND('Planilla_General_03-12-2012_9_3'!A2782,"AAAAAG+/XdE=")</f>
        <v>#VALUE!</v>
      </c>
      <c r="HC174" t="e">
        <f>AND('Planilla_General_03-12-2012_9_3'!B2782,"AAAAAG+/XdI=")</f>
        <v>#VALUE!</v>
      </c>
      <c r="HD174" t="e">
        <f>AND('Planilla_General_03-12-2012_9_3'!C2782,"AAAAAG+/XdM=")</f>
        <v>#VALUE!</v>
      </c>
      <c r="HE174" t="e">
        <f>AND('Planilla_General_03-12-2012_9_3'!D2782,"AAAAAG+/XdQ=")</f>
        <v>#VALUE!</v>
      </c>
      <c r="HF174" t="e">
        <f>AND('Planilla_General_03-12-2012_9_3'!E2782,"AAAAAG+/XdU=")</f>
        <v>#VALUE!</v>
      </c>
      <c r="HG174" t="e">
        <f>AND('Planilla_General_03-12-2012_9_3'!F2782,"AAAAAG+/XdY=")</f>
        <v>#VALUE!</v>
      </c>
      <c r="HH174" t="e">
        <f>AND('Planilla_General_03-12-2012_9_3'!G2782,"AAAAAG+/Xdc=")</f>
        <v>#VALUE!</v>
      </c>
      <c r="HI174" t="e">
        <f>AND('Planilla_General_03-12-2012_9_3'!H2782,"AAAAAG+/Xdg=")</f>
        <v>#VALUE!</v>
      </c>
      <c r="HJ174" t="e">
        <f>AND('Planilla_General_03-12-2012_9_3'!I2782,"AAAAAG+/Xdk=")</f>
        <v>#VALUE!</v>
      </c>
      <c r="HK174" t="e">
        <f>AND('Planilla_General_03-12-2012_9_3'!J2782,"AAAAAG+/Xdo=")</f>
        <v>#VALUE!</v>
      </c>
      <c r="HL174" t="e">
        <f>AND('Planilla_General_03-12-2012_9_3'!K2782,"AAAAAG+/Xds=")</f>
        <v>#VALUE!</v>
      </c>
      <c r="HM174" t="e">
        <f>AND('Planilla_General_03-12-2012_9_3'!L2782,"AAAAAG+/Xdw=")</f>
        <v>#VALUE!</v>
      </c>
      <c r="HN174" t="e">
        <f>AND('Planilla_General_03-12-2012_9_3'!M2782,"AAAAAG+/Xd0=")</f>
        <v>#VALUE!</v>
      </c>
      <c r="HO174" t="e">
        <f>AND('Planilla_General_03-12-2012_9_3'!N2782,"AAAAAG+/Xd4=")</f>
        <v>#VALUE!</v>
      </c>
      <c r="HP174" t="e">
        <f>AND('Planilla_General_03-12-2012_9_3'!O2782,"AAAAAG+/Xd8=")</f>
        <v>#VALUE!</v>
      </c>
      <c r="HQ174">
        <f>IF('Planilla_General_03-12-2012_9_3'!2783:2783,"AAAAAG+/XeA=",0)</f>
        <v>0</v>
      </c>
      <c r="HR174" t="e">
        <f>AND('Planilla_General_03-12-2012_9_3'!A2783,"AAAAAG+/XeE=")</f>
        <v>#VALUE!</v>
      </c>
      <c r="HS174" t="e">
        <f>AND('Planilla_General_03-12-2012_9_3'!B2783,"AAAAAG+/XeI=")</f>
        <v>#VALUE!</v>
      </c>
      <c r="HT174" t="e">
        <f>AND('Planilla_General_03-12-2012_9_3'!C2783,"AAAAAG+/XeM=")</f>
        <v>#VALUE!</v>
      </c>
      <c r="HU174" t="e">
        <f>AND('Planilla_General_03-12-2012_9_3'!D2783,"AAAAAG+/XeQ=")</f>
        <v>#VALUE!</v>
      </c>
      <c r="HV174" t="e">
        <f>AND('Planilla_General_03-12-2012_9_3'!E2783,"AAAAAG+/XeU=")</f>
        <v>#VALUE!</v>
      </c>
      <c r="HW174" t="e">
        <f>AND('Planilla_General_03-12-2012_9_3'!F2783,"AAAAAG+/XeY=")</f>
        <v>#VALUE!</v>
      </c>
      <c r="HX174" t="e">
        <f>AND('Planilla_General_03-12-2012_9_3'!G2783,"AAAAAG+/Xec=")</f>
        <v>#VALUE!</v>
      </c>
      <c r="HY174" t="e">
        <f>AND('Planilla_General_03-12-2012_9_3'!H2783,"AAAAAG+/Xeg=")</f>
        <v>#VALUE!</v>
      </c>
      <c r="HZ174" t="e">
        <f>AND('Planilla_General_03-12-2012_9_3'!I2783,"AAAAAG+/Xek=")</f>
        <v>#VALUE!</v>
      </c>
      <c r="IA174" t="e">
        <f>AND('Planilla_General_03-12-2012_9_3'!J2783,"AAAAAG+/Xeo=")</f>
        <v>#VALUE!</v>
      </c>
      <c r="IB174" t="e">
        <f>AND('Planilla_General_03-12-2012_9_3'!K2783,"AAAAAG+/Xes=")</f>
        <v>#VALUE!</v>
      </c>
      <c r="IC174" t="e">
        <f>AND('Planilla_General_03-12-2012_9_3'!L2783,"AAAAAG+/Xew=")</f>
        <v>#VALUE!</v>
      </c>
      <c r="ID174" t="e">
        <f>AND('Planilla_General_03-12-2012_9_3'!M2783,"AAAAAG+/Xe0=")</f>
        <v>#VALUE!</v>
      </c>
      <c r="IE174" t="e">
        <f>AND('Planilla_General_03-12-2012_9_3'!N2783,"AAAAAG+/Xe4=")</f>
        <v>#VALUE!</v>
      </c>
      <c r="IF174" t="e">
        <f>AND('Planilla_General_03-12-2012_9_3'!O2783,"AAAAAG+/Xe8=")</f>
        <v>#VALUE!</v>
      </c>
      <c r="IG174">
        <f>IF('Planilla_General_03-12-2012_9_3'!2784:2784,"AAAAAG+/XfA=",0)</f>
        <v>0</v>
      </c>
      <c r="IH174" t="e">
        <f>AND('Planilla_General_03-12-2012_9_3'!A2784,"AAAAAG+/XfE=")</f>
        <v>#VALUE!</v>
      </c>
      <c r="II174" t="e">
        <f>AND('Planilla_General_03-12-2012_9_3'!B2784,"AAAAAG+/XfI=")</f>
        <v>#VALUE!</v>
      </c>
      <c r="IJ174" t="e">
        <f>AND('Planilla_General_03-12-2012_9_3'!C2784,"AAAAAG+/XfM=")</f>
        <v>#VALUE!</v>
      </c>
      <c r="IK174" t="e">
        <f>AND('Planilla_General_03-12-2012_9_3'!D2784,"AAAAAG+/XfQ=")</f>
        <v>#VALUE!</v>
      </c>
      <c r="IL174" t="e">
        <f>AND('Planilla_General_03-12-2012_9_3'!E2784,"AAAAAG+/XfU=")</f>
        <v>#VALUE!</v>
      </c>
      <c r="IM174" t="e">
        <f>AND('Planilla_General_03-12-2012_9_3'!F2784,"AAAAAG+/XfY=")</f>
        <v>#VALUE!</v>
      </c>
      <c r="IN174" t="e">
        <f>AND('Planilla_General_03-12-2012_9_3'!G2784,"AAAAAG+/Xfc=")</f>
        <v>#VALUE!</v>
      </c>
      <c r="IO174" t="e">
        <f>AND('Planilla_General_03-12-2012_9_3'!H2784,"AAAAAG+/Xfg=")</f>
        <v>#VALUE!</v>
      </c>
      <c r="IP174" t="e">
        <f>AND('Planilla_General_03-12-2012_9_3'!I2784,"AAAAAG+/Xfk=")</f>
        <v>#VALUE!</v>
      </c>
      <c r="IQ174" t="e">
        <f>AND('Planilla_General_03-12-2012_9_3'!J2784,"AAAAAG+/Xfo=")</f>
        <v>#VALUE!</v>
      </c>
      <c r="IR174" t="e">
        <f>AND('Planilla_General_03-12-2012_9_3'!K2784,"AAAAAG+/Xfs=")</f>
        <v>#VALUE!</v>
      </c>
      <c r="IS174" t="e">
        <f>AND('Planilla_General_03-12-2012_9_3'!L2784,"AAAAAG+/Xfw=")</f>
        <v>#VALUE!</v>
      </c>
      <c r="IT174" t="e">
        <f>AND('Planilla_General_03-12-2012_9_3'!M2784,"AAAAAG+/Xf0=")</f>
        <v>#VALUE!</v>
      </c>
      <c r="IU174" t="e">
        <f>AND('Planilla_General_03-12-2012_9_3'!N2784,"AAAAAG+/Xf4=")</f>
        <v>#VALUE!</v>
      </c>
      <c r="IV174" t="e">
        <f>AND('Planilla_General_03-12-2012_9_3'!O2784,"AAAAAG+/Xf8=")</f>
        <v>#VALUE!</v>
      </c>
    </row>
    <row r="175" spans="1:256" x14ac:dyDescent="0.25">
      <c r="A175" t="e">
        <f>IF('Planilla_General_03-12-2012_9_3'!2785:2785,"AAAAAGbu6QA=",0)</f>
        <v>#VALUE!</v>
      </c>
      <c r="B175" t="e">
        <f>AND('Planilla_General_03-12-2012_9_3'!A2785,"AAAAAGbu6QE=")</f>
        <v>#VALUE!</v>
      </c>
      <c r="C175" t="e">
        <f>AND('Planilla_General_03-12-2012_9_3'!B2785,"AAAAAGbu6QI=")</f>
        <v>#VALUE!</v>
      </c>
      <c r="D175" t="e">
        <f>AND('Planilla_General_03-12-2012_9_3'!C2785,"AAAAAGbu6QM=")</f>
        <v>#VALUE!</v>
      </c>
      <c r="E175" t="e">
        <f>AND('Planilla_General_03-12-2012_9_3'!D2785,"AAAAAGbu6QQ=")</f>
        <v>#VALUE!</v>
      </c>
      <c r="F175" t="e">
        <f>AND('Planilla_General_03-12-2012_9_3'!E2785,"AAAAAGbu6QU=")</f>
        <v>#VALUE!</v>
      </c>
      <c r="G175" t="e">
        <f>AND('Planilla_General_03-12-2012_9_3'!F2785,"AAAAAGbu6QY=")</f>
        <v>#VALUE!</v>
      </c>
      <c r="H175" t="e">
        <f>AND('Planilla_General_03-12-2012_9_3'!G2785,"AAAAAGbu6Qc=")</f>
        <v>#VALUE!</v>
      </c>
      <c r="I175" t="e">
        <f>AND('Planilla_General_03-12-2012_9_3'!H2785,"AAAAAGbu6Qg=")</f>
        <v>#VALUE!</v>
      </c>
      <c r="J175" t="e">
        <f>AND('Planilla_General_03-12-2012_9_3'!I2785,"AAAAAGbu6Qk=")</f>
        <v>#VALUE!</v>
      </c>
      <c r="K175" t="e">
        <f>AND('Planilla_General_03-12-2012_9_3'!J2785,"AAAAAGbu6Qo=")</f>
        <v>#VALUE!</v>
      </c>
      <c r="L175" t="e">
        <f>AND('Planilla_General_03-12-2012_9_3'!K2785,"AAAAAGbu6Qs=")</f>
        <v>#VALUE!</v>
      </c>
      <c r="M175" t="e">
        <f>AND('Planilla_General_03-12-2012_9_3'!L2785,"AAAAAGbu6Qw=")</f>
        <v>#VALUE!</v>
      </c>
      <c r="N175" t="e">
        <f>AND('Planilla_General_03-12-2012_9_3'!M2785,"AAAAAGbu6Q0=")</f>
        <v>#VALUE!</v>
      </c>
      <c r="O175" t="e">
        <f>AND('Planilla_General_03-12-2012_9_3'!N2785,"AAAAAGbu6Q4=")</f>
        <v>#VALUE!</v>
      </c>
      <c r="P175" t="e">
        <f>AND('Planilla_General_03-12-2012_9_3'!O2785,"AAAAAGbu6Q8=")</f>
        <v>#VALUE!</v>
      </c>
      <c r="Q175">
        <f>IF('Planilla_General_03-12-2012_9_3'!2786:2786,"AAAAAGbu6RA=",0)</f>
        <v>0</v>
      </c>
      <c r="R175" t="e">
        <f>AND('Planilla_General_03-12-2012_9_3'!A2786,"AAAAAGbu6RE=")</f>
        <v>#VALUE!</v>
      </c>
      <c r="S175" t="e">
        <f>AND('Planilla_General_03-12-2012_9_3'!B2786,"AAAAAGbu6RI=")</f>
        <v>#VALUE!</v>
      </c>
      <c r="T175" t="e">
        <f>AND('Planilla_General_03-12-2012_9_3'!C2786,"AAAAAGbu6RM=")</f>
        <v>#VALUE!</v>
      </c>
      <c r="U175" t="e">
        <f>AND('Planilla_General_03-12-2012_9_3'!D2786,"AAAAAGbu6RQ=")</f>
        <v>#VALUE!</v>
      </c>
      <c r="V175" t="e">
        <f>AND('Planilla_General_03-12-2012_9_3'!E2786,"AAAAAGbu6RU=")</f>
        <v>#VALUE!</v>
      </c>
      <c r="W175" t="e">
        <f>AND('Planilla_General_03-12-2012_9_3'!F2786,"AAAAAGbu6RY=")</f>
        <v>#VALUE!</v>
      </c>
      <c r="X175" t="e">
        <f>AND('Planilla_General_03-12-2012_9_3'!G2786,"AAAAAGbu6Rc=")</f>
        <v>#VALUE!</v>
      </c>
      <c r="Y175" t="e">
        <f>AND('Planilla_General_03-12-2012_9_3'!H2786,"AAAAAGbu6Rg=")</f>
        <v>#VALUE!</v>
      </c>
      <c r="Z175" t="e">
        <f>AND('Planilla_General_03-12-2012_9_3'!I2786,"AAAAAGbu6Rk=")</f>
        <v>#VALUE!</v>
      </c>
      <c r="AA175" t="e">
        <f>AND('Planilla_General_03-12-2012_9_3'!J2786,"AAAAAGbu6Ro=")</f>
        <v>#VALUE!</v>
      </c>
      <c r="AB175" t="e">
        <f>AND('Planilla_General_03-12-2012_9_3'!K2786,"AAAAAGbu6Rs=")</f>
        <v>#VALUE!</v>
      </c>
      <c r="AC175" t="e">
        <f>AND('Planilla_General_03-12-2012_9_3'!L2786,"AAAAAGbu6Rw=")</f>
        <v>#VALUE!</v>
      </c>
      <c r="AD175" t="e">
        <f>AND('Planilla_General_03-12-2012_9_3'!M2786,"AAAAAGbu6R0=")</f>
        <v>#VALUE!</v>
      </c>
      <c r="AE175" t="e">
        <f>AND('Planilla_General_03-12-2012_9_3'!N2786,"AAAAAGbu6R4=")</f>
        <v>#VALUE!</v>
      </c>
      <c r="AF175" t="e">
        <f>AND('Planilla_General_03-12-2012_9_3'!O2786,"AAAAAGbu6R8=")</f>
        <v>#VALUE!</v>
      </c>
      <c r="AG175">
        <f>IF('Planilla_General_03-12-2012_9_3'!2787:2787,"AAAAAGbu6SA=",0)</f>
        <v>0</v>
      </c>
      <c r="AH175" t="e">
        <f>AND('Planilla_General_03-12-2012_9_3'!A2787,"AAAAAGbu6SE=")</f>
        <v>#VALUE!</v>
      </c>
      <c r="AI175" t="e">
        <f>AND('Planilla_General_03-12-2012_9_3'!B2787,"AAAAAGbu6SI=")</f>
        <v>#VALUE!</v>
      </c>
      <c r="AJ175" t="e">
        <f>AND('Planilla_General_03-12-2012_9_3'!C2787,"AAAAAGbu6SM=")</f>
        <v>#VALUE!</v>
      </c>
      <c r="AK175" t="e">
        <f>AND('Planilla_General_03-12-2012_9_3'!D2787,"AAAAAGbu6SQ=")</f>
        <v>#VALUE!</v>
      </c>
      <c r="AL175" t="e">
        <f>AND('Planilla_General_03-12-2012_9_3'!E2787,"AAAAAGbu6SU=")</f>
        <v>#VALUE!</v>
      </c>
      <c r="AM175" t="e">
        <f>AND('Planilla_General_03-12-2012_9_3'!F2787,"AAAAAGbu6SY=")</f>
        <v>#VALUE!</v>
      </c>
      <c r="AN175" t="e">
        <f>AND('Planilla_General_03-12-2012_9_3'!G2787,"AAAAAGbu6Sc=")</f>
        <v>#VALUE!</v>
      </c>
      <c r="AO175" t="e">
        <f>AND('Planilla_General_03-12-2012_9_3'!H2787,"AAAAAGbu6Sg=")</f>
        <v>#VALUE!</v>
      </c>
      <c r="AP175" t="e">
        <f>AND('Planilla_General_03-12-2012_9_3'!I2787,"AAAAAGbu6Sk=")</f>
        <v>#VALUE!</v>
      </c>
      <c r="AQ175" t="e">
        <f>AND('Planilla_General_03-12-2012_9_3'!J2787,"AAAAAGbu6So=")</f>
        <v>#VALUE!</v>
      </c>
      <c r="AR175" t="e">
        <f>AND('Planilla_General_03-12-2012_9_3'!K2787,"AAAAAGbu6Ss=")</f>
        <v>#VALUE!</v>
      </c>
      <c r="AS175" t="e">
        <f>AND('Planilla_General_03-12-2012_9_3'!L2787,"AAAAAGbu6Sw=")</f>
        <v>#VALUE!</v>
      </c>
      <c r="AT175" t="e">
        <f>AND('Planilla_General_03-12-2012_9_3'!M2787,"AAAAAGbu6S0=")</f>
        <v>#VALUE!</v>
      </c>
      <c r="AU175" t="e">
        <f>AND('Planilla_General_03-12-2012_9_3'!N2787,"AAAAAGbu6S4=")</f>
        <v>#VALUE!</v>
      </c>
      <c r="AV175" t="e">
        <f>AND('Planilla_General_03-12-2012_9_3'!O2787,"AAAAAGbu6S8=")</f>
        <v>#VALUE!</v>
      </c>
      <c r="AW175">
        <f>IF('Planilla_General_03-12-2012_9_3'!2788:2788,"AAAAAGbu6TA=",0)</f>
        <v>0</v>
      </c>
      <c r="AX175" t="e">
        <f>AND('Planilla_General_03-12-2012_9_3'!A2788,"AAAAAGbu6TE=")</f>
        <v>#VALUE!</v>
      </c>
      <c r="AY175" t="e">
        <f>AND('Planilla_General_03-12-2012_9_3'!B2788,"AAAAAGbu6TI=")</f>
        <v>#VALUE!</v>
      </c>
      <c r="AZ175" t="e">
        <f>AND('Planilla_General_03-12-2012_9_3'!C2788,"AAAAAGbu6TM=")</f>
        <v>#VALUE!</v>
      </c>
      <c r="BA175" t="e">
        <f>AND('Planilla_General_03-12-2012_9_3'!D2788,"AAAAAGbu6TQ=")</f>
        <v>#VALUE!</v>
      </c>
      <c r="BB175" t="e">
        <f>AND('Planilla_General_03-12-2012_9_3'!E2788,"AAAAAGbu6TU=")</f>
        <v>#VALUE!</v>
      </c>
      <c r="BC175" t="e">
        <f>AND('Planilla_General_03-12-2012_9_3'!F2788,"AAAAAGbu6TY=")</f>
        <v>#VALUE!</v>
      </c>
      <c r="BD175" t="e">
        <f>AND('Planilla_General_03-12-2012_9_3'!G2788,"AAAAAGbu6Tc=")</f>
        <v>#VALUE!</v>
      </c>
      <c r="BE175" t="e">
        <f>AND('Planilla_General_03-12-2012_9_3'!H2788,"AAAAAGbu6Tg=")</f>
        <v>#VALUE!</v>
      </c>
      <c r="BF175" t="e">
        <f>AND('Planilla_General_03-12-2012_9_3'!I2788,"AAAAAGbu6Tk=")</f>
        <v>#VALUE!</v>
      </c>
      <c r="BG175" t="e">
        <f>AND('Planilla_General_03-12-2012_9_3'!J2788,"AAAAAGbu6To=")</f>
        <v>#VALUE!</v>
      </c>
      <c r="BH175" t="e">
        <f>AND('Planilla_General_03-12-2012_9_3'!K2788,"AAAAAGbu6Ts=")</f>
        <v>#VALUE!</v>
      </c>
      <c r="BI175" t="e">
        <f>AND('Planilla_General_03-12-2012_9_3'!L2788,"AAAAAGbu6Tw=")</f>
        <v>#VALUE!</v>
      </c>
      <c r="BJ175" t="e">
        <f>AND('Planilla_General_03-12-2012_9_3'!M2788,"AAAAAGbu6T0=")</f>
        <v>#VALUE!</v>
      </c>
      <c r="BK175" t="e">
        <f>AND('Planilla_General_03-12-2012_9_3'!N2788,"AAAAAGbu6T4=")</f>
        <v>#VALUE!</v>
      </c>
      <c r="BL175" t="e">
        <f>AND('Planilla_General_03-12-2012_9_3'!O2788,"AAAAAGbu6T8=")</f>
        <v>#VALUE!</v>
      </c>
      <c r="BM175">
        <f>IF('Planilla_General_03-12-2012_9_3'!2789:2789,"AAAAAGbu6UA=",0)</f>
        <v>0</v>
      </c>
      <c r="BN175" t="e">
        <f>AND('Planilla_General_03-12-2012_9_3'!A2789,"AAAAAGbu6UE=")</f>
        <v>#VALUE!</v>
      </c>
      <c r="BO175" t="e">
        <f>AND('Planilla_General_03-12-2012_9_3'!B2789,"AAAAAGbu6UI=")</f>
        <v>#VALUE!</v>
      </c>
      <c r="BP175" t="e">
        <f>AND('Planilla_General_03-12-2012_9_3'!C2789,"AAAAAGbu6UM=")</f>
        <v>#VALUE!</v>
      </c>
      <c r="BQ175" t="e">
        <f>AND('Planilla_General_03-12-2012_9_3'!D2789,"AAAAAGbu6UQ=")</f>
        <v>#VALUE!</v>
      </c>
      <c r="BR175" t="e">
        <f>AND('Planilla_General_03-12-2012_9_3'!E2789,"AAAAAGbu6UU=")</f>
        <v>#VALUE!</v>
      </c>
      <c r="BS175" t="e">
        <f>AND('Planilla_General_03-12-2012_9_3'!F2789,"AAAAAGbu6UY=")</f>
        <v>#VALUE!</v>
      </c>
      <c r="BT175" t="e">
        <f>AND('Planilla_General_03-12-2012_9_3'!G2789,"AAAAAGbu6Uc=")</f>
        <v>#VALUE!</v>
      </c>
      <c r="BU175" t="e">
        <f>AND('Planilla_General_03-12-2012_9_3'!H2789,"AAAAAGbu6Ug=")</f>
        <v>#VALUE!</v>
      </c>
      <c r="BV175" t="e">
        <f>AND('Planilla_General_03-12-2012_9_3'!I2789,"AAAAAGbu6Uk=")</f>
        <v>#VALUE!</v>
      </c>
      <c r="BW175" t="e">
        <f>AND('Planilla_General_03-12-2012_9_3'!J2789,"AAAAAGbu6Uo=")</f>
        <v>#VALUE!</v>
      </c>
      <c r="BX175" t="e">
        <f>AND('Planilla_General_03-12-2012_9_3'!K2789,"AAAAAGbu6Us=")</f>
        <v>#VALUE!</v>
      </c>
      <c r="BY175" t="e">
        <f>AND('Planilla_General_03-12-2012_9_3'!L2789,"AAAAAGbu6Uw=")</f>
        <v>#VALUE!</v>
      </c>
      <c r="BZ175" t="e">
        <f>AND('Planilla_General_03-12-2012_9_3'!M2789,"AAAAAGbu6U0=")</f>
        <v>#VALUE!</v>
      </c>
      <c r="CA175" t="e">
        <f>AND('Planilla_General_03-12-2012_9_3'!N2789,"AAAAAGbu6U4=")</f>
        <v>#VALUE!</v>
      </c>
      <c r="CB175" t="e">
        <f>AND('Planilla_General_03-12-2012_9_3'!O2789,"AAAAAGbu6U8=")</f>
        <v>#VALUE!</v>
      </c>
      <c r="CC175">
        <f>IF('Planilla_General_03-12-2012_9_3'!2790:2790,"AAAAAGbu6VA=",0)</f>
        <v>0</v>
      </c>
      <c r="CD175" t="e">
        <f>AND('Planilla_General_03-12-2012_9_3'!A2790,"AAAAAGbu6VE=")</f>
        <v>#VALUE!</v>
      </c>
      <c r="CE175" t="e">
        <f>AND('Planilla_General_03-12-2012_9_3'!B2790,"AAAAAGbu6VI=")</f>
        <v>#VALUE!</v>
      </c>
      <c r="CF175" t="e">
        <f>AND('Planilla_General_03-12-2012_9_3'!C2790,"AAAAAGbu6VM=")</f>
        <v>#VALUE!</v>
      </c>
      <c r="CG175" t="e">
        <f>AND('Planilla_General_03-12-2012_9_3'!D2790,"AAAAAGbu6VQ=")</f>
        <v>#VALUE!</v>
      </c>
      <c r="CH175" t="e">
        <f>AND('Planilla_General_03-12-2012_9_3'!E2790,"AAAAAGbu6VU=")</f>
        <v>#VALUE!</v>
      </c>
      <c r="CI175" t="e">
        <f>AND('Planilla_General_03-12-2012_9_3'!F2790,"AAAAAGbu6VY=")</f>
        <v>#VALUE!</v>
      </c>
      <c r="CJ175" t="e">
        <f>AND('Planilla_General_03-12-2012_9_3'!G2790,"AAAAAGbu6Vc=")</f>
        <v>#VALUE!</v>
      </c>
      <c r="CK175" t="e">
        <f>AND('Planilla_General_03-12-2012_9_3'!H2790,"AAAAAGbu6Vg=")</f>
        <v>#VALUE!</v>
      </c>
      <c r="CL175" t="e">
        <f>AND('Planilla_General_03-12-2012_9_3'!I2790,"AAAAAGbu6Vk=")</f>
        <v>#VALUE!</v>
      </c>
      <c r="CM175" t="e">
        <f>AND('Planilla_General_03-12-2012_9_3'!J2790,"AAAAAGbu6Vo=")</f>
        <v>#VALUE!</v>
      </c>
      <c r="CN175" t="e">
        <f>AND('Planilla_General_03-12-2012_9_3'!K2790,"AAAAAGbu6Vs=")</f>
        <v>#VALUE!</v>
      </c>
      <c r="CO175" t="e">
        <f>AND('Planilla_General_03-12-2012_9_3'!L2790,"AAAAAGbu6Vw=")</f>
        <v>#VALUE!</v>
      </c>
      <c r="CP175" t="e">
        <f>AND('Planilla_General_03-12-2012_9_3'!M2790,"AAAAAGbu6V0=")</f>
        <v>#VALUE!</v>
      </c>
      <c r="CQ175" t="e">
        <f>AND('Planilla_General_03-12-2012_9_3'!N2790,"AAAAAGbu6V4=")</f>
        <v>#VALUE!</v>
      </c>
      <c r="CR175" t="e">
        <f>AND('Planilla_General_03-12-2012_9_3'!O2790,"AAAAAGbu6V8=")</f>
        <v>#VALUE!</v>
      </c>
      <c r="CS175">
        <f>IF('Planilla_General_03-12-2012_9_3'!2791:2791,"AAAAAGbu6WA=",0)</f>
        <v>0</v>
      </c>
      <c r="CT175" t="e">
        <f>AND('Planilla_General_03-12-2012_9_3'!A2791,"AAAAAGbu6WE=")</f>
        <v>#VALUE!</v>
      </c>
      <c r="CU175" t="e">
        <f>AND('Planilla_General_03-12-2012_9_3'!B2791,"AAAAAGbu6WI=")</f>
        <v>#VALUE!</v>
      </c>
      <c r="CV175" t="e">
        <f>AND('Planilla_General_03-12-2012_9_3'!C2791,"AAAAAGbu6WM=")</f>
        <v>#VALUE!</v>
      </c>
      <c r="CW175" t="e">
        <f>AND('Planilla_General_03-12-2012_9_3'!D2791,"AAAAAGbu6WQ=")</f>
        <v>#VALUE!</v>
      </c>
      <c r="CX175" t="e">
        <f>AND('Planilla_General_03-12-2012_9_3'!E2791,"AAAAAGbu6WU=")</f>
        <v>#VALUE!</v>
      </c>
      <c r="CY175" t="e">
        <f>AND('Planilla_General_03-12-2012_9_3'!F2791,"AAAAAGbu6WY=")</f>
        <v>#VALUE!</v>
      </c>
      <c r="CZ175" t="e">
        <f>AND('Planilla_General_03-12-2012_9_3'!G2791,"AAAAAGbu6Wc=")</f>
        <v>#VALUE!</v>
      </c>
      <c r="DA175" t="e">
        <f>AND('Planilla_General_03-12-2012_9_3'!H2791,"AAAAAGbu6Wg=")</f>
        <v>#VALUE!</v>
      </c>
      <c r="DB175" t="e">
        <f>AND('Planilla_General_03-12-2012_9_3'!I2791,"AAAAAGbu6Wk=")</f>
        <v>#VALUE!</v>
      </c>
      <c r="DC175" t="e">
        <f>AND('Planilla_General_03-12-2012_9_3'!J2791,"AAAAAGbu6Wo=")</f>
        <v>#VALUE!</v>
      </c>
      <c r="DD175" t="e">
        <f>AND('Planilla_General_03-12-2012_9_3'!K2791,"AAAAAGbu6Ws=")</f>
        <v>#VALUE!</v>
      </c>
      <c r="DE175" t="e">
        <f>AND('Planilla_General_03-12-2012_9_3'!L2791,"AAAAAGbu6Ww=")</f>
        <v>#VALUE!</v>
      </c>
      <c r="DF175" t="e">
        <f>AND('Planilla_General_03-12-2012_9_3'!M2791,"AAAAAGbu6W0=")</f>
        <v>#VALUE!</v>
      </c>
      <c r="DG175" t="e">
        <f>AND('Planilla_General_03-12-2012_9_3'!N2791,"AAAAAGbu6W4=")</f>
        <v>#VALUE!</v>
      </c>
      <c r="DH175" t="e">
        <f>AND('Planilla_General_03-12-2012_9_3'!O2791,"AAAAAGbu6W8=")</f>
        <v>#VALUE!</v>
      </c>
      <c r="DI175">
        <f>IF('Planilla_General_03-12-2012_9_3'!2792:2792,"AAAAAGbu6XA=",0)</f>
        <v>0</v>
      </c>
      <c r="DJ175" t="e">
        <f>AND('Planilla_General_03-12-2012_9_3'!A2792,"AAAAAGbu6XE=")</f>
        <v>#VALUE!</v>
      </c>
      <c r="DK175" t="e">
        <f>AND('Planilla_General_03-12-2012_9_3'!B2792,"AAAAAGbu6XI=")</f>
        <v>#VALUE!</v>
      </c>
      <c r="DL175" t="e">
        <f>AND('Planilla_General_03-12-2012_9_3'!C2792,"AAAAAGbu6XM=")</f>
        <v>#VALUE!</v>
      </c>
      <c r="DM175" t="e">
        <f>AND('Planilla_General_03-12-2012_9_3'!D2792,"AAAAAGbu6XQ=")</f>
        <v>#VALUE!</v>
      </c>
      <c r="DN175" t="e">
        <f>AND('Planilla_General_03-12-2012_9_3'!E2792,"AAAAAGbu6XU=")</f>
        <v>#VALUE!</v>
      </c>
      <c r="DO175" t="e">
        <f>AND('Planilla_General_03-12-2012_9_3'!F2792,"AAAAAGbu6XY=")</f>
        <v>#VALUE!</v>
      </c>
      <c r="DP175" t="e">
        <f>AND('Planilla_General_03-12-2012_9_3'!G2792,"AAAAAGbu6Xc=")</f>
        <v>#VALUE!</v>
      </c>
      <c r="DQ175" t="e">
        <f>AND('Planilla_General_03-12-2012_9_3'!H2792,"AAAAAGbu6Xg=")</f>
        <v>#VALUE!</v>
      </c>
      <c r="DR175" t="e">
        <f>AND('Planilla_General_03-12-2012_9_3'!I2792,"AAAAAGbu6Xk=")</f>
        <v>#VALUE!</v>
      </c>
      <c r="DS175" t="e">
        <f>AND('Planilla_General_03-12-2012_9_3'!J2792,"AAAAAGbu6Xo=")</f>
        <v>#VALUE!</v>
      </c>
      <c r="DT175" t="e">
        <f>AND('Planilla_General_03-12-2012_9_3'!K2792,"AAAAAGbu6Xs=")</f>
        <v>#VALUE!</v>
      </c>
      <c r="DU175" t="e">
        <f>AND('Planilla_General_03-12-2012_9_3'!L2792,"AAAAAGbu6Xw=")</f>
        <v>#VALUE!</v>
      </c>
      <c r="DV175" t="e">
        <f>AND('Planilla_General_03-12-2012_9_3'!M2792,"AAAAAGbu6X0=")</f>
        <v>#VALUE!</v>
      </c>
      <c r="DW175" t="e">
        <f>AND('Planilla_General_03-12-2012_9_3'!N2792,"AAAAAGbu6X4=")</f>
        <v>#VALUE!</v>
      </c>
      <c r="DX175" t="e">
        <f>AND('Planilla_General_03-12-2012_9_3'!O2792,"AAAAAGbu6X8=")</f>
        <v>#VALUE!</v>
      </c>
      <c r="DY175">
        <f>IF('Planilla_General_03-12-2012_9_3'!2793:2793,"AAAAAGbu6YA=",0)</f>
        <v>0</v>
      </c>
      <c r="DZ175" t="e">
        <f>AND('Planilla_General_03-12-2012_9_3'!A2793,"AAAAAGbu6YE=")</f>
        <v>#VALUE!</v>
      </c>
      <c r="EA175" t="e">
        <f>AND('Planilla_General_03-12-2012_9_3'!B2793,"AAAAAGbu6YI=")</f>
        <v>#VALUE!</v>
      </c>
      <c r="EB175" t="e">
        <f>AND('Planilla_General_03-12-2012_9_3'!C2793,"AAAAAGbu6YM=")</f>
        <v>#VALUE!</v>
      </c>
      <c r="EC175" t="e">
        <f>AND('Planilla_General_03-12-2012_9_3'!D2793,"AAAAAGbu6YQ=")</f>
        <v>#VALUE!</v>
      </c>
      <c r="ED175" t="e">
        <f>AND('Planilla_General_03-12-2012_9_3'!E2793,"AAAAAGbu6YU=")</f>
        <v>#VALUE!</v>
      </c>
      <c r="EE175" t="e">
        <f>AND('Planilla_General_03-12-2012_9_3'!F2793,"AAAAAGbu6YY=")</f>
        <v>#VALUE!</v>
      </c>
      <c r="EF175" t="e">
        <f>AND('Planilla_General_03-12-2012_9_3'!G2793,"AAAAAGbu6Yc=")</f>
        <v>#VALUE!</v>
      </c>
      <c r="EG175" t="e">
        <f>AND('Planilla_General_03-12-2012_9_3'!H2793,"AAAAAGbu6Yg=")</f>
        <v>#VALUE!</v>
      </c>
      <c r="EH175" t="e">
        <f>AND('Planilla_General_03-12-2012_9_3'!I2793,"AAAAAGbu6Yk=")</f>
        <v>#VALUE!</v>
      </c>
      <c r="EI175" t="e">
        <f>AND('Planilla_General_03-12-2012_9_3'!J2793,"AAAAAGbu6Yo=")</f>
        <v>#VALUE!</v>
      </c>
      <c r="EJ175" t="e">
        <f>AND('Planilla_General_03-12-2012_9_3'!K2793,"AAAAAGbu6Ys=")</f>
        <v>#VALUE!</v>
      </c>
      <c r="EK175" t="e">
        <f>AND('Planilla_General_03-12-2012_9_3'!L2793,"AAAAAGbu6Yw=")</f>
        <v>#VALUE!</v>
      </c>
      <c r="EL175" t="e">
        <f>AND('Planilla_General_03-12-2012_9_3'!M2793,"AAAAAGbu6Y0=")</f>
        <v>#VALUE!</v>
      </c>
      <c r="EM175" t="e">
        <f>AND('Planilla_General_03-12-2012_9_3'!N2793,"AAAAAGbu6Y4=")</f>
        <v>#VALUE!</v>
      </c>
      <c r="EN175" t="e">
        <f>AND('Planilla_General_03-12-2012_9_3'!O2793,"AAAAAGbu6Y8=")</f>
        <v>#VALUE!</v>
      </c>
      <c r="EO175">
        <f>IF('Planilla_General_03-12-2012_9_3'!2794:2794,"AAAAAGbu6ZA=",0)</f>
        <v>0</v>
      </c>
      <c r="EP175" t="e">
        <f>AND('Planilla_General_03-12-2012_9_3'!A2794,"AAAAAGbu6ZE=")</f>
        <v>#VALUE!</v>
      </c>
      <c r="EQ175" t="e">
        <f>AND('Planilla_General_03-12-2012_9_3'!B2794,"AAAAAGbu6ZI=")</f>
        <v>#VALUE!</v>
      </c>
      <c r="ER175" t="e">
        <f>AND('Planilla_General_03-12-2012_9_3'!C2794,"AAAAAGbu6ZM=")</f>
        <v>#VALUE!</v>
      </c>
      <c r="ES175" t="e">
        <f>AND('Planilla_General_03-12-2012_9_3'!D2794,"AAAAAGbu6ZQ=")</f>
        <v>#VALUE!</v>
      </c>
      <c r="ET175" t="e">
        <f>AND('Planilla_General_03-12-2012_9_3'!E2794,"AAAAAGbu6ZU=")</f>
        <v>#VALUE!</v>
      </c>
      <c r="EU175" t="e">
        <f>AND('Planilla_General_03-12-2012_9_3'!F2794,"AAAAAGbu6ZY=")</f>
        <v>#VALUE!</v>
      </c>
      <c r="EV175" t="e">
        <f>AND('Planilla_General_03-12-2012_9_3'!G2794,"AAAAAGbu6Zc=")</f>
        <v>#VALUE!</v>
      </c>
      <c r="EW175" t="e">
        <f>AND('Planilla_General_03-12-2012_9_3'!H2794,"AAAAAGbu6Zg=")</f>
        <v>#VALUE!</v>
      </c>
      <c r="EX175" t="e">
        <f>AND('Planilla_General_03-12-2012_9_3'!I2794,"AAAAAGbu6Zk=")</f>
        <v>#VALUE!</v>
      </c>
      <c r="EY175" t="e">
        <f>AND('Planilla_General_03-12-2012_9_3'!J2794,"AAAAAGbu6Zo=")</f>
        <v>#VALUE!</v>
      </c>
      <c r="EZ175" t="e">
        <f>AND('Planilla_General_03-12-2012_9_3'!K2794,"AAAAAGbu6Zs=")</f>
        <v>#VALUE!</v>
      </c>
      <c r="FA175" t="e">
        <f>AND('Planilla_General_03-12-2012_9_3'!L2794,"AAAAAGbu6Zw=")</f>
        <v>#VALUE!</v>
      </c>
      <c r="FB175" t="e">
        <f>AND('Planilla_General_03-12-2012_9_3'!M2794,"AAAAAGbu6Z0=")</f>
        <v>#VALUE!</v>
      </c>
      <c r="FC175" t="e">
        <f>AND('Planilla_General_03-12-2012_9_3'!N2794,"AAAAAGbu6Z4=")</f>
        <v>#VALUE!</v>
      </c>
      <c r="FD175" t="e">
        <f>AND('Planilla_General_03-12-2012_9_3'!O2794,"AAAAAGbu6Z8=")</f>
        <v>#VALUE!</v>
      </c>
      <c r="FE175">
        <f>IF('Planilla_General_03-12-2012_9_3'!2795:2795,"AAAAAGbu6aA=",0)</f>
        <v>0</v>
      </c>
      <c r="FF175" t="e">
        <f>AND('Planilla_General_03-12-2012_9_3'!A2795,"AAAAAGbu6aE=")</f>
        <v>#VALUE!</v>
      </c>
      <c r="FG175" t="e">
        <f>AND('Planilla_General_03-12-2012_9_3'!B2795,"AAAAAGbu6aI=")</f>
        <v>#VALUE!</v>
      </c>
      <c r="FH175" t="e">
        <f>AND('Planilla_General_03-12-2012_9_3'!C2795,"AAAAAGbu6aM=")</f>
        <v>#VALUE!</v>
      </c>
      <c r="FI175" t="e">
        <f>AND('Planilla_General_03-12-2012_9_3'!D2795,"AAAAAGbu6aQ=")</f>
        <v>#VALUE!</v>
      </c>
      <c r="FJ175" t="e">
        <f>AND('Planilla_General_03-12-2012_9_3'!E2795,"AAAAAGbu6aU=")</f>
        <v>#VALUE!</v>
      </c>
      <c r="FK175" t="e">
        <f>AND('Planilla_General_03-12-2012_9_3'!F2795,"AAAAAGbu6aY=")</f>
        <v>#VALUE!</v>
      </c>
      <c r="FL175" t="e">
        <f>AND('Planilla_General_03-12-2012_9_3'!G2795,"AAAAAGbu6ac=")</f>
        <v>#VALUE!</v>
      </c>
      <c r="FM175" t="e">
        <f>AND('Planilla_General_03-12-2012_9_3'!H2795,"AAAAAGbu6ag=")</f>
        <v>#VALUE!</v>
      </c>
      <c r="FN175" t="e">
        <f>AND('Planilla_General_03-12-2012_9_3'!I2795,"AAAAAGbu6ak=")</f>
        <v>#VALUE!</v>
      </c>
      <c r="FO175" t="e">
        <f>AND('Planilla_General_03-12-2012_9_3'!J2795,"AAAAAGbu6ao=")</f>
        <v>#VALUE!</v>
      </c>
      <c r="FP175" t="e">
        <f>AND('Planilla_General_03-12-2012_9_3'!K2795,"AAAAAGbu6as=")</f>
        <v>#VALUE!</v>
      </c>
      <c r="FQ175" t="e">
        <f>AND('Planilla_General_03-12-2012_9_3'!L2795,"AAAAAGbu6aw=")</f>
        <v>#VALUE!</v>
      </c>
      <c r="FR175" t="e">
        <f>AND('Planilla_General_03-12-2012_9_3'!M2795,"AAAAAGbu6a0=")</f>
        <v>#VALUE!</v>
      </c>
      <c r="FS175" t="e">
        <f>AND('Planilla_General_03-12-2012_9_3'!N2795,"AAAAAGbu6a4=")</f>
        <v>#VALUE!</v>
      </c>
      <c r="FT175" t="e">
        <f>AND('Planilla_General_03-12-2012_9_3'!O2795,"AAAAAGbu6a8=")</f>
        <v>#VALUE!</v>
      </c>
      <c r="FU175">
        <f>IF('Planilla_General_03-12-2012_9_3'!2796:2796,"AAAAAGbu6bA=",0)</f>
        <v>0</v>
      </c>
      <c r="FV175" t="e">
        <f>AND('Planilla_General_03-12-2012_9_3'!A2796,"AAAAAGbu6bE=")</f>
        <v>#VALUE!</v>
      </c>
      <c r="FW175" t="e">
        <f>AND('Planilla_General_03-12-2012_9_3'!B2796,"AAAAAGbu6bI=")</f>
        <v>#VALUE!</v>
      </c>
      <c r="FX175" t="e">
        <f>AND('Planilla_General_03-12-2012_9_3'!C2796,"AAAAAGbu6bM=")</f>
        <v>#VALUE!</v>
      </c>
      <c r="FY175" t="e">
        <f>AND('Planilla_General_03-12-2012_9_3'!D2796,"AAAAAGbu6bQ=")</f>
        <v>#VALUE!</v>
      </c>
      <c r="FZ175" t="e">
        <f>AND('Planilla_General_03-12-2012_9_3'!E2796,"AAAAAGbu6bU=")</f>
        <v>#VALUE!</v>
      </c>
      <c r="GA175" t="e">
        <f>AND('Planilla_General_03-12-2012_9_3'!F2796,"AAAAAGbu6bY=")</f>
        <v>#VALUE!</v>
      </c>
      <c r="GB175" t="e">
        <f>AND('Planilla_General_03-12-2012_9_3'!G2796,"AAAAAGbu6bc=")</f>
        <v>#VALUE!</v>
      </c>
      <c r="GC175" t="e">
        <f>AND('Planilla_General_03-12-2012_9_3'!H2796,"AAAAAGbu6bg=")</f>
        <v>#VALUE!</v>
      </c>
      <c r="GD175" t="e">
        <f>AND('Planilla_General_03-12-2012_9_3'!I2796,"AAAAAGbu6bk=")</f>
        <v>#VALUE!</v>
      </c>
      <c r="GE175" t="e">
        <f>AND('Planilla_General_03-12-2012_9_3'!J2796,"AAAAAGbu6bo=")</f>
        <v>#VALUE!</v>
      </c>
      <c r="GF175" t="e">
        <f>AND('Planilla_General_03-12-2012_9_3'!K2796,"AAAAAGbu6bs=")</f>
        <v>#VALUE!</v>
      </c>
      <c r="GG175" t="e">
        <f>AND('Planilla_General_03-12-2012_9_3'!L2796,"AAAAAGbu6bw=")</f>
        <v>#VALUE!</v>
      </c>
      <c r="GH175" t="e">
        <f>AND('Planilla_General_03-12-2012_9_3'!M2796,"AAAAAGbu6b0=")</f>
        <v>#VALUE!</v>
      </c>
      <c r="GI175" t="e">
        <f>AND('Planilla_General_03-12-2012_9_3'!N2796,"AAAAAGbu6b4=")</f>
        <v>#VALUE!</v>
      </c>
      <c r="GJ175" t="e">
        <f>AND('Planilla_General_03-12-2012_9_3'!O2796,"AAAAAGbu6b8=")</f>
        <v>#VALUE!</v>
      </c>
      <c r="GK175">
        <f>IF('Planilla_General_03-12-2012_9_3'!2797:2797,"AAAAAGbu6cA=",0)</f>
        <v>0</v>
      </c>
      <c r="GL175" t="e">
        <f>AND('Planilla_General_03-12-2012_9_3'!A2797,"AAAAAGbu6cE=")</f>
        <v>#VALUE!</v>
      </c>
      <c r="GM175" t="e">
        <f>AND('Planilla_General_03-12-2012_9_3'!B2797,"AAAAAGbu6cI=")</f>
        <v>#VALUE!</v>
      </c>
      <c r="GN175" t="e">
        <f>AND('Planilla_General_03-12-2012_9_3'!C2797,"AAAAAGbu6cM=")</f>
        <v>#VALUE!</v>
      </c>
      <c r="GO175" t="e">
        <f>AND('Planilla_General_03-12-2012_9_3'!D2797,"AAAAAGbu6cQ=")</f>
        <v>#VALUE!</v>
      </c>
      <c r="GP175" t="e">
        <f>AND('Planilla_General_03-12-2012_9_3'!E2797,"AAAAAGbu6cU=")</f>
        <v>#VALUE!</v>
      </c>
      <c r="GQ175" t="e">
        <f>AND('Planilla_General_03-12-2012_9_3'!F2797,"AAAAAGbu6cY=")</f>
        <v>#VALUE!</v>
      </c>
      <c r="GR175" t="e">
        <f>AND('Planilla_General_03-12-2012_9_3'!G2797,"AAAAAGbu6cc=")</f>
        <v>#VALUE!</v>
      </c>
      <c r="GS175" t="e">
        <f>AND('Planilla_General_03-12-2012_9_3'!H2797,"AAAAAGbu6cg=")</f>
        <v>#VALUE!</v>
      </c>
      <c r="GT175" t="e">
        <f>AND('Planilla_General_03-12-2012_9_3'!I2797,"AAAAAGbu6ck=")</f>
        <v>#VALUE!</v>
      </c>
      <c r="GU175" t="e">
        <f>AND('Planilla_General_03-12-2012_9_3'!J2797,"AAAAAGbu6co=")</f>
        <v>#VALUE!</v>
      </c>
      <c r="GV175" t="e">
        <f>AND('Planilla_General_03-12-2012_9_3'!K2797,"AAAAAGbu6cs=")</f>
        <v>#VALUE!</v>
      </c>
      <c r="GW175" t="e">
        <f>AND('Planilla_General_03-12-2012_9_3'!L2797,"AAAAAGbu6cw=")</f>
        <v>#VALUE!</v>
      </c>
      <c r="GX175" t="e">
        <f>AND('Planilla_General_03-12-2012_9_3'!M2797,"AAAAAGbu6c0=")</f>
        <v>#VALUE!</v>
      </c>
      <c r="GY175" t="e">
        <f>AND('Planilla_General_03-12-2012_9_3'!N2797,"AAAAAGbu6c4=")</f>
        <v>#VALUE!</v>
      </c>
      <c r="GZ175" t="e">
        <f>AND('Planilla_General_03-12-2012_9_3'!O2797,"AAAAAGbu6c8=")</f>
        <v>#VALUE!</v>
      </c>
      <c r="HA175">
        <f>IF('Planilla_General_03-12-2012_9_3'!2798:2798,"AAAAAGbu6dA=",0)</f>
        <v>0</v>
      </c>
      <c r="HB175" t="e">
        <f>AND('Planilla_General_03-12-2012_9_3'!A2798,"AAAAAGbu6dE=")</f>
        <v>#VALUE!</v>
      </c>
      <c r="HC175" t="e">
        <f>AND('Planilla_General_03-12-2012_9_3'!B2798,"AAAAAGbu6dI=")</f>
        <v>#VALUE!</v>
      </c>
      <c r="HD175" t="e">
        <f>AND('Planilla_General_03-12-2012_9_3'!C2798,"AAAAAGbu6dM=")</f>
        <v>#VALUE!</v>
      </c>
      <c r="HE175" t="e">
        <f>AND('Planilla_General_03-12-2012_9_3'!D2798,"AAAAAGbu6dQ=")</f>
        <v>#VALUE!</v>
      </c>
      <c r="HF175" t="e">
        <f>AND('Planilla_General_03-12-2012_9_3'!E2798,"AAAAAGbu6dU=")</f>
        <v>#VALUE!</v>
      </c>
      <c r="HG175" t="e">
        <f>AND('Planilla_General_03-12-2012_9_3'!F2798,"AAAAAGbu6dY=")</f>
        <v>#VALUE!</v>
      </c>
      <c r="HH175" t="e">
        <f>AND('Planilla_General_03-12-2012_9_3'!G2798,"AAAAAGbu6dc=")</f>
        <v>#VALUE!</v>
      </c>
      <c r="HI175" t="e">
        <f>AND('Planilla_General_03-12-2012_9_3'!H2798,"AAAAAGbu6dg=")</f>
        <v>#VALUE!</v>
      </c>
      <c r="HJ175" t="e">
        <f>AND('Planilla_General_03-12-2012_9_3'!I2798,"AAAAAGbu6dk=")</f>
        <v>#VALUE!</v>
      </c>
      <c r="HK175" t="e">
        <f>AND('Planilla_General_03-12-2012_9_3'!J2798,"AAAAAGbu6do=")</f>
        <v>#VALUE!</v>
      </c>
      <c r="HL175" t="e">
        <f>AND('Planilla_General_03-12-2012_9_3'!K2798,"AAAAAGbu6ds=")</f>
        <v>#VALUE!</v>
      </c>
      <c r="HM175" t="e">
        <f>AND('Planilla_General_03-12-2012_9_3'!L2798,"AAAAAGbu6dw=")</f>
        <v>#VALUE!</v>
      </c>
      <c r="HN175" t="e">
        <f>AND('Planilla_General_03-12-2012_9_3'!M2798,"AAAAAGbu6d0=")</f>
        <v>#VALUE!</v>
      </c>
      <c r="HO175" t="e">
        <f>AND('Planilla_General_03-12-2012_9_3'!N2798,"AAAAAGbu6d4=")</f>
        <v>#VALUE!</v>
      </c>
      <c r="HP175" t="e">
        <f>AND('Planilla_General_03-12-2012_9_3'!O2798,"AAAAAGbu6d8=")</f>
        <v>#VALUE!</v>
      </c>
      <c r="HQ175">
        <f>IF('Planilla_General_03-12-2012_9_3'!2799:2799,"AAAAAGbu6eA=",0)</f>
        <v>0</v>
      </c>
      <c r="HR175" t="e">
        <f>AND('Planilla_General_03-12-2012_9_3'!A2799,"AAAAAGbu6eE=")</f>
        <v>#VALUE!</v>
      </c>
      <c r="HS175" t="e">
        <f>AND('Planilla_General_03-12-2012_9_3'!B2799,"AAAAAGbu6eI=")</f>
        <v>#VALUE!</v>
      </c>
      <c r="HT175" t="e">
        <f>AND('Planilla_General_03-12-2012_9_3'!C2799,"AAAAAGbu6eM=")</f>
        <v>#VALUE!</v>
      </c>
      <c r="HU175" t="e">
        <f>AND('Planilla_General_03-12-2012_9_3'!D2799,"AAAAAGbu6eQ=")</f>
        <v>#VALUE!</v>
      </c>
      <c r="HV175" t="e">
        <f>AND('Planilla_General_03-12-2012_9_3'!E2799,"AAAAAGbu6eU=")</f>
        <v>#VALUE!</v>
      </c>
      <c r="HW175" t="e">
        <f>AND('Planilla_General_03-12-2012_9_3'!F2799,"AAAAAGbu6eY=")</f>
        <v>#VALUE!</v>
      </c>
      <c r="HX175" t="e">
        <f>AND('Planilla_General_03-12-2012_9_3'!G2799,"AAAAAGbu6ec=")</f>
        <v>#VALUE!</v>
      </c>
      <c r="HY175" t="e">
        <f>AND('Planilla_General_03-12-2012_9_3'!H2799,"AAAAAGbu6eg=")</f>
        <v>#VALUE!</v>
      </c>
      <c r="HZ175" t="e">
        <f>AND('Planilla_General_03-12-2012_9_3'!I2799,"AAAAAGbu6ek=")</f>
        <v>#VALUE!</v>
      </c>
      <c r="IA175" t="e">
        <f>AND('Planilla_General_03-12-2012_9_3'!J2799,"AAAAAGbu6eo=")</f>
        <v>#VALUE!</v>
      </c>
      <c r="IB175" t="e">
        <f>AND('Planilla_General_03-12-2012_9_3'!K2799,"AAAAAGbu6es=")</f>
        <v>#VALUE!</v>
      </c>
      <c r="IC175" t="e">
        <f>AND('Planilla_General_03-12-2012_9_3'!L2799,"AAAAAGbu6ew=")</f>
        <v>#VALUE!</v>
      </c>
      <c r="ID175" t="e">
        <f>AND('Planilla_General_03-12-2012_9_3'!M2799,"AAAAAGbu6e0=")</f>
        <v>#VALUE!</v>
      </c>
      <c r="IE175" t="e">
        <f>AND('Planilla_General_03-12-2012_9_3'!N2799,"AAAAAGbu6e4=")</f>
        <v>#VALUE!</v>
      </c>
      <c r="IF175" t="e">
        <f>AND('Planilla_General_03-12-2012_9_3'!O2799,"AAAAAGbu6e8=")</f>
        <v>#VALUE!</v>
      </c>
      <c r="IG175">
        <f>IF('Planilla_General_03-12-2012_9_3'!2800:2800,"AAAAAGbu6fA=",0)</f>
        <v>0</v>
      </c>
      <c r="IH175" t="e">
        <f>AND('Planilla_General_03-12-2012_9_3'!A2800,"AAAAAGbu6fE=")</f>
        <v>#VALUE!</v>
      </c>
      <c r="II175" t="e">
        <f>AND('Planilla_General_03-12-2012_9_3'!B2800,"AAAAAGbu6fI=")</f>
        <v>#VALUE!</v>
      </c>
      <c r="IJ175" t="e">
        <f>AND('Planilla_General_03-12-2012_9_3'!C2800,"AAAAAGbu6fM=")</f>
        <v>#VALUE!</v>
      </c>
      <c r="IK175" t="e">
        <f>AND('Planilla_General_03-12-2012_9_3'!D2800,"AAAAAGbu6fQ=")</f>
        <v>#VALUE!</v>
      </c>
      <c r="IL175" t="e">
        <f>AND('Planilla_General_03-12-2012_9_3'!E2800,"AAAAAGbu6fU=")</f>
        <v>#VALUE!</v>
      </c>
      <c r="IM175" t="e">
        <f>AND('Planilla_General_03-12-2012_9_3'!F2800,"AAAAAGbu6fY=")</f>
        <v>#VALUE!</v>
      </c>
      <c r="IN175" t="e">
        <f>AND('Planilla_General_03-12-2012_9_3'!G2800,"AAAAAGbu6fc=")</f>
        <v>#VALUE!</v>
      </c>
      <c r="IO175" t="e">
        <f>AND('Planilla_General_03-12-2012_9_3'!H2800,"AAAAAGbu6fg=")</f>
        <v>#VALUE!</v>
      </c>
      <c r="IP175" t="e">
        <f>AND('Planilla_General_03-12-2012_9_3'!I2800,"AAAAAGbu6fk=")</f>
        <v>#VALUE!</v>
      </c>
      <c r="IQ175" t="e">
        <f>AND('Planilla_General_03-12-2012_9_3'!J2800,"AAAAAGbu6fo=")</f>
        <v>#VALUE!</v>
      </c>
      <c r="IR175" t="e">
        <f>AND('Planilla_General_03-12-2012_9_3'!K2800,"AAAAAGbu6fs=")</f>
        <v>#VALUE!</v>
      </c>
      <c r="IS175" t="e">
        <f>AND('Planilla_General_03-12-2012_9_3'!L2800,"AAAAAGbu6fw=")</f>
        <v>#VALUE!</v>
      </c>
      <c r="IT175" t="e">
        <f>AND('Planilla_General_03-12-2012_9_3'!M2800,"AAAAAGbu6f0=")</f>
        <v>#VALUE!</v>
      </c>
      <c r="IU175" t="e">
        <f>AND('Planilla_General_03-12-2012_9_3'!N2800,"AAAAAGbu6f4=")</f>
        <v>#VALUE!</v>
      </c>
      <c r="IV175" t="e">
        <f>AND('Planilla_General_03-12-2012_9_3'!O2800,"AAAAAGbu6f8=")</f>
        <v>#VALUE!</v>
      </c>
    </row>
    <row r="176" spans="1:256" x14ac:dyDescent="0.25">
      <c r="A176" t="e">
        <f>IF('Planilla_General_03-12-2012_9_3'!2801:2801,"AAAAAB/9vwA=",0)</f>
        <v>#VALUE!</v>
      </c>
      <c r="B176" t="e">
        <f>AND('Planilla_General_03-12-2012_9_3'!A2801,"AAAAAB/9vwE=")</f>
        <v>#VALUE!</v>
      </c>
      <c r="C176" t="e">
        <f>AND('Planilla_General_03-12-2012_9_3'!B2801,"AAAAAB/9vwI=")</f>
        <v>#VALUE!</v>
      </c>
      <c r="D176" t="e">
        <f>AND('Planilla_General_03-12-2012_9_3'!C2801,"AAAAAB/9vwM=")</f>
        <v>#VALUE!</v>
      </c>
      <c r="E176" t="e">
        <f>AND('Planilla_General_03-12-2012_9_3'!D2801,"AAAAAB/9vwQ=")</f>
        <v>#VALUE!</v>
      </c>
      <c r="F176" t="e">
        <f>AND('Planilla_General_03-12-2012_9_3'!E2801,"AAAAAB/9vwU=")</f>
        <v>#VALUE!</v>
      </c>
      <c r="G176" t="e">
        <f>AND('Planilla_General_03-12-2012_9_3'!F2801,"AAAAAB/9vwY=")</f>
        <v>#VALUE!</v>
      </c>
      <c r="H176" t="e">
        <f>AND('Planilla_General_03-12-2012_9_3'!G2801,"AAAAAB/9vwc=")</f>
        <v>#VALUE!</v>
      </c>
      <c r="I176" t="e">
        <f>AND('Planilla_General_03-12-2012_9_3'!H2801,"AAAAAB/9vwg=")</f>
        <v>#VALUE!</v>
      </c>
      <c r="J176" t="e">
        <f>AND('Planilla_General_03-12-2012_9_3'!I2801,"AAAAAB/9vwk=")</f>
        <v>#VALUE!</v>
      </c>
      <c r="K176" t="e">
        <f>AND('Planilla_General_03-12-2012_9_3'!J2801,"AAAAAB/9vwo=")</f>
        <v>#VALUE!</v>
      </c>
      <c r="L176" t="e">
        <f>AND('Planilla_General_03-12-2012_9_3'!K2801,"AAAAAB/9vws=")</f>
        <v>#VALUE!</v>
      </c>
      <c r="M176" t="e">
        <f>AND('Planilla_General_03-12-2012_9_3'!L2801,"AAAAAB/9vww=")</f>
        <v>#VALUE!</v>
      </c>
      <c r="N176" t="e">
        <f>AND('Planilla_General_03-12-2012_9_3'!M2801,"AAAAAB/9vw0=")</f>
        <v>#VALUE!</v>
      </c>
      <c r="O176" t="e">
        <f>AND('Planilla_General_03-12-2012_9_3'!N2801,"AAAAAB/9vw4=")</f>
        <v>#VALUE!</v>
      </c>
      <c r="P176" t="e">
        <f>AND('Planilla_General_03-12-2012_9_3'!O2801,"AAAAAB/9vw8=")</f>
        <v>#VALUE!</v>
      </c>
      <c r="Q176">
        <f>IF('Planilla_General_03-12-2012_9_3'!2802:2802,"AAAAAB/9vxA=",0)</f>
        <v>0</v>
      </c>
      <c r="R176" t="e">
        <f>AND('Planilla_General_03-12-2012_9_3'!A2802,"AAAAAB/9vxE=")</f>
        <v>#VALUE!</v>
      </c>
      <c r="S176" t="e">
        <f>AND('Planilla_General_03-12-2012_9_3'!B2802,"AAAAAB/9vxI=")</f>
        <v>#VALUE!</v>
      </c>
      <c r="T176" t="e">
        <f>AND('Planilla_General_03-12-2012_9_3'!C2802,"AAAAAB/9vxM=")</f>
        <v>#VALUE!</v>
      </c>
      <c r="U176" t="e">
        <f>AND('Planilla_General_03-12-2012_9_3'!D2802,"AAAAAB/9vxQ=")</f>
        <v>#VALUE!</v>
      </c>
      <c r="V176" t="e">
        <f>AND('Planilla_General_03-12-2012_9_3'!E2802,"AAAAAB/9vxU=")</f>
        <v>#VALUE!</v>
      </c>
      <c r="W176" t="e">
        <f>AND('Planilla_General_03-12-2012_9_3'!F2802,"AAAAAB/9vxY=")</f>
        <v>#VALUE!</v>
      </c>
      <c r="X176" t="e">
        <f>AND('Planilla_General_03-12-2012_9_3'!G2802,"AAAAAB/9vxc=")</f>
        <v>#VALUE!</v>
      </c>
      <c r="Y176" t="e">
        <f>AND('Planilla_General_03-12-2012_9_3'!H2802,"AAAAAB/9vxg=")</f>
        <v>#VALUE!</v>
      </c>
      <c r="Z176" t="e">
        <f>AND('Planilla_General_03-12-2012_9_3'!I2802,"AAAAAB/9vxk=")</f>
        <v>#VALUE!</v>
      </c>
      <c r="AA176" t="e">
        <f>AND('Planilla_General_03-12-2012_9_3'!J2802,"AAAAAB/9vxo=")</f>
        <v>#VALUE!</v>
      </c>
      <c r="AB176" t="e">
        <f>AND('Planilla_General_03-12-2012_9_3'!K2802,"AAAAAB/9vxs=")</f>
        <v>#VALUE!</v>
      </c>
      <c r="AC176" t="e">
        <f>AND('Planilla_General_03-12-2012_9_3'!L2802,"AAAAAB/9vxw=")</f>
        <v>#VALUE!</v>
      </c>
      <c r="AD176" t="e">
        <f>AND('Planilla_General_03-12-2012_9_3'!M2802,"AAAAAB/9vx0=")</f>
        <v>#VALUE!</v>
      </c>
      <c r="AE176" t="e">
        <f>AND('Planilla_General_03-12-2012_9_3'!N2802,"AAAAAB/9vx4=")</f>
        <v>#VALUE!</v>
      </c>
      <c r="AF176" t="e">
        <f>AND('Planilla_General_03-12-2012_9_3'!O2802,"AAAAAB/9vx8=")</f>
        <v>#VALUE!</v>
      </c>
      <c r="AG176">
        <f>IF('Planilla_General_03-12-2012_9_3'!2803:2803,"AAAAAB/9vyA=",0)</f>
        <v>0</v>
      </c>
      <c r="AH176" t="e">
        <f>AND('Planilla_General_03-12-2012_9_3'!A2803,"AAAAAB/9vyE=")</f>
        <v>#VALUE!</v>
      </c>
      <c r="AI176" t="e">
        <f>AND('Planilla_General_03-12-2012_9_3'!B2803,"AAAAAB/9vyI=")</f>
        <v>#VALUE!</v>
      </c>
      <c r="AJ176" t="e">
        <f>AND('Planilla_General_03-12-2012_9_3'!C2803,"AAAAAB/9vyM=")</f>
        <v>#VALUE!</v>
      </c>
      <c r="AK176" t="e">
        <f>AND('Planilla_General_03-12-2012_9_3'!D2803,"AAAAAB/9vyQ=")</f>
        <v>#VALUE!</v>
      </c>
      <c r="AL176" t="e">
        <f>AND('Planilla_General_03-12-2012_9_3'!E2803,"AAAAAB/9vyU=")</f>
        <v>#VALUE!</v>
      </c>
      <c r="AM176" t="e">
        <f>AND('Planilla_General_03-12-2012_9_3'!F2803,"AAAAAB/9vyY=")</f>
        <v>#VALUE!</v>
      </c>
      <c r="AN176" t="e">
        <f>AND('Planilla_General_03-12-2012_9_3'!G2803,"AAAAAB/9vyc=")</f>
        <v>#VALUE!</v>
      </c>
      <c r="AO176" t="e">
        <f>AND('Planilla_General_03-12-2012_9_3'!H2803,"AAAAAB/9vyg=")</f>
        <v>#VALUE!</v>
      </c>
      <c r="AP176" t="e">
        <f>AND('Planilla_General_03-12-2012_9_3'!I2803,"AAAAAB/9vyk=")</f>
        <v>#VALUE!</v>
      </c>
      <c r="AQ176" t="e">
        <f>AND('Planilla_General_03-12-2012_9_3'!J2803,"AAAAAB/9vyo=")</f>
        <v>#VALUE!</v>
      </c>
      <c r="AR176" t="e">
        <f>AND('Planilla_General_03-12-2012_9_3'!K2803,"AAAAAB/9vys=")</f>
        <v>#VALUE!</v>
      </c>
      <c r="AS176" t="e">
        <f>AND('Planilla_General_03-12-2012_9_3'!L2803,"AAAAAB/9vyw=")</f>
        <v>#VALUE!</v>
      </c>
      <c r="AT176" t="e">
        <f>AND('Planilla_General_03-12-2012_9_3'!M2803,"AAAAAB/9vy0=")</f>
        <v>#VALUE!</v>
      </c>
      <c r="AU176" t="e">
        <f>AND('Planilla_General_03-12-2012_9_3'!N2803,"AAAAAB/9vy4=")</f>
        <v>#VALUE!</v>
      </c>
      <c r="AV176" t="e">
        <f>AND('Planilla_General_03-12-2012_9_3'!O2803,"AAAAAB/9vy8=")</f>
        <v>#VALUE!</v>
      </c>
      <c r="AW176">
        <f>IF('Planilla_General_03-12-2012_9_3'!2804:2804,"AAAAAB/9vzA=",0)</f>
        <v>0</v>
      </c>
      <c r="AX176" t="e">
        <f>AND('Planilla_General_03-12-2012_9_3'!A2804,"AAAAAB/9vzE=")</f>
        <v>#VALUE!</v>
      </c>
      <c r="AY176" t="e">
        <f>AND('Planilla_General_03-12-2012_9_3'!B2804,"AAAAAB/9vzI=")</f>
        <v>#VALUE!</v>
      </c>
      <c r="AZ176" t="e">
        <f>AND('Planilla_General_03-12-2012_9_3'!C2804,"AAAAAB/9vzM=")</f>
        <v>#VALUE!</v>
      </c>
      <c r="BA176" t="e">
        <f>AND('Planilla_General_03-12-2012_9_3'!D2804,"AAAAAB/9vzQ=")</f>
        <v>#VALUE!</v>
      </c>
      <c r="BB176" t="e">
        <f>AND('Planilla_General_03-12-2012_9_3'!E2804,"AAAAAB/9vzU=")</f>
        <v>#VALUE!</v>
      </c>
      <c r="BC176" t="e">
        <f>AND('Planilla_General_03-12-2012_9_3'!F2804,"AAAAAB/9vzY=")</f>
        <v>#VALUE!</v>
      </c>
      <c r="BD176" t="e">
        <f>AND('Planilla_General_03-12-2012_9_3'!G2804,"AAAAAB/9vzc=")</f>
        <v>#VALUE!</v>
      </c>
      <c r="BE176" t="e">
        <f>AND('Planilla_General_03-12-2012_9_3'!H2804,"AAAAAB/9vzg=")</f>
        <v>#VALUE!</v>
      </c>
      <c r="BF176" t="e">
        <f>AND('Planilla_General_03-12-2012_9_3'!I2804,"AAAAAB/9vzk=")</f>
        <v>#VALUE!</v>
      </c>
      <c r="BG176" t="e">
        <f>AND('Planilla_General_03-12-2012_9_3'!J2804,"AAAAAB/9vzo=")</f>
        <v>#VALUE!</v>
      </c>
      <c r="BH176" t="e">
        <f>AND('Planilla_General_03-12-2012_9_3'!K2804,"AAAAAB/9vzs=")</f>
        <v>#VALUE!</v>
      </c>
      <c r="BI176" t="e">
        <f>AND('Planilla_General_03-12-2012_9_3'!L2804,"AAAAAB/9vzw=")</f>
        <v>#VALUE!</v>
      </c>
      <c r="BJ176" t="e">
        <f>AND('Planilla_General_03-12-2012_9_3'!M2804,"AAAAAB/9vz0=")</f>
        <v>#VALUE!</v>
      </c>
      <c r="BK176" t="e">
        <f>AND('Planilla_General_03-12-2012_9_3'!N2804,"AAAAAB/9vz4=")</f>
        <v>#VALUE!</v>
      </c>
      <c r="BL176" t="e">
        <f>AND('Planilla_General_03-12-2012_9_3'!O2804,"AAAAAB/9vz8=")</f>
        <v>#VALUE!</v>
      </c>
      <c r="BM176">
        <f>IF('Planilla_General_03-12-2012_9_3'!2805:2805,"AAAAAB/9v0A=",0)</f>
        <v>0</v>
      </c>
      <c r="BN176" t="e">
        <f>AND('Planilla_General_03-12-2012_9_3'!A2805,"AAAAAB/9v0E=")</f>
        <v>#VALUE!</v>
      </c>
      <c r="BO176" t="e">
        <f>AND('Planilla_General_03-12-2012_9_3'!B2805,"AAAAAB/9v0I=")</f>
        <v>#VALUE!</v>
      </c>
      <c r="BP176" t="e">
        <f>AND('Planilla_General_03-12-2012_9_3'!C2805,"AAAAAB/9v0M=")</f>
        <v>#VALUE!</v>
      </c>
      <c r="BQ176" t="e">
        <f>AND('Planilla_General_03-12-2012_9_3'!D2805,"AAAAAB/9v0Q=")</f>
        <v>#VALUE!</v>
      </c>
      <c r="BR176" t="e">
        <f>AND('Planilla_General_03-12-2012_9_3'!E2805,"AAAAAB/9v0U=")</f>
        <v>#VALUE!</v>
      </c>
      <c r="BS176" t="e">
        <f>AND('Planilla_General_03-12-2012_9_3'!F2805,"AAAAAB/9v0Y=")</f>
        <v>#VALUE!</v>
      </c>
      <c r="BT176" t="e">
        <f>AND('Planilla_General_03-12-2012_9_3'!G2805,"AAAAAB/9v0c=")</f>
        <v>#VALUE!</v>
      </c>
      <c r="BU176" t="e">
        <f>AND('Planilla_General_03-12-2012_9_3'!H2805,"AAAAAB/9v0g=")</f>
        <v>#VALUE!</v>
      </c>
      <c r="BV176" t="e">
        <f>AND('Planilla_General_03-12-2012_9_3'!I2805,"AAAAAB/9v0k=")</f>
        <v>#VALUE!</v>
      </c>
      <c r="BW176" t="e">
        <f>AND('Planilla_General_03-12-2012_9_3'!J2805,"AAAAAB/9v0o=")</f>
        <v>#VALUE!</v>
      </c>
      <c r="BX176" t="e">
        <f>AND('Planilla_General_03-12-2012_9_3'!K2805,"AAAAAB/9v0s=")</f>
        <v>#VALUE!</v>
      </c>
      <c r="BY176" t="e">
        <f>AND('Planilla_General_03-12-2012_9_3'!L2805,"AAAAAB/9v0w=")</f>
        <v>#VALUE!</v>
      </c>
      <c r="BZ176" t="e">
        <f>AND('Planilla_General_03-12-2012_9_3'!M2805,"AAAAAB/9v00=")</f>
        <v>#VALUE!</v>
      </c>
      <c r="CA176" t="e">
        <f>AND('Planilla_General_03-12-2012_9_3'!N2805,"AAAAAB/9v04=")</f>
        <v>#VALUE!</v>
      </c>
      <c r="CB176" t="e">
        <f>AND('Planilla_General_03-12-2012_9_3'!O2805,"AAAAAB/9v08=")</f>
        <v>#VALUE!</v>
      </c>
      <c r="CC176">
        <f>IF('Planilla_General_03-12-2012_9_3'!2806:2806,"AAAAAB/9v1A=",0)</f>
        <v>0</v>
      </c>
      <c r="CD176" t="e">
        <f>AND('Planilla_General_03-12-2012_9_3'!A2806,"AAAAAB/9v1E=")</f>
        <v>#VALUE!</v>
      </c>
      <c r="CE176" t="e">
        <f>AND('Planilla_General_03-12-2012_9_3'!B2806,"AAAAAB/9v1I=")</f>
        <v>#VALUE!</v>
      </c>
      <c r="CF176" t="e">
        <f>AND('Planilla_General_03-12-2012_9_3'!C2806,"AAAAAB/9v1M=")</f>
        <v>#VALUE!</v>
      </c>
      <c r="CG176" t="e">
        <f>AND('Planilla_General_03-12-2012_9_3'!D2806,"AAAAAB/9v1Q=")</f>
        <v>#VALUE!</v>
      </c>
      <c r="CH176" t="e">
        <f>AND('Planilla_General_03-12-2012_9_3'!E2806,"AAAAAB/9v1U=")</f>
        <v>#VALUE!</v>
      </c>
      <c r="CI176" t="e">
        <f>AND('Planilla_General_03-12-2012_9_3'!F2806,"AAAAAB/9v1Y=")</f>
        <v>#VALUE!</v>
      </c>
      <c r="CJ176" t="e">
        <f>AND('Planilla_General_03-12-2012_9_3'!G2806,"AAAAAB/9v1c=")</f>
        <v>#VALUE!</v>
      </c>
      <c r="CK176" t="e">
        <f>AND('Planilla_General_03-12-2012_9_3'!H2806,"AAAAAB/9v1g=")</f>
        <v>#VALUE!</v>
      </c>
      <c r="CL176" t="e">
        <f>AND('Planilla_General_03-12-2012_9_3'!I2806,"AAAAAB/9v1k=")</f>
        <v>#VALUE!</v>
      </c>
      <c r="CM176" t="e">
        <f>AND('Planilla_General_03-12-2012_9_3'!J2806,"AAAAAB/9v1o=")</f>
        <v>#VALUE!</v>
      </c>
      <c r="CN176" t="e">
        <f>AND('Planilla_General_03-12-2012_9_3'!K2806,"AAAAAB/9v1s=")</f>
        <v>#VALUE!</v>
      </c>
      <c r="CO176" t="e">
        <f>AND('Planilla_General_03-12-2012_9_3'!L2806,"AAAAAB/9v1w=")</f>
        <v>#VALUE!</v>
      </c>
      <c r="CP176" t="e">
        <f>AND('Planilla_General_03-12-2012_9_3'!M2806,"AAAAAB/9v10=")</f>
        <v>#VALUE!</v>
      </c>
      <c r="CQ176" t="e">
        <f>AND('Planilla_General_03-12-2012_9_3'!N2806,"AAAAAB/9v14=")</f>
        <v>#VALUE!</v>
      </c>
      <c r="CR176" t="e">
        <f>AND('Planilla_General_03-12-2012_9_3'!O2806,"AAAAAB/9v18=")</f>
        <v>#VALUE!</v>
      </c>
      <c r="CS176">
        <f>IF('Planilla_General_03-12-2012_9_3'!2807:2807,"AAAAAB/9v2A=",0)</f>
        <v>0</v>
      </c>
      <c r="CT176" t="e">
        <f>AND('Planilla_General_03-12-2012_9_3'!A2807,"AAAAAB/9v2E=")</f>
        <v>#VALUE!</v>
      </c>
      <c r="CU176" t="e">
        <f>AND('Planilla_General_03-12-2012_9_3'!B2807,"AAAAAB/9v2I=")</f>
        <v>#VALUE!</v>
      </c>
      <c r="CV176" t="e">
        <f>AND('Planilla_General_03-12-2012_9_3'!C2807,"AAAAAB/9v2M=")</f>
        <v>#VALUE!</v>
      </c>
      <c r="CW176" t="e">
        <f>AND('Planilla_General_03-12-2012_9_3'!D2807,"AAAAAB/9v2Q=")</f>
        <v>#VALUE!</v>
      </c>
      <c r="CX176" t="e">
        <f>AND('Planilla_General_03-12-2012_9_3'!E2807,"AAAAAB/9v2U=")</f>
        <v>#VALUE!</v>
      </c>
      <c r="CY176" t="e">
        <f>AND('Planilla_General_03-12-2012_9_3'!F2807,"AAAAAB/9v2Y=")</f>
        <v>#VALUE!</v>
      </c>
      <c r="CZ176" t="e">
        <f>AND('Planilla_General_03-12-2012_9_3'!G2807,"AAAAAB/9v2c=")</f>
        <v>#VALUE!</v>
      </c>
      <c r="DA176" t="e">
        <f>AND('Planilla_General_03-12-2012_9_3'!H2807,"AAAAAB/9v2g=")</f>
        <v>#VALUE!</v>
      </c>
      <c r="DB176" t="e">
        <f>AND('Planilla_General_03-12-2012_9_3'!I2807,"AAAAAB/9v2k=")</f>
        <v>#VALUE!</v>
      </c>
      <c r="DC176" t="e">
        <f>AND('Planilla_General_03-12-2012_9_3'!J2807,"AAAAAB/9v2o=")</f>
        <v>#VALUE!</v>
      </c>
      <c r="DD176" t="e">
        <f>AND('Planilla_General_03-12-2012_9_3'!K2807,"AAAAAB/9v2s=")</f>
        <v>#VALUE!</v>
      </c>
      <c r="DE176" t="e">
        <f>AND('Planilla_General_03-12-2012_9_3'!L2807,"AAAAAB/9v2w=")</f>
        <v>#VALUE!</v>
      </c>
      <c r="DF176" t="e">
        <f>AND('Planilla_General_03-12-2012_9_3'!M2807,"AAAAAB/9v20=")</f>
        <v>#VALUE!</v>
      </c>
      <c r="DG176" t="e">
        <f>AND('Planilla_General_03-12-2012_9_3'!N2807,"AAAAAB/9v24=")</f>
        <v>#VALUE!</v>
      </c>
      <c r="DH176" t="e">
        <f>AND('Planilla_General_03-12-2012_9_3'!O2807,"AAAAAB/9v28=")</f>
        <v>#VALUE!</v>
      </c>
      <c r="DI176">
        <f>IF('Planilla_General_03-12-2012_9_3'!2808:2808,"AAAAAB/9v3A=",0)</f>
        <v>0</v>
      </c>
      <c r="DJ176" t="e">
        <f>AND('Planilla_General_03-12-2012_9_3'!A2808,"AAAAAB/9v3E=")</f>
        <v>#VALUE!</v>
      </c>
      <c r="DK176" t="e">
        <f>AND('Planilla_General_03-12-2012_9_3'!B2808,"AAAAAB/9v3I=")</f>
        <v>#VALUE!</v>
      </c>
      <c r="DL176" t="e">
        <f>AND('Planilla_General_03-12-2012_9_3'!C2808,"AAAAAB/9v3M=")</f>
        <v>#VALUE!</v>
      </c>
      <c r="DM176" t="e">
        <f>AND('Planilla_General_03-12-2012_9_3'!D2808,"AAAAAB/9v3Q=")</f>
        <v>#VALUE!</v>
      </c>
      <c r="DN176" t="e">
        <f>AND('Planilla_General_03-12-2012_9_3'!E2808,"AAAAAB/9v3U=")</f>
        <v>#VALUE!</v>
      </c>
      <c r="DO176" t="e">
        <f>AND('Planilla_General_03-12-2012_9_3'!F2808,"AAAAAB/9v3Y=")</f>
        <v>#VALUE!</v>
      </c>
      <c r="DP176" t="e">
        <f>AND('Planilla_General_03-12-2012_9_3'!G2808,"AAAAAB/9v3c=")</f>
        <v>#VALUE!</v>
      </c>
      <c r="DQ176" t="e">
        <f>AND('Planilla_General_03-12-2012_9_3'!H2808,"AAAAAB/9v3g=")</f>
        <v>#VALUE!</v>
      </c>
      <c r="DR176" t="e">
        <f>AND('Planilla_General_03-12-2012_9_3'!I2808,"AAAAAB/9v3k=")</f>
        <v>#VALUE!</v>
      </c>
      <c r="DS176" t="e">
        <f>AND('Planilla_General_03-12-2012_9_3'!J2808,"AAAAAB/9v3o=")</f>
        <v>#VALUE!</v>
      </c>
      <c r="DT176" t="e">
        <f>AND('Planilla_General_03-12-2012_9_3'!K2808,"AAAAAB/9v3s=")</f>
        <v>#VALUE!</v>
      </c>
      <c r="DU176" t="e">
        <f>AND('Planilla_General_03-12-2012_9_3'!L2808,"AAAAAB/9v3w=")</f>
        <v>#VALUE!</v>
      </c>
      <c r="DV176" t="e">
        <f>AND('Planilla_General_03-12-2012_9_3'!M2808,"AAAAAB/9v30=")</f>
        <v>#VALUE!</v>
      </c>
      <c r="DW176" t="e">
        <f>AND('Planilla_General_03-12-2012_9_3'!N2808,"AAAAAB/9v34=")</f>
        <v>#VALUE!</v>
      </c>
      <c r="DX176" t="e">
        <f>AND('Planilla_General_03-12-2012_9_3'!O2808,"AAAAAB/9v38=")</f>
        <v>#VALUE!</v>
      </c>
      <c r="DY176">
        <f>IF('Planilla_General_03-12-2012_9_3'!2809:2809,"AAAAAB/9v4A=",0)</f>
        <v>0</v>
      </c>
      <c r="DZ176" t="e">
        <f>AND('Planilla_General_03-12-2012_9_3'!A2809,"AAAAAB/9v4E=")</f>
        <v>#VALUE!</v>
      </c>
      <c r="EA176" t="e">
        <f>AND('Planilla_General_03-12-2012_9_3'!B2809,"AAAAAB/9v4I=")</f>
        <v>#VALUE!</v>
      </c>
      <c r="EB176" t="e">
        <f>AND('Planilla_General_03-12-2012_9_3'!C2809,"AAAAAB/9v4M=")</f>
        <v>#VALUE!</v>
      </c>
      <c r="EC176" t="e">
        <f>AND('Planilla_General_03-12-2012_9_3'!D2809,"AAAAAB/9v4Q=")</f>
        <v>#VALUE!</v>
      </c>
      <c r="ED176" t="e">
        <f>AND('Planilla_General_03-12-2012_9_3'!E2809,"AAAAAB/9v4U=")</f>
        <v>#VALUE!</v>
      </c>
      <c r="EE176" t="e">
        <f>AND('Planilla_General_03-12-2012_9_3'!F2809,"AAAAAB/9v4Y=")</f>
        <v>#VALUE!</v>
      </c>
      <c r="EF176" t="e">
        <f>AND('Planilla_General_03-12-2012_9_3'!G2809,"AAAAAB/9v4c=")</f>
        <v>#VALUE!</v>
      </c>
      <c r="EG176" t="e">
        <f>AND('Planilla_General_03-12-2012_9_3'!H2809,"AAAAAB/9v4g=")</f>
        <v>#VALUE!</v>
      </c>
      <c r="EH176" t="e">
        <f>AND('Planilla_General_03-12-2012_9_3'!I2809,"AAAAAB/9v4k=")</f>
        <v>#VALUE!</v>
      </c>
      <c r="EI176" t="e">
        <f>AND('Planilla_General_03-12-2012_9_3'!J2809,"AAAAAB/9v4o=")</f>
        <v>#VALUE!</v>
      </c>
      <c r="EJ176" t="e">
        <f>AND('Planilla_General_03-12-2012_9_3'!K2809,"AAAAAB/9v4s=")</f>
        <v>#VALUE!</v>
      </c>
      <c r="EK176" t="e">
        <f>AND('Planilla_General_03-12-2012_9_3'!L2809,"AAAAAB/9v4w=")</f>
        <v>#VALUE!</v>
      </c>
      <c r="EL176" t="e">
        <f>AND('Planilla_General_03-12-2012_9_3'!M2809,"AAAAAB/9v40=")</f>
        <v>#VALUE!</v>
      </c>
      <c r="EM176" t="e">
        <f>AND('Planilla_General_03-12-2012_9_3'!N2809,"AAAAAB/9v44=")</f>
        <v>#VALUE!</v>
      </c>
      <c r="EN176" t="e">
        <f>AND('Planilla_General_03-12-2012_9_3'!O2809,"AAAAAB/9v48=")</f>
        <v>#VALUE!</v>
      </c>
      <c r="EO176">
        <f>IF('Planilla_General_03-12-2012_9_3'!2810:2810,"AAAAAB/9v5A=",0)</f>
        <v>0</v>
      </c>
      <c r="EP176" t="e">
        <f>AND('Planilla_General_03-12-2012_9_3'!A2810,"AAAAAB/9v5E=")</f>
        <v>#VALUE!</v>
      </c>
      <c r="EQ176" t="e">
        <f>AND('Planilla_General_03-12-2012_9_3'!B2810,"AAAAAB/9v5I=")</f>
        <v>#VALUE!</v>
      </c>
      <c r="ER176" t="e">
        <f>AND('Planilla_General_03-12-2012_9_3'!C2810,"AAAAAB/9v5M=")</f>
        <v>#VALUE!</v>
      </c>
      <c r="ES176" t="e">
        <f>AND('Planilla_General_03-12-2012_9_3'!D2810,"AAAAAB/9v5Q=")</f>
        <v>#VALUE!</v>
      </c>
      <c r="ET176" t="e">
        <f>AND('Planilla_General_03-12-2012_9_3'!E2810,"AAAAAB/9v5U=")</f>
        <v>#VALUE!</v>
      </c>
      <c r="EU176" t="e">
        <f>AND('Planilla_General_03-12-2012_9_3'!F2810,"AAAAAB/9v5Y=")</f>
        <v>#VALUE!</v>
      </c>
      <c r="EV176" t="e">
        <f>AND('Planilla_General_03-12-2012_9_3'!G2810,"AAAAAB/9v5c=")</f>
        <v>#VALUE!</v>
      </c>
      <c r="EW176" t="e">
        <f>AND('Planilla_General_03-12-2012_9_3'!H2810,"AAAAAB/9v5g=")</f>
        <v>#VALUE!</v>
      </c>
      <c r="EX176" t="e">
        <f>AND('Planilla_General_03-12-2012_9_3'!I2810,"AAAAAB/9v5k=")</f>
        <v>#VALUE!</v>
      </c>
      <c r="EY176" t="e">
        <f>AND('Planilla_General_03-12-2012_9_3'!J2810,"AAAAAB/9v5o=")</f>
        <v>#VALUE!</v>
      </c>
      <c r="EZ176" t="e">
        <f>AND('Planilla_General_03-12-2012_9_3'!K2810,"AAAAAB/9v5s=")</f>
        <v>#VALUE!</v>
      </c>
      <c r="FA176" t="e">
        <f>AND('Planilla_General_03-12-2012_9_3'!L2810,"AAAAAB/9v5w=")</f>
        <v>#VALUE!</v>
      </c>
      <c r="FB176" t="e">
        <f>AND('Planilla_General_03-12-2012_9_3'!M2810,"AAAAAB/9v50=")</f>
        <v>#VALUE!</v>
      </c>
      <c r="FC176" t="e">
        <f>AND('Planilla_General_03-12-2012_9_3'!N2810,"AAAAAB/9v54=")</f>
        <v>#VALUE!</v>
      </c>
      <c r="FD176" t="e">
        <f>AND('Planilla_General_03-12-2012_9_3'!O2810,"AAAAAB/9v58=")</f>
        <v>#VALUE!</v>
      </c>
      <c r="FE176">
        <f>IF('Planilla_General_03-12-2012_9_3'!2811:2811,"AAAAAB/9v6A=",0)</f>
        <v>0</v>
      </c>
      <c r="FF176" t="e">
        <f>AND('Planilla_General_03-12-2012_9_3'!A2811,"AAAAAB/9v6E=")</f>
        <v>#VALUE!</v>
      </c>
      <c r="FG176" t="e">
        <f>AND('Planilla_General_03-12-2012_9_3'!B2811,"AAAAAB/9v6I=")</f>
        <v>#VALUE!</v>
      </c>
      <c r="FH176" t="e">
        <f>AND('Planilla_General_03-12-2012_9_3'!C2811,"AAAAAB/9v6M=")</f>
        <v>#VALUE!</v>
      </c>
      <c r="FI176" t="e">
        <f>AND('Planilla_General_03-12-2012_9_3'!D2811,"AAAAAB/9v6Q=")</f>
        <v>#VALUE!</v>
      </c>
      <c r="FJ176" t="e">
        <f>AND('Planilla_General_03-12-2012_9_3'!E2811,"AAAAAB/9v6U=")</f>
        <v>#VALUE!</v>
      </c>
      <c r="FK176" t="e">
        <f>AND('Planilla_General_03-12-2012_9_3'!F2811,"AAAAAB/9v6Y=")</f>
        <v>#VALUE!</v>
      </c>
      <c r="FL176" t="e">
        <f>AND('Planilla_General_03-12-2012_9_3'!G2811,"AAAAAB/9v6c=")</f>
        <v>#VALUE!</v>
      </c>
      <c r="FM176" t="e">
        <f>AND('Planilla_General_03-12-2012_9_3'!H2811,"AAAAAB/9v6g=")</f>
        <v>#VALUE!</v>
      </c>
      <c r="FN176" t="e">
        <f>AND('Planilla_General_03-12-2012_9_3'!I2811,"AAAAAB/9v6k=")</f>
        <v>#VALUE!</v>
      </c>
      <c r="FO176" t="e">
        <f>AND('Planilla_General_03-12-2012_9_3'!J2811,"AAAAAB/9v6o=")</f>
        <v>#VALUE!</v>
      </c>
      <c r="FP176" t="e">
        <f>AND('Planilla_General_03-12-2012_9_3'!K2811,"AAAAAB/9v6s=")</f>
        <v>#VALUE!</v>
      </c>
      <c r="FQ176" t="e">
        <f>AND('Planilla_General_03-12-2012_9_3'!L2811,"AAAAAB/9v6w=")</f>
        <v>#VALUE!</v>
      </c>
      <c r="FR176" t="e">
        <f>AND('Planilla_General_03-12-2012_9_3'!M2811,"AAAAAB/9v60=")</f>
        <v>#VALUE!</v>
      </c>
      <c r="FS176" t="e">
        <f>AND('Planilla_General_03-12-2012_9_3'!N2811,"AAAAAB/9v64=")</f>
        <v>#VALUE!</v>
      </c>
      <c r="FT176" t="e">
        <f>AND('Planilla_General_03-12-2012_9_3'!O2811,"AAAAAB/9v68=")</f>
        <v>#VALUE!</v>
      </c>
      <c r="FU176">
        <f>IF('Planilla_General_03-12-2012_9_3'!2812:2812,"AAAAAB/9v7A=",0)</f>
        <v>0</v>
      </c>
      <c r="FV176" t="e">
        <f>AND('Planilla_General_03-12-2012_9_3'!A2812,"AAAAAB/9v7E=")</f>
        <v>#VALUE!</v>
      </c>
      <c r="FW176" t="e">
        <f>AND('Planilla_General_03-12-2012_9_3'!B2812,"AAAAAB/9v7I=")</f>
        <v>#VALUE!</v>
      </c>
      <c r="FX176" t="e">
        <f>AND('Planilla_General_03-12-2012_9_3'!C2812,"AAAAAB/9v7M=")</f>
        <v>#VALUE!</v>
      </c>
      <c r="FY176" t="e">
        <f>AND('Planilla_General_03-12-2012_9_3'!D2812,"AAAAAB/9v7Q=")</f>
        <v>#VALUE!</v>
      </c>
      <c r="FZ176" t="e">
        <f>AND('Planilla_General_03-12-2012_9_3'!E2812,"AAAAAB/9v7U=")</f>
        <v>#VALUE!</v>
      </c>
      <c r="GA176" t="e">
        <f>AND('Planilla_General_03-12-2012_9_3'!F2812,"AAAAAB/9v7Y=")</f>
        <v>#VALUE!</v>
      </c>
      <c r="GB176" t="e">
        <f>AND('Planilla_General_03-12-2012_9_3'!G2812,"AAAAAB/9v7c=")</f>
        <v>#VALUE!</v>
      </c>
      <c r="GC176" t="e">
        <f>AND('Planilla_General_03-12-2012_9_3'!H2812,"AAAAAB/9v7g=")</f>
        <v>#VALUE!</v>
      </c>
      <c r="GD176" t="e">
        <f>AND('Planilla_General_03-12-2012_9_3'!I2812,"AAAAAB/9v7k=")</f>
        <v>#VALUE!</v>
      </c>
      <c r="GE176" t="e">
        <f>AND('Planilla_General_03-12-2012_9_3'!J2812,"AAAAAB/9v7o=")</f>
        <v>#VALUE!</v>
      </c>
      <c r="GF176" t="e">
        <f>AND('Planilla_General_03-12-2012_9_3'!K2812,"AAAAAB/9v7s=")</f>
        <v>#VALUE!</v>
      </c>
      <c r="GG176" t="e">
        <f>AND('Planilla_General_03-12-2012_9_3'!L2812,"AAAAAB/9v7w=")</f>
        <v>#VALUE!</v>
      </c>
      <c r="GH176" t="e">
        <f>AND('Planilla_General_03-12-2012_9_3'!M2812,"AAAAAB/9v70=")</f>
        <v>#VALUE!</v>
      </c>
      <c r="GI176" t="e">
        <f>AND('Planilla_General_03-12-2012_9_3'!N2812,"AAAAAB/9v74=")</f>
        <v>#VALUE!</v>
      </c>
      <c r="GJ176" t="e">
        <f>AND('Planilla_General_03-12-2012_9_3'!O2812,"AAAAAB/9v78=")</f>
        <v>#VALUE!</v>
      </c>
      <c r="GK176">
        <f>IF('Planilla_General_03-12-2012_9_3'!2813:2813,"AAAAAB/9v8A=",0)</f>
        <v>0</v>
      </c>
      <c r="GL176" t="e">
        <f>AND('Planilla_General_03-12-2012_9_3'!A2813,"AAAAAB/9v8E=")</f>
        <v>#VALUE!</v>
      </c>
      <c r="GM176" t="e">
        <f>AND('Planilla_General_03-12-2012_9_3'!B2813,"AAAAAB/9v8I=")</f>
        <v>#VALUE!</v>
      </c>
      <c r="GN176" t="e">
        <f>AND('Planilla_General_03-12-2012_9_3'!C2813,"AAAAAB/9v8M=")</f>
        <v>#VALUE!</v>
      </c>
      <c r="GO176" t="e">
        <f>AND('Planilla_General_03-12-2012_9_3'!D2813,"AAAAAB/9v8Q=")</f>
        <v>#VALUE!</v>
      </c>
      <c r="GP176" t="e">
        <f>AND('Planilla_General_03-12-2012_9_3'!E2813,"AAAAAB/9v8U=")</f>
        <v>#VALUE!</v>
      </c>
      <c r="GQ176" t="e">
        <f>AND('Planilla_General_03-12-2012_9_3'!F2813,"AAAAAB/9v8Y=")</f>
        <v>#VALUE!</v>
      </c>
      <c r="GR176" t="e">
        <f>AND('Planilla_General_03-12-2012_9_3'!G2813,"AAAAAB/9v8c=")</f>
        <v>#VALUE!</v>
      </c>
      <c r="GS176" t="e">
        <f>AND('Planilla_General_03-12-2012_9_3'!H2813,"AAAAAB/9v8g=")</f>
        <v>#VALUE!</v>
      </c>
      <c r="GT176" t="e">
        <f>AND('Planilla_General_03-12-2012_9_3'!I2813,"AAAAAB/9v8k=")</f>
        <v>#VALUE!</v>
      </c>
      <c r="GU176" t="e">
        <f>AND('Planilla_General_03-12-2012_9_3'!J2813,"AAAAAB/9v8o=")</f>
        <v>#VALUE!</v>
      </c>
      <c r="GV176" t="e">
        <f>AND('Planilla_General_03-12-2012_9_3'!K2813,"AAAAAB/9v8s=")</f>
        <v>#VALUE!</v>
      </c>
      <c r="GW176" t="e">
        <f>AND('Planilla_General_03-12-2012_9_3'!L2813,"AAAAAB/9v8w=")</f>
        <v>#VALUE!</v>
      </c>
      <c r="GX176" t="e">
        <f>AND('Planilla_General_03-12-2012_9_3'!M2813,"AAAAAB/9v80=")</f>
        <v>#VALUE!</v>
      </c>
      <c r="GY176" t="e">
        <f>AND('Planilla_General_03-12-2012_9_3'!N2813,"AAAAAB/9v84=")</f>
        <v>#VALUE!</v>
      </c>
      <c r="GZ176" t="e">
        <f>AND('Planilla_General_03-12-2012_9_3'!O2813,"AAAAAB/9v88=")</f>
        <v>#VALUE!</v>
      </c>
      <c r="HA176">
        <f>IF('Planilla_General_03-12-2012_9_3'!2814:2814,"AAAAAB/9v9A=",0)</f>
        <v>0</v>
      </c>
      <c r="HB176" t="e">
        <f>AND('Planilla_General_03-12-2012_9_3'!A2814,"AAAAAB/9v9E=")</f>
        <v>#VALUE!</v>
      </c>
      <c r="HC176" t="e">
        <f>AND('Planilla_General_03-12-2012_9_3'!B2814,"AAAAAB/9v9I=")</f>
        <v>#VALUE!</v>
      </c>
      <c r="HD176" t="e">
        <f>AND('Planilla_General_03-12-2012_9_3'!C2814,"AAAAAB/9v9M=")</f>
        <v>#VALUE!</v>
      </c>
      <c r="HE176" t="e">
        <f>AND('Planilla_General_03-12-2012_9_3'!D2814,"AAAAAB/9v9Q=")</f>
        <v>#VALUE!</v>
      </c>
      <c r="HF176" t="e">
        <f>AND('Planilla_General_03-12-2012_9_3'!E2814,"AAAAAB/9v9U=")</f>
        <v>#VALUE!</v>
      </c>
      <c r="HG176" t="e">
        <f>AND('Planilla_General_03-12-2012_9_3'!F2814,"AAAAAB/9v9Y=")</f>
        <v>#VALUE!</v>
      </c>
      <c r="HH176" t="e">
        <f>AND('Planilla_General_03-12-2012_9_3'!G2814,"AAAAAB/9v9c=")</f>
        <v>#VALUE!</v>
      </c>
      <c r="HI176" t="e">
        <f>AND('Planilla_General_03-12-2012_9_3'!H2814,"AAAAAB/9v9g=")</f>
        <v>#VALUE!</v>
      </c>
      <c r="HJ176" t="e">
        <f>AND('Planilla_General_03-12-2012_9_3'!I2814,"AAAAAB/9v9k=")</f>
        <v>#VALUE!</v>
      </c>
      <c r="HK176" t="e">
        <f>AND('Planilla_General_03-12-2012_9_3'!J2814,"AAAAAB/9v9o=")</f>
        <v>#VALUE!</v>
      </c>
      <c r="HL176" t="e">
        <f>AND('Planilla_General_03-12-2012_9_3'!K2814,"AAAAAB/9v9s=")</f>
        <v>#VALUE!</v>
      </c>
      <c r="HM176" t="e">
        <f>AND('Planilla_General_03-12-2012_9_3'!L2814,"AAAAAB/9v9w=")</f>
        <v>#VALUE!</v>
      </c>
      <c r="HN176" t="e">
        <f>AND('Planilla_General_03-12-2012_9_3'!M2814,"AAAAAB/9v90=")</f>
        <v>#VALUE!</v>
      </c>
      <c r="HO176" t="e">
        <f>AND('Planilla_General_03-12-2012_9_3'!N2814,"AAAAAB/9v94=")</f>
        <v>#VALUE!</v>
      </c>
      <c r="HP176" t="e">
        <f>AND('Planilla_General_03-12-2012_9_3'!O2814,"AAAAAB/9v98=")</f>
        <v>#VALUE!</v>
      </c>
      <c r="HQ176">
        <f>IF('Planilla_General_03-12-2012_9_3'!2815:2815,"AAAAAB/9v+A=",0)</f>
        <v>0</v>
      </c>
      <c r="HR176" t="e">
        <f>AND('Planilla_General_03-12-2012_9_3'!A2815,"AAAAAB/9v+E=")</f>
        <v>#VALUE!</v>
      </c>
      <c r="HS176" t="e">
        <f>AND('Planilla_General_03-12-2012_9_3'!B2815,"AAAAAB/9v+I=")</f>
        <v>#VALUE!</v>
      </c>
      <c r="HT176" t="e">
        <f>AND('Planilla_General_03-12-2012_9_3'!C2815,"AAAAAB/9v+M=")</f>
        <v>#VALUE!</v>
      </c>
      <c r="HU176" t="e">
        <f>AND('Planilla_General_03-12-2012_9_3'!D2815,"AAAAAB/9v+Q=")</f>
        <v>#VALUE!</v>
      </c>
      <c r="HV176" t="e">
        <f>AND('Planilla_General_03-12-2012_9_3'!E2815,"AAAAAB/9v+U=")</f>
        <v>#VALUE!</v>
      </c>
      <c r="HW176" t="e">
        <f>AND('Planilla_General_03-12-2012_9_3'!F2815,"AAAAAB/9v+Y=")</f>
        <v>#VALUE!</v>
      </c>
      <c r="HX176" t="e">
        <f>AND('Planilla_General_03-12-2012_9_3'!G2815,"AAAAAB/9v+c=")</f>
        <v>#VALUE!</v>
      </c>
      <c r="HY176" t="e">
        <f>AND('Planilla_General_03-12-2012_9_3'!H2815,"AAAAAB/9v+g=")</f>
        <v>#VALUE!</v>
      </c>
      <c r="HZ176" t="e">
        <f>AND('Planilla_General_03-12-2012_9_3'!I2815,"AAAAAB/9v+k=")</f>
        <v>#VALUE!</v>
      </c>
      <c r="IA176" t="e">
        <f>AND('Planilla_General_03-12-2012_9_3'!J2815,"AAAAAB/9v+o=")</f>
        <v>#VALUE!</v>
      </c>
      <c r="IB176" t="e">
        <f>AND('Planilla_General_03-12-2012_9_3'!K2815,"AAAAAB/9v+s=")</f>
        <v>#VALUE!</v>
      </c>
      <c r="IC176" t="e">
        <f>AND('Planilla_General_03-12-2012_9_3'!L2815,"AAAAAB/9v+w=")</f>
        <v>#VALUE!</v>
      </c>
      <c r="ID176" t="e">
        <f>AND('Planilla_General_03-12-2012_9_3'!M2815,"AAAAAB/9v+0=")</f>
        <v>#VALUE!</v>
      </c>
      <c r="IE176" t="e">
        <f>AND('Planilla_General_03-12-2012_9_3'!N2815,"AAAAAB/9v+4=")</f>
        <v>#VALUE!</v>
      </c>
      <c r="IF176" t="e">
        <f>AND('Planilla_General_03-12-2012_9_3'!O2815,"AAAAAB/9v+8=")</f>
        <v>#VALUE!</v>
      </c>
      <c r="IG176">
        <f>IF('Planilla_General_03-12-2012_9_3'!2816:2816,"AAAAAB/9v/A=",0)</f>
        <v>0</v>
      </c>
      <c r="IH176" t="e">
        <f>AND('Planilla_General_03-12-2012_9_3'!A2816,"AAAAAB/9v/E=")</f>
        <v>#VALUE!</v>
      </c>
      <c r="II176" t="e">
        <f>AND('Planilla_General_03-12-2012_9_3'!B2816,"AAAAAB/9v/I=")</f>
        <v>#VALUE!</v>
      </c>
      <c r="IJ176" t="e">
        <f>AND('Planilla_General_03-12-2012_9_3'!C2816,"AAAAAB/9v/M=")</f>
        <v>#VALUE!</v>
      </c>
      <c r="IK176" t="e">
        <f>AND('Planilla_General_03-12-2012_9_3'!D2816,"AAAAAB/9v/Q=")</f>
        <v>#VALUE!</v>
      </c>
      <c r="IL176" t="e">
        <f>AND('Planilla_General_03-12-2012_9_3'!E2816,"AAAAAB/9v/U=")</f>
        <v>#VALUE!</v>
      </c>
      <c r="IM176" t="e">
        <f>AND('Planilla_General_03-12-2012_9_3'!F2816,"AAAAAB/9v/Y=")</f>
        <v>#VALUE!</v>
      </c>
      <c r="IN176" t="e">
        <f>AND('Planilla_General_03-12-2012_9_3'!G2816,"AAAAAB/9v/c=")</f>
        <v>#VALUE!</v>
      </c>
      <c r="IO176" t="e">
        <f>AND('Planilla_General_03-12-2012_9_3'!H2816,"AAAAAB/9v/g=")</f>
        <v>#VALUE!</v>
      </c>
      <c r="IP176" t="e">
        <f>AND('Planilla_General_03-12-2012_9_3'!I2816,"AAAAAB/9v/k=")</f>
        <v>#VALUE!</v>
      </c>
      <c r="IQ176" t="e">
        <f>AND('Planilla_General_03-12-2012_9_3'!J2816,"AAAAAB/9v/o=")</f>
        <v>#VALUE!</v>
      </c>
      <c r="IR176" t="e">
        <f>AND('Planilla_General_03-12-2012_9_3'!K2816,"AAAAAB/9v/s=")</f>
        <v>#VALUE!</v>
      </c>
      <c r="IS176" t="e">
        <f>AND('Planilla_General_03-12-2012_9_3'!L2816,"AAAAAB/9v/w=")</f>
        <v>#VALUE!</v>
      </c>
      <c r="IT176" t="e">
        <f>AND('Planilla_General_03-12-2012_9_3'!M2816,"AAAAAB/9v/0=")</f>
        <v>#VALUE!</v>
      </c>
      <c r="IU176" t="e">
        <f>AND('Planilla_General_03-12-2012_9_3'!N2816,"AAAAAB/9v/4=")</f>
        <v>#VALUE!</v>
      </c>
      <c r="IV176" t="e">
        <f>AND('Planilla_General_03-12-2012_9_3'!O2816,"AAAAAB/9v/8=")</f>
        <v>#VALUE!</v>
      </c>
    </row>
    <row r="177" spans="1:256" x14ac:dyDescent="0.25">
      <c r="A177" t="e">
        <f>IF('Planilla_General_03-12-2012_9_3'!2817:2817,"AAAAADffzAA=",0)</f>
        <v>#VALUE!</v>
      </c>
      <c r="B177" t="e">
        <f>AND('Planilla_General_03-12-2012_9_3'!A2817,"AAAAADffzAE=")</f>
        <v>#VALUE!</v>
      </c>
      <c r="C177" t="e">
        <f>AND('Planilla_General_03-12-2012_9_3'!B2817,"AAAAADffzAI=")</f>
        <v>#VALUE!</v>
      </c>
      <c r="D177" t="e">
        <f>AND('Planilla_General_03-12-2012_9_3'!C2817,"AAAAADffzAM=")</f>
        <v>#VALUE!</v>
      </c>
      <c r="E177" t="e">
        <f>AND('Planilla_General_03-12-2012_9_3'!D2817,"AAAAADffzAQ=")</f>
        <v>#VALUE!</v>
      </c>
      <c r="F177" t="e">
        <f>AND('Planilla_General_03-12-2012_9_3'!E2817,"AAAAADffzAU=")</f>
        <v>#VALUE!</v>
      </c>
      <c r="G177" t="e">
        <f>AND('Planilla_General_03-12-2012_9_3'!F2817,"AAAAADffzAY=")</f>
        <v>#VALUE!</v>
      </c>
      <c r="H177" t="e">
        <f>AND('Planilla_General_03-12-2012_9_3'!G2817,"AAAAADffzAc=")</f>
        <v>#VALUE!</v>
      </c>
      <c r="I177" t="e">
        <f>AND('Planilla_General_03-12-2012_9_3'!H2817,"AAAAADffzAg=")</f>
        <v>#VALUE!</v>
      </c>
      <c r="J177" t="e">
        <f>AND('Planilla_General_03-12-2012_9_3'!I2817,"AAAAADffzAk=")</f>
        <v>#VALUE!</v>
      </c>
      <c r="K177" t="e">
        <f>AND('Planilla_General_03-12-2012_9_3'!J2817,"AAAAADffzAo=")</f>
        <v>#VALUE!</v>
      </c>
      <c r="L177" t="e">
        <f>AND('Planilla_General_03-12-2012_9_3'!K2817,"AAAAADffzAs=")</f>
        <v>#VALUE!</v>
      </c>
      <c r="M177" t="e">
        <f>AND('Planilla_General_03-12-2012_9_3'!L2817,"AAAAADffzAw=")</f>
        <v>#VALUE!</v>
      </c>
      <c r="N177" t="e">
        <f>AND('Planilla_General_03-12-2012_9_3'!M2817,"AAAAADffzA0=")</f>
        <v>#VALUE!</v>
      </c>
      <c r="O177" t="e">
        <f>AND('Planilla_General_03-12-2012_9_3'!N2817,"AAAAADffzA4=")</f>
        <v>#VALUE!</v>
      </c>
      <c r="P177" t="e">
        <f>AND('Planilla_General_03-12-2012_9_3'!O2817,"AAAAADffzA8=")</f>
        <v>#VALUE!</v>
      </c>
      <c r="Q177">
        <f>IF('Planilla_General_03-12-2012_9_3'!2818:2818,"AAAAADffzBA=",0)</f>
        <v>0</v>
      </c>
      <c r="R177" t="e">
        <f>AND('Planilla_General_03-12-2012_9_3'!A2818,"AAAAADffzBE=")</f>
        <v>#VALUE!</v>
      </c>
      <c r="S177" t="e">
        <f>AND('Planilla_General_03-12-2012_9_3'!B2818,"AAAAADffzBI=")</f>
        <v>#VALUE!</v>
      </c>
      <c r="T177" t="e">
        <f>AND('Planilla_General_03-12-2012_9_3'!C2818,"AAAAADffzBM=")</f>
        <v>#VALUE!</v>
      </c>
      <c r="U177" t="e">
        <f>AND('Planilla_General_03-12-2012_9_3'!D2818,"AAAAADffzBQ=")</f>
        <v>#VALUE!</v>
      </c>
      <c r="V177" t="e">
        <f>AND('Planilla_General_03-12-2012_9_3'!E2818,"AAAAADffzBU=")</f>
        <v>#VALUE!</v>
      </c>
      <c r="W177" t="e">
        <f>AND('Planilla_General_03-12-2012_9_3'!F2818,"AAAAADffzBY=")</f>
        <v>#VALUE!</v>
      </c>
      <c r="X177" t="e">
        <f>AND('Planilla_General_03-12-2012_9_3'!G2818,"AAAAADffzBc=")</f>
        <v>#VALUE!</v>
      </c>
      <c r="Y177" t="e">
        <f>AND('Planilla_General_03-12-2012_9_3'!H2818,"AAAAADffzBg=")</f>
        <v>#VALUE!</v>
      </c>
      <c r="Z177" t="e">
        <f>AND('Planilla_General_03-12-2012_9_3'!I2818,"AAAAADffzBk=")</f>
        <v>#VALUE!</v>
      </c>
      <c r="AA177" t="e">
        <f>AND('Planilla_General_03-12-2012_9_3'!J2818,"AAAAADffzBo=")</f>
        <v>#VALUE!</v>
      </c>
      <c r="AB177" t="e">
        <f>AND('Planilla_General_03-12-2012_9_3'!K2818,"AAAAADffzBs=")</f>
        <v>#VALUE!</v>
      </c>
      <c r="AC177" t="e">
        <f>AND('Planilla_General_03-12-2012_9_3'!L2818,"AAAAADffzBw=")</f>
        <v>#VALUE!</v>
      </c>
      <c r="AD177" t="e">
        <f>AND('Planilla_General_03-12-2012_9_3'!M2818,"AAAAADffzB0=")</f>
        <v>#VALUE!</v>
      </c>
      <c r="AE177" t="e">
        <f>AND('Planilla_General_03-12-2012_9_3'!N2818,"AAAAADffzB4=")</f>
        <v>#VALUE!</v>
      </c>
      <c r="AF177" t="e">
        <f>AND('Planilla_General_03-12-2012_9_3'!O2818,"AAAAADffzB8=")</f>
        <v>#VALUE!</v>
      </c>
      <c r="AG177">
        <f>IF('Planilla_General_03-12-2012_9_3'!2819:2819,"AAAAADffzCA=",0)</f>
        <v>0</v>
      </c>
      <c r="AH177" t="e">
        <f>AND('Planilla_General_03-12-2012_9_3'!A2819,"AAAAADffzCE=")</f>
        <v>#VALUE!</v>
      </c>
      <c r="AI177" t="e">
        <f>AND('Planilla_General_03-12-2012_9_3'!B2819,"AAAAADffzCI=")</f>
        <v>#VALUE!</v>
      </c>
      <c r="AJ177" t="e">
        <f>AND('Planilla_General_03-12-2012_9_3'!C2819,"AAAAADffzCM=")</f>
        <v>#VALUE!</v>
      </c>
      <c r="AK177" t="e">
        <f>AND('Planilla_General_03-12-2012_9_3'!D2819,"AAAAADffzCQ=")</f>
        <v>#VALUE!</v>
      </c>
      <c r="AL177" t="e">
        <f>AND('Planilla_General_03-12-2012_9_3'!E2819,"AAAAADffzCU=")</f>
        <v>#VALUE!</v>
      </c>
      <c r="AM177" t="e">
        <f>AND('Planilla_General_03-12-2012_9_3'!F2819,"AAAAADffzCY=")</f>
        <v>#VALUE!</v>
      </c>
      <c r="AN177" t="e">
        <f>AND('Planilla_General_03-12-2012_9_3'!G2819,"AAAAADffzCc=")</f>
        <v>#VALUE!</v>
      </c>
      <c r="AO177" t="e">
        <f>AND('Planilla_General_03-12-2012_9_3'!H2819,"AAAAADffzCg=")</f>
        <v>#VALUE!</v>
      </c>
      <c r="AP177" t="e">
        <f>AND('Planilla_General_03-12-2012_9_3'!I2819,"AAAAADffzCk=")</f>
        <v>#VALUE!</v>
      </c>
      <c r="AQ177" t="e">
        <f>AND('Planilla_General_03-12-2012_9_3'!J2819,"AAAAADffzCo=")</f>
        <v>#VALUE!</v>
      </c>
      <c r="AR177" t="e">
        <f>AND('Planilla_General_03-12-2012_9_3'!K2819,"AAAAADffzCs=")</f>
        <v>#VALUE!</v>
      </c>
      <c r="AS177" t="e">
        <f>AND('Planilla_General_03-12-2012_9_3'!L2819,"AAAAADffzCw=")</f>
        <v>#VALUE!</v>
      </c>
      <c r="AT177" t="e">
        <f>AND('Planilla_General_03-12-2012_9_3'!M2819,"AAAAADffzC0=")</f>
        <v>#VALUE!</v>
      </c>
      <c r="AU177" t="e">
        <f>AND('Planilla_General_03-12-2012_9_3'!N2819,"AAAAADffzC4=")</f>
        <v>#VALUE!</v>
      </c>
      <c r="AV177" t="e">
        <f>AND('Planilla_General_03-12-2012_9_3'!O2819,"AAAAADffzC8=")</f>
        <v>#VALUE!</v>
      </c>
      <c r="AW177">
        <f>IF('Planilla_General_03-12-2012_9_3'!2820:2820,"AAAAADffzDA=",0)</f>
        <v>0</v>
      </c>
      <c r="AX177" t="e">
        <f>AND('Planilla_General_03-12-2012_9_3'!A2820,"AAAAADffzDE=")</f>
        <v>#VALUE!</v>
      </c>
      <c r="AY177" t="e">
        <f>AND('Planilla_General_03-12-2012_9_3'!B2820,"AAAAADffzDI=")</f>
        <v>#VALUE!</v>
      </c>
      <c r="AZ177" t="e">
        <f>AND('Planilla_General_03-12-2012_9_3'!C2820,"AAAAADffzDM=")</f>
        <v>#VALUE!</v>
      </c>
      <c r="BA177" t="e">
        <f>AND('Planilla_General_03-12-2012_9_3'!D2820,"AAAAADffzDQ=")</f>
        <v>#VALUE!</v>
      </c>
      <c r="BB177" t="e">
        <f>AND('Planilla_General_03-12-2012_9_3'!E2820,"AAAAADffzDU=")</f>
        <v>#VALUE!</v>
      </c>
      <c r="BC177" t="e">
        <f>AND('Planilla_General_03-12-2012_9_3'!F2820,"AAAAADffzDY=")</f>
        <v>#VALUE!</v>
      </c>
      <c r="BD177" t="e">
        <f>AND('Planilla_General_03-12-2012_9_3'!G2820,"AAAAADffzDc=")</f>
        <v>#VALUE!</v>
      </c>
      <c r="BE177" t="e">
        <f>AND('Planilla_General_03-12-2012_9_3'!H2820,"AAAAADffzDg=")</f>
        <v>#VALUE!</v>
      </c>
      <c r="BF177" t="e">
        <f>AND('Planilla_General_03-12-2012_9_3'!I2820,"AAAAADffzDk=")</f>
        <v>#VALUE!</v>
      </c>
      <c r="BG177" t="e">
        <f>AND('Planilla_General_03-12-2012_9_3'!J2820,"AAAAADffzDo=")</f>
        <v>#VALUE!</v>
      </c>
      <c r="BH177" t="e">
        <f>AND('Planilla_General_03-12-2012_9_3'!K2820,"AAAAADffzDs=")</f>
        <v>#VALUE!</v>
      </c>
      <c r="BI177" t="e">
        <f>AND('Planilla_General_03-12-2012_9_3'!L2820,"AAAAADffzDw=")</f>
        <v>#VALUE!</v>
      </c>
      <c r="BJ177" t="e">
        <f>AND('Planilla_General_03-12-2012_9_3'!M2820,"AAAAADffzD0=")</f>
        <v>#VALUE!</v>
      </c>
      <c r="BK177" t="e">
        <f>AND('Planilla_General_03-12-2012_9_3'!N2820,"AAAAADffzD4=")</f>
        <v>#VALUE!</v>
      </c>
      <c r="BL177" t="e">
        <f>AND('Planilla_General_03-12-2012_9_3'!O2820,"AAAAADffzD8=")</f>
        <v>#VALUE!</v>
      </c>
      <c r="BM177">
        <f>IF('Planilla_General_03-12-2012_9_3'!2821:2821,"AAAAADffzEA=",0)</f>
        <v>0</v>
      </c>
      <c r="BN177" t="e">
        <f>AND('Planilla_General_03-12-2012_9_3'!A2821,"AAAAADffzEE=")</f>
        <v>#VALUE!</v>
      </c>
      <c r="BO177" t="e">
        <f>AND('Planilla_General_03-12-2012_9_3'!B2821,"AAAAADffzEI=")</f>
        <v>#VALUE!</v>
      </c>
      <c r="BP177" t="e">
        <f>AND('Planilla_General_03-12-2012_9_3'!C2821,"AAAAADffzEM=")</f>
        <v>#VALUE!</v>
      </c>
      <c r="BQ177" t="e">
        <f>AND('Planilla_General_03-12-2012_9_3'!D2821,"AAAAADffzEQ=")</f>
        <v>#VALUE!</v>
      </c>
      <c r="BR177" t="e">
        <f>AND('Planilla_General_03-12-2012_9_3'!E2821,"AAAAADffzEU=")</f>
        <v>#VALUE!</v>
      </c>
      <c r="BS177" t="e">
        <f>AND('Planilla_General_03-12-2012_9_3'!F2821,"AAAAADffzEY=")</f>
        <v>#VALUE!</v>
      </c>
      <c r="BT177" t="e">
        <f>AND('Planilla_General_03-12-2012_9_3'!G2821,"AAAAADffzEc=")</f>
        <v>#VALUE!</v>
      </c>
      <c r="BU177" t="e">
        <f>AND('Planilla_General_03-12-2012_9_3'!H2821,"AAAAADffzEg=")</f>
        <v>#VALUE!</v>
      </c>
      <c r="BV177" t="e">
        <f>AND('Planilla_General_03-12-2012_9_3'!I2821,"AAAAADffzEk=")</f>
        <v>#VALUE!</v>
      </c>
      <c r="BW177" t="e">
        <f>AND('Planilla_General_03-12-2012_9_3'!J2821,"AAAAADffzEo=")</f>
        <v>#VALUE!</v>
      </c>
      <c r="BX177" t="e">
        <f>AND('Planilla_General_03-12-2012_9_3'!K2821,"AAAAADffzEs=")</f>
        <v>#VALUE!</v>
      </c>
      <c r="BY177" t="e">
        <f>AND('Planilla_General_03-12-2012_9_3'!L2821,"AAAAADffzEw=")</f>
        <v>#VALUE!</v>
      </c>
      <c r="BZ177" t="e">
        <f>AND('Planilla_General_03-12-2012_9_3'!M2821,"AAAAADffzE0=")</f>
        <v>#VALUE!</v>
      </c>
      <c r="CA177" t="e">
        <f>AND('Planilla_General_03-12-2012_9_3'!N2821,"AAAAADffzE4=")</f>
        <v>#VALUE!</v>
      </c>
      <c r="CB177" t="e">
        <f>AND('Planilla_General_03-12-2012_9_3'!O2821,"AAAAADffzE8=")</f>
        <v>#VALUE!</v>
      </c>
      <c r="CC177">
        <f>IF('Planilla_General_03-12-2012_9_3'!2822:2822,"AAAAADffzFA=",0)</f>
        <v>0</v>
      </c>
      <c r="CD177" t="e">
        <f>AND('Planilla_General_03-12-2012_9_3'!A2822,"AAAAADffzFE=")</f>
        <v>#VALUE!</v>
      </c>
      <c r="CE177" t="e">
        <f>AND('Planilla_General_03-12-2012_9_3'!B2822,"AAAAADffzFI=")</f>
        <v>#VALUE!</v>
      </c>
      <c r="CF177" t="e">
        <f>AND('Planilla_General_03-12-2012_9_3'!C2822,"AAAAADffzFM=")</f>
        <v>#VALUE!</v>
      </c>
      <c r="CG177" t="e">
        <f>AND('Planilla_General_03-12-2012_9_3'!D2822,"AAAAADffzFQ=")</f>
        <v>#VALUE!</v>
      </c>
      <c r="CH177" t="e">
        <f>AND('Planilla_General_03-12-2012_9_3'!E2822,"AAAAADffzFU=")</f>
        <v>#VALUE!</v>
      </c>
      <c r="CI177" t="e">
        <f>AND('Planilla_General_03-12-2012_9_3'!F2822,"AAAAADffzFY=")</f>
        <v>#VALUE!</v>
      </c>
      <c r="CJ177" t="e">
        <f>AND('Planilla_General_03-12-2012_9_3'!G2822,"AAAAADffzFc=")</f>
        <v>#VALUE!</v>
      </c>
      <c r="CK177" t="e">
        <f>AND('Planilla_General_03-12-2012_9_3'!H2822,"AAAAADffzFg=")</f>
        <v>#VALUE!</v>
      </c>
      <c r="CL177" t="e">
        <f>AND('Planilla_General_03-12-2012_9_3'!I2822,"AAAAADffzFk=")</f>
        <v>#VALUE!</v>
      </c>
      <c r="CM177" t="e">
        <f>AND('Planilla_General_03-12-2012_9_3'!J2822,"AAAAADffzFo=")</f>
        <v>#VALUE!</v>
      </c>
      <c r="CN177" t="e">
        <f>AND('Planilla_General_03-12-2012_9_3'!K2822,"AAAAADffzFs=")</f>
        <v>#VALUE!</v>
      </c>
      <c r="CO177" t="e">
        <f>AND('Planilla_General_03-12-2012_9_3'!L2822,"AAAAADffzFw=")</f>
        <v>#VALUE!</v>
      </c>
      <c r="CP177" t="e">
        <f>AND('Planilla_General_03-12-2012_9_3'!M2822,"AAAAADffzF0=")</f>
        <v>#VALUE!</v>
      </c>
      <c r="CQ177" t="e">
        <f>AND('Planilla_General_03-12-2012_9_3'!N2822,"AAAAADffzF4=")</f>
        <v>#VALUE!</v>
      </c>
      <c r="CR177" t="e">
        <f>AND('Planilla_General_03-12-2012_9_3'!O2822,"AAAAADffzF8=")</f>
        <v>#VALUE!</v>
      </c>
      <c r="CS177">
        <f>IF('Planilla_General_03-12-2012_9_3'!2823:2823,"AAAAADffzGA=",0)</f>
        <v>0</v>
      </c>
      <c r="CT177" t="e">
        <f>AND('Planilla_General_03-12-2012_9_3'!A2823,"AAAAADffzGE=")</f>
        <v>#VALUE!</v>
      </c>
      <c r="CU177" t="e">
        <f>AND('Planilla_General_03-12-2012_9_3'!B2823,"AAAAADffzGI=")</f>
        <v>#VALUE!</v>
      </c>
      <c r="CV177" t="e">
        <f>AND('Planilla_General_03-12-2012_9_3'!C2823,"AAAAADffzGM=")</f>
        <v>#VALUE!</v>
      </c>
      <c r="CW177" t="e">
        <f>AND('Planilla_General_03-12-2012_9_3'!D2823,"AAAAADffzGQ=")</f>
        <v>#VALUE!</v>
      </c>
      <c r="CX177" t="e">
        <f>AND('Planilla_General_03-12-2012_9_3'!E2823,"AAAAADffzGU=")</f>
        <v>#VALUE!</v>
      </c>
      <c r="CY177" t="e">
        <f>AND('Planilla_General_03-12-2012_9_3'!F2823,"AAAAADffzGY=")</f>
        <v>#VALUE!</v>
      </c>
      <c r="CZ177" t="e">
        <f>AND('Planilla_General_03-12-2012_9_3'!G2823,"AAAAADffzGc=")</f>
        <v>#VALUE!</v>
      </c>
      <c r="DA177" t="e">
        <f>AND('Planilla_General_03-12-2012_9_3'!H2823,"AAAAADffzGg=")</f>
        <v>#VALUE!</v>
      </c>
      <c r="DB177" t="e">
        <f>AND('Planilla_General_03-12-2012_9_3'!I2823,"AAAAADffzGk=")</f>
        <v>#VALUE!</v>
      </c>
      <c r="DC177" t="e">
        <f>AND('Planilla_General_03-12-2012_9_3'!J2823,"AAAAADffzGo=")</f>
        <v>#VALUE!</v>
      </c>
      <c r="DD177" t="e">
        <f>AND('Planilla_General_03-12-2012_9_3'!K2823,"AAAAADffzGs=")</f>
        <v>#VALUE!</v>
      </c>
      <c r="DE177" t="e">
        <f>AND('Planilla_General_03-12-2012_9_3'!L2823,"AAAAADffzGw=")</f>
        <v>#VALUE!</v>
      </c>
      <c r="DF177" t="e">
        <f>AND('Planilla_General_03-12-2012_9_3'!M2823,"AAAAADffzG0=")</f>
        <v>#VALUE!</v>
      </c>
      <c r="DG177" t="e">
        <f>AND('Planilla_General_03-12-2012_9_3'!N2823,"AAAAADffzG4=")</f>
        <v>#VALUE!</v>
      </c>
      <c r="DH177" t="e">
        <f>AND('Planilla_General_03-12-2012_9_3'!O2823,"AAAAADffzG8=")</f>
        <v>#VALUE!</v>
      </c>
      <c r="DI177">
        <f>IF('Planilla_General_03-12-2012_9_3'!2824:2824,"AAAAADffzHA=",0)</f>
        <v>0</v>
      </c>
      <c r="DJ177" t="e">
        <f>AND('Planilla_General_03-12-2012_9_3'!A2824,"AAAAADffzHE=")</f>
        <v>#VALUE!</v>
      </c>
      <c r="DK177" t="e">
        <f>AND('Planilla_General_03-12-2012_9_3'!B2824,"AAAAADffzHI=")</f>
        <v>#VALUE!</v>
      </c>
      <c r="DL177" t="e">
        <f>AND('Planilla_General_03-12-2012_9_3'!C2824,"AAAAADffzHM=")</f>
        <v>#VALUE!</v>
      </c>
      <c r="DM177" t="e">
        <f>AND('Planilla_General_03-12-2012_9_3'!D2824,"AAAAADffzHQ=")</f>
        <v>#VALUE!</v>
      </c>
      <c r="DN177" t="e">
        <f>AND('Planilla_General_03-12-2012_9_3'!E2824,"AAAAADffzHU=")</f>
        <v>#VALUE!</v>
      </c>
      <c r="DO177" t="e">
        <f>AND('Planilla_General_03-12-2012_9_3'!F2824,"AAAAADffzHY=")</f>
        <v>#VALUE!</v>
      </c>
      <c r="DP177" t="e">
        <f>AND('Planilla_General_03-12-2012_9_3'!G2824,"AAAAADffzHc=")</f>
        <v>#VALUE!</v>
      </c>
      <c r="DQ177" t="e">
        <f>AND('Planilla_General_03-12-2012_9_3'!H2824,"AAAAADffzHg=")</f>
        <v>#VALUE!</v>
      </c>
      <c r="DR177" t="e">
        <f>AND('Planilla_General_03-12-2012_9_3'!I2824,"AAAAADffzHk=")</f>
        <v>#VALUE!</v>
      </c>
      <c r="DS177" t="e">
        <f>AND('Planilla_General_03-12-2012_9_3'!J2824,"AAAAADffzHo=")</f>
        <v>#VALUE!</v>
      </c>
      <c r="DT177" t="e">
        <f>AND('Planilla_General_03-12-2012_9_3'!K2824,"AAAAADffzHs=")</f>
        <v>#VALUE!</v>
      </c>
      <c r="DU177" t="e">
        <f>AND('Planilla_General_03-12-2012_9_3'!L2824,"AAAAADffzHw=")</f>
        <v>#VALUE!</v>
      </c>
      <c r="DV177" t="e">
        <f>AND('Planilla_General_03-12-2012_9_3'!M2824,"AAAAADffzH0=")</f>
        <v>#VALUE!</v>
      </c>
      <c r="DW177" t="e">
        <f>AND('Planilla_General_03-12-2012_9_3'!N2824,"AAAAADffzH4=")</f>
        <v>#VALUE!</v>
      </c>
      <c r="DX177" t="e">
        <f>AND('Planilla_General_03-12-2012_9_3'!O2824,"AAAAADffzH8=")</f>
        <v>#VALUE!</v>
      </c>
      <c r="DY177">
        <f>IF('Planilla_General_03-12-2012_9_3'!2825:2825,"AAAAADffzIA=",0)</f>
        <v>0</v>
      </c>
      <c r="DZ177" t="e">
        <f>AND('Planilla_General_03-12-2012_9_3'!A2825,"AAAAADffzIE=")</f>
        <v>#VALUE!</v>
      </c>
      <c r="EA177" t="e">
        <f>AND('Planilla_General_03-12-2012_9_3'!B2825,"AAAAADffzII=")</f>
        <v>#VALUE!</v>
      </c>
      <c r="EB177" t="e">
        <f>AND('Planilla_General_03-12-2012_9_3'!C2825,"AAAAADffzIM=")</f>
        <v>#VALUE!</v>
      </c>
      <c r="EC177" t="e">
        <f>AND('Planilla_General_03-12-2012_9_3'!D2825,"AAAAADffzIQ=")</f>
        <v>#VALUE!</v>
      </c>
      <c r="ED177" t="e">
        <f>AND('Planilla_General_03-12-2012_9_3'!E2825,"AAAAADffzIU=")</f>
        <v>#VALUE!</v>
      </c>
      <c r="EE177" t="e">
        <f>AND('Planilla_General_03-12-2012_9_3'!F2825,"AAAAADffzIY=")</f>
        <v>#VALUE!</v>
      </c>
      <c r="EF177" t="e">
        <f>AND('Planilla_General_03-12-2012_9_3'!G2825,"AAAAADffzIc=")</f>
        <v>#VALUE!</v>
      </c>
      <c r="EG177" t="e">
        <f>AND('Planilla_General_03-12-2012_9_3'!H2825,"AAAAADffzIg=")</f>
        <v>#VALUE!</v>
      </c>
      <c r="EH177" t="e">
        <f>AND('Planilla_General_03-12-2012_9_3'!I2825,"AAAAADffzIk=")</f>
        <v>#VALUE!</v>
      </c>
      <c r="EI177" t="e">
        <f>AND('Planilla_General_03-12-2012_9_3'!J2825,"AAAAADffzIo=")</f>
        <v>#VALUE!</v>
      </c>
      <c r="EJ177" t="e">
        <f>AND('Planilla_General_03-12-2012_9_3'!K2825,"AAAAADffzIs=")</f>
        <v>#VALUE!</v>
      </c>
      <c r="EK177" t="e">
        <f>AND('Planilla_General_03-12-2012_9_3'!L2825,"AAAAADffzIw=")</f>
        <v>#VALUE!</v>
      </c>
      <c r="EL177" t="e">
        <f>AND('Planilla_General_03-12-2012_9_3'!M2825,"AAAAADffzI0=")</f>
        <v>#VALUE!</v>
      </c>
      <c r="EM177" t="e">
        <f>AND('Planilla_General_03-12-2012_9_3'!N2825,"AAAAADffzI4=")</f>
        <v>#VALUE!</v>
      </c>
      <c r="EN177" t="e">
        <f>AND('Planilla_General_03-12-2012_9_3'!O2825,"AAAAADffzI8=")</f>
        <v>#VALUE!</v>
      </c>
      <c r="EO177">
        <f>IF('Planilla_General_03-12-2012_9_3'!2826:2826,"AAAAADffzJA=",0)</f>
        <v>0</v>
      </c>
      <c r="EP177" t="e">
        <f>AND('Planilla_General_03-12-2012_9_3'!A2826,"AAAAADffzJE=")</f>
        <v>#VALUE!</v>
      </c>
      <c r="EQ177" t="e">
        <f>AND('Planilla_General_03-12-2012_9_3'!B2826,"AAAAADffzJI=")</f>
        <v>#VALUE!</v>
      </c>
      <c r="ER177" t="e">
        <f>AND('Planilla_General_03-12-2012_9_3'!C2826,"AAAAADffzJM=")</f>
        <v>#VALUE!</v>
      </c>
      <c r="ES177" t="e">
        <f>AND('Planilla_General_03-12-2012_9_3'!D2826,"AAAAADffzJQ=")</f>
        <v>#VALUE!</v>
      </c>
      <c r="ET177" t="e">
        <f>AND('Planilla_General_03-12-2012_9_3'!E2826,"AAAAADffzJU=")</f>
        <v>#VALUE!</v>
      </c>
      <c r="EU177" t="e">
        <f>AND('Planilla_General_03-12-2012_9_3'!F2826,"AAAAADffzJY=")</f>
        <v>#VALUE!</v>
      </c>
      <c r="EV177" t="e">
        <f>AND('Planilla_General_03-12-2012_9_3'!G2826,"AAAAADffzJc=")</f>
        <v>#VALUE!</v>
      </c>
      <c r="EW177" t="e">
        <f>AND('Planilla_General_03-12-2012_9_3'!H2826,"AAAAADffzJg=")</f>
        <v>#VALUE!</v>
      </c>
      <c r="EX177" t="e">
        <f>AND('Planilla_General_03-12-2012_9_3'!I2826,"AAAAADffzJk=")</f>
        <v>#VALUE!</v>
      </c>
      <c r="EY177" t="e">
        <f>AND('Planilla_General_03-12-2012_9_3'!J2826,"AAAAADffzJo=")</f>
        <v>#VALUE!</v>
      </c>
      <c r="EZ177" t="e">
        <f>AND('Planilla_General_03-12-2012_9_3'!K2826,"AAAAADffzJs=")</f>
        <v>#VALUE!</v>
      </c>
      <c r="FA177" t="e">
        <f>AND('Planilla_General_03-12-2012_9_3'!L2826,"AAAAADffzJw=")</f>
        <v>#VALUE!</v>
      </c>
      <c r="FB177" t="e">
        <f>AND('Planilla_General_03-12-2012_9_3'!M2826,"AAAAADffzJ0=")</f>
        <v>#VALUE!</v>
      </c>
      <c r="FC177" t="e">
        <f>AND('Planilla_General_03-12-2012_9_3'!N2826,"AAAAADffzJ4=")</f>
        <v>#VALUE!</v>
      </c>
      <c r="FD177" t="e">
        <f>AND('Planilla_General_03-12-2012_9_3'!O2826,"AAAAADffzJ8=")</f>
        <v>#VALUE!</v>
      </c>
      <c r="FE177">
        <f>IF('Planilla_General_03-12-2012_9_3'!2827:2827,"AAAAADffzKA=",0)</f>
        <v>0</v>
      </c>
      <c r="FF177" t="e">
        <f>AND('Planilla_General_03-12-2012_9_3'!A2827,"AAAAADffzKE=")</f>
        <v>#VALUE!</v>
      </c>
      <c r="FG177" t="e">
        <f>AND('Planilla_General_03-12-2012_9_3'!B2827,"AAAAADffzKI=")</f>
        <v>#VALUE!</v>
      </c>
      <c r="FH177" t="e">
        <f>AND('Planilla_General_03-12-2012_9_3'!C2827,"AAAAADffzKM=")</f>
        <v>#VALUE!</v>
      </c>
      <c r="FI177" t="e">
        <f>AND('Planilla_General_03-12-2012_9_3'!D2827,"AAAAADffzKQ=")</f>
        <v>#VALUE!</v>
      </c>
      <c r="FJ177" t="e">
        <f>AND('Planilla_General_03-12-2012_9_3'!E2827,"AAAAADffzKU=")</f>
        <v>#VALUE!</v>
      </c>
      <c r="FK177" t="e">
        <f>AND('Planilla_General_03-12-2012_9_3'!F2827,"AAAAADffzKY=")</f>
        <v>#VALUE!</v>
      </c>
      <c r="FL177" t="e">
        <f>AND('Planilla_General_03-12-2012_9_3'!G2827,"AAAAADffzKc=")</f>
        <v>#VALUE!</v>
      </c>
      <c r="FM177" t="e">
        <f>AND('Planilla_General_03-12-2012_9_3'!H2827,"AAAAADffzKg=")</f>
        <v>#VALUE!</v>
      </c>
      <c r="FN177" t="e">
        <f>AND('Planilla_General_03-12-2012_9_3'!I2827,"AAAAADffzKk=")</f>
        <v>#VALUE!</v>
      </c>
      <c r="FO177" t="e">
        <f>AND('Planilla_General_03-12-2012_9_3'!J2827,"AAAAADffzKo=")</f>
        <v>#VALUE!</v>
      </c>
      <c r="FP177" t="e">
        <f>AND('Planilla_General_03-12-2012_9_3'!K2827,"AAAAADffzKs=")</f>
        <v>#VALUE!</v>
      </c>
      <c r="FQ177" t="e">
        <f>AND('Planilla_General_03-12-2012_9_3'!L2827,"AAAAADffzKw=")</f>
        <v>#VALUE!</v>
      </c>
      <c r="FR177" t="e">
        <f>AND('Planilla_General_03-12-2012_9_3'!M2827,"AAAAADffzK0=")</f>
        <v>#VALUE!</v>
      </c>
      <c r="FS177" t="e">
        <f>AND('Planilla_General_03-12-2012_9_3'!N2827,"AAAAADffzK4=")</f>
        <v>#VALUE!</v>
      </c>
      <c r="FT177" t="e">
        <f>AND('Planilla_General_03-12-2012_9_3'!O2827,"AAAAADffzK8=")</f>
        <v>#VALUE!</v>
      </c>
      <c r="FU177">
        <f>IF('Planilla_General_03-12-2012_9_3'!2828:2828,"AAAAADffzLA=",0)</f>
        <v>0</v>
      </c>
      <c r="FV177" t="e">
        <f>AND('Planilla_General_03-12-2012_9_3'!A2828,"AAAAADffzLE=")</f>
        <v>#VALUE!</v>
      </c>
      <c r="FW177" t="e">
        <f>AND('Planilla_General_03-12-2012_9_3'!B2828,"AAAAADffzLI=")</f>
        <v>#VALUE!</v>
      </c>
      <c r="FX177" t="e">
        <f>AND('Planilla_General_03-12-2012_9_3'!C2828,"AAAAADffzLM=")</f>
        <v>#VALUE!</v>
      </c>
      <c r="FY177" t="e">
        <f>AND('Planilla_General_03-12-2012_9_3'!D2828,"AAAAADffzLQ=")</f>
        <v>#VALUE!</v>
      </c>
      <c r="FZ177" t="e">
        <f>AND('Planilla_General_03-12-2012_9_3'!E2828,"AAAAADffzLU=")</f>
        <v>#VALUE!</v>
      </c>
      <c r="GA177" t="e">
        <f>AND('Planilla_General_03-12-2012_9_3'!F2828,"AAAAADffzLY=")</f>
        <v>#VALUE!</v>
      </c>
      <c r="GB177" t="e">
        <f>AND('Planilla_General_03-12-2012_9_3'!G2828,"AAAAADffzLc=")</f>
        <v>#VALUE!</v>
      </c>
      <c r="GC177" t="e">
        <f>AND('Planilla_General_03-12-2012_9_3'!H2828,"AAAAADffzLg=")</f>
        <v>#VALUE!</v>
      </c>
      <c r="GD177" t="e">
        <f>AND('Planilla_General_03-12-2012_9_3'!I2828,"AAAAADffzLk=")</f>
        <v>#VALUE!</v>
      </c>
      <c r="GE177" t="e">
        <f>AND('Planilla_General_03-12-2012_9_3'!J2828,"AAAAADffzLo=")</f>
        <v>#VALUE!</v>
      </c>
      <c r="GF177" t="e">
        <f>AND('Planilla_General_03-12-2012_9_3'!K2828,"AAAAADffzLs=")</f>
        <v>#VALUE!</v>
      </c>
      <c r="GG177" t="e">
        <f>AND('Planilla_General_03-12-2012_9_3'!L2828,"AAAAADffzLw=")</f>
        <v>#VALUE!</v>
      </c>
      <c r="GH177" t="e">
        <f>AND('Planilla_General_03-12-2012_9_3'!M2828,"AAAAADffzL0=")</f>
        <v>#VALUE!</v>
      </c>
      <c r="GI177" t="e">
        <f>AND('Planilla_General_03-12-2012_9_3'!N2828,"AAAAADffzL4=")</f>
        <v>#VALUE!</v>
      </c>
      <c r="GJ177" t="e">
        <f>AND('Planilla_General_03-12-2012_9_3'!O2828,"AAAAADffzL8=")</f>
        <v>#VALUE!</v>
      </c>
      <c r="GK177">
        <f>IF('Planilla_General_03-12-2012_9_3'!2829:2829,"AAAAADffzMA=",0)</f>
        <v>0</v>
      </c>
      <c r="GL177" t="e">
        <f>AND('Planilla_General_03-12-2012_9_3'!A2829,"AAAAADffzME=")</f>
        <v>#VALUE!</v>
      </c>
      <c r="GM177" t="e">
        <f>AND('Planilla_General_03-12-2012_9_3'!B2829,"AAAAADffzMI=")</f>
        <v>#VALUE!</v>
      </c>
      <c r="GN177" t="e">
        <f>AND('Planilla_General_03-12-2012_9_3'!C2829,"AAAAADffzMM=")</f>
        <v>#VALUE!</v>
      </c>
      <c r="GO177" t="e">
        <f>AND('Planilla_General_03-12-2012_9_3'!D2829,"AAAAADffzMQ=")</f>
        <v>#VALUE!</v>
      </c>
      <c r="GP177" t="e">
        <f>AND('Planilla_General_03-12-2012_9_3'!E2829,"AAAAADffzMU=")</f>
        <v>#VALUE!</v>
      </c>
      <c r="GQ177" t="e">
        <f>AND('Planilla_General_03-12-2012_9_3'!F2829,"AAAAADffzMY=")</f>
        <v>#VALUE!</v>
      </c>
      <c r="GR177" t="e">
        <f>AND('Planilla_General_03-12-2012_9_3'!G2829,"AAAAADffzMc=")</f>
        <v>#VALUE!</v>
      </c>
      <c r="GS177" t="e">
        <f>AND('Planilla_General_03-12-2012_9_3'!H2829,"AAAAADffzMg=")</f>
        <v>#VALUE!</v>
      </c>
      <c r="GT177" t="e">
        <f>AND('Planilla_General_03-12-2012_9_3'!I2829,"AAAAADffzMk=")</f>
        <v>#VALUE!</v>
      </c>
      <c r="GU177" t="e">
        <f>AND('Planilla_General_03-12-2012_9_3'!J2829,"AAAAADffzMo=")</f>
        <v>#VALUE!</v>
      </c>
      <c r="GV177" t="e">
        <f>AND('Planilla_General_03-12-2012_9_3'!K2829,"AAAAADffzMs=")</f>
        <v>#VALUE!</v>
      </c>
      <c r="GW177" t="e">
        <f>AND('Planilla_General_03-12-2012_9_3'!L2829,"AAAAADffzMw=")</f>
        <v>#VALUE!</v>
      </c>
      <c r="GX177" t="e">
        <f>AND('Planilla_General_03-12-2012_9_3'!M2829,"AAAAADffzM0=")</f>
        <v>#VALUE!</v>
      </c>
      <c r="GY177" t="e">
        <f>AND('Planilla_General_03-12-2012_9_3'!N2829,"AAAAADffzM4=")</f>
        <v>#VALUE!</v>
      </c>
      <c r="GZ177" t="e">
        <f>AND('Planilla_General_03-12-2012_9_3'!O2829,"AAAAADffzM8=")</f>
        <v>#VALUE!</v>
      </c>
      <c r="HA177">
        <f>IF('Planilla_General_03-12-2012_9_3'!2830:2830,"AAAAADffzNA=",0)</f>
        <v>0</v>
      </c>
      <c r="HB177" t="e">
        <f>AND('Planilla_General_03-12-2012_9_3'!A2830,"AAAAADffzNE=")</f>
        <v>#VALUE!</v>
      </c>
      <c r="HC177" t="e">
        <f>AND('Planilla_General_03-12-2012_9_3'!B2830,"AAAAADffzNI=")</f>
        <v>#VALUE!</v>
      </c>
      <c r="HD177" t="e">
        <f>AND('Planilla_General_03-12-2012_9_3'!C2830,"AAAAADffzNM=")</f>
        <v>#VALUE!</v>
      </c>
      <c r="HE177" t="e">
        <f>AND('Planilla_General_03-12-2012_9_3'!D2830,"AAAAADffzNQ=")</f>
        <v>#VALUE!</v>
      </c>
      <c r="HF177" t="e">
        <f>AND('Planilla_General_03-12-2012_9_3'!E2830,"AAAAADffzNU=")</f>
        <v>#VALUE!</v>
      </c>
      <c r="HG177" t="e">
        <f>AND('Planilla_General_03-12-2012_9_3'!F2830,"AAAAADffzNY=")</f>
        <v>#VALUE!</v>
      </c>
      <c r="HH177" t="e">
        <f>AND('Planilla_General_03-12-2012_9_3'!G2830,"AAAAADffzNc=")</f>
        <v>#VALUE!</v>
      </c>
      <c r="HI177" t="e">
        <f>AND('Planilla_General_03-12-2012_9_3'!H2830,"AAAAADffzNg=")</f>
        <v>#VALUE!</v>
      </c>
      <c r="HJ177" t="e">
        <f>AND('Planilla_General_03-12-2012_9_3'!I2830,"AAAAADffzNk=")</f>
        <v>#VALUE!</v>
      </c>
      <c r="HK177" t="e">
        <f>AND('Planilla_General_03-12-2012_9_3'!J2830,"AAAAADffzNo=")</f>
        <v>#VALUE!</v>
      </c>
      <c r="HL177" t="e">
        <f>AND('Planilla_General_03-12-2012_9_3'!K2830,"AAAAADffzNs=")</f>
        <v>#VALUE!</v>
      </c>
      <c r="HM177" t="e">
        <f>AND('Planilla_General_03-12-2012_9_3'!L2830,"AAAAADffzNw=")</f>
        <v>#VALUE!</v>
      </c>
      <c r="HN177" t="e">
        <f>AND('Planilla_General_03-12-2012_9_3'!M2830,"AAAAADffzN0=")</f>
        <v>#VALUE!</v>
      </c>
      <c r="HO177" t="e">
        <f>AND('Planilla_General_03-12-2012_9_3'!N2830,"AAAAADffzN4=")</f>
        <v>#VALUE!</v>
      </c>
      <c r="HP177" t="e">
        <f>AND('Planilla_General_03-12-2012_9_3'!O2830,"AAAAADffzN8=")</f>
        <v>#VALUE!</v>
      </c>
      <c r="HQ177">
        <f>IF('Planilla_General_03-12-2012_9_3'!2831:2831,"AAAAADffzOA=",0)</f>
        <v>0</v>
      </c>
      <c r="HR177" t="e">
        <f>AND('Planilla_General_03-12-2012_9_3'!A2831,"AAAAADffzOE=")</f>
        <v>#VALUE!</v>
      </c>
      <c r="HS177" t="e">
        <f>AND('Planilla_General_03-12-2012_9_3'!B2831,"AAAAADffzOI=")</f>
        <v>#VALUE!</v>
      </c>
      <c r="HT177" t="e">
        <f>AND('Planilla_General_03-12-2012_9_3'!C2831,"AAAAADffzOM=")</f>
        <v>#VALUE!</v>
      </c>
      <c r="HU177" t="e">
        <f>AND('Planilla_General_03-12-2012_9_3'!D2831,"AAAAADffzOQ=")</f>
        <v>#VALUE!</v>
      </c>
      <c r="HV177" t="e">
        <f>AND('Planilla_General_03-12-2012_9_3'!E2831,"AAAAADffzOU=")</f>
        <v>#VALUE!</v>
      </c>
      <c r="HW177" t="e">
        <f>AND('Planilla_General_03-12-2012_9_3'!F2831,"AAAAADffzOY=")</f>
        <v>#VALUE!</v>
      </c>
      <c r="HX177" t="e">
        <f>AND('Planilla_General_03-12-2012_9_3'!G2831,"AAAAADffzOc=")</f>
        <v>#VALUE!</v>
      </c>
      <c r="HY177" t="e">
        <f>AND('Planilla_General_03-12-2012_9_3'!H2831,"AAAAADffzOg=")</f>
        <v>#VALUE!</v>
      </c>
      <c r="HZ177" t="e">
        <f>AND('Planilla_General_03-12-2012_9_3'!I2831,"AAAAADffzOk=")</f>
        <v>#VALUE!</v>
      </c>
      <c r="IA177" t="e">
        <f>AND('Planilla_General_03-12-2012_9_3'!J2831,"AAAAADffzOo=")</f>
        <v>#VALUE!</v>
      </c>
      <c r="IB177" t="e">
        <f>AND('Planilla_General_03-12-2012_9_3'!K2831,"AAAAADffzOs=")</f>
        <v>#VALUE!</v>
      </c>
      <c r="IC177" t="e">
        <f>AND('Planilla_General_03-12-2012_9_3'!L2831,"AAAAADffzOw=")</f>
        <v>#VALUE!</v>
      </c>
      <c r="ID177" t="e">
        <f>AND('Planilla_General_03-12-2012_9_3'!M2831,"AAAAADffzO0=")</f>
        <v>#VALUE!</v>
      </c>
      <c r="IE177" t="e">
        <f>AND('Planilla_General_03-12-2012_9_3'!N2831,"AAAAADffzO4=")</f>
        <v>#VALUE!</v>
      </c>
      <c r="IF177" t="e">
        <f>AND('Planilla_General_03-12-2012_9_3'!O2831,"AAAAADffzO8=")</f>
        <v>#VALUE!</v>
      </c>
      <c r="IG177">
        <f>IF('Planilla_General_03-12-2012_9_3'!2832:2832,"AAAAADffzPA=",0)</f>
        <v>0</v>
      </c>
      <c r="IH177" t="e">
        <f>AND('Planilla_General_03-12-2012_9_3'!A2832,"AAAAADffzPE=")</f>
        <v>#VALUE!</v>
      </c>
      <c r="II177" t="e">
        <f>AND('Planilla_General_03-12-2012_9_3'!B2832,"AAAAADffzPI=")</f>
        <v>#VALUE!</v>
      </c>
      <c r="IJ177" t="e">
        <f>AND('Planilla_General_03-12-2012_9_3'!C2832,"AAAAADffzPM=")</f>
        <v>#VALUE!</v>
      </c>
      <c r="IK177" t="e">
        <f>AND('Planilla_General_03-12-2012_9_3'!D2832,"AAAAADffzPQ=")</f>
        <v>#VALUE!</v>
      </c>
      <c r="IL177" t="e">
        <f>AND('Planilla_General_03-12-2012_9_3'!E2832,"AAAAADffzPU=")</f>
        <v>#VALUE!</v>
      </c>
      <c r="IM177" t="e">
        <f>AND('Planilla_General_03-12-2012_9_3'!F2832,"AAAAADffzPY=")</f>
        <v>#VALUE!</v>
      </c>
      <c r="IN177" t="e">
        <f>AND('Planilla_General_03-12-2012_9_3'!G2832,"AAAAADffzPc=")</f>
        <v>#VALUE!</v>
      </c>
      <c r="IO177" t="e">
        <f>AND('Planilla_General_03-12-2012_9_3'!H2832,"AAAAADffzPg=")</f>
        <v>#VALUE!</v>
      </c>
      <c r="IP177" t="e">
        <f>AND('Planilla_General_03-12-2012_9_3'!I2832,"AAAAADffzPk=")</f>
        <v>#VALUE!</v>
      </c>
      <c r="IQ177" t="e">
        <f>AND('Planilla_General_03-12-2012_9_3'!J2832,"AAAAADffzPo=")</f>
        <v>#VALUE!</v>
      </c>
      <c r="IR177" t="e">
        <f>AND('Planilla_General_03-12-2012_9_3'!K2832,"AAAAADffzPs=")</f>
        <v>#VALUE!</v>
      </c>
      <c r="IS177" t="e">
        <f>AND('Planilla_General_03-12-2012_9_3'!L2832,"AAAAADffzPw=")</f>
        <v>#VALUE!</v>
      </c>
      <c r="IT177" t="e">
        <f>AND('Planilla_General_03-12-2012_9_3'!M2832,"AAAAADffzP0=")</f>
        <v>#VALUE!</v>
      </c>
      <c r="IU177" t="e">
        <f>AND('Planilla_General_03-12-2012_9_3'!N2832,"AAAAADffzP4=")</f>
        <v>#VALUE!</v>
      </c>
      <c r="IV177" t="e">
        <f>AND('Planilla_General_03-12-2012_9_3'!O2832,"AAAAADffzP8=")</f>
        <v>#VALUE!</v>
      </c>
    </row>
    <row r="178" spans="1:256" x14ac:dyDescent="0.25">
      <c r="A178" t="e">
        <f>IF('Planilla_General_03-12-2012_9_3'!2833:2833,"AAAAAD6d5wA=",0)</f>
        <v>#VALUE!</v>
      </c>
      <c r="B178" t="e">
        <f>AND('Planilla_General_03-12-2012_9_3'!A2833,"AAAAAD6d5wE=")</f>
        <v>#VALUE!</v>
      </c>
      <c r="C178" t="e">
        <f>AND('Planilla_General_03-12-2012_9_3'!B2833,"AAAAAD6d5wI=")</f>
        <v>#VALUE!</v>
      </c>
      <c r="D178" t="e">
        <f>AND('Planilla_General_03-12-2012_9_3'!C2833,"AAAAAD6d5wM=")</f>
        <v>#VALUE!</v>
      </c>
      <c r="E178" t="e">
        <f>AND('Planilla_General_03-12-2012_9_3'!D2833,"AAAAAD6d5wQ=")</f>
        <v>#VALUE!</v>
      </c>
      <c r="F178" t="e">
        <f>AND('Planilla_General_03-12-2012_9_3'!E2833,"AAAAAD6d5wU=")</f>
        <v>#VALUE!</v>
      </c>
      <c r="G178" t="e">
        <f>AND('Planilla_General_03-12-2012_9_3'!F2833,"AAAAAD6d5wY=")</f>
        <v>#VALUE!</v>
      </c>
      <c r="H178" t="e">
        <f>AND('Planilla_General_03-12-2012_9_3'!G2833,"AAAAAD6d5wc=")</f>
        <v>#VALUE!</v>
      </c>
      <c r="I178" t="e">
        <f>AND('Planilla_General_03-12-2012_9_3'!H2833,"AAAAAD6d5wg=")</f>
        <v>#VALUE!</v>
      </c>
      <c r="J178" t="e">
        <f>AND('Planilla_General_03-12-2012_9_3'!I2833,"AAAAAD6d5wk=")</f>
        <v>#VALUE!</v>
      </c>
      <c r="K178" t="e">
        <f>AND('Planilla_General_03-12-2012_9_3'!J2833,"AAAAAD6d5wo=")</f>
        <v>#VALUE!</v>
      </c>
      <c r="L178" t="e">
        <f>AND('Planilla_General_03-12-2012_9_3'!K2833,"AAAAAD6d5ws=")</f>
        <v>#VALUE!</v>
      </c>
      <c r="M178" t="e">
        <f>AND('Planilla_General_03-12-2012_9_3'!L2833,"AAAAAD6d5ww=")</f>
        <v>#VALUE!</v>
      </c>
      <c r="N178" t="e">
        <f>AND('Planilla_General_03-12-2012_9_3'!M2833,"AAAAAD6d5w0=")</f>
        <v>#VALUE!</v>
      </c>
      <c r="O178" t="e">
        <f>AND('Planilla_General_03-12-2012_9_3'!N2833,"AAAAAD6d5w4=")</f>
        <v>#VALUE!</v>
      </c>
      <c r="P178" t="e">
        <f>AND('Planilla_General_03-12-2012_9_3'!O2833,"AAAAAD6d5w8=")</f>
        <v>#VALUE!</v>
      </c>
      <c r="Q178">
        <f>IF('Planilla_General_03-12-2012_9_3'!2834:2834,"AAAAAD6d5xA=",0)</f>
        <v>0</v>
      </c>
      <c r="R178" t="e">
        <f>AND('Planilla_General_03-12-2012_9_3'!A2834,"AAAAAD6d5xE=")</f>
        <v>#VALUE!</v>
      </c>
      <c r="S178" t="e">
        <f>AND('Planilla_General_03-12-2012_9_3'!B2834,"AAAAAD6d5xI=")</f>
        <v>#VALUE!</v>
      </c>
      <c r="T178" t="e">
        <f>AND('Planilla_General_03-12-2012_9_3'!C2834,"AAAAAD6d5xM=")</f>
        <v>#VALUE!</v>
      </c>
      <c r="U178" t="e">
        <f>AND('Planilla_General_03-12-2012_9_3'!D2834,"AAAAAD6d5xQ=")</f>
        <v>#VALUE!</v>
      </c>
      <c r="V178" t="e">
        <f>AND('Planilla_General_03-12-2012_9_3'!E2834,"AAAAAD6d5xU=")</f>
        <v>#VALUE!</v>
      </c>
      <c r="W178" t="e">
        <f>AND('Planilla_General_03-12-2012_9_3'!F2834,"AAAAAD6d5xY=")</f>
        <v>#VALUE!</v>
      </c>
      <c r="X178" t="e">
        <f>AND('Planilla_General_03-12-2012_9_3'!G2834,"AAAAAD6d5xc=")</f>
        <v>#VALUE!</v>
      </c>
      <c r="Y178" t="e">
        <f>AND('Planilla_General_03-12-2012_9_3'!H2834,"AAAAAD6d5xg=")</f>
        <v>#VALUE!</v>
      </c>
      <c r="Z178" t="e">
        <f>AND('Planilla_General_03-12-2012_9_3'!I2834,"AAAAAD6d5xk=")</f>
        <v>#VALUE!</v>
      </c>
      <c r="AA178" t="e">
        <f>AND('Planilla_General_03-12-2012_9_3'!J2834,"AAAAAD6d5xo=")</f>
        <v>#VALUE!</v>
      </c>
      <c r="AB178" t="e">
        <f>AND('Planilla_General_03-12-2012_9_3'!K2834,"AAAAAD6d5xs=")</f>
        <v>#VALUE!</v>
      </c>
      <c r="AC178" t="e">
        <f>AND('Planilla_General_03-12-2012_9_3'!L2834,"AAAAAD6d5xw=")</f>
        <v>#VALUE!</v>
      </c>
      <c r="AD178" t="e">
        <f>AND('Planilla_General_03-12-2012_9_3'!M2834,"AAAAAD6d5x0=")</f>
        <v>#VALUE!</v>
      </c>
      <c r="AE178" t="e">
        <f>AND('Planilla_General_03-12-2012_9_3'!N2834,"AAAAAD6d5x4=")</f>
        <v>#VALUE!</v>
      </c>
      <c r="AF178" t="e">
        <f>AND('Planilla_General_03-12-2012_9_3'!O2834,"AAAAAD6d5x8=")</f>
        <v>#VALUE!</v>
      </c>
      <c r="AG178">
        <f>IF('Planilla_General_03-12-2012_9_3'!2835:2835,"AAAAAD6d5yA=",0)</f>
        <v>0</v>
      </c>
      <c r="AH178" t="e">
        <f>AND('Planilla_General_03-12-2012_9_3'!A2835,"AAAAAD6d5yE=")</f>
        <v>#VALUE!</v>
      </c>
      <c r="AI178" t="e">
        <f>AND('Planilla_General_03-12-2012_9_3'!B2835,"AAAAAD6d5yI=")</f>
        <v>#VALUE!</v>
      </c>
      <c r="AJ178" t="e">
        <f>AND('Planilla_General_03-12-2012_9_3'!C2835,"AAAAAD6d5yM=")</f>
        <v>#VALUE!</v>
      </c>
      <c r="AK178" t="e">
        <f>AND('Planilla_General_03-12-2012_9_3'!D2835,"AAAAAD6d5yQ=")</f>
        <v>#VALUE!</v>
      </c>
      <c r="AL178" t="e">
        <f>AND('Planilla_General_03-12-2012_9_3'!E2835,"AAAAAD6d5yU=")</f>
        <v>#VALUE!</v>
      </c>
      <c r="AM178" t="e">
        <f>AND('Planilla_General_03-12-2012_9_3'!F2835,"AAAAAD6d5yY=")</f>
        <v>#VALUE!</v>
      </c>
      <c r="AN178" t="e">
        <f>AND('Planilla_General_03-12-2012_9_3'!G2835,"AAAAAD6d5yc=")</f>
        <v>#VALUE!</v>
      </c>
      <c r="AO178" t="e">
        <f>AND('Planilla_General_03-12-2012_9_3'!H2835,"AAAAAD6d5yg=")</f>
        <v>#VALUE!</v>
      </c>
      <c r="AP178" t="e">
        <f>AND('Planilla_General_03-12-2012_9_3'!I2835,"AAAAAD6d5yk=")</f>
        <v>#VALUE!</v>
      </c>
      <c r="AQ178" t="e">
        <f>AND('Planilla_General_03-12-2012_9_3'!J2835,"AAAAAD6d5yo=")</f>
        <v>#VALUE!</v>
      </c>
      <c r="AR178" t="e">
        <f>AND('Planilla_General_03-12-2012_9_3'!K2835,"AAAAAD6d5ys=")</f>
        <v>#VALUE!</v>
      </c>
      <c r="AS178" t="e">
        <f>AND('Planilla_General_03-12-2012_9_3'!L2835,"AAAAAD6d5yw=")</f>
        <v>#VALUE!</v>
      </c>
      <c r="AT178" t="e">
        <f>AND('Planilla_General_03-12-2012_9_3'!M2835,"AAAAAD6d5y0=")</f>
        <v>#VALUE!</v>
      </c>
      <c r="AU178" t="e">
        <f>AND('Planilla_General_03-12-2012_9_3'!N2835,"AAAAAD6d5y4=")</f>
        <v>#VALUE!</v>
      </c>
      <c r="AV178" t="e">
        <f>AND('Planilla_General_03-12-2012_9_3'!O2835,"AAAAAD6d5y8=")</f>
        <v>#VALUE!</v>
      </c>
      <c r="AW178">
        <f>IF('Planilla_General_03-12-2012_9_3'!2836:2836,"AAAAAD6d5zA=",0)</f>
        <v>0</v>
      </c>
      <c r="AX178" t="e">
        <f>AND('Planilla_General_03-12-2012_9_3'!A2836,"AAAAAD6d5zE=")</f>
        <v>#VALUE!</v>
      </c>
      <c r="AY178" t="e">
        <f>AND('Planilla_General_03-12-2012_9_3'!B2836,"AAAAAD6d5zI=")</f>
        <v>#VALUE!</v>
      </c>
      <c r="AZ178" t="e">
        <f>AND('Planilla_General_03-12-2012_9_3'!C2836,"AAAAAD6d5zM=")</f>
        <v>#VALUE!</v>
      </c>
      <c r="BA178" t="e">
        <f>AND('Planilla_General_03-12-2012_9_3'!D2836,"AAAAAD6d5zQ=")</f>
        <v>#VALUE!</v>
      </c>
      <c r="BB178" t="e">
        <f>AND('Planilla_General_03-12-2012_9_3'!E2836,"AAAAAD6d5zU=")</f>
        <v>#VALUE!</v>
      </c>
      <c r="BC178" t="e">
        <f>AND('Planilla_General_03-12-2012_9_3'!F2836,"AAAAAD6d5zY=")</f>
        <v>#VALUE!</v>
      </c>
      <c r="BD178" t="e">
        <f>AND('Planilla_General_03-12-2012_9_3'!G2836,"AAAAAD6d5zc=")</f>
        <v>#VALUE!</v>
      </c>
      <c r="BE178" t="e">
        <f>AND('Planilla_General_03-12-2012_9_3'!H2836,"AAAAAD6d5zg=")</f>
        <v>#VALUE!</v>
      </c>
      <c r="BF178" t="e">
        <f>AND('Planilla_General_03-12-2012_9_3'!I2836,"AAAAAD6d5zk=")</f>
        <v>#VALUE!</v>
      </c>
      <c r="BG178" t="e">
        <f>AND('Planilla_General_03-12-2012_9_3'!J2836,"AAAAAD6d5zo=")</f>
        <v>#VALUE!</v>
      </c>
      <c r="BH178" t="e">
        <f>AND('Planilla_General_03-12-2012_9_3'!K2836,"AAAAAD6d5zs=")</f>
        <v>#VALUE!</v>
      </c>
      <c r="BI178" t="e">
        <f>AND('Planilla_General_03-12-2012_9_3'!L2836,"AAAAAD6d5zw=")</f>
        <v>#VALUE!</v>
      </c>
      <c r="BJ178" t="e">
        <f>AND('Planilla_General_03-12-2012_9_3'!M2836,"AAAAAD6d5z0=")</f>
        <v>#VALUE!</v>
      </c>
      <c r="BK178" t="e">
        <f>AND('Planilla_General_03-12-2012_9_3'!N2836,"AAAAAD6d5z4=")</f>
        <v>#VALUE!</v>
      </c>
      <c r="BL178" t="e">
        <f>AND('Planilla_General_03-12-2012_9_3'!O2836,"AAAAAD6d5z8=")</f>
        <v>#VALUE!</v>
      </c>
      <c r="BM178">
        <f>IF('Planilla_General_03-12-2012_9_3'!2837:2837,"AAAAAD6d50A=",0)</f>
        <v>0</v>
      </c>
      <c r="BN178" t="e">
        <f>AND('Planilla_General_03-12-2012_9_3'!A2837,"AAAAAD6d50E=")</f>
        <v>#VALUE!</v>
      </c>
      <c r="BO178" t="e">
        <f>AND('Planilla_General_03-12-2012_9_3'!B2837,"AAAAAD6d50I=")</f>
        <v>#VALUE!</v>
      </c>
      <c r="BP178" t="e">
        <f>AND('Planilla_General_03-12-2012_9_3'!C2837,"AAAAAD6d50M=")</f>
        <v>#VALUE!</v>
      </c>
      <c r="BQ178" t="e">
        <f>AND('Planilla_General_03-12-2012_9_3'!D2837,"AAAAAD6d50Q=")</f>
        <v>#VALUE!</v>
      </c>
      <c r="BR178" t="e">
        <f>AND('Planilla_General_03-12-2012_9_3'!E2837,"AAAAAD6d50U=")</f>
        <v>#VALUE!</v>
      </c>
      <c r="BS178" t="e">
        <f>AND('Planilla_General_03-12-2012_9_3'!F2837,"AAAAAD6d50Y=")</f>
        <v>#VALUE!</v>
      </c>
      <c r="BT178" t="e">
        <f>AND('Planilla_General_03-12-2012_9_3'!G2837,"AAAAAD6d50c=")</f>
        <v>#VALUE!</v>
      </c>
      <c r="BU178" t="e">
        <f>AND('Planilla_General_03-12-2012_9_3'!H2837,"AAAAAD6d50g=")</f>
        <v>#VALUE!</v>
      </c>
      <c r="BV178" t="e">
        <f>AND('Planilla_General_03-12-2012_9_3'!I2837,"AAAAAD6d50k=")</f>
        <v>#VALUE!</v>
      </c>
      <c r="BW178" t="e">
        <f>AND('Planilla_General_03-12-2012_9_3'!J2837,"AAAAAD6d50o=")</f>
        <v>#VALUE!</v>
      </c>
      <c r="BX178" t="e">
        <f>AND('Planilla_General_03-12-2012_9_3'!K2837,"AAAAAD6d50s=")</f>
        <v>#VALUE!</v>
      </c>
      <c r="BY178" t="e">
        <f>AND('Planilla_General_03-12-2012_9_3'!L2837,"AAAAAD6d50w=")</f>
        <v>#VALUE!</v>
      </c>
      <c r="BZ178" t="e">
        <f>AND('Planilla_General_03-12-2012_9_3'!M2837,"AAAAAD6d500=")</f>
        <v>#VALUE!</v>
      </c>
      <c r="CA178" t="e">
        <f>AND('Planilla_General_03-12-2012_9_3'!N2837,"AAAAAD6d504=")</f>
        <v>#VALUE!</v>
      </c>
      <c r="CB178" t="e">
        <f>AND('Planilla_General_03-12-2012_9_3'!O2837,"AAAAAD6d508=")</f>
        <v>#VALUE!</v>
      </c>
      <c r="CC178">
        <f>IF('Planilla_General_03-12-2012_9_3'!2838:2838,"AAAAAD6d51A=",0)</f>
        <v>0</v>
      </c>
      <c r="CD178" t="e">
        <f>AND('Planilla_General_03-12-2012_9_3'!A2838,"AAAAAD6d51E=")</f>
        <v>#VALUE!</v>
      </c>
      <c r="CE178" t="e">
        <f>AND('Planilla_General_03-12-2012_9_3'!B2838,"AAAAAD6d51I=")</f>
        <v>#VALUE!</v>
      </c>
      <c r="CF178" t="e">
        <f>AND('Planilla_General_03-12-2012_9_3'!C2838,"AAAAAD6d51M=")</f>
        <v>#VALUE!</v>
      </c>
      <c r="CG178" t="e">
        <f>AND('Planilla_General_03-12-2012_9_3'!D2838,"AAAAAD6d51Q=")</f>
        <v>#VALUE!</v>
      </c>
      <c r="CH178" t="e">
        <f>AND('Planilla_General_03-12-2012_9_3'!E2838,"AAAAAD6d51U=")</f>
        <v>#VALUE!</v>
      </c>
      <c r="CI178" t="e">
        <f>AND('Planilla_General_03-12-2012_9_3'!F2838,"AAAAAD6d51Y=")</f>
        <v>#VALUE!</v>
      </c>
      <c r="CJ178" t="e">
        <f>AND('Planilla_General_03-12-2012_9_3'!G2838,"AAAAAD6d51c=")</f>
        <v>#VALUE!</v>
      </c>
      <c r="CK178" t="e">
        <f>AND('Planilla_General_03-12-2012_9_3'!H2838,"AAAAAD6d51g=")</f>
        <v>#VALUE!</v>
      </c>
      <c r="CL178" t="e">
        <f>AND('Planilla_General_03-12-2012_9_3'!I2838,"AAAAAD6d51k=")</f>
        <v>#VALUE!</v>
      </c>
      <c r="CM178" t="e">
        <f>AND('Planilla_General_03-12-2012_9_3'!J2838,"AAAAAD6d51o=")</f>
        <v>#VALUE!</v>
      </c>
      <c r="CN178" t="e">
        <f>AND('Planilla_General_03-12-2012_9_3'!K2838,"AAAAAD6d51s=")</f>
        <v>#VALUE!</v>
      </c>
      <c r="CO178" t="e">
        <f>AND('Planilla_General_03-12-2012_9_3'!L2838,"AAAAAD6d51w=")</f>
        <v>#VALUE!</v>
      </c>
      <c r="CP178" t="e">
        <f>AND('Planilla_General_03-12-2012_9_3'!M2838,"AAAAAD6d510=")</f>
        <v>#VALUE!</v>
      </c>
      <c r="CQ178" t="e">
        <f>AND('Planilla_General_03-12-2012_9_3'!N2838,"AAAAAD6d514=")</f>
        <v>#VALUE!</v>
      </c>
      <c r="CR178" t="e">
        <f>AND('Planilla_General_03-12-2012_9_3'!O2838,"AAAAAD6d518=")</f>
        <v>#VALUE!</v>
      </c>
      <c r="CS178">
        <f>IF('Planilla_General_03-12-2012_9_3'!2839:2839,"AAAAAD6d52A=",0)</f>
        <v>0</v>
      </c>
      <c r="CT178" t="e">
        <f>AND('Planilla_General_03-12-2012_9_3'!A2839,"AAAAAD6d52E=")</f>
        <v>#VALUE!</v>
      </c>
      <c r="CU178" t="e">
        <f>AND('Planilla_General_03-12-2012_9_3'!B2839,"AAAAAD6d52I=")</f>
        <v>#VALUE!</v>
      </c>
      <c r="CV178" t="e">
        <f>AND('Planilla_General_03-12-2012_9_3'!C2839,"AAAAAD6d52M=")</f>
        <v>#VALUE!</v>
      </c>
      <c r="CW178" t="e">
        <f>AND('Planilla_General_03-12-2012_9_3'!D2839,"AAAAAD6d52Q=")</f>
        <v>#VALUE!</v>
      </c>
      <c r="CX178" t="e">
        <f>AND('Planilla_General_03-12-2012_9_3'!E2839,"AAAAAD6d52U=")</f>
        <v>#VALUE!</v>
      </c>
      <c r="CY178" t="e">
        <f>AND('Planilla_General_03-12-2012_9_3'!F2839,"AAAAAD6d52Y=")</f>
        <v>#VALUE!</v>
      </c>
      <c r="CZ178" t="e">
        <f>AND('Planilla_General_03-12-2012_9_3'!G2839,"AAAAAD6d52c=")</f>
        <v>#VALUE!</v>
      </c>
      <c r="DA178" t="e">
        <f>AND('Planilla_General_03-12-2012_9_3'!H2839,"AAAAAD6d52g=")</f>
        <v>#VALUE!</v>
      </c>
      <c r="DB178" t="e">
        <f>AND('Planilla_General_03-12-2012_9_3'!I2839,"AAAAAD6d52k=")</f>
        <v>#VALUE!</v>
      </c>
      <c r="DC178" t="e">
        <f>AND('Planilla_General_03-12-2012_9_3'!J2839,"AAAAAD6d52o=")</f>
        <v>#VALUE!</v>
      </c>
      <c r="DD178" t="e">
        <f>AND('Planilla_General_03-12-2012_9_3'!K2839,"AAAAAD6d52s=")</f>
        <v>#VALUE!</v>
      </c>
      <c r="DE178" t="e">
        <f>AND('Planilla_General_03-12-2012_9_3'!L2839,"AAAAAD6d52w=")</f>
        <v>#VALUE!</v>
      </c>
      <c r="DF178" t="e">
        <f>AND('Planilla_General_03-12-2012_9_3'!M2839,"AAAAAD6d520=")</f>
        <v>#VALUE!</v>
      </c>
      <c r="DG178" t="e">
        <f>AND('Planilla_General_03-12-2012_9_3'!N2839,"AAAAAD6d524=")</f>
        <v>#VALUE!</v>
      </c>
      <c r="DH178" t="e">
        <f>AND('Planilla_General_03-12-2012_9_3'!O2839,"AAAAAD6d528=")</f>
        <v>#VALUE!</v>
      </c>
      <c r="DI178">
        <f>IF('Planilla_General_03-12-2012_9_3'!2840:2840,"AAAAAD6d53A=",0)</f>
        <v>0</v>
      </c>
      <c r="DJ178" t="e">
        <f>AND('Planilla_General_03-12-2012_9_3'!A2840,"AAAAAD6d53E=")</f>
        <v>#VALUE!</v>
      </c>
      <c r="DK178" t="e">
        <f>AND('Planilla_General_03-12-2012_9_3'!B2840,"AAAAAD6d53I=")</f>
        <v>#VALUE!</v>
      </c>
      <c r="DL178" t="e">
        <f>AND('Planilla_General_03-12-2012_9_3'!C2840,"AAAAAD6d53M=")</f>
        <v>#VALUE!</v>
      </c>
      <c r="DM178" t="e">
        <f>AND('Planilla_General_03-12-2012_9_3'!D2840,"AAAAAD6d53Q=")</f>
        <v>#VALUE!</v>
      </c>
      <c r="DN178" t="e">
        <f>AND('Planilla_General_03-12-2012_9_3'!E2840,"AAAAAD6d53U=")</f>
        <v>#VALUE!</v>
      </c>
      <c r="DO178" t="e">
        <f>AND('Planilla_General_03-12-2012_9_3'!F2840,"AAAAAD6d53Y=")</f>
        <v>#VALUE!</v>
      </c>
      <c r="DP178" t="e">
        <f>AND('Planilla_General_03-12-2012_9_3'!G2840,"AAAAAD6d53c=")</f>
        <v>#VALUE!</v>
      </c>
      <c r="DQ178" t="e">
        <f>AND('Planilla_General_03-12-2012_9_3'!H2840,"AAAAAD6d53g=")</f>
        <v>#VALUE!</v>
      </c>
      <c r="DR178" t="e">
        <f>AND('Planilla_General_03-12-2012_9_3'!I2840,"AAAAAD6d53k=")</f>
        <v>#VALUE!</v>
      </c>
      <c r="DS178" t="e">
        <f>AND('Planilla_General_03-12-2012_9_3'!J2840,"AAAAAD6d53o=")</f>
        <v>#VALUE!</v>
      </c>
      <c r="DT178" t="e">
        <f>AND('Planilla_General_03-12-2012_9_3'!K2840,"AAAAAD6d53s=")</f>
        <v>#VALUE!</v>
      </c>
      <c r="DU178" t="e">
        <f>AND('Planilla_General_03-12-2012_9_3'!L2840,"AAAAAD6d53w=")</f>
        <v>#VALUE!</v>
      </c>
      <c r="DV178" t="e">
        <f>AND('Planilla_General_03-12-2012_9_3'!M2840,"AAAAAD6d530=")</f>
        <v>#VALUE!</v>
      </c>
      <c r="DW178" t="e">
        <f>AND('Planilla_General_03-12-2012_9_3'!N2840,"AAAAAD6d534=")</f>
        <v>#VALUE!</v>
      </c>
      <c r="DX178" t="e">
        <f>AND('Planilla_General_03-12-2012_9_3'!O2840,"AAAAAD6d538=")</f>
        <v>#VALUE!</v>
      </c>
      <c r="DY178">
        <f>IF('Planilla_General_03-12-2012_9_3'!2841:2841,"AAAAAD6d54A=",0)</f>
        <v>0</v>
      </c>
      <c r="DZ178" t="e">
        <f>AND('Planilla_General_03-12-2012_9_3'!A2841,"AAAAAD6d54E=")</f>
        <v>#VALUE!</v>
      </c>
      <c r="EA178" t="e">
        <f>AND('Planilla_General_03-12-2012_9_3'!B2841,"AAAAAD6d54I=")</f>
        <v>#VALUE!</v>
      </c>
      <c r="EB178" t="e">
        <f>AND('Planilla_General_03-12-2012_9_3'!C2841,"AAAAAD6d54M=")</f>
        <v>#VALUE!</v>
      </c>
      <c r="EC178" t="e">
        <f>AND('Planilla_General_03-12-2012_9_3'!D2841,"AAAAAD6d54Q=")</f>
        <v>#VALUE!</v>
      </c>
      <c r="ED178" t="e">
        <f>AND('Planilla_General_03-12-2012_9_3'!E2841,"AAAAAD6d54U=")</f>
        <v>#VALUE!</v>
      </c>
      <c r="EE178" t="e">
        <f>AND('Planilla_General_03-12-2012_9_3'!F2841,"AAAAAD6d54Y=")</f>
        <v>#VALUE!</v>
      </c>
      <c r="EF178" t="e">
        <f>AND('Planilla_General_03-12-2012_9_3'!G2841,"AAAAAD6d54c=")</f>
        <v>#VALUE!</v>
      </c>
      <c r="EG178" t="e">
        <f>AND('Planilla_General_03-12-2012_9_3'!H2841,"AAAAAD6d54g=")</f>
        <v>#VALUE!</v>
      </c>
      <c r="EH178" t="e">
        <f>AND('Planilla_General_03-12-2012_9_3'!I2841,"AAAAAD6d54k=")</f>
        <v>#VALUE!</v>
      </c>
      <c r="EI178" t="e">
        <f>AND('Planilla_General_03-12-2012_9_3'!J2841,"AAAAAD6d54o=")</f>
        <v>#VALUE!</v>
      </c>
      <c r="EJ178" t="e">
        <f>AND('Planilla_General_03-12-2012_9_3'!K2841,"AAAAAD6d54s=")</f>
        <v>#VALUE!</v>
      </c>
      <c r="EK178" t="e">
        <f>AND('Planilla_General_03-12-2012_9_3'!L2841,"AAAAAD6d54w=")</f>
        <v>#VALUE!</v>
      </c>
      <c r="EL178" t="e">
        <f>AND('Planilla_General_03-12-2012_9_3'!M2841,"AAAAAD6d540=")</f>
        <v>#VALUE!</v>
      </c>
      <c r="EM178" t="e">
        <f>AND('Planilla_General_03-12-2012_9_3'!N2841,"AAAAAD6d544=")</f>
        <v>#VALUE!</v>
      </c>
      <c r="EN178" t="e">
        <f>AND('Planilla_General_03-12-2012_9_3'!O2841,"AAAAAD6d548=")</f>
        <v>#VALUE!</v>
      </c>
      <c r="EO178">
        <f>IF('Planilla_General_03-12-2012_9_3'!2842:2842,"AAAAAD6d55A=",0)</f>
        <v>0</v>
      </c>
      <c r="EP178" t="e">
        <f>AND('Planilla_General_03-12-2012_9_3'!A2842,"AAAAAD6d55E=")</f>
        <v>#VALUE!</v>
      </c>
      <c r="EQ178" t="e">
        <f>AND('Planilla_General_03-12-2012_9_3'!B2842,"AAAAAD6d55I=")</f>
        <v>#VALUE!</v>
      </c>
      <c r="ER178" t="e">
        <f>AND('Planilla_General_03-12-2012_9_3'!C2842,"AAAAAD6d55M=")</f>
        <v>#VALUE!</v>
      </c>
      <c r="ES178" t="e">
        <f>AND('Planilla_General_03-12-2012_9_3'!D2842,"AAAAAD6d55Q=")</f>
        <v>#VALUE!</v>
      </c>
      <c r="ET178" t="e">
        <f>AND('Planilla_General_03-12-2012_9_3'!E2842,"AAAAAD6d55U=")</f>
        <v>#VALUE!</v>
      </c>
      <c r="EU178" t="e">
        <f>AND('Planilla_General_03-12-2012_9_3'!F2842,"AAAAAD6d55Y=")</f>
        <v>#VALUE!</v>
      </c>
      <c r="EV178" t="e">
        <f>AND('Planilla_General_03-12-2012_9_3'!G2842,"AAAAAD6d55c=")</f>
        <v>#VALUE!</v>
      </c>
      <c r="EW178" t="e">
        <f>AND('Planilla_General_03-12-2012_9_3'!H2842,"AAAAAD6d55g=")</f>
        <v>#VALUE!</v>
      </c>
      <c r="EX178" t="e">
        <f>AND('Planilla_General_03-12-2012_9_3'!I2842,"AAAAAD6d55k=")</f>
        <v>#VALUE!</v>
      </c>
      <c r="EY178" t="e">
        <f>AND('Planilla_General_03-12-2012_9_3'!J2842,"AAAAAD6d55o=")</f>
        <v>#VALUE!</v>
      </c>
      <c r="EZ178" t="e">
        <f>AND('Planilla_General_03-12-2012_9_3'!K2842,"AAAAAD6d55s=")</f>
        <v>#VALUE!</v>
      </c>
      <c r="FA178" t="e">
        <f>AND('Planilla_General_03-12-2012_9_3'!L2842,"AAAAAD6d55w=")</f>
        <v>#VALUE!</v>
      </c>
      <c r="FB178" t="e">
        <f>AND('Planilla_General_03-12-2012_9_3'!M2842,"AAAAAD6d550=")</f>
        <v>#VALUE!</v>
      </c>
      <c r="FC178" t="e">
        <f>AND('Planilla_General_03-12-2012_9_3'!N2842,"AAAAAD6d554=")</f>
        <v>#VALUE!</v>
      </c>
      <c r="FD178" t="e">
        <f>AND('Planilla_General_03-12-2012_9_3'!O2842,"AAAAAD6d558=")</f>
        <v>#VALUE!</v>
      </c>
      <c r="FE178">
        <f>IF('Planilla_General_03-12-2012_9_3'!2843:2843,"AAAAAD6d56A=",0)</f>
        <v>0</v>
      </c>
      <c r="FF178" t="e">
        <f>AND('Planilla_General_03-12-2012_9_3'!A2843,"AAAAAD6d56E=")</f>
        <v>#VALUE!</v>
      </c>
      <c r="FG178" t="e">
        <f>AND('Planilla_General_03-12-2012_9_3'!B2843,"AAAAAD6d56I=")</f>
        <v>#VALUE!</v>
      </c>
      <c r="FH178" t="e">
        <f>AND('Planilla_General_03-12-2012_9_3'!C2843,"AAAAAD6d56M=")</f>
        <v>#VALUE!</v>
      </c>
      <c r="FI178" t="e">
        <f>AND('Planilla_General_03-12-2012_9_3'!D2843,"AAAAAD6d56Q=")</f>
        <v>#VALUE!</v>
      </c>
      <c r="FJ178" t="e">
        <f>AND('Planilla_General_03-12-2012_9_3'!E2843,"AAAAAD6d56U=")</f>
        <v>#VALUE!</v>
      </c>
      <c r="FK178" t="e">
        <f>AND('Planilla_General_03-12-2012_9_3'!F2843,"AAAAAD6d56Y=")</f>
        <v>#VALUE!</v>
      </c>
      <c r="FL178" t="e">
        <f>AND('Planilla_General_03-12-2012_9_3'!G2843,"AAAAAD6d56c=")</f>
        <v>#VALUE!</v>
      </c>
      <c r="FM178" t="e">
        <f>AND('Planilla_General_03-12-2012_9_3'!H2843,"AAAAAD6d56g=")</f>
        <v>#VALUE!</v>
      </c>
      <c r="FN178" t="e">
        <f>AND('Planilla_General_03-12-2012_9_3'!I2843,"AAAAAD6d56k=")</f>
        <v>#VALUE!</v>
      </c>
      <c r="FO178" t="e">
        <f>AND('Planilla_General_03-12-2012_9_3'!J2843,"AAAAAD6d56o=")</f>
        <v>#VALUE!</v>
      </c>
      <c r="FP178" t="e">
        <f>AND('Planilla_General_03-12-2012_9_3'!K2843,"AAAAAD6d56s=")</f>
        <v>#VALUE!</v>
      </c>
      <c r="FQ178" t="e">
        <f>AND('Planilla_General_03-12-2012_9_3'!L2843,"AAAAAD6d56w=")</f>
        <v>#VALUE!</v>
      </c>
      <c r="FR178" t="e">
        <f>AND('Planilla_General_03-12-2012_9_3'!M2843,"AAAAAD6d560=")</f>
        <v>#VALUE!</v>
      </c>
      <c r="FS178" t="e">
        <f>AND('Planilla_General_03-12-2012_9_3'!N2843,"AAAAAD6d564=")</f>
        <v>#VALUE!</v>
      </c>
      <c r="FT178" t="e">
        <f>AND('Planilla_General_03-12-2012_9_3'!O2843,"AAAAAD6d568=")</f>
        <v>#VALUE!</v>
      </c>
      <c r="FU178">
        <f>IF('Planilla_General_03-12-2012_9_3'!2844:2844,"AAAAAD6d57A=",0)</f>
        <v>0</v>
      </c>
      <c r="FV178" t="e">
        <f>AND('Planilla_General_03-12-2012_9_3'!A2844,"AAAAAD6d57E=")</f>
        <v>#VALUE!</v>
      </c>
      <c r="FW178" t="e">
        <f>AND('Planilla_General_03-12-2012_9_3'!B2844,"AAAAAD6d57I=")</f>
        <v>#VALUE!</v>
      </c>
      <c r="FX178" t="e">
        <f>AND('Planilla_General_03-12-2012_9_3'!C2844,"AAAAAD6d57M=")</f>
        <v>#VALUE!</v>
      </c>
      <c r="FY178" t="e">
        <f>AND('Planilla_General_03-12-2012_9_3'!D2844,"AAAAAD6d57Q=")</f>
        <v>#VALUE!</v>
      </c>
      <c r="FZ178" t="e">
        <f>AND('Planilla_General_03-12-2012_9_3'!E2844,"AAAAAD6d57U=")</f>
        <v>#VALUE!</v>
      </c>
      <c r="GA178" t="e">
        <f>AND('Planilla_General_03-12-2012_9_3'!F2844,"AAAAAD6d57Y=")</f>
        <v>#VALUE!</v>
      </c>
      <c r="GB178" t="e">
        <f>AND('Planilla_General_03-12-2012_9_3'!G2844,"AAAAAD6d57c=")</f>
        <v>#VALUE!</v>
      </c>
      <c r="GC178" t="e">
        <f>AND('Planilla_General_03-12-2012_9_3'!H2844,"AAAAAD6d57g=")</f>
        <v>#VALUE!</v>
      </c>
      <c r="GD178" t="e">
        <f>AND('Planilla_General_03-12-2012_9_3'!I2844,"AAAAAD6d57k=")</f>
        <v>#VALUE!</v>
      </c>
      <c r="GE178" t="e">
        <f>AND('Planilla_General_03-12-2012_9_3'!J2844,"AAAAAD6d57o=")</f>
        <v>#VALUE!</v>
      </c>
      <c r="GF178" t="e">
        <f>AND('Planilla_General_03-12-2012_9_3'!K2844,"AAAAAD6d57s=")</f>
        <v>#VALUE!</v>
      </c>
      <c r="GG178" t="e">
        <f>AND('Planilla_General_03-12-2012_9_3'!L2844,"AAAAAD6d57w=")</f>
        <v>#VALUE!</v>
      </c>
      <c r="GH178" t="e">
        <f>AND('Planilla_General_03-12-2012_9_3'!M2844,"AAAAAD6d570=")</f>
        <v>#VALUE!</v>
      </c>
      <c r="GI178" t="e">
        <f>AND('Planilla_General_03-12-2012_9_3'!N2844,"AAAAAD6d574=")</f>
        <v>#VALUE!</v>
      </c>
      <c r="GJ178" t="e">
        <f>AND('Planilla_General_03-12-2012_9_3'!O2844,"AAAAAD6d578=")</f>
        <v>#VALUE!</v>
      </c>
      <c r="GK178">
        <f>IF('Planilla_General_03-12-2012_9_3'!2845:2845,"AAAAAD6d58A=",0)</f>
        <v>0</v>
      </c>
      <c r="GL178" t="e">
        <f>AND('Planilla_General_03-12-2012_9_3'!A2845,"AAAAAD6d58E=")</f>
        <v>#VALUE!</v>
      </c>
      <c r="GM178" t="e">
        <f>AND('Planilla_General_03-12-2012_9_3'!B2845,"AAAAAD6d58I=")</f>
        <v>#VALUE!</v>
      </c>
      <c r="GN178" t="e">
        <f>AND('Planilla_General_03-12-2012_9_3'!C2845,"AAAAAD6d58M=")</f>
        <v>#VALUE!</v>
      </c>
      <c r="GO178" t="e">
        <f>AND('Planilla_General_03-12-2012_9_3'!D2845,"AAAAAD6d58Q=")</f>
        <v>#VALUE!</v>
      </c>
      <c r="GP178" t="e">
        <f>AND('Planilla_General_03-12-2012_9_3'!E2845,"AAAAAD6d58U=")</f>
        <v>#VALUE!</v>
      </c>
      <c r="GQ178" t="e">
        <f>AND('Planilla_General_03-12-2012_9_3'!F2845,"AAAAAD6d58Y=")</f>
        <v>#VALUE!</v>
      </c>
      <c r="GR178" t="e">
        <f>AND('Planilla_General_03-12-2012_9_3'!G2845,"AAAAAD6d58c=")</f>
        <v>#VALUE!</v>
      </c>
      <c r="GS178" t="e">
        <f>AND('Planilla_General_03-12-2012_9_3'!H2845,"AAAAAD6d58g=")</f>
        <v>#VALUE!</v>
      </c>
      <c r="GT178" t="e">
        <f>AND('Planilla_General_03-12-2012_9_3'!I2845,"AAAAAD6d58k=")</f>
        <v>#VALUE!</v>
      </c>
      <c r="GU178" t="e">
        <f>AND('Planilla_General_03-12-2012_9_3'!J2845,"AAAAAD6d58o=")</f>
        <v>#VALUE!</v>
      </c>
      <c r="GV178" t="e">
        <f>AND('Planilla_General_03-12-2012_9_3'!K2845,"AAAAAD6d58s=")</f>
        <v>#VALUE!</v>
      </c>
      <c r="GW178" t="e">
        <f>AND('Planilla_General_03-12-2012_9_3'!L2845,"AAAAAD6d58w=")</f>
        <v>#VALUE!</v>
      </c>
      <c r="GX178" t="e">
        <f>AND('Planilla_General_03-12-2012_9_3'!M2845,"AAAAAD6d580=")</f>
        <v>#VALUE!</v>
      </c>
      <c r="GY178" t="e">
        <f>AND('Planilla_General_03-12-2012_9_3'!N2845,"AAAAAD6d584=")</f>
        <v>#VALUE!</v>
      </c>
      <c r="GZ178" t="e">
        <f>AND('Planilla_General_03-12-2012_9_3'!O2845,"AAAAAD6d588=")</f>
        <v>#VALUE!</v>
      </c>
      <c r="HA178">
        <f>IF('Planilla_General_03-12-2012_9_3'!2846:2846,"AAAAAD6d59A=",0)</f>
        <v>0</v>
      </c>
      <c r="HB178" t="e">
        <f>AND('Planilla_General_03-12-2012_9_3'!A2846,"AAAAAD6d59E=")</f>
        <v>#VALUE!</v>
      </c>
      <c r="HC178" t="e">
        <f>AND('Planilla_General_03-12-2012_9_3'!B2846,"AAAAAD6d59I=")</f>
        <v>#VALUE!</v>
      </c>
      <c r="HD178" t="e">
        <f>AND('Planilla_General_03-12-2012_9_3'!C2846,"AAAAAD6d59M=")</f>
        <v>#VALUE!</v>
      </c>
      <c r="HE178" t="e">
        <f>AND('Planilla_General_03-12-2012_9_3'!D2846,"AAAAAD6d59Q=")</f>
        <v>#VALUE!</v>
      </c>
      <c r="HF178" t="e">
        <f>AND('Planilla_General_03-12-2012_9_3'!E2846,"AAAAAD6d59U=")</f>
        <v>#VALUE!</v>
      </c>
      <c r="HG178" t="e">
        <f>AND('Planilla_General_03-12-2012_9_3'!F2846,"AAAAAD6d59Y=")</f>
        <v>#VALUE!</v>
      </c>
      <c r="HH178" t="e">
        <f>AND('Planilla_General_03-12-2012_9_3'!G2846,"AAAAAD6d59c=")</f>
        <v>#VALUE!</v>
      </c>
      <c r="HI178" t="e">
        <f>AND('Planilla_General_03-12-2012_9_3'!H2846,"AAAAAD6d59g=")</f>
        <v>#VALUE!</v>
      </c>
      <c r="HJ178" t="e">
        <f>AND('Planilla_General_03-12-2012_9_3'!I2846,"AAAAAD6d59k=")</f>
        <v>#VALUE!</v>
      </c>
      <c r="HK178" t="e">
        <f>AND('Planilla_General_03-12-2012_9_3'!J2846,"AAAAAD6d59o=")</f>
        <v>#VALUE!</v>
      </c>
      <c r="HL178" t="e">
        <f>AND('Planilla_General_03-12-2012_9_3'!K2846,"AAAAAD6d59s=")</f>
        <v>#VALUE!</v>
      </c>
      <c r="HM178" t="e">
        <f>AND('Planilla_General_03-12-2012_9_3'!L2846,"AAAAAD6d59w=")</f>
        <v>#VALUE!</v>
      </c>
      <c r="HN178" t="e">
        <f>AND('Planilla_General_03-12-2012_9_3'!M2846,"AAAAAD6d590=")</f>
        <v>#VALUE!</v>
      </c>
      <c r="HO178" t="e">
        <f>AND('Planilla_General_03-12-2012_9_3'!N2846,"AAAAAD6d594=")</f>
        <v>#VALUE!</v>
      </c>
      <c r="HP178" t="e">
        <f>AND('Planilla_General_03-12-2012_9_3'!O2846,"AAAAAD6d598=")</f>
        <v>#VALUE!</v>
      </c>
      <c r="HQ178">
        <f>IF('Planilla_General_03-12-2012_9_3'!2847:2847,"AAAAAD6d5+A=",0)</f>
        <v>0</v>
      </c>
      <c r="HR178" t="e">
        <f>AND('Planilla_General_03-12-2012_9_3'!A2847,"AAAAAD6d5+E=")</f>
        <v>#VALUE!</v>
      </c>
      <c r="HS178" t="e">
        <f>AND('Planilla_General_03-12-2012_9_3'!B2847,"AAAAAD6d5+I=")</f>
        <v>#VALUE!</v>
      </c>
      <c r="HT178" t="e">
        <f>AND('Planilla_General_03-12-2012_9_3'!C2847,"AAAAAD6d5+M=")</f>
        <v>#VALUE!</v>
      </c>
      <c r="HU178" t="e">
        <f>AND('Planilla_General_03-12-2012_9_3'!D2847,"AAAAAD6d5+Q=")</f>
        <v>#VALUE!</v>
      </c>
      <c r="HV178" t="e">
        <f>AND('Planilla_General_03-12-2012_9_3'!E2847,"AAAAAD6d5+U=")</f>
        <v>#VALUE!</v>
      </c>
      <c r="HW178" t="e">
        <f>AND('Planilla_General_03-12-2012_9_3'!F2847,"AAAAAD6d5+Y=")</f>
        <v>#VALUE!</v>
      </c>
      <c r="HX178" t="e">
        <f>AND('Planilla_General_03-12-2012_9_3'!G2847,"AAAAAD6d5+c=")</f>
        <v>#VALUE!</v>
      </c>
      <c r="HY178" t="e">
        <f>AND('Planilla_General_03-12-2012_9_3'!H2847,"AAAAAD6d5+g=")</f>
        <v>#VALUE!</v>
      </c>
      <c r="HZ178" t="e">
        <f>AND('Planilla_General_03-12-2012_9_3'!I2847,"AAAAAD6d5+k=")</f>
        <v>#VALUE!</v>
      </c>
      <c r="IA178" t="e">
        <f>AND('Planilla_General_03-12-2012_9_3'!J2847,"AAAAAD6d5+o=")</f>
        <v>#VALUE!</v>
      </c>
      <c r="IB178" t="e">
        <f>AND('Planilla_General_03-12-2012_9_3'!K2847,"AAAAAD6d5+s=")</f>
        <v>#VALUE!</v>
      </c>
      <c r="IC178" t="e">
        <f>AND('Planilla_General_03-12-2012_9_3'!L2847,"AAAAAD6d5+w=")</f>
        <v>#VALUE!</v>
      </c>
      <c r="ID178" t="e">
        <f>AND('Planilla_General_03-12-2012_9_3'!M2847,"AAAAAD6d5+0=")</f>
        <v>#VALUE!</v>
      </c>
      <c r="IE178" t="e">
        <f>AND('Planilla_General_03-12-2012_9_3'!N2847,"AAAAAD6d5+4=")</f>
        <v>#VALUE!</v>
      </c>
      <c r="IF178" t="e">
        <f>AND('Planilla_General_03-12-2012_9_3'!O2847,"AAAAAD6d5+8=")</f>
        <v>#VALUE!</v>
      </c>
      <c r="IG178">
        <f>IF('Planilla_General_03-12-2012_9_3'!2848:2848,"AAAAAD6d5/A=",0)</f>
        <v>0</v>
      </c>
      <c r="IH178" t="e">
        <f>AND('Planilla_General_03-12-2012_9_3'!A2848,"AAAAAD6d5/E=")</f>
        <v>#VALUE!</v>
      </c>
      <c r="II178" t="e">
        <f>AND('Planilla_General_03-12-2012_9_3'!B2848,"AAAAAD6d5/I=")</f>
        <v>#VALUE!</v>
      </c>
      <c r="IJ178" t="e">
        <f>AND('Planilla_General_03-12-2012_9_3'!C2848,"AAAAAD6d5/M=")</f>
        <v>#VALUE!</v>
      </c>
      <c r="IK178" t="e">
        <f>AND('Planilla_General_03-12-2012_9_3'!D2848,"AAAAAD6d5/Q=")</f>
        <v>#VALUE!</v>
      </c>
      <c r="IL178" t="e">
        <f>AND('Planilla_General_03-12-2012_9_3'!E2848,"AAAAAD6d5/U=")</f>
        <v>#VALUE!</v>
      </c>
      <c r="IM178" t="e">
        <f>AND('Planilla_General_03-12-2012_9_3'!F2848,"AAAAAD6d5/Y=")</f>
        <v>#VALUE!</v>
      </c>
      <c r="IN178" t="e">
        <f>AND('Planilla_General_03-12-2012_9_3'!G2848,"AAAAAD6d5/c=")</f>
        <v>#VALUE!</v>
      </c>
      <c r="IO178" t="e">
        <f>AND('Planilla_General_03-12-2012_9_3'!H2848,"AAAAAD6d5/g=")</f>
        <v>#VALUE!</v>
      </c>
      <c r="IP178" t="e">
        <f>AND('Planilla_General_03-12-2012_9_3'!I2848,"AAAAAD6d5/k=")</f>
        <v>#VALUE!</v>
      </c>
      <c r="IQ178" t="e">
        <f>AND('Planilla_General_03-12-2012_9_3'!J2848,"AAAAAD6d5/o=")</f>
        <v>#VALUE!</v>
      </c>
      <c r="IR178" t="e">
        <f>AND('Planilla_General_03-12-2012_9_3'!K2848,"AAAAAD6d5/s=")</f>
        <v>#VALUE!</v>
      </c>
      <c r="IS178" t="e">
        <f>AND('Planilla_General_03-12-2012_9_3'!L2848,"AAAAAD6d5/w=")</f>
        <v>#VALUE!</v>
      </c>
      <c r="IT178" t="e">
        <f>AND('Planilla_General_03-12-2012_9_3'!M2848,"AAAAAD6d5/0=")</f>
        <v>#VALUE!</v>
      </c>
      <c r="IU178" t="e">
        <f>AND('Planilla_General_03-12-2012_9_3'!N2848,"AAAAAD6d5/4=")</f>
        <v>#VALUE!</v>
      </c>
      <c r="IV178" t="e">
        <f>AND('Planilla_General_03-12-2012_9_3'!O2848,"AAAAAD6d5/8=")</f>
        <v>#VALUE!</v>
      </c>
    </row>
    <row r="179" spans="1:256" x14ac:dyDescent="0.25">
      <c r="A179" t="e">
        <f>IF('Planilla_General_03-12-2012_9_3'!2849:2849,"AAAAADK+/QA=",0)</f>
        <v>#VALUE!</v>
      </c>
      <c r="B179" t="e">
        <f>AND('Planilla_General_03-12-2012_9_3'!A2849,"AAAAADK+/QE=")</f>
        <v>#VALUE!</v>
      </c>
      <c r="C179" t="e">
        <f>AND('Planilla_General_03-12-2012_9_3'!B2849,"AAAAADK+/QI=")</f>
        <v>#VALUE!</v>
      </c>
      <c r="D179" t="e">
        <f>AND('Planilla_General_03-12-2012_9_3'!C2849,"AAAAADK+/QM=")</f>
        <v>#VALUE!</v>
      </c>
      <c r="E179" t="e">
        <f>AND('Planilla_General_03-12-2012_9_3'!D2849,"AAAAADK+/QQ=")</f>
        <v>#VALUE!</v>
      </c>
      <c r="F179" t="e">
        <f>AND('Planilla_General_03-12-2012_9_3'!E2849,"AAAAADK+/QU=")</f>
        <v>#VALUE!</v>
      </c>
      <c r="G179" t="e">
        <f>AND('Planilla_General_03-12-2012_9_3'!F2849,"AAAAADK+/QY=")</f>
        <v>#VALUE!</v>
      </c>
      <c r="H179" t="e">
        <f>AND('Planilla_General_03-12-2012_9_3'!G2849,"AAAAADK+/Qc=")</f>
        <v>#VALUE!</v>
      </c>
      <c r="I179" t="e">
        <f>AND('Planilla_General_03-12-2012_9_3'!H2849,"AAAAADK+/Qg=")</f>
        <v>#VALUE!</v>
      </c>
      <c r="J179" t="e">
        <f>AND('Planilla_General_03-12-2012_9_3'!I2849,"AAAAADK+/Qk=")</f>
        <v>#VALUE!</v>
      </c>
      <c r="K179" t="e">
        <f>AND('Planilla_General_03-12-2012_9_3'!J2849,"AAAAADK+/Qo=")</f>
        <v>#VALUE!</v>
      </c>
      <c r="L179" t="e">
        <f>AND('Planilla_General_03-12-2012_9_3'!K2849,"AAAAADK+/Qs=")</f>
        <v>#VALUE!</v>
      </c>
      <c r="M179" t="e">
        <f>AND('Planilla_General_03-12-2012_9_3'!L2849,"AAAAADK+/Qw=")</f>
        <v>#VALUE!</v>
      </c>
      <c r="N179" t="e">
        <f>AND('Planilla_General_03-12-2012_9_3'!M2849,"AAAAADK+/Q0=")</f>
        <v>#VALUE!</v>
      </c>
      <c r="O179" t="e">
        <f>AND('Planilla_General_03-12-2012_9_3'!N2849,"AAAAADK+/Q4=")</f>
        <v>#VALUE!</v>
      </c>
      <c r="P179" t="e">
        <f>AND('Planilla_General_03-12-2012_9_3'!O2849,"AAAAADK+/Q8=")</f>
        <v>#VALUE!</v>
      </c>
      <c r="Q179">
        <f>IF('Planilla_General_03-12-2012_9_3'!2850:2850,"AAAAADK+/RA=",0)</f>
        <v>0</v>
      </c>
      <c r="R179" t="e">
        <f>AND('Planilla_General_03-12-2012_9_3'!A2850,"AAAAADK+/RE=")</f>
        <v>#VALUE!</v>
      </c>
      <c r="S179" t="e">
        <f>AND('Planilla_General_03-12-2012_9_3'!B2850,"AAAAADK+/RI=")</f>
        <v>#VALUE!</v>
      </c>
      <c r="T179" t="e">
        <f>AND('Planilla_General_03-12-2012_9_3'!C2850,"AAAAADK+/RM=")</f>
        <v>#VALUE!</v>
      </c>
      <c r="U179" t="e">
        <f>AND('Planilla_General_03-12-2012_9_3'!D2850,"AAAAADK+/RQ=")</f>
        <v>#VALUE!</v>
      </c>
      <c r="V179" t="e">
        <f>AND('Planilla_General_03-12-2012_9_3'!E2850,"AAAAADK+/RU=")</f>
        <v>#VALUE!</v>
      </c>
      <c r="W179" t="e">
        <f>AND('Planilla_General_03-12-2012_9_3'!F2850,"AAAAADK+/RY=")</f>
        <v>#VALUE!</v>
      </c>
      <c r="X179" t="e">
        <f>AND('Planilla_General_03-12-2012_9_3'!G2850,"AAAAADK+/Rc=")</f>
        <v>#VALUE!</v>
      </c>
      <c r="Y179" t="e">
        <f>AND('Planilla_General_03-12-2012_9_3'!H2850,"AAAAADK+/Rg=")</f>
        <v>#VALUE!</v>
      </c>
      <c r="Z179" t="e">
        <f>AND('Planilla_General_03-12-2012_9_3'!I2850,"AAAAADK+/Rk=")</f>
        <v>#VALUE!</v>
      </c>
      <c r="AA179" t="e">
        <f>AND('Planilla_General_03-12-2012_9_3'!J2850,"AAAAADK+/Ro=")</f>
        <v>#VALUE!</v>
      </c>
      <c r="AB179" t="e">
        <f>AND('Planilla_General_03-12-2012_9_3'!K2850,"AAAAADK+/Rs=")</f>
        <v>#VALUE!</v>
      </c>
      <c r="AC179" t="e">
        <f>AND('Planilla_General_03-12-2012_9_3'!L2850,"AAAAADK+/Rw=")</f>
        <v>#VALUE!</v>
      </c>
      <c r="AD179" t="e">
        <f>AND('Planilla_General_03-12-2012_9_3'!M2850,"AAAAADK+/R0=")</f>
        <v>#VALUE!</v>
      </c>
      <c r="AE179" t="e">
        <f>AND('Planilla_General_03-12-2012_9_3'!N2850,"AAAAADK+/R4=")</f>
        <v>#VALUE!</v>
      </c>
      <c r="AF179" t="e">
        <f>AND('Planilla_General_03-12-2012_9_3'!O2850,"AAAAADK+/R8=")</f>
        <v>#VALUE!</v>
      </c>
      <c r="AG179">
        <f>IF('Planilla_General_03-12-2012_9_3'!2851:2851,"AAAAADK+/SA=",0)</f>
        <v>0</v>
      </c>
      <c r="AH179" t="e">
        <f>AND('Planilla_General_03-12-2012_9_3'!A2851,"AAAAADK+/SE=")</f>
        <v>#VALUE!</v>
      </c>
      <c r="AI179" t="e">
        <f>AND('Planilla_General_03-12-2012_9_3'!B2851,"AAAAADK+/SI=")</f>
        <v>#VALUE!</v>
      </c>
      <c r="AJ179" t="e">
        <f>AND('Planilla_General_03-12-2012_9_3'!C2851,"AAAAADK+/SM=")</f>
        <v>#VALUE!</v>
      </c>
      <c r="AK179" t="e">
        <f>AND('Planilla_General_03-12-2012_9_3'!D2851,"AAAAADK+/SQ=")</f>
        <v>#VALUE!</v>
      </c>
      <c r="AL179" t="e">
        <f>AND('Planilla_General_03-12-2012_9_3'!E2851,"AAAAADK+/SU=")</f>
        <v>#VALUE!</v>
      </c>
      <c r="AM179" t="e">
        <f>AND('Planilla_General_03-12-2012_9_3'!F2851,"AAAAADK+/SY=")</f>
        <v>#VALUE!</v>
      </c>
      <c r="AN179" t="e">
        <f>AND('Planilla_General_03-12-2012_9_3'!G2851,"AAAAADK+/Sc=")</f>
        <v>#VALUE!</v>
      </c>
      <c r="AO179" t="e">
        <f>AND('Planilla_General_03-12-2012_9_3'!H2851,"AAAAADK+/Sg=")</f>
        <v>#VALUE!</v>
      </c>
      <c r="AP179" t="e">
        <f>AND('Planilla_General_03-12-2012_9_3'!I2851,"AAAAADK+/Sk=")</f>
        <v>#VALUE!</v>
      </c>
      <c r="AQ179" t="e">
        <f>AND('Planilla_General_03-12-2012_9_3'!J2851,"AAAAADK+/So=")</f>
        <v>#VALUE!</v>
      </c>
      <c r="AR179" t="e">
        <f>AND('Planilla_General_03-12-2012_9_3'!K2851,"AAAAADK+/Ss=")</f>
        <v>#VALUE!</v>
      </c>
      <c r="AS179" t="e">
        <f>AND('Planilla_General_03-12-2012_9_3'!L2851,"AAAAADK+/Sw=")</f>
        <v>#VALUE!</v>
      </c>
      <c r="AT179" t="e">
        <f>AND('Planilla_General_03-12-2012_9_3'!M2851,"AAAAADK+/S0=")</f>
        <v>#VALUE!</v>
      </c>
      <c r="AU179" t="e">
        <f>AND('Planilla_General_03-12-2012_9_3'!N2851,"AAAAADK+/S4=")</f>
        <v>#VALUE!</v>
      </c>
      <c r="AV179" t="e">
        <f>AND('Planilla_General_03-12-2012_9_3'!O2851,"AAAAADK+/S8=")</f>
        <v>#VALUE!</v>
      </c>
      <c r="AW179">
        <f>IF('Planilla_General_03-12-2012_9_3'!2852:2852,"AAAAADK+/TA=",0)</f>
        <v>0</v>
      </c>
      <c r="AX179" t="e">
        <f>AND('Planilla_General_03-12-2012_9_3'!A2852,"AAAAADK+/TE=")</f>
        <v>#VALUE!</v>
      </c>
      <c r="AY179" t="e">
        <f>AND('Planilla_General_03-12-2012_9_3'!B2852,"AAAAADK+/TI=")</f>
        <v>#VALUE!</v>
      </c>
      <c r="AZ179" t="e">
        <f>AND('Planilla_General_03-12-2012_9_3'!C2852,"AAAAADK+/TM=")</f>
        <v>#VALUE!</v>
      </c>
      <c r="BA179" t="e">
        <f>AND('Planilla_General_03-12-2012_9_3'!D2852,"AAAAADK+/TQ=")</f>
        <v>#VALUE!</v>
      </c>
      <c r="BB179" t="e">
        <f>AND('Planilla_General_03-12-2012_9_3'!E2852,"AAAAADK+/TU=")</f>
        <v>#VALUE!</v>
      </c>
      <c r="BC179" t="e">
        <f>AND('Planilla_General_03-12-2012_9_3'!F2852,"AAAAADK+/TY=")</f>
        <v>#VALUE!</v>
      </c>
      <c r="BD179" t="e">
        <f>AND('Planilla_General_03-12-2012_9_3'!G2852,"AAAAADK+/Tc=")</f>
        <v>#VALUE!</v>
      </c>
      <c r="BE179" t="e">
        <f>AND('Planilla_General_03-12-2012_9_3'!H2852,"AAAAADK+/Tg=")</f>
        <v>#VALUE!</v>
      </c>
      <c r="BF179" t="e">
        <f>AND('Planilla_General_03-12-2012_9_3'!I2852,"AAAAADK+/Tk=")</f>
        <v>#VALUE!</v>
      </c>
      <c r="BG179" t="e">
        <f>AND('Planilla_General_03-12-2012_9_3'!J2852,"AAAAADK+/To=")</f>
        <v>#VALUE!</v>
      </c>
      <c r="BH179" t="e">
        <f>AND('Planilla_General_03-12-2012_9_3'!K2852,"AAAAADK+/Ts=")</f>
        <v>#VALUE!</v>
      </c>
      <c r="BI179" t="e">
        <f>AND('Planilla_General_03-12-2012_9_3'!L2852,"AAAAADK+/Tw=")</f>
        <v>#VALUE!</v>
      </c>
      <c r="BJ179" t="e">
        <f>AND('Planilla_General_03-12-2012_9_3'!M2852,"AAAAADK+/T0=")</f>
        <v>#VALUE!</v>
      </c>
      <c r="BK179" t="e">
        <f>AND('Planilla_General_03-12-2012_9_3'!N2852,"AAAAADK+/T4=")</f>
        <v>#VALUE!</v>
      </c>
      <c r="BL179" t="e">
        <f>AND('Planilla_General_03-12-2012_9_3'!O2852,"AAAAADK+/T8=")</f>
        <v>#VALUE!</v>
      </c>
      <c r="BM179">
        <f>IF('Planilla_General_03-12-2012_9_3'!2853:2853,"AAAAADK+/UA=",0)</f>
        <v>0</v>
      </c>
      <c r="BN179" t="e">
        <f>AND('Planilla_General_03-12-2012_9_3'!A2853,"AAAAADK+/UE=")</f>
        <v>#VALUE!</v>
      </c>
      <c r="BO179" t="e">
        <f>AND('Planilla_General_03-12-2012_9_3'!B2853,"AAAAADK+/UI=")</f>
        <v>#VALUE!</v>
      </c>
      <c r="BP179" t="e">
        <f>AND('Planilla_General_03-12-2012_9_3'!C2853,"AAAAADK+/UM=")</f>
        <v>#VALUE!</v>
      </c>
      <c r="BQ179" t="e">
        <f>AND('Planilla_General_03-12-2012_9_3'!D2853,"AAAAADK+/UQ=")</f>
        <v>#VALUE!</v>
      </c>
      <c r="BR179" t="e">
        <f>AND('Planilla_General_03-12-2012_9_3'!E2853,"AAAAADK+/UU=")</f>
        <v>#VALUE!</v>
      </c>
      <c r="BS179" t="e">
        <f>AND('Planilla_General_03-12-2012_9_3'!F2853,"AAAAADK+/UY=")</f>
        <v>#VALUE!</v>
      </c>
      <c r="BT179" t="e">
        <f>AND('Planilla_General_03-12-2012_9_3'!G2853,"AAAAADK+/Uc=")</f>
        <v>#VALUE!</v>
      </c>
      <c r="BU179" t="e">
        <f>AND('Planilla_General_03-12-2012_9_3'!H2853,"AAAAADK+/Ug=")</f>
        <v>#VALUE!</v>
      </c>
      <c r="BV179" t="e">
        <f>AND('Planilla_General_03-12-2012_9_3'!I2853,"AAAAADK+/Uk=")</f>
        <v>#VALUE!</v>
      </c>
      <c r="BW179" t="e">
        <f>AND('Planilla_General_03-12-2012_9_3'!J2853,"AAAAADK+/Uo=")</f>
        <v>#VALUE!</v>
      </c>
      <c r="BX179" t="e">
        <f>AND('Planilla_General_03-12-2012_9_3'!K2853,"AAAAADK+/Us=")</f>
        <v>#VALUE!</v>
      </c>
      <c r="BY179" t="e">
        <f>AND('Planilla_General_03-12-2012_9_3'!L2853,"AAAAADK+/Uw=")</f>
        <v>#VALUE!</v>
      </c>
      <c r="BZ179" t="e">
        <f>AND('Planilla_General_03-12-2012_9_3'!M2853,"AAAAADK+/U0=")</f>
        <v>#VALUE!</v>
      </c>
      <c r="CA179" t="e">
        <f>AND('Planilla_General_03-12-2012_9_3'!N2853,"AAAAADK+/U4=")</f>
        <v>#VALUE!</v>
      </c>
      <c r="CB179" t="e">
        <f>AND('Planilla_General_03-12-2012_9_3'!O2853,"AAAAADK+/U8=")</f>
        <v>#VALUE!</v>
      </c>
      <c r="CC179">
        <f>IF('Planilla_General_03-12-2012_9_3'!2854:2854,"AAAAADK+/VA=",0)</f>
        <v>0</v>
      </c>
      <c r="CD179" t="e">
        <f>AND('Planilla_General_03-12-2012_9_3'!A2854,"AAAAADK+/VE=")</f>
        <v>#VALUE!</v>
      </c>
      <c r="CE179" t="e">
        <f>AND('Planilla_General_03-12-2012_9_3'!B2854,"AAAAADK+/VI=")</f>
        <v>#VALUE!</v>
      </c>
      <c r="CF179" t="e">
        <f>AND('Planilla_General_03-12-2012_9_3'!C2854,"AAAAADK+/VM=")</f>
        <v>#VALUE!</v>
      </c>
      <c r="CG179" t="e">
        <f>AND('Planilla_General_03-12-2012_9_3'!D2854,"AAAAADK+/VQ=")</f>
        <v>#VALUE!</v>
      </c>
      <c r="CH179" t="e">
        <f>AND('Planilla_General_03-12-2012_9_3'!E2854,"AAAAADK+/VU=")</f>
        <v>#VALUE!</v>
      </c>
      <c r="CI179" t="e">
        <f>AND('Planilla_General_03-12-2012_9_3'!F2854,"AAAAADK+/VY=")</f>
        <v>#VALUE!</v>
      </c>
      <c r="CJ179" t="e">
        <f>AND('Planilla_General_03-12-2012_9_3'!G2854,"AAAAADK+/Vc=")</f>
        <v>#VALUE!</v>
      </c>
      <c r="CK179" t="e">
        <f>AND('Planilla_General_03-12-2012_9_3'!H2854,"AAAAADK+/Vg=")</f>
        <v>#VALUE!</v>
      </c>
      <c r="CL179" t="e">
        <f>AND('Planilla_General_03-12-2012_9_3'!I2854,"AAAAADK+/Vk=")</f>
        <v>#VALUE!</v>
      </c>
      <c r="CM179" t="e">
        <f>AND('Planilla_General_03-12-2012_9_3'!J2854,"AAAAADK+/Vo=")</f>
        <v>#VALUE!</v>
      </c>
      <c r="CN179" t="e">
        <f>AND('Planilla_General_03-12-2012_9_3'!K2854,"AAAAADK+/Vs=")</f>
        <v>#VALUE!</v>
      </c>
      <c r="CO179" t="e">
        <f>AND('Planilla_General_03-12-2012_9_3'!L2854,"AAAAADK+/Vw=")</f>
        <v>#VALUE!</v>
      </c>
      <c r="CP179" t="e">
        <f>AND('Planilla_General_03-12-2012_9_3'!M2854,"AAAAADK+/V0=")</f>
        <v>#VALUE!</v>
      </c>
      <c r="CQ179" t="e">
        <f>AND('Planilla_General_03-12-2012_9_3'!N2854,"AAAAADK+/V4=")</f>
        <v>#VALUE!</v>
      </c>
      <c r="CR179" t="e">
        <f>AND('Planilla_General_03-12-2012_9_3'!O2854,"AAAAADK+/V8=")</f>
        <v>#VALUE!</v>
      </c>
      <c r="CS179">
        <f>IF('Planilla_General_03-12-2012_9_3'!2855:2855,"AAAAADK+/WA=",0)</f>
        <v>0</v>
      </c>
      <c r="CT179" t="e">
        <f>AND('Planilla_General_03-12-2012_9_3'!A2855,"AAAAADK+/WE=")</f>
        <v>#VALUE!</v>
      </c>
      <c r="CU179" t="e">
        <f>AND('Planilla_General_03-12-2012_9_3'!B2855,"AAAAADK+/WI=")</f>
        <v>#VALUE!</v>
      </c>
      <c r="CV179" t="e">
        <f>AND('Planilla_General_03-12-2012_9_3'!C2855,"AAAAADK+/WM=")</f>
        <v>#VALUE!</v>
      </c>
      <c r="CW179" t="e">
        <f>AND('Planilla_General_03-12-2012_9_3'!D2855,"AAAAADK+/WQ=")</f>
        <v>#VALUE!</v>
      </c>
      <c r="CX179" t="e">
        <f>AND('Planilla_General_03-12-2012_9_3'!E2855,"AAAAADK+/WU=")</f>
        <v>#VALUE!</v>
      </c>
      <c r="CY179" t="e">
        <f>AND('Planilla_General_03-12-2012_9_3'!F2855,"AAAAADK+/WY=")</f>
        <v>#VALUE!</v>
      </c>
      <c r="CZ179" t="e">
        <f>AND('Planilla_General_03-12-2012_9_3'!G2855,"AAAAADK+/Wc=")</f>
        <v>#VALUE!</v>
      </c>
      <c r="DA179" t="e">
        <f>AND('Planilla_General_03-12-2012_9_3'!H2855,"AAAAADK+/Wg=")</f>
        <v>#VALUE!</v>
      </c>
      <c r="DB179" t="e">
        <f>AND('Planilla_General_03-12-2012_9_3'!I2855,"AAAAADK+/Wk=")</f>
        <v>#VALUE!</v>
      </c>
      <c r="DC179" t="e">
        <f>AND('Planilla_General_03-12-2012_9_3'!J2855,"AAAAADK+/Wo=")</f>
        <v>#VALUE!</v>
      </c>
      <c r="DD179" t="e">
        <f>AND('Planilla_General_03-12-2012_9_3'!K2855,"AAAAADK+/Ws=")</f>
        <v>#VALUE!</v>
      </c>
      <c r="DE179" t="e">
        <f>AND('Planilla_General_03-12-2012_9_3'!L2855,"AAAAADK+/Ww=")</f>
        <v>#VALUE!</v>
      </c>
      <c r="DF179" t="e">
        <f>AND('Planilla_General_03-12-2012_9_3'!M2855,"AAAAADK+/W0=")</f>
        <v>#VALUE!</v>
      </c>
      <c r="DG179" t="e">
        <f>AND('Planilla_General_03-12-2012_9_3'!N2855,"AAAAADK+/W4=")</f>
        <v>#VALUE!</v>
      </c>
      <c r="DH179" t="e">
        <f>AND('Planilla_General_03-12-2012_9_3'!O2855,"AAAAADK+/W8=")</f>
        <v>#VALUE!</v>
      </c>
      <c r="DI179">
        <f>IF('Planilla_General_03-12-2012_9_3'!2856:2856,"AAAAADK+/XA=",0)</f>
        <v>0</v>
      </c>
      <c r="DJ179" t="e">
        <f>AND('Planilla_General_03-12-2012_9_3'!A2856,"AAAAADK+/XE=")</f>
        <v>#VALUE!</v>
      </c>
      <c r="DK179" t="e">
        <f>AND('Planilla_General_03-12-2012_9_3'!B2856,"AAAAADK+/XI=")</f>
        <v>#VALUE!</v>
      </c>
      <c r="DL179" t="e">
        <f>AND('Planilla_General_03-12-2012_9_3'!C2856,"AAAAADK+/XM=")</f>
        <v>#VALUE!</v>
      </c>
      <c r="DM179" t="e">
        <f>AND('Planilla_General_03-12-2012_9_3'!D2856,"AAAAADK+/XQ=")</f>
        <v>#VALUE!</v>
      </c>
      <c r="DN179" t="e">
        <f>AND('Planilla_General_03-12-2012_9_3'!E2856,"AAAAADK+/XU=")</f>
        <v>#VALUE!</v>
      </c>
      <c r="DO179" t="e">
        <f>AND('Planilla_General_03-12-2012_9_3'!F2856,"AAAAADK+/XY=")</f>
        <v>#VALUE!</v>
      </c>
      <c r="DP179" t="e">
        <f>AND('Planilla_General_03-12-2012_9_3'!G2856,"AAAAADK+/Xc=")</f>
        <v>#VALUE!</v>
      </c>
      <c r="DQ179" t="e">
        <f>AND('Planilla_General_03-12-2012_9_3'!H2856,"AAAAADK+/Xg=")</f>
        <v>#VALUE!</v>
      </c>
      <c r="DR179" t="e">
        <f>AND('Planilla_General_03-12-2012_9_3'!I2856,"AAAAADK+/Xk=")</f>
        <v>#VALUE!</v>
      </c>
      <c r="DS179" t="e">
        <f>AND('Planilla_General_03-12-2012_9_3'!J2856,"AAAAADK+/Xo=")</f>
        <v>#VALUE!</v>
      </c>
      <c r="DT179" t="e">
        <f>AND('Planilla_General_03-12-2012_9_3'!K2856,"AAAAADK+/Xs=")</f>
        <v>#VALUE!</v>
      </c>
      <c r="DU179" t="e">
        <f>AND('Planilla_General_03-12-2012_9_3'!L2856,"AAAAADK+/Xw=")</f>
        <v>#VALUE!</v>
      </c>
      <c r="DV179" t="e">
        <f>AND('Planilla_General_03-12-2012_9_3'!M2856,"AAAAADK+/X0=")</f>
        <v>#VALUE!</v>
      </c>
      <c r="DW179" t="e">
        <f>AND('Planilla_General_03-12-2012_9_3'!N2856,"AAAAADK+/X4=")</f>
        <v>#VALUE!</v>
      </c>
      <c r="DX179" t="e">
        <f>AND('Planilla_General_03-12-2012_9_3'!O2856,"AAAAADK+/X8=")</f>
        <v>#VALUE!</v>
      </c>
      <c r="DY179">
        <f>IF('Planilla_General_03-12-2012_9_3'!2857:2857,"AAAAADK+/YA=",0)</f>
        <v>0</v>
      </c>
      <c r="DZ179" t="e">
        <f>AND('Planilla_General_03-12-2012_9_3'!A2857,"AAAAADK+/YE=")</f>
        <v>#VALUE!</v>
      </c>
      <c r="EA179" t="e">
        <f>AND('Planilla_General_03-12-2012_9_3'!B2857,"AAAAADK+/YI=")</f>
        <v>#VALUE!</v>
      </c>
      <c r="EB179" t="e">
        <f>AND('Planilla_General_03-12-2012_9_3'!C2857,"AAAAADK+/YM=")</f>
        <v>#VALUE!</v>
      </c>
      <c r="EC179" t="e">
        <f>AND('Planilla_General_03-12-2012_9_3'!D2857,"AAAAADK+/YQ=")</f>
        <v>#VALUE!</v>
      </c>
      <c r="ED179" t="e">
        <f>AND('Planilla_General_03-12-2012_9_3'!E2857,"AAAAADK+/YU=")</f>
        <v>#VALUE!</v>
      </c>
      <c r="EE179" t="e">
        <f>AND('Planilla_General_03-12-2012_9_3'!F2857,"AAAAADK+/YY=")</f>
        <v>#VALUE!</v>
      </c>
      <c r="EF179" t="e">
        <f>AND('Planilla_General_03-12-2012_9_3'!G2857,"AAAAADK+/Yc=")</f>
        <v>#VALUE!</v>
      </c>
      <c r="EG179" t="e">
        <f>AND('Planilla_General_03-12-2012_9_3'!H2857,"AAAAADK+/Yg=")</f>
        <v>#VALUE!</v>
      </c>
      <c r="EH179" t="e">
        <f>AND('Planilla_General_03-12-2012_9_3'!I2857,"AAAAADK+/Yk=")</f>
        <v>#VALUE!</v>
      </c>
      <c r="EI179" t="e">
        <f>AND('Planilla_General_03-12-2012_9_3'!J2857,"AAAAADK+/Yo=")</f>
        <v>#VALUE!</v>
      </c>
      <c r="EJ179" t="e">
        <f>AND('Planilla_General_03-12-2012_9_3'!K2857,"AAAAADK+/Ys=")</f>
        <v>#VALUE!</v>
      </c>
      <c r="EK179" t="e">
        <f>AND('Planilla_General_03-12-2012_9_3'!L2857,"AAAAADK+/Yw=")</f>
        <v>#VALUE!</v>
      </c>
      <c r="EL179" t="e">
        <f>AND('Planilla_General_03-12-2012_9_3'!M2857,"AAAAADK+/Y0=")</f>
        <v>#VALUE!</v>
      </c>
      <c r="EM179" t="e">
        <f>AND('Planilla_General_03-12-2012_9_3'!N2857,"AAAAADK+/Y4=")</f>
        <v>#VALUE!</v>
      </c>
      <c r="EN179" t="e">
        <f>AND('Planilla_General_03-12-2012_9_3'!O2857,"AAAAADK+/Y8=")</f>
        <v>#VALUE!</v>
      </c>
      <c r="EO179">
        <f>IF('Planilla_General_03-12-2012_9_3'!2858:2858,"AAAAADK+/ZA=",0)</f>
        <v>0</v>
      </c>
      <c r="EP179" t="e">
        <f>AND('Planilla_General_03-12-2012_9_3'!A2858,"AAAAADK+/ZE=")</f>
        <v>#VALUE!</v>
      </c>
      <c r="EQ179" t="e">
        <f>AND('Planilla_General_03-12-2012_9_3'!B2858,"AAAAADK+/ZI=")</f>
        <v>#VALUE!</v>
      </c>
      <c r="ER179" t="e">
        <f>AND('Planilla_General_03-12-2012_9_3'!C2858,"AAAAADK+/ZM=")</f>
        <v>#VALUE!</v>
      </c>
      <c r="ES179" t="e">
        <f>AND('Planilla_General_03-12-2012_9_3'!D2858,"AAAAADK+/ZQ=")</f>
        <v>#VALUE!</v>
      </c>
      <c r="ET179" t="e">
        <f>AND('Planilla_General_03-12-2012_9_3'!E2858,"AAAAADK+/ZU=")</f>
        <v>#VALUE!</v>
      </c>
      <c r="EU179" t="e">
        <f>AND('Planilla_General_03-12-2012_9_3'!F2858,"AAAAADK+/ZY=")</f>
        <v>#VALUE!</v>
      </c>
      <c r="EV179" t="e">
        <f>AND('Planilla_General_03-12-2012_9_3'!G2858,"AAAAADK+/Zc=")</f>
        <v>#VALUE!</v>
      </c>
      <c r="EW179" t="e">
        <f>AND('Planilla_General_03-12-2012_9_3'!H2858,"AAAAADK+/Zg=")</f>
        <v>#VALUE!</v>
      </c>
      <c r="EX179" t="e">
        <f>AND('Planilla_General_03-12-2012_9_3'!I2858,"AAAAADK+/Zk=")</f>
        <v>#VALUE!</v>
      </c>
      <c r="EY179" t="e">
        <f>AND('Planilla_General_03-12-2012_9_3'!J2858,"AAAAADK+/Zo=")</f>
        <v>#VALUE!</v>
      </c>
      <c r="EZ179" t="e">
        <f>AND('Planilla_General_03-12-2012_9_3'!K2858,"AAAAADK+/Zs=")</f>
        <v>#VALUE!</v>
      </c>
      <c r="FA179" t="e">
        <f>AND('Planilla_General_03-12-2012_9_3'!L2858,"AAAAADK+/Zw=")</f>
        <v>#VALUE!</v>
      </c>
      <c r="FB179" t="e">
        <f>AND('Planilla_General_03-12-2012_9_3'!M2858,"AAAAADK+/Z0=")</f>
        <v>#VALUE!</v>
      </c>
      <c r="FC179" t="e">
        <f>AND('Planilla_General_03-12-2012_9_3'!N2858,"AAAAADK+/Z4=")</f>
        <v>#VALUE!</v>
      </c>
      <c r="FD179" t="e">
        <f>AND('Planilla_General_03-12-2012_9_3'!O2858,"AAAAADK+/Z8=")</f>
        <v>#VALUE!</v>
      </c>
      <c r="FE179">
        <f>IF('Planilla_General_03-12-2012_9_3'!2859:2859,"AAAAADK+/aA=",0)</f>
        <v>0</v>
      </c>
      <c r="FF179" t="e">
        <f>AND('Planilla_General_03-12-2012_9_3'!A2859,"AAAAADK+/aE=")</f>
        <v>#VALUE!</v>
      </c>
      <c r="FG179" t="e">
        <f>AND('Planilla_General_03-12-2012_9_3'!B2859,"AAAAADK+/aI=")</f>
        <v>#VALUE!</v>
      </c>
      <c r="FH179" t="e">
        <f>AND('Planilla_General_03-12-2012_9_3'!C2859,"AAAAADK+/aM=")</f>
        <v>#VALUE!</v>
      </c>
      <c r="FI179" t="e">
        <f>AND('Planilla_General_03-12-2012_9_3'!D2859,"AAAAADK+/aQ=")</f>
        <v>#VALUE!</v>
      </c>
      <c r="FJ179" t="e">
        <f>AND('Planilla_General_03-12-2012_9_3'!E2859,"AAAAADK+/aU=")</f>
        <v>#VALUE!</v>
      </c>
      <c r="FK179" t="e">
        <f>AND('Planilla_General_03-12-2012_9_3'!F2859,"AAAAADK+/aY=")</f>
        <v>#VALUE!</v>
      </c>
      <c r="FL179" t="e">
        <f>AND('Planilla_General_03-12-2012_9_3'!G2859,"AAAAADK+/ac=")</f>
        <v>#VALUE!</v>
      </c>
      <c r="FM179" t="e">
        <f>AND('Planilla_General_03-12-2012_9_3'!H2859,"AAAAADK+/ag=")</f>
        <v>#VALUE!</v>
      </c>
      <c r="FN179" t="e">
        <f>AND('Planilla_General_03-12-2012_9_3'!I2859,"AAAAADK+/ak=")</f>
        <v>#VALUE!</v>
      </c>
      <c r="FO179" t="e">
        <f>AND('Planilla_General_03-12-2012_9_3'!J2859,"AAAAADK+/ao=")</f>
        <v>#VALUE!</v>
      </c>
      <c r="FP179" t="e">
        <f>AND('Planilla_General_03-12-2012_9_3'!K2859,"AAAAADK+/as=")</f>
        <v>#VALUE!</v>
      </c>
      <c r="FQ179" t="e">
        <f>AND('Planilla_General_03-12-2012_9_3'!L2859,"AAAAADK+/aw=")</f>
        <v>#VALUE!</v>
      </c>
      <c r="FR179" t="e">
        <f>AND('Planilla_General_03-12-2012_9_3'!M2859,"AAAAADK+/a0=")</f>
        <v>#VALUE!</v>
      </c>
      <c r="FS179" t="e">
        <f>AND('Planilla_General_03-12-2012_9_3'!N2859,"AAAAADK+/a4=")</f>
        <v>#VALUE!</v>
      </c>
      <c r="FT179" t="e">
        <f>AND('Planilla_General_03-12-2012_9_3'!O2859,"AAAAADK+/a8=")</f>
        <v>#VALUE!</v>
      </c>
      <c r="FU179">
        <f>IF('Planilla_General_03-12-2012_9_3'!2860:2860,"AAAAADK+/bA=",0)</f>
        <v>0</v>
      </c>
      <c r="FV179" t="e">
        <f>AND('Planilla_General_03-12-2012_9_3'!A2860,"AAAAADK+/bE=")</f>
        <v>#VALUE!</v>
      </c>
      <c r="FW179" t="e">
        <f>AND('Planilla_General_03-12-2012_9_3'!B2860,"AAAAADK+/bI=")</f>
        <v>#VALUE!</v>
      </c>
      <c r="FX179" t="e">
        <f>AND('Planilla_General_03-12-2012_9_3'!C2860,"AAAAADK+/bM=")</f>
        <v>#VALUE!</v>
      </c>
      <c r="FY179" t="e">
        <f>AND('Planilla_General_03-12-2012_9_3'!D2860,"AAAAADK+/bQ=")</f>
        <v>#VALUE!</v>
      </c>
      <c r="FZ179" t="e">
        <f>AND('Planilla_General_03-12-2012_9_3'!E2860,"AAAAADK+/bU=")</f>
        <v>#VALUE!</v>
      </c>
      <c r="GA179" t="e">
        <f>AND('Planilla_General_03-12-2012_9_3'!F2860,"AAAAADK+/bY=")</f>
        <v>#VALUE!</v>
      </c>
      <c r="GB179" t="e">
        <f>AND('Planilla_General_03-12-2012_9_3'!G2860,"AAAAADK+/bc=")</f>
        <v>#VALUE!</v>
      </c>
      <c r="GC179" t="e">
        <f>AND('Planilla_General_03-12-2012_9_3'!H2860,"AAAAADK+/bg=")</f>
        <v>#VALUE!</v>
      </c>
      <c r="GD179" t="e">
        <f>AND('Planilla_General_03-12-2012_9_3'!I2860,"AAAAADK+/bk=")</f>
        <v>#VALUE!</v>
      </c>
      <c r="GE179" t="e">
        <f>AND('Planilla_General_03-12-2012_9_3'!J2860,"AAAAADK+/bo=")</f>
        <v>#VALUE!</v>
      </c>
      <c r="GF179" t="e">
        <f>AND('Planilla_General_03-12-2012_9_3'!K2860,"AAAAADK+/bs=")</f>
        <v>#VALUE!</v>
      </c>
      <c r="GG179" t="e">
        <f>AND('Planilla_General_03-12-2012_9_3'!L2860,"AAAAADK+/bw=")</f>
        <v>#VALUE!</v>
      </c>
      <c r="GH179" t="e">
        <f>AND('Planilla_General_03-12-2012_9_3'!M2860,"AAAAADK+/b0=")</f>
        <v>#VALUE!</v>
      </c>
      <c r="GI179" t="e">
        <f>AND('Planilla_General_03-12-2012_9_3'!N2860,"AAAAADK+/b4=")</f>
        <v>#VALUE!</v>
      </c>
      <c r="GJ179" t="e">
        <f>AND('Planilla_General_03-12-2012_9_3'!O2860,"AAAAADK+/b8=")</f>
        <v>#VALUE!</v>
      </c>
      <c r="GK179">
        <f>IF('Planilla_General_03-12-2012_9_3'!2861:2861,"AAAAADK+/cA=",0)</f>
        <v>0</v>
      </c>
      <c r="GL179" t="e">
        <f>AND('Planilla_General_03-12-2012_9_3'!A2861,"AAAAADK+/cE=")</f>
        <v>#VALUE!</v>
      </c>
      <c r="GM179" t="e">
        <f>AND('Planilla_General_03-12-2012_9_3'!B2861,"AAAAADK+/cI=")</f>
        <v>#VALUE!</v>
      </c>
      <c r="GN179" t="e">
        <f>AND('Planilla_General_03-12-2012_9_3'!C2861,"AAAAADK+/cM=")</f>
        <v>#VALUE!</v>
      </c>
      <c r="GO179" t="e">
        <f>AND('Planilla_General_03-12-2012_9_3'!D2861,"AAAAADK+/cQ=")</f>
        <v>#VALUE!</v>
      </c>
      <c r="GP179" t="e">
        <f>AND('Planilla_General_03-12-2012_9_3'!E2861,"AAAAADK+/cU=")</f>
        <v>#VALUE!</v>
      </c>
      <c r="GQ179" t="e">
        <f>AND('Planilla_General_03-12-2012_9_3'!F2861,"AAAAADK+/cY=")</f>
        <v>#VALUE!</v>
      </c>
      <c r="GR179" t="e">
        <f>AND('Planilla_General_03-12-2012_9_3'!G2861,"AAAAADK+/cc=")</f>
        <v>#VALUE!</v>
      </c>
      <c r="GS179" t="e">
        <f>AND('Planilla_General_03-12-2012_9_3'!H2861,"AAAAADK+/cg=")</f>
        <v>#VALUE!</v>
      </c>
      <c r="GT179" t="e">
        <f>AND('Planilla_General_03-12-2012_9_3'!I2861,"AAAAADK+/ck=")</f>
        <v>#VALUE!</v>
      </c>
      <c r="GU179" t="e">
        <f>AND('Planilla_General_03-12-2012_9_3'!J2861,"AAAAADK+/co=")</f>
        <v>#VALUE!</v>
      </c>
      <c r="GV179" t="e">
        <f>AND('Planilla_General_03-12-2012_9_3'!K2861,"AAAAADK+/cs=")</f>
        <v>#VALUE!</v>
      </c>
      <c r="GW179" t="e">
        <f>AND('Planilla_General_03-12-2012_9_3'!L2861,"AAAAADK+/cw=")</f>
        <v>#VALUE!</v>
      </c>
      <c r="GX179" t="e">
        <f>AND('Planilla_General_03-12-2012_9_3'!M2861,"AAAAADK+/c0=")</f>
        <v>#VALUE!</v>
      </c>
      <c r="GY179" t="e">
        <f>AND('Planilla_General_03-12-2012_9_3'!N2861,"AAAAADK+/c4=")</f>
        <v>#VALUE!</v>
      </c>
      <c r="GZ179" t="e">
        <f>AND('Planilla_General_03-12-2012_9_3'!O2861,"AAAAADK+/c8=")</f>
        <v>#VALUE!</v>
      </c>
      <c r="HA179">
        <f>IF('Planilla_General_03-12-2012_9_3'!2862:2862,"AAAAADK+/dA=",0)</f>
        <v>0</v>
      </c>
      <c r="HB179" t="e">
        <f>AND('Planilla_General_03-12-2012_9_3'!A2862,"AAAAADK+/dE=")</f>
        <v>#VALUE!</v>
      </c>
      <c r="HC179" t="e">
        <f>AND('Planilla_General_03-12-2012_9_3'!B2862,"AAAAADK+/dI=")</f>
        <v>#VALUE!</v>
      </c>
      <c r="HD179" t="e">
        <f>AND('Planilla_General_03-12-2012_9_3'!C2862,"AAAAADK+/dM=")</f>
        <v>#VALUE!</v>
      </c>
      <c r="HE179" t="e">
        <f>AND('Planilla_General_03-12-2012_9_3'!D2862,"AAAAADK+/dQ=")</f>
        <v>#VALUE!</v>
      </c>
      <c r="HF179" t="e">
        <f>AND('Planilla_General_03-12-2012_9_3'!E2862,"AAAAADK+/dU=")</f>
        <v>#VALUE!</v>
      </c>
      <c r="HG179" t="e">
        <f>AND('Planilla_General_03-12-2012_9_3'!F2862,"AAAAADK+/dY=")</f>
        <v>#VALUE!</v>
      </c>
      <c r="HH179" t="e">
        <f>AND('Planilla_General_03-12-2012_9_3'!G2862,"AAAAADK+/dc=")</f>
        <v>#VALUE!</v>
      </c>
      <c r="HI179" t="e">
        <f>AND('Planilla_General_03-12-2012_9_3'!H2862,"AAAAADK+/dg=")</f>
        <v>#VALUE!</v>
      </c>
      <c r="HJ179" t="e">
        <f>AND('Planilla_General_03-12-2012_9_3'!I2862,"AAAAADK+/dk=")</f>
        <v>#VALUE!</v>
      </c>
      <c r="HK179" t="e">
        <f>AND('Planilla_General_03-12-2012_9_3'!J2862,"AAAAADK+/do=")</f>
        <v>#VALUE!</v>
      </c>
      <c r="HL179" t="e">
        <f>AND('Planilla_General_03-12-2012_9_3'!K2862,"AAAAADK+/ds=")</f>
        <v>#VALUE!</v>
      </c>
      <c r="HM179" t="e">
        <f>AND('Planilla_General_03-12-2012_9_3'!L2862,"AAAAADK+/dw=")</f>
        <v>#VALUE!</v>
      </c>
      <c r="HN179" t="e">
        <f>AND('Planilla_General_03-12-2012_9_3'!M2862,"AAAAADK+/d0=")</f>
        <v>#VALUE!</v>
      </c>
      <c r="HO179" t="e">
        <f>AND('Planilla_General_03-12-2012_9_3'!N2862,"AAAAADK+/d4=")</f>
        <v>#VALUE!</v>
      </c>
      <c r="HP179" t="e">
        <f>AND('Planilla_General_03-12-2012_9_3'!O2862,"AAAAADK+/d8=")</f>
        <v>#VALUE!</v>
      </c>
      <c r="HQ179">
        <f>IF('Planilla_General_03-12-2012_9_3'!2863:2863,"AAAAADK+/eA=",0)</f>
        <v>0</v>
      </c>
      <c r="HR179" t="e">
        <f>AND('Planilla_General_03-12-2012_9_3'!A2863,"AAAAADK+/eE=")</f>
        <v>#VALUE!</v>
      </c>
      <c r="HS179" t="e">
        <f>AND('Planilla_General_03-12-2012_9_3'!B2863,"AAAAADK+/eI=")</f>
        <v>#VALUE!</v>
      </c>
      <c r="HT179" t="e">
        <f>AND('Planilla_General_03-12-2012_9_3'!C2863,"AAAAADK+/eM=")</f>
        <v>#VALUE!</v>
      </c>
      <c r="HU179" t="e">
        <f>AND('Planilla_General_03-12-2012_9_3'!D2863,"AAAAADK+/eQ=")</f>
        <v>#VALUE!</v>
      </c>
      <c r="HV179" t="e">
        <f>AND('Planilla_General_03-12-2012_9_3'!E2863,"AAAAADK+/eU=")</f>
        <v>#VALUE!</v>
      </c>
      <c r="HW179" t="e">
        <f>AND('Planilla_General_03-12-2012_9_3'!F2863,"AAAAADK+/eY=")</f>
        <v>#VALUE!</v>
      </c>
      <c r="HX179" t="e">
        <f>AND('Planilla_General_03-12-2012_9_3'!G2863,"AAAAADK+/ec=")</f>
        <v>#VALUE!</v>
      </c>
      <c r="HY179" t="e">
        <f>AND('Planilla_General_03-12-2012_9_3'!H2863,"AAAAADK+/eg=")</f>
        <v>#VALUE!</v>
      </c>
      <c r="HZ179" t="e">
        <f>AND('Planilla_General_03-12-2012_9_3'!I2863,"AAAAADK+/ek=")</f>
        <v>#VALUE!</v>
      </c>
      <c r="IA179" t="e">
        <f>AND('Planilla_General_03-12-2012_9_3'!J2863,"AAAAADK+/eo=")</f>
        <v>#VALUE!</v>
      </c>
      <c r="IB179" t="e">
        <f>AND('Planilla_General_03-12-2012_9_3'!K2863,"AAAAADK+/es=")</f>
        <v>#VALUE!</v>
      </c>
      <c r="IC179" t="e">
        <f>AND('Planilla_General_03-12-2012_9_3'!L2863,"AAAAADK+/ew=")</f>
        <v>#VALUE!</v>
      </c>
      <c r="ID179" t="e">
        <f>AND('Planilla_General_03-12-2012_9_3'!M2863,"AAAAADK+/e0=")</f>
        <v>#VALUE!</v>
      </c>
      <c r="IE179" t="e">
        <f>AND('Planilla_General_03-12-2012_9_3'!N2863,"AAAAADK+/e4=")</f>
        <v>#VALUE!</v>
      </c>
      <c r="IF179" t="e">
        <f>AND('Planilla_General_03-12-2012_9_3'!O2863,"AAAAADK+/e8=")</f>
        <v>#VALUE!</v>
      </c>
      <c r="IG179">
        <f>IF('Planilla_General_03-12-2012_9_3'!2864:2864,"AAAAADK+/fA=",0)</f>
        <v>0</v>
      </c>
      <c r="IH179" t="e">
        <f>AND('Planilla_General_03-12-2012_9_3'!A2864,"AAAAADK+/fE=")</f>
        <v>#VALUE!</v>
      </c>
      <c r="II179" t="e">
        <f>AND('Planilla_General_03-12-2012_9_3'!B2864,"AAAAADK+/fI=")</f>
        <v>#VALUE!</v>
      </c>
      <c r="IJ179" t="e">
        <f>AND('Planilla_General_03-12-2012_9_3'!C2864,"AAAAADK+/fM=")</f>
        <v>#VALUE!</v>
      </c>
      <c r="IK179" t="e">
        <f>AND('Planilla_General_03-12-2012_9_3'!D2864,"AAAAADK+/fQ=")</f>
        <v>#VALUE!</v>
      </c>
      <c r="IL179" t="e">
        <f>AND('Planilla_General_03-12-2012_9_3'!E2864,"AAAAADK+/fU=")</f>
        <v>#VALUE!</v>
      </c>
      <c r="IM179" t="e">
        <f>AND('Planilla_General_03-12-2012_9_3'!F2864,"AAAAADK+/fY=")</f>
        <v>#VALUE!</v>
      </c>
      <c r="IN179" t="e">
        <f>AND('Planilla_General_03-12-2012_9_3'!G2864,"AAAAADK+/fc=")</f>
        <v>#VALUE!</v>
      </c>
      <c r="IO179" t="e">
        <f>AND('Planilla_General_03-12-2012_9_3'!H2864,"AAAAADK+/fg=")</f>
        <v>#VALUE!</v>
      </c>
      <c r="IP179" t="e">
        <f>AND('Planilla_General_03-12-2012_9_3'!I2864,"AAAAADK+/fk=")</f>
        <v>#VALUE!</v>
      </c>
      <c r="IQ179" t="e">
        <f>AND('Planilla_General_03-12-2012_9_3'!J2864,"AAAAADK+/fo=")</f>
        <v>#VALUE!</v>
      </c>
      <c r="IR179" t="e">
        <f>AND('Planilla_General_03-12-2012_9_3'!K2864,"AAAAADK+/fs=")</f>
        <v>#VALUE!</v>
      </c>
      <c r="IS179" t="e">
        <f>AND('Planilla_General_03-12-2012_9_3'!L2864,"AAAAADK+/fw=")</f>
        <v>#VALUE!</v>
      </c>
      <c r="IT179" t="e">
        <f>AND('Planilla_General_03-12-2012_9_3'!M2864,"AAAAADK+/f0=")</f>
        <v>#VALUE!</v>
      </c>
      <c r="IU179" t="e">
        <f>AND('Planilla_General_03-12-2012_9_3'!N2864,"AAAAADK+/f4=")</f>
        <v>#VALUE!</v>
      </c>
      <c r="IV179" t="e">
        <f>AND('Planilla_General_03-12-2012_9_3'!O2864,"AAAAADK+/f8=")</f>
        <v>#VALUE!</v>
      </c>
    </row>
    <row r="180" spans="1:256" x14ac:dyDescent="0.25">
      <c r="A180" t="e">
        <f>IF('Planilla_General_03-12-2012_9_3'!2865:2865,"AAAAAC1/yQA=",0)</f>
        <v>#VALUE!</v>
      </c>
      <c r="B180" t="e">
        <f>AND('Planilla_General_03-12-2012_9_3'!A2865,"AAAAAC1/yQE=")</f>
        <v>#VALUE!</v>
      </c>
      <c r="C180" t="e">
        <f>AND('Planilla_General_03-12-2012_9_3'!B2865,"AAAAAC1/yQI=")</f>
        <v>#VALUE!</v>
      </c>
      <c r="D180" t="e">
        <f>AND('Planilla_General_03-12-2012_9_3'!C2865,"AAAAAC1/yQM=")</f>
        <v>#VALUE!</v>
      </c>
      <c r="E180" t="e">
        <f>AND('Planilla_General_03-12-2012_9_3'!D2865,"AAAAAC1/yQQ=")</f>
        <v>#VALUE!</v>
      </c>
      <c r="F180" t="e">
        <f>AND('Planilla_General_03-12-2012_9_3'!E2865,"AAAAAC1/yQU=")</f>
        <v>#VALUE!</v>
      </c>
      <c r="G180" t="e">
        <f>AND('Planilla_General_03-12-2012_9_3'!F2865,"AAAAAC1/yQY=")</f>
        <v>#VALUE!</v>
      </c>
      <c r="H180" t="e">
        <f>AND('Planilla_General_03-12-2012_9_3'!G2865,"AAAAAC1/yQc=")</f>
        <v>#VALUE!</v>
      </c>
      <c r="I180" t="e">
        <f>AND('Planilla_General_03-12-2012_9_3'!H2865,"AAAAAC1/yQg=")</f>
        <v>#VALUE!</v>
      </c>
      <c r="J180" t="e">
        <f>AND('Planilla_General_03-12-2012_9_3'!I2865,"AAAAAC1/yQk=")</f>
        <v>#VALUE!</v>
      </c>
      <c r="K180" t="e">
        <f>AND('Planilla_General_03-12-2012_9_3'!J2865,"AAAAAC1/yQo=")</f>
        <v>#VALUE!</v>
      </c>
      <c r="L180" t="e">
        <f>AND('Planilla_General_03-12-2012_9_3'!K2865,"AAAAAC1/yQs=")</f>
        <v>#VALUE!</v>
      </c>
      <c r="M180" t="e">
        <f>AND('Planilla_General_03-12-2012_9_3'!L2865,"AAAAAC1/yQw=")</f>
        <v>#VALUE!</v>
      </c>
      <c r="N180" t="e">
        <f>AND('Planilla_General_03-12-2012_9_3'!M2865,"AAAAAC1/yQ0=")</f>
        <v>#VALUE!</v>
      </c>
      <c r="O180" t="e">
        <f>AND('Planilla_General_03-12-2012_9_3'!N2865,"AAAAAC1/yQ4=")</f>
        <v>#VALUE!</v>
      </c>
      <c r="P180" t="e">
        <f>AND('Planilla_General_03-12-2012_9_3'!O2865,"AAAAAC1/yQ8=")</f>
        <v>#VALUE!</v>
      </c>
      <c r="Q180">
        <f>IF('Planilla_General_03-12-2012_9_3'!2866:2866,"AAAAAC1/yRA=",0)</f>
        <v>0</v>
      </c>
      <c r="R180" t="e">
        <f>AND('Planilla_General_03-12-2012_9_3'!A2866,"AAAAAC1/yRE=")</f>
        <v>#VALUE!</v>
      </c>
      <c r="S180" t="e">
        <f>AND('Planilla_General_03-12-2012_9_3'!B2866,"AAAAAC1/yRI=")</f>
        <v>#VALUE!</v>
      </c>
      <c r="T180" t="e">
        <f>AND('Planilla_General_03-12-2012_9_3'!C2866,"AAAAAC1/yRM=")</f>
        <v>#VALUE!</v>
      </c>
      <c r="U180" t="e">
        <f>AND('Planilla_General_03-12-2012_9_3'!D2866,"AAAAAC1/yRQ=")</f>
        <v>#VALUE!</v>
      </c>
      <c r="V180" t="e">
        <f>AND('Planilla_General_03-12-2012_9_3'!E2866,"AAAAAC1/yRU=")</f>
        <v>#VALUE!</v>
      </c>
      <c r="W180" t="e">
        <f>AND('Planilla_General_03-12-2012_9_3'!F2866,"AAAAAC1/yRY=")</f>
        <v>#VALUE!</v>
      </c>
      <c r="X180" t="e">
        <f>AND('Planilla_General_03-12-2012_9_3'!G2866,"AAAAAC1/yRc=")</f>
        <v>#VALUE!</v>
      </c>
      <c r="Y180" t="e">
        <f>AND('Planilla_General_03-12-2012_9_3'!H2866,"AAAAAC1/yRg=")</f>
        <v>#VALUE!</v>
      </c>
      <c r="Z180" t="e">
        <f>AND('Planilla_General_03-12-2012_9_3'!I2866,"AAAAAC1/yRk=")</f>
        <v>#VALUE!</v>
      </c>
      <c r="AA180" t="e">
        <f>AND('Planilla_General_03-12-2012_9_3'!J2866,"AAAAAC1/yRo=")</f>
        <v>#VALUE!</v>
      </c>
      <c r="AB180" t="e">
        <f>AND('Planilla_General_03-12-2012_9_3'!K2866,"AAAAAC1/yRs=")</f>
        <v>#VALUE!</v>
      </c>
      <c r="AC180" t="e">
        <f>AND('Planilla_General_03-12-2012_9_3'!L2866,"AAAAAC1/yRw=")</f>
        <v>#VALUE!</v>
      </c>
      <c r="AD180" t="e">
        <f>AND('Planilla_General_03-12-2012_9_3'!M2866,"AAAAAC1/yR0=")</f>
        <v>#VALUE!</v>
      </c>
      <c r="AE180" t="e">
        <f>AND('Planilla_General_03-12-2012_9_3'!N2866,"AAAAAC1/yR4=")</f>
        <v>#VALUE!</v>
      </c>
      <c r="AF180" t="e">
        <f>AND('Planilla_General_03-12-2012_9_3'!O2866,"AAAAAC1/yR8=")</f>
        <v>#VALUE!</v>
      </c>
      <c r="AG180">
        <f>IF('Planilla_General_03-12-2012_9_3'!2867:2867,"AAAAAC1/ySA=",0)</f>
        <v>0</v>
      </c>
      <c r="AH180" t="e">
        <f>AND('Planilla_General_03-12-2012_9_3'!A2867,"AAAAAC1/ySE=")</f>
        <v>#VALUE!</v>
      </c>
      <c r="AI180" t="e">
        <f>AND('Planilla_General_03-12-2012_9_3'!B2867,"AAAAAC1/ySI=")</f>
        <v>#VALUE!</v>
      </c>
      <c r="AJ180" t="e">
        <f>AND('Planilla_General_03-12-2012_9_3'!C2867,"AAAAAC1/ySM=")</f>
        <v>#VALUE!</v>
      </c>
      <c r="AK180" t="e">
        <f>AND('Planilla_General_03-12-2012_9_3'!D2867,"AAAAAC1/ySQ=")</f>
        <v>#VALUE!</v>
      </c>
      <c r="AL180" t="e">
        <f>AND('Planilla_General_03-12-2012_9_3'!E2867,"AAAAAC1/ySU=")</f>
        <v>#VALUE!</v>
      </c>
      <c r="AM180" t="e">
        <f>AND('Planilla_General_03-12-2012_9_3'!F2867,"AAAAAC1/ySY=")</f>
        <v>#VALUE!</v>
      </c>
      <c r="AN180" t="e">
        <f>AND('Planilla_General_03-12-2012_9_3'!G2867,"AAAAAC1/ySc=")</f>
        <v>#VALUE!</v>
      </c>
      <c r="AO180" t="e">
        <f>AND('Planilla_General_03-12-2012_9_3'!H2867,"AAAAAC1/ySg=")</f>
        <v>#VALUE!</v>
      </c>
      <c r="AP180" t="e">
        <f>AND('Planilla_General_03-12-2012_9_3'!I2867,"AAAAAC1/ySk=")</f>
        <v>#VALUE!</v>
      </c>
      <c r="AQ180" t="e">
        <f>AND('Planilla_General_03-12-2012_9_3'!J2867,"AAAAAC1/ySo=")</f>
        <v>#VALUE!</v>
      </c>
      <c r="AR180" t="e">
        <f>AND('Planilla_General_03-12-2012_9_3'!K2867,"AAAAAC1/ySs=")</f>
        <v>#VALUE!</v>
      </c>
      <c r="AS180" t="e">
        <f>AND('Planilla_General_03-12-2012_9_3'!L2867,"AAAAAC1/ySw=")</f>
        <v>#VALUE!</v>
      </c>
      <c r="AT180" t="e">
        <f>AND('Planilla_General_03-12-2012_9_3'!M2867,"AAAAAC1/yS0=")</f>
        <v>#VALUE!</v>
      </c>
      <c r="AU180" t="e">
        <f>AND('Planilla_General_03-12-2012_9_3'!N2867,"AAAAAC1/yS4=")</f>
        <v>#VALUE!</v>
      </c>
      <c r="AV180" t="e">
        <f>AND('Planilla_General_03-12-2012_9_3'!O2867,"AAAAAC1/yS8=")</f>
        <v>#VALUE!</v>
      </c>
      <c r="AW180">
        <f>IF('Planilla_General_03-12-2012_9_3'!2868:2868,"AAAAAC1/yTA=",0)</f>
        <v>0</v>
      </c>
      <c r="AX180" t="e">
        <f>AND('Planilla_General_03-12-2012_9_3'!A2868,"AAAAAC1/yTE=")</f>
        <v>#VALUE!</v>
      </c>
      <c r="AY180" t="e">
        <f>AND('Planilla_General_03-12-2012_9_3'!B2868,"AAAAAC1/yTI=")</f>
        <v>#VALUE!</v>
      </c>
      <c r="AZ180" t="e">
        <f>AND('Planilla_General_03-12-2012_9_3'!C2868,"AAAAAC1/yTM=")</f>
        <v>#VALUE!</v>
      </c>
      <c r="BA180" t="e">
        <f>AND('Planilla_General_03-12-2012_9_3'!D2868,"AAAAAC1/yTQ=")</f>
        <v>#VALUE!</v>
      </c>
      <c r="BB180" t="e">
        <f>AND('Planilla_General_03-12-2012_9_3'!E2868,"AAAAAC1/yTU=")</f>
        <v>#VALUE!</v>
      </c>
      <c r="BC180" t="e">
        <f>AND('Planilla_General_03-12-2012_9_3'!F2868,"AAAAAC1/yTY=")</f>
        <v>#VALUE!</v>
      </c>
      <c r="BD180" t="e">
        <f>AND('Planilla_General_03-12-2012_9_3'!G2868,"AAAAAC1/yTc=")</f>
        <v>#VALUE!</v>
      </c>
      <c r="BE180" t="e">
        <f>AND('Planilla_General_03-12-2012_9_3'!H2868,"AAAAAC1/yTg=")</f>
        <v>#VALUE!</v>
      </c>
      <c r="BF180" t="e">
        <f>AND('Planilla_General_03-12-2012_9_3'!I2868,"AAAAAC1/yTk=")</f>
        <v>#VALUE!</v>
      </c>
      <c r="BG180" t="e">
        <f>AND('Planilla_General_03-12-2012_9_3'!J2868,"AAAAAC1/yTo=")</f>
        <v>#VALUE!</v>
      </c>
      <c r="BH180" t="e">
        <f>AND('Planilla_General_03-12-2012_9_3'!K2868,"AAAAAC1/yTs=")</f>
        <v>#VALUE!</v>
      </c>
      <c r="BI180" t="e">
        <f>AND('Planilla_General_03-12-2012_9_3'!L2868,"AAAAAC1/yTw=")</f>
        <v>#VALUE!</v>
      </c>
      <c r="BJ180" t="e">
        <f>AND('Planilla_General_03-12-2012_9_3'!M2868,"AAAAAC1/yT0=")</f>
        <v>#VALUE!</v>
      </c>
      <c r="BK180" t="e">
        <f>AND('Planilla_General_03-12-2012_9_3'!N2868,"AAAAAC1/yT4=")</f>
        <v>#VALUE!</v>
      </c>
      <c r="BL180" t="e">
        <f>AND('Planilla_General_03-12-2012_9_3'!O2868,"AAAAAC1/yT8=")</f>
        <v>#VALUE!</v>
      </c>
      <c r="BM180">
        <f>IF('Planilla_General_03-12-2012_9_3'!2869:2869,"AAAAAC1/yUA=",0)</f>
        <v>0</v>
      </c>
      <c r="BN180" t="e">
        <f>AND('Planilla_General_03-12-2012_9_3'!A2869,"AAAAAC1/yUE=")</f>
        <v>#VALUE!</v>
      </c>
      <c r="BO180" t="e">
        <f>AND('Planilla_General_03-12-2012_9_3'!B2869,"AAAAAC1/yUI=")</f>
        <v>#VALUE!</v>
      </c>
      <c r="BP180" t="e">
        <f>AND('Planilla_General_03-12-2012_9_3'!C2869,"AAAAAC1/yUM=")</f>
        <v>#VALUE!</v>
      </c>
      <c r="BQ180" t="e">
        <f>AND('Planilla_General_03-12-2012_9_3'!D2869,"AAAAAC1/yUQ=")</f>
        <v>#VALUE!</v>
      </c>
      <c r="BR180" t="e">
        <f>AND('Planilla_General_03-12-2012_9_3'!E2869,"AAAAAC1/yUU=")</f>
        <v>#VALUE!</v>
      </c>
      <c r="BS180" t="e">
        <f>AND('Planilla_General_03-12-2012_9_3'!F2869,"AAAAAC1/yUY=")</f>
        <v>#VALUE!</v>
      </c>
      <c r="BT180" t="e">
        <f>AND('Planilla_General_03-12-2012_9_3'!G2869,"AAAAAC1/yUc=")</f>
        <v>#VALUE!</v>
      </c>
      <c r="BU180" t="e">
        <f>AND('Planilla_General_03-12-2012_9_3'!H2869,"AAAAAC1/yUg=")</f>
        <v>#VALUE!</v>
      </c>
      <c r="BV180" t="e">
        <f>AND('Planilla_General_03-12-2012_9_3'!I2869,"AAAAAC1/yUk=")</f>
        <v>#VALUE!</v>
      </c>
      <c r="BW180" t="e">
        <f>AND('Planilla_General_03-12-2012_9_3'!J2869,"AAAAAC1/yUo=")</f>
        <v>#VALUE!</v>
      </c>
      <c r="BX180" t="e">
        <f>AND('Planilla_General_03-12-2012_9_3'!K2869,"AAAAAC1/yUs=")</f>
        <v>#VALUE!</v>
      </c>
      <c r="BY180" t="e">
        <f>AND('Planilla_General_03-12-2012_9_3'!L2869,"AAAAAC1/yUw=")</f>
        <v>#VALUE!</v>
      </c>
      <c r="BZ180" t="e">
        <f>AND('Planilla_General_03-12-2012_9_3'!M2869,"AAAAAC1/yU0=")</f>
        <v>#VALUE!</v>
      </c>
      <c r="CA180" t="e">
        <f>AND('Planilla_General_03-12-2012_9_3'!N2869,"AAAAAC1/yU4=")</f>
        <v>#VALUE!</v>
      </c>
      <c r="CB180" t="e">
        <f>AND('Planilla_General_03-12-2012_9_3'!O2869,"AAAAAC1/yU8=")</f>
        <v>#VALUE!</v>
      </c>
      <c r="CC180">
        <f>IF('Planilla_General_03-12-2012_9_3'!2870:2870,"AAAAAC1/yVA=",0)</f>
        <v>0</v>
      </c>
      <c r="CD180" t="e">
        <f>AND('Planilla_General_03-12-2012_9_3'!A2870,"AAAAAC1/yVE=")</f>
        <v>#VALUE!</v>
      </c>
      <c r="CE180" t="e">
        <f>AND('Planilla_General_03-12-2012_9_3'!B2870,"AAAAAC1/yVI=")</f>
        <v>#VALUE!</v>
      </c>
      <c r="CF180" t="e">
        <f>AND('Planilla_General_03-12-2012_9_3'!C2870,"AAAAAC1/yVM=")</f>
        <v>#VALUE!</v>
      </c>
      <c r="CG180" t="e">
        <f>AND('Planilla_General_03-12-2012_9_3'!D2870,"AAAAAC1/yVQ=")</f>
        <v>#VALUE!</v>
      </c>
      <c r="CH180" t="e">
        <f>AND('Planilla_General_03-12-2012_9_3'!E2870,"AAAAAC1/yVU=")</f>
        <v>#VALUE!</v>
      </c>
      <c r="CI180" t="e">
        <f>AND('Planilla_General_03-12-2012_9_3'!F2870,"AAAAAC1/yVY=")</f>
        <v>#VALUE!</v>
      </c>
      <c r="CJ180" t="e">
        <f>AND('Planilla_General_03-12-2012_9_3'!G2870,"AAAAAC1/yVc=")</f>
        <v>#VALUE!</v>
      </c>
      <c r="CK180" t="e">
        <f>AND('Planilla_General_03-12-2012_9_3'!H2870,"AAAAAC1/yVg=")</f>
        <v>#VALUE!</v>
      </c>
      <c r="CL180" t="e">
        <f>AND('Planilla_General_03-12-2012_9_3'!I2870,"AAAAAC1/yVk=")</f>
        <v>#VALUE!</v>
      </c>
      <c r="CM180" t="e">
        <f>AND('Planilla_General_03-12-2012_9_3'!J2870,"AAAAAC1/yVo=")</f>
        <v>#VALUE!</v>
      </c>
      <c r="CN180" t="e">
        <f>AND('Planilla_General_03-12-2012_9_3'!K2870,"AAAAAC1/yVs=")</f>
        <v>#VALUE!</v>
      </c>
      <c r="CO180" t="e">
        <f>AND('Planilla_General_03-12-2012_9_3'!L2870,"AAAAAC1/yVw=")</f>
        <v>#VALUE!</v>
      </c>
      <c r="CP180" t="e">
        <f>AND('Planilla_General_03-12-2012_9_3'!M2870,"AAAAAC1/yV0=")</f>
        <v>#VALUE!</v>
      </c>
      <c r="CQ180" t="e">
        <f>AND('Planilla_General_03-12-2012_9_3'!N2870,"AAAAAC1/yV4=")</f>
        <v>#VALUE!</v>
      </c>
      <c r="CR180" t="e">
        <f>AND('Planilla_General_03-12-2012_9_3'!O2870,"AAAAAC1/yV8=")</f>
        <v>#VALUE!</v>
      </c>
      <c r="CS180">
        <f>IF('Planilla_General_03-12-2012_9_3'!2871:2871,"AAAAAC1/yWA=",0)</f>
        <v>0</v>
      </c>
      <c r="CT180" t="e">
        <f>AND('Planilla_General_03-12-2012_9_3'!A2871,"AAAAAC1/yWE=")</f>
        <v>#VALUE!</v>
      </c>
      <c r="CU180" t="e">
        <f>AND('Planilla_General_03-12-2012_9_3'!B2871,"AAAAAC1/yWI=")</f>
        <v>#VALUE!</v>
      </c>
      <c r="CV180" t="e">
        <f>AND('Planilla_General_03-12-2012_9_3'!C2871,"AAAAAC1/yWM=")</f>
        <v>#VALUE!</v>
      </c>
      <c r="CW180" t="e">
        <f>AND('Planilla_General_03-12-2012_9_3'!D2871,"AAAAAC1/yWQ=")</f>
        <v>#VALUE!</v>
      </c>
      <c r="CX180" t="e">
        <f>AND('Planilla_General_03-12-2012_9_3'!E2871,"AAAAAC1/yWU=")</f>
        <v>#VALUE!</v>
      </c>
      <c r="CY180" t="e">
        <f>AND('Planilla_General_03-12-2012_9_3'!F2871,"AAAAAC1/yWY=")</f>
        <v>#VALUE!</v>
      </c>
      <c r="CZ180" t="e">
        <f>AND('Planilla_General_03-12-2012_9_3'!G2871,"AAAAAC1/yWc=")</f>
        <v>#VALUE!</v>
      </c>
      <c r="DA180" t="e">
        <f>AND('Planilla_General_03-12-2012_9_3'!H2871,"AAAAAC1/yWg=")</f>
        <v>#VALUE!</v>
      </c>
      <c r="DB180" t="e">
        <f>AND('Planilla_General_03-12-2012_9_3'!I2871,"AAAAAC1/yWk=")</f>
        <v>#VALUE!</v>
      </c>
      <c r="DC180" t="e">
        <f>AND('Planilla_General_03-12-2012_9_3'!J2871,"AAAAAC1/yWo=")</f>
        <v>#VALUE!</v>
      </c>
      <c r="DD180" t="e">
        <f>AND('Planilla_General_03-12-2012_9_3'!K2871,"AAAAAC1/yWs=")</f>
        <v>#VALUE!</v>
      </c>
      <c r="DE180" t="e">
        <f>AND('Planilla_General_03-12-2012_9_3'!L2871,"AAAAAC1/yWw=")</f>
        <v>#VALUE!</v>
      </c>
      <c r="DF180" t="e">
        <f>AND('Planilla_General_03-12-2012_9_3'!M2871,"AAAAAC1/yW0=")</f>
        <v>#VALUE!</v>
      </c>
      <c r="DG180" t="e">
        <f>AND('Planilla_General_03-12-2012_9_3'!N2871,"AAAAAC1/yW4=")</f>
        <v>#VALUE!</v>
      </c>
      <c r="DH180" t="e">
        <f>AND('Planilla_General_03-12-2012_9_3'!O2871,"AAAAAC1/yW8=")</f>
        <v>#VALUE!</v>
      </c>
      <c r="DI180">
        <f>IF('Planilla_General_03-12-2012_9_3'!2872:2872,"AAAAAC1/yXA=",0)</f>
        <v>0</v>
      </c>
      <c r="DJ180" t="e">
        <f>AND('Planilla_General_03-12-2012_9_3'!A2872,"AAAAAC1/yXE=")</f>
        <v>#VALUE!</v>
      </c>
      <c r="DK180" t="e">
        <f>AND('Planilla_General_03-12-2012_9_3'!B2872,"AAAAAC1/yXI=")</f>
        <v>#VALUE!</v>
      </c>
      <c r="DL180" t="e">
        <f>AND('Planilla_General_03-12-2012_9_3'!C2872,"AAAAAC1/yXM=")</f>
        <v>#VALUE!</v>
      </c>
      <c r="DM180" t="e">
        <f>AND('Planilla_General_03-12-2012_9_3'!D2872,"AAAAAC1/yXQ=")</f>
        <v>#VALUE!</v>
      </c>
      <c r="DN180" t="e">
        <f>AND('Planilla_General_03-12-2012_9_3'!E2872,"AAAAAC1/yXU=")</f>
        <v>#VALUE!</v>
      </c>
      <c r="DO180" t="e">
        <f>AND('Planilla_General_03-12-2012_9_3'!F2872,"AAAAAC1/yXY=")</f>
        <v>#VALUE!</v>
      </c>
      <c r="DP180" t="e">
        <f>AND('Planilla_General_03-12-2012_9_3'!G2872,"AAAAAC1/yXc=")</f>
        <v>#VALUE!</v>
      </c>
      <c r="DQ180" t="e">
        <f>AND('Planilla_General_03-12-2012_9_3'!H2872,"AAAAAC1/yXg=")</f>
        <v>#VALUE!</v>
      </c>
      <c r="DR180" t="e">
        <f>AND('Planilla_General_03-12-2012_9_3'!I2872,"AAAAAC1/yXk=")</f>
        <v>#VALUE!</v>
      </c>
      <c r="DS180" t="e">
        <f>AND('Planilla_General_03-12-2012_9_3'!J2872,"AAAAAC1/yXo=")</f>
        <v>#VALUE!</v>
      </c>
      <c r="DT180" t="e">
        <f>AND('Planilla_General_03-12-2012_9_3'!K2872,"AAAAAC1/yXs=")</f>
        <v>#VALUE!</v>
      </c>
      <c r="DU180" t="e">
        <f>AND('Planilla_General_03-12-2012_9_3'!L2872,"AAAAAC1/yXw=")</f>
        <v>#VALUE!</v>
      </c>
      <c r="DV180" t="e">
        <f>AND('Planilla_General_03-12-2012_9_3'!M2872,"AAAAAC1/yX0=")</f>
        <v>#VALUE!</v>
      </c>
      <c r="DW180" t="e">
        <f>AND('Planilla_General_03-12-2012_9_3'!N2872,"AAAAAC1/yX4=")</f>
        <v>#VALUE!</v>
      </c>
      <c r="DX180" t="e">
        <f>AND('Planilla_General_03-12-2012_9_3'!O2872,"AAAAAC1/yX8=")</f>
        <v>#VALUE!</v>
      </c>
      <c r="DY180">
        <f>IF('Planilla_General_03-12-2012_9_3'!2873:2873,"AAAAAC1/yYA=",0)</f>
        <v>0</v>
      </c>
      <c r="DZ180" t="e">
        <f>AND('Planilla_General_03-12-2012_9_3'!A2873,"AAAAAC1/yYE=")</f>
        <v>#VALUE!</v>
      </c>
      <c r="EA180" t="e">
        <f>AND('Planilla_General_03-12-2012_9_3'!B2873,"AAAAAC1/yYI=")</f>
        <v>#VALUE!</v>
      </c>
      <c r="EB180" t="e">
        <f>AND('Planilla_General_03-12-2012_9_3'!C2873,"AAAAAC1/yYM=")</f>
        <v>#VALUE!</v>
      </c>
      <c r="EC180" t="e">
        <f>AND('Planilla_General_03-12-2012_9_3'!D2873,"AAAAAC1/yYQ=")</f>
        <v>#VALUE!</v>
      </c>
      <c r="ED180" t="e">
        <f>AND('Planilla_General_03-12-2012_9_3'!E2873,"AAAAAC1/yYU=")</f>
        <v>#VALUE!</v>
      </c>
      <c r="EE180" t="e">
        <f>AND('Planilla_General_03-12-2012_9_3'!F2873,"AAAAAC1/yYY=")</f>
        <v>#VALUE!</v>
      </c>
      <c r="EF180" t="e">
        <f>AND('Planilla_General_03-12-2012_9_3'!G2873,"AAAAAC1/yYc=")</f>
        <v>#VALUE!</v>
      </c>
      <c r="EG180" t="e">
        <f>AND('Planilla_General_03-12-2012_9_3'!H2873,"AAAAAC1/yYg=")</f>
        <v>#VALUE!</v>
      </c>
      <c r="EH180" t="e">
        <f>AND('Planilla_General_03-12-2012_9_3'!I2873,"AAAAAC1/yYk=")</f>
        <v>#VALUE!</v>
      </c>
      <c r="EI180" t="e">
        <f>AND('Planilla_General_03-12-2012_9_3'!J2873,"AAAAAC1/yYo=")</f>
        <v>#VALUE!</v>
      </c>
      <c r="EJ180" t="e">
        <f>AND('Planilla_General_03-12-2012_9_3'!K2873,"AAAAAC1/yYs=")</f>
        <v>#VALUE!</v>
      </c>
      <c r="EK180" t="e">
        <f>AND('Planilla_General_03-12-2012_9_3'!L2873,"AAAAAC1/yYw=")</f>
        <v>#VALUE!</v>
      </c>
      <c r="EL180" t="e">
        <f>AND('Planilla_General_03-12-2012_9_3'!M2873,"AAAAAC1/yY0=")</f>
        <v>#VALUE!</v>
      </c>
      <c r="EM180" t="e">
        <f>AND('Planilla_General_03-12-2012_9_3'!N2873,"AAAAAC1/yY4=")</f>
        <v>#VALUE!</v>
      </c>
      <c r="EN180" t="e">
        <f>AND('Planilla_General_03-12-2012_9_3'!O2873,"AAAAAC1/yY8=")</f>
        <v>#VALUE!</v>
      </c>
      <c r="EO180">
        <f>IF('Planilla_General_03-12-2012_9_3'!2874:2874,"AAAAAC1/yZA=",0)</f>
        <v>0</v>
      </c>
      <c r="EP180" t="e">
        <f>AND('Planilla_General_03-12-2012_9_3'!A2874,"AAAAAC1/yZE=")</f>
        <v>#VALUE!</v>
      </c>
      <c r="EQ180" t="e">
        <f>AND('Planilla_General_03-12-2012_9_3'!B2874,"AAAAAC1/yZI=")</f>
        <v>#VALUE!</v>
      </c>
      <c r="ER180" t="e">
        <f>AND('Planilla_General_03-12-2012_9_3'!C2874,"AAAAAC1/yZM=")</f>
        <v>#VALUE!</v>
      </c>
      <c r="ES180" t="e">
        <f>AND('Planilla_General_03-12-2012_9_3'!D2874,"AAAAAC1/yZQ=")</f>
        <v>#VALUE!</v>
      </c>
      <c r="ET180" t="e">
        <f>AND('Planilla_General_03-12-2012_9_3'!E2874,"AAAAAC1/yZU=")</f>
        <v>#VALUE!</v>
      </c>
      <c r="EU180" t="e">
        <f>AND('Planilla_General_03-12-2012_9_3'!F2874,"AAAAAC1/yZY=")</f>
        <v>#VALUE!</v>
      </c>
      <c r="EV180" t="e">
        <f>AND('Planilla_General_03-12-2012_9_3'!G2874,"AAAAAC1/yZc=")</f>
        <v>#VALUE!</v>
      </c>
      <c r="EW180" t="e">
        <f>AND('Planilla_General_03-12-2012_9_3'!H2874,"AAAAAC1/yZg=")</f>
        <v>#VALUE!</v>
      </c>
      <c r="EX180" t="e">
        <f>AND('Planilla_General_03-12-2012_9_3'!I2874,"AAAAAC1/yZk=")</f>
        <v>#VALUE!</v>
      </c>
      <c r="EY180" t="e">
        <f>AND('Planilla_General_03-12-2012_9_3'!J2874,"AAAAAC1/yZo=")</f>
        <v>#VALUE!</v>
      </c>
      <c r="EZ180" t="e">
        <f>AND('Planilla_General_03-12-2012_9_3'!K2874,"AAAAAC1/yZs=")</f>
        <v>#VALUE!</v>
      </c>
      <c r="FA180" t="e">
        <f>AND('Planilla_General_03-12-2012_9_3'!L2874,"AAAAAC1/yZw=")</f>
        <v>#VALUE!</v>
      </c>
      <c r="FB180" t="e">
        <f>AND('Planilla_General_03-12-2012_9_3'!M2874,"AAAAAC1/yZ0=")</f>
        <v>#VALUE!</v>
      </c>
      <c r="FC180" t="e">
        <f>AND('Planilla_General_03-12-2012_9_3'!N2874,"AAAAAC1/yZ4=")</f>
        <v>#VALUE!</v>
      </c>
      <c r="FD180" t="e">
        <f>AND('Planilla_General_03-12-2012_9_3'!O2874,"AAAAAC1/yZ8=")</f>
        <v>#VALUE!</v>
      </c>
      <c r="FE180">
        <f>IF('Planilla_General_03-12-2012_9_3'!2875:2875,"AAAAAC1/yaA=",0)</f>
        <v>0</v>
      </c>
      <c r="FF180" t="e">
        <f>AND('Planilla_General_03-12-2012_9_3'!A2875,"AAAAAC1/yaE=")</f>
        <v>#VALUE!</v>
      </c>
      <c r="FG180" t="e">
        <f>AND('Planilla_General_03-12-2012_9_3'!B2875,"AAAAAC1/yaI=")</f>
        <v>#VALUE!</v>
      </c>
      <c r="FH180" t="e">
        <f>AND('Planilla_General_03-12-2012_9_3'!C2875,"AAAAAC1/yaM=")</f>
        <v>#VALUE!</v>
      </c>
      <c r="FI180" t="e">
        <f>AND('Planilla_General_03-12-2012_9_3'!D2875,"AAAAAC1/yaQ=")</f>
        <v>#VALUE!</v>
      </c>
      <c r="FJ180" t="e">
        <f>AND('Planilla_General_03-12-2012_9_3'!E2875,"AAAAAC1/yaU=")</f>
        <v>#VALUE!</v>
      </c>
      <c r="FK180" t="e">
        <f>AND('Planilla_General_03-12-2012_9_3'!F2875,"AAAAAC1/yaY=")</f>
        <v>#VALUE!</v>
      </c>
      <c r="FL180" t="e">
        <f>AND('Planilla_General_03-12-2012_9_3'!G2875,"AAAAAC1/yac=")</f>
        <v>#VALUE!</v>
      </c>
      <c r="FM180" t="e">
        <f>AND('Planilla_General_03-12-2012_9_3'!H2875,"AAAAAC1/yag=")</f>
        <v>#VALUE!</v>
      </c>
      <c r="FN180" t="e">
        <f>AND('Planilla_General_03-12-2012_9_3'!I2875,"AAAAAC1/yak=")</f>
        <v>#VALUE!</v>
      </c>
      <c r="FO180" t="e">
        <f>AND('Planilla_General_03-12-2012_9_3'!J2875,"AAAAAC1/yao=")</f>
        <v>#VALUE!</v>
      </c>
      <c r="FP180" t="e">
        <f>AND('Planilla_General_03-12-2012_9_3'!K2875,"AAAAAC1/yas=")</f>
        <v>#VALUE!</v>
      </c>
      <c r="FQ180" t="e">
        <f>AND('Planilla_General_03-12-2012_9_3'!L2875,"AAAAAC1/yaw=")</f>
        <v>#VALUE!</v>
      </c>
      <c r="FR180" t="e">
        <f>AND('Planilla_General_03-12-2012_9_3'!M2875,"AAAAAC1/ya0=")</f>
        <v>#VALUE!</v>
      </c>
      <c r="FS180" t="e">
        <f>AND('Planilla_General_03-12-2012_9_3'!N2875,"AAAAAC1/ya4=")</f>
        <v>#VALUE!</v>
      </c>
      <c r="FT180" t="e">
        <f>AND('Planilla_General_03-12-2012_9_3'!O2875,"AAAAAC1/ya8=")</f>
        <v>#VALUE!</v>
      </c>
      <c r="FU180">
        <f>IF('Planilla_General_03-12-2012_9_3'!2876:2876,"AAAAAC1/ybA=",0)</f>
        <v>0</v>
      </c>
      <c r="FV180" t="e">
        <f>AND('Planilla_General_03-12-2012_9_3'!A2876,"AAAAAC1/ybE=")</f>
        <v>#VALUE!</v>
      </c>
      <c r="FW180" t="e">
        <f>AND('Planilla_General_03-12-2012_9_3'!B2876,"AAAAAC1/ybI=")</f>
        <v>#VALUE!</v>
      </c>
      <c r="FX180" t="e">
        <f>AND('Planilla_General_03-12-2012_9_3'!C2876,"AAAAAC1/ybM=")</f>
        <v>#VALUE!</v>
      </c>
      <c r="FY180" t="e">
        <f>AND('Planilla_General_03-12-2012_9_3'!D2876,"AAAAAC1/ybQ=")</f>
        <v>#VALUE!</v>
      </c>
      <c r="FZ180" t="e">
        <f>AND('Planilla_General_03-12-2012_9_3'!E2876,"AAAAAC1/ybU=")</f>
        <v>#VALUE!</v>
      </c>
      <c r="GA180" t="e">
        <f>AND('Planilla_General_03-12-2012_9_3'!F2876,"AAAAAC1/ybY=")</f>
        <v>#VALUE!</v>
      </c>
      <c r="GB180" t="e">
        <f>AND('Planilla_General_03-12-2012_9_3'!G2876,"AAAAAC1/ybc=")</f>
        <v>#VALUE!</v>
      </c>
      <c r="GC180" t="e">
        <f>AND('Planilla_General_03-12-2012_9_3'!H2876,"AAAAAC1/ybg=")</f>
        <v>#VALUE!</v>
      </c>
      <c r="GD180" t="e">
        <f>AND('Planilla_General_03-12-2012_9_3'!I2876,"AAAAAC1/ybk=")</f>
        <v>#VALUE!</v>
      </c>
      <c r="GE180" t="e">
        <f>AND('Planilla_General_03-12-2012_9_3'!J2876,"AAAAAC1/ybo=")</f>
        <v>#VALUE!</v>
      </c>
      <c r="GF180" t="e">
        <f>AND('Planilla_General_03-12-2012_9_3'!K2876,"AAAAAC1/ybs=")</f>
        <v>#VALUE!</v>
      </c>
      <c r="GG180" t="e">
        <f>AND('Planilla_General_03-12-2012_9_3'!L2876,"AAAAAC1/ybw=")</f>
        <v>#VALUE!</v>
      </c>
      <c r="GH180" t="e">
        <f>AND('Planilla_General_03-12-2012_9_3'!M2876,"AAAAAC1/yb0=")</f>
        <v>#VALUE!</v>
      </c>
      <c r="GI180" t="e">
        <f>AND('Planilla_General_03-12-2012_9_3'!N2876,"AAAAAC1/yb4=")</f>
        <v>#VALUE!</v>
      </c>
      <c r="GJ180" t="e">
        <f>AND('Planilla_General_03-12-2012_9_3'!O2876,"AAAAAC1/yb8=")</f>
        <v>#VALUE!</v>
      </c>
      <c r="GK180">
        <f>IF('Planilla_General_03-12-2012_9_3'!2877:2877,"AAAAAC1/ycA=",0)</f>
        <v>0</v>
      </c>
      <c r="GL180" t="e">
        <f>AND('Planilla_General_03-12-2012_9_3'!A2877,"AAAAAC1/ycE=")</f>
        <v>#VALUE!</v>
      </c>
      <c r="GM180" t="e">
        <f>AND('Planilla_General_03-12-2012_9_3'!B2877,"AAAAAC1/ycI=")</f>
        <v>#VALUE!</v>
      </c>
      <c r="GN180" t="e">
        <f>AND('Planilla_General_03-12-2012_9_3'!C2877,"AAAAAC1/ycM=")</f>
        <v>#VALUE!</v>
      </c>
      <c r="GO180" t="e">
        <f>AND('Planilla_General_03-12-2012_9_3'!D2877,"AAAAAC1/ycQ=")</f>
        <v>#VALUE!</v>
      </c>
      <c r="GP180" t="e">
        <f>AND('Planilla_General_03-12-2012_9_3'!E2877,"AAAAAC1/ycU=")</f>
        <v>#VALUE!</v>
      </c>
      <c r="GQ180" t="e">
        <f>AND('Planilla_General_03-12-2012_9_3'!F2877,"AAAAAC1/ycY=")</f>
        <v>#VALUE!</v>
      </c>
      <c r="GR180" t="e">
        <f>AND('Planilla_General_03-12-2012_9_3'!G2877,"AAAAAC1/ycc=")</f>
        <v>#VALUE!</v>
      </c>
      <c r="GS180" t="e">
        <f>AND('Planilla_General_03-12-2012_9_3'!H2877,"AAAAAC1/ycg=")</f>
        <v>#VALUE!</v>
      </c>
      <c r="GT180" t="e">
        <f>AND('Planilla_General_03-12-2012_9_3'!I2877,"AAAAAC1/yck=")</f>
        <v>#VALUE!</v>
      </c>
      <c r="GU180" t="e">
        <f>AND('Planilla_General_03-12-2012_9_3'!J2877,"AAAAAC1/yco=")</f>
        <v>#VALUE!</v>
      </c>
      <c r="GV180" t="e">
        <f>AND('Planilla_General_03-12-2012_9_3'!K2877,"AAAAAC1/ycs=")</f>
        <v>#VALUE!</v>
      </c>
      <c r="GW180" t="e">
        <f>AND('Planilla_General_03-12-2012_9_3'!L2877,"AAAAAC1/ycw=")</f>
        <v>#VALUE!</v>
      </c>
      <c r="GX180" t="e">
        <f>AND('Planilla_General_03-12-2012_9_3'!M2877,"AAAAAC1/yc0=")</f>
        <v>#VALUE!</v>
      </c>
      <c r="GY180" t="e">
        <f>AND('Planilla_General_03-12-2012_9_3'!N2877,"AAAAAC1/yc4=")</f>
        <v>#VALUE!</v>
      </c>
      <c r="GZ180" t="e">
        <f>AND('Planilla_General_03-12-2012_9_3'!O2877,"AAAAAC1/yc8=")</f>
        <v>#VALUE!</v>
      </c>
      <c r="HA180">
        <f>IF('Planilla_General_03-12-2012_9_3'!2878:2878,"AAAAAC1/ydA=",0)</f>
        <v>0</v>
      </c>
      <c r="HB180" t="e">
        <f>AND('Planilla_General_03-12-2012_9_3'!A2878,"AAAAAC1/ydE=")</f>
        <v>#VALUE!</v>
      </c>
      <c r="HC180" t="e">
        <f>AND('Planilla_General_03-12-2012_9_3'!B2878,"AAAAAC1/ydI=")</f>
        <v>#VALUE!</v>
      </c>
      <c r="HD180" t="e">
        <f>AND('Planilla_General_03-12-2012_9_3'!C2878,"AAAAAC1/ydM=")</f>
        <v>#VALUE!</v>
      </c>
      <c r="HE180" t="e">
        <f>AND('Planilla_General_03-12-2012_9_3'!D2878,"AAAAAC1/ydQ=")</f>
        <v>#VALUE!</v>
      </c>
      <c r="HF180" t="e">
        <f>AND('Planilla_General_03-12-2012_9_3'!E2878,"AAAAAC1/ydU=")</f>
        <v>#VALUE!</v>
      </c>
      <c r="HG180" t="e">
        <f>AND('Planilla_General_03-12-2012_9_3'!F2878,"AAAAAC1/ydY=")</f>
        <v>#VALUE!</v>
      </c>
      <c r="HH180" t="e">
        <f>AND('Planilla_General_03-12-2012_9_3'!G2878,"AAAAAC1/ydc=")</f>
        <v>#VALUE!</v>
      </c>
      <c r="HI180" t="e">
        <f>AND('Planilla_General_03-12-2012_9_3'!H2878,"AAAAAC1/ydg=")</f>
        <v>#VALUE!</v>
      </c>
      <c r="HJ180" t="e">
        <f>AND('Planilla_General_03-12-2012_9_3'!I2878,"AAAAAC1/ydk=")</f>
        <v>#VALUE!</v>
      </c>
      <c r="HK180" t="e">
        <f>AND('Planilla_General_03-12-2012_9_3'!J2878,"AAAAAC1/ydo=")</f>
        <v>#VALUE!</v>
      </c>
      <c r="HL180" t="e">
        <f>AND('Planilla_General_03-12-2012_9_3'!K2878,"AAAAAC1/yds=")</f>
        <v>#VALUE!</v>
      </c>
      <c r="HM180" t="e">
        <f>AND('Planilla_General_03-12-2012_9_3'!L2878,"AAAAAC1/ydw=")</f>
        <v>#VALUE!</v>
      </c>
      <c r="HN180" t="e">
        <f>AND('Planilla_General_03-12-2012_9_3'!M2878,"AAAAAC1/yd0=")</f>
        <v>#VALUE!</v>
      </c>
      <c r="HO180" t="e">
        <f>AND('Planilla_General_03-12-2012_9_3'!N2878,"AAAAAC1/yd4=")</f>
        <v>#VALUE!</v>
      </c>
      <c r="HP180" t="e">
        <f>AND('Planilla_General_03-12-2012_9_3'!O2878,"AAAAAC1/yd8=")</f>
        <v>#VALUE!</v>
      </c>
      <c r="HQ180">
        <f>IF('Planilla_General_03-12-2012_9_3'!2879:2879,"AAAAAC1/yeA=",0)</f>
        <v>0</v>
      </c>
      <c r="HR180" t="e">
        <f>AND('Planilla_General_03-12-2012_9_3'!A2879,"AAAAAC1/yeE=")</f>
        <v>#VALUE!</v>
      </c>
      <c r="HS180" t="e">
        <f>AND('Planilla_General_03-12-2012_9_3'!B2879,"AAAAAC1/yeI=")</f>
        <v>#VALUE!</v>
      </c>
      <c r="HT180" t="e">
        <f>AND('Planilla_General_03-12-2012_9_3'!C2879,"AAAAAC1/yeM=")</f>
        <v>#VALUE!</v>
      </c>
      <c r="HU180" t="e">
        <f>AND('Planilla_General_03-12-2012_9_3'!D2879,"AAAAAC1/yeQ=")</f>
        <v>#VALUE!</v>
      </c>
      <c r="HV180" t="e">
        <f>AND('Planilla_General_03-12-2012_9_3'!E2879,"AAAAAC1/yeU=")</f>
        <v>#VALUE!</v>
      </c>
      <c r="HW180" t="e">
        <f>AND('Planilla_General_03-12-2012_9_3'!F2879,"AAAAAC1/yeY=")</f>
        <v>#VALUE!</v>
      </c>
      <c r="HX180" t="e">
        <f>AND('Planilla_General_03-12-2012_9_3'!G2879,"AAAAAC1/yec=")</f>
        <v>#VALUE!</v>
      </c>
      <c r="HY180" t="e">
        <f>AND('Planilla_General_03-12-2012_9_3'!H2879,"AAAAAC1/yeg=")</f>
        <v>#VALUE!</v>
      </c>
      <c r="HZ180" t="e">
        <f>AND('Planilla_General_03-12-2012_9_3'!I2879,"AAAAAC1/yek=")</f>
        <v>#VALUE!</v>
      </c>
      <c r="IA180" t="e">
        <f>AND('Planilla_General_03-12-2012_9_3'!J2879,"AAAAAC1/yeo=")</f>
        <v>#VALUE!</v>
      </c>
      <c r="IB180" t="e">
        <f>AND('Planilla_General_03-12-2012_9_3'!K2879,"AAAAAC1/yes=")</f>
        <v>#VALUE!</v>
      </c>
      <c r="IC180" t="e">
        <f>AND('Planilla_General_03-12-2012_9_3'!L2879,"AAAAAC1/yew=")</f>
        <v>#VALUE!</v>
      </c>
      <c r="ID180" t="e">
        <f>AND('Planilla_General_03-12-2012_9_3'!M2879,"AAAAAC1/ye0=")</f>
        <v>#VALUE!</v>
      </c>
      <c r="IE180" t="e">
        <f>AND('Planilla_General_03-12-2012_9_3'!N2879,"AAAAAC1/ye4=")</f>
        <v>#VALUE!</v>
      </c>
      <c r="IF180" t="e">
        <f>AND('Planilla_General_03-12-2012_9_3'!O2879,"AAAAAC1/ye8=")</f>
        <v>#VALUE!</v>
      </c>
      <c r="IG180">
        <f>IF('Planilla_General_03-12-2012_9_3'!2880:2880,"AAAAAC1/yfA=",0)</f>
        <v>0</v>
      </c>
      <c r="IH180" t="e">
        <f>AND('Planilla_General_03-12-2012_9_3'!A2880,"AAAAAC1/yfE=")</f>
        <v>#VALUE!</v>
      </c>
      <c r="II180" t="e">
        <f>AND('Planilla_General_03-12-2012_9_3'!B2880,"AAAAAC1/yfI=")</f>
        <v>#VALUE!</v>
      </c>
      <c r="IJ180" t="e">
        <f>AND('Planilla_General_03-12-2012_9_3'!C2880,"AAAAAC1/yfM=")</f>
        <v>#VALUE!</v>
      </c>
      <c r="IK180" t="e">
        <f>AND('Planilla_General_03-12-2012_9_3'!D2880,"AAAAAC1/yfQ=")</f>
        <v>#VALUE!</v>
      </c>
      <c r="IL180" t="e">
        <f>AND('Planilla_General_03-12-2012_9_3'!E2880,"AAAAAC1/yfU=")</f>
        <v>#VALUE!</v>
      </c>
      <c r="IM180" t="e">
        <f>AND('Planilla_General_03-12-2012_9_3'!F2880,"AAAAAC1/yfY=")</f>
        <v>#VALUE!</v>
      </c>
      <c r="IN180" t="e">
        <f>AND('Planilla_General_03-12-2012_9_3'!G2880,"AAAAAC1/yfc=")</f>
        <v>#VALUE!</v>
      </c>
      <c r="IO180" t="e">
        <f>AND('Planilla_General_03-12-2012_9_3'!H2880,"AAAAAC1/yfg=")</f>
        <v>#VALUE!</v>
      </c>
      <c r="IP180" t="e">
        <f>AND('Planilla_General_03-12-2012_9_3'!I2880,"AAAAAC1/yfk=")</f>
        <v>#VALUE!</v>
      </c>
      <c r="IQ180" t="e">
        <f>AND('Planilla_General_03-12-2012_9_3'!J2880,"AAAAAC1/yfo=")</f>
        <v>#VALUE!</v>
      </c>
      <c r="IR180" t="e">
        <f>AND('Planilla_General_03-12-2012_9_3'!K2880,"AAAAAC1/yfs=")</f>
        <v>#VALUE!</v>
      </c>
      <c r="IS180" t="e">
        <f>AND('Planilla_General_03-12-2012_9_3'!L2880,"AAAAAC1/yfw=")</f>
        <v>#VALUE!</v>
      </c>
      <c r="IT180" t="e">
        <f>AND('Planilla_General_03-12-2012_9_3'!M2880,"AAAAAC1/yf0=")</f>
        <v>#VALUE!</v>
      </c>
      <c r="IU180" t="e">
        <f>AND('Planilla_General_03-12-2012_9_3'!N2880,"AAAAAC1/yf4=")</f>
        <v>#VALUE!</v>
      </c>
      <c r="IV180" t="e">
        <f>AND('Planilla_General_03-12-2012_9_3'!O2880,"AAAAAC1/yf8=")</f>
        <v>#VALUE!</v>
      </c>
    </row>
    <row r="181" spans="1:256" x14ac:dyDescent="0.25">
      <c r="A181" t="e">
        <f>IF('Planilla_General_03-12-2012_9_3'!2881:2881,"AAAAAG33+QA=",0)</f>
        <v>#VALUE!</v>
      </c>
      <c r="B181" t="e">
        <f>AND('Planilla_General_03-12-2012_9_3'!A2881,"AAAAAG33+QE=")</f>
        <v>#VALUE!</v>
      </c>
      <c r="C181" t="e">
        <f>AND('Planilla_General_03-12-2012_9_3'!B2881,"AAAAAG33+QI=")</f>
        <v>#VALUE!</v>
      </c>
      <c r="D181" t="e">
        <f>AND('Planilla_General_03-12-2012_9_3'!C2881,"AAAAAG33+QM=")</f>
        <v>#VALUE!</v>
      </c>
      <c r="E181" t="e">
        <f>AND('Planilla_General_03-12-2012_9_3'!D2881,"AAAAAG33+QQ=")</f>
        <v>#VALUE!</v>
      </c>
      <c r="F181" t="e">
        <f>AND('Planilla_General_03-12-2012_9_3'!E2881,"AAAAAG33+QU=")</f>
        <v>#VALUE!</v>
      </c>
      <c r="G181" t="e">
        <f>AND('Planilla_General_03-12-2012_9_3'!F2881,"AAAAAG33+QY=")</f>
        <v>#VALUE!</v>
      </c>
      <c r="H181" t="e">
        <f>AND('Planilla_General_03-12-2012_9_3'!G2881,"AAAAAG33+Qc=")</f>
        <v>#VALUE!</v>
      </c>
      <c r="I181" t="e">
        <f>AND('Planilla_General_03-12-2012_9_3'!H2881,"AAAAAG33+Qg=")</f>
        <v>#VALUE!</v>
      </c>
      <c r="J181" t="e">
        <f>AND('Planilla_General_03-12-2012_9_3'!I2881,"AAAAAG33+Qk=")</f>
        <v>#VALUE!</v>
      </c>
      <c r="K181" t="e">
        <f>AND('Planilla_General_03-12-2012_9_3'!J2881,"AAAAAG33+Qo=")</f>
        <v>#VALUE!</v>
      </c>
      <c r="L181" t="e">
        <f>AND('Planilla_General_03-12-2012_9_3'!K2881,"AAAAAG33+Qs=")</f>
        <v>#VALUE!</v>
      </c>
      <c r="M181" t="e">
        <f>AND('Planilla_General_03-12-2012_9_3'!L2881,"AAAAAG33+Qw=")</f>
        <v>#VALUE!</v>
      </c>
      <c r="N181" t="e">
        <f>AND('Planilla_General_03-12-2012_9_3'!M2881,"AAAAAG33+Q0=")</f>
        <v>#VALUE!</v>
      </c>
      <c r="O181" t="e">
        <f>AND('Planilla_General_03-12-2012_9_3'!N2881,"AAAAAG33+Q4=")</f>
        <v>#VALUE!</v>
      </c>
      <c r="P181" t="e">
        <f>AND('Planilla_General_03-12-2012_9_3'!O2881,"AAAAAG33+Q8=")</f>
        <v>#VALUE!</v>
      </c>
      <c r="Q181">
        <f>IF('Planilla_General_03-12-2012_9_3'!2882:2882,"AAAAAG33+RA=",0)</f>
        <v>0</v>
      </c>
      <c r="R181" t="e">
        <f>AND('Planilla_General_03-12-2012_9_3'!A2882,"AAAAAG33+RE=")</f>
        <v>#VALUE!</v>
      </c>
      <c r="S181" t="e">
        <f>AND('Planilla_General_03-12-2012_9_3'!B2882,"AAAAAG33+RI=")</f>
        <v>#VALUE!</v>
      </c>
      <c r="T181" t="e">
        <f>AND('Planilla_General_03-12-2012_9_3'!C2882,"AAAAAG33+RM=")</f>
        <v>#VALUE!</v>
      </c>
      <c r="U181" t="e">
        <f>AND('Planilla_General_03-12-2012_9_3'!D2882,"AAAAAG33+RQ=")</f>
        <v>#VALUE!</v>
      </c>
      <c r="V181" t="e">
        <f>AND('Planilla_General_03-12-2012_9_3'!E2882,"AAAAAG33+RU=")</f>
        <v>#VALUE!</v>
      </c>
      <c r="W181" t="e">
        <f>AND('Planilla_General_03-12-2012_9_3'!F2882,"AAAAAG33+RY=")</f>
        <v>#VALUE!</v>
      </c>
      <c r="X181" t="e">
        <f>AND('Planilla_General_03-12-2012_9_3'!G2882,"AAAAAG33+Rc=")</f>
        <v>#VALUE!</v>
      </c>
      <c r="Y181" t="e">
        <f>AND('Planilla_General_03-12-2012_9_3'!H2882,"AAAAAG33+Rg=")</f>
        <v>#VALUE!</v>
      </c>
      <c r="Z181" t="e">
        <f>AND('Planilla_General_03-12-2012_9_3'!I2882,"AAAAAG33+Rk=")</f>
        <v>#VALUE!</v>
      </c>
      <c r="AA181" t="e">
        <f>AND('Planilla_General_03-12-2012_9_3'!J2882,"AAAAAG33+Ro=")</f>
        <v>#VALUE!</v>
      </c>
      <c r="AB181" t="e">
        <f>AND('Planilla_General_03-12-2012_9_3'!K2882,"AAAAAG33+Rs=")</f>
        <v>#VALUE!</v>
      </c>
      <c r="AC181" t="e">
        <f>AND('Planilla_General_03-12-2012_9_3'!L2882,"AAAAAG33+Rw=")</f>
        <v>#VALUE!</v>
      </c>
      <c r="AD181" t="e">
        <f>AND('Planilla_General_03-12-2012_9_3'!M2882,"AAAAAG33+R0=")</f>
        <v>#VALUE!</v>
      </c>
      <c r="AE181" t="e">
        <f>AND('Planilla_General_03-12-2012_9_3'!N2882,"AAAAAG33+R4=")</f>
        <v>#VALUE!</v>
      </c>
      <c r="AF181" t="e">
        <f>AND('Planilla_General_03-12-2012_9_3'!O2882,"AAAAAG33+R8=")</f>
        <v>#VALUE!</v>
      </c>
      <c r="AG181">
        <f>IF('Planilla_General_03-12-2012_9_3'!2883:2883,"AAAAAG33+SA=",0)</f>
        <v>0</v>
      </c>
      <c r="AH181" t="e">
        <f>AND('Planilla_General_03-12-2012_9_3'!A2883,"AAAAAG33+SE=")</f>
        <v>#VALUE!</v>
      </c>
      <c r="AI181" t="e">
        <f>AND('Planilla_General_03-12-2012_9_3'!B2883,"AAAAAG33+SI=")</f>
        <v>#VALUE!</v>
      </c>
      <c r="AJ181" t="e">
        <f>AND('Planilla_General_03-12-2012_9_3'!C2883,"AAAAAG33+SM=")</f>
        <v>#VALUE!</v>
      </c>
      <c r="AK181" t="e">
        <f>AND('Planilla_General_03-12-2012_9_3'!D2883,"AAAAAG33+SQ=")</f>
        <v>#VALUE!</v>
      </c>
      <c r="AL181" t="e">
        <f>AND('Planilla_General_03-12-2012_9_3'!E2883,"AAAAAG33+SU=")</f>
        <v>#VALUE!</v>
      </c>
      <c r="AM181" t="e">
        <f>AND('Planilla_General_03-12-2012_9_3'!F2883,"AAAAAG33+SY=")</f>
        <v>#VALUE!</v>
      </c>
      <c r="AN181" t="e">
        <f>AND('Planilla_General_03-12-2012_9_3'!G2883,"AAAAAG33+Sc=")</f>
        <v>#VALUE!</v>
      </c>
      <c r="AO181" t="e">
        <f>AND('Planilla_General_03-12-2012_9_3'!H2883,"AAAAAG33+Sg=")</f>
        <v>#VALUE!</v>
      </c>
      <c r="AP181" t="e">
        <f>AND('Planilla_General_03-12-2012_9_3'!I2883,"AAAAAG33+Sk=")</f>
        <v>#VALUE!</v>
      </c>
      <c r="AQ181" t="e">
        <f>AND('Planilla_General_03-12-2012_9_3'!J2883,"AAAAAG33+So=")</f>
        <v>#VALUE!</v>
      </c>
      <c r="AR181" t="e">
        <f>AND('Planilla_General_03-12-2012_9_3'!K2883,"AAAAAG33+Ss=")</f>
        <v>#VALUE!</v>
      </c>
      <c r="AS181" t="e">
        <f>AND('Planilla_General_03-12-2012_9_3'!L2883,"AAAAAG33+Sw=")</f>
        <v>#VALUE!</v>
      </c>
      <c r="AT181" t="e">
        <f>AND('Planilla_General_03-12-2012_9_3'!M2883,"AAAAAG33+S0=")</f>
        <v>#VALUE!</v>
      </c>
      <c r="AU181" t="e">
        <f>AND('Planilla_General_03-12-2012_9_3'!N2883,"AAAAAG33+S4=")</f>
        <v>#VALUE!</v>
      </c>
      <c r="AV181" t="e">
        <f>AND('Planilla_General_03-12-2012_9_3'!O2883,"AAAAAG33+S8=")</f>
        <v>#VALUE!</v>
      </c>
      <c r="AW181">
        <f>IF('Planilla_General_03-12-2012_9_3'!2884:2884,"AAAAAG33+TA=",0)</f>
        <v>0</v>
      </c>
      <c r="AX181" t="e">
        <f>AND('Planilla_General_03-12-2012_9_3'!A2884,"AAAAAG33+TE=")</f>
        <v>#VALUE!</v>
      </c>
      <c r="AY181" t="e">
        <f>AND('Planilla_General_03-12-2012_9_3'!B2884,"AAAAAG33+TI=")</f>
        <v>#VALUE!</v>
      </c>
      <c r="AZ181" t="e">
        <f>AND('Planilla_General_03-12-2012_9_3'!C2884,"AAAAAG33+TM=")</f>
        <v>#VALUE!</v>
      </c>
      <c r="BA181" t="e">
        <f>AND('Planilla_General_03-12-2012_9_3'!D2884,"AAAAAG33+TQ=")</f>
        <v>#VALUE!</v>
      </c>
      <c r="BB181" t="e">
        <f>AND('Planilla_General_03-12-2012_9_3'!E2884,"AAAAAG33+TU=")</f>
        <v>#VALUE!</v>
      </c>
      <c r="BC181" t="e">
        <f>AND('Planilla_General_03-12-2012_9_3'!F2884,"AAAAAG33+TY=")</f>
        <v>#VALUE!</v>
      </c>
      <c r="BD181" t="e">
        <f>AND('Planilla_General_03-12-2012_9_3'!G2884,"AAAAAG33+Tc=")</f>
        <v>#VALUE!</v>
      </c>
      <c r="BE181" t="e">
        <f>AND('Planilla_General_03-12-2012_9_3'!H2884,"AAAAAG33+Tg=")</f>
        <v>#VALUE!</v>
      </c>
      <c r="BF181" t="e">
        <f>AND('Planilla_General_03-12-2012_9_3'!I2884,"AAAAAG33+Tk=")</f>
        <v>#VALUE!</v>
      </c>
      <c r="BG181" t="e">
        <f>AND('Planilla_General_03-12-2012_9_3'!J2884,"AAAAAG33+To=")</f>
        <v>#VALUE!</v>
      </c>
      <c r="BH181" t="e">
        <f>AND('Planilla_General_03-12-2012_9_3'!K2884,"AAAAAG33+Ts=")</f>
        <v>#VALUE!</v>
      </c>
      <c r="BI181" t="e">
        <f>AND('Planilla_General_03-12-2012_9_3'!L2884,"AAAAAG33+Tw=")</f>
        <v>#VALUE!</v>
      </c>
      <c r="BJ181" t="e">
        <f>AND('Planilla_General_03-12-2012_9_3'!M2884,"AAAAAG33+T0=")</f>
        <v>#VALUE!</v>
      </c>
      <c r="BK181" t="e">
        <f>AND('Planilla_General_03-12-2012_9_3'!N2884,"AAAAAG33+T4=")</f>
        <v>#VALUE!</v>
      </c>
      <c r="BL181" t="e">
        <f>AND('Planilla_General_03-12-2012_9_3'!O2884,"AAAAAG33+T8=")</f>
        <v>#VALUE!</v>
      </c>
      <c r="BM181">
        <f>IF('Planilla_General_03-12-2012_9_3'!2885:2885,"AAAAAG33+UA=",0)</f>
        <v>0</v>
      </c>
      <c r="BN181" t="e">
        <f>AND('Planilla_General_03-12-2012_9_3'!A2885,"AAAAAG33+UE=")</f>
        <v>#VALUE!</v>
      </c>
      <c r="BO181" t="e">
        <f>AND('Planilla_General_03-12-2012_9_3'!B2885,"AAAAAG33+UI=")</f>
        <v>#VALUE!</v>
      </c>
      <c r="BP181" t="e">
        <f>AND('Planilla_General_03-12-2012_9_3'!C2885,"AAAAAG33+UM=")</f>
        <v>#VALUE!</v>
      </c>
      <c r="BQ181" t="e">
        <f>AND('Planilla_General_03-12-2012_9_3'!D2885,"AAAAAG33+UQ=")</f>
        <v>#VALUE!</v>
      </c>
      <c r="BR181" t="e">
        <f>AND('Planilla_General_03-12-2012_9_3'!E2885,"AAAAAG33+UU=")</f>
        <v>#VALUE!</v>
      </c>
      <c r="BS181" t="e">
        <f>AND('Planilla_General_03-12-2012_9_3'!F2885,"AAAAAG33+UY=")</f>
        <v>#VALUE!</v>
      </c>
      <c r="BT181" t="e">
        <f>AND('Planilla_General_03-12-2012_9_3'!G2885,"AAAAAG33+Uc=")</f>
        <v>#VALUE!</v>
      </c>
      <c r="BU181" t="e">
        <f>AND('Planilla_General_03-12-2012_9_3'!H2885,"AAAAAG33+Ug=")</f>
        <v>#VALUE!</v>
      </c>
      <c r="BV181" t="e">
        <f>AND('Planilla_General_03-12-2012_9_3'!I2885,"AAAAAG33+Uk=")</f>
        <v>#VALUE!</v>
      </c>
      <c r="BW181" t="e">
        <f>AND('Planilla_General_03-12-2012_9_3'!J2885,"AAAAAG33+Uo=")</f>
        <v>#VALUE!</v>
      </c>
      <c r="BX181" t="e">
        <f>AND('Planilla_General_03-12-2012_9_3'!K2885,"AAAAAG33+Us=")</f>
        <v>#VALUE!</v>
      </c>
      <c r="BY181" t="e">
        <f>AND('Planilla_General_03-12-2012_9_3'!L2885,"AAAAAG33+Uw=")</f>
        <v>#VALUE!</v>
      </c>
      <c r="BZ181" t="e">
        <f>AND('Planilla_General_03-12-2012_9_3'!M2885,"AAAAAG33+U0=")</f>
        <v>#VALUE!</v>
      </c>
      <c r="CA181" t="e">
        <f>AND('Planilla_General_03-12-2012_9_3'!N2885,"AAAAAG33+U4=")</f>
        <v>#VALUE!</v>
      </c>
      <c r="CB181" t="e">
        <f>AND('Planilla_General_03-12-2012_9_3'!O2885,"AAAAAG33+U8=")</f>
        <v>#VALUE!</v>
      </c>
      <c r="CC181">
        <f>IF('Planilla_General_03-12-2012_9_3'!2886:2886,"AAAAAG33+VA=",0)</f>
        <v>0</v>
      </c>
      <c r="CD181" t="e">
        <f>AND('Planilla_General_03-12-2012_9_3'!A2886,"AAAAAG33+VE=")</f>
        <v>#VALUE!</v>
      </c>
      <c r="CE181" t="e">
        <f>AND('Planilla_General_03-12-2012_9_3'!B2886,"AAAAAG33+VI=")</f>
        <v>#VALUE!</v>
      </c>
      <c r="CF181" t="e">
        <f>AND('Planilla_General_03-12-2012_9_3'!C2886,"AAAAAG33+VM=")</f>
        <v>#VALUE!</v>
      </c>
      <c r="CG181" t="e">
        <f>AND('Planilla_General_03-12-2012_9_3'!D2886,"AAAAAG33+VQ=")</f>
        <v>#VALUE!</v>
      </c>
      <c r="CH181" t="e">
        <f>AND('Planilla_General_03-12-2012_9_3'!E2886,"AAAAAG33+VU=")</f>
        <v>#VALUE!</v>
      </c>
      <c r="CI181" t="e">
        <f>AND('Planilla_General_03-12-2012_9_3'!F2886,"AAAAAG33+VY=")</f>
        <v>#VALUE!</v>
      </c>
      <c r="CJ181" t="e">
        <f>AND('Planilla_General_03-12-2012_9_3'!G2886,"AAAAAG33+Vc=")</f>
        <v>#VALUE!</v>
      </c>
      <c r="CK181" t="e">
        <f>AND('Planilla_General_03-12-2012_9_3'!H2886,"AAAAAG33+Vg=")</f>
        <v>#VALUE!</v>
      </c>
      <c r="CL181" t="e">
        <f>AND('Planilla_General_03-12-2012_9_3'!I2886,"AAAAAG33+Vk=")</f>
        <v>#VALUE!</v>
      </c>
      <c r="CM181" t="e">
        <f>AND('Planilla_General_03-12-2012_9_3'!J2886,"AAAAAG33+Vo=")</f>
        <v>#VALUE!</v>
      </c>
      <c r="CN181" t="e">
        <f>AND('Planilla_General_03-12-2012_9_3'!K2886,"AAAAAG33+Vs=")</f>
        <v>#VALUE!</v>
      </c>
      <c r="CO181" t="e">
        <f>AND('Planilla_General_03-12-2012_9_3'!L2886,"AAAAAG33+Vw=")</f>
        <v>#VALUE!</v>
      </c>
      <c r="CP181" t="e">
        <f>AND('Planilla_General_03-12-2012_9_3'!M2886,"AAAAAG33+V0=")</f>
        <v>#VALUE!</v>
      </c>
      <c r="CQ181" t="e">
        <f>AND('Planilla_General_03-12-2012_9_3'!N2886,"AAAAAG33+V4=")</f>
        <v>#VALUE!</v>
      </c>
      <c r="CR181" t="e">
        <f>AND('Planilla_General_03-12-2012_9_3'!O2886,"AAAAAG33+V8=")</f>
        <v>#VALUE!</v>
      </c>
      <c r="CS181">
        <f>IF('Planilla_General_03-12-2012_9_3'!2887:2887,"AAAAAG33+WA=",0)</f>
        <v>0</v>
      </c>
      <c r="CT181" t="e">
        <f>AND('Planilla_General_03-12-2012_9_3'!A2887,"AAAAAG33+WE=")</f>
        <v>#VALUE!</v>
      </c>
      <c r="CU181" t="e">
        <f>AND('Planilla_General_03-12-2012_9_3'!B2887,"AAAAAG33+WI=")</f>
        <v>#VALUE!</v>
      </c>
      <c r="CV181" t="e">
        <f>AND('Planilla_General_03-12-2012_9_3'!C2887,"AAAAAG33+WM=")</f>
        <v>#VALUE!</v>
      </c>
      <c r="CW181" t="e">
        <f>AND('Planilla_General_03-12-2012_9_3'!D2887,"AAAAAG33+WQ=")</f>
        <v>#VALUE!</v>
      </c>
      <c r="CX181" t="e">
        <f>AND('Planilla_General_03-12-2012_9_3'!E2887,"AAAAAG33+WU=")</f>
        <v>#VALUE!</v>
      </c>
      <c r="CY181" t="e">
        <f>AND('Planilla_General_03-12-2012_9_3'!F2887,"AAAAAG33+WY=")</f>
        <v>#VALUE!</v>
      </c>
      <c r="CZ181" t="e">
        <f>AND('Planilla_General_03-12-2012_9_3'!G2887,"AAAAAG33+Wc=")</f>
        <v>#VALUE!</v>
      </c>
      <c r="DA181" t="e">
        <f>AND('Planilla_General_03-12-2012_9_3'!H2887,"AAAAAG33+Wg=")</f>
        <v>#VALUE!</v>
      </c>
      <c r="DB181" t="e">
        <f>AND('Planilla_General_03-12-2012_9_3'!I2887,"AAAAAG33+Wk=")</f>
        <v>#VALUE!</v>
      </c>
      <c r="DC181" t="e">
        <f>AND('Planilla_General_03-12-2012_9_3'!J2887,"AAAAAG33+Wo=")</f>
        <v>#VALUE!</v>
      </c>
      <c r="DD181" t="e">
        <f>AND('Planilla_General_03-12-2012_9_3'!K2887,"AAAAAG33+Ws=")</f>
        <v>#VALUE!</v>
      </c>
      <c r="DE181" t="e">
        <f>AND('Planilla_General_03-12-2012_9_3'!L2887,"AAAAAG33+Ww=")</f>
        <v>#VALUE!</v>
      </c>
      <c r="DF181" t="e">
        <f>AND('Planilla_General_03-12-2012_9_3'!M2887,"AAAAAG33+W0=")</f>
        <v>#VALUE!</v>
      </c>
      <c r="DG181" t="e">
        <f>AND('Planilla_General_03-12-2012_9_3'!N2887,"AAAAAG33+W4=")</f>
        <v>#VALUE!</v>
      </c>
      <c r="DH181" t="e">
        <f>AND('Planilla_General_03-12-2012_9_3'!O2887,"AAAAAG33+W8=")</f>
        <v>#VALUE!</v>
      </c>
      <c r="DI181">
        <f>IF('Planilla_General_03-12-2012_9_3'!2888:2888,"AAAAAG33+XA=",0)</f>
        <v>0</v>
      </c>
      <c r="DJ181" t="e">
        <f>AND('Planilla_General_03-12-2012_9_3'!A2888,"AAAAAG33+XE=")</f>
        <v>#VALUE!</v>
      </c>
      <c r="DK181" t="e">
        <f>AND('Planilla_General_03-12-2012_9_3'!B2888,"AAAAAG33+XI=")</f>
        <v>#VALUE!</v>
      </c>
      <c r="DL181" t="e">
        <f>AND('Planilla_General_03-12-2012_9_3'!C2888,"AAAAAG33+XM=")</f>
        <v>#VALUE!</v>
      </c>
      <c r="DM181" t="e">
        <f>AND('Planilla_General_03-12-2012_9_3'!D2888,"AAAAAG33+XQ=")</f>
        <v>#VALUE!</v>
      </c>
      <c r="DN181" t="e">
        <f>AND('Planilla_General_03-12-2012_9_3'!E2888,"AAAAAG33+XU=")</f>
        <v>#VALUE!</v>
      </c>
      <c r="DO181" t="e">
        <f>AND('Planilla_General_03-12-2012_9_3'!F2888,"AAAAAG33+XY=")</f>
        <v>#VALUE!</v>
      </c>
      <c r="DP181" t="e">
        <f>AND('Planilla_General_03-12-2012_9_3'!G2888,"AAAAAG33+Xc=")</f>
        <v>#VALUE!</v>
      </c>
      <c r="DQ181" t="e">
        <f>AND('Planilla_General_03-12-2012_9_3'!H2888,"AAAAAG33+Xg=")</f>
        <v>#VALUE!</v>
      </c>
      <c r="DR181" t="e">
        <f>AND('Planilla_General_03-12-2012_9_3'!I2888,"AAAAAG33+Xk=")</f>
        <v>#VALUE!</v>
      </c>
      <c r="DS181" t="e">
        <f>AND('Planilla_General_03-12-2012_9_3'!J2888,"AAAAAG33+Xo=")</f>
        <v>#VALUE!</v>
      </c>
      <c r="DT181" t="e">
        <f>AND('Planilla_General_03-12-2012_9_3'!K2888,"AAAAAG33+Xs=")</f>
        <v>#VALUE!</v>
      </c>
      <c r="DU181" t="e">
        <f>AND('Planilla_General_03-12-2012_9_3'!L2888,"AAAAAG33+Xw=")</f>
        <v>#VALUE!</v>
      </c>
      <c r="DV181" t="e">
        <f>AND('Planilla_General_03-12-2012_9_3'!M2888,"AAAAAG33+X0=")</f>
        <v>#VALUE!</v>
      </c>
      <c r="DW181" t="e">
        <f>AND('Planilla_General_03-12-2012_9_3'!N2888,"AAAAAG33+X4=")</f>
        <v>#VALUE!</v>
      </c>
      <c r="DX181" t="e">
        <f>AND('Planilla_General_03-12-2012_9_3'!O2888,"AAAAAG33+X8=")</f>
        <v>#VALUE!</v>
      </c>
      <c r="DY181">
        <f>IF('Planilla_General_03-12-2012_9_3'!2889:2889,"AAAAAG33+YA=",0)</f>
        <v>0</v>
      </c>
      <c r="DZ181" t="e">
        <f>AND('Planilla_General_03-12-2012_9_3'!A2889,"AAAAAG33+YE=")</f>
        <v>#VALUE!</v>
      </c>
      <c r="EA181" t="e">
        <f>AND('Planilla_General_03-12-2012_9_3'!B2889,"AAAAAG33+YI=")</f>
        <v>#VALUE!</v>
      </c>
      <c r="EB181" t="e">
        <f>AND('Planilla_General_03-12-2012_9_3'!C2889,"AAAAAG33+YM=")</f>
        <v>#VALUE!</v>
      </c>
      <c r="EC181" t="e">
        <f>AND('Planilla_General_03-12-2012_9_3'!D2889,"AAAAAG33+YQ=")</f>
        <v>#VALUE!</v>
      </c>
      <c r="ED181" t="e">
        <f>AND('Planilla_General_03-12-2012_9_3'!E2889,"AAAAAG33+YU=")</f>
        <v>#VALUE!</v>
      </c>
      <c r="EE181" t="e">
        <f>AND('Planilla_General_03-12-2012_9_3'!F2889,"AAAAAG33+YY=")</f>
        <v>#VALUE!</v>
      </c>
      <c r="EF181" t="e">
        <f>AND('Planilla_General_03-12-2012_9_3'!G2889,"AAAAAG33+Yc=")</f>
        <v>#VALUE!</v>
      </c>
      <c r="EG181" t="e">
        <f>AND('Planilla_General_03-12-2012_9_3'!H2889,"AAAAAG33+Yg=")</f>
        <v>#VALUE!</v>
      </c>
      <c r="EH181" t="e">
        <f>AND('Planilla_General_03-12-2012_9_3'!I2889,"AAAAAG33+Yk=")</f>
        <v>#VALUE!</v>
      </c>
      <c r="EI181" t="e">
        <f>AND('Planilla_General_03-12-2012_9_3'!J2889,"AAAAAG33+Yo=")</f>
        <v>#VALUE!</v>
      </c>
      <c r="EJ181" t="e">
        <f>AND('Planilla_General_03-12-2012_9_3'!K2889,"AAAAAG33+Ys=")</f>
        <v>#VALUE!</v>
      </c>
      <c r="EK181" t="e">
        <f>AND('Planilla_General_03-12-2012_9_3'!L2889,"AAAAAG33+Yw=")</f>
        <v>#VALUE!</v>
      </c>
      <c r="EL181" t="e">
        <f>AND('Planilla_General_03-12-2012_9_3'!M2889,"AAAAAG33+Y0=")</f>
        <v>#VALUE!</v>
      </c>
      <c r="EM181" t="e">
        <f>AND('Planilla_General_03-12-2012_9_3'!N2889,"AAAAAG33+Y4=")</f>
        <v>#VALUE!</v>
      </c>
      <c r="EN181" t="e">
        <f>AND('Planilla_General_03-12-2012_9_3'!O2889,"AAAAAG33+Y8=")</f>
        <v>#VALUE!</v>
      </c>
      <c r="EO181">
        <f>IF('Planilla_General_03-12-2012_9_3'!2890:2890,"AAAAAG33+ZA=",0)</f>
        <v>0</v>
      </c>
      <c r="EP181" t="e">
        <f>AND('Planilla_General_03-12-2012_9_3'!A2890,"AAAAAG33+ZE=")</f>
        <v>#VALUE!</v>
      </c>
      <c r="EQ181" t="e">
        <f>AND('Planilla_General_03-12-2012_9_3'!B2890,"AAAAAG33+ZI=")</f>
        <v>#VALUE!</v>
      </c>
      <c r="ER181" t="e">
        <f>AND('Planilla_General_03-12-2012_9_3'!C2890,"AAAAAG33+ZM=")</f>
        <v>#VALUE!</v>
      </c>
      <c r="ES181" t="e">
        <f>AND('Planilla_General_03-12-2012_9_3'!D2890,"AAAAAG33+ZQ=")</f>
        <v>#VALUE!</v>
      </c>
      <c r="ET181" t="e">
        <f>AND('Planilla_General_03-12-2012_9_3'!E2890,"AAAAAG33+ZU=")</f>
        <v>#VALUE!</v>
      </c>
      <c r="EU181" t="e">
        <f>AND('Planilla_General_03-12-2012_9_3'!F2890,"AAAAAG33+ZY=")</f>
        <v>#VALUE!</v>
      </c>
      <c r="EV181" t="e">
        <f>AND('Planilla_General_03-12-2012_9_3'!G2890,"AAAAAG33+Zc=")</f>
        <v>#VALUE!</v>
      </c>
      <c r="EW181" t="e">
        <f>AND('Planilla_General_03-12-2012_9_3'!H2890,"AAAAAG33+Zg=")</f>
        <v>#VALUE!</v>
      </c>
      <c r="EX181" t="e">
        <f>AND('Planilla_General_03-12-2012_9_3'!I2890,"AAAAAG33+Zk=")</f>
        <v>#VALUE!</v>
      </c>
      <c r="EY181" t="e">
        <f>AND('Planilla_General_03-12-2012_9_3'!J2890,"AAAAAG33+Zo=")</f>
        <v>#VALUE!</v>
      </c>
      <c r="EZ181" t="e">
        <f>AND('Planilla_General_03-12-2012_9_3'!K2890,"AAAAAG33+Zs=")</f>
        <v>#VALUE!</v>
      </c>
      <c r="FA181" t="e">
        <f>AND('Planilla_General_03-12-2012_9_3'!L2890,"AAAAAG33+Zw=")</f>
        <v>#VALUE!</v>
      </c>
      <c r="FB181" t="e">
        <f>AND('Planilla_General_03-12-2012_9_3'!M2890,"AAAAAG33+Z0=")</f>
        <v>#VALUE!</v>
      </c>
      <c r="FC181" t="e">
        <f>AND('Planilla_General_03-12-2012_9_3'!N2890,"AAAAAG33+Z4=")</f>
        <v>#VALUE!</v>
      </c>
      <c r="FD181" t="e">
        <f>AND('Planilla_General_03-12-2012_9_3'!O2890,"AAAAAG33+Z8=")</f>
        <v>#VALUE!</v>
      </c>
      <c r="FE181">
        <f>IF('Planilla_General_03-12-2012_9_3'!2891:2891,"AAAAAG33+aA=",0)</f>
        <v>0</v>
      </c>
      <c r="FF181" t="e">
        <f>AND('Planilla_General_03-12-2012_9_3'!A2891,"AAAAAG33+aE=")</f>
        <v>#VALUE!</v>
      </c>
      <c r="FG181" t="e">
        <f>AND('Planilla_General_03-12-2012_9_3'!B2891,"AAAAAG33+aI=")</f>
        <v>#VALUE!</v>
      </c>
      <c r="FH181" t="e">
        <f>AND('Planilla_General_03-12-2012_9_3'!C2891,"AAAAAG33+aM=")</f>
        <v>#VALUE!</v>
      </c>
      <c r="FI181" t="e">
        <f>AND('Planilla_General_03-12-2012_9_3'!D2891,"AAAAAG33+aQ=")</f>
        <v>#VALUE!</v>
      </c>
      <c r="FJ181" t="e">
        <f>AND('Planilla_General_03-12-2012_9_3'!E2891,"AAAAAG33+aU=")</f>
        <v>#VALUE!</v>
      </c>
      <c r="FK181" t="e">
        <f>AND('Planilla_General_03-12-2012_9_3'!F2891,"AAAAAG33+aY=")</f>
        <v>#VALUE!</v>
      </c>
      <c r="FL181" t="e">
        <f>AND('Planilla_General_03-12-2012_9_3'!G2891,"AAAAAG33+ac=")</f>
        <v>#VALUE!</v>
      </c>
      <c r="FM181" t="e">
        <f>AND('Planilla_General_03-12-2012_9_3'!H2891,"AAAAAG33+ag=")</f>
        <v>#VALUE!</v>
      </c>
      <c r="FN181" t="e">
        <f>AND('Planilla_General_03-12-2012_9_3'!I2891,"AAAAAG33+ak=")</f>
        <v>#VALUE!</v>
      </c>
      <c r="FO181" t="e">
        <f>AND('Planilla_General_03-12-2012_9_3'!J2891,"AAAAAG33+ao=")</f>
        <v>#VALUE!</v>
      </c>
      <c r="FP181" t="e">
        <f>AND('Planilla_General_03-12-2012_9_3'!K2891,"AAAAAG33+as=")</f>
        <v>#VALUE!</v>
      </c>
      <c r="FQ181" t="e">
        <f>AND('Planilla_General_03-12-2012_9_3'!L2891,"AAAAAG33+aw=")</f>
        <v>#VALUE!</v>
      </c>
      <c r="FR181" t="e">
        <f>AND('Planilla_General_03-12-2012_9_3'!M2891,"AAAAAG33+a0=")</f>
        <v>#VALUE!</v>
      </c>
      <c r="FS181" t="e">
        <f>AND('Planilla_General_03-12-2012_9_3'!N2891,"AAAAAG33+a4=")</f>
        <v>#VALUE!</v>
      </c>
      <c r="FT181" t="e">
        <f>AND('Planilla_General_03-12-2012_9_3'!O2891,"AAAAAG33+a8=")</f>
        <v>#VALUE!</v>
      </c>
      <c r="FU181">
        <f>IF('Planilla_General_03-12-2012_9_3'!2892:2892,"AAAAAG33+bA=",0)</f>
        <v>0</v>
      </c>
      <c r="FV181" t="e">
        <f>AND('Planilla_General_03-12-2012_9_3'!A2892,"AAAAAG33+bE=")</f>
        <v>#VALUE!</v>
      </c>
      <c r="FW181" t="e">
        <f>AND('Planilla_General_03-12-2012_9_3'!B2892,"AAAAAG33+bI=")</f>
        <v>#VALUE!</v>
      </c>
      <c r="FX181" t="e">
        <f>AND('Planilla_General_03-12-2012_9_3'!C2892,"AAAAAG33+bM=")</f>
        <v>#VALUE!</v>
      </c>
      <c r="FY181" t="e">
        <f>AND('Planilla_General_03-12-2012_9_3'!D2892,"AAAAAG33+bQ=")</f>
        <v>#VALUE!</v>
      </c>
      <c r="FZ181" t="e">
        <f>AND('Planilla_General_03-12-2012_9_3'!E2892,"AAAAAG33+bU=")</f>
        <v>#VALUE!</v>
      </c>
      <c r="GA181" t="e">
        <f>AND('Planilla_General_03-12-2012_9_3'!F2892,"AAAAAG33+bY=")</f>
        <v>#VALUE!</v>
      </c>
      <c r="GB181" t="e">
        <f>AND('Planilla_General_03-12-2012_9_3'!G2892,"AAAAAG33+bc=")</f>
        <v>#VALUE!</v>
      </c>
      <c r="GC181" t="e">
        <f>AND('Planilla_General_03-12-2012_9_3'!H2892,"AAAAAG33+bg=")</f>
        <v>#VALUE!</v>
      </c>
      <c r="GD181" t="e">
        <f>AND('Planilla_General_03-12-2012_9_3'!I2892,"AAAAAG33+bk=")</f>
        <v>#VALUE!</v>
      </c>
      <c r="GE181" t="e">
        <f>AND('Planilla_General_03-12-2012_9_3'!J2892,"AAAAAG33+bo=")</f>
        <v>#VALUE!</v>
      </c>
      <c r="GF181" t="e">
        <f>AND('Planilla_General_03-12-2012_9_3'!K2892,"AAAAAG33+bs=")</f>
        <v>#VALUE!</v>
      </c>
      <c r="GG181" t="e">
        <f>AND('Planilla_General_03-12-2012_9_3'!L2892,"AAAAAG33+bw=")</f>
        <v>#VALUE!</v>
      </c>
      <c r="GH181" t="e">
        <f>AND('Planilla_General_03-12-2012_9_3'!M2892,"AAAAAG33+b0=")</f>
        <v>#VALUE!</v>
      </c>
      <c r="GI181" t="e">
        <f>AND('Planilla_General_03-12-2012_9_3'!N2892,"AAAAAG33+b4=")</f>
        <v>#VALUE!</v>
      </c>
      <c r="GJ181" t="e">
        <f>AND('Planilla_General_03-12-2012_9_3'!O2892,"AAAAAG33+b8=")</f>
        <v>#VALUE!</v>
      </c>
      <c r="GK181">
        <f>IF('Planilla_General_03-12-2012_9_3'!2893:2893,"AAAAAG33+cA=",0)</f>
        <v>0</v>
      </c>
      <c r="GL181" t="e">
        <f>AND('Planilla_General_03-12-2012_9_3'!A2893,"AAAAAG33+cE=")</f>
        <v>#VALUE!</v>
      </c>
      <c r="GM181" t="e">
        <f>AND('Planilla_General_03-12-2012_9_3'!B2893,"AAAAAG33+cI=")</f>
        <v>#VALUE!</v>
      </c>
      <c r="GN181" t="e">
        <f>AND('Planilla_General_03-12-2012_9_3'!C2893,"AAAAAG33+cM=")</f>
        <v>#VALUE!</v>
      </c>
      <c r="GO181" t="e">
        <f>AND('Planilla_General_03-12-2012_9_3'!D2893,"AAAAAG33+cQ=")</f>
        <v>#VALUE!</v>
      </c>
      <c r="GP181" t="e">
        <f>AND('Planilla_General_03-12-2012_9_3'!E2893,"AAAAAG33+cU=")</f>
        <v>#VALUE!</v>
      </c>
      <c r="GQ181" t="e">
        <f>AND('Planilla_General_03-12-2012_9_3'!F2893,"AAAAAG33+cY=")</f>
        <v>#VALUE!</v>
      </c>
      <c r="GR181" t="e">
        <f>AND('Planilla_General_03-12-2012_9_3'!G2893,"AAAAAG33+cc=")</f>
        <v>#VALUE!</v>
      </c>
      <c r="GS181" t="e">
        <f>AND('Planilla_General_03-12-2012_9_3'!H2893,"AAAAAG33+cg=")</f>
        <v>#VALUE!</v>
      </c>
      <c r="GT181" t="e">
        <f>AND('Planilla_General_03-12-2012_9_3'!I2893,"AAAAAG33+ck=")</f>
        <v>#VALUE!</v>
      </c>
      <c r="GU181" t="e">
        <f>AND('Planilla_General_03-12-2012_9_3'!J2893,"AAAAAG33+co=")</f>
        <v>#VALUE!</v>
      </c>
      <c r="GV181" t="e">
        <f>AND('Planilla_General_03-12-2012_9_3'!K2893,"AAAAAG33+cs=")</f>
        <v>#VALUE!</v>
      </c>
      <c r="GW181" t="e">
        <f>AND('Planilla_General_03-12-2012_9_3'!L2893,"AAAAAG33+cw=")</f>
        <v>#VALUE!</v>
      </c>
      <c r="GX181" t="e">
        <f>AND('Planilla_General_03-12-2012_9_3'!M2893,"AAAAAG33+c0=")</f>
        <v>#VALUE!</v>
      </c>
      <c r="GY181" t="e">
        <f>AND('Planilla_General_03-12-2012_9_3'!N2893,"AAAAAG33+c4=")</f>
        <v>#VALUE!</v>
      </c>
      <c r="GZ181" t="e">
        <f>AND('Planilla_General_03-12-2012_9_3'!O2893,"AAAAAG33+c8=")</f>
        <v>#VALUE!</v>
      </c>
      <c r="HA181">
        <f>IF('Planilla_General_03-12-2012_9_3'!2894:2894,"AAAAAG33+dA=",0)</f>
        <v>0</v>
      </c>
      <c r="HB181" t="e">
        <f>AND('Planilla_General_03-12-2012_9_3'!A2894,"AAAAAG33+dE=")</f>
        <v>#VALUE!</v>
      </c>
      <c r="HC181" t="e">
        <f>AND('Planilla_General_03-12-2012_9_3'!B2894,"AAAAAG33+dI=")</f>
        <v>#VALUE!</v>
      </c>
      <c r="HD181" t="e">
        <f>AND('Planilla_General_03-12-2012_9_3'!C2894,"AAAAAG33+dM=")</f>
        <v>#VALUE!</v>
      </c>
      <c r="HE181" t="e">
        <f>AND('Planilla_General_03-12-2012_9_3'!D2894,"AAAAAG33+dQ=")</f>
        <v>#VALUE!</v>
      </c>
      <c r="HF181" t="e">
        <f>AND('Planilla_General_03-12-2012_9_3'!E2894,"AAAAAG33+dU=")</f>
        <v>#VALUE!</v>
      </c>
      <c r="HG181" t="e">
        <f>AND('Planilla_General_03-12-2012_9_3'!F2894,"AAAAAG33+dY=")</f>
        <v>#VALUE!</v>
      </c>
      <c r="HH181" t="e">
        <f>AND('Planilla_General_03-12-2012_9_3'!G2894,"AAAAAG33+dc=")</f>
        <v>#VALUE!</v>
      </c>
      <c r="HI181" t="e">
        <f>AND('Planilla_General_03-12-2012_9_3'!H2894,"AAAAAG33+dg=")</f>
        <v>#VALUE!</v>
      </c>
      <c r="HJ181" t="e">
        <f>AND('Planilla_General_03-12-2012_9_3'!I2894,"AAAAAG33+dk=")</f>
        <v>#VALUE!</v>
      </c>
      <c r="HK181" t="e">
        <f>AND('Planilla_General_03-12-2012_9_3'!J2894,"AAAAAG33+do=")</f>
        <v>#VALUE!</v>
      </c>
      <c r="HL181" t="e">
        <f>AND('Planilla_General_03-12-2012_9_3'!K2894,"AAAAAG33+ds=")</f>
        <v>#VALUE!</v>
      </c>
      <c r="HM181" t="e">
        <f>AND('Planilla_General_03-12-2012_9_3'!L2894,"AAAAAG33+dw=")</f>
        <v>#VALUE!</v>
      </c>
      <c r="HN181" t="e">
        <f>AND('Planilla_General_03-12-2012_9_3'!M2894,"AAAAAG33+d0=")</f>
        <v>#VALUE!</v>
      </c>
      <c r="HO181" t="e">
        <f>AND('Planilla_General_03-12-2012_9_3'!N2894,"AAAAAG33+d4=")</f>
        <v>#VALUE!</v>
      </c>
      <c r="HP181" t="e">
        <f>AND('Planilla_General_03-12-2012_9_3'!O2894,"AAAAAG33+d8=")</f>
        <v>#VALUE!</v>
      </c>
      <c r="HQ181">
        <f>IF('Planilla_General_03-12-2012_9_3'!2895:2895,"AAAAAG33+eA=",0)</f>
        <v>0</v>
      </c>
      <c r="HR181" t="e">
        <f>AND('Planilla_General_03-12-2012_9_3'!A2895,"AAAAAG33+eE=")</f>
        <v>#VALUE!</v>
      </c>
      <c r="HS181" t="e">
        <f>AND('Planilla_General_03-12-2012_9_3'!B2895,"AAAAAG33+eI=")</f>
        <v>#VALUE!</v>
      </c>
      <c r="HT181" t="e">
        <f>AND('Planilla_General_03-12-2012_9_3'!C2895,"AAAAAG33+eM=")</f>
        <v>#VALUE!</v>
      </c>
      <c r="HU181" t="e">
        <f>AND('Planilla_General_03-12-2012_9_3'!D2895,"AAAAAG33+eQ=")</f>
        <v>#VALUE!</v>
      </c>
      <c r="HV181" t="e">
        <f>AND('Planilla_General_03-12-2012_9_3'!E2895,"AAAAAG33+eU=")</f>
        <v>#VALUE!</v>
      </c>
      <c r="HW181" t="e">
        <f>AND('Planilla_General_03-12-2012_9_3'!F2895,"AAAAAG33+eY=")</f>
        <v>#VALUE!</v>
      </c>
      <c r="HX181" t="e">
        <f>AND('Planilla_General_03-12-2012_9_3'!G2895,"AAAAAG33+ec=")</f>
        <v>#VALUE!</v>
      </c>
      <c r="HY181" t="e">
        <f>AND('Planilla_General_03-12-2012_9_3'!H2895,"AAAAAG33+eg=")</f>
        <v>#VALUE!</v>
      </c>
      <c r="HZ181" t="e">
        <f>AND('Planilla_General_03-12-2012_9_3'!I2895,"AAAAAG33+ek=")</f>
        <v>#VALUE!</v>
      </c>
      <c r="IA181" t="e">
        <f>AND('Planilla_General_03-12-2012_9_3'!J2895,"AAAAAG33+eo=")</f>
        <v>#VALUE!</v>
      </c>
      <c r="IB181" t="e">
        <f>AND('Planilla_General_03-12-2012_9_3'!K2895,"AAAAAG33+es=")</f>
        <v>#VALUE!</v>
      </c>
      <c r="IC181" t="e">
        <f>AND('Planilla_General_03-12-2012_9_3'!L2895,"AAAAAG33+ew=")</f>
        <v>#VALUE!</v>
      </c>
      <c r="ID181" t="e">
        <f>AND('Planilla_General_03-12-2012_9_3'!M2895,"AAAAAG33+e0=")</f>
        <v>#VALUE!</v>
      </c>
      <c r="IE181" t="e">
        <f>AND('Planilla_General_03-12-2012_9_3'!N2895,"AAAAAG33+e4=")</f>
        <v>#VALUE!</v>
      </c>
      <c r="IF181" t="e">
        <f>AND('Planilla_General_03-12-2012_9_3'!O2895,"AAAAAG33+e8=")</f>
        <v>#VALUE!</v>
      </c>
      <c r="IG181">
        <f>IF('Planilla_General_03-12-2012_9_3'!2896:2896,"AAAAAG33+fA=",0)</f>
        <v>0</v>
      </c>
      <c r="IH181" t="e">
        <f>AND('Planilla_General_03-12-2012_9_3'!A2896,"AAAAAG33+fE=")</f>
        <v>#VALUE!</v>
      </c>
      <c r="II181" t="e">
        <f>AND('Planilla_General_03-12-2012_9_3'!B2896,"AAAAAG33+fI=")</f>
        <v>#VALUE!</v>
      </c>
      <c r="IJ181" t="e">
        <f>AND('Planilla_General_03-12-2012_9_3'!C2896,"AAAAAG33+fM=")</f>
        <v>#VALUE!</v>
      </c>
      <c r="IK181" t="e">
        <f>AND('Planilla_General_03-12-2012_9_3'!D2896,"AAAAAG33+fQ=")</f>
        <v>#VALUE!</v>
      </c>
      <c r="IL181" t="e">
        <f>AND('Planilla_General_03-12-2012_9_3'!E2896,"AAAAAG33+fU=")</f>
        <v>#VALUE!</v>
      </c>
      <c r="IM181" t="e">
        <f>AND('Planilla_General_03-12-2012_9_3'!F2896,"AAAAAG33+fY=")</f>
        <v>#VALUE!</v>
      </c>
      <c r="IN181" t="e">
        <f>AND('Planilla_General_03-12-2012_9_3'!G2896,"AAAAAG33+fc=")</f>
        <v>#VALUE!</v>
      </c>
      <c r="IO181" t="e">
        <f>AND('Planilla_General_03-12-2012_9_3'!H2896,"AAAAAG33+fg=")</f>
        <v>#VALUE!</v>
      </c>
      <c r="IP181" t="e">
        <f>AND('Planilla_General_03-12-2012_9_3'!I2896,"AAAAAG33+fk=")</f>
        <v>#VALUE!</v>
      </c>
      <c r="IQ181" t="e">
        <f>AND('Planilla_General_03-12-2012_9_3'!J2896,"AAAAAG33+fo=")</f>
        <v>#VALUE!</v>
      </c>
      <c r="IR181" t="e">
        <f>AND('Planilla_General_03-12-2012_9_3'!K2896,"AAAAAG33+fs=")</f>
        <v>#VALUE!</v>
      </c>
      <c r="IS181" t="e">
        <f>AND('Planilla_General_03-12-2012_9_3'!L2896,"AAAAAG33+fw=")</f>
        <v>#VALUE!</v>
      </c>
      <c r="IT181" t="e">
        <f>AND('Planilla_General_03-12-2012_9_3'!M2896,"AAAAAG33+f0=")</f>
        <v>#VALUE!</v>
      </c>
      <c r="IU181" t="e">
        <f>AND('Planilla_General_03-12-2012_9_3'!N2896,"AAAAAG33+f4=")</f>
        <v>#VALUE!</v>
      </c>
      <c r="IV181" t="e">
        <f>AND('Planilla_General_03-12-2012_9_3'!O2896,"AAAAAG33+f8=")</f>
        <v>#VALUE!</v>
      </c>
    </row>
    <row r="182" spans="1:256" x14ac:dyDescent="0.25">
      <c r="A182" t="e">
        <f>IF('Planilla_General_03-12-2012_9_3'!2897:2897,"AAAAADje/wA=",0)</f>
        <v>#VALUE!</v>
      </c>
      <c r="B182" t="e">
        <f>AND('Planilla_General_03-12-2012_9_3'!A2897,"AAAAADje/wE=")</f>
        <v>#VALUE!</v>
      </c>
      <c r="C182" t="e">
        <f>AND('Planilla_General_03-12-2012_9_3'!B2897,"AAAAADje/wI=")</f>
        <v>#VALUE!</v>
      </c>
      <c r="D182" t="e">
        <f>AND('Planilla_General_03-12-2012_9_3'!C2897,"AAAAADje/wM=")</f>
        <v>#VALUE!</v>
      </c>
      <c r="E182" t="e">
        <f>AND('Planilla_General_03-12-2012_9_3'!D2897,"AAAAADje/wQ=")</f>
        <v>#VALUE!</v>
      </c>
      <c r="F182" t="e">
        <f>AND('Planilla_General_03-12-2012_9_3'!E2897,"AAAAADje/wU=")</f>
        <v>#VALUE!</v>
      </c>
      <c r="G182" t="e">
        <f>AND('Planilla_General_03-12-2012_9_3'!F2897,"AAAAADje/wY=")</f>
        <v>#VALUE!</v>
      </c>
      <c r="H182" t="e">
        <f>AND('Planilla_General_03-12-2012_9_3'!G2897,"AAAAADje/wc=")</f>
        <v>#VALUE!</v>
      </c>
      <c r="I182" t="e">
        <f>AND('Planilla_General_03-12-2012_9_3'!H2897,"AAAAADje/wg=")</f>
        <v>#VALUE!</v>
      </c>
      <c r="J182" t="e">
        <f>AND('Planilla_General_03-12-2012_9_3'!I2897,"AAAAADje/wk=")</f>
        <v>#VALUE!</v>
      </c>
      <c r="K182" t="e">
        <f>AND('Planilla_General_03-12-2012_9_3'!J2897,"AAAAADje/wo=")</f>
        <v>#VALUE!</v>
      </c>
      <c r="L182" t="e">
        <f>AND('Planilla_General_03-12-2012_9_3'!K2897,"AAAAADje/ws=")</f>
        <v>#VALUE!</v>
      </c>
      <c r="M182" t="e">
        <f>AND('Planilla_General_03-12-2012_9_3'!L2897,"AAAAADje/ww=")</f>
        <v>#VALUE!</v>
      </c>
      <c r="N182" t="e">
        <f>AND('Planilla_General_03-12-2012_9_3'!M2897,"AAAAADje/w0=")</f>
        <v>#VALUE!</v>
      </c>
      <c r="O182" t="e">
        <f>AND('Planilla_General_03-12-2012_9_3'!N2897,"AAAAADje/w4=")</f>
        <v>#VALUE!</v>
      </c>
      <c r="P182" t="e">
        <f>AND('Planilla_General_03-12-2012_9_3'!O2897,"AAAAADje/w8=")</f>
        <v>#VALUE!</v>
      </c>
      <c r="Q182">
        <f>IF('Planilla_General_03-12-2012_9_3'!2898:2898,"AAAAADje/xA=",0)</f>
        <v>0</v>
      </c>
      <c r="R182" t="e">
        <f>AND('Planilla_General_03-12-2012_9_3'!A2898,"AAAAADje/xE=")</f>
        <v>#VALUE!</v>
      </c>
      <c r="S182" t="e">
        <f>AND('Planilla_General_03-12-2012_9_3'!B2898,"AAAAADje/xI=")</f>
        <v>#VALUE!</v>
      </c>
      <c r="T182" t="e">
        <f>AND('Planilla_General_03-12-2012_9_3'!C2898,"AAAAADje/xM=")</f>
        <v>#VALUE!</v>
      </c>
      <c r="U182" t="e">
        <f>AND('Planilla_General_03-12-2012_9_3'!D2898,"AAAAADje/xQ=")</f>
        <v>#VALUE!</v>
      </c>
      <c r="V182" t="e">
        <f>AND('Planilla_General_03-12-2012_9_3'!E2898,"AAAAADje/xU=")</f>
        <v>#VALUE!</v>
      </c>
      <c r="W182" t="e">
        <f>AND('Planilla_General_03-12-2012_9_3'!F2898,"AAAAADje/xY=")</f>
        <v>#VALUE!</v>
      </c>
      <c r="X182" t="e">
        <f>AND('Planilla_General_03-12-2012_9_3'!G2898,"AAAAADje/xc=")</f>
        <v>#VALUE!</v>
      </c>
      <c r="Y182" t="e">
        <f>AND('Planilla_General_03-12-2012_9_3'!H2898,"AAAAADje/xg=")</f>
        <v>#VALUE!</v>
      </c>
      <c r="Z182" t="e">
        <f>AND('Planilla_General_03-12-2012_9_3'!I2898,"AAAAADje/xk=")</f>
        <v>#VALUE!</v>
      </c>
      <c r="AA182" t="e">
        <f>AND('Planilla_General_03-12-2012_9_3'!J2898,"AAAAADje/xo=")</f>
        <v>#VALUE!</v>
      </c>
      <c r="AB182" t="e">
        <f>AND('Planilla_General_03-12-2012_9_3'!K2898,"AAAAADje/xs=")</f>
        <v>#VALUE!</v>
      </c>
      <c r="AC182" t="e">
        <f>AND('Planilla_General_03-12-2012_9_3'!L2898,"AAAAADje/xw=")</f>
        <v>#VALUE!</v>
      </c>
      <c r="AD182" t="e">
        <f>AND('Planilla_General_03-12-2012_9_3'!M2898,"AAAAADje/x0=")</f>
        <v>#VALUE!</v>
      </c>
      <c r="AE182" t="e">
        <f>AND('Planilla_General_03-12-2012_9_3'!N2898,"AAAAADje/x4=")</f>
        <v>#VALUE!</v>
      </c>
      <c r="AF182" t="e">
        <f>AND('Planilla_General_03-12-2012_9_3'!O2898,"AAAAADje/x8=")</f>
        <v>#VALUE!</v>
      </c>
      <c r="AG182">
        <f>IF('Planilla_General_03-12-2012_9_3'!2899:2899,"AAAAADje/yA=",0)</f>
        <v>0</v>
      </c>
      <c r="AH182" t="e">
        <f>AND('Planilla_General_03-12-2012_9_3'!A2899,"AAAAADje/yE=")</f>
        <v>#VALUE!</v>
      </c>
      <c r="AI182" t="e">
        <f>AND('Planilla_General_03-12-2012_9_3'!B2899,"AAAAADje/yI=")</f>
        <v>#VALUE!</v>
      </c>
      <c r="AJ182" t="e">
        <f>AND('Planilla_General_03-12-2012_9_3'!C2899,"AAAAADje/yM=")</f>
        <v>#VALUE!</v>
      </c>
      <c r="AK182" t="e">
        <f>AND('Planilla_General_03-12-2012_9_3'!D2899,"AAAAADje/yQ=")</f>
        <v>#VALUE!</v>
      </c>
      <c r="AL182" t="e">
        <f>AND('Planilla_General_03-12-2012_9_3'!E2899,"AAAAADje/yU=")</f>
        <v>#VALUE!</v>
      </c>
      <c r="AM182" t="e">
        <f>AND('Planilla_General_03-12-2012_9_3'!F2899,"AAAAADje/yY=")</f>
        <v>#VALUE!</v>
      </c>
      <c r="AN182" t="e">
        <f>AND('Planilla_General_03-12-2012_9_3'!G2899,"AAAAADje/yc=")</f>
        <v>#VALUE!</v>
      </c>
      <c r="AO182" t="e">
        <f>AND('Planilla_General_03-12-2012_9_3'!H2899,"AAAAADje/yg=")</f>
        <v>#VALUE!</v>
      </c>
      <c r="AP182" t="e">
        <f>AND('Planilla_General_03-12-2012_9_3'!I2899,"AAAAADje/yk=")</f>
        <v>#VALUE!</v>
      </c>
      <c r="AQ182" t="e">
        <f>AND('Planilla_General_03-12-2012_9_3'!J2899,"AAAAADje/yo=")</f>
        <v>#VALUE!</v>
      </c>
      <c r="AR182" t="e">
        <f>AND('Planilla_General_03-12-2012_9_3'!K2899,"AAAAADje/ys=")</f>
        <v>#VALUE!</v>
      </c>
      <c r="AS182" t="e">
        <f>AND('Planilla_General_03-12-2012_9_3'!L2899,"AAAAADje/yw=")</f>
        <v>#VALUE!</v>
      </c>
      <c r="AT182" t="e">
        <f>AND('Planilla_General_03-12-2012_9_3'!M2899,"AAAAADje/y0=")</f>
        <v>#VALUE!</v>
      </c>
      <c r="AU182" t="e">
        <f>AND('Planilla_General_03-12-2012_9_3'!N2899,"AAAAADje/y4=")</f>
        <v>#VALUE!</v>
      </c>
      <c r="AV182" t="e">
        <f>AND('Planilla_General_03-12-2012_9_3'!O2899,"AAAAADje/y8=")</f>
        <v>#VALUE!</v>
      </c>
      <c r="AW182">
        <f>IF('Planilla_General_03-12-2012_9_3'!2900:2900,"AAAAADje/zA=",0)</f>
        <v>0</v>
      </c>
      <c r="AX182" t="e">
        <f>AND('Planilla_General_03-12-2012_9_3'!A2900,"AAAAADje/zE=")</f>
        <v>#VALUE!</v>
      </c>
      <c r="AY182" t="e">
        <f>AND('Planilla_General_03-12-2012_9_3'!B2900,"AAAAADje/zI=")</f>
        <v>#VALUE!</v>
      </c>
      <c r="AZ182" t="e">
        <f>AND('Planilla_General_03-12-2012_9_3'!C2900,"AAAAADje/zM=")</f>
        <v>#VALUE!</v>
      </c>
      <c r="BA182" t="e">
        <f>AND('Planilla_General_03-12-2012_9_3'!D2900,"AAAAADje/zQ=")</f>
        <v>#VALUE!</v>
      </c>
      <c r="BB182" t="e">
        <f>AND('Planilla_General_03-12-2012_9_3'!E2900,"AAAAADje/zU=")</f>
        <v>#VALUE!</v>
      </c>
      <c r="BC182" t="e">
        <f>AND('Planilla_General_03-12-2012_9_3'!F2900,"AAAAADje/zY=")</f>
        <v>#VALUE!</v>
      </c>
      <c r="BD182" t="e">
        <f>AND('Planilla_General_03-12-2012_9_3'!G2900,"AAAAADje/zc=")</f>
        <v>#VALUE!</v>
      </c>
      <c r="BE182" t="e">
        <f>AND('Planilla_General_03-12-2012_9_3'!H2900,"AAAAADje/zg=")</f>
        <v>#VALUE!</v>
      </c>
      <c r="BF182" t="e">
        <f>AND('Planilla_General_03-12-2012_9_3'!I2900,"AAAAADje/zk=")</f>
        <v>#VALUE!</v>
      </c>
      <c r="BG182" t="e">
        <f>AND('Planilla_General_03-12-2012_9_3'!J2900,"AAAAADje/zo=")</f>
        <v>#VALUE!</v>
      </c>
      <c r="BH182" t="e">
        <f>AND('Planilla_General_03-12-2012_9_3'!K2900,"AAAAADje/zs=")</f>
        <v>#VALUE!</v>
      </c>
      <c r="BI182" t="e">
        <f>AND('Planilla_General_03-12-2012_9_3'!L2900,"AAAAADje/zw=")</f>
        <v>#VALUE!</v>
      </c>
      <c r="BJ182" t="e">
        <f>AND('Planilla_General_03-12-2012_9_3'!M2900,"AAAAADje/z0=")</f>
        <v>#VALUE!</v>
      </c>
      <c r="BK182" t="e">
        <f>AND('Planilla_General_03-12-2012_9_3'!N2900,"AAAAADje/z4=")</f>
        <v>#VALUE!</v>
      </c>
      <c r="BL182" t="e">
        <f>AND('Planilla_General_03-12-2012_9_3'!O2900,"AAAAADje/z8=")</f>
        <v>#VALUE!</v>
      </c>
      <c r="BM182">
        <f>IF('Planilla_General_03-12-2012_9_3'!2901:2901,"AAAAADje/0A=",0)</f>
        <v>0</v>
      </c>
      <c r="BN182" t="e">
        <f>AND('Planilla_General_03-12-2012_9_3'!A2901,"AAAAADje/0E=")</f>
        <v>#VALUE!</v>
      </c>
      <c r="BO182" t="e">
        <f>AND('Planilla_General_03-12-2012_9_3'!B2901,"AAAAADje/0I=")</f>
        <v>#VALUE!</v>
      </c>
      <c r="BP182" t="e">
        <f>AND('Planilla_General_03-12-2012_9_3'!C2901,"AAAAADje/0M=")</f>
        <v>#VALUE!</v>
      </c>
      <c r="BQ182" t="e">
        <f>AND('Planilla_General_03-12-2012_9_3'!D2901,"AAAAADje/0Q=")</f>
        <v>#VALUE!</v>
      </c>
      <c r="BR182" t="e">
        <f>AND('Planilla_General_03-12-2012_9_3'!E2901,"AAAAADje/0U=")</f>
        <v>#VALUE!</v>
      </c>
      <c r="BS182" t="e">
        <f>AND('Planilla_General_03-12-2012_9_3'!F2901,"AAAAADje/0Y=")</f>
        <v>#VALUE!</v>
      </c>
      <c r="BT182" t="e">
        <f>AND('Planilla_General_03-12-2012_9_3'!G2901,"AAAAADje/0c=")</f>
        <v>#VALUE!</v>
      </c>
      <c r="BU182" t="e">
        <f>AND('Planilla_General_03-12-2012_9_3'!H2901,"AAAAADje/0g=")</f>
        <v>#VALUE!</v>
      </c>
      <c r="BV182" t="e">
        <f>AND('Planilla_General_03-12-2012_9_3'!I2901,"AAAAADje/0k=")</f>
        <v>#VALUE!</v>
      </c>
      <c r="BW182" t="e">
        <f>AND('Planilla_General_03-12-2012_9_3'!J2901,"AAAAADje/0o=")</f>
        <v>#VALUE!</v>
      </c>
      <c r="BX182" t="e">
        <f>AND('Planilla_General_03-12-2012_9_3'!K2901,"AAAAADje/0s=")</f>
        <v>#VALUE!</v>
      </c>
      <c r="BY182" t="e">
        <f>AND('Planilla_General_03-12-2012_9_3'!L2901,"AAAAADje/0w=")</f>
        <v>#VALUE!</v>
      </c>
      <c r="BZ182" t="e">
        <f>AND('Planilla_General_03-12-2012_9_3'!M2901,"AAAAADje/00=")</f>
        <v>#VALUE!</v>
      </c>
      <c r="CA182" t="e">
        <f>AND('Planilla_General_03-12-2012_9_3'!N2901,"AAAAADje/04=")</f>
        <v>#VALUE!</v>
      </c>
      <c r="CB182" t="e">
        <f>AND('Planilla_General_03-12-2012_9_3'!O2901,"AAAAADje/08=")</f>
        <v>#VALUE!</v>
      </c>
      <c r="CC182">
        <f>IF('Planilla_General_03-12-2012_9_3'!2902:2902,"AAAAADje/1A=",0)</f>
        <v>0</v>
      </c>
      <c r="CD182" t="e">
        <f>AND('Planilla_General_03-12-2012_9_3'!A2902,"AAAAADje/1E=")</f>
        <v>#VALUE!</v>
      </c>
      <c r="CE182" t="e">
        <f>AND('Planilla_General_03-12-2012_9_3'!B2902,"AAAAADje/1I=")</f>
        <v>#VALUE!</v>
      </c>
      <c r="CF182" t="e">
        <f>AND('Planilla_General_03-12-2012_9_3'!C2902,"AAAAADje/1M=")</f>
        <v>#VALUE!</v>
      </c>
      <c r="CG182" t="e">
        <f>AND('Planilla_General_03-12-2012_9_3'!D2902,"AAAAADje/1Q=")</f>
        <v>#VALUE!</v>
      </c>
      <c r="CH182" t="e">
        <f>AND('Planilla_General_03-12-2012_9_3'!E2902,"AAAAADje/1U=")</f>
        <v>#VALUE!</v>
      </c>
      <c r="CI182" t="e">
        <f>AND('Planilla_General_03-12-2012_9_3'!F2902,"AAAAADje/1Y=")</f>
        <v>#VALUE!</v>
      </c>
      <c r="CJ182" t="e">
        <f>AND('Planilla_General_03-12-2012_9_3'!G2902,"AAAAADje/1c=")</f>
        <v>#VALUE!</v>
      </c>
      <c r="CK182" t="e">
        <f>AND('Planilla_General_03-12-2012_9_3'!H2902,"AAAAADje/1g=")</f>
        <v>#VALUE!</v>
      </c>
      <c r="CL182" t="e">
        <f>AND('Planilla_General_03-12-2012_9_3'!I2902,"AAAAADje/1k=")</f>
        <v>#VALUE!</v>
      </c>
      <c r="CM182" t="e">
        <f>AND('Planilla_General_03-12-2012_9_3'!J2902,"AAAAADje/1o=")</f>
        <v>#VALUE!</v>
      </c>
      <c r="CN182" t="e">
        <f>AND('Planilla_General_03-12-2012_9_3'!K2902,"AAAAADje/1s=")</f>
        <v>#VALUE!</v>
      </c>
      <c r="CO182" t="e">
        <f>AND('Planilla_General_03-12-2012_9_3'!L2902,"AAAAADje/1w=")</f>
        <v>#VALUE!</v>
      </c>
      <c r="CP182" t="e">
        <f>AND('Planilla_General_03-12-2012_9_3'!M2902,"AAAAADje/10=")</f>
        <v>#VALUE!</v>
      </c>
      <c r="CQ182" t="e">
        <f>AND('Planilla_General_03-12-2012_9_3'!N2902,"AAAAADje/14=")</f>
        <v>#VALUE!</v>
      </c>
      <c r="CR182" t="e">
        <f>AND('Planilla_General_03-12-2012_9_3'!O2902,"AAAAADje/18=")</f>
        <v>#VALUE!</v>
      </c>
      <c r="CS182">
        <f>IF('Planilla_General_03-12-2012_9_3'!2903:2903,"AAAAADje/2A=",0)</f>
        <v>0</v>
      </c>
      <c r="CT182" t="e">
        <f>AND('Planilla_General_03-12-2012_9_3'!A2903,"AAAAADje/2E=")</f>
        <v>#VALUE!</v>
      </c>
      <c r="CU182" t="e">
        <f>AND('Planilla_General_03-12-2012_9_3'!B2903,"AAAAADje/2I=")</f>
        <v>#VALUE!</v>
      </c>
      <c r="CV182" t="e">
        <f>AND('Planilla_General_03-12-2012_9_3'!C2903,"AAAAADje/2M=")</f>
        <v>#VALUE!</v>
      </c>
      <c r="CW182" t="e">
        <f>AND('Planilla_General_03-12-2012_9_3'!D2903,"AAAAADje/2Q=")</f>
        <v>#VALUE!</v>
      </c>
      <c r="CX182" t="e">
        <f>AND('Planilla_General_03-12-2012_9_3'!E2903,"AAAAADje/2U=")</f>
        <v>#VALUE!</v>
      </c>
      <c r="CY182" t="e">
        <f>AND('Planilla_General_03-12-2012_9_3'!F2903,"AAAAADje/2Y=")</f>
        <v>#VALUE!</v>
      </c>
      <c r="CZ182" t="e">
        <f>AND('Planilla_General_03-12-2012_9_3'!G2903,"AAAAADje/2c=")</f>
        <v>#VALUE!</v>
      </c>
      <c r="DA182" t="e">
        <f>AND('Planilla_General_03-12-2012_9_3'!H2903,"AAAAADje/2g=")</f>
        <v>#VALUE!</v>
      </c>
      <c r="DB182" t="e">
        <f>AND('Planilla_General_03-12-2012_9_3'!I2903,"AAAAADje/2k=")</f>
        <v>#VALUE!</v>
      </c>
      <c r="DC182" t="e">
        <f>AND('Planilla_General_03-12-2012_9_3'!J2903,"AAAAADje/2o=")</f>
        <v>#VALUE!</v>
      </c>
      <c r="DD182" t="e">
        <f>AND('Planilla_General_03-12-2012_9_3'!K2903,"AAAAADje/2s=")</f>
        <v>#VALUE!</v>
      </c>
      <c r="DE182" t="e">
        <f>AND('Planilla_General_03-12-2012_9_3'!L2903,"AAAAADje/2w=")</f>
        <v>#VALUE!</v>
      </c>
      <c r="DF182" t="e">
        <f>AND('Planilla_General_03-12-2012_9_3'!M2903,"AAAAADje/20=")</f>
        <v>#VALUE!</v>
      </c>
      <c r="DG182" t="e">
        <f>AND('Planilla_General_03-12-2012_9_3'!N2903,"AAAAADje/24=")</f>
        <v>#VALUE!</v>
      </c>
      <c r="DH182" t="e">
        <f>AND('Planilla_General_03-12-2012_9_3'!O2903,"AAAAADje/28=")</f>
        <v>#VALUE!</v>
      </c>
      <c r="DI182">
        <f>IF('Planilla_General_03-12-2012_9_3'!2904:2904,"AAAAADje/3A=",0)</f>
        <v>0</v>
      </c>
      <c r="DJ182" t="e">
        <f>AND('Planilla_General_03-12-2012_9_3'!A2904,"AAAAADje/3E=")</f>
        <v>#VALUE!</v>
      </c>
      <c r="DK182" t="e">
        <f>AND('Planilla_General_03-12-2012_9_3'!B2904,"AAAAADje/3I=")</f>
        <v>#VALUE!</v>
      </c>
      <c r="DL182" t="e">
        <f>AND('Planilla_General_03-12-2012_9_3'!C2904,"AAAAADje/3M=")</f>
        <v>#VALUE!</v>
      </c>
      <c r="DM182" t="e">
        <f>AND('Planilla_General_03-12-2012_9_3'!D2904,"AAAAADje/3Q=")</f>
        <v>#VALUE!</v>
      </c>
      <c r="DN182" t="e">
        <f>AND('Planilla_General_03-12-2012_9_3'!E2904,"AAAAADje/3U=")</f>
        <v>#VALUE!</v>
      </c>
      <c r="DO182" t="e">
        <f>AND('Planilla_General_03-12-2012_9_3'!F2904,"AAAAADje/3Y=")</f>
        <v>#VALUE!</v>
      </c>
      <c r="DP182" t="e">
        <f>AND('Planilla_General_03-12-2012_9_3'!G2904,"AAAAADje/3c=")</f>
        <v>#VALUE!</v>
      </c>
      <c r="DQ182" t="e">
        <f>AND('Planilla_General_03-12-2012_9_3'!H2904,"AAAAADje/3g=")</f>
        <v>#VALUE!</v>
      </c>
      <c r="DR182" t="e">
        <f>AND('Planilla_General_03-12-2012_9_3'!I2904,"AAAAADje/3k=")</f>
        <v>#VALUE!</v>
      </c>
      <c r="DS182" t="e">
        <f>AND('Planilla_General_03-12-2012_9_3'!J2904,"AAAAADje/3o=")</f>
        <v>#VALUE!</v>
      </c>
      <c r="DT182" t="e">
        <f>AND('Planilla_General_03-12-2012_9_3'!K2904,"AAAAADje/3s=")</f>
        <v>#VALUE!</v>
      </c>
      <c r="DU182" t="e">
        <f>AND('Planilla_General_03-12-2012_9_3'!L2904,"AAAAADje/3w=")</f>
        <v>#VALUE!</v>
      </c>
      <c r="DV182" t="e">
        <f>AND('Planilla_General_03-12-2012_9_3'!M2904,"AAAAADje/30=")</f>
        <v>#VALUE!</v>
      </c>
      <c r="DW182" t="e">
        <f>AND('Planilla_General_03-12-2012_9_3'!N2904,"AAAAADje/34=")</f>
        <v>#VALUE!</v>
      </c>
      <c r="DX182" t="e">
        <f>AND('Planilla_General_03-12-2012_9_3'!O2904,"AAAAADje/38=")</f>
        <v>#VALUE!</v>
      </c>
      <c r="DY182">
        <f>IF('Planilla_General_03-12-2012_9_3'!2905:2905,"AAAAADje/4A=",0)</f>
        <v>0</v>
      </c>
      <c r="DZ182" t="e">
        <f>AND('Planilla_General_03-12-2012_9_3'!A2905,"AAAAADje/4E=")</f>
        <v>#VALUE!</v>
      </c>
      <c r="EA182" t="e">
        <f>AND('Planilla_General_03-12-2012_9_3'!B2905,"AAAAADje/4I=")</f>
        <v>#VALUE!</v>
      </c>
      <c r="EB182" t="e">
        <f>AND('Planilla_General_03-12-2012_9_3'!C2905,"AAAAADje/4M=")</f>
        <v>#VALUE!</v>
      </c>
      <c r="EC182" t="e">
        <f>AND('Planilla_General_03-12-2012_9_3'!D2905,"AAAAADje/4Q=")</f>
        <v>#VALUE!</v>
      </c>
      <c r="ED182" t="e">
        <f>AND('Planilla_General_03-12-2012_9_3'!E2905,"AAAAADje/4U=")</f>
        <v>#VALUE!</v>
      </c>
      <c r="EE182" t="e">
        <f>AND('Planilla_General_03-12-2012_9_3'!F2905,"AAAAADje/4Y=")</f>
        <v>#VALUE!</v>
      </c>
      <c r="EF182" t="e">
        <f>AND('Planilla_General_03-12-2012_9_3'!G2905,"AAAAADje/4c=")</f>
        <v>#VALUE!</v>
      </c>
      <c r="EG182" t="e">
        <f>AND('Planilla_General_03-12-2012_9_3'!H2905,"AAAAADje/4g=")</f>
        <v>#VALUE!</v>
      </c>
      <c r="EH182" t="e">
        <f>AND('Planilla_General_03-12-2012_9_3'!I2905,"AAAAADje/4k=")</f>
        <v>#VALUE!</v>
      </c>
      <c r="EI182" t="e">
        <f>AND('Planilla_General_03-12-2012_9_3'!J2905,"AAAAADje/4o=")</f>
        <v>#VALUE!</v>
      </c>
      <c r="EJ182" t="e">
        <f>AND('Planilla_General_03-12-2012_9_3'!K2905,"AAAAADje/4s=")</f>
        <v>#VALUE!</v>
      </c>
      <c r="EK182" t="e">
        <f>AND('Planilla_General_03-12-2012_9_3'!L2905,"AAAAADje/4w=")</f>
        <v>#VALUE!</v>
      </c>
      <c r="EL182" t="e">
        <f>AND('Planilla_General_03-12-2012_9_3'!M2905,"AAAAADje/40=")</f>
        <v>#VALUE!</v>
      </c>
      <c r="EM182" t="e">
        <f>AND('Planilla_General_03-12-2012_9_3'!N2905,"AAAAADje/44=")</f>
        <v>#VALUE!</v>
      </c>
      <c r="EN182" t="e">
        <f>AND('Planilla_General_03-12-2012_9_3'!O2905,"AAAAADje/48=")</f>
        <v>#VALUE!</v>
      </c>
      <c r="EO182">
        <f>IF('Planilla_General_03-12-2012_9_3'!2906:2906,"AAAAADje/5A=",0)</f>
        <v>0</v>
      </c>
      <c r="EP182" t="e">
        <f>AND('Planilla_General_03-12-2012_9_3'!A2906,"AAAAADje/5E=")</f>
        <v>#VALUE!</v>
      </c>
      <c r="EQ182" t="e">
        <f>AND('Planilla_General_03-12-2012_9_3'!B2906,"AAAAADje/5I=")</f>
        <v>#VALUE!</v>
      </c>
      <c r="ER182" t="e">
        <f>AND('Planilla_General_03-12-2012_9_3'!C2906,"AAAAADje/5M=")</f>
        <v>#VALUE!</v>
      </c>
      <c r="ES182" t="e">
        <f>AND('Planilla_General_03-12-2012_9_3'!D2906,"AAAAADje/5Q=")</f>
        <v>#VALUE!</v>
      </c>
      <c r="ET182" t="e">
        <f>AND('Planilla_General_03-12-2012_9_3'!E2906,"AAAAADje/5U=")</f>
        <v>#VALUE!</v>
      </c>
      <c r="EU182" t="e">
        <f>AND('Planilla_General_03-12-2012_9_3'!F2906,"AAAAADje/5Y=")</f>
        <v>#VALUE!</v>
      </c>
      <c r="EV182" t="e">
        <f>AND('Planilla_General_03-12-2012_9_3'!G2906,"AAAAADje/5c=")</f>
        <v>#VALUE!</v>
      </c>
      <c r="EW182" t="e">
        <f>AND('Planilla_General_03-12-2012_9_3'!H2906,"AAAAADje/5g=")</f>
        <v>#VALUE!</v>
      </c>
      <c r="EX182" t="e">
        <f>AND('Planilla_General_03-12-2012_9_3'!I2906,"AAAAADje/5k=")</f>
        <v>#VALUE!</v>
      </c>
      <c r="EY182" t="e">
        <f>AND('Planilla_General_03-12-2012_9_3'!J2906,"AAAAADje/5o=")</f>
        <v>#VALUE!</v>
      </c>
      <c r="EZ182" t="e">
        <f>AND('Planilla_General_03-12-2012_9_3'!K2906,"AAAAADje/5s=")</f>
        <v>#VALUE!</v>
      </c>
      <c r="FA182" t="e">
        <f>AND('Planilla_General_03-12-2012_9_3'!L2906,"AAAAADje/5w=")</f>
        <v>#VALUE!</v>
      </c>
      <c r="FB182" t="e">
        <f>AND('Planilla_General_03-12-2012_9_3'!M2906,"AAAAADje/50=")</f>
        <v>#VALUE!</v>
      </c>
      <c r="FC182" t="e">
        <f>AND('Planilla_General_03-12-2012_9_3'!N2906,"AAAAADje/54=")</f>
        <v>#VALUE!</v>
      </c>
      <c r="FD182" t="e">
        <f>AND('Planilla_General_03-12-2012_9_3'!O2906,"AAAAADje/58=")</f>
        <v>#VALUE!</v>
      </c>
      <c r="FE182">
        <f>IF('Planilla_General_03-12-2012_9_3'!2907:2907,"AAAAADje/6A=",0)</f>
        <v>0</v>
      </c>
      <c r="FF182" t="e">
        <f>AND('Planilla_General_03-12-2012_9_3'!A2907,"AAAAADje/6E=")</f>
        <v>#VALUE!</v>
      </c>
      <c r="FG182" t="e">
        <f>AND('Planilla_General_03-12-2012_9_3'!B2907,"AAAAADje/6I=")</f>
        <v>#VALUE!</v>
      </c>
      <c r="FH182" t="e">
        <f>AND('Planilla_General_03-12-2012_9_3'!C2907,"AAAAADje/6M=")</f>
        <v>#VALUE!</v>
      </c>
      <c r="FI182" t="e">
        <f>AND('Planilla_General_03-12-2012_9_3'!D2907,"AAAAADje/6Q=")</f>
        <v>#VALUE!</v>
      </c>
      <c r="FJ182" t="e">
        <f>AND('Planilla_General_03-12-2012_9_3'!E2907,"AAAAADje/6U=")</f>
        <v>#VALUE!</v>
      </c>
      <c r="FK182" t="e">
        <f>AND('Planilla_General_03-12-2012_9_3'!F2907,"AAAAADje/6Y=")</f>
        <v>#VALUE!</v>
      </c>
      <c r="FL182" t="e">
        <f>AND('Planilla_General_03-12-2012_9_3'!G2907,"AAAAADje/6c=")</f>
        <v>#VALUE!</v>
      </c>
      <c r="FM182" t="e">
        <f>AND('Planilla_General_03-12-2012_9_3'!H2907,"AAAAADje/6g=")</f>
        <v>#VALUE!</v>
      </c>
      <c r="FN182" t="e">
        <f>AND('Planilla_General_03-12-2012_9_3'!I2907,"AAAAADje/6k=")</f>
        <v>#VALUE!</v>
      </c>
      <c r="FO182" t="e">
        <f>AND('Planilla_General_03-12-2012_9_3'!J2907,"AAAAADje/6o=")</f>
        <v>#VALUE!</v>
      </c>
      <c r="FP182" t="e">
        <f>AND('Planilla_General_03-12-2012_9_3'!K2907,"AAAAADje/6s=")</f>
        <v>#VALUE!</v>
      </c>
      <c r="FQ182" t="e">
        <f>AND('Planilla_General_03-12-2012_9_3'!L2907,"AAAAADje/6w=")</f>
        <v>#VALUE!</v>
      </c>
      <c r="FR182" t="e">
        <f>AND('Planilla_General_03-12-2012_9_3'!M2907,"AAAAADje/60=")</f>
        <v>#VALUE!</v>
      </c>
      <c r="FS182" t="e">
        <f>AND('Planilla_General_03-12-2012_9_3'!N2907,"AAAAADje/64=")</f>
        <v>#VALUE!</v>
      </c>
      <c r="FT182" t="e">
        <f>AND('Planilla_General_03-12-2012_9_3'!O2907,"AAAAADje/68=")</f>
        <v>#VALUE!</v>
      </c>
      <c r="FU182">
        <f>IF('Planilla_General_03-12-2012_9_3'!2908:2908,"AAAAADje/7A=",0)</f>
        <v>0</v>
      </c>
      <c r="FV182" t="e">
        <f>AND('Planilla_General_03-12-2012_9_3'!A2908,"AAAAADje/7E=")</f>
        <v>#VALUE!</v>
      </c>
      <c r="FW182" t="e">
        <f>AND('Planilla_General_03-12-2012_9_3'!B2908,"AAAAADje/7I=")</f>
        <v>#VALUE!</v>
      </c>
      <c r="FX182" t="e">
        <f>AND('Planilla_General_03-12-2012_9_3'!C2908,"AAAAADje/7M=")</f>
        <v>#VALUE!</v>
      </c>
      <c r="FY182" t="e">
        <f>AND('Planilla_General_03-12-2012_9_3'!D2908,"AAAAADje/7Q=")</f>
        <v>#VALUE!</v>
      </c>
      <c r="FZ182" t="e">
        <f>AND('Planilla_General_03-12-2012_9_3'!E2908,"AAAAADje/7U=")</f>
        <v>#VALUE!</v>
      </c>
      <c r="GA182" t="e">
        <f>AND('Planilla_General_03-12-2012_9_3'!F2908,"AAAAADje/7Y=")</f>
        <v>#VALUE!</v>
      </c>
      <c r="GB182" t="e">
        <f>AND('Planilla_General_03-12-2012_9_3'!G2908,"AAAAADje/7c=")</f>
        <v>#VALUE!</v>
      </c>
      <c r="GC182" t="e">
        <f>AND('Planilla_General_03-12-2012_9_3'!H2908,"AAAAADje/7g=")</f>
        <v>#VALUE!</v>
      </c>
      <c r="GD182" t="e">
        <f>AND('Planilla_General_03-12-2012_9_3'!I2908,"AAAAADje/7k=")</f>
        <v>#VALUE!</v>
      </c>
      <c r="GE182" t="e">
        <f>AND('Planilla_General_03-12-2012_9_3'!J2908,"AAAAADje/7o=")</f>
        <v>#VALUE!</v>
      </c>
      <c r="GF182" t="e">
        <f>AND('Planilla_General_03-12-2012_9_3'!K2908,"AAAAADje/7s=")</f>
        <v>#VALUE!</v>
      </c>
      <c r="GG182" t="e">
        <f>AND('Planilla_General_03-12-2012_9_3'!L2908,"AAAAADje/7w=")</f>
        <v>#VALUE!</v>
      </c>
      <c r="GH182" t="e">
        <f>AND('Planilla_General_03-12-2012_9_3'!M2908,"AAAAADje/70=")</f>
        <v>#VALUE!</v>
      </c>
      <c r="GI182" t="e">
        <f>AND('Planilla_General_03-12-2012_9_3'!N2908,"AAAAADje/74=")</f>
        <v>#VALUE!</v>
      </c>
      <c r="GJ182" t="e">
        <f>AND('Planilla_General_03-12-2012_9_3'!O2908,"AAAAADje/78=")</f>
        <v>#VALUE!</v>
      </c>
      <c r="GK182">
        <f>IF('Planilla_General_03-12-2012_9_3'!2909:2909,"AAAAADje/8A=",0)</f>
        <v>0</v>
      </c>
      <c r="GL182" t="e">
        <f>AND('Planilla_General_03-12-2012_9_3'!A2909,"AAAAADje/8E=")</f>
        <v>#VALUE!</v>
      </c>
      <c r="GM182" t="e">
        <f>AND('Planilla_General_03-12-2012_9_3'!B2909,"AAAAADje/8I=")</f>
        <v>#VALUE!</v>
      </c>
      <c r="GN182" t="e">
        <f>AND('Planilla_General_03-12-2012_9_3'!C2909,"AAAAADje/8M=")</f>
        <v>#VALUE!</v>
      </c>
      <c r="GO182" t="e">
        <f>AND('Planilla_General_03-12-2012_9_3'!D2909,"AAAAADje/8Q=")</f>
        <v>#VALUE!</v>
      </c>
      <c r="GP182" t="e">
        <f>AND('Planilla_General_03-12-2012_9_3'!E2909,"AAAAADje/8U=")</f>
        <v>#VALUE!</v>
      </c>
      <c r="GQ182" t="e">
        <f>AND('Planilla_General_03-12-2012_9_3'!F2909,"AAAAADje/8Y=")</f>
        <v>#VALUE!</v>
      </c>
      <c r="GR182" t="e">
        <f>AND('Planilla_General_03-12-2012_9_3'!G2909,"AAAAADje/8c=")</f>
        <v>#VALUE!</v>
      </c>
      <c r="GS182" t="e">
        <f>AND('Planilla_General_03-12-2012_9_3'!H2909,"AAAAADje/8g=")</f>
        <v>#VALUE!</v>
      </c>
      <c r="GT182" t="e">
        <f>AND('Planilla_General_03-12-2012_9_3'!I2909,"AAAAADje/8k=")</f>
        <v>#VALUE!</v>
      </c>
      <c r="GU182" t="e">
        <f>AND('Planilla_General_03-12-2012_9_3'!J2909,"AAAAADje/8o=")</f>
        <v>#VALUE!</v>
      </c>
      <c r="GV182" t="e">
        <f>AND('Planilla_General_03-12-2012_9_3'!K2909,"AAAAADje/8s=")</f>
        <v>#VALUE!</v>
      </c>
      <c r="GW182" t="e">
        <f>AND('Planilla_General_03-12-2012_9_3'!L2909,"AAAAADje/8w=")</f>
        <v>#VALUE!</v>
      </c>
      <c r="GX182" t="e">
        <f>AND('Planilla_General_03-12-2012_9_3'!M2909,"AAAAADje/80=")</f>
        <v>#VALUE!</v>
      </c>
      <c r="GY182" t="e">
        <f>AND('Planilla_General_03-12-2012_9_3'!N2909,"AAAAADje/84=")</f>
        <v>#VALUE!</v>
      </c>
      <c r="GZ182" t="e">
        <f>AND('Planilla_General_03-12-2012_9_3'!O2909,"AAAAADje/88=")</f>
        <v>#VALUE!</v>
      </c>
      <c r="HA182">
        <f>IF('Planilla_General_03-12-2012_9_3'!2910:2910,"AAAAADje/9A=",0)</f>
        <v>0</v>
      </c>
      <c r="HB182" t="e">
        <f>AND('Planilla_General_03-12-2012_9_3'!A2910,"AAAAADje/9E=")</f>
        <v>#VALUE!</v>
      </c>
      <c r="HC182" t="e">
        <f>AND('Planilla_General_03-12-2012_9_3'!B2910,"AAAAADje/9I=")</f>
        <v>#VALUE!</v>
      </c>
      <c r="HD182" t="e">
        <f>AND('Planilla_General_03-12-2012_9_3'!C2910,"AAAAADje/9M=")</f>
        <v>#VALUE!</v>
      </c>
      <c r="HE182" t="e">
        <f>AND('Planilla_General_03-12-2012_9_3'!D2910,"AAAAADje/9Q=")</f>
        <v>#VALUE!</v>
      </c>
      <c r="HF182" t="e">
        <f>AND('Planilla_General_03-12-2012_9_3'!E2910,"AAAAADje/9U=")</f>
        <v>#VALUE!</v>
      </c>
      <c r="HG182" t="e">
        <f>AND('Planilla_General_03-12-2012_9_3'!F2910,"AAAAADje/9Y=")</f>
        <v>#VALUE!</v>
      </c>
      <c r="HH182" t="e">
        <f>AND('Planilla_General_03-12-2012_9_3'!G2910,"AAAAADje/9c=")</f>
        <v>#VALUE!</v>
      </c>
      <c r="HI182" t="e">
        <f>AND('Planilla_General_03-12-2012_9_3'!H2910,"AAAAADje/9g=")</f>
        <v>#VALUE!</v>
      </c>
      <c r="HJ182" t="e">
        <f>AND('Planilla_General_03-12-2012_9_3'!I2910,"AAAAADje/9k=")</f>
        <v>#VALUE!</v>
      </c>
      <c r="HK182" t="e">
        <f>AND('Planilla_General_03-12-2012_9_3'!J2910,"AAAAADje/9o=")</f>
        <v>#VALUE!</v>
      </c>
      <c r="HL182" t="e">
        <f>AND('Planilla_General_03-12-2012_9_3'!K2910,"AAAAADje/9s=")</f>
        <v>#VALUE!</v>
      </c>
      <c r="HM182" t="e">
        <f>AND('Planilla_General_03-12-2012_9_3'!L2910,"AAAAADje/9w=")</f>
        <v>#VALUE!</v>
      </c>
      <c r="HN182" t="e">
        <f>AND('Planilla_General_03-12-2012_9_3'!M2910,"AAAAADje/90=")</f>
        <v>#VALUE!</v>
      </c>
      <c r="HO182" t="e">
        <f>AND('Planilla_General_03-12-2012_9_3'!N2910,"AAAAADje/94=")</f>
        <v>#VALUE!</v>
      </c>
      <c r="HP182" t="e">
        <f>AND('Planilla_General_03-12-2012_9_3'!O2910,"AAAAADje/98=")</f>
        <v>#VALUE!</v>
      </c>
      <c r="HQ182">
        <f>IF('Planilla_General_03-12-2012_9_3'!2911:2911,"AAAAADje/+A=",0)</f>
        <v>0</v>
      </c>
      <c r="HR182" t="e">
        <f>AND('Planilla_General_03-12-2012_9_3'!A2911,"AAAAADje/+E=")</f>
        <v>#VALUE!</v>
      </c>
      <c r="HS182" t="e">
        <f>AND('Planilla_General_03-12-2012_9_3'!B2911,"AAAAADje/+I=")</f>
        <v>#VALUE!</v>
      </c>
      <c r="HT182" t="e">
        <f>AND('Planilla_General_03-12-2012_9_3'!C2911,"AAAAADje/+M=")</f>
        <v>#VALUE!</v>
      </c>
      <c r="HU182" t="e">
        <f>AND('Planilla_General_03-12-2012_9_3'!D2911,"AAAAADje/+Q=")</f>
        <v>#VALUE!</v>
      </c>
      <c r="HV182" t="e">
        <f>AND('Planilla_General_03-12-2012_9_3'!E2911,"AAAAADje/+U=")</f>
        <v>#VALUE!</v>
      </c>
      <c r="HW182" t="e">
        <f>AND('Planilla_General_03-12-2012_9_3'!F2911,"AAAAADje/+Y=")</f>
        <v>#VALUE!</v>
      </c>
      <c r="HX182" t="e">
        <f>AND('Planilla_General_03-12-2012_9_3'!G2911,"AAAAADje/+c=")</f>
        <v>#VALUE!</v>
      </c>
      <c r="HY182" t="e">
        <f>AND('Planilla_General_03-12-2012_9_3'!H2911,"AAAAADje/+g=")</f>
        <v>#VALUE!</v>
      </c>
      <c r="HZ182" t="e">
        <f>AND('Planilla_General_03-12-2012_9_3'!I2911,"AAAAADje/+k=")</f>
        <v>#VALUE!</v>
      </c>
      <c r="IA182" t="e">
        <f>AND('Planilla_General_03-12-2012_9_3'!J2911,"AAAAADje/+o=")</f>
        <v>#VALUE!</v>
      </c>
      <c r="IB182" t="e">
        <f>AND('Planilla_General_03-12-2012_9_3'!K2911,"AAAAADje/+s=")</f>
        <v>#VALUE!</v>
      </c>
      <c r="IC182" t="e">
        <f>AND('Planilla_General_03-12-2012_9_3'!L2911,"AAAAADje/+w=")</f>
        <v>#VALUE!</v>
      </c>
      <c r="ID182" t="e">
        <f>AND('Planilla_General_03-12-2012_9_3'!M2911,"AAAAADje/+0=")</f>
        <v>#VALUE!</v>
      </c>
      <c r="IE182" t="e">
        <f>AND('Planilla_General_03-12-2012_9_3'!N2911,"AAAAADje/+4=")</f>
        <v>#VALUE!</v>
      </c>
      <c r="IF182" t="e">
        <f>AND('Planilla_General_03-12-2012_9_3'!O2911,"AAAAADje/+8=")</f>
        <v>#VALUE!</v>
      </c>
      <c r="IG182">
        <f>IF('Planilla_General_03-12-2012_9_3'!2912:2912,"AAAAADje//A=",0)</f>
        <v>0</v>
      </c>
      <c r="IH182" t="e">
        <f>AND('Planilla_General_03-12-2012_9_3'!A2912,"AAAAADje//E=")</f>
        <v>#VALUE!</v>
      </c>
      <c r="II182" t="e">
        <f>AND('Planilla_General_03-12-2012_9_3'!B2912,"AAAAADje//I=")</f>
        <v>#VALUE!</v>
      </c>
      <c r="IJ182" t="e">
        <f>AND('Planilla_General_03-12-2012_9_3'!C2912,"AAAAADje//M=")</f>
        <v>#VALUE!</v>
      </c>
      <c r="IK182" t="e">
        <f>AND('Planilla_General_03-12-2012_9_3'!D2912,"AAAAADje//Q=")</f>
        <v>#VALUE!</v>
      </c>
      <c r="IL182" t="e">
        <f>AND('Planilla_General_03-12-2012_9_3'!E2912,"AAAAADje//U=")</f>
        <v>#VALUE!</v>
      </c>
      <c r="IM182" t="e">
        <f>AND('Planilla_General_03-12-2012_9_3'!F2912,"AAAAADje//Y=")</f>
        <v>#VALUE!</v>
      </c>
      <c r="IN182" t="e">
        <f>AND('Planilla_General_03-12-2012_9_3'!G2912,"AAAAADje//c=")</f>
        <v>#VALUE!</v>
      </c>
      <c r="IO182" t="e">
        <f>AND('Planilla_General_03-12-2012_9_3'!H2912,"AAAAADje//g=")</f>
        <v>#VALUE!</v>
      </c>
      <c r="IP182" t="e">
        <f>AND('Planilla_General_03-12-2012_9_3'!I2912,"AAAAADje//k=")</f>
        <v>#VALUE!</v>
      </c>
      <c r="IQ182" t="e">
        <f>AND('Planilla_General_03-12-2012_9_3'!J2912,"AAAAADje//o=")</f>
        <v>#VALUE!</v>
      </c>
      <c r="IR182" t="e">
        <f>AND('Planilla_General_03-12-2012_9_3'!K2912,"AAAAADje//s=")</f>
        <v>#VALUE!</v>
      </c>
      <c r="IS182" t="e">
        <f>AND('Planilla_General_03-12-2012_9_3'!L2912,"AAAAADje//w=")</f>
        <v>#VALUE!</v>
      </c>
      <c r="IT182" t="e">
        <f>AND('Planilla_General_03-12-2012_9_3'!M2912,"AAAAADje//0=")</f>
        <v>#VALUE!</v>
      </c>
      <c r="IU182" t="e">
        <f>AND('Planilla_General_03-12-2012_9_3'!N2912,"AAAAADje//4=")</f>
        <v>#VALUE!</v>
      </c>
      <c r="IV182" t="e">
        <f>AND('Planilla_General_03-12-2012_9_3'!O2912,"AAAAADje//8=")</f>
        <v>#VALUE!</v>
      </c>
    </row>
    <row r="183" spans="1:256" x14ac:dyDescent="0.25">
      <c r="A183" t="e">
        <f>IF('Planilla_General_03-12-2012_9_3'!2913:2913,"AAAAAHZ/2wA=",0)</f>
        <v>#VALUE!</v>
      </c>
      <c r="B183" t="e">
        <f>AND('Planilla_General_03-12-2012_9_3'!A2913,"AAAAAHZ/2wE=")</f>
        <v>#VALUE!</v>
      </c>
      <c r="C183" t="e">
        <f>AND('Planilla_General_03-12-2012_9_3'!B2913,"AAAAAHZ/2wI=")</f>
        <v>#VALUE!</v>
      </c>
      <c r="D183" t="e">
        <f>AND('Planilla_General_03-12-2012_9_3'!C2913,"AAAAAHZ/2wM=")</f>
        <v>#VALUE!</v>
      </c>
      <c r="E183" t="e">
        <f>AND('Planilla_General_03-12-2012_9_3'!D2913,"AAAAAHZ/2wQ=")</f>
        <v>#VALUE!</v>
      </c>
      <c r="F183" t="e">
        <f>AND('Planilla_General_03-12-2012_9_3'!E2913,"AAAAAHZ/2wU=")</f>
        <v>#VALUE!</v>
      </c>
      <c r="G183" t="e">
        <f>AND('Planilla_General_03-12-2012_9_3'!F2913,"AAAAAHZ/2wY=")</f>
        <v>#VALUE!</v>
      </c>
      <c r="H183" t="e">
        <f>AND('Planilla_General_03-12-2012_9_3'!G2913,"AAAAAHZ/2wc=")</f>
        <v>#VALUE!</v>
      </c>
      <c r="I183" t="e">
        <f>AND('Planilla_General_03-12-2012_9_3'!H2913,"AAAAAHZ/2wg=")</f>
        <v>#VALUE!</v>
      </c>
      <c r="J183" t="e">
        <f>AND('Planilla_General_03-12-2012_9_3'!I2913,"AAAAAHZ/2wk=")</f>
        <v>#VALUE!</v>
      </c>
      <c r="K183" t="e">
        <f>AND('Planilla_General_03-12-2012_9_3'!J2913,"AAAAAHZ/2wo=")</f>
        <v>#VALUE!</v>
      </c>
      <c r="L183" t="e">
        <f>AND('Planilla_General_03-12-2012_9_3'!K2913,"AAAAAHZ/2ws=")</f>
        <v>#VALUE!</v>
      </c>
      <c r="M183" t="e">
        <f>AND('Planilla_General_03-12-2012_9_3'!L2913,"AAAAAHZ/2ww=")</f>
        <v>#VALUE!</v>
      </c>
      <c r="N183" t="e">
        <f>AND('Planilla_General_03-12-2012_9_3'!M2913,"AAAAAHZ/2w0=")</f>
        <v>#VALUE!</v>
      </c>
      <c r="O183" t="e">
        <f>AND('Planilla_General_03-12-2012_9_3'!N2913,"AAAAAHZ/2w4=")</f>
        <v>#VALUE!</v>
      </c>
      <c r="P183" t="e">
        <f>AND('Planilla_General_03-12-2012_9_3'!O2913,"AAAAAHZ/2w8=")</f>
        <v>#VALUE!</v>
      </c>
      <c r="Q183">
        <f>IF('Planilla_General_03-12-2012_9_3'!2914:2914,"AAAAAHZ/2xA=",0)</f>
        <v>0</v>
      </c>
      <c r="R183" t="e">
        <f>AND('Planilla_General_03-12-2012_9_3'!A2914,"AAAAAHZ/2xE=")</f>
        <v>#VALUE!</v>
      </c>
      <c r="S183" t="e">
        <f>AND('Planilla_General_03-12-2012_9_3'!B2914,"AAAAAHZ/2xI=")</f>
        <v>#VALUE!</v>
      </c>
      <c r="T183" t="e">
        <f>AND('Planilla_General_03-12-2012_9_3'!C2914,"AAAAAHZ/2xM=")</f>
        <v>#VALUE!</v>
      </c>
      <c r="U183" t="e">
        <f>AND('Planilla_General_03-12-2012_9_3'!D2914,"AAAAAHZ/2xQ=")</f>
        <v>#VALUE!</v>
      </c>
      <c r="V183" t="e">
        <f>AND('Planilla_General_03-12-2012_9_3'!E2914,"AAAAAHZ/2xU=")</f>
        <v>#VALUE!</v>
      </c>
      <c r="W183" t="e">
        <f>AND('Planilla_General_03-12-2012_9_3'!F2914,"AAAAAHZ/2xY=")</f>
        <v>#VALUE!</v>
      </c>
      <c r="X183" t="e">
        <f>AND('Planilla_General_03-12-2012_9_3'!G2914,"AAAAAHZ/2xc=")</f>
        <v>#VALUE!</v>
      </c>
      <c r="Y183" t="e">
        <f>AND('Planilla_General_03-12-2012_9_3'!H2914,"AAAAAHZ/2xg=")</f>
        <v>#VALUE!</v>
      </c>
      <c r="Z183" t="e">
        <f>AND('Planilla_General_03-12-2012_9_3'!I2914,"AAAAAHZ/2xk=")</f>
        <v>#VALUE!</v>
      </c>
      <c r="AA183" t="e">
        <f>AND('Planilla_General_03-12-2012_9_3'!J2914,"AAAAAHZ/2xo=")</f>
        <v>#VALUE!</v>
      </c>
      <c r="AB183" t="e">
        <f>AND('Planilla_General_03-12-2012_9_3'!K2914,"AAAAAHZ/2xs=")</f>
        <v>#VALUE!</v>
      </c>
      <c r="AC183" t="e">
        <f>AND('Planilla_General_03-12-2012_9_3'!L2914,"AAAAAHZ/2xw=")</f>
        <v>#VALUE!</v>
      </c>
      <c r="AD183" t="e">
        <f>AND('Planilla_General_03-12-2012_9_3'!M2914,"AAAAAHZ/2x0=")</f>
        <v>#VALUE!</v>
      </c>
      <c r="AE183" t="e">
        <f>AND('Planilla_General_03-12-2012_9_3'!N2914,"AAAAAHZ/2x4=")</f>
        <v>#VALUE!</v>
      </c>
      <c r="AF183" t="e">
        <f>AND('Planilla_General_03-12-2012_9_3'!O2914,"AAAAAHZ/2x8=")</f>
        <v>#VALUE!</v>
      </c>
      <c r="AG183">
        <f>IF('Planilla_General_03-12-2012_9_3'!2915:2915,"AAAAAHZ/2yA=",0)</f>
        <v>0</v>
      </c>
      <c r="AH183" t="e">
        <f>AND('Planilla_General_03-12-2012_9_3'!A2915,"AAAAAHZ/2yE=")</f>
        <v>#VALUE!</v>
      </c>
      <c r="AI183" t="e">
        <f>AND('Planilla_General_03-12-2012_9_3'!B2915,"AAAAAHZ/2yI=")</f>
        <v>#VALUE!</v>
      </c>
      <c r="AJ183" t="e">
        <f>AND('Planilla_General_03-12-2012_9_3'!C2915,"AAAAAHZ/2yM=")</f>
        <v>#VALUE!</v>
      </c>
      <c r="AK183" t="e">
        <f>AND('Planilla_General_03-12-2012_9_3'!D2915,"AAAAAHZ/2yQ=")</f>
        <v>#VALUE!</v>
      </c>
      <c r="AL183" t="e">
        <f>AND('Planilla_General_03-12-2012_9_3'!E2915,"AAAAAHZ/2yU=")</f>
        <v>#VALUE!</v>
      </c>
      <c r="AM183" t="e">
        <f>AND('Planilla_General_03-12-2012_9_3'!F2915,"AAAAAHZ/2yY=")</f>
        <v>#VALUE!</v>
      </c>
      <c r="AN183" t="e">
        <f>AND('Planilla_General_03-12-2012_9_3'!G2915,"AAAAAHZ/2yc=")</f>
        <v>#VALUE!</v>
      </c>
      <c r="AO183" t="e">
        <f>AND('Planilla_General_03-12-2012_9_3'!H2915,"AAAAAHZ/2yg=")</f>
        <v>#VALUE!</v>
      </c>
      <c r="AP183" t="e">
        <f>AND('Planilla_General_03-12-2012_9_3'!I2915,"AAAAAHZ/2yk=")</f>
        <v>#VALUE!</v>
      </c>
      <c r="AQ183" t="e">
        <f>AND('Planilla_General_03-12-2012_9_3'!J2915,"AAAAAHZ/2yo=")</f>
        <v>#VALUE!</v>
      </c>
      <c r="AR183" t="e">
        <f>AND('Planilla_General_03-12-2012_9_3'!K2915,"AAAAAHZ/2ys=")</f>
        <v>#VALUE!</v>
      </c>
      <c r="AS183" t="e">
        <f>AND('Planilla_General_03-12-2012_9_3'!L2915,"AAAAAHZ/2yw=")</f>
        <v>#VALUE!</v>
      </c>
      <c r="AT183" t="e">
        <f>AND('Planilla_General_03-12-2012_9_3'!M2915,"AAAAAHZ/2y0=")</f>
        <v>#VALUE!</v>
      </c>
      <c r="AU183" t="e">
        <f>AND('Planilla_General_03-12-2012_9_3'!N2915,"AAAAAHZ/2y4=")</f>
        <v>#VALUE!</v>
      </c>
      <c r="AV183" t="e">
        <f>AND('Planilla_General_03-12-2012_9_3'!O2915,"AAAAAHZ/2y8=")</f>
        <v>#VALUE!</v>
      </c>
      <c r="AW183">
        <f>IF('Planilla_General_03-12-2012_9_3'!2916:2916,"AAAAAHZ/2zA=",0)</f>
        <v>0</v>
      </c>
      <c r="AX183" t="e">
        <f>AND('Planilla_General_03-12-2012_9_3'!A2916,"AAAAAHZ/2zE=")</f>
        <v>#VALUE!</v>
      </c>
      <c r="AY183" t="e">
        <f>AND('Planilla_General_03-12-2012_9_3'!B2916,"AAAAAHZ/2zI=")</f>
        <v>#VALUE!</v>
      </c>
      <c r="AZ183" t="e">
        <f>AND('Planilla_General_03-12-2012_9_3'!C2916,"AAAAAHZ/2zM=")</f>
        <v>#VALUE!</v>
      </c>
      <c r="BA183" t="e">
        <f>AND('Planilla_General_03-12-2012_9_3'!D2916,"AAAAAHZ/2zQ=")</f>
        <v>#VALUE!</v>
      </c>
      <c r="BB183" t="e">
        <f>AND('Planilla_General_03-12-2012_9_3'!E2916,"AAAAAHZ/2zU=")</f>
        <v>#VALUE!</v>
      </c>
      <c r="BC183" t="e">
        <f>AND('Planilla_General_03-12-2012_9_3'!F2916,"AAAAAHZ/2zY=")</f>
        <v>#VALUE!</v>
      </c>
      <c r="BD183" t="e">
        <f>AND('Planilla_General_03-12-2012_9_3'!G2916,"AAAAAHZ/2zc=")</f>
        <v>#VALUE!</v>
      </c>
      <c r="BE183" t="e">
        <f>AND('Planilla_General_03-12-2012_9_3'!H2916,"AAAAAHZ/2zg=")</f>
        <v>#VALUE!</v>
      </c>
      <c r="BF183" t="e">
        <f>AND('Planilla_General_03-12-2012_9_3'!I2916,"AAAAAHZ/2zk=")</f>
        <v>#VALUE!</v>
      </c>
      <c r="BG183" t="e">
        <f>AND('Planilla_General_03-12-2012_9_3'!J2916,"AAAAAHZ/2zo=")</f>
        <v>#VALUE!</v>
      </c>
      <c r="BH183" t="e">
        <f>AND('Planilla_General_03-12-2012_9_3'!K2916,"AAAAAHZ/2zs=")</f>
        <v>#VALUE!</v>
      </c>
      <c r="BI183" t="e">
        <f>AND('Planilla_General_03-12-2012_9_3'!L2916,"AAAAAHZ/2zw=")</f>
        <v>#VALUE!</v>
      </c>
      <c r="BJ183" t="e">
        <f>AND('Planilla_General_03-12-2012_9_3'!M2916,"AAAAAHZ/2z0=")</f>
        <v>#VALUE!</v>
      </c>
      <c r="BK183" t="e">
        <f>AND('Planilla_General_03-12-2012_9_3'!N2916,"AAAAAHZ/2z4=")</f>
        <v>#VALUE!</v>
      </c>
      <c r="BL183" t="e">
        <f>AND('Planilla_General_03-12-2012_9_3'!O2916,"AAAAAHZ/2z8=")</f>
        <v>#VALUE!</v>
      </c>
      <c r="BM183">
        <f>IF('Planilla_General_03-12-2012_9_3'!2917:2917,"AAAAAHZ/20A=",0)</f>
        <v>0</v>
      </c>
      <c r="BN183" t="e">
        <f>AND('Planilla_General_03-12-2012_9_3'!A2917,"AAAAAHZ/20E=")</f>
        <v>#VALUE!</v>
      </c>
      <c r="BO183" t="e">
        <f>AND('Planilla_General_03-12-2012_9_3'!B2917,"AAAAAHZ/20I=")</f>
        <v>#VALUE!</v>
      </c>
      <c r="BP183" t="e">
        <f>AND('Planilla_General_03-12-2012_9_3'!C2917,"AAAAAHZ/20M=")</f>
        <v>#VALUE!</v>
      </c>
      <c r="BQ183" t="e">
        <f>AND('Planilla_General_03-12-2012_9_3'!D2917,"AAAAAHZ/20Q=")</f>
        <v>#VALUE!</v>
      </c>
      <c r="BR183" t="e">
        <f>AND('Planilla_General_03-12-2012_9_3'!E2917,"AAAAAHZ/20U=")</f>
        <v>#VALUE!</v>
      </c>
      <c r="BS183" t="e">
        <f>AND('Planilla_General_03-12-2012_9_3'!F2917,"AAAAAHZ/20Y=")</f>
        <v>#VALUE!</v>
      </c>
      <c r="BT183" t="e">
        <f>AND('Planilla_General_03-12-2012_9_3'!G2917,"AAAAAHZ/20c=")</f>
        <v>#VALUE!</v>
      </c>
      <c r="BU183" t="e">
        <f>AND('Planilla_General_03-12-2012_9_3'!H2917,"AAAAAHZ/20g=")</f>
        <v>#VALUE!</v>
      </c>
      <c r="BV183" t="e">
        <f>AND('Planilla_General_03-12-2012_9_3'!I2917,"AAAAAHZ/20k=")</f>
        <v>#VALUE!</v>
      </c>
      <c r="BW183" t="e">
        <f>AND('Planilla_General_03-12-2012_9_3'!J2917,"AAAAAHZ/20o=")</f>
        <v>#VALUE!</v>
      </c>
      <c r="BX183" t="e">
        <f>AND('Planilla_General_03-12-2012_9_3'!K2917,"AAAAAHZ/20s=")</f>
        <v>#VALUE!</v>
      </c>
      <c r="BY183" t="e">
        <f>AND('Planilla_General_03-12-2012_9_3'!L2917,"AAAAAHZ/20w=")</f>
        <v>#VALUE!</v>
      </c>
      <c r="BZ183" t="e">
        <f>AND('Planilla_General_03-12-2012_9_3'!M2917,"AAAAAHZ/200=")</f>
        <v>#VALUE!</v>
      </c>
      <c r="CA183" t="e">
        <f>AND('Planilla_General_03-12-2012_9_3'!N2917,"AAAAAHZ/204=")</f>
        <v>#VALUE!</v>
      </c>
      <c r="CB183" t="e">
        <f>AND('Planilla_General_03-12-2012_9_3'!O2917,"AAAAAHZ/208=")</f>
        <v>#VALUE!</v>
      </c>
      <c r="CC183">
        <f>IF('Planilla_General_03-12-2012_9_3'!2918:2918,"AAAAAHZ/21A=",0)</f>
        <v>0</v>
      </c>
      <c r="CD183" t="e">
        <f>AND('Planilla_General_03-12-2012_9_3'!A2918,"AAAAAHZ/21E=")</f>
        <v>#VALUE!</v>
      </c>
      <c r="CE183" t="e">
        <f>AND('Planilla_General_03-12-2012_9_3'!B2918,"AAAAAHZ/21I=")</f>
        <v>#VALUE!</v>
      </c>
      <c r="CF183" t="e">
        <f>AND('Planilla_General_03-12-2012_9_3'!C2918,"AAAAAHZ/21M=")</f>
        <v>#VALUE!</v>
      </c>
      <c r="CG183" t="e">
        <f>AND('Planilla_General_03-12-2012_9_3'!D2918,"AAAAAHZ/21Q=")</f>
        <v>#VALUE!</v>
      </c>
      <c r="CH183" t="e">
        <f>AND('Planilla_General_03-12-2012_9_3'!E2918,"AAAAAHZ/21U=")</f>
        <v>#VALUE!</v>
      </c>
      <c r="CI183" t="e">
        <f>AND('Planilla_General_03-12-2012_9_3'!F2918,"AAAAAHZ/21Y=")</f>
        <v>#VALUE!</v>
      </c>
      <c r="CJ183" t="e">
        <f>AND('Planilla_General_03-12-2012_9_3'!G2918,"AAAAAHZ/21c=")</f>
        <v>#VALUE!</v>
      </c>
      <c r="CK183" t="e">
        <f>AND('Planilla_General_03-12-2012_9_3'!H2918,"AAAAAHZ/21g=")</f>
        <v>#VALUE!</v>
      </c>
      <c r="CL183" t="e">
        <f>AND('Planilla_General_03-12-2012_9_3'!I2918,"AAAAAHZ/21k=")</f>
        <v>#VALUE!</v>
      </c>
      <c r="CM183" t="e">
        <f>AND('Planilla_General_03-12-2012_9_3'!J2918,"AAAAAHZ/21o=")</f>
        <v>#VALUE!</v>
      </c>
      <c r="CN183" t="e">
        <f>AND('Planilla_General_03-12-2012_9_3'!K2918,"AAAAAHZ/21s=")</f>
        <v>#VALUE!</v>
      </c>
      <c r="CO183" t="e">
        <f>AND('Planilla_General_03-12-2012_9_3'!L2918,"AAAAAHZ/21w=")</f>
        <v>#VALUE!</v>
      </c>
      <c r="CP183" t="e">
        <f>AND('Planilla_General_03-12-2012_9_3'!M2918,"AAAAAHZ/210=")</f>
        <v>#VALUE!</v>
      </c>
      <c r="CQ183" t="e">
        <f>AND('Planilla_General_03-12-2012_9_3'!N2918,"AAAAAHZ/214=")</f>
        <v>#VALUE!</v>
      </c>
      <c r="CR183" t="e">
        <f>AND('Planilla_General_03-12-2012_9_3'!O2918,"AAAAAHZ/218=")</f>
        <v>#VALUE!</v>
      </c>
      <c r="CS183">
        <f>IF('Planilla_General_03-12-2012_9_3'!2919:2919,"AAAAAHZ/22A=",0)</f>
        <v>0</v>
      </c>
      <c r="CT183" t="e">
        <f>AND('Planilla_General_03-12-2012_9_3'!A2919,"AAAAAHZ/22E=")</f>
        <v>#VALUE!</v>
      </c>
      <c r="CU183" t="e">
        <f>AND('Planilla_General_03-12-2012_9_3'!B2919,"AAAAAHZ/22I=")</f>
        <v>#VALUE!</v>
      </c>
      <c r="CV183" t="e">
        <f>AND('Planilla_General_03-12-2012_9_3'!C2919,"AAAAAHZ/22M=")</f>
        <v>#VALUE!</v>
      </c>
      <c r="CW183" t="e">
        <f>AND('Planilla_General_03-12-2012_9_3'!D2919,"AAAAAHZ/22Q=")</f>
        <v>#VALUE!</v>
      </c>
      <c r="CX183" t="e">
        <f>AND('Planilla_General_03-12-2012_9_3'!E2919,"AAAAAHZ/22U=")</f>
        <v>#VALUE!</v>
      </c>
      <c r="CY183" t="e">
        <f>AND('Planilla_General_03-12-2012_9_3'!F2919,"AAAAAHZ/22Y=")</f>
        <v>#VALUE!</v>
      </c>
      <c r="CZ183" t="e">
        <f>AND('Planilla_General_03-12-2012_9_3'!G2919,"AAAAAHZ/22c=")</f>
        <v>#VALUE!</v>
      </c>
      <c r="DA183" t="e">
        <f>AND('Planilla_General_03-12-2012_9_3'!H2919,"AAAAAHZ/22g=")</f>
        <v>#VALUE!</v>
      </c>
      <c r="DB183" t="e">
        <f>AND('Planilla_General_03-12-2012_9_3'!I2919,"AAAAAHZ/22k=")</f>
        <v>#VALUE!</v>
      </c>
      <c r="DC183" t="e">
        <f>AND('Planilla_General_03-12-2012_9_3'!J2919,"AAAAAHZ/22o=")</f>
        <v>#VALUE!</v>
      </c>
      <c r="DD183" t="e">
        <f>AND('Planilla_General_03-12-2012_9_3'!K2919,"AAAAAHZ/22s=")</f>
        <v>#VALUE!</v>
      </c>
      <c r="DE183" t="e">
        <f>AND('Planilla_General_03-12-2012_9_3'!L2919,"AAAAAHZ/22w=")</f>
        <v>#VALUE!</v>
      </c>
      <c r="DF183" t="e">
        <f>AND('Planilla_General_03-12-2012_9_3'!M2919,"AAAAAHZ/220=")</f>
        <v>#VALUE!</v>
      </c>
      <c r="DG183" t="e">
        <f>AND('Planilla_General_03-12-2012_9_3'!N2919,"AAAAAHZ/224=")</f>
        <v>#VALUE!</v>
      </c>
      <c r="DH183" t="e">
        <f>AND('Planilla_General_03-12-2012_9_3'!O2919,"AAAAAHZ/228=")</f>
        <v>#VALUE!</v>
      </c>
      <c r="DI183">
        <f>IF('Planilla_General_03-12-2012_9_3'!2920:2920,"AAAAAHZ/23A=",0)</f>
        <v>0</v>
      </c>
      <c r="DJ183" t="e">
        <f>AND('Planilla_General_03-12-2012_9_3'!A2920,"AAAAAHZ/23E=")</f>
        <v>#VALUE!</v>
      </c>
      <c r="DK183" t="e">
        <f>AND('Planilla_General_03-12-2012_9_3'!B2920,"AAAAAHZ/23I=")</f>
        <v>#VALUE!</v>
      </c>
      <c r="DL183" t="e">
        <f>AND('Planilla_General_03-12-2012_9_3'!C2920,"AAAAAHZ/23M=")</f>
        <v>#VALUE!</v>
      </c>
      <c r="DM183" t="e">
        <f>AND('Planilla_General_03-12-2012_9_3'!D2920,"AAAAAHZ/23Q=")</f>
        <v>#VALUE!</v>
      </c>
      <c r="DN183" t="e">
        <f>AND('Planilla_General_03-12-2012_9_3'!E2920,"AAAAAHZ/23U=")</f>
        <v>#VALUE!</v>
      </c>
      <c r="DO183" t="e">
        <f>AND('Planilla_General_03-12-2012_9_3'!F2920,"AAAAAHZ/23Y=")</f>
        <v>#VALUE!</v>
      </c>
      <c r="DP183" t="e">
        <f>AND('Planilla_General_03-12-2012_9_3'!G2920,"AAAAAHZ/23c=")</f>
        <v>#VALUE!</v>
      </c>
      <c r="DQ183" t="e">
        <f>AND('Planilla_General_03-12-2012_9_3'!H2920,"AAAAAHZ/23g=")</f>
        <v>#VALUE!</v>
      </c>
      <c r="DR183" t="e">
        <f>AND('Planilla_General_03-12-2012_9_3'!I2920,"AAAAAHZ/23k=")</f>
        <v>#VALUE!</v>
      </c>
      <c r="DS183" t="e">
        <f>AND('Planilla_General_03-12-2012_9_3'!J2920,"AAAAAHZ/23o=")</f>
        <v>#VALUE!</v>
      </c>
      <c r="DT183" t="e">
        <f>AND('Planilla_General_03-12-2012_9_3'!K2920,"AAAAAHZ/23s=")</f>
        <v>#VALUE!</v>
      </c>
      <c r="DU183" t="e">
        <f>AND('Planilla_General_03-12-2012_9_3'!L2920,"AAAAAHZ/23w=")</f>
        <v>#VALUE!</v>
      </c>
      <c r="DV183" t="e">
        <f>AND('Planilla_General_03-12-2012_9_3'!M2920,"AAAAAHZ/230=")</f>
        <v>#VALUE!</v>
      </c>
      <c r="DW183" t="e">
        <f>AND('Planilla_General_03-12-2012_9_3'!N2920,"AAAAAHZ/234=")</f>
        <v>#VALUE!</v>
      </c>
      <c r="DX183" t="e">
        <f>AND('Planilla_General_03-12-2012_9_3'!O2920,"AAAAAHZ/238=")</f>
        <v>#VALUE!</v>
      </c>
      <c r="DY183">
        <f>IF('Planilla_General_03-12-2012_9_3'!2921:2921,"AAAAAHZ/24A=",0)</f>
        <v>0</v>
      </c>
      <c r="DZ183" t="e">
        <f>AND('Planilla_General_03-12-2012_9_3'!A2921,"AAAAAHZ/24E=")</f>
        <v>#VALUE!</v>
      </c>
      <c r="EA183" t="e">
        <f>AND('Planilla_General_03-12-2012_9_3'!B2921,"AAAAAHZ/24I=")</f>
        <v>#VALUE!</v>
      </c>
      <c r="EB183" t="e">
        <f>AND('Planilla_General_03-12-2012_9_3'!C2921,"AAAAAHZ/24M=")</f>
        <v>#VALUE!</v>
      </c>
      <c r="EC183" t="e">
        <f>AND('Planilla_General_03-12-2012_9_3'!D2921,"AAAAAHZ/24Q=")</f>
        <v>#VALUE!</v>
      </c>
      <c r="ED183" t="e">
        <f>AND('Planilla_General_03-12-2012_9_3'!E2921,"AAAAAHZ/24U=")</f>
        <v>#VALUE!</v>
      </c>
      <c r="EE183" t="e">
        <f>AND('Planilla_General_03-12-2012_9_3'!F2921,"AAAAAHZ/24Y=")</f>
        <v>#VALUE!</v>
      </c>
      <c r="EF183" t="e">
        <f>AND('Planilla_General_03-12-2012_9_3'!G2921,"AAAAAHZ/24c=")</f>
        <v>#VALUE!</v>
      </c>
      <c r="EG183" t="e">
        <f>AND('Planilla_General_03-12-2012_9_3'!H2921,"AAAAAHZ/24g=")</f>
        <v>#VALUE!</v>
      </c>
      <c r="EH183" t="e">
        <f>AND('Planilla_General_03-12-2012_9_3'!I2921,"AAAAAHZ/24k=")</f>
        <v>#VALUE!</v>
      </c>
      <c r="EI183" t="e">
        <f>AND('Planilla_General_03-12-2012_9_3'!J2921,"AAAAAHZ/24o=")</f>
        <v>#VALUE!</v>
      </c>
      <c r="EJ183" t="e">
        <f>AND('Planilla_General_03-12-2012_9_3'!K2921,"AAAAAHZ/24s=")</f>
        <v>#VALUE!</v>
      </c>
      <c r="EK183" t="e">
        <f>AND('Planilla_General_03-12-2012_9_3'!L2921,"AAAAAHZ/24w=")</f>
        <v>#VALUE!</v>
      </c>
      <c r="EL183" t="e">
        <f>AND('Planilla_General_03-12-2012_9_3'!M2921,"AAAAAHZ/240=")</f>
        <v>#VALUE!</v>
      </c>
      <c r="EM183" t="e">
        <f>AND('Planilla_General_03-12-2012_9_3'!N2921,"AAAAAHZ/244=")</f>
        <v>#VALUE!</v>
      </c>
      <c r="EN183" t="e">
        <f>AND('Planilla_General_03-12-2012_9_3'!O2921,"AAAAAHZ/248=")</f>
        <v>#VALUE!</v>
      </c>
      <c r="EO183">
        <f>IF('Planilla_General_03-12-2012_9_3'!2922:2922,"AAAAAHZ/25A=",0)</f>
        <v>0</v>
      </c>
      <c r="EP183" t="e">
        <f>AND('Planilla_General_03-12-2012_9_3'!A2922,"AAAAAHZ/25E=")</f>
        <v>#VALUE!</v>
      </c>
      <c r="EQ183" t="e">
        <f>AND('Planilla_General_03-12-2012_9_3'!B2922,"AAAAAHZ/25I=")</f>
        <v>#VALUE!</v>
      </c>
      <c r="ER183" t="e">
        <f>AND('Planilla_General_03-12-2012_9_3'!C2922,"AAAAAHZ/25M=")</f>
        <v>#VALUE!</v>
      </c>
      <c r="ES183" t="e">
        <f>AND('Planilla_General_03-12-2012_9_3'!D2922,"AAAAAHZ/25Q=")</f>
        <v>#VALUE!</v>
      </c>
      <c r="ET183" t="e">
        <f>AND('Planilla_General_03-12-2012_9_3'!E2922,"AAAAAHZ/25U=")</f>
        <v>#VALUE!</v>
      </c>
      <c r="EU183" t="e">
        <f>AND('Planilla_General_03-12-2012_9_3'!F2922,"AAAAAHZ/25Y=")</f>
        <v>#VALUE!</v>
      </c>
      <c r="EV183" t="e">
        <f>AND('Planilla_General_03-12-2012_9_3'!G2922,"AAAAAHZ/25c=")</f>
        <v>#VALUE!</v>
      </c>
      <c r="EW183" t="e">
        <f>AND('Planilla_General_03-12-2012_9_3'!H2922,"AAAAAHZ/25g=")</f>
        <v>#VALUE!</v>
      </c>
      <c r="EX183" t="e">
        <f>AND('Planilla_General_03-12-2012_9_3'!I2922,"AAAAAHZ/25k=")</f>
        <v>#VALUE!</v>
      </c>
      <c r="EY183" t="e">
        <f>AND('Planilla_General_03-12-2012_9_3'!J2922,"AAAAAHZ/25o=")</f>
        <v>#VALUE!</v>
      </c>
      <c r="EZ183" t="e">
        <f>AND('Planilla_General_03-12-2012_9_3'!K2922,"AAAAAHZ/25s=")</f>
        <v>#VALUE!</v>
      </c>
      <c r="FA183" t="e">
        <f>AND('Planilla_General_03-12-2012_9_3'!L2922,"AAAAAHZ/25w=")</f>
        <v>#VALUE!</v>
      </c>
      <c r="FB183" t="e">
        <f>AND('Planilla_General_03-12-2012_9_3'!M2922,"AAAAAHZ/250=")</f>
        <v>#VALUE!</v>
      </c>
      <c r="FC183" t="e">
        <f>AND('Planilla_General_03-12-2012_9_3'!N2922,"AAAAAHZ/254=")</f>
        <v>#VALUE!</v>
      </c>
      <c r="FD183" t="e">
        <f>AND('Planilla_General_03-12-2012_9_3'!O2922,"AAAAAHZ/258=")</f>
        <v>#VALUE!</v>
      </c>
      <c r="FE183">
        <f>IF('Planilla_General_03-12-2012_9_3'!2923:2923,"AAAAAHZ/26A=",0)</f>
        <v>0</v>
      </c>
      <c r="FF183" t="e">
        <f>AND('Planilla_General_03-12-2012_9_3'!A2923,"AAAAAHZ/26E=")</f>
        <v>#VALUE!</v>
      </c>
      <c r="FG183" t="e">
        <f>AND('Planilla_General_03-12-2012_9_3'!B2923,"AAAAAHZ/26I=")</f>
        <v>#VALUE!</v>
      </c>
      <c r="FH183" t="e">
        <f>AND('Planilla_General_03-12-2012_9_3'!C2923,"AAAAAHZ/26M=")</f>
        <v>#VALUE!</v>
      </c>
      <c r="FI183" t="e">
        <f>AND('Planilla_General_03-12-2012_9_3'!D2923,"AAAAAHZ/26Q=")</f>
        <v>#VALUE!</v>
      </c>
      <c r="FJ183" t="e">
        <f>AND('Planilla_General_03-12-2012_9_3'!E2923,"AAAAAHZ/26U=")</f>
        <v>#VALUE!</v>
      </c>
      <c r="FK183" t="e">
        <f>AND('Planilla_General_03-12-2012_9_3'!F2923,"AAAAAHZ/26Y=")</f>
        <v>#VALUE!</v>
      </c>
      <c r="FL183" t="e">
        <f>AND('Planilla_General_03-12-2012_9_3'!G2923,"AAAAAHZ/26c=")</f>
        <v>#VALUE!</v>
      </c>
      <c r="FM183" t="e">
        <f>AND('Planilla_General_03-12-2012_9_3'!H2923,"AAAAAHZ/26g=")</f>
        <v>#VALUE!</v>
      </c>
      <c r="FN183" t="e">
        <f>AND('Planilla_General_03-12-2012_9_3'!I2923,"AAAAAHZ/26k=")</f>
        <v>#VALUE!</v>
      </c>
      <c r="FO183" t="e">
        <f>AND('Planilla_General_03-12-2012_9_3'!J2923,"AAAAAHZ/26o=")</f>
        <v>#VALUE!</v>
      </c>
      <c r="FP183" t="e">
        <f>AND('Planilla_General_03-12-2012_9_3'!K2923,"AAAAAHZ/26s=")</f>
        <v>#VALUE!</v>
      </c>
      <c r="FQ183" t="e">
        <f>AND('Planilla_General_03-12-2012_9_3'!L2923,"AAAAAHZ/26w=")</f>
        <v>#VALUE!</v>
      </c>
      <c r="FR183" t="e">
        <f>AND('Planilla_General_03-12-2012_9_3'!M2923,"AAAAAHZ/260=")</f>
        <v>#VALUE!</v>
      </c>
      <c r="FS183" t="e">
        <f>AND('Planilla_General_03-12-2012_9_3'!N2923,"AAAAAHZ/264=")</f>
        <v>#VALUE!</v>
      </c>
      <c r="FT183" t="e">
        <f>AND('Planilla_General_03-12-2012_9_3'!O2923,"AAAAAHZ/268=")</f>
        <v>#VALUE!</v>
      </c>
      <c r="FU183">
        <f>IF('Planilla_General_03-12-2012_9_3'!2924:2924,"AAAAAHZ/27A=",0)</f>
        <v>0</v>
      </c>
      <c r="FV183" t="e">
        <f>AND('Planilla_General_03-12-2012_9_3'!A2924,"AAAAAHZ/27E=")</f>
        <v>#VALUE!</v>
      </c>
      <c r="FW183" t="e">
        <f>AND('Planilla_General_03-12-2012_9_3'!B2924,"AAAAAHZ/27I=")</f>
        <v>#VALUE!</v>
      </c>
      <c r="FX183" t="e">
        <f>AND('Planilla_General_03-12-2012_9_3'!C2924,"AAAAAHZ/27M=")</f>
        <v>#VALUE!</v>
      </c>
      <c r="FY183" t="e">
        <f>AND('Planilla_General_03-12-2012_9_3'!D2924,"AAAAAHZ/27Q=")</f>
        <v>#VALUE!</v>
      </c>
      <c r="FZ183" t="e">
        <f>AND('Planilla_General_03-12-2012_9_3'!E2924,"AAAAAHZ/27U=")</f>
        <v>#VALUE!</v>
      </c>
      <c r="GA183" t="e">
        <f>AND('Planilla_General_03-12-2012_9_3'!F2924,"AAAAAHZ/27Y=")</f>
        <v>#VALUE!</v>
      </c>
      <c r="GB183" t="e">
        <f>AND('Planilla_General_03-12-2012_9_3'!G2924,"AAAAAHZ/27c=")</f>
        <v>#VALUE!</v>
      </c>
      <c r="GC183" t="e">
        <f>AND('Planilla_General_03-12-2012_9_3'!H2924,"AAAAAHZ/27g=")</f>
        <v>#VALUE!</v>
      </c>
      <c r="GD183" t="e">
        <f>AND('Planilla_General_03-12-2012_9_3'!I2924,"AAAAAHZ/27k=")</f>
        <v>#VALUE!</v>
      </c>
      <c r="GE183" t="e">
        <f>AND('Planilla_General_03-12-2012_9_3'!J2924,"AAAAAHZ/27o=")</f>
        <v>#VALUE!</v>
      </c>
      <c r="GF183" t="e">
        <f>AND('Planilla_General_03-12-2012_9_3'!K2924,"AAAAAHZ/27s=")</f>
        <v>#VALUE!</v>
      </c>
      <c r="GG183" t="e">
        <f>AND('Planilla_General_03-12-2012_9_3'!L2924,"AAAAAHZ/27w=")</f>
        <v>#VALUE!</v>
      </c>
      <c r="GH183" t="e">
        <f>AND('Planilla_General_03-12-2012_9_3'!M2924,"AAAAAHZ/270=")</f>
        <v>#VALUE!</v>
      </c>
      <c r="GI183" t="e">
        <f>AND('Planilla_General_03-12-2012_9_3'!N2924,"AAAAAHZ/274=")</f>
        <v>#VALUE!</v>
      </c>
      <c r="GJ183" t="e">
        <f>AND('Planilla_General_03-12-2012_9_3'!O2924,"AAAAAHZ/278=")</f>
        <v>#VALUE!</v>
      </c>
      <c r="GK183">
        <f>IF('Planilla_General_03-12-2012_9_3'!2925:2925,"AAAAAHZ/28A=",0)</f>
        <v>0</v>
      </c>
      <c r="GL183" t="e">
        <f>AND('Planilla_General_03-12-2012_9_3'!A2925,"AAAAAHZ/28E=")</f>
        <v>#VALUE!</v>
      </c>
      <c r="GM183" t="e">
        <f>AND('Planilla_General_03-12-2012_9_3'!B2925,"AAAAAHZ/28I=")</f>
        <v>#VALUE!</v>
      </c>
      <c r="GN183" t="e">
        <f>AND('Planilla_General_03-12-2012_9_3'!C2925,"AAAAAHZ/28M=")</f>
        <v>#VALUE!</v>
      </c>
      <c r="GO183" t="e">
        <f>AND('Planilla_General_03-12-2012_9_3'!D2925,"AAAAAHZ/28Q=")</f>
        <v>#VALUE!</v>
      </c>
      <c r="GP183" t="e">
        <f>AND('Planilla_General_03-12-2012_9_3'!E2925,"AAAAAHZ/28U=")</f>
        <v>#VALUE!</v>
      </c>
      <c r="GQ183" t="e">
        <f>AND('Planilla_General_03-12-2012_9_3'!F2925,"AAAAAHZ/28Y=")</f>
        <v>#VALUE!</v>
      </c>
      <c r="GR183" t="e">
        <f>AND('Planilla_General_03-12-2012_9_3'!G2925,"AAAAAHZ/28c=")</f>
        <v>#VALUE!</v>
      </c>
      <c r="GS183" t="e">
        <f>AND('Planilla_General_03-12-2012_9_3'!H2925,"AAAAAHZ/28g=")</f>
        <v>#VALUE!</v>
      </c>
      <c r="GT183" t="e">
        <f>AND('Planilla_General_03-12-2012_9_3'!I2925,"AAAAAHZ/28k=")</f>
        <v>#VALUE!</v>
      </c>
      <c r="GU183" t="e">
        <f>AND('Planilla_General_03-12-2012_9_3'!J2925,"AAAAAHZ/28o=")</f>
        <v>#VALUE!</v>
      </c>
      <c r="GV183" t="e">
        <f>AND('Planilla_General_03-12-2012_9_3'!K2925,"AAAAAHZ/28s=")</f>
        <v>#VALUE!</v>
      </c>
      <c r="GW183" t="e">
        <f>AND('Planilla_General_03-12-2012_9_3'!L2925,"AAAAAHZ/28w=")</f>
        <v>#VALUE!</v>
      </c>
      <c r="GX183" t="e">
        <f>AND('Planilla_General_03-12-2012_9_3'!M2925,"AAAAAHZ/280=")</f>
        <v>#VALUE!</v>
      </c>
      <c r="GY183" t="e">
        <f>AND('Planilla_General_03-12-2012_9_3'!N2925,"AAAAAHZ/284=")</f>
        <v>#VALUE!</v>
      </c>
      <c r="GZ183" t="e">
        <f>AND('Planilla_General_03-12-2012_9_3'!O2925,"AAAAAHZ/288=")</f>
        <v>#VALUE!</v>
      </c>
      <c r="HA183">
        <f>IF('Planilla_General_03-12-2012_9_3'!2926:2926,"AAAAAHZ/29A=",0)</f>
        <v>0</v>
      </c>
      <c r="HB183" t="e">
        <f>AND('Planilla_General_03-12-2012_9_3'!A2926,"AAAAAHZ/29E=")</f>
        <v>#VALUE!</v>
      </c>
      <c r="HC183" t="e">
        <f>AND('Planilla_General_03-12-2012_9_3'!B2926,"AAAAAHZ/29I=")</f>
        <v>#VALUE!</v>
      </c>
      <c r="HD183" t="e">
        <f>AND('Planilla_General_03-12-2012_9_3'!C2926,"AAAAAHZ/29M=")</f>
        <v>#VALUE!</v>
      </c>
      <c r="HE183" t="e">
        <f>AND('Planilla_General_03-12-2012_9_3'!D2926,"AAAAAHZ/29Q=")</f>
        <v>#VALUE!</v>
      </c>
      <c r="HF183" t="e">
        <f>AND('Planilla_General_03-12-2012_9_3'!E2926,"AAAAAHZ/29U=")</f>
        <v>#VALUE!</v>
      </c>
      <c r="HG183" t="e">
        <f>AND('Planilla_General_03-12-2012_9_3'!F2926,"AAAAAHZ/29Y=")</f>
        <v>#VALUE!</v>
      </c>
      <c r="HH183" t="e">
        <f>AND('Planilla_General_03-12-2012_9_3'!G2926,"AAAAAHZ/29c=")</f>
        <v>#VALUE!</v>
      </c>
      <c r="HI183" t="e">
        <f>AND('Planilla_General_03-12-2012_9_3'!H2926,"AAAAAHZ/29g=")</f>
        <v>#VALUE!</v>
      </c>
      <c r="HJ183" t="e">
        <f>AND('Planilla_General_03-12-2012_9_3'!I2926,"AAAAAHZ/29k=")</f>
        <v>#VALUE!</v>
      </c>
      <c r="HK183" t="e">
        <f>AND('Planilla_General_03-12-2012_9_3'!J2926,"AAAAAHZ/29o=")</f>
        <v>#VALUE!</v>
      </c>
      <c r="HL183" t="e">
        <f>AND('Planilla_General_03-12-2012_9_3'!K2926,"AAAAAHZ/29s=")</f>
        <v>#VALUE!</v>
      </c>
      <c r="HM183" t="e">
        <f>AND('Planilla_General_03-12-2012_9_3'!L2926,"AAAAAHZ/29w=")</f>
        <v>#VALUE!</v>
      </c>
      <c r="HN183" t="e">
        <f>AND('Planilla_General_03-12-2012_9_3'!M2926,"AAAAAHZ/290=")</f>
        <v>#VALUE!</v>
      </c>
      <c r="HO183" t="e">
        <f>AND('Planilla_General_03-12-2012_9_3'!N2926,"AAAAAHZ/294=")</f>
        <v>#VALUE!</v>
      </c>
      <c r="HP183" t="e">
        <f>AND('Planilla_General_03-12-2012_9_3'!O2926,"AAAAAHZ/298=")</f>
        <v>#VALUE!</v>
      </c>
      <c r="HQ183">
        <f>IF('Planilla_General_03-12-2012_9_3'!2927:2927,"AAAAAHZ/2+A=",0)</f>
        <v>0</v>
      </c>
      <c r="HR183" t="e">
        <f>AND('Planilla_General_03-12-2012_9_3'!A2927,"AAAAAHZ/2+E=")</f>
        <v>#VALUE!</v>
      </c>
      <c r="HS183" t="e">
        <f>AND('Planilla_General_03-12-2012_9_3'!B2927,"AAAAAHZ/2+I=")</f>
        <v>#VALUE!</v>
      </c>
      <c r="HT183" t="e">
        <f>AND('Planilla_General_03-12-2012_9_3'!C2927,"AAAAAHZ/2+M=")</f>
        <v>#VALUE!</v>
      </c>
      <c r="HU183" t="e">
        <f>AND('Planilla_General_03-12-2012_9_3'!D2927,"AAAAAHZ/2+Q=")</f>
        <v>#VALUE!</v>
      </c>
      <c r="HV183" t="e">
        <f>AND('Planilla_General_03-12-2012_9_3'!E2927,"AAAAAHZ/2+U=")</f>
        <v>#VALUE!</v>
      </c>
      <c r="HW183" t="e">
        <f>AND('Planilla_General_03-12-2012_9_3'!F2927,"AAAAAHZ/2+Y=")</f>
        <v>#VALUE!</v>
      </c>
      <c r="HX183" t="e">
        <f>AND('Planilla_General_03-12-2012_9_3'!G2927,"AAAAAHZ/2+c=")</f>
        <v>#VALUE!</v>
      </c>
      <c r="HY183" t="e">
        <f>AND('Planilla_General_03-12-2012_9_3'!H2927,"AAAAAHZ/2+g=")</f>
        <v>#VALUE!</v>
      </c>
      <c r="HZ183" t="e">
        <f>AND('Planilla_General_03-12-2012_9_3'!I2927,"AAAAAHZ/2+k=")</f>
        <v>#VALUE!</v>
      </c>
      <c r="IA183" t="e">
        <f>AND('Planilla_General_03-12-2012_9_3'!J2927,"AAAAAHZ/2+o=")</f>
        <v>#VALUE!</v>
      </c>
      <c r="IB183" t="e">
        <f>AND('Planilla_General_03-12-2012_9_3'!K2927,"AAAAAHZ/2+s=")</f>
        <v>#VALUE!</v>
      </c>
      <c r="IC183" t="e">
        <f>AND('Planilla_General_03-12-2012_9_3'!L2927,"AAAAAHZ/2+w=")</f>
        <v>#VALUE!</v>
      </c>
      <c r="ID183" t="e">
        <f>AND('Planilla_General_03-12-2012_9_3'!M2927,"AAAAAHZ/2+0=")</f>
        <v>#VALUE!</v>
      </c>
      <c r="IE183" t="e">
        <f>AND('Planilla_General_03-12-2012_9_3'!N2927,"AAAAAHZ/2+4=")</f>
        <v>#VALUE!</v>
      </c>
      <c r="IF183" t="e">
        <f>AND('Planilla_General_03-12-2012_9_3'!O2927,"AAAAAHZ/2+8=")</f>
        <v>#VALUE!</v>
      </c>
      <c r="IG183">
        <f>IF('Planilla_General_03-12-2012_9_3'!2928:2928,"AAAAAHZ/2/A=",0)</f>
        <v>0</v>
      </c>
      <c r="IH183" t="e">
        <f>AND('Planilla_General_03-12-2012_9_3'!A2928,"AAAAAHZ/2/E=")</f>
        <v>#VALUE!</v>
      </c>
      <c r="II183" t="e">
        <f>AND('Planilla_General_03-12-2012_9_3'!B2928,"AAAAAHZ/2/I=")</f>
        <v>#VALUE!</v>
      </c>
      <c r="IJ183" t="e">
        <f>AND('Planilla_General_03-12-2012_9_3'!C2928,"AAAAAHZ/2/M=")</f>
        <v>#VALUE!</v>
      </c>
      <c r="IK183" t="e">
        <f>AND('Planilla_General_03-12-2012_9_3'!D2928,"AAAAAHZ/2/Q=")</f>
        <v>#VALUE!</v>
      </c>
      <c r="IL183" t="e">
        <f>AND('Planilla_General_03-12-2012_9_3'!E2928,"AAAAAHZ/2/U=")</f>
        <v>#VALUE!</v>
      </c>
      <c r="IM183" t="e">
        <f>AND('Planilla_General_03-12-2012_9_3'!F2928,"AAAAAHZ/2/Y=")</f>
        <v>#VALUE!</v>
      </c>
      <c r="IN183" t="e">
        <f>AND('Planilla_General_03-12-2012_9_3'!G2928,"AAAAAHZ/2/c=")</f>
        <v>#VALUE!</v>
      </c>
      <c r="IO183" t="e">
        <f>AND('Planilla_General_03-12-2012_9_3'!H2928,"AAAAAHZ/2/g=")</f>
        <v>#VALUE!</v>
      </c>
      <c r="IP183" t="e">
        <f>AND('Planilla_General_03-12-2012_9_3'!I2928,"AAAAAHZ/2/k=")</f>
        <v>#VALUE!</v>
      </c>
      <c r="IQ183" t="e">
        <f>AND('Planilla_General_03-12-2012_9_3'!J2928,"AAAAAHZ/2/o=")</f>
        <v>#VALUE!</v>
      </c>
      <c r="IR183" t="e">
        <f>AND('Planilla_General_03-12-2012_9_3'!K2928,"AAAAAHZ/2/s=")</f>
        <v>#VALUE!</v>
      </c>
      <c r="IS183" t="e">
        <f>AND('Planilla_General_03-12-2012_9_3'!L2928,"AAAAAHZ/2/w=")</f>
        <v>#VALUE!</v>
      </c>
      <c r="IT183" t="e">
        <f>AND('Planilla_General_03-12-2012_9_3'!M2928,"AAAAAHZ/2/0=")</f>
        <v>#VALUE!</v>
      </c>
      <c r="IU183" t="e">
        <f>AND('Planilla_General_03-12-2012_9_3'!N2928,"AAAAAHZ/2/4=")</f>
        <v>#VALUE!</v>
      </c>
      <c r="IV183" t="e">
        <f>AND('Planilla_General_03-12-2012_9_3'!O2928,"AAAAAHZ/2/8=")</f>
        <v>#VALUE!</v>
      </c>
    </row>
    <row r="184" spans="1:256" x14ac:dyDescent="0.25">
      <c r="A184" t="e">
        <f>IF('Planilla_General_03-12-2012_9_3'!2929:2929,"AAAAAD///wA=",0)</f>
        <v>#VALUE!</v>
      </c>
      <c r="B184" t="e">
        <f>AND('Planilla_General_03-12-2012_9_3'!A2929,"AAAAAD///wE=")</f>
        <v>#VALUE!</v>
      </c>
      <c r="C184" t="e">
        <f>AND('Planilla_General_03-12-2012_9_3'!B2929,"AAAAAD///wI=")</f>
        <v>#VALUE!</v>
      </c>
      <c r="D184" t="e">
        <f>AND('Planilla_General_03-12-2012_9_3'!C2929,"AAAAAD///wM=")</f>
        <v>#VALUE!</v>
      </c>
      <c r="E184" t="e">
        <f>AND('Planilla_General_03-12-2012_9_3'!D2929,"AAAAAD///wQ=")</f>
        <v>#VALUE!</v>
      </c>
      <c r="F184" t="e">
        <f>AND('Planilla_General_03-12-2012_9_3'!E2929,"AAAAAD///wU=")</f>
        <v>#VALUE!</v>
      </c>
      <c r="G184" t="e">
        <f>AND('Planilla_General_03-12-2012_9_3'!F2929,"AAAAAD///wY=")</f>
        <v>#VALUE!</v>
      </c>
      <c r="H184" t="e">
        <f>AND('Planilla_General_03-12-2012_9_3'!G2929,"AAAAAD///wc=")</f>
        <v>#VALUE!</v>
      </c>
      <c r="I184" t="e">
        <f>AND('Planilla_General_03-12-2012_9_3'!H2929,"AAAAAD///wg=")</f>
        <v>#VALUE!</v>
      </c>
      <c r="J184" t="e">
        <f>AND('Planilla_General_03-12-2012_9_3'!I2929,"AAAAAD///wk=")</f>
        <v>#VALUE!</v>
      </c>
      <c r="K184" t="e">
        <f>AND('Planilla_General_03-12-2012_9_3'!J2929,"AAAAAD///wo=")</f>
        <v>#VALUE!</v>
      </c>
      <c r="L184" t="e">
        <f>AND('Planilla_General_03-12-2012_9_3'!K2929,"AAAAAD///ws=")</f>
        <v>#VALUE!</v>
      </c>
      <c r="M184" t="e">
        <f>AND('Planilla_General_03-12-2012_9_3'!L2929,"AAAAAD///ww=")</f>
        <v>#VALUE!</v>
      </c>
      <c r="N184" t="e">
        <f>AND('Planilla_General_03-12-2012_9_3'!M2929,"AAAAAD///w0=")</f>
        <v>#VALUE!</v>
      </c>
      <c r="O184" t="e">
        <f>AND('Planilla_General_03-12-2012_9_3'!N2929,"AAAAAD///w4=")</f>
        <v>#VALUE!</v>
      </c>
      <c r="P184" t="e">
        <f>AND('Planilla_General_03-12-2012_9_3'!O2929,"AAAAAD///w8=")</f>
        <v>#VALUE!</v>
      </c>
      <c r="Q184">
        <f>IF('Planilla_General_03-12-2012_9_3'!2930:2930,"AAAAAD///xA=",0)</f>
        <v>0</v>
      </c>
      <c r="R184" t="e">
        <f>AND('Planilla_General_03-12-2012_9_3'!A2930,"AAAAAD///xE=")</f>
        <v>#VALUE!</v>
      </c>
      <c r="S184" t="e">
        <f>AND('Planilla_General_03-12-2012_9_3'!B2930,"AAAAAD///xI=")</f>
        <v>#VALUE!</v>
      </c>
      <c r="T184" t="e">
        <f>AND('Planilla_General_03-12-2012_9_3'!C2930,"AAAAAD///xM=")</f>
        <v>#VALUE!</v>
      </c>
      <c r="U184" t="e">
        <f>AND('Planilla_General_03-12-2012_9_3'!D2930,"AAAAAD///xQ=")</f>
        <v>#VALUE!</v>
      </c>
      <c r="V184" t="e">
        <f>AND('Planilla_General_03-12-2012_9_3'!E2930,"AAAAAD///xU=")</f>
        <v>#VALUE!</v>
      </c>
      <c r="W184" t="e">
        <f>AND('Planilla_General_03-12-2012_9_3'!F2930,"AAAAAD///xY=")</f>
        <v>#VALUE!</v>
      </c>
      <c r="X184" t="e">
        <f>AND('Planilla_General_03-12-2012_9_3'!G2930,"AAAAAD///xc=")</f>
        <v>#VALUE!</v>
      </c>
      <c r="Y184" t="e">
        <f>AND('Planilla_General_03-12-2012_9_3'!H2930,"AAAAAD///xg=")</f>
        <v>#VALUE!</v>
      </c>
      <c r="Z184" t="e">
        <f>AND('Planilla_General_03-12-2012_9_3'!I2930,"AAAAAD///xk=")</f>
        <v>#VALUE!</v>
      </c>
      <c r="AA184" t="e">
        <f>AND('Planilla_General_03-12-2012_9_3'!J2930,"AAAAAD///xo=")</f>
        <v>#VALUE!</v>
      </c>
      <c r="AB184" t="e">
        <f>AND('Planilla_General_03-12-2012_9_3'!K2930,"AAAAAD///xs=")</f>
        <v>#VALUE!</v>
      </c>
      <c r="AC184" t="e">
        <f>AND('Planilla_General_03-12-2012_9_3'!L2930,"AAAAAD///xw=")</f>
        <v>#VALUE!</v>
      </c>
      <c r="AD184" t="e">
        <f>AND('Planilla_General_03-12-2012_9_3'!M2930,"AAAAAD///x0=")</f>
        <v>#VALUE!</v>
      </c>
      <c r="AE184" t="e">
        <f>AND('Planilla_General_03-12-2012_9_3'!N2930,"AAAAAD///x4=")</f>
        <v>#VALUE!</v>
      </c>
      <c r="AF184" t="e">
        <f>AND('Planilla_General_03-12-2012_9_3'!O2930,"AAAAAD///x8=")</f>
        <v>#VALUE!</v>
      </c>
      <c r="AG184">
        <f>IF('Planilla_General_03-12-2012_9_3'!2931:2931,"AAAAAD///yA=",0)</f>
        <v>0</v>
      </c>
      <c r="AH184" t="e">
        <f>AND('Planilla_General_03-12-2012_9_3'!A2931,"AAAAAD///yE=")</f>
        <v>#VALUE!</v>
      </c>
      <c r="AI184" t="e">
        <f>AND('Planilla_General_03-12-2012_9_3'!B2931,"AAAAAD///yI=")</f>
        <v>#VALUE!</v>
      </c>
      <c r="AJ184" t="e">
        <f>AND('Planilla_General_03-12-2012_9_3'!C2931,"AAAAAD///yM=")</f>
        <v>#VALUE!</v>
      </c>
      <c r="AK184" t="e">
        <f>AND('Planilla_General_03-12-2012_9_3'!D2931,"AAAAAD///yQ=")</f>
        <v>#VALUE!</v>
      </c>
      <c r="AL184" t="e">
        <f>AND('Planilla_General_03-12-2012_9_3'!E2931,"AAAAAD///yU=")</f>
        <v>#VALUE!</v>
      </c>
      <c r="AM184" t="e">
        <f>AND('Planilla_General_03-12-2012_9_3'!F2931,"AAAAAD///yY=")</f>
        <v>#VALUE!</v>
      </c>
      <c r="AN184" t="e">
        <f>AND('Planilla_General_03-12-2012_9_3'!G2931,"AAAAAD///yc=")</f>
        <v>#VALUE!</v>
      </c>
      <c r="AO184" t="e">
        <f>AND('Planilla_General_03-12-2012_9_3'!H2931,"AAAAAD///yg=")</f>
        <v>#VALUE!</v>
      </c>
      <c r="AP184" t="e">
        <f>AND('Planilla_General_03-12-2012_9_3'!I2931,"AAAAAD///yk=")</f>
        <v>#VALUE!</v>
      </c>
      <c r="AQ184" t="e">
        <f>AND('Planilla_General_03-12-2012_9_3'!J2931,"AAAAAD///yo=")</f>
        <v>#VALUE!</v>
      </c>
      <c r="AR184" t="e">
        <f>AND('Planilla_General_03-12-2012_9_3'!K2931,"AAAAAD///ys=")</f>
        <v>#VALUE!</v>
      </c>
      <c r="AS184" t="e">
        <f>AND('Planilla_General_03-12-2012_9_3'!L2931,"AAAAAD///yw=")</f>
        <v>#VALUE!</v>
      </c>
      <c r="AT184" t="e">
        <f>AND('Planilla_General_03-12-2012_9_3'!M2931,"AAAAAD///y0=")</f>
        <v>#VALUE!</v>
      </c>
      <c r="AU184" t="e">
        <f>AND('Planilla_General_03-12-2012_9_3'!N2931,"AAAAAD///y4=")</f>
        <v>#VALUE!</v>
      </c>
      <c r="AV184" t="e">
        <f>AND('Planilla_General_03-12-2012_9_3'!O2931,"AAAAAD///y8=")</f>
        <v>#VALUE!</v>
      </c>
      <c r="AW184">
        <f>IF('Planilla_General_03-12-2012_9_3'!2932:2932,"AAAAAD///zA=",0)</f>
        <v>0</v>
      </c>
      <c r="AX184" t="e">
        <f>AND('Planilla_General_03-12-2012_9_3'!A2932,"AAAAAD///zE=")</f>
        <v>#VALUE!</v>
      </c>
      <c r="AY184" t="e">
        <f>AND('Planilla_General_03-12-2012_9_3'!B2932,"AAAAAD///zI=")</f>
        <v>#VALUE!</v>
      </c>
      <c r="AZ184" t="e">
        <f>AND('Planilla_General_03-12-2012_9_3'!C2932,"AAAAAD///zM=")</f>
        <v>#VALUE!</v>
      </c>
      <c r="BA184" t="e">
        <f>AND('Planilla_General_03-12-2012_9_3'!D2932,"AAAAAD///zQ=")</f>
        <v>#VALUE!</v>
      </c>
      <c r="BB184" t="e">
        <f>AND('Planilla_General_03-12-2012_9_3'!E2932,"AAAAAD///zU=")</f>
        <v>#VALUE!</v>
      </c>
      <c r="BC184" t="e">
        <f>AND('Planilla_General_03-12-2012_9_3'!F2932,"AAAAAD///zY=")</f>
        <v>#VALUE!</v>
      </c>
      <c r="BD184" t="e">
        <f>AND('Planilla_General_03-12-2012_9_3'!G2932,"AAAAAD///zc=")</f>
        <v>#VALUE!</v>
      </c>
      <c r="BE184" t="e">
        <f>AND('Planilla_General_03-12-2012_9_3'!H2932,"AAAAAD///zg=")</f>
        <v>#VALUE!</v>
      </c>
      <c r="BF184" t="e">
        <f>AND('Planilla_General_03-12-2012_9_3'!I2932,"AAAAAD///zk=")</f>
        <v>#VALUE!</v>
      </c>
      <c r="BG184" t="e">
        <f>AND('Planilla_General_03-12-2012_9_3'!J2932,"AAAAAD///zo=")</f>
        <v>#VALUE!</v>
      </c>
      <c r="BH184" t="e">
        <f>AND('Planilla_General_03-12-2012_9_3'!K2932,"AAAAAD///zs=")</f>
        <v>#VALUE!</v>
      </c>
      <c r="BI184" t="e">
        <f>AND('Planilla_General_03-12-2012_9_3'!L2932,"AAAAAD///zw=")</f>
        <v>#VALUE!</v>
      </c>
      <c r="BJ184" t="e">
        <f>AND('Planilla_General_03-12-2012_9_3'!M2932,"AAAAAD///z0=")</f>
        <v>#VALUE!</v>
      </c>
      <c r="BK184" t="e">
        <f>AND('Planilla_General_03-12-2012_9_3'!N2932,"AAAAAD///z4=")</f>
        <v>#VALUE!</v>
      </c>
      <c r="BL184" t="e">
        <f>AND('Planilla_General_03-12-2012_9_3'!O2932,"AAAAAD///z8=")</f>
        <v>#VALUE!</v>
      </c>
      <c r="BM184">
        <f>IF('Planilla_General_03-12-2012_9_3'!2933:2933,"AAAAAD///0A=",0)</f>
        <v>0</v>
      </c>
      <c r="BN184" t="e">
        <f>AND('Planilla_General_03-12-2012_9_3'!A2933,"AAAAAD///0E=")</f>
        <v>#VALUE!</v>
      </c>
      <c r="BO184" t="e">
        <f>AND('Planilla_General_03-12-2012_9_3'!B2933,"AAAAAD///0I=")</f>
        <v>#VALUE!</v>
      </c>
      <c r="BP184" t="e">
        <f>AND('Planilla_General_03-12-2012_9_3'!C2933,"AAAAAD///0M=")</f>
        <v>#VALUE!</v>
      </c>
      <c r="BQ184" t="e">
        <f>AND('Planilla_General_03-12-2012_9_3'!D2933,"AAAAAD///0Q=")</f>
        <v>#VALUE!</v>
      </c>
      <c r="BR184" t="e">
        <f>AND('Planilla_General_03-12-2012_9_3'!E2933,"AAAAAD///0U=")</f>
        <v>#VALUE!</v>
      </c>
      <c r="BS184" t="e">
        <f>AND('Planilla_General_03-12-2012_9_3'!F2933,"AAAAAD///0Y=")</f>
        <v>#VALUE!</v>
      </c>
      <c r="BT184" t="e">
        <f>AND('Planilla_General_03-12-2012_9_3'!G2933,"AAAAAD///0c=")</f>
        <v>#VALUE!</v>
      </c>
      <c r="BU184" t="e">
        <f>AND('Planilla_General_03-12-2012_9_3'!H2933,"AAAAAD///0g=")</f>
        <v>#VALUE!</v>
      </c>
      <c r="BV184" t="e">
        <f>AND('Planilla_General_03-12-2012_9_3'!I2933,"AAAAAD///0k=")</f>
        <v>#VALUE!</v>
      </c>
      <c r="BW184" t="e">
        <f>AND('Planilla_General_03-12-2012_9_3'!J2933,"AAAAAD///0o=")</f>
        <v>#VALUE!</v>
      </c>
      <c r="BX184" t="e">
        <f>AND('Planilla_General_03-12-2012_9_3'!K2933,"AAAAAD///0s=")</f>
        <v>#VALUE!</v>
      </c>
      <c r="BY184" t="e">
        <f>AND('Planilla_General_03-12-2012_9_3'!L2933,"AAAAAD///0w=")</f>
        <v>#VALUE!</v>
      </c>
      <c r="BZ184" t="e">
        <f>AND('Planilla_General_03-12-2012_9_3'!M2933,"AAAAAD///00=")</f>
        <v>#VALUE!</v>
      </c>
      <c r="CA184" t="e">
        <f>AND('Planilla_General_03-12-2012_9_3'!N2933,"AAAAAD///04=")</f>
        <v>#VALUE!</v>
      </c>
      <c r="CB184" t="e">
        <f>AND('Planilla_General_03-12-2012_9_3'!O2933,"AAAAAD///08=")</f>
        <v>#VALUE!</v>
      </c>
      <c r="CC184">
        <f>IF('Planilla_General_03-12-2012_9_3'!2934:2934,"AAAAAD///1A=",0)</f>
        <v>0</v>
      </c>
      <c r="CD184" t="e">
        <f>AND('Planilla_General_03-12-2012_9_3'!A2934,"AAAAAD///1E=")</f>
        <v>#VALUE!</v>
      </c>
      <c r="CE184" t="e">
        <f>AND('Planilla_General_03-12-2012_9_3'!B2934,"AAAAAD///1I=")</f>
        <v>#VALUE!</v>
      </c>
      <c r="CF184" t="e">
        <f>AND('Planilla_General_03-12-2012_9_3'!C2934,"AAAAAD///1M=")</f>
        <v>#VALUE!</v>
      </c>
      <c r="CG184" t="e">
        <f>AND('Planilla_General_03-12-2012_9_3'!D2934,"AAAAAD///1Q=")</f>
        <v>#VALUE!</v>
      </c>
      <c r="CH184" t="e">
        <f>AND('Planilla_General_03-12-2012_9_3'!E2934,"AAAAAD///1U=")</f>
        <v>#VALUE!</v>
      </c>
      <c r="CI184" t="e">
        <f>AND('Planilla_General_03-12-2012_9_3'!F2934,"AAAAAD///1Y=")</f>
        <v>#VALUE!</v>
      </c>
      <c r="CJ184" t="e">
        <f>AND('Planilla_General_03-12-2012_9_3'!G2934,"AAAAAD///1c=")</f>
        <v>#VALUE!</v>
      </c>
      <c r="CK184" t="e">
        <f>AND('Planilla_General_03-12-2012_9_3'!H2934,"AAAAAD///1g=")</f>
        <v>#VALUE!</v>
      </c>
      <c r="CL184" t="e">
        <f>AND('Planilla_General_03-12-2012_9_3'!I2934,"AAAAAD///1k=")</f>
        <v>#VALUE!</v>
      </c>
      <c r="CM184" t="e">
        <f>AND('Planilla_General_03-12-2012_9_3'!J2934,"AAAAAD///1o=")</f>
        <v>#VALUE!</v>
      </c>
      <c r="CN184" t="e">
        <f>AND('Planilla_General_03-12-2012_9_3'!K2934,"AAAAAD///1s=")</f>
        <v>#VALUE!</v>
      </c>
      <c r="CO184" t="e">
        <f>AND('Planilla_General_03-12-2012_9_3'!L2934,"AAAAAD///1w=")</f>
        <v>#VALUE!</v>
      </c>
      <c r="CP184" t="e">
        <f>AND('Planilla_General_03-12-2012_9_3'!M2934,"AAAAAD///10=")</f>
        <v>#VALUE!</v>
      </c>
      <c r="CQ184" t="e">
        <f>AND('Planilla_General_03-12-2012_9_3'!N2934,"AAAAAD///14=")</f>
        <v>#VALUE!</v>
      </c>
      <c r="CR184" t="e">
        <f>AND('Planilla_General_03-12-2012_9_3'!O2934,"AAAAAD///18=")</f>
        <v>#VALUE!</v>
      </c>
      <c r="CS184">
        <f>IF('Planilla_General_03-12-2012_9_3'!2935:2935,"AAAAAD///2A=",0)</f>
        <v>0</v>
      </c>
      <c r="CT184" t="e">
        <f>AND('Planilla_General_03-12-2012_9_3'!A2935,"AAAAAD///2E=")</f>
        <v>#VALUE!</v>
      </c>
      <c r="CU184" t="e">
        <f>AND('Planilla_General_03-12-2012_9_3'!B2935,"AAAAAD///2I=")</f>
        <v>#VALUE!</v>
      </c>
      <c r="CV184" t="e">
        <f>AND('Planilla_General_03-12-2012_9_3'!C2935,"AAAAAD///2M=")</f>
        <v>#VALUE!</v>
      </c>
      <c r="CW184" t="e">
        <f>AND('Planilla_General_03-12-2012_9_3'!D2935,"AAAAAD///2Q=")</f>
        <v>#VALUE!</v>
      </c>
      <c r="CX184" t="e">
        <f>AND('Planilla_General_03-12-2012_9_3'!E2935,"AAAAAD///2U=")</f>
        <v>#VALUE!</v>
      </c>
      <c r="CY184" t="e">
        <f>AND('Planilla_General_03-12-2012_9_3'!F2935,"AAAAAD///2Y=")</f>
        <v>#VALUE!</v>
      </c>
      <c r="CZ184" t="e">
        <f>AND('Planilla_General_03-12-2012_9_3'!G2935,"AAAAAD///2c=")</f>
        <v>#VALUE!</v>
      </c>
      <c r="DA184" t="e">
        <f>AND('Planilla_General_03-12-2012_9_3'!H2935,"AAAAAD///2g=")</f>
        <v>#VALUE!</v>
      </c>
      <c r="DB184" t="e">
        <f>AND('Planilla_General_03-12-2012_9_3'!I2935,"AAAAAD///2k=")</f>
        <v>#VALUE!</v>
      </c>
      <c r="DC184" t="e">
        <f>AND('Planilla_General_03-12-2012_9_3'!J2935,"AAAAAD///2o=")</f>
        <v>#VALUE!</v>
      </c>
      <c r="DD184" t="e">
        <f>AND('Planilla_General_03-12-2012_9_3'!K2935,"AAAAAD///2s=")</f>
        <v>#VALUE!</v>
      </c>
      <c r="DE184" t="e">
        <f>AND('Planilla_General_03-12-2012_9_3'!L2935,"AAAAAD///2w=")</f>
        <v>#VALUE!</v>
      </c>
      <c r="DF184" t="e">
        <f>AND('Planilla_General_03-12-2012_9_3'!M2935,"AAAAAD///20=")</f>
        <v>#VALUE!</v>
      </c>
      <c r="DG184" t="e">
        <f>AND('Planilla_General_03-12-2012_9_3'!N2935,"AAAAAD///24=")</f>
        <v>#VALUE!</v>
      </c>
      <c r="DH184" t="e">
        <f>AND('Planilla_General_03-12-2012_9_3'!O2935,"AAAAAD///28=")</f>
        <v>#VALUE!</v>
      </c>
      <c r="DI184">
        <f>IF('Planilla_General_03-12-2012_9_3'!2936:2936,"AAAAAD///3A=",0)</f>
        <v>0</v>
      </c>
      <c r="DJ184" t="e">
        <f>AND('Planilla_General_03-12-2012_9_3'!A2936,"AAAAAD///3E=")</f>
        <v>#VALUE!</v>
      </c>
      <c r="DK184" t="e">
        <f>AND('Planilla_General_03-12-2012_9_3'!B2936,"AAAAAD///3I=")</f>
        <v>#VALUE!</v>
      </c>
      <c r="DL184" t="e">
        <f>AND('Planilla_General_03-12-2012_9_3'!C2936,"AAAAAD///3M=")</f>
        <v>#VALUE!</v>
      </c>
      <c r="DM184" t="e">
        <f>AND('Planilla_General_03-12-2012_9_3'!D2936,"AAAAAD///3Q=")</f>
        <v>#VALUE!</v>
      </c>
      <c r="DN184" t="e">
        <f>AND('Planilla_General_03-12-2012_9_3'!E2936,"AAAAAD///3U=")</f>
        <v>#VALUE!</v>
      </c>
      <c r="DO184" t="e">
        <f>AND('Planilla_General_03-12-2012_9_3'!F2936,"AAAAAD///3Y=")</f>
        <v>#VALUE!</v>
      </c>
      <c r="DP184" t="e">
        <f>AND('Planilla_General_03-12-2012_9_3'!G2936,"AAAAAD///3c=")</f>
        <v>#VALUE!</v>
      </c>
      <c r="DQ184" t="e">
        <f>AND('Planilla_General_03-12-2012_9_3'!H2936,"AAAAAD///3g=")</f>
        <v>#VALUE!</v>
      </c>
      <c r="DR184" t="e">
        <f>AND('Planilla_General_03-12-2012_9_3'!I2936,"AAAAAD///3k=")</f>
        <v>#VALUE!</v>
      </c>
      <c r="DS184" t="e">
        <f>AND('Planilla_General_03-12-2012_9_3'!J2936,"AAAAAD///3o=")</f>
        <v>#VALUE!</v>
      </c>
      <c r="DT184" t="e">
        <f>AND('Planilla_General_03-12-2012_9_3'!K2936,"AAAAAD///3s=")</f>
        <v>#VALUE!</v>
      </c>
      <c r="DU184" t="e">
        <f>AND('Planilla_General_03-12-2012_9_3'!L2936,"AAAAAD///3w=")</f>
        <v>#VALUE!</v>
      </c>
      <c r="DV184" t="e">
        <f>AND('Planilla_General_03-12-2012_9_3'!M2936,"AAAAAD///30=")</f>
        <v>#VALUE!</v>
      </c>
      <c r="DW184" t="e">
        <f>AND('Planilla_General_03-12-2012_9_3'!N2936,"AAAAAD///34=")</f>
        <v>#VALUE!</v>
      </c>
      <c r="DX184" t="e">
        <f>AND('Planilla_General_03-12-2012_9_3'!O2936,"AAAAAD///38=")</f>
        <v>#VALUE!</v>
      </c>
      <c r="DY184">
        <f>IF('Planilla_General_03-12-2012_9_3'!2937:2937,"AAAAAD///4A=",0)</f>
        <v>0</v>
      </c>
      <c r="DZ184" t="e">
        <f>AND('Planilla_General_03-12-2012_9_3'!A2937,"AAAAAD///4E=")</f>
        <v>#VALUE!</v>
      </c>
      <c r="EA184" t="e">
        <f>AND('Planilla_General_03-12-2012_9_3'!B2937,"AAAAAD///4I=")</f>
        <v>#VALUE!</v>
      </c>
      <c r="EB184" t="e">
        <f>AND('Planilla_General_03-12-2012_9_3'!C2937,"AAAAAD///4M=")</f>
        <v>#VALUE!</v>
      </c>
      <c r="EC184" t="e">
        <f>AND('Planilla_General_03-12-2012_9_3'!D2937,"AAAAAD///4Q=")</f>
        <v>#VALUE!</v>
      </c>
      <c r="ED184" t="e">
        <f>AND('Planilla_General_03-12-2012_9_3'!E2937,"AAAAAD///4U=")</f>
        <v>#VALUE!</v>
      </c>
      <c r="EE184" t="e">
        <f>AND('Planilla_General_03-12-2012_9_3'!F2937,"AAAAAD///4Y=")</f>
        <v>#VALUE!</v>
      </c>
      <c r="EF184" t="e">
        <f>AND('Planilla_General_03-12-2012_9_3'!G2937,"AAAAAD///4c=")</f>
        <v>#VALUE!</v>
      </c>
      <c r="EG184" t="e">
        <f>AND('Planilla_General_03-12-2012_9_3'!H2937,"AAAAAD///4g=")</f>
        <v>#VALUE!</v>
      </c>
      <c r="EH184" t="e">
        <f>AND('Planilla_General_03-12-2012_9_3'!I2937,"AAAAAD///4k=")</f>
        <v>#VALUE!</v>
      </c>
      <c r="EI184" t="e">
        <f>AND('Planilla_General_03-12-2012_9_3'!J2937,"AAAAAD///4o=")</f>
        <v>#VALUE!</v>
      </c>
      <c r="EJ184" t="e">
        <f>AND('Planilla_General_03-12-2012_9_3'!K2937,"AAAAAD///4s=")</f>
        <v>#VALUE!</v>
      </c>
      <c r="EK184" t="e">
        <f>AND('Planilla_General_03-12-2012_9_3'!L2937,"AAAAAD///4w=")</f>
        <v>#VALUE!</v>
      </c>
      <c r="EL184" t="e">
        <f>AND('Planilla_General_03-12-2012_9_3'!M2937,"AAAAAD///40=")</f>
        <v>#VALUE!</v>
      </c>
      <c r="EM184" t="e">
        <f>AND('Planilla_General_03-12-2012_9_3'!N2937,"AAAAAD///44=")</f>
        <v>#VALUE!</v>
      </c>
      <c r="EN184" t="e">
        <f>AND('Planilla_General_03-12-2012_9_3'!O2937,"AAAAAD///48=")</f>
        <v>#VALUE!</v>
      </c>
      <c r="EO184">
        <f>IF('Planilla_General_03-12-2012_9_3'!2938:2938,"AAAAAD///5A=",0)</f>
        <v>0</v>
      </c>
      <c r="EP184" t="e">
        <f>AND('Planilla_General_03-12-2012_9_3'!A2938,"AAAAAD///5E=")</f>
        <v>#VALUE!</v>
      </c>
      <c r="EQ184" t="e">
        <f>AND('Planilla_General_03-12-2012_9_3'!B2938,"AAAAAD///5I=")</f>
        <v>#VALUE!</v>
      </c>
      <c r="ER184" t="e">
        <f>AND('Planilla_General_03-12-2012_9_3'!C2938,"AAAAAD///5M=")</f>
        <v>#VALUE!</v>
      </c>
      <c r="ES184" t="e">
        <f>AND('Planilla_General_03-12-2012_9_3'!D2938,"AAAAAD///5Q=")</f>
        <v>#VALUE!</v>
      </c>
      <c r="ET184" t="e">
        <f>AND('Planilla_General_03-12-2012_9_3'!E2938,"AAAAAD///5U=")</f>
        <v>#VALUE!</v>
      </c>
      <c r="EU184" t="e">
        <f>AND('Planilla_General_03-12-2012_9_3'!F2938,"AAAAAD///5Y=")</f>
        <v>#VALUE!</v>
      </c>
      <c r="EV184" t="e">
        <f>AND('Planilla_General_03-12-2012_9_3'!G2938,"AAAAAD///5c=")</f>
        <v>#VALUE!</v>
      </c>
      <c r="EW184" t="e">
        <f>AND('Planilla_General_03-12-2012_9_3'!H2938,"AAAAAD///5g=")</f>
        <v>#VALUE!</v>
      </c>
      <c r="EX184" t="e">
        <f>AND('Planilla_General_03-12-2012_9_3'!I2938,"AAAAAD///5k=")</f>
        <v>#VALUE!</v>
      </c>
      <c r="EY184" t="e">
        <f>AND('Planilla_General_03-12-2012_9_3'!J2938,"AAAAAD///5o=")</f>
        <v>#VALUE!</v>
      </c>
      <c r="EZ184" t="e">
        <f>AND('Planilla_General_03-12-2012_9_3'!K2938,"AAAAAD///5s=")</f>
        <v>#VALUE!</v>
      </c>
      <c r="FA184" t="e">
        <f>AND('Planilla_General_03-12-2012_9_3'!L2938,"AAAAAD///5w=")</f>
        <v>#VALUE!</v>
      </c>
      <c r="FB184" t="e">
        <f>AND('Planilla_General_03-12-2012_9_3'!M2938,"AAAAAD///50=")</f>
        <v>#VALUE!</v>
      </c>
      <c r="FC184" t="e">
        <f>AND('Planilla_General_03-12-2012_9_3'!N2938,"AAAAAD///54=")</f>
        <v>#VALUE!</v>
      </c>
      <c r="FD184" t="e">
        <f>AND('Planilla_General_03-12-2012_9_3'!O2938,"AAAAAD///58=")</f>
        <v>#VALUE!</v>
      </c>
      <c r="FE184">
        <f>IF('Planilla_General_03-12-2012_9_3'!2939:2939,"AAAAAD///6A=",0)</f>
        <v>0</v>
      </c>
      <c r="FF184" t="e">
        <f>AND('Planilla_General_03-12-2012_9_3'!A2939,"AAAAAD///6E=")</f>
        <v>#VALUE!</v>
      </c>
      <c r="FG184" t="e">
        <f>AND('Planilla_General_03-12-2012_9_3'!B2939,"AAAAAD///6I=")</f>
        <v>#VALUE!</v>
      </c>
      <c r="FH184" t="e">
        <f>AND('Planilla_General_03-12-2012_9_3'!C2939,"AAAAAD///6M=")</f>
        <v>#VALUE!</v>
      </c>
      <c r="FI184" t="e">
        <f>AND('Planilla_General_03-12-2012_9_3'!D2939,"AAAAAD///6Q=")</f>
        <v>#VALUE!</v>
      </c>
      <c r="FJ184" t="e">
        <f>AND('Planilla_General_03-12-2012_9_3'!E2939,"AAAAAD///6U=")</f>
        <v>#VALUE!</v>
      </c>
      <c r="FK184" t="e">
        <f>AND('Planilla_General_03-12-2012_9_3'!F2939,"AAAAAD///6Y=")</f>
        <v>#VALUE!</v>
      </c>
      <c r="FL184" t="e">
        <f>AND('Planilla_General_03-12-2012_9_3'!G2939,"AAAAAD///6c=")</f>
        <v>#VALUE!</v>
      </c>
      <c r="FM184" t="e">
        <f>AND('Planilla_General_03-12-2012_9_3'!H2939,"AAAAAD///6g=")</f>
        <v>#VALUE!</v>
      </c>
      <c r="FN184" t="e">
        <f>AND('Planilla_General_03-12-2012_9_3'!I2939,"AAAAAD///6k=")</f>
        <v>#VALUE!</v>
      </c>
      <c r="FO184" t="e">
        <f>AND('Planilla_General_03-12-2012_9_3'!J2939,"AAAAAD///6o=")</f>
        <v>#VALUE!</v>
      </c>
      <c r="FP184" t="e">
        <f>AND('Planilla_General_03-12-2012_9_3'!K2939,"AAAAAD///6s=")</f>
        <v>#VALUE!</v>
      </c>
      <c r="FQ184" t="e">
        <f>AND('Planilla_General_03-12-2012_9_3'!L2939,"AAAAAD///6w=")</f>
        <v>#VALUE!</v>
      </c>
      <c r="FR184" t="e">
        <f>AND('Planilla_General_03-12-2012_9_3'!M2939,"AAAAAD///60=")</f>
        <v>#VALUE!</v>
      </c>
      <c r="FS184" t="e">
        <f>AND('Planilla_General_03-12-2012_9_3'!N2939,"AAAAAD///64=")</f>
        <v>#VALUE!</v>
      </c>
      <c r="FT184" t="e">
        <f>AND('Planilla_General_03-12-2012_9_3'!O2939,"AAAAAD///68=")</f>
        <v>#VALUE!</v>
      </c>
      <c r="FU184">
        <f>IF('Planilla_General_03-12-2012_9_3'!2940:2940,"AAAAAD///7A=",0)</f>
        <v>0</v>
      </c>
      <c r="FV184" t="e">
        <f>AND('Planilla_General_03-12-2012_9_3'!A2940,"AAAAAD///7E=")</f>
        <v>#VALUE!</v>
      </c>
      <c r="FW184" t="e">
        <f>AND('Planilla_General_03-12-2012_9_3'!B2940,"AAAAAD///7I=")</f>
        <v>#VALUE!</v>
      </c>
      <c r="FX184" t="e">
        <f>AND('Planilla_General_03-12-2012_9_3'!C2940,"AAAAAD///7M=")</f>
        <v>#VALUE!</v>
      </c>
      <c r="FY184" t="e">
        <f>AND('Planilla_General_03-12-2012_9_3'!D2940,"AAAAAD///7Q=")</f>
        <v>#VALUE!</v>
      </c>
      <c r="FZ184" t="e">
        <f>AND('Planilla_General_03-12-2012_9_3'!E2940,"AAAAAD///7U=")</f>
        <v>#VALUE!</v>
      </c>
      <c r="GA184" t="e">
        <f>AND('Planilla_General_03-12-2012_9_3'!F2940,"AAAAAD///7Y=")</f>
        <v>#VALUE!</v>
      </c>
      <c r="GB184" t="e">
        <f>AND('Planilla_General_03-12-2012_9_3'!G2940,"AAAAAD///7c=")</f>
        <v>#VALUE!</v>
      </c>
      <c r="GC184" t="e">
        <f>AND('Planilla_General_03-12-2012_9_3'!H2940,"AAAAAD///7g=")</f>
        <v>#VALUE!</v>
      </c>
      <c r="GD184" t="e">
        <f>AND('Planilla_General_03-12-2012_9_3'!I2940,"AAAAAD///7k=")</f>
        <v>#VALUE!</v>
      </c>
      <c r="GE184" t="e">
        <f>AND('Planilla_General_03-12-2012_9_3'!J2940,"AAAAAD///7o=")</f>
        <v>#VALUE!</v>
      </c>
      <c r="GF184" t="e">
        <f>AND('Planilla_General_03-12-2012_9_3'!K2940,"AAAAAD///7s=")</f>
        <v>#VALUE!</v>
      </c>
      <c r="GG184" t="e">
        <f>AND('Planilla_General_03-12-2012_9_3'!L2940,"AAAAAD///7w=")</f>
        <v>#VALUE!</v>
      </c>
      <c r="GH184" t="e">
        <f>AND('Planilla_General_03-12-2012_9_3'!M2940,"AAAAAD///70=")</f>
        <v>#VALUE!</v>
      </c>
      <c r="GI184" t="e">
        <f>AND('Planilla_General_03-12-2012_9_3'!N2940,"AAAAAD///74=")</f>
        <v>#VALUE!</v>
      </c>
      <c r="GJ184" t="e">
        <f>AND('Planilla_General_03-12-2012_9_3'!O2940,"AAAAAD///78=")</f>
        <v>#VALUE!</v>
      </c>
      <c r="GK184">
        <f>IF('Planilla_General_03-12-2012_9_3'!2941:2941,"AAAAAD///8A=",0)</f>
        <v>0</v>
      </c>
      <c r="GL184" t="e">
        <f>AND('Planilla_General_03-12-2012_9_3'!A2941,"AAAAAD///8E=")</f>
        <v>#VALUE!</v>
      </c>
      <c r="GM184" t="e">
        <f>AND('Planilla_General_03-12-2012_9_3'!B2941,"AAAAAD///8I=")</f>
        <v>#VALUE!</v>
      </c>
      <c r="GN184" t="e">
        <f>AND('Planilla_General_03-12-2012_9_3'!C2941,"AAAAAD///8M=")</f>
        <v>#VALUE!</v>
      </c>
      <c r="GO184" t="e">
        <f>AND('Planilla_General_03-12-2012_9_3'!D2941,"AAAAAD///8Q=")</f>
        <v>#VALUE!</v>
      </c>
      <c r="GP184" t="e">
        <f>AND('Planilla_General_03-12-2012_9_3'!E2941,"AAAAAD///8U=")</f>
        <v>#VALUE!</v>
      </c>
      <c r="GQ184" t="e">
        <f>AND('Planilla_General_03-12-2012_9_3'!F2941,"AAAAAD///8Y=")</f>
        <v>#VALUE!</v>
      </c>
      <c r="GR184" t="e">
        <f>AND('Planilla_General_03-12-2012_9_3'!G2941,"AAAAAD///8c=")</f>
        <v>#VALUE!</v>
      </c>
      <c r="GS184" t="e">
        <f>AND('Planilla_General_03-12-2012_9_3'!H2941,"AAAAAD///8g=")</f>
        <v>#VALUE!</v>
      </c>
      <c r="GT184" t="e">
        <f>AND('Planilla_General_03-12-2012_9_3'!I2941,"AAAAAD///8k=")</f>
        <v>#VALUE!</v>
      </c>
      <c r="GU184" t="e">
        <f>AND('Planilla_General_03-12-2012_9_3'!J2941,"AAAAAD///8o=")</f>
        <v>#VALUE!</v>
      </c>
      <c r="GV184" t="e">
        <f>AND('Planilla_General_03-12-2012_9_3'!K2941,"AAAAAD///8s=")</f>
        <v>#VALUE!</v>
      </c>
      <c r="GW184" t="e">
        <f>AND('Planilla_General_03-12-2012_9_3'!L2941,"AAAAAD///8w=")</f>
        <v>#VALUE!</v>
      </c>
      <c r="GX184" t="e">
        <f>AND('Planilla_General_03-12-2012_9_3'!M2941,"AAAAAD///80=")</f>
        <v>#VALUE!</v>
      </c>
      <c r="GY184" t="e">
        <f>AND('Planilla_General_03-12-2012_9_3'!N2941,"AAAAAD///84=")</f>
        <v>#VALUE!</v>
      </c>
      <c r="GZ184" t="e">
        <f>AND('Planilla_General_03-12-2012_9_3'!O2941,"AAAAAD///88=")</f>
        <v>#VALUE!</v>
      </c>
      <c r="HA184">
        <f>IF('Planilla_General_03-12-2012_9_3'!2942:2942,"AAAAAD///9A=",0)</f>
        <v>0</v>
      </c>
      <c r="HB184" t="e">
        <f>AND('Planilla_General_03-12-2012_9_3'!A2942,"AAAAAD///9E=")</f>
        <v>#VALUE!</v>
      </c>
      <c r="HC184" t="e">
        <f>AND('Planilla_General_03-12-2012_9_3'!B2942,"AAAAAD///9I=")</f>
        <v>#VALUE!</v>
      </c>
      <c r="HD184" t="e">
        <f>AND('Planilla_General_03-12-2012_9_3'!C2942,"AAAAAD///9M=")</f>
        <v>#VALUE!</v>
      </c>
      <c r="HE184" t="e">
        <f>AND('Planilla_General_03-12-2012_9_3'!D2942,"AAAAAD///9Q=")</f>
        <v>#VALUE!</v>
      </c>
      <c r="HF184" t="e">
        <f>AND('Planilla_General_03-12-2012_9_3'!E2942,"AAAAAD///9U=")</f>
        <v>#VALUE!</v>
      </c>
      <c r="HG184" t="e">
        <f>AND('Planilla_General_03-12-2012_9_3'!F2942,"AAAAAD///9Y=")</f>
        <v>#VALUE!</v>
      </c>
      <c r="HH184" t="e">
        <f>AND('Planilla_General_03-12-2012_9_3'!G2942,"AAAAAD///9c=")</f>
        <v>#VALUE!</v>
      </c>
      <c r="HI184" t="e">
        <f>AND('Planilla_General_03-12-2012_9_3'!H2942,"AAAAAD///9g=")</f>
        <v>#VALUE!</v>
      </c>
      <c r="HJ184" t="e">
        <f>AND('Planilla_General_03-12-2012_9_3'!I2942,"AAAAAD///9k=")</f>
        <v>#VALUE!</v>
      </c>
      <c r="HK184" t="e">
        <f>AND('Planilla_General_03-12-2012_9_3'!J2942,"AAAAAD///9o=")</f>
        <v>#VALUE!</v>
      </c>
      <c r="HL184" t="e">
        <f>AND('Planilla_General_03-12-2012_9_3'!K2942,"AAAAAD///9s=")</f>
        <v>#VALUE!</v>
      </c>
      <c r="HM184" t="e">
        <f>AND('Planilla_General_03-12-2012_9_3'!L2942,"AAAAAD///9w=")</f>
        <v>#VALUE!</v>
      </c>
      <c r="HN184" t="e">
        <f>AND('Planilla_General_03-12-2012_9_3'!M2942,"AAAAAD///90=")</f>
        <v>#VALUE!</v>
      </c>
      <c r="HO184" t="e">
        <f>AND('Planilla_General_03-12-2012_9_3'!N2942,"AAAAAD///94=")</f>
        <v>#VALUE!</v>
      </c>
      <c r="HP184" t="e">
        <f>AND('Planilla_General_03-12-2012_9_3'!O2942,"AAAAAD///98=")</f>
        <v>#VALUE!</v>
      </c>
      <c r="HQ184">
        <f>IF('Planilla_General_03-12-2012_9_3'!2943:2943,"AAAAAD///+A=",0)</f>
        <v>0</v>
      </c>
      <c r="HR184" t="e">
        <f>AND('Planilla_General_03-12-2012_9_3'!A2943,"AAAAAD///+E=")</f>
        <v>#VALUE!</v>
      </c>
      <c r="HS184" t="e">
        <f>AND('Planilla_General_03-12-2012_9_3'!B2943,"AAAAAD///+I=")</f>
        <v>#VALUE!</v>
      </c>
      <c r="HT184" t="e">
        <f>AND('Planilla_General_03-12-2012_9_3'!C2943,"AAAAAD///+M=")</f>
        <v>#VALUE!</v>
      </c>
      <c r="HU184" t="e">
        <f>AND('Planilla_General_03-12-2012_9_3'!D2943,"AAAAAD///+Q=")</f>
        <v>#VALUE!</v>
      </c>
      <c r="HV184" t="e">
        <f>AND('Planilla_General_03-12-2012_9_3'!E2943,"AAAAAD///+U=")</f>
        <v>#VALUE!</v>
      </c>
      <c r="HW184" t="e">
        <f>AND('Planilla_General_03-12-2012_9_3'!F2943,"AAAAAD///+Y=")</f>
        <v>#VALUE!</v>
      </c>
      <c r="HX184" t="e">
        <f>AND('Planilla_General_03-12-2012_9_3'!G2943,"AAAAAD///+c=")</f>
        <v>#VALUE!</v>
      </c>
      <c r="HY184" t="e">
        <f>AND('Planilla_General_03-12-2012_9_3'!H2943,"AAAAAD///+g=")</f>
        <v>#VALUE!</v>
      </c>
      <c r="HZ184" t="e">
        <f>AND('Planilla_General_03-12-2012_9_3'!I2943,"AAAAAD///+k=")</f>
        <v>#VALUE!</v>
      </c>
      <c r="IA184" t="e">
        <f>AND('Planilla_General_03-12-2012_9_3'!J2943,"AAAAAD///+o=")</f>
        <v>#VALUE!</v>
      </c>
      <c r="IB184" t="e">
        <f>AND('Planilla_General_03-12-2012_9_3'!K2943,"AAAAAD///+s=")</f>
        <v>#VALUE!</v>
      </c>
      <c r="IC184" t="e">
        <f>AND('Planilla_General_03-12-2012_9_3'!L2943,"AAAAAD///+w=")</f>
        <v>#VALUE!</v>
      </c>
      <c r="ID184" t="e">
        <f>AND('Planilla_General_03-12-2012_9_3'!M2943,"AAAAAD///+0=")</f>
        <v>#VALUE!</v>
      </c>
      <c r="IE184" t="e">
        <f>AND('Planilla_General_03-12-2012_9_3'!N2943,"AAAAAD///+4=")</f>
        <v>#VALUE!</v>
      </c>
      <c r="IF184" t="e">
        <f>AND('Planilla_General_03-12-2012_9_3'!O2943,"AAAAAD///+8=")</f>
        <v>#VALUE!</v>
      </c>
      <c r="IG184">
        <f>IF('Planilla_General_03-12-2012_9_3'!2944:2944,"AAAAAD////A=",0)</f>
        <v>0</v>
      </c>
      <c r="IH184" t="e">
        <f>AND('Planilla_General_03-12-2012_9_3'!A2944,"AAAAAD////E=")</f>
        <v>#VALUE!</v>
      </c>
      <c r="II184" t="e">
        <f>AND('Planilla_General_03-12-2012_9_3'!B2944,"AAAAAD////I=")</f>
        <v>#VALUE!</v>
      </c>
      <c r="IJ184" t="e">
        <f>AND('Planilla_General_03-12-2012_9_3'!C2944,"AAAAAD////M=")</f>
        <v>#VALUE!</v>
      </c>
      <c r="IK184" t="e">
        <f>AND('Planilla_General_03-12-2012_9_3'!D2944,"AAAAAD////Q=")</f>
        <v>#VALUE!</v>
      </c>
      <c r="IL184" t="e">
        <f>AND('Planilla_General_03-12-2012_9_3'!E2944,"AAAAAD////U=")</f>
        <v>#VALUE!</v>
      </c>
      <c r="IM184" t="e">
        <f>AND('Planilla_General_03-12-2012_9_3'!F2944,"AAAAAD////Y=")</f>
        <v>#VALUE!</v>
      </c>
      <c r="IN184" t="e">
        <f>AND('Planilla_General_03-12-2012_9_3'!G2944,"AAAAAD////c=")</f>
        <v>#VALUE!</v>
      </c>
      <c r="IO184" t="e">
        <f>AND('Planilla_General_03-12-2012_9_3'!H2944,"AAAAAD////g=")</f>
        <v>#VALUE!</v>
      </c>
      <c r="IP184" t="e">
        <f>AND('Planilla_General_03-12-2012_9_3'!I2944,"AAAAAD////k=")</f>
        <v>#VALUE!</v>
      </c>
      <c r="IQ184" t="e">
        <f>AND('Planilla_General_03-12-2012_9_3'!J2944,"AAAAAD////o=")</f>
        <v>#VALUE!</v>
      </c>
      <c r="IR184" t="e">
        <f>AND('Planilla_General_03-12-2012_9_3'!K2944,"AAAAAD////s=")</f>
        <v>#VALUE!</v>
      </c>
      <c r="IS184" t="e">
        <f>AND('Planilla_General_03-12-2012_9_3'!L2944,"AAAAAD////w=")</f>
        <v>#VALUE!</v>
      </c>
      <c r="IT184" t="e">
        <f>AND('Planilla_General_03-12-2012_9_3'!M2944,"AAAAAD////0=")</f>
        <v>#VALUE!</v>
      </c>
      <c r="IU184" t="e">
        <f>AND('Planilla_General_03-12-2012_9_3'!N2944,"AAAAAD////4=")</f>
        <v>#VALUE!</v>
      </c>
      <c r="IV184" t="e">
        <f>AND('Planilla_General_03-12-2012_9_3'!O2944,"AAAAAD////8=")</f>
        <v>#VALUE!</v>
      </c>
    </row>
    <row r="185" spans="1:256" x14ac:dyDescent="0.25">
      <c r="A185" t="e">
        <f>IF('Planilla_General_03-12-2012_9_3'!2945:2945,"AAAAAHF97wA=",0)</f>
        <v>#VALUE!</v>
      </c>
      <c r="B185" t="e">
        <f>AND('Planilla_General_03-12-2012_9_3'!A2945,"AAAAAHF97wE=")</f>
        <v>#VALUE!</v>
      </c>
      <c r="C185" t="e">
        <f>AND('Planilla_General_03-12-2012_9_3'!B2945,"AAAAAHF97wI=")</f>
        <v>#VALUE!</v>
      </c>
      <c r="D185" t="e">
        <f>AND('Planilla_General_03-12-2012_9_3'!C2945,"AAAAAHF97wM=")</f>
        <v>#VALUE!</v>
      </c>
      <c r="E185" t="e">
        <f>AND('Planilla_General_03-12-2012_9_3'!D2945,"AAAAAHF97wQ=")</f>
        <v>#VALUE!</v>
      </c>
      <c r="F185" t="e">
        <f>AND('Planilla_General_03-12-2012_9_3'!E2945,"AAAAAHF97wU=")</f>
        <v>#VALUE!</v>
      </c>
      <c r="G185" t="e">
        <f>AND('Planilla_General_03-12-2012_9_3'!F2945,"AAAAAHF97wY=")</f>
        <v>#VALUE!</v>
      </c>
      <c r="H185" t="e">
        <f>AND('Planilla_General_03-12-2012_9_3'!G2945,"AAAAAHF97wc=")</f>
        <v>#VALUE!</v>
      </c>
      <c r="I185" t="e">
        <f>AND('Planilla_General_03-12-2012_9_3'!H2945,"AAAAAHF97wg=")</f>
        <v>#VALUE!</v>
      </c>
      <c r="J185" t="e">
        <f>AND('Planilla_General_03-12-2012_9_3'!I2945,"AAAAAHF97wk=")</f>
        <v>#VALUE!</v>
      </c>
      <c r="K185" t="e">
        <f>AND('Planilla_General_03-12-2012_9_3'!J2945,"AAAAAHF97wo=")</f>
        <v>#VALUE!</v>
      </c>
      <c r="L185" t="e">
        <f>AND('Planilla_General_03-12-2012_9_3'!K2945,"AAAAAHF97ws=")</f>
        <v>#VALUE!</v>
      </c>
      <c r="M185" t="e">
        <f>AND('Planilla_General_03-12-2012_9_3'!L2945,"AAAAAHF97ww=")</f>
        <v>#VALUE!</v>
      </c>
      <c r="N185" t="e">
        <f>AND('Planilla_General_03-12-2012_9_3'!M2945,"AAAAAHF97w0=")</f>
        <v>#VALUE!</v>
      </c>
      <c r="O185" t="e">
        <f>AND('Planilla_General_03-12-2012_9_3'!N2945,"AAAAAHF97w4=")</f>
        <v>#VALUE!</v>
      </c>
      <c r="P185" t="e">
        <f>AND('Planilla_General_03-12-2012_9_3'!O2945,"AAAAAHF97w8=")</f>
        <v>#VALUE!</v>
      </c>
      <c r="Q185">
        <f>IF('Planilla_General_03-12-2012_9_3'!2946:2946,"AAAAAHF97xA=",0)</f>
        <v>0</v>
      </c>
      <c r="R185" t="e">
        <f>AND('Planilla_General_03-12-2012_9_3'!A2946,"AAAAAHF97xE=")</f>
        <v>#VALUE!</v>
      </c>
      <c r="S185" t="e">
        <f>AND('Planilla_General_03-12-2012_9_3'!B2946,"AAAAAHF97xI=")</f>
        <v>#VALUE!</v>
      </c>
      <c r="T185" t="e">
        <f>AND('Planilla_General_03-12-2012_9_3'!C2946,"AAAAAHF97xM=")</f>
        <v>#VALUE!</v>
      </c>
      <c r="U185" t="e">
        <f>AND('Planilla_General_03-12-2012_9_3'!D2946,"AAAAAHF97xQ=")</f>
        <v>#VALUE!</v>
      </c>
      <c r="V185" t="e">
        <f>AND('Planilla_General_03-12-2012_9_3'!E2946,"AAAAAHF97xU=")</f>
        <v>#VALUE!</v>
      </c>
      <c r="W185" t="e">
        <f>AND('Planilla_General_03-12-2012_9_3'!F2946,"AAAAAHF97xY=")</f>
        <v>#VALUE!</v>
      </c>
      <c r="X185" t="e">
        <f>AND('Planilla_General_03-12-2012_9_3'!G2946,"AAAAAHF97xc=")</f>
        <v>#VALUE!</v>
      </c>
      <c r="Y185" t="e">
        <f>AND('Planilla_General_03-12-2012_9_3'!H2946,"AAAAAHF97xg=")</f>
        <v>#VALUE!</v>
      </c>
      <c r="Z185" t="e">
        <f>AND('Planilla_General_03-12-2012_9_3'!I2946,"AAAAAHF97xk=")</f>
        <v>#VALUE!</v>
      </c>
      <c r="AA185" t="e">
        <f>AND('Planilla_General_03-12-2012_9_3'!J2946,"AAAAAHF97xo=")</f>
        <v>#VALUE!</v>
      </c>
      <c r="AB185" t="e">
        <f>AND('Planilla_General_03-12-2012_9_3'!K2946,"AAAAAHF97xs=")</f>
        <v>#VALUE!</v>
      </c>
      <c r="AC185" t="e">
        <f>AND('Planilla_General_03-12-2012_9_3'!L2946,"AAAAAHF97xw=")</f>
        <v>#VALUE!</v>
      </c>
      <c r="AD185" t="e">
        <f>AND('Planilla_General_03-12-2012_9_3'!M2946,"AAAAAHF97x0=")</f>
        <v>#VALUE!</v>
      </c>
      <c r="AE185" t="e">
        <f>AND('Planilla_General_03-12-2012_9_3'!N2946,"AAAAAHF97x4=")</f>
        <v>#VALUE!</v>
      </c>
      <c r="AF185" t="e">
        <f>AND('Planilla_General_03-12-2012_9_3'!O2946,"AAAAAHF97x8=")</f>
        <v>#VALUE!</v>
      </c>
      <c r="AG185">
        <f>IF('Planilla_General_03-12-2012_9_3'!2947:2947,"AAAAAHF97yA=",0)</f>
        <v>0</v>
      </c>
      <c r="AH185" t="e">
        <f>AND('Planilla_General_03-12-2012_9_3'!A2947,"AAAAAHF97yE=")</f>
        <v>#VALUE!</v>
      </c>
      <c r="AI185" t="e">
        <f>AND('Planilla_General_03-12-2012_9_3'!B2947,"AAAAAHF97yI=")</f>
        <v>#VALUE!</v>
      </c>
      <c r="AJ185" t="e">
        <f>AND('Planilla_General_03-12-2012_9_3'!C2947,"AAAAAHF97yM=")</f>
        <v>#VALUE!</v>
      </c>
      <c r="AK185" t="e">
        <f>AND('Planilla_General_03-12-2012_9_3'!D2947,"AAAAAHF97yQ=")</f>
        <v>#VALUE!</v>
      </c>
      <c r="AL185" t="e">
        <f>AND('Planilla_General_03-12-2012_9_3'!E2947,"AAAAAHF97yU=")</f>
        <v>#VALUE!</v>
      </c>
      <c r="AM185" t="e">
        <f>AND('Planilla_General_03-12-2012_9_3'!F2947,"AAAAAHF97yY=")</f>
        <v>#VALUE!</v>
      </c>
      <c r="AN185" t="e">
        <f>AND('Planilla_General_03-12-2012_9_3'!G2947,"AAAAAHF97yc=")</f>
        <v>#VALUE!</v>
      </c>
      <c r="AO185" t="e">
        <f>AND('Planilla_General_03-12-2012_9_3'!H2947,"AAAAAHF97yg=")</f>
        <v>#VALUE!</v>
      </c>
      <c r="AP185" t="e">
        <f>AND('Planilla_General_03-12-2012_9_3'!I2947,"AAAAAHF97yk=")</f>
        <v>#VALUE!</v>
      </c>
      <c r="AQ185" t="e">
        <f>AND('Planilla_General_03-12-2012_9_3'!J2947,"AAAAAHF97yo=")</f>
        <v>#VALUE!</v>
      </c>
      <c r="AR185" t="e">
        <f>AND('Planilla_General_03-12-2012_9_3'!K2947,"AAAAAHF97ys=")</f>
        <v>#VALUE!</v>
      </c>
      <c r="AS185" t="e">
        <f>AND('Planilla_General_03-12-2012_9_3'!L2947,"AAAAAHF97yw=")</f>
        <v>#VALUE!</v>
      </c>
      <c r="AT185" t="e">
        <f>AND('Planilla_General_03-12-2012_9_3'!M2947,"AAAAAHF97y0=")</f>
        <v>#VALUE!</v>
      </c>
      <c r="AU185" t="e">
        <f>AND('Planilla_General_03-12-2012_9_3'!N2947,"AAAAAHF97y4=")</f>
        <v>#VALUE!</v>
      </c>
      <c r="AV185" t="e">
        <f>AND('Planilla_General_03-12-2012_9_3'!O2947,"AAAAAHF97y8=")</f>
        <v>#VALUE!</v>
      </c>
      <c r="AW185">
        <f>IF('Planilla_General_03-12-2012_9_3'!2948:2948,"AAAAAHF97zA=",0)</f>
        <v>0</v>
      </c>
      <c r="AX185" t="e">
        <f>AND('Planilla_General_03-12-2012_9_3'!A2948,"AAAAAHF97zE=")</f>
        <v>#VALUE!</v>
      </c>
      <c r="AY185" t="e">
        <f>AND('Planilla_General_03-12-2012_9_3'!B2948,"AAAAAHF97zI=")</f>
        <v>#VALUE!</v>
      </c>
      <c r="AZ185" t="e">
        <f>AND('Planilla_General_03-12-2012_9_3'!C2948,"AAAAAHF97zM=")</f>
        <v>#VALUE!</v>
      </c>
      <c r="BA185" t="e">
        <f>AND('Planilla_General_03-12-2012_9_3'!D2948,"AAAAAHF97zQ=")</f>
        <v>#VALUE!</v>
      </c>
      <c r="BB185" t="e">
        <f>AND('Planilla_General_03-12-2012_9_3'!E2948,"AAAAAHF97zU=")</f>
        <v>#VALUE!</v>
      </c>
      <c r="BC185" t="e">
        <f>AND('Planilla_General_03-12-2012_9_3'!F2948,"AAAAAHF97zY=")</f>
        <v>#VALUE!</v>
      </c>
      <c r="BD185" t="e">
        <f>AND('Planilla_General_03-12-2012_9_3'!G2948,"AAAAAHF97zc=")</f>
        <v>#VALUE!</v>
      </c>
      <c r="BE185" t="e">
        <f>AND('Planilla_General_03-12-2012_9_3'!H2948,"AAAAAHF97zg=")</f>
        <v>#VALUE!</v>
      </c>
      <c r="BF185" t="e">
        <f>AND('Planilla_General_03-12-2012_9_3'!I2948,"AAAAAHF97zk=")</f>
        <v>#VALUE!</v>
      </c>
      <c r="BG185" t="e">
        <f>AND('Planilla_General_03-12-2012_9_3'!J2948,"AAAAAHF97zo=")</f>
        <v>#VALUE!</v>
      </c>
      <c r="BH185" t="e">
        <f>AND('Planilla_General_03-12-2012_9_3'!K2948,"AAAAAHF97zs=")</f>
        <v>#VALUE!</v>
      </c>
      <c r="BI185" t="e">
        <f>AND('Planilla_General_03-12-2012_9_3'!L2948,"AAAAAHF97zw=")</f>
        <v>#VALUE!</v>
      </c>
      <c r="BJ185" t="e">
        <f>AND('Planilla_General_03-12-2012_9_3'!M2948,"AAAAAHF97z0=")</f>
        <v>#VALUE!</v>
      </c>
      <c r="BK185" t="e">
        <f>AND('Planilla_General_03-12-2012_9_3'!N2948,"AAAAAHF97z4=")</f>
        <v>#VALUE!</v>
      </c>
      <c r="BL185" t="e">
        <f>AND('Planilla_General_03-12-2012_9_3'!O2948,"AAAAAHF97z8=")</f>
        <v>#VALUE!</v>
      </c>
      <c r="BM185">
        <f>IF('Planilla_General_03-12-2012_9_3'!2949:2949,"AAAAAHF970A=",0)</f>
        <v>0</v>
      </c>
      <c r="BN185" t="e">
        <f>AND('Planilla_General_03-12-2012_9_3'!A2949,"AAAAAHF970E=")</f>
        <v>#VALUE!</v>
      </c>
      <c r="BO185" t="e">
        <f>AND('Planilla_General_03-12-2012_9_3'!B2949,"AAAAAHF970I=")</f>
        <v>#VALUE!</v>
      </c>
      <c r="BP185" t="e">
        <f>AND('Planilla_General_03-12-2012_9_3'!C2949,"AAAAAHF970M=")</f>
        <v>#VALUE!</v>
      </c>
      <c r="BQ185" t="e">
        <f>AND('Planilla_General_03-12-2012_9_3'!D2949,"AAAAAHF970Q=")</f>
        <v>#VALUE!</v>
      </c>
      <c r="BR185" t="e">
        <f>AND('Planilla_General_03-12-2012_9_3'!E2949,"AAAAAHF970U=")</f>
        <v>#VALUE!</v>
      </c>
      <c r="BS185" t="e">
        <f>AND('Planilla_General_03-12-2012_9_3'!F2949,"AAAAAHF970Y=")</f>
        <v>#VALUE!</v>
      </c>
      <c r="BT185" t="e">
        <f>AND('Planilla_General_03-12-2012_9_3'!G2949,"AAAAAHF970c=")</f>
        <v>#VALUE!</v>
      </c>
      <c r="BU185" t="e">
        <f>AND('Planilla_General_03-12-2012_9_3'!H2949,"AAAAAHF970g=")</f>
        <v>#VALUE!</v>
      </c>
      <c r="BV185" t="e">
        <f>AND('Planilla_General_03-12-2012_9_3'!I2949,"AAAAAHF970k=")</f>
        <v>#VALUE!</v>
      </c>
      <c r="BW185" t="e">
        <f>AND('Planilla_General_03-12-2012_9_3'!J2949,"AAAAAHF970o=")</f>
        <v>#VALUE!</v>
      </c>
      <c r="BX185" t="e">
        <f>AND('Planilla_General_03-12-2012_9_3'!K2949,"AAAAAHF970s=")</f>
        <v>#VALUE!</v>
      </c>
      <c r="BY185" t="e">
        <f>AND('Planilla_General_03-12-2012_9_3'!L2949,"AAAAAHF970w=")</f>
        <v>#VALUE!</v>
      </c>
      <c r="BZ185" t="e">
        <f>AND('Planilla_General_03-12-2012_9_3'!M2949,"AAAAAHF9700=")</f>
        <v>#VALUE!</v>
      </c>
      <c r="CA185" t="e">
        <f>AND('Planilla_General_03-12-2012_9_3'!N2949,"AAAAAHF9704=")</f>
        <v>#VALUE!</v>
      </c>
      <c r="CB185" t="e">
        <f>AND('Planilla_General_03-12-2012_9_3'!O2949,"AAAAAHF9708=")</f>
        <v>#VALUE!</v>
      </c>
      <c r="CC185">
        <f>IF('Planilla_General_03-12-2012_9_3'!2950:2950,"AAAAAHF971A=",0)</f>
        <v>0</v>
      </c>
      <c r="CD185" t="e">
        <f>AND('Planilla_General_03-12-2012_9_3'!A2950,"AAAAAHF971E=")</f>
        <v>#VALUE!</v>
      </c>
      <c r="CE185" t="e">
        <f>AND('Planilla_General_03-12-2012_9_3'!B2950,"AAAAAHF971I=")</f>
        <v>#VALUE!</v>
      </c>
      <c r="CF185" t="e">
        <f>AND('Planilla_General_03-12-2012_9_3'!C2950,"AAAAAHF971M=")</f>
        <v>#VALUE!</v>
      </c>
      <c r="CG185" t="e">
        <f>AND('Planilla_General_03-12-2012_9_3'!D2950,"AAAAAHF971Q=")</f>
        <v>#VALUE!</v>
      </c>
      <c r="CH185" t="e">
        <f>AND('Planilla_General_03-12-2012_9_3'!E2950,"AAAAAHF971U=")</f>
        <v>#VALUE!</v>
      </c>
      <c r="CI185" t="e">
        <f>AND('Planilla_General_03-12-2012_9_3'!F2950,"AAAAAHF971Y=")</f>
        <v>#VALUE!</v>
      </c>
      <c r="CJ185" t="e">
        <f>AND('Planilla_General_03-12-2012_9_3'!G2950,"AAAAAHF971c=")</f>
        <v>#VALUE!</v>
      </c>
      <c r="CK185" t="e">
        <f>AND('Planilla_General_03-12-2012_9_3'!H2950,"AAAAAHF971g=")</f>
        <v>#VALUE!</v>
      </c>
      <c r="CL185" t="e">
        <f>AND('Planilla_General_03-12-2012_9_3'!I2950,"AAAAAHF971k=")</f>
        <v>#VALUE!</v>
      </c>
      <c r="CM185" t="e">
        <f>AND('Planilla_General_03-12-2012_9_3'!J2950,"AAAAAHF971o=")</f>
        <v>#VALUE!</v>
      </c>
      <c r="CN185" t="e">
        <f>AND('Planilla_General_03-12-2012_9_3'!K2950,"AAAAAHF971s=")</f>
        <v>#VALUE!</v>
      </c>
      <c r="CO185" t="e">
        <f>AND('Planilla_General_03-12-2012_9_3'!L2950,"AAAAAHF971w=")</f>
        <v>#VALUE!</v>
      </c>
      <c r="CP185" t="e">
        <f>AND('Planilla_General_03-12-2012_9_3'!M2950,"AAAAAHF9710=")</f>
        <v>#VALUE!</v>
      </c>
      <c r="CQ185" t="e">
        <f>AND('Planilla_General_03-12-2012_9_3'!N2950,"AAAAAHF9714=")</f>
        <v>#VALUE!</v>
      </c>
      <c r="CR185" t="e">
        <f>AND('Planilla_General_03-12-2012_9_3'!O2950,"AAAAAHF9718=")</f>
        <v>#VALUE!</v>
      </c>
      <c r="CS185">
        <f>IF('Planilla_General_03-12-2012_9_3'!2951:2951,"AAAAAHF972A=",0)</f>
        <v>0</v>
      </c>
      <c r="CT185" t="e">
        <f>AND('Planilla_General_03-12-2012_9_3'!A2951,"AAAAAHF972E=")</f>
        <v>#VALUE!</v>
      </c>
      <c r="CU185" t="e">
        <f>AND('Planilla_General_03-12-2012_9_3'!B2951,"AAAAAHF972I=")</f>
        <v>#VALUE!</v>
      </c>
      <c r="CV185" t="e">
        <f>AND('Planilla_General_03-12-2012_9_3'!C2951,"AAAAAHF972M=")</f>
        <v>#VALUE!</v>
      </c>
      <c r="CW185" t="e">
        <f>AND('Planilla_General_03-12-2012_9_3'!D2951,"AAAAAHF972Q=")</f>
        <v>#VALUE!</v>
      </c>
      <c r="CX185" t="e">
        <f>AND('Planilla_General_03-12-2012_9_3'!E2951,"AAAAAHF972U=")</f>
        <v>#VALUE!</v>
      </c>
      <c r="CY185" t="e">
        <f>AND('Planilla_General_03-12-2012_9_3'!F2951,"AAAAAHF972Y=")</f>
        <v>#VALUE!</v>
      </c>
      <c r="CZ185" t="e">
        <f>AND('Planilla_General_03-12-2012_9_3'!G2951,"AAAAAHF972c=")</f>
        <v>#VALUE!</v>
      </c>
      <c r="DA185" t="e">
        <f>AND('Planilla_General_03-12-2012_9_3'!H2951,"AAAAAHF972g=")</f>
        <v>#VALUE!</v>
      </c>
      <c r="DB185" t="e">
        <f>AND('Planilla_General_03-12-2012_9_3'!I2951,"AAAAAHF972k=")</f>
        <v>#VALUE!</v>
      </c>
      <c r="DC185" t="e">
        <f>AND('Planilla_General_03-12-2012_9_3'!J2951,"AAAAAHF972o=")</f>
        <v>#VALUE!</v>
      </c>
      <c r="DD185" t="e">
        <f>AND('Planilla_General_03-12-2012_9_3'!K2951,"AAAAAHF972s=")</f>
        <v>#VALUE!</v>
      </c>
      <c r="DE185" t="e">
        <f>AND('Planilla_General_03-12-2012_9_3'!L2951,"AAAAAHF972w=")</f>
        <v>#VALUE!</v>
      </c>
      <c r="DF185" t="e">
        <f>AND('Planilla_General_03-12-2012_9_3'!M2951,"AAAAAHF9720=")</f>
        <v>#VALUE!</v>
      </c>
      <c r="DG185" t="e">
        <f>AND('Planilla_General_03-12-2012_9_3'!N2951,"AAAAAHF9724=")</f>
        <v>#VALUE!</v>
      </c>
      <c r="DH185" t="e">
        <f>AND('Planilla_General_03-12-2012_9_3'!O2951,"AAAAAHF9728=")</f>
        <v>#VALUE!</v>
      </c>
      <c r="DI185">
        <f>IF('Planilla_General_03-12-2012_9_3'!2952:2952,"AAAAAHF973A=",0)</f>
        <v>0</v>
      </c>
      <c r="DJ185" t="e">
        <f>AND('Planilla_General_03-12-2012_9_3'!A2952,"AAAAAHF973E=")</f>
        <v>#VALUE!</v>
      </c>
      <c r="DK185" t="e">
        <f>AND('Planilla_General_03-12-2012_9_3'!B2952,"AAAAAHF973I=")</f>
        <v>#VALUE!</v>
      </c>
      <c r="DL185" t="e">
        <f>AND('Planilla_General_03-12-2012_9_3'!C2952,"AAAAAHF973M=")</f>
        <v>#VALUE!</v>
      </c>
      <c r="DM185" t="e">
        <f>AND('Planilla_General_03-12-2012_9_3'!D2952,"AAAAAHF973Q=")</f>
        <v>#VALUE!</v>
      </c>
      <c r="DN185" t="e">
        <f>AND('Planilla_General_03-12-2012_9_3'!E2952,"AAAAAHF973U=")</f>
        <v>#VALUE!</v>
      </c>
      <c r="DO185" t="e">
        <f>AND('Planilla_General_03-12-2012_9_3'!F2952,"AAAAAHF973Y=")</f>
        <v>#VALUE!</v>
      </c>
      <c r="DP185" t="e">
        <f>AND('Planilla_General_03-12-2012_9_3'!G2952,"AAAAAHF973c=")</f>
        <v>#VALUE!</v>
      </c>
      <c r="DQ185" t="e">
        <f>AND('Planilla_General_03-12-2012_9_3'!H2952,"AAAAAHF973g=")</f>
        <v>#VALUE!</v>
      </c>
      <c r="DR185" t="e">
        <f>AND('Planilla_General_03-12-2012_9_3'!I2952,"AAAAAHF973k=")</f>
        <v>#VALUE!</v>
      </c>
      <c r="DS185" t="e">
        <f>AND('Planilla_General_03-12-2012_9_3'!J2952,"AAAAAHF973o=")</f>
        <v>#VALUE!</v>
      </c>
      <c r="DT185" t="e">
        <f>AND('Planilla_General_03-12-2012_9_3'!K2952,"AAAAAHF973s=")</f>
        <v>#VALUE!</v>
      </c>
      <c r="DU185" t="e">
        <f>AND('Planilla_General_03-12-2012_9_3'!L2952,"AAAAAHF973w=")</f>
        <v>#VALUE!</v>
      </c>
      <c r="DV185" t="e">
        <f>AND('Planilla_General_03-12-2012_9_3'!M2952,"AAAAAHF9730=")</f>
        <v>#VALUE!</v>
      </c>
      <c r="DW185" t="e">
        <f>AND('Planilla_General_03-12-2012_9_3'!N2952,"AAAAAHF9734=")</f>
        <v>#VALUE!</v>
      </c>
      <c r="DX185" t="e">
        <f>AND('Planilla_General_03-12-2012_9_3'!O2952,"AAAAAHF9738=")</f>
        <v>#VALUE!</v>
      </c>
      <c r="DY185">
        <f>IF('Planilla_General_03-12-2012_9_3'!2953:2953,"AAAAAHF974A=",0)</f>
        <v>0</v>
      </c>
      <c r="DZ185" t="e">
        <f>AND('Planilla_General_03-12-2012_9_3'!A2953,"AAAAAHF974E=")</f>
        <v>#VALUE!</v>
      </c>
      <c r="EA185" t="e">
        <f>AND('Planilla_General_03-12-2012_9_3'!B2953,"AAAAAHF974I=")</f>
        <v>#VALUE!</v>
      </c>
      <c r="EB185" t="e">
        <f>AND('Planilla_General_03-12-2012_9_3'!C2953,"AAAAAHF974M=")</f>
        <v>#VALUE!</v>
      </c>
      <c r="EC185" t="e">
        <f>AND('Planilla_General_03-12-2012_9_3'!D2953,"AAAAAHF974Q=")</f>
        <v>#VALUE!</v>
      </c>
      <c r="ED185" t="e">
        <f>AND('Planilla_General_03-12-2012_9_3'!E2953,"AAAAAHF974U=")</f>
        <v>#VALUE!</v>
      </c>
      <c r="EE185" t="e">
        <f>AND('Planilla_General_03-12-2012_9_3'!F2953,"AAAAAHF974Y=")</f>
        <v>#VALUE!</v>
      </c>
      <c r="EF185" t="e">
        <f>AND('Planilla_General_03-12-2012_9_3'!G2953,"AAAAAHF974c=")</f>
        <v>#VALUE!</v>
      </c>
      <c r="EG185" t="e">
        <f>AND('Planilla_General_03-12-2012_9_3'!H2953,"AAAAAHF974g=")</f>
        <v>#VALUE!</v>
      </c>
      <c r="EH185" t="e">
        <f>AND('Planilla_General_03-12-2012_9_3'!I2953,"AAAAAHF974k=")</f>
        <v>#VALUE!</v>
      </c>
      <c r="EI185" t="e">
        <f>AND('Planilla_General_03-12-2012_9_3'!J2953,"AAAAAHF974o=")</f>
        <v>#VALUE!</v>
      </c>
      <c r="EJ185" t="e">
        <f>AND('Planilla_General_03-12-2012_9_3'!K2953,"AAAAAHF974s=")</f>
        <v>#VALUE!</v>
      </c>
      <c r="EK185" t="e">
        <f>AND('Planilla_General_03-12-2012_9_3'!L2953,"AAAAAHF974w=")</f>
        <v>#VALUE!</v>
      </c>
      <c r="EL185" t="e">
        <f>AND('Planilla_General_03-12-2012_9_3'!M2953,"AAAAAHF9740=")</f>
        <v>#VALUE!</v>
      </c>
      <c r="EM185" t="e">
        <f>AND('Planilla_General_03-12-2012_9_3'!N2953,"AAAAAHF9744=")</f>
        <v>#VALUE!</v>
      </c>
      <c r="EN185" t="e">
        <f>AND('Planilla_General_03-12-2012_9_3'!O2953,"AAAAAHF9748=")</f>
        <v>#VALUE!</v>
      </c>
      <c r="EO185">
        <f>IF('Planilla_General_03-12-2012_9_3'!2954:2954,"AAAAAHF975A=",0)</f>
        <v>0</v>
      </c>
      <c r="EP185" t="e">
        <f>AND('Planilla_General_03-12-2012_9_3'!A2954,"AAAAAHF975E=")</f>
        <v>#VALUE!</v>
      </c>
      <c r="EQ185" t="e">
        <f>AND('Planilla_General_03-12-2012_9_3'!B2954,"AAAAAHF975I=")</f>
        <v>#VALUE!</v>
      </c>
      <c r="ER185" t="e">
        <f>AND('Planilla_General_03-12-2012_9_3'!C2954,"AAAAAHF975M=")</f>
        <v>#VALUE!</v>
      </c>
      <c r="ES185" t="e">
        <f>AND('Planilla_General_03-12-2012_9_3'!D2954,"AAAAAHF975Q=")</f>
        <v>#VALUE!</v>
      </c>
      <c r="ET185" t="e">
        <f>AND('Planilla_General_03-12-2012_9_3'!E2954,"AAAAAHF975U=")</f>
        <v>#VALUE!</v>
      </c>
      <c r="EU185" t="e">
        <f>AND('Planilla_General_03-12-2012_9_3'!F2954,"AAAAAHF975Y=")</f>
        <v>#VALUE!</v>
      </c>
      <c r="EV185" t="e">
        <f>AND('Planilla_General_03-12-2012_9_3'!G2954,"AAAAAHF975c=")</f>
        <v>#VALUE!</v>
      </c>
      <c r="EW185" t="e">
        <f>AND('Planilla_General_03-12-2012_9_3'!H2954,"AAAAAHF975g=")</f>
        <v>#VALUE!</v>
      </c>
      <c r="EX185" t="e">
        <f>AND('Planilla_General_03-12-2012_9_3'!I2954,"AAAAAHF975k=")</f>
        <v>#VALUE!</v>
      </c>
      <c r="EY185" t="e">
        <f>AND('Planilla_General_03-12-2012_9_3'!J2954,"AAAAAHF975o=")</f>
        <v>#VALUE!</v>
      </c>
      <c r="EZ185" t="e">
        <f>AND('Planilla_General_03-12-2012_9_3'!K2954,"AAAAAHF975s=")</f>
        <v>#VALUE!</v>
      </c>
      <c r="FA185" t="e">
        <f>AND('Planilla_General_03-12-2012_9_3'!L2954,"AAAAAHF975w=")</f>
        <v>#VALUE!</v>
      </c>
      <c r="FB185" t="e">
        <f>AND('Planilla_General_03-12-2012_9_3'!M2954,"AAAAAHF9750=")</f>
        <v>#VALUE!</v>
      </c>
      <c r="FC185" t="e">
        <f>AND('Planilla_General_03-12-2012_9_3'!N2954,"AAAAAHF9754=")</f>
        <v>#VALUE!</v>
      </c>
      <c r="FD185" t="e">
        <f>AND('Planilla_General_03-12-2012_9_3'!O2954,"AAAAAHF9758=")</f>
        <v>#VALUE!</v>
      </c>
      <c r="FE185">
        <f>IF('Planilla_General_03-12-2012_9_3'!2955:2955,"AAAAAHF976A=",0)</f>
        <v>0</v>
      </c>
      <c r="FF185" t="e">
        <f>AND('Planilla_General_03-12-2012_9_3'!A2955,"AAAAAHF976E=")</f>
        <v>#VALUE!</v>
      </c>
      <c r="FG185" t="e">
        <f>AND('Planilla_General_03-12-2012_9_3'!B2955,"AAAAAHF976I=")</f>
        <v>#VALUE!</v>
      </c>
      <c r="FH185" t="e">
        <f>AND('Planilla_General_03-12-2012_9_3'!C2955,"AAAAAHF976M=")</f>
        <v>#VALUE!</v>
      </c>
      <c r="FI185" t="e">
        <f>AND('Planilla_General_03-12-2012_9_3'!D2955,"AAAAAHF976Q=")</f>
        <v>#VALUE!</v>
      </c>
      <c r="FJ185" t="e">
        <f>AND('Planilla_General_03-12-2012_9_3'!E2955,"AAAAAHF976U=")</f>
        <v>#VALUE!</v>
      </c>
      <c r="FK185" t="e">
        <f>AND('Planilla_General_03-12-2012_9_3'!F2955,"AAAAAHF976Y=")</f>
        <v>#VALUE!</v>
      </c>
      <c r="FL185" t="e">
        <f>AND('Planilla_General_03-12-2012_9_3'!G2955,"AAAAAHF976c=")</f>
        <v>#VALUE!</v>
      </c>
      <c r="FM185" t="e">
        <f>AND('Planilla_General_03-12-2012_9_3'!H2955,"AAAAAHF976g=")</f>
        <v>#VALUE!</v>
      </c>
      <c r="FN185" t="e">
        <f>AND('Planilla_General_03-12-2012_9_3'!I2955,"AAAAAHF976k=")</f>
        <v>#VALUE!</v>
      </c>
      <c r="FO185" t="e">
        <f>AND('Planilla_General_03-12-2012_9_3'!J2955,"AAAAAHF976o=")</f>
        <v>#VALUE!</v>
      </c>
      <c r="FP185" t="e">
        <f>AND('Planilla_General_03-12-2012_9_3'!K2955,"AAAAAHF976s=")</f>
        <v>#VALUE!</v>
      </c>
      <c r="FQ185" t="e">
        <f>AND('Planilla_General_03-12-2012_9_3'!L2955,"AAAAAHF976w=")</f>
        <v>#VALUE!</v>
      </c>
      <c r="FR185" t="e">
        <f>AND('Planilla_General_03-12-2012_9_3'!M2955,"AAAAAHF9760=")</f>
        <v>#VALUE!</v>
      </c>
      <c r="FS185" t="e">
        <f>AND('Planilla_General_03-12-2012_9_3'!N2955,"AAAAAHF9764=")</f>
        <v>#VALUE!</v>
      </c>
      <c r="FT185" t="e">
        <f>AND('Planilla_General_03-12-2012_9_3'!O2955,"AAAAAHF9768=")</f>
        <v>#VALUE!</v>
      </c>
      <c r="FU185">
        <f>IF('Planilla_General_03-12-2012_9_3'!2956:2956,"AAAAAHF977A=",0)</f>
        <v>0</v>
      </c>
      <c r="FV185" t="e">
        <f>AND('Planilla_General_03-12-2012_9_3'!A2956,"AAAAAHF977E=")</f>
        <v>#VALUE!</v>
      </c>
      <c r="FW185" t="e">
        <f>AND('Planilla_General_03-12-2012_9_3'!B2956,"AAAAAHF977I=")</f>
        <v>#VALUE!</v>
      </c>
      <c r="FX185" t="e">
        <f>AND('Planilla_General_03-12-2012_9_3'!C2956,"AAAAAHF977M=")</f>
        <v>#VALUE!</v>
      </c>
      <c r="FY185" t="e">
        <f>AND('Planilla_General_03-12-2012_9_3'!D2956,"AAAAAHF977Q=")</f>
        <v>#VALUE!</v>
      </c>
      <c r="FZ185" t="e">
        <f>AND('Planilla_General_03-12-2012_9_3'!E2956,"AAAAAHF977U=")</f>
        <v>#VALUE!</v>
      </c>
      <c r="GA185" t="e">
        <f>AND('Planilla_General_03-12-2012_9_3'!F2956,"AAAAAHF977Y=")</f>
        <v>#VALUE!</v>
      </c>
      <c r="GB185" t="e">
        <f>AND('Planilla_General_03-12-2012_9_3'!G2956,"AAAAAHF977c=")</f>
        <v>#VALUE!</v>
      </c>
      <c r="GC185" t="e">
        <f>AND('Planilla_General_03-12-2012_9_3'!H2956,"AAAAAHF977g=")</f>
        <v>#VALUE!</v>
      </c>
      <c r="GD185" t="e">
        <f>AND('Planilla_General_03-12-2012_9_3'!I2956,"AAAAAHF977k=")</f>
        <v>#VALUE!</v>
      </c>
      <c r="GE185" t="e">
        <f>AND('Planilla_General_03-12-2012_9_3'!J2956,"AAAAAHF977o=")</f>
        <v>#VALUE!</v>
      </c>
      <c r="GF185" t="e">
        <f>AND('Planilla_General_03-12-2012_9_3'!K2956,"AAAAAHF977s=")</f>
        <v>#VALUE!</v>
      </c>
      <c r="GG185" t="e">
        <f>AND('Planilla_General_03-12-2012_9_3'!L2956,"AAAAAHF977w=")</f>
        <v>#VALUE!</v>
      </c>
      <c r="GH185" t="e">
        <f>AND('Planilla_General_03-12-2012_9_3'!M2956,"AAAAAHF9770=")</f>
        <v>#VALUE!</v>
      </c>
      <c r="GI185" t="e">
        <f>AND('Planilla_General_03-12-2012_9_3'!N2956,"AAAAAHF9774=")</f>
        <v>#VALUE!</v>
      </c>
      <c r="GJ185" t="e">
        <f>AND('Planilla_General_03-12-2012_9_3'!O2956,"AAAAAHF9778=")</f>
        <v>#VALUE!</v>
      </c>
      <c r="GK185">
        <f>IF('Planilla_General_03-12-2012_9_3'!2957:2957,"AAAAAHF978A=",0)</f>
        <v>0</v>
      </c>
      <c r="GL185" t="e">
        <f>AND('Planilla_General_03-12-2012_9_3'!A2957,"AAAAAHF978E=")</f>
        <v>#VALUE!</v>
      </c>
      <c r="GM185" t="e">
        <f>AND('Planilla_General_03-12-2012_9_3'!B2957,"AAAAAHF978I=")</f>
        <v>#VALUE!</v>
      </c>
      <c r="GN185" t="e">
        <f>AND('Planilla_General_03-12-2012_9_3'!C2957,"AAAAAHF978M=")</f>
        <v>#VALUE!</v>
      </c>
      <c r="GO185" t="e">
        <f>AND('Planilla_General_03-12-2012_9_3'!D2957,"AAAAAHF978Q=")</f>
        <v>#VALUE!</v>
      </c>
      <c r="GP185" t="e">
        <f>AND('Planilla_General_03-12-2012_9_3'!E2957,"AAAAAHF978U=")</f>
        <v>#VALUE!</v>
      </c>
      <c r="GQ185" t="e">
        <f>AND('Planilla_General_03-12-2012_9_3'!F2957,"AAAAAHF978Y=")</f>
        <v>#VALUE!</v>
      </c>
      <c r="GR185" t="e">
        <f>AND('Planilla_General_03-12-2012_9_3'!G2957,"AAAAAHF978c=")</f>
        <v>#VALUE!</v>
      </c>
      <c r="GS185" t="e">
        <f>AND('Planilla_General_03-12-2012_9_3'!H2957,"AAAAAHF978g=")</f>
        <v>#VALUE!</v>
      </c>
      <c r="GT185" t="e">
        <f>AND('Planilla_General_03-12-2012_9_3'!I2957,"AAAAAHF978k=")</f>
        <v>#VALUE!</v>
      </c>
      <c r="GU185" t="e">
        <f>AND('Planilla_General_03-12-2012_9_3'!J2957,"AAAAAHF978o=")</f>
        <v>#VALUE!</v>
      </c>
      <c r="GV185" t="e">
        <f>AND('Planilla_General_03-12-2012_9_3'!K2957,"AAAAAHF978s=")</f>
        <v>#VALUE!</v>
      </c>
      <c r="GW185" t="e">
        <f>AND('Planilla_General_03-12-2012_9_3'!L2957,"AAAAAHF978w=")</f>
        <v>#VALUE!</v>
      </c>
      <c r="GX185" t="e">
        <f>AND('Planilla_General_03-12-2012_9_3'!M2957,"AAAAAHF9780=")</f>
        <v>#VALUE!</v>
      </c>
      <c r="GY185" t="e">
        <f>AND('Planilla_General_03-12-2012_9_3'!N2957,"AAAAAHF9784=")</f>
        <v>#VALUE!</v>
      </c>
      <c r="GZ185" t="e">
        <f>AND('Planilla_General_03-12-2012_9_3'!O2957,"AAAAAHF9788=")</f>
        <v>#VALUE!</v>
      </c>
      <c r="HA185">
        <f>IF('Planilla_General_03-12-2012_9_3'!2958:2958,"AAAAAHF979A=",0)</f>
        <v>0</v>
      </c>
      <c r="HB185" t="e">
        <f>AND('Planilla_General_03-12-2012_9_3'!A2958,"AAAAAHF979E=")</f>
        <v>#VALUE!</v>
      </c>
      <c r="HC185" t="e">
        <f>AND('Planilla_General_03-12-2012_9_3'!B2958,"AAAAAHF979I=")</f>
        <v>#VALUE!</v>
      </c>
      <c r="HD185" t="e">
        <f>AND('Planilla_General_03-12-2012_9_3'!C2958,"AAAAAHF979M=")</f>
        <v>#VALUE!</v>
      </c>
      <c r="HE185" t="e">
        <f>AND('Planilla_General_03-12-2012_9_3'!D2958,"AAAAAHF979Q=")</f>
        <v>#VALUE!</v>
      </c>
      <c r="HF185" t="e">
        <f>AND('Planilla_General_03-12-2012_9_3'!E2958,"AAAAAHF979U=")</f>
        <v>#VALUE!</v>
      </c>
      <c r="HG185" t="e">
        <f>AND('Planilla_General_03-12-2012_9_3'!F2958,"AAAAAHF979Y=")</f>
        <v>#VALUE!</v>
      </c>
      <c r="HH185" t="e">
        <f>AND('Planilla_General_03-12-2012_9_3'!G2958,"AAAAAHF979c=")</f>
        <v>#VALUE!</v>
      </c>
      <c r="HI185" t="e">
        <f>AND('Planilla_General_03-12-2012_9_3'!H2958,"AAAAAHF979g=")</f>
        <v>#VALUE!</v>
      </c>
      <c r="HJ185" t="e">
        <f>AND('Planilla_General_03-12-2012_9_3'!I2958,"AAAAAHF979k=")</f>
        <v>#VALUE!</v>
      </c>
      <c r="HK185" t="e">
        <f>AND('Planilla_General_03-12-2012_9_3'!J2958,"AAAAAHF979o=")</f>
        <v>#VALUE!</v>
      </c>
      <c r="HL185" t="e">
        <f>AND('Planilla_General_03-12-2012_9_3'!K2958,"AAAAAHF979s=")</f>
        <v>#VALUE!</v>
      </c>
      <c r="HM185" t="e">
        <f>AND('Planilla_General_03-12-2012_9_3'!L2958,"AAAAAHF979w=")</f>
        <v>#VALUE!</v>
      </c>
      <c r="HN185" t="e">
        <f>AND('Planilla_General_03-12-2012_9_3'!M2958,"AAAAAHF9790=")</f>
        <v>#VALUE!</v>
      </c>
      <c r="HO185" t="e">
        <f>AND('Planilla_General_03-12-2012_9_3'!N2958,"AAAAAHF9794=")</f>
        <v>#VALUE!</v>
      </c>
      <c r="HP185" t="e">
        <f>AND('Planilla_General_03-12-2012_9_3'!O2958,"AAAAAHF9798=")</f>
        <v>#VALUE!</v>
      </c>
      <c r="HQ185">
        <f>IF('Planilla_General_03-12-2012_9_3'!2959:2959,"AAAAAHF97+A=",0)</f>
        <v>0</v>
      </c>
      <c r="HR185" t="e">
        <f>AND('Planilla_General_03-12-2012_9_3'!A2959,"AAAAAHF97+E=")</f>
        <v>#VALUE!</v>
      </c>
      <c r="HS185" t="e">
        <f>AND('Planilla_General_03-12-2012_9_3'!B2959,"AAAAAHF97+I=")</f>
        <v>#VALUE!</v>
      </c>
      <c r="HT185" t="e">
        <f>AND('Planilla_General_03-12-2012_9_3'!C2959,"AAAAAHF97+M=")</f>
        <v>#VALUE!</v>
      </c>
      <c r="HU185" t="e">
        <f>AND('Planilla_General_03-12-2012_9_3'!D2959,"AAAAAHF97+Q=")</f>
        <v>#VALUE!</v>
      </c>
      <c r="HV185" t="e">
        <f>AND('Planilla_General_03-12-2012_9_3'!E2959,"AAAAAHF97+U=")</f>
        <v>#VALUE!</v>
      </c>
      <c r="HW185" t="e">
        <f>AND('Planilla_General_03-12-2012_9_3'!F2959,"AAAAAHF97+Y=")</f>
        <v>#VALUE!</v>
      </c>
      <c r="HX185" t="e">
        <f>AND('Planilla_General_03-12-2012_9_3'!G2959,"AAAAAHF97+c=")</f>
        <v>#VALUE!</v>
      </c>
      <c r="HY185" t="e">
        <f>AND('Planilla_General_03-12-2012_9_3'!H2959,"AAAAAHF97+g=")</f>
        <v>#VALUE!</v>
      </c>
      <c r="HZ185" t="e">
        <f>AND('Planilla_General_03-12-2012_9_3'!I2959,"AAAAAHF97+k=")</f>
        <v>#VALUE!</v>
      </c>
      <c r="IA185" t="e">
        <f>AND('Planilla_General_03-12-2012_9_3'!J2959,"AAAAAHF97+o=")</f>
        <v>#VALUE!</v>
      </c>
      <c r="IB185" t="e">
        <f>AND('Planilla_General_03-12-2012_9_3'!K2959,"AAAAAHF97+s=")</f>
        <v>#VALUE!</v>
      </c>
      <c r="IC185" t="e">
        <f>AND('Planilla_General_03-12-2012_9_3'!L2959,"AAAAAHF97+w=")</f>
        <v>#VALUE!</v>
      </c>
      <c r="ID185" t="e">
        <f>AND('Planilla_General_03-12-2012_9_3'!M2959,"AAAAAHF97+0=")</f>
        <v>#VALUE!</v>
      </c>
      <c r="IE185" t="e">
        <f>AND('Planilla_General_03-12-2012_9_3'!N2959,"AAAAAHF97+4=")</f>
        <v>#VALUE!</v>
      </c>
      <c r="IF185" t="e">
        <f>AND('Planilla_General_03-12-2012_9_3'!O2959,"AAAAAHF97+8=")</f>
        <v>#VALUE!</v>
      </c>
      <c r="IG185">
        <f>IF('Planilla_General_03-12-2012_9_3'!2960:2960,"AAAAAHF97/A=",0)</f>
        <v>0</v>
      </c>
      <c r="IH185" t="e">
        <f>AND('Planilla_General_03-12-2012_9_3'!A2960,"AAAAAHF97/E=")</f>
        <v>#VALUE!</v>
      </c>
      <c r="II185" t="e">
        <f>AND('Planilla_General_03-12-2012_9_3'!B2960,"AAAAAHF97/I=")</f>
        <v>#VALUE!</v>
      </c>
      <c r="IJ185" t="e">
        <f>AND('Planilla_General_03-12-2012_9_3'!C2960,"AAAAAHF97/M=")</f>
        <v>#VALUE!</v>
      </c>
      <c r="IK185" t="e">
        <f>AND('Planilla_General_03-12-2012_9_3'!D2960,"AAAAAHF97/Q=")</f>
        <v>#VALUE!</v>
      </c>
      <c r="IL185" t="e">
        <f>AND('Planilla_General_03-12-2012_9_3'!E2960,"AAAAAHF97/U=")</f>
        <v>#VALUE!</v>
      </c>
      <c r="IM185" t="e">
        <f>AND('Planilla_General_03-12-2012_9_3'!F2960,"AAAAAHF97/Y=")</f>
        <v>#VALUE!</v>
      </c>
      <c r="IN185" t="e">
        <f>AND('Planilla_General_03-12-2012_9_3'!G2960,"AAAAAHF97/c=")</f>
        <v>#VALUE!</v>
      </c>
      <c r="IO185" t="e">
        <f>AND('Planilla_General_03-12-2012_9_3'!H2960,"AAAAAHF97/g=")</f>
        <v>#VALUE!</v>
      </c>
      <c r="IP185" t="e">
        <f>AND('Planilla_General_03-12-2012_9_3'!I2960,"AAAAAHF97/k=")</f>
        <v>#VALUE!</v>
      </c>
      <c r="IQ185" t="e">
        <f>AND('Planilla_General_03-12-2012_9_3'!J2960,"AAAAAHF97/o=")</f>
        <v>#VALUE!</v>
      </c>
      <c r="IR185" t="e">
        <f>AND('Planilla_General_03-12-2012_9_3'!K2960,"AAAAAHF97/s=")</f>
        <v>#VALUE!</v>
      </c>
      <c r="IS185" t="e">
        <f>AND('Planilla_General_03-12-2012_9_3'!L2960,"AAAAAHF97/w=")</f>
        <v>#VALUE!</v>
      </c>
      <c r="IT185" t="e">
        <f>AND('Planilla_General_03-12-2012_9_3'!M2960,"AAAAAHF97/0=")</f>
        <v>#VALUE!</v>
      </c>
      <c r="IU185" t="e">
        <f>AND('Planilla_General_03-12-2012_9_3'!N2960,"AAAAAHF97/4=")</f>
        <v>#VALUE!</v>
      </c>
      <c r="IV185" t="e">
        <f>AND('Planilla_General_03-12-2012_9_3'!O2960,"AAAAAHF97/8=")</f>
        <v>#VALUE!</v>
      </c>
    </row>
    <row r="186" spans="1:256" x14ac:dyDescent="0.25">
      <c r="A186" t="e">
        <f>IF('Planilla_General_03-12-2012_9_3'!2961:2961,"AAAAAFVd+wA=",0)</f>
        <v>#VALUE!</v>
      </c>
      <c r="B186" t="e">
        <f>AND('Planilla_General_03-12-2012_9_3'!A2961,"AAAAAFVd+wE=")</f>
        <v>#VALUE!</v>
      </c>
      <c r="C186" t="e">
        <f>AND('Planilla_General_03-12-2012_9_3'!B2961,"AAAAAFVd+wI=")</f>
        <v>#VALUE!</v>
      </c>
      <c r="D186" t="e">
        <f>AND('Planilla_General_03-12-2012_9_3'!C2961,"AAAAAFVd+wM=")</f>
        <v>#VALUE!</v>
      </c>
      <c r="E186" t="e">
        <f>AND('Planilla_General_03-12-2012_9_3'!D2961,"AAAAAFVd+wQ=")</f>
        <v>#VALUE!</v>
      </c>
      <c r="F186" t="e">
        <f>AND('Planilla_General_03-12-2012_9_3'!E2961,"AAAAAFVd+wU=")</f>
        <v>#VALUE!</v>
      </c>
      <c r="G186" t="e">
        <f>AND('Planilla_General_03-12-2012_9_3'!F2961,"AAAAAFVd+wY=")</f>
        <v>#VALUE!</v>
      </c>
      <c r="H186" t="e">
        <f>AND('Planilla_General_03-12-2012_9_3'!G2961,"AAAAAFVd+wc=")</f>
        <v>#VALUE!</v>
      </c>
      <c r="I186" t="e">
        <f>AND('Planilla_General_03-12-2012_9_3'!H2961,"AAAAAFVd+wg=")</f>
        <v>#VALUE!</v>
      </c>
      <c r="J186" t="e">
        <f>AND('Planilla_General_03-12-2012_9_3'!I2961,"AAAAAFVd+wk=")</f>
        <v>#VALUE!</v>
      </c>
      <c r="K186" t="e">
        <f>AND('Planilla_General_03-12-2012_9_3'!J2961,"AAAAAFVd+wo=")</f>
        <v>#VALUE!</v>
      </c>
      <c r="L186" t="e">
        <f>AND('Planilla_General_03-12-2012_9_3'!K2961,"AAAAAFVd+ws=")</f>
        <v>#VALUE!</v>
      </c>
      <c r="M186" t="e">
        <f>AND('Planilla_General_03-12-2012_9_3'!L2961,"AAAAAFVd+ww=")</f>
        <v>#VALUE!</v>
      </c>
      <c r="N186" t="e">
        <f>AND('Planilla_General_03-12-2012_9_3'!M2961,"AAAAAFVd+w0=")</f>
        <v>#VALUE!</v>
      </c>
      <c r="O186" t="e">
        <f>AND('Planilla_General_03-12-2012_9_3'!N2961,"AAAAAFVd+w4=")</f>
        <v>#VALUE!</v>
      </c>
      <c r="P186" t="e">
        <f>AND('Planilla_General_03-12-2012_9_3'!O2961,"AAAAAFVd+w8=")</f>
        <v>#VALUE!</v>
      </c>
      <c r="Q186">
        <f>IF('Planilla_General_03-12-2012_9_3'!2962:2962,"AAAAAFVd+xA=",0)</f>
        <v>0</v>
      </c>
      <c r="R186" t="e">
        <f>AND('Planilla_General_03-12-2012_9_3'!A2962,"AAAAAFVd+xE=")</f>
        <v>#VALUE!</v>
      </c>
      <c r="S186" t="e">
        <f>AND('Planilla_General_03-12-2012_9_3'!B2962,"AAAAAFVd+xI=")</f>
        <v>#VALUE!</v>
      </c>
      <c r="T186" t="e">
        <f>AND('Planilla_General_03-12-2012_9_3'!C2962,"AAAAAFVd+xM=")</f>
        <v>#VALUE!</v>
      </c>
      <c r="U186" t="e">
        <f>AND('Planilla_General_03-12-2012_9_3'!D2962,"AAAAAFVd+xQ=")</f>
        <v>#VALUE!</v>
      </c>
      <c r="V186" t="e">
        <f>AND('Planilla_General_03-12-2012_9_3'!E2962,"AAAAAFVd+xU=")</f>
        <v>#VALUE!</v>
      </c>
      <c r="W186" t="e">
        <f>AND('Planilla_General_03-12-2012_9_3'!F2962,"AAAAAFVd+xY=")</f>
        <v>#VALUE!</v>
      </c>
      <c r="X186" t="e">
        <f>AND('Planilla_General_03-12-2012_9_3'!G2962,"AAAAAFVd+xc=")</f>
        <v>#VALUE!</v>
      </c>
      <c r="Y186" t="e">
        <f>AND('Planilla_General_03-12-2012_9_3'!H2962,"AAAAAFVd+xg=")</f>
        <v>#VALUE!</v>
      </c>
      <c r="Z186" t="e">
        <f>AND('Planilla_General_03-12-2012_9_3'!I2962,"AAAAAFVd+xk=")</f>
        <v>#VALUE!</v>
      </c>
      <c r="AA186" t="e">
        <f>AND('Planilla_General_03-12-2012_9_3'!J2962,"AAAAAFVd+xo=")</f>
        <v>#VALUE!</v>
      </c>
      <c r="AB186" t="e">
        <f>AND('Planilla_General_03-12-2012_9_3'!K2962,"AAAAAFVd+xs=")</f>
        <v>#VALUE!</v>
      </c>
      <c r="AC186" t="e">
        <f>AND('Planilla_General_03-12-2012_9_3'!L2962,"AAAAAFVd+xw=")</f>
        <v>#VALUE!</v>
      </c>
      <c r="AD186" t="e">
        <f>AND('Planilla_General_03-12-2012_9_3'!M2962,"AAAAAFVd+x0=")</f>
        <v>#VALUE!</v>
      </c>
      <c r="AE186" t="e">
        <f>AND('Planilla_General_03-12-2012_9_3'!N2962,"AAAAAFVd+x4=")</f>
        <v>#VALUE!</v>
      </c>
      <c r="AF186" t="e">
        <f>AND('Planilla_General_03-12-2012_9_3'!O2962,"AAAAAFVd+x8=")</f>
        <v>#VALUE!</v>
      </c>
      <c r="AG186">
        <f>IF('Planilla_General_03-12-2012_9_3'!2963:2963,"AAAAAFVd+yA=",0)</f>
        <v>0</v>
      </c>
      <c r="AH186" t="e">
        <f>AND('Planilla_General_03-12-2012_9_3'!A2963,"AAAAAFVd+yE=")</f>
        <v>#VALUE!</v>
      </c>
      <c r="AI186" t="e">
        <f>AND('Planilla_General_03-12-2012_9_3'!B2963,"AAAAAFVd+yI=")</f>
        <v>#VALUE!</v>
      </c>
      <c r="AJ186" t="e">
        <f>AND('Planilla_General_03-12-2012_9_3'!C2963,"AAAAAFVd+yM=")</f>
        <v>#VALUE!</v>
      </c>
      <c r="AK186" t="e">
        <f>AND('Planilla_General_03-12-2012_9_3'!D2963,"AAAAAFVd+yQ=")</f>
        <v>#VALUE!</v>
      </c>
      <c r="AL186" t="e">
        <f>AND('Planilla_General_03-12-2012_9_3'!E2963,"AAAAAFVd+yU=")</f>
        <v>#VALUE!</v>
      </c>
      <c r="AM186" t="e">
        <f>AND('Planilla_General_03-12-2012_9_3'!F2963,"AAAAAFVd+yY=")</f>
        <v>#VALUE!</v>
      </c>
      <c r="AN186" t="e">
        <f>AND('Planilla_General_03-12-2012_9_3'!G2963,"AAAAAFVd+yc=")</f>
        <v>#VALUE!</v>
      </c>
      <c r="AO186" t="e">
        <f>AND('Planilla_General_03-12-2012_9_3'!H2963,"AAAAAFVd+yg=")</f>
        <v>#VALUE!</v>
      </c>
      <c r="AP186" t="e">
        <f>AND('Planilla_General_03-12-2012_9_3'!I2963,"AAAAAFVd+yk=")</f>
        <v>#VALUE!</v>
      </c>
      <c r="AQ186" t="e">
        <f>AND('Planilla_General_03-12-2012_9_3'!J2963,"AAAAAFVd+yo=")</f>
        <v>#VALUE!</v>
      </c>
      <c r="AR186" t="e">
        <f>AND('Planilla_General_03-12-2012_9_3'!K2963,"AAAAAFVd+ys=")</f>
        <v>#VALUE!</v>
      </c>
      <c r="AS186" t="e">
        <f>AND('Planilla_General_03-12-2012_9_3'!L2963,"AAAAAFVd+yw=")</f>
        <v>#VALUE!</v>
      </c>
      <c r="AT186" t="e">
        <f>AND('Planilla_General_03-12-2012_9_3'!M2963,"AAAAAFVd+y0=")</f>
        <v>#VALUE!</v>
      </c>
      <c r="AU186" t="e">
        <f>AND('Planilla_General_03-12-2012_9_3'!N2963,"AAAAAFVd+y4=")</f>
        <v>#VALUE!</v>
      </c>
      <c r="AV186" t="e">
        <f>AND('Planilla_General_03-12-2012_9_3'!O2963,"AAAAAFVd+y8=")</f>
        <v>#VALUE!</v>
      </c>
      <c r="AW186">
        <f>IF('Planilla_General_03-12-2012_9_3'!2964:2964,"AAAAAFVd+zA=",0)</f>
        <v>0</v>
      </c>
      <c r="AX186" t="e">
        <f>AND('Planilla_General_03-12-2012_9_3'!A2964,"AAAAAFVd+zE=")</f>
        <v>#VALUE!</v>
      </c>
      <c r="AY186" t="e">
        <f>AND('Planilla_General_03-12-2012_9_3'!B2964,"AAAAAFVd+zI=")</f>
        <v>#VALUE!</v>
      </c>
      <c r="AZ186" t="e">
        <f>AND('Planilla_General_03-12-2012_9_3'!C2964,"AAAAAFVd+zM=")</f>
        <v>#VALUE!</v>
      </c>
      <c r="BA186" t="e">
        <f>AND('Planilla_General_03-12-2012_9_3'!D2964,"AAAAAFVd+zQ=")</f>
        <v>#VALUE!</v>
      </c>
      <c r="BB186" t="e">
        <f>AND('Planilla_General_03-12-2012_9_3'!E2964,"AAAAAFVd+zU=")</f>
        <v>#VALUE!</v>
      </c>
      <c r="BC186" t="e">
        <f>AND('Planilla_General_03-12-2012_9_3'!F2964,"AAAAAFVd+zY=")</f>
        <v>#VALUE!</v>
      </c>
      <c r="BD186" t="e">
        <f>AND('Planilla_General_03-12-2012_9_3'!G2964,"AAAAAFVd+zc=")</f>
        <v>#VALUE!</v>
      </c>
      <c r="BE186" t="e">
        <f>AND('Planilla_General_03-12-2012_9_3'!H2964,"AAAAAFVd+zg=")</f>
        <v>#VALUE!</v>
      </c>
      <c r="BF186" t="e">
        <f>AND('Planilla_General_03-12-2012_9_3'!I2964,"AAAAAFVd+zk=")</f>
        <v>#VALUE!</v>
      </c>
      <c r="BG186" t="e">
        <f>AND('Planilla_General_03-12-2012_9_3'!J2964,"AAAAAFVd+zo=")</f>
        <v>#VALUE!</v>
      </c>
      <c r="BH186" t="e">
        <f>AND('Planilla_General_03-12-2012_9_3'!K2964,"AAAAAFVd+zs=")</f>
        <v>#VALUE!</v>
      </c>
      <c r="BI186" t="e">
        <f>AND('Planilla_General_03-12-2012_9_3'!L2964,"AAAAAFVd+zw=")</f>
        <v>#VALUE!</v>
      </c>
      <c r="BJ186" t="e">
        <f>AND('Planilla_General_03-12-2012_9_3'!M2964,"AAAAAFVd+z0=")</f>
        <v>#VALUE!</v>
      </c>
      <c r="BK186" t="e">
        <f>AND('Planilla_General_03-12-2012_9_3'!N2964,"AAAAAFVd+z4=")</f>
        <v>#VALUE!</v>
      </c>
      <c r="BL186" t="e">
        <f>AND('Planilla_General_03-12-2012_9_3'!O2964,"AAAAAFVd+z8=")</f>
        <v>#VALUE!</v>
      </c>
      <c r="BM186">
        <f>IF('Planilla_General_03-12-2012_9_3'!2965:2965,"AAAAAFVd+0A=",0)</f>
        <v>0</v>
      </c>
      <c r="BN186" t="e">
        <f>AND('Planilla_General_03-12-2012_9_3'!A2965,"AAAAAFVd+0E=")</f>
        <v>#VALUE!</v>
      </c>
      <c r="BO186" t="e">
        <f>AND('Planilla_General_03-12-2012_9_3'!B2965,"AAAAAFVd+0I=")</f>
        <v>#VALUE!</v>
      </c>
      <c r="BP186" t="e">
        <f>AND('Planilla_General_03-12-2012_9_3'!C2965,"AAAAAFVd+0M=")</f>
        <v>#VALUE!</v>
      </c>
      <c r="BQ186" t="e">
        <f>AND('Planilla_General_03-12-2012_9_3'!D2965,"AAAAAFVd+0Q=")</f>
        <v>#VALUE!</v>
      </c>
      <c r="BR186" t="e">
        <f>AND('Planilla_General_03-12-2012_9_3'!E2965,"AAAAAFVd+0U=")</f>
        <v>#VALUE!</v>
      </c>
      <c r="BS186" t="e">
        <f>AND('Planilla_General_03-12-2012_9_3'!F2965,"AAAAAFVd+0Y=")</f>
        <v>#VALUE!</v>
      </c>
      <c r="BT186" t="e">
        <f>AND('Planilla_General_03-12-2012_9_3'!G2965,"AAAAAFVd+0c=")</f>
        <v>#VALUE!</v>
      </c>
      <c r="BU186" t="e">
        <f>AND('Planilla_General_03-12-2012_9_3'!H2965,"AAAAAFVd+0g=")</f>
        <v>#VALUE!</v>
      </c>
      <c r="BV186" t="e">
        <f>AND('Planilla_General_03-12-2012_9_3'!I2965,"AAAAAFVd+0k=")</f>
        <v>#VALUE!</v>
      </c>
      <c r="BW186" t="e">
        <f>AND('Planilla_General_03-12-2012_9_3'!J2965,"AAAAAFVd+0o=")</f>
        <v>#VALUE!</v>
      </c>
      <c r="BX186" t="e">
        <f>AND('Planilla_General_03-12-2012_9_3'!K2965,"AAAAAFVd+0s=")</f>
        <v>#VALUE!</v>
      </c>
      <c r="BY186" t="e">
        <f>AND('Planilla_General_03-12-2012_9_3'!L2965,"AAAAAFVd+0w=")</f>
        <v>#VALUE!</v>
      </c>
      <c r="BZ186" t="e">
        <f>AND('Planilla_General_03-12-2012_9_3'!M2965,"AAAAAFVd+00=")</f>
        <v>#VALUE!</v>
      </c>
      <c r="CA186" t="e">
        <f>AND('Planilla_General_03-12-2012_9_3'!N2965,"AAAAAFVd+04=")</f>
        <v>#VALUE!</v>
      </c>
      <c r="CB186" t="e">
        <f>AND('Planilla_General_03-12-2012_9_3'!O2965,"AAAAAFVd+08=")</f>
        <v>#VALUE!</v>
      </c>
      <c r="CC186">
        <f>IF('Planilla_General_03-12-2012_9_3'!2966:2966,"AAAAAFVd+1A=",0)</f>
        <v>0</v>
      </c>
      <c r="CD186" t="e">
        <f>AND('Planilla_General_03-12-2012_9_3'!A2966,"AAAAAFVd+1E=")</f>
        <v>#VALUE!</v>
      </c>
      <c r="CE186" t="e">
        <f>AND('Planilla_General_03-12-2012_9_3'!B2966,"AAAAAFVd+1I=")</f>
        <v>#VALUE!</v>
      </c>
      <c r="CF186" t="e">
        <f>AND('Planilla_General_03-12-2012_9_3'!C2966,"AAAAAFVd+1M=")</f>
        <v>#VALUE!</v>
      </c>
      <c r="CG186" t="e">
        <f>AND('Planilla_General_03-12-2012_9_3'!D2966,"AAAAAFVd+1Q=")</f>
        <v>#VALUE!</v>
      </c>
      <c r="CH186" t="e">
        <f>AND('Planilla_General_03-12-2012_9_3'!E2966,"AAAAAFVd+1U=")</f>
        <v>#VALUE!</v>
      </c>
      <c r="CI186" t="e">
        <f>AND('Planilla_General_03-12-2012_9_3'!F2966,"AAAAAFVd+1Y=")</f>
        <v>#VALUE!</v>
      </c>
      <c r="CJ186" t="e">
        <f>AND('Planilla_General_03-12-2012_9_3'!G2966,"AAAAAFVd+1c=")</f>
        <v>#VALUE!</v>
      </c>
      <c r="CK186" t="e">
        <f>AND('Planilla_General_03-12-2012_9_3'!H2966,"AAAAAFVd+1g=")</f>
        <v>#VALUE!</v>
      </c>
      <c r="CL186" t="e">
        <f>AND('Planilla_General_03-12-2012_9_3'!I2966,"AAAAAFVd+1k=")</f>
        <v>#VALUE!</v>
      </c>
      <c r="CM186" t="e">
        <f>AND('Planilla_General_03-12-2012_9_3'!J2966,"AAAAAFVd+1o=")</f>
        <v>#VALUE!</v>
      </c>
      <c r="CN186" t="e">
        <f>AND('Planilla_General_03-12-2012_9_3'!K2966,"AAAAAFVd+1s=")</f>
        <v>#VALUE!</v>
      </c>
      <c r="CO186" t="e">
        <f>AND('Planilla_General_03-12-2012_9_3'!L2966,"AAAAAFVd+1w=")</f>
        <v>#VALUE!</v>
      </c>
      <c r="CP186" t="e">
        <f>AND('Planilla_General_03-12-2012_9_3'!M2966,"AAAAAFVd+10=")</f>
        <v>#VALUE!</v>
      </c>
      <c r="CQ186" t="e">
        <f>AND('Planilla_General_03-12-2012_9_3'!N2966,"AAAAAFVd+14=")</f>
        <v>#VALUE!</v>
      </c>
      <c r="CR186" t="e">
        <f>AND('Planilla_General_03-12-2012_9_3'!O2966,"AAAAAFVd+18=")</f>
        <v>#VALUE!</v>
      </c>
      <c r="CS186">
        <f>IF('Planilla_General_03-12-2012_9_3'!2967:2967,"AAAAAFVd+2A=",0)</f>
        <v>0</v>
      </c>
      <c r="CT186" t="e">
        <f>AND('Planilla_General_03-12-2012_9_3'!A2967,"AAAAAFVd+2E=")</f>
        <v>#VALUE!</v>
      </c>
      <c r="CU186" t="e">
        <f>AND('Planilla_General_03-12-2012_9_3'!B2967,"AAAAAFVd+2I=")</f>
        <v>#VALUE!</v>
      </c>
      <c r="CV186" t="e">
        <f>AND('Planilla_General_03-12-2012_9_3'!C2967,"AAAAAFVd+2M=")</f>
        <v>#VALUE!</v>
      </c>
      <c r="CW186" t="e">
        <f>AND('Planilla_General_03-12-2012_9_3'!D2967,"AAAAAFVd+2Q=")</f>
        <v>#VALUE!</v>
      </c>
      <c r="CX186" t="e">
        <f>AND('Planilla_General_03-12-2012_9_3'!E2967,"AAAAAFVd+2U=")</f>
        <v>#VALUE!</v>
      </c>
      <c r="CY186" t="e">
        <f>AND('Planilla_General_03-12-2012_9_3'!F2967,"AAAAAFVd+2Y=")</f>
        <v>#VALUE!</v>
      </c>
      <c r="CZ186" t="e">
        <f>AND('Planilla_General_03-12-2012_9_3'!G2967,"AAAAAFVd+2c=")</f>
        <v>#VALUE!</v>
      </c>
      <c r="DA186" t="e">
        <f>AND('Planilla_General_03-12-2012_9_3'!H2967,"AAAAAFVd+2g=")</f>
        <v>#VALUE!</v>
      </c>
      <c r="DB186" t="e">
        <f>AND('Planilla_General_03-12-2012_9_3'!I2967,"AAAAAFVd+2k=")</f>
        <v>#VALUE!</v>
      </c>
      <c r="DC186" t="e">
        <f>AND('Planilla_General_03-12-2012_9_3'!J2967,"AAAAAFVd+2o=")</f>
        <v>#VALUE!</v>
      </c>
      <c r="DD186" t="e">
        <f>AND('Planilla_General_03-12-2012_9_3'!K2967,"AAAAAFVd+2s=")</f>
        <v>#VALUE!</v>
      </c>
      <c r="DE186" t="e">
        <f>AND('Planilla_General_03-12-2012_9_3'!L2967,"AAAAAFVd+2w=")</f>
        <v>#VALUE!</v>
      </c>
      <c r="DF186" t="e">
        <f>AND('Planilla_General_03-12-2012_9_3'!M2967,"AAAAAFVd+20=")</f>
        <v>#VALUE!</v>
      </c>
      <c r="DG186" t="e">
        <f>AND('Planilla_General_03-12-2012_9_3'!N2967,"AAAAAFVd+24=")</f>
        <v>#VALUE!</v>
      </c>
      <c r="DH186" t="e">
        <f>AND('Planilla_General_03-12-2012_9_3'!O2967,"AAAAAFVd+28=")</f>
        <v>#VALUE!</v>
      </c>
      <c r="DI186">
        <f>IF('Planilla_General_03-12-2012_9_3'!2968:2968,"AAAAAFVd+3A=",0)</f>
        <v>0</v>
      </c>
      <c r="DJ186" t="e">
        <f>AND('Planilla_General_03-12-2012_9_3'!A2968,"AAAAAFVd+3E=")</f>
        <v>#VALUE!</v>
      </c>
      <c r="DK186" t="e">
        <f>AND('Planilla_General_03-12-2012_9_3'!B2968,"AAAAAFVd+3I=")</f>
        <v>#VALUE!</v>
      </c>
      <c r="DL186" t="e">
        <f>AND('Planilla_General_03-12-2012_9_3'!C2968,"AAAAAFVd+3M=")</f>
        <v>#VALUE!</v>
      </c>
      <c r="DM186" t="e">
        <f>AND('Planilla_General_03-12-2012_9_3'!D2968,"AAAAAFVd+3Q=")</f>
        <v>#VALUE!</v>
      </c>
      <c r="DN186" t="e">
        <f>AND('Planilla_General_03-12-2012_9_3'!E2968,"AAAAAFVd+3U=")</f>
        <v>#VALUE!</v>
      </c>
      <c r="DO186" t="e">
        <f>AND('Planilla_General_03-12-2012_9_3'!F2968,"AAAAAFVd+3Y=")</f>
        <v>#VALUE!</v>
      </c>
      <c r="DP186" t="e">
        <f>AND('Planilla_General_03-12-2012_9_3'!G2968,"AAAAAFVd+3c=")</f>
        <v>#VALUE!</v>
      </c>
      <c r="DQ186" t="e">
        <f>AND('Planilla_General_03-12-2012_9_3'!H2968,"AAAAAFVd+3g=")</f>
        <v>#VALUE!</v>
      </c>
      <c r="DR186" t="e">
        <f>AND('Planilla_General_03-12-2012_9_3'!I2968,"AAAAAFVd+3k=")</f>
        <v>#VALUE!</v>
      </c>
      <c r="DS186" t="e">
        <f>AND('Planilla_General_03-12-2012_9_3'!J2968,"AAAAAFVd+3o=")</f>
        <v>#VALUE!</v>
      </c>
      <c r="DT186" t="e">
        <f>AND('Planilla_General_03-12-2012_9_3'!K2968,"AAAAAFVd+3s=")</f>
        <v>#VALUE!</v>
      </c>
      <c r="DU186" t="e">
        <f>AND('Planilla_General_03-12-2012_9_3'!L2968,"AAAAAFVd+3w=")</f>
        <v>#VALUE!</v>
      </c>
      <c r="DV186" t="e">
        <f>AND('Planilla_General_03-12-2012_9_3'!M2968,"AAAAAFVd+30=")</f>
        <v>#VALUE!</v>
      </c>
      <c r="DW186" t="e">
        <f>AND('Planilla_General_03-12-2012_9_3'!N2968,"AAAAAFVd+34=")</f>
        <v>#VALUE!</v>
      </c>
      <c r="DX186" t="e">
        <f>AND('Planilla_General_03-12-2012_9_3'!O2968,"AAAAAFVd+38=")</f>
        <v>#VALUE!</v>
      </c>
      <c r="DY186">
        <f>IF('Planilla_General_03-12-2012_9_3'!2969:2969,"AAAAAFVd+4A=",0)</f>
        <v>0</v>
      </c>
      <c r="DZ186" t="e">
        <f>AND('Planilla_General_03-12-2012_9_3'!A2969,"AAAAAFVd+4E=")</f>
        <v>#VALUE!</v>
      </c>
      <c r="EA186" t="e">
        <f>AND('Planilla_General_03-12-2012_9_3'!B2969,"AAAAAFVd+4I=")</f>
        <v>#VALUE!</v>
      </c>
      <c r="EB186" t="e">
        <f>AND('Planilla_General_03-12-2012_9_3'!C2969,"AAAAAFVd+4M=")</f>
        <v>#VALUE!</v>
      </c>
      <c r="EC186" t="e">
        <f>AND('Planilla_General_03-12-2012_9_3'!D2969,"AAAAAFVd+4Q=")</f>
        <v>#VALUE!</v>
      </c>
      <c r="ED186" t="e">
        <f>AND('Planilla_General_03-12-2012_9_3'!E2969,"AAAAAFVd+4U=")</f>
        <v>#VALUE!</v>
      </c>
      <c r="EE186" t="e">
        <f>AND('Planilla_General_03-12-2012_9_3'!F2969,"AAAAAFVd+4Y=")</f>
        <v>#VALUE!</v>
      </c>
      <c r="EF186" t="e">
        <f>AND('Planilla_General_03-12-2012_9_3'!G2969,"AAAAAFVd+4c=")</f>
        <v>#VALUE!</v>
      </c>
      <c r="EG186" t="e">
        <f>AND('Planilla_General_03-12-2012_9_3'!H2969,"AAAAAFVd+4g=")</f>
        <v>#VALUE!</v>
      </c>
      <c r="EH186" t="e">
        <f>AND('Planilla_General_03-12-2012_9_3'!I2969,"AAAAAFVd+4k=")</f>
        <v>#VALUE!</v>
      </c>
      <c r="EI186" t="e">
        <f>AND('Planilla_General_03-12-2012_9_3'!J2969,"AAAAAFVd+4o=")</f>
        <v>#VALUE!</v>
      </c>
      <c r="EJ186" t="e">
        <f>AND('Planilla_General_03-12-2012_9_3'!K2969,"AAAAAFVd+4s=")</f>
        <v>#VALUE!</v>
      </c>
      <c r="EK186" t="e">
        <f>AND('Planilla_General_03-12-2012_9_3'!L2969,"AAAAAFVd+4w=")</f>
        <v>#VALUE!</v>
      </c>
      <c r="EL186" t="e">
        <f>AND('Planilla_General_03-12-2012_9_3'!M2969,"AAAAAFVd+40=")</f>
        <v>#VALUE!</v>
      </c>
      <c r="EM186" t="e">
        <f>AND('Planilla_General_03-12-2012_9_3'!N2969,"AAAAAFVd+44=")</f>
        <v>#VALUE!</v>
      </c>
      <c r="EN186" t="e">
        <f>AND('Planilla_General_03-12-2012_9_3'!O2969,"AAAAAFVd+48=")</f>
        <v>#VALUE!</v>
      </c>
      <c r="EO186">
        <f>IF('Planilla_General_03-12-2012_9_3'!2970:2970,"AAAAAFVd+5A=",0)</f>
        <v>0</v>
      </c>
      <c r="EP186" t="e">
        <f>AND('Planilla_General_03-12-2012_9_3'!A2970,"AAAAAFVd+5E=")</f>
        <v>#VALUE!</v>
      </c>
      <c r="EQ186" t="e">
        <f>AND('Planilla_General_03-12-2012_9_3'!B2970,"AAAAAFVd+5I=")</f>
        <v>#VALUE!</v>
      </c>
      <c r="ER186" t="e">
        <f>AND('Planilla_General_03-12-2012_9_3'!C2970,"AAAAAFVd+5M=")</f>
        <v>#VALUE!</v>
      </c>
      <c r="ES186" t="e">
        <f>AND('Planilla_General_03-12-2012_9_3'!D2970,"AAAAAFVd+5Q=")</f>
        <v>#VALUE!</v>
      </c>
      <c r="ET186" t="e">
        <f>AND('Planilla_General_03-12-2012_9_3'!E2970,"AAAAAFVd+5U=")</f>
        <v>#VALUE!</v>
      </c>
      <c r="EU186" t="e">
        <f>AND('Planilla_General_03-12-2012_9_3'!F2970,"AAAAAFVd+5Y=")</f>
        <v>#VALUE!</v>
      </c>
      <c r="EV186" t="e">
        <f>AND('Planilla_General_03-12-2012_9_3'!G2970,"AAAAAFVd+5c=")</f>
        <v>#VALUE!</v>
      </c>
      <c r="EW186" t="e">
        <f>AND('Planilla_General_03-12-2012_9_3'!H2970,"AAAAAFVd+5g=")</f>
        <v>#VALUE!</v>
      </c>
      <c r="EX186" t="e">
        <f>AND('Planilla_General_03-12-2012_9_3'!I2970,"AAAAAFVd+5k=")</f>
        <v>#VALUE!</v>
      </c>
      <c r="EY186" t="e">
        <f>AND('Planilla_General_03-12-2012_9_3'!J2970,"AAAAAFVd+5o=")</f>
        <v>#VALUE!</v>
      </c>
      <c r="EZ186" t="e">
        <f>AND('Planilla_General_03-12-2012_9_3'!K2970,"AAAAAFVd+5s=")</f>
        <v>#VALUE!</v>
      </c>
      <c r="FA186" t="e">
        <f>AND('Planilla_General_03-12-2012_9_3'!L2970,"AAAAAFVd+5w=")</f>
        <v>#VALUE!</v>
      </c>
      <c r="FB186" t="e">
        <f>AND('Planilla_General_03-12-2012_9_3'!M2970,"AAAAAFVd+50=")</f>
        <v>#VALUE!</v>
      </c>
      <c r="FC186" t="e">
        <f>AND('Planilla_General_03-12-2012_9_3'!N2970,"AAAAAFVd+54=")</f>
        <v>#VALUE!</v>
      </c>
      <c r="FD186" t="e">
        <f>AND('Planilla_General_03-12-2012_9_3'!O2970,"AAAAAFVd+58=")</f>
        <v>#VALUE!</v>
      </c>
      <c r="FE186">
        <f>IF('Planilla_General_03-12-2012_9_3'!2971:2971,"AAAAAFVd+6A=",0)</f>
        <v>0</v>
      </c>
      <c r="FF186" t="e">
        <f>AND('Planilla_General_03-12-2012_9_3'!A2971,"AAAAAFVd+6E=")</f>
        <v>#VALUE!</v>
      </c>
      <c r="FG186" t="e">
        <f>AND('Planilla_General_03-12-2012_9_3'!B2971,"AAAAAFVd+6I=")</f>
        <v>#VALUE!</v>
      </c>
      <c r="FH186" t="e">
        <f>AND('Planilla_General_03-12-2012_9_3'!C2971,"AAAAAFVd+6M=")</f>
        <v>#VALUE!</v>
      </c>
      <c r="FI186" t="e">
        <f>AND('Planilla_General_03-12-2012_9_3'!D2971,"AAAAAFVd+6Q=")</f>
        <v>#VALUE!</v>
      </c>
      <c r="FJ186" t="e">
        <f>AND('Planilla_General_03-12-2012_9_3'!E2971,"AAAAAFVd+6U=")</f>
        <v>#VALUE!</v>
      </c>
      <c r="FK186" t="e">
        <f>AND('Planilla_General_03-12-2012_9_3'!F2971,"AAAAAFVd+6Y=")</f>
        <v>#VALUE!</v>
      </c>
      <c r="FL186" t="e">
        <f>AND('Planilla_General_03-12-2012_9_3'!G2971,"AAAAAFVd+6c=")</f>
        <v>#VALUE!</v>
      </c>
      <c r="FM186" t="e">
        <f>AND('Planilla_General_03-12-2012_9_3'!H2971,"AAAAAFVd+6g=")</f>
        <v>#VALUE!</v>
      </c>
      <c r="FN186" t="e">
        <f>AND('Planilla_General_03-12-2012_9_3'!I2971,"AAAAAFVd+6k=")</f>
        <v>#VALUE!</v>
      </c>
      <c r="FO186" t="e">
        <f>AND('Planilla_General_03-12-2012_9_3'!J2971,"AAAAAFVd+6o=")</f>
        <v>#VALUE!</v>
      </c>
      <c r="FP186" t="e">
        <f>AND('Planilla_General_03-12-2012_9_3'!K2971,"AAAAAFVd+6s=")</f>
        <v>#VALUE!</v>
      </c>
      <c r="FQ186" t="e">
        <f>AND('Planilla_General_03-12-2012_9_3'!L2971,"AAAAAFVd+6w=")</f>
        <v>#VALUE!</v>
      </c>
      <c r="FR186" t="e">
        <f>AND('Planilla_General_03-12-2012_9_3'!M2971,"AAAAAFVd+60=")</f>
        <v>#VALUE!</v>
      </c>
      <c r="FS186" t="e">
        <f>AND('Planilla_General_03-12-2012_9_3'!N2971,"AAAAAFVd+64=")</f>
        <v>#VALUE!</v>
      </c>
      <c r="FT186" t="e">
        <f>AND('Planilla_General_03-12-2012_9_3'!O2971,"AAAAAFVd+68=")</f>
        <v>#VALUE!</v>
      </c>
      <c r="FU186">
        <f>IF('Planilla_General_03-12-2012_9_3'!2972:2972,"AAAAAFVd+7A=",0)</f>
        <v>0</v>
      </c>
      <c r="FV186" t="e">
        <f>AND('Planilla_General_03-12-2012_9_3'!A2972,"AAAAAFVd+7E=")</f>
        <v>#VALUE!</v>
      </c>
      <c r="FW186" t="e">
        <f>AND('Planilla_General_03-12-2012_9_3'!B2972,"AAAAAFVd+7I=")</f>
        <v>#VALUE!</v>
      </c>
      <c r="FX186" t="e">
        <f>AND('Planilla_General_03-12-2012_9_3'!C2972,"AAAAAFVd+7M=")</f>
        <v>#VALUE!</v>
      </c>
      <c r="FY186" t="e">
        <f>AND('Planilla_General_03-12-2012_9_3'!D2972,"AAAAAFVd+7Q=")</f>
        <v>#VALUE!</v>
      </c>
      <c r="FZ186" t="e">
        <f>AND('Planilla_General_03-12-2012_9_3'!E2972,"AAAAAFVd+7U=")</f>
        <v>#VALUE!</v>
      </c>
      <c r="GA186" t="e">
        <f>AND('Planilla_General_03-12-2012_9_3'!F2972,"AAAAAFVd+7Y=")</f>
        <v>#VALUE!</v>
      </c>
      <c r="GB186" t="e">
        <f>AND('Planilla_General_03-12-2012_9_3'!G2972,"AAAAAFVd+7c=")</f>
        <v>#VALUE!</v>
      </c>
      <c r="GC186" t="e">
        <f>AND('Planilla_General_03-12-2012_9_3'!H2972,"AAAAAFVd+7g=")</f>
        <v>#VALUE!</v>
      </c>
      <c r="GD186" t="e">
        <f>AND('Planilla_General_03-12-2012_9_3'!I2972,"AAAAAFVd+7k=")</f>
        <v>#VALUE!</v>
      </c>
      <c r="GE186" t="e">
        <f>AND('Planilla_General_03-12-2012_9_3'!J2972,"AAAAAFVd+7o=")</f>
        <v>#VALUE!</v>
      </c>
      <c r="GF186" t="e">
        <f>AND('Planilla_General_03-12-2012_9_3'!K2972,"AAAAAFVd+7s=")</f>
        <v>#VALUE!</v>
      </c>
      <c r="GG186" t="e">
        <f>AND('Planilla_General_03-12-2012_9_3'!L2972,"AAAAAFVd+7w=")</f>
        <v>#VALUE!</v>
      </c>
      <c r="GH186" t="e">
        <f>AND('Planilla_General_03-12-2012_9_3'!M2972,"AAAAAFVd+70=")</f>
        <v>#VALUE!</v>
      </c>
      <c r="GI186" t="e">
        <f>AND('Planilla_General_03-12-2012_9_3'!N2972,"AAAAAFVd+74=")</f>
        <v>#VALUE!</v>
      </c>
      <c r="GJ186" t="e">
        <f>AND('Planilla_General_03-12-2012_9_3'!O2972,"AAAAAFVd+78=")</f>
        <v>#VALUE!</v>
      </c>
      <c r="GK186">
        <f>IF('Planilla_General_03-12-2012_9_3'!2973:2973,"AAAAAFVd+8A=",0)</f>
        <v>0</v>
      </c>
      <c r="GL186" t="e">
        <f>AND('Planilla_General_03-12-2012_9_3'!A2973,"AAAAAFVd+8E=")</f>
        <v>#VALUE!</v>
      </c>
      <c r="GM186" t="e">
        <f>AND('Planilla_General_03-12-2012_9_3'!B2973,"AAAAAFVd+8I=")</f>
        <v>#VALUE!</v>
      </c>
      <c r="GN186" t="e">
        <f>AND('Planilla_General_03-12-2012_9_3'!C2973,"AAAAAFVd+8M=")</f>
        <v>#VALUE!</v>
      </c>
      <c r="GO186" t="e">
        <f>AND('Planilla_General_03-12-2012_9_3'!D2973,"AAAAAFVd+8Q=")</f>
        <v>#VALUE!</v>
      </c>
      <c r="GP186" t="e">
        <f>AND('Planilla_General_03-12-2012_9_3'!E2973,"AAAAAFVd+8U=")</f>
        <v>#VALUE!</v>
      </c>
      <c r="GQ186" t="e">
        <f>AND('Planilla_General_03-12-2012_9_3'!F2973,"AAAAAFVd+8Y=")</f>
        <v>#VALUE!</v>
      </c>
      <c r="GR186" t="e">
        <f>AND('Planilla_General_03-12-2012_9_3'!G2973,"AAAAAFVd+8c=")</f>
        <v>#VALUE!</v>
      </c>
      <c r="GS186" t="e">
        <f>AND('Planilla_General_03-12-2012_9_3'!H2973,"AAAAAFVd+8g=")</f>
        <v>#VALUE!</v>
      </c>
      <c r="GT186" t="e">
        <f>AND('Planilla_General_03-12-2012_9_3'!I2973,"AAAAAFVd+8k=")</f>
        <v>#VALUE!</v>
      </c>
      <c r="GU186" t="e">
        <f>AND('Planilla_General_03-12-2012_9_3'!J2973,"AAAAAFVd+8o=")</f>
        <v>#VALUE!</v>
      </c>
      <c r="GV186" t="e">
        <f>AND('Planilla_General_03-12-2012_9_3'!K2973,"AAAAAFVd+8s=")</f>
        <v>#VALUE!</v>
      </c>
      <c r="GW186" t="e">
        <f>AND('Planilla_General_03-12-2012_9_3'!L2973,"AAAAAFVd+8w=")</f>
        <v>#VALUE!</v>
      </c>
      <c r="GX186" t="e">
        <f>AND('Planilla_General_03-12-2012_9_3'!M2973,"AAAAAFVd+80=")</f>
        <v>#VALUE!</v>
      </c>
      <c r="GY186" t="e">
        <f>AND('Planilla_General_03-12-2012_9_3'!N2973,"AAAAAFVd+84=")</f>
        <v>#VALUE!</v>
      </c>
      <c r="GZ186" t="e">
        <f>AND('Planilla_General_03-12-2012_9_3'!O2973,"AAAAAFVd+88=")</f>
        <v>#VALUE!</v>
      </c>
      <c r="HA186">
        <f>IF('Planilla_General_03-12-2012_9_3'!2974:2974,"AAAAAFVd+9A=",0)</f>
        <v>0</v>
      </c>
      <c r="HB186" t="e">
        <f>AND('Planilla_General_03-12-2012_9_3'!A2974,"AAAAAFVd+9E=")</f>
        <v>#VALUE!</v>
      </c>
      <c r="HC186" t="e">
        <f>AND('Planilla_General_03-12-2012_9_3'!B2974,"AAAAAFVd+9I=")</f>
        <v>#VALUE!</v>
      </c>
      <c r="HD186" t="e">
        <f>AND('Planilla_General_03-12-2012_9_3'!C2974,"AAAAAFVd+9M=")</f>
        <v>#VALUE!</v>
      </c>
      <c r="HE186" t="e">
        <f>AND('Planilla_General_03-12-2012_9_3'!D2974,"AAAAAFVd+9Q=")</f>
        <v>#VALUE!</v>
      </c>
      <c r="HF186" t="e">
        <f>AND('Planilla_General_03-12-2012_9_3'!E2974,"AAAAAFVd+9U=")</f>
        <v>#VALUE!</v>
      </c>
      <c r="HG186" t="e">
        <f>AND('Planilla_General_03-12-2012_9_3'!F2974,"AAAAAFVd+9Y=")</f>
        <v>#VALUE!</v>
      </c>
      <c r="HH186" t="e">
        <f>AND('Planilla_General_03-12-2012_9_3'!G2974,"AAAAAFVd+9c=")</f>
        <v>#VALUE!</v>
      </c>
      <c r="HI186" t="e">
        <f>AND('Planilla_General_03-12-2012_9_3'!H2974,"AAAAAFVd+9g=")</f>
        <v>#VALUE!</v>
      </c>
      <c r="HJ186" t="e">
        <f>AND('Planilla_General_03-12-2012_9_3'!I2974,"AAAAAFVd+9k=")</f>
        <v>#VALUE!</v>
      </c>
      <c r="HK186" t="e">
        <f>AND('Planilla_General_03-12-2012_9_3'!J2974,"AAAAAFVd+9o=")</f>
        <v>#VALUE!</v>
      </c>
      <c r="HL186" t="e">
        <f>AND('Planilla_General_03-12-2012_9_3'!K2974,"AAAAAFVd+9s=")</f>
        <v>#VALUE!</v>
      </c>
      <c r="HM186" t="e">
        <f>AND('Planilla_General_03-12-2012_9_3'!L2974,"AAAAAFVd+9w=")</f>
        <v>#VALUE!</v>
      </c>
      <c r="HN186" t="e">
        <f>AND('Planilla_General_03-12-2012_9_3'!M2974,"AAAAAFVd+90=")</f>
        <v>#VALUE!</v>
      </c>
      <c r="HO186" t="e">
        <f>AND('Planilla_General_03-12-2012_9_3'!N2974,"AAAAAFVd+94=")</f>
        <v>#VALUE!</v>
      </c>
      <c r="HP186" t="e">
        <f>AND('Planilla_General_03-12-2012_9_3'!O2974,"AAAAAFVd+98=")</f>
        <v>#VALUE!</v>
      </c>
      <c r="HQ186">
        <f>IF('Planilla_General_03-12-2012_9_3'!2975:2975,"AAAAAFVd++A=",0)</f>
        <v>0</v>
      </c>
      <c r="HR186" t="e">
        <f>AND('Planilla_General_03-12-2012_9_3'!A2975,"AAAAAFVd++E=")</f>
        <v>#VALUE!</v>
      </c>
      <c r="HS186" t="e">
        <f>AND('Planilla_General_03-12-2012_9_3'!B2975,"AAAAAFVd++I=")</f>
        <v>#VALUE!</v>
      </c>
      <c r="HT186" t="e">
        <f>AND('Planilla_General_03-12-2012_9_3'!C2975,"AAAAAFVd++M=")</f>
        <v>#VALUE!</v>
      </c>
      <c r="HU186" t="e">
        <f>AND('Planilla_General_03-12-2012_9_3'!D2975,"AAAAAFVd++Q=")</f>
        <v>#VALUE!</v>
      </c>
      <c r="HV186" t="e">
        <f>AND('Planilla_General_03-12-2012_9_3'!E2975,"AAAAAFVd++U=")</f>
        <v>#VALUE!</v>
      </c>
      <c r="HW186" t="e">
        <f>AND('Planilla_General_03-12-2012_9_3'!F2975,"AAAAAFVd++Y=")</f>
        <v>#VALUE!</v>
      </c>
      <c r="HX186" t="e">
        <f>AND('Planilla_General_03-12-2012_9_3'!G2975,"AAAAAFVd++c=")</f>
        <v>#VALUE!</v>
      </c>
      <c r="HY186" t="e">
        <f>AND('Planilla_General_03-12-2012_9_3'!H2975,"AAAAAFVd++g=")</f>
        <v>#VALUE!</v>
      </c>
      <c r="HZ186" t="e">
        <f>AND('Planilla_General_03-12-2012_9_3'!I2975,"AAAAAFVd++k=")</f>
        <v>#VALUE!</v>
      </c>
      <c r="IA186" t="e">
        <f>AND('Planilla_General_03-12-2012_9_3'!J2975,"AAAAAFVd++o=")</f>
        <v>#VALUE!</v>
      </c>
      <c r="IB186" t="e">
        <f>AND('Planilla_General_03-12-2012_9_3'!K2975,"AAAAAFVd++s=")</f>
        <v>#VALUE!</v>
      </c>
      <c r="IC186" t="e">
        <f>AND('Planilla_General_03-12-2012_9_3'!L2975,"AAAAAFVd++w=")</f>
        <v>#VALUE!</v>
      </c>
      <c r="ID186" t="e">
        <f>AND('Planilla_General_03-12-2012_9_3'!M2975,"AAAAAFVd++0=")</f>
        <v>#VALUE!</v>
      </c>
      <c r="IE186" t="e">
        <f>AND('Planilla_General_03-12-2012_9_3'!N2975,"AAAAAFVd++4=")</f>
        <v>#VALUE!</v>
      </c>
      <c r="IF186" t="e">
        <f>AND('Planilla_General_03-12-2012_9_3'!O2975,"AAAAAFVd++8=")</f>
        <v>#VALUE!</v>
      </c>
      <c r="IG186">
        <f>IF('Planilla_General_03-12-2012_9_3'!2976:2976,"AAAAAFVd+/A=",0)</f>
        <v>0</v>
      </c>
      <c r="IH186" t="e">
        <f>AND('Planilla_General_03-12-2012_9_3'!A2976,"AAAAAFVd+/E=")</f>
        <v>#VALUE!</v>
      </c>
      <c r="II186" t="e">
        <f>AND('Planilla_General_03-12-2012_9_3'!B2976,"AAAAAFVd+/I=")</f>
        <v>#VALUE!</v>
      </c>
      <c r="IJ186" t="e">
        <f>AND('Planilla_General_03-12-2012_9_3'!C2976,"AAAAAFVd+/M=")</f>
        <v>#VALUE!</v>
      </c>
      <c r="IK186" t="e">
        <f>AND('Planilla_General_03-12-2012_9_3'!D2976,"AAAAAFVd+/Q=")</f>
        <v>#VALUE!</v>
      </c>
      <c r="IL186" t="e">
        <f>AND('Planilla_General_03-12-2012_9_3'!E2976,"AAAAAFVd+/U=")</f>
        <v>#VALUE!</v>
      </c>
      <c r="IM186" t="e">
        <f>AND('Planilla_General_03-12-2012_9_3'!F2976,"AAAAAFVd+/Y=")</f>
        <v>#VALUE!</v>
      </c>
      <c r="IN186" t="e">
        <f>AND('Planilla_General_03-12-2012_9_3'!G2976,"AAAAAFVd+/c=")</f>
        <v>#VALUE!</v>
      </c>
      <c r="IO186" t="e">
        <f>AND('Planilla_General_03-12-2012_9_3'!H2976,"AAAAAFVd+/g=")</f>
        <v>#VALUE!</v>
      </c>
      <c r="IP186" t="e">
        <f>AND('Planilla_General_03-12-2012_9_3'!I2976,"AAAAAFVd+/k=")</f>
        <v>#VALUE!</v>
      </c>
      <c r="IQ186" t="e">
        <f>AND('Planilla_General_03-12-2012_9_3'!J2976,"AAAAAFVd+/o=")</f>
        <v>#VALUE!</v>
      </c>
      <c r="IR186" t="e">
        <f>AND('Planilla_General_03-12-2012_9_3'!K2976,"AAAAAFVd+/s=")</f>
        <v>#VALUE!</v>
      </c>
      <c r="IS186" t="e">
        <f>AND('Planilla_General_03-12-2012_9_3'!L2976,"AAAAAFVd+/w=")</f>
        <v>#VALUE!</v>
      </c>
      <c r="IT186" t="e">
        <f>AND('Planilla_General_03-12-2012_9_3'!M2976,"AAAAAFVd+/0=")</f>
        <v>#VALUE!</v>
      </c>
      <c r="IU186" t="e">
        <f>AND('Planilla_General_03-12-2012_9_3'!N2976,"AAAAAFVd+/4=")</f>
        <v>#VALUE!</v>
      </c>
      <c r="IV186" t="e">
        <f>AND('Planilla_General_03-12-2012_9_3'!O2976,"AAAAAFVd+/8=")</f>
        <v>#VALUE!</v>
      </c>
    </row>
    <row r="187" spans="1:256" x14ac:dyDescent="0.25">
      <c r="A187" t="e">
        <f>IF('Planilla_General_03-12-2012_9_3'!2977:2977,"AAAAAE7t1wA=",0)</f>
        <v>#VALUE!</v>
      </c>
      <c r="B187" t="e">
        <f>AND('Planilla_General_03-12-2012_9_3'!A2977,"AAAAAE7t1wE=")</f>
        <v>#VALUE!</v>
      </c>
      <c r="C187" t="e">
        <f>AND('Planilla_General_03-12-2012_9_3'!B2977,"AAAAAE7t1wI=")</f>
        <v>#VALUE!</v>
      </c>
      <c r="D187" t="e">
        <f>AND('Planilla_General_03-12-2012_9_3'!C2977,"AAAAAE7t1wM=")</f>
        <v>#VALUE!</v>
      </c>
      <c r="E187" t="e">
        <f>AND('Planilla_General_03-12-2012_9_3'!D2977,"AAAAAE7t1wQ=")</f>
        <v>#VALUE!</v>
      </c>
      <c r="F187" t="e">
        <f>AND('Planilla_General_03-12-2012_9_3'!E2977,"AAAAAE7t1wU=")</f>
        <v>#VALUE!</v>
      </c>
      <c r="G187" t="e">
        <f>AND('Planilla_General_03-12-2012_9_3'!F2977,"AAAAAE7t1wY=")</f>
        <v>#VALUE!</v>
      </c>
      <c r="H187" t="e">
        <f>AND('Planilla_General_03-12-2012_9_3'!G2977,"AAAAAE7t1wc=")</f>
        <v>#VALUE!</v>
      </c>
      <c r="I187" t="e">
        <f>AND('Planilla_General_03-12-2012_9_3'!H2977,"AAAAAE7t1wg=")</f>
        <v>#VALUE!</v>
      </c>
      <c r="J187" t="e">
        <f>AND('Planilla_General_03-12-2012_9_3'!I2977,"AAAAAE7t1wk=")</f>
        <v>#VALUE!</v>
      </c>
      <c r="K187" t="e">
        <f>AND('Planilla_General_03-12-2012_9_3'!J2977,"AAAAAE7t1wo=")</f>
        <v>#VALUE!</v>
      </c>
      <c r="L187" t="e">
        <f>AND('Planilla_General_03-12-2012_9_3'!K2977,"AAAAAE7t1ws=")</f>
        <v>#VALUE!</v>
      </c>
      <c r="M187" t="e">
        <f>AND('Planilla_General_03-12-2012_9_3'!L2977,"AAAAAE7t1ww=")</f>
        <v>#VALUE!</v>
      </c>
      <c r="N187" t="e">
        <f>AND('Planilla_General_03-12-2012_9_3'!M2977,"AAAAAE7t1w0=")</f>
        <v>#VALUE!</v>
      </c>
      <c r="O187" t="e">
        <f>AND('Planilla_General_03-12-2012_9_3'!N2977,"AAAAAE7t1w4=")</f>
        <v>#VALUE!</v>
      </c>
      <c r="P187" t="e">
        <f>AND('Planilla_General_03-12-2012_9_3'!O2977,"AAAAAE7t1w8=")</f>
        <v>#VALUE!</v>
      </c>
      <c r="Q187">
        <f>IF('Planilla_General_03-12-2012_9_3'!2978:2978,"AAAAAE7t1xA=",0)</f>
        <v>0</v>
      </c>
      <c r="R187" t="e">
        <f>AND('Planilla_General_03-12-2012_9_3'!A2978,"AAAAAE7t1xE=")</f>
        <v>#VALUE!</v>
      </c>
      <c r="S187" t="e">
        <f>AND('Planilla_General_03-12-2012_9_3'!B2978,"AAAAAE7t1xI=")</f>
        <v>#VALUE!</v>
      </c>
      <c r="T187" t="e">
        <f>AND('Planilla_General_03-12-2012_9_3'!C2978,"AAAAAE7t1xM=")</f>
        <v>#VALUE!</v>
      </c>
      <c r="U187" t="e">
        <f>AND('Planilla_General_03-12-2012_9_3'!D2978,"AAAAAE7t1xQ=")</f>
        <v>#VALUE!</v>
      </c>
      <c r="V187" t="e">
        <f>AND('Planilla_General_03-12-2012_9_3'!E2978,"AAAAAE7t1xU=")</f>
        <v>#VALUE!</v>
      </c>
      <c r="W187" t="e">
        <f>AND('Planilla_General_03-12-2012_9_3'!F2978,"AAAAAE7t1xY=")</f>
        <v>#VALUE!</v>
      </c>
      <c r="X187" t="e">
        <f>AND('Planilla_General_03-12-2012_9_3'!G2978,"AAAAAE7t1xc=")</f>
        <v>#VALUE!</v>
      </c>
      <c r="Y187" t="e">
        <f>AND('Planilla_General_03-12-2012_9_3'!H2978,"AAAAAE7t1xg=")</f>
        <v>#VALUE!</v>
      </c>
      <c r="Z187" t="e">
        <f>AND('Planilla_General_03-12-2012_9_3'!I2978,"AAAAAE7t1xk=")</f>
        <v>#VALUE!</v>
      </c>
      <c r="AA187" t="e">
        <f>AND('Planilla_General_03-12-2012_9_3'!J2978,"AAAAAE7t1xo=")</f>
        <v>#VALUE!</v>
      </c>
      <c r="AB187" t="e">
        <f>AND('Planilla_General_03-12-2012_9_3'!K2978,"AAAAAE7t1xs=")</f>
        <v>#VALUE!</v>
      </c>
      <c r="AC187" t="e">
        <f>AND('Planilla_General_03-12-2012_9_3'!L2978,"AAAAAE7t1xw=")</f>
        <v>#VALUE!</v>
      </c>
      <c r="AD187" t="e">
        <f>AND('Planilla_General_03-12-2012_9_3'!M2978,"AAAAAE7t1x0=")</f>
        <v>#VALUE!</v>
      </c>
      <c r="AE187" t="e">
        <f>AND('Planilla_General_03-12-2012_9_3'!N2978,"AAAAAE7t1x4=")</f>
        <v>#VALUE!</v>
      </c>
      <c r="AF187" t="e">
        <f>AND('Planilla_General_03-12-2012_9_3'!O2978,"AAAAAE7t1x8=")</f>
        <v>#VALUE!</v>
      </c>
      <c r="AG187">
        <f>IF('Planilla_General_03-12-2012_9_3'!2979:2979,"AAAAAE7t1yA=",0)</f>
        <v>0</v>
      </c>
      <c r="AH187" t="e">
        <f>AND('Planilla_General_03-12-2012_9_3'!A2979,"AAAAAE7t1yE=")</f>
        <v>#VALUE!</v>
      </c>
      <c r="AI187" t="e">
        <f>AND('Planilla_General_03-12-2012_9_3'!B2979,"AAAAAE7t1yI=")</f>
        <v>#VALUE!</v>
      </c>
      <c r="AJ187" t="e">
        <f>AND('Planilla_General_03-12-2012_9_3'!C2979,"AAAAAE7t1yM=")</f>
        <v>#VALUE!</v>
      </c>
      <c r="AK187" t="e">
        <f>AND('Planilla_General_03-12-2012_9_3'!D2979,"AAAAAE7t1yQ=")</f>
        <v>#VALUE!</v>
      </c>
      <c r="AL187" t="e">
        <f>AND('Planilla_General_03-12-2012_9_3'!E2979,"AAAAAE7t1yU=")</f>
        <v>#VALUE!</v>
      </c>
      <c r="AM187" t="e">
        <f>AND('Planilla_General_03-12-2012_9_3'!F2979,"AAAAAE7t1yY=")</f>
        <v>#VALUE!</v>
      </c>
      <c r="AN187" t="e">
        <f>AND('Planilla_General_03-12-2012_9_3'!G2979,"AAAAAE7t1yc=")</f>
        <v>#VALUE!</v>
      </c>
      <c r="AO187" t="e">
        <f>AND('Planilla_General_03-12-2012_9_3'!H2979,"AAAAAE7t1yg=")</f>
        <v>#VALUE!</v>
      </c>
      <c r="AP187" t="e">
        <f>AND('Planilla_General_03-12-2012_9_3'!I2979,"AAAAAE7t1yk=")</f>
        <v>#VALUE!</v>
      </c>
      <c r="AQ187" t="e">
        <f>AND('Planilla_General_03-12-2012_9_3'!J2979,"AAAAAE7t1yo=")</f>
        <v>#VALUE!</v>
      </c>
      <c r="AR187" t="e">
        <f>AND('Planilla_General_03-12-2012_9_3'!K2979,"AAAAAE7t1ys=")</f>
        <v>#VALUE!</v>
      </c>
      <c r="AS187" t="e">
        <f>AND('Planilla_General_03-12-2012_9_3'!L2979,"AAAAAE7t1yw=")</f>
        <v>#VALUE!</v>
      </c>
      <c r="AT187" t="e">
        <f>AND('Planilla_General_03-12-2012_9_3'!M2979,"AAAAAE7t1y0=")</f>
        <v>#VALUE!</v>
      </c>
      <c r="AU187" t="e">
        <f>AND('Planilla_General_03-12-2012_9_3'!N2979,"AAAAAE7t1y4=")</f>
        <v>#VALUE!</v>
      </c>
      <c r="AV187" t="e">
        <f>AND('Planilla_General_03-12-2012_9_3'!O2979,"AAAAAE7t1y8=")</f>
        <v>#VALUE!</v>
      </c>
      <c r="AW187">
        <f>IF('Planilla_General_03-12-2012_9_3'!2980:2980,"AAAAAE7t1zA=",0)</f>
        <v>0</v>
      </c>
      <c r="AX187" t="e">
        <f>AND('Planilla_General_03-12-2012_9_3'!A2980,"AAAAAE7t1zE=")</f>
        <v>#VALUE!</v>
      </c>
      <c r="AY187" t="e">
        <f>AND('Planilla_General_03-12-2012_9_3'!B2980,"AAAAAE7t1zI=")</f>
        <v>#VALUE!</v>
      </c>
      <c r="AZ187" t="e">
        <f>AND('Planilla_General_03-12-2012_9_3'!C2980,"AAAAAE7t1zM=")</f>
        <v>#VALUE!</v>
      </c>
      <c r="BA187" t="e">
        <f>AND('Planilla_General_03-12-2012_9_3'!D2980,"AAAAAE7t1zQ=")</f>
        <v>#VALUE!</v>
      </c>
      <c r="BB187" t="e">
        <f>AND('Planilla_General_03-12-2012_9_3'!E2980,"AAAAAE7t1zU=")</f>
        <v>#VALUE!</v>
      </c>
      <c r="BC187" t="e">
        <f>AND('Planilla_General_03-12-2012_9_3'!F2980,"AAAAAE7t1zY=")</f>
        <v>#VALUE!</v>
      </c>
      <c r="BD187" t="e">
        <f>AND('Planilla_General_03-12-2012_9_3'!G2980,"AAAAAE7t1zc=")</f>
        <v>#VALUE!</v>
      </c>
      <c r="BE187" t="e">
        <f>AND('Planilla_General_03-12-2012_9_3'!H2980,"AAAAAE7t1zg=")</f>
        <v>#VALUE!</v>
      </c>
      <c r="BF187" t="e">
        <f>AND('Planilla_General_03-12-2012_9_3'!I2980,"AAAAAE7t1zk=")</f>
        <v>#VALUE!</v>
      </c>
      <c r="BG187" t="e">
        <f>AND('Planilla_General_03-12-2012_9_3'!J2980,"AAAAAE7t1zo=")</f>
        <v>#VALUE!</v>
      </c>
      <c r="BH187" t="e">
        <f>AND('Planilla_General_03-12-2012_9_3'!K2980,"AAAAAE7t1zs=")</f>
        <v>#VALUE!</v>
      </c>
      <c r="BI187" t="e">
        <f>AND('Planilla_General_03-12-2012_9_3'!L2980,"AAAAAE7t1zw=")</f>
        <v>#VALUE!</v>
      </c>
      <c r="BJ187" t="e">
        <f>AND('Planilla_General_03-12-2012_9_3'!M2980,"AAAAAE7t1z0=")</f>
        <v>#VALUE!</v>
      </c>
      <c r="BK187" t="e">
        <f>AND('Planilla_General_03-12-2012_9_3'!N2980,"AAAAAE7t1z4=")</f>
        <v>#VALUE!</v>
      </c>
      <c r="BL187" t="e">
        <f>AND('Planilla_General_03-12-2012_9_3'!O2980,"AAAAAE7t1z8=")</f>
        <v>#VALUE!</v>
      </c>
      <c r="BM187">
        <f>IF('Planilla_General_03-12-2012_9_3'!2981:2981,"AAAAAE7t10A=",0)</f>
        <v>0</v>
      </c>
      <c r="BN187" t="e">
        <f>AND('Planilla_General_03-12-2012_9_3'!A2981,"AAAAAE7t10E=")</f>
        <v>#VALUE!</v>
      </c>
      <c r="BO187" t="e">
        <f>AND('Planilla_General_03-12-2012_9_3'!B2981,"AAAAAE7t10I=")</f>
        <v>#VALUE!</v>
      </c>
      <c r="BP187" t="e">
        <f>AND('Planilla_General_03-12-2012_9_3'!C2981,"AAAAAE7t10M=")</f>
        <v>#VALUE!</v>
      </c>
      <c r="BQ187" t="e">
        <f>AND('Planilla_General_03-12-2012_9_3'!D2981,"AAAAAE7t10Q=")</f>
        <v>#VALUE!</v>
      </c>
      <c r="BR187" t="e">
        <f>AND('Planilla_General_03-12-2012_9_3'!E2981,"AAAAAE7t10U=")</f>
        <v>#VALUE!</v>
      </c>
      <c r="BS187" t="e">
        <f>AND('Planilla_General_03-12-2012_9_3'!F2981,"AAAAAE7t10Y=")</f>
        <v>#VALUE!</v>
      </c>
      <c r="BT187" t="e">
        <f>AND('Planilla_General_03-12-2012_9_3'!G2981,"AAAAAE7t10c=")</f>
        <v>#VALUE!</v>
      </c>
      <c r="BU187" t="e">
        <f>AND('Planilla_General_03-12-2012_9_3'!H2981,"AAAAAE7t10g=")</f>
        <v>#VALUE!</v>
      </c>
      <c r="BV187" t="e">
        <f>AND('Planilla_General_03-12-2012_9_3'!I2981,"AAAAAE7t10k=")</f>
        <v>#VALUE!</v>
      </c>
      <c r="BW187" t="e">
        <f>AND('Planilla_General_03-12-2012_9_3'!J2981,"AAAAAE7t10o=")</f>
        <v>#VALUE!</v>
      </c>
      <c r="BX187" t="e">
        <f>AND('Planilla_General_03-12-2012_9_3'!K2981,"AAAAAE7t10s=")</f>
        <v>#VALUE!</v>
      </c>
      <c r="BY187" t="e">
        <f>AND('Planilla_General_03-12-2012_9_3'!L2981,"AAAAAE7t10w=")</f>
        <v>#VALUE!</v>
      </c>
      <c r="BZ187" t="e">
        <f>AND('Planilla_General_03-12-2012_9_3'!M2981,"AAAAAE7t100=")</f>
        <v>#VALUE!</v>
      </c>
      <c r="CA187" t="e">
        <f>AND('Planilla_General_03-12-2012_9_3'!N2981,"AAAAAE7t104=")</f>
        <v>#VALUE!</v>
      </c>
      <c r="CB187" t="e">
        <f>AND('Planilla_General_03-12-2012_9_3'!O2981,"AAAAAE7t108=")</f>
        <v>#VALUE!</v>
      </c>
      <c r="CC187">
        <f>IF('Planilla_General_03-12-2012_9_3'!2982:2982,"AAAAAE7t11A=",0)</f>
        <v>0</v>
      </c>
      <c r="CD187" t="e">
        <f>AND('Planilla_General_03-12-2012_9_3'!A2982,"AAAAAE7t11E=")</f>
        <v>#VALUE!</v>
      </c>
      <c r="CE187" t="e">
        <f>AND('Planilla_General_03-12-2012_9_3'!B2982,"AAAAAE7t11I=")</f>
        <v>#VALUE!</v>
      </c>
      <c r="CF187" t="e">
        <f>AND('Planilla_General_03-12-2012_9_3'!C2982,"AAAAAE7t11M=")</f>
        <v>#VALUE!</v>
      </c>
      <c r="CG187" t="e">
        <f>AND('Planilla_General_03-12-2012_9_3'!D2982,"AAAAAE7t11Q=")</f>
        <v>#VALUE!</v>
      </c>
      <c r="CH187" t="e">
        <f>AND('Planilla_General_03-12-2012_9_3'!E2982,"AAAAAE7t11U=")</f>
        <v>#VALUE!</v>
      </c>
      <c r="CI187" t="e">
        <f>AND('Planilla_General_03-12-2012_9_3'!F2982,"AAAAAE7t11Y=")</f>
        <v>#VALUE!</v>
      </c>
      <c r="CJ187" t="e">
        <f>AND('Planilla_General_03-12-2012_9_3'!G2982,"AAAAAE7t11c=")</f>
        <v>#VALUE!</v>
      </c>
      <c r="CK187" t="e">
        <f>AND('Planilla_General_03-12-2012_9_3'!H2982,"AAAAAE7t11g=")</f>
        <v>#VALUE!</v>
      </c>
      <c r="CL187" t="e">
        <f>AND('Planilla_General_03-12-2012_9_3'!I2982,"AAAAAE7t11k=")</f>
        <v>#VALUE!</v>
      </c>
      <c r="CM187" t="e">
        <f>AND('Planilla_General_03-12-2012_9_3'!J2982,"AAAAAE7t11o=")</f>
        <v>#VALUE!</v>
      </c>
      <c r="CN187" t="e">
        <f>AND('Planilla_General_03-12-2012_9_3'!K2982,"AAAAAE7t11s=")</f>
        <v>#VALUE!</v>
      </c>
      <c r="CO187" t="e">
        <f>AND('Planilla_General_03-12-2012_9_3'!L2982,"AAAAAE7t11w=")</f>
        <v>#VALUE!</v>
      </c>
      <c r="CP187" t="e">
        <f>AND('Planilla_General_03-12-2012_9_3'!M2982,"AAAAAE7t110=")</f>
        <v>#VALUE!</v>
      </c>
      <c r="CQ187" t="e">
        <f>AND('Planilla_General_03-12-2012_9_3'!N2982,"AAAAAE7t114=")</f>
        <v>#VALUE!</v>
      </c>
      <c r="CR187" t="e">
        <f>AND('Planilla_General_03-12-2012_9_3'!O2982,"AAAAAE7t118=")</f>
        <v>#VALUE!</v>
      </c>
      <c r="CS187">
        <f>IF('Planilla_General_03-12-2012_9_3'!2983:2983,"AAAAAE7t12A=",0)</f>
        <v>0</v>
      </c>
      <c r="CT187" t="e">
        <f>AND('Planilla_General_03-12-2012_9_3'!A2983,"AAAAAE7t12E=")</f>
        <v>#VALUE!</v>
      </c>
      <c r="CU187" t="e">
        <f>AND('Planilla_General_03-12-2012_9_3'!B2983,"AAAAAE7t12I=")</f>
        <v>#VALUE!</v>
      </c>
      <c r="CV187" t="e">
        <f>AND('Planilla_General_03-12-2012_9_3'!C2983,"AAAAAE7t12M=")</f>
        <v>#VALUE!</v>
      </c>
      <c r="CW187" t="e">
        <f>AND('Planilla_General_03-12-2012_9_3'!D2983,"AAAAAE7t12Q=")</f>
        <v>#VALUE!</v>
      </c>
      <c r="CX187" t="e">
        <f>AND('Planilla_General_03-12-2012_9_3'!E2983,"AAAAAE7t12U=")</f>
        <v>#VALUE!</v>
      </c>
      <c r="CY187" t="e">
        <f>AND('Planilla_General_03-12-2012_9_3'!F2983,"AAAAAE7t12Y=")</f>
        <v>#VALUE!</v>
      </c>
      <c r="CZ187" t="e">
        <f>AND('Planilla_General_03-12-2012_9_3'!G2983,"AAAAAE7t12c=")</f>
        <v>#VALUE!</v>
      </c>
      <c r="DA187" t="e">
        <f>AND('Planilla_General_03-12-2012_9_3'!H2983,"AAAAAE7t12g=")</f>
        <v>#VALUE!</v>
      </c>
      <c r="DB187" t="e">
        <f>AND('Planilla_General_03-12-2012_9_3'!I2983,"AAAAAE7t12k=")</f>
        <v>#VALUE!</v>
      </c>
      <c r="DC187" t="e">
        <f>AND('Planilla_General_03-12-2012_9_3'!J2983,"AAAAAE7t12o=")</f>
        <v>#VALUE!</v>
      </c>
      <c r="DD187" t="e">
        <f>AND('Planilla_General_03-12-2012_9_3'!K2983,"AAAAAE7t12s=")</f>
        <v>#VALUE!</v>
      </c>
      <c r="DE187" t="e">
        <f>AND('Planilla_General_03-12-2012_9_3'!L2983,"AAAAAE7t12w=")</f>
        <v>#VALUE!</v>
      </c>
      <c r="DF187" t="e">
        <f>AND('Planilla_General_03-12-2012_9_3'!M2983,"AAAAAE7t120=")</f>
        <v>#VALUE!</v>
      </c>
      <c r="DG187" t="e">
        <f>AND('Planilla_General_03-12-2012_9_3'!N2983,"AAAAAE7t124=")</f>
        <v>#VALUE!</v>
      </c>
      <c r="DH187" t="e">
        <f>AND('Planilla_General_03-12-2012_9_3'!O2983,"AAAAAE7t128=")</f>
        <v>#VALUE!</v>
      </c>
      <c r="DI187">
        <f>IF('Planilla_General_03-12-2012_9_3'!2984:2984,"AAAAAE7t13A=",0)</f>
        <v>0</v>
      </c>
      <c r="DJ187" t="e">
        <f>AND('Planilla_General_03-12-2012_9_3'!A2984,"AAAAAE7t13E=")</f>
        <v>#VALUE!</v>
      </c>
      <c r="DK187" t="e">
        <f>AND('Planilla_General_03-12-2012_9_3'!B2984,"AAAAAE7t13I=")</f>
        <v>#VALUE!</v>
      </c>
      <c r="DL187" t="e">
        <f>AND('Planilla_General_03-12-2012_9_3'!C2984,"AAAAAE7t13M=")</f>
        <v>#VALUE!</v>
      </c>
      <c r="DM187" t="e">
        <f>AND('Planilla_General_03-12-2012_9_3'!D2984,"AAAAAE7t13Q=")</f>
        <v>#VALUE!</v>
      </c>
      <c r="DN187" t="e">
        <f>AND('Planilla_General_03-12-2012_9_3'!E2984,"AAAAAE7t13U=")</f>
        <v>#VALUE!</v>
      </c>
      <c r="DO187" t="e">
        <f>AND('Planilla_General_03-12-2012_9_3'!F2984,"AAAAAE7t13Y=")</f>
        <v>#VALUE!</v>
      </c>
      <c r="DP187" t="e">
        <f>AND('Planilla_General_03-12-2012_9_3'!G2984,"AAAAAE7t13c=")</f>
        <v>#VALUE!</v>
      </c>
      <c r="DQ187" t="e">
        <f>AND('Planilla_General_03-12-2012_9_3'!H2984,"AAAAAE7t13g=")</f>
        <v>#VALUE!</v>
      </c>
      <c r="DR187" t="e">
        <f>AND('Planilla_General_03-12-2012_9_3'!I2984,"AAAAAE7t13k=")</f>
        <v>#VALUE!</v>
      </c>
      <c r="DS187" t="e">
        <f>AND('Planilla_General_03-12-2012_9_3'!J2984,"AAAAAE7t13o=")</f>
        <v>#VALUE!</v>
      </c>
      <c r="DT187" t="e">
        <f>AND('Planilla_General_03-12-2012_9_3'!K2984,"AAAAAE7t13s=")</f>
        <v>#VALUE!</v>
      </c>
      <c r="DU187" t="e">
        <f>AND('Planilla_General_03-12-2012_9_3'!L2984,"AAAAAE7t13w=")</f>
        <v>#VALUE!</v>
      </c>
      <c r="DV187" t="e">
        <f>AND('Planilla_General_03-12-2012_9_3'!M2984,"AAAAAE7t130=")</f>
        <v>#VALUE!</v>
      </c>
      <c r="DW187" t="e">
        <f>AND('Planilla_General_03-12-2012_9_3'!N2984,"AAAAAE7t134=")</f>
        <v>#VALUE!</v>
      </c>
      <c r="DX187" t="e">
        <f>AND('Planilla_General_03-12-2012_9_3'!O2984,"AAAAAE7t138=")</f>
        <v>#VALUE!</v>
      </c>
      <c r="DY187">
        <f>IF('Planilla_General_03-12-2012_9_3'!2985:2985,"AAAAAE7t14A=",0)</f>
        <v>0</v>
      </c>
      <c r="DZ187" t="e">
        <f>AND('Planilla_General_03-12-2012_9_3'!A2985,"AAAAAE7t14E=")</f>
        <v>#VALUE!</v>
      </c>
      <c r="EA187" t="e">
        <f>AND('Planilla_General_03-12-2012_9_3'!B2985,"AAAAAE7t14I=")</f>
        <v>#VALUE!</v>
      </c>
      <c r="EB187" t="e">
        <f>AND('Planilla_General_03-12-2012_9_3'!C2985,"AAAAAE7t14M=")</f>
        <v>#VALUE!</v>
      </c>
      <c r="EC187" t="e">
        <f>AND('Planilla_General_03-12-2012_9_3'!D2985,"AAAAAE7t14Q=")</f>
        <v>#VALUE!</v>
      </c>
      <c r="ED187" t="e">
        <f>AND('Planilla_General_03-12-2012_9_3'!E2985,"AAAAAE7t14U=")</f>
        <v>#VALUE!</v>
      </c>
      <c r="EE187" t="e">
        <f>AND('Planilla_General_03-12-2012_9_3'!F2985,"AAAAAE7t14Y=")</f>
        <v>#VALUE!</v>
      </c>
      <c r="EF187" t="e">
        <f>AND('Planilla_General_03-12-2012_9_3'!G2985,"AAAAAE7t14c=")</f>
        <v>#VALUE!</v>
      </c>
      <c r="EG187" t="e">
        <f>AND('Planilla_General_03-12-2012_9_3'!H2985,"AAAAAE7t14g=")</f>
        <v>#VALUE!</v>
      </c>
      <c r="EH187" t="e">
        <f>AND('Planilla_General_03-12-2012_9_3'!I2985,"AAAAAE7t14k=")</f>
        <v>#VALUE!</v>
      </c>
      <c r="EI187" t="e">
        <f>AND('Planilla_General_03-12-2012_9_3'!J2985,"AAAAAE7t14o=")</f>
        <v>#VALUE!</v>
      </c>
      <c r="EJ187" t="e">
        <f>AND('Planilla_General_03-12-2012_9_3'!K2985,"AAAAAE7t14s=")</f>
        <v>#VALUE!</v>
      </c>
      <c r="EK187" t="e">
        <f>AND('Planilla_General_03-12-2012_9_3'!L2985,"AAAAAE7t14w=")</f>
        <v>#VALUE!</v>
      </c>
      <c r="EL187" t="e">
        <f>AND('Planilla_General_03-12-2012_9_3'!M2985,"AAAAAE7t140=")</f>
        <v>#VALUE!</v>
      </c>
      <c r="EM187" t="e">
        <f>AND('Planilla_General_03-12-2012_9_3'!N2985,"AAAAAE7t144=")</f>
        <v>#VALUE!</v>
      </c>
      <c r="EN187" t="e">
        <f>AND('Planilla_General_03-12-2012_9_3'!O2985,"AAAAAE7t148=")</f>
        <v>#VALUE!</v>
      </c>
      <c r="EO187">
        <f>IF('Planilla_General_03-12-2012_9_3'!2986:2986,"AAAAAE7t15A=",0)</f>
        <v>0</v>
      </c>
      <c r="EP187" t="e">
        <f>AND('Planilla_General_03-12-2012_9_3'!A2986,"AAAAAE7t15E=")</f>
        <v>#VALUE!</v>
      </c>
      <c r="EQ187" t="e">
        <f>AND('Planilla_General_03-12-2012_9_3'!B2986,"AAAAAE7t15I=")</f>
        <v>#VALUE!</v>
      </c>
      <c r="ER187" t="e">
        <f>AND('Planilla_General_03-12-2012_9_3'!C2986,"AAAAAE7t15M=")</f>
        <v>#VALUE!</v>
      </c>
      <c r="ES187" t="e">
        <f>AND('Planilla_General_03-12-2012_9_3'!D2986,"AAAAAE7t15Q=")</f>
        <v>#VALUE!</v>
      </c>
      <c r="ET187" t="e">
        <f>AND('Planilla_General_03-12-2012_9_3'!E2986,"AAAAAE7t15U=")</f>
        <v>#VALUE!</v>
      </c>
      <c r="EU187" t="e">
        <f>AND('Planilla_General_03-12-2012_9_3'!F2986,"AAAAAE7t15Y=")</f>
        <v>#VALUE!</v>
      </c>
      <c r="EV187" t="e">
        <f>AND('Planilla_General_03-12-2012_9_3'!G2986,"AAAAAE7t15c=")</f>
        <v>#VALUE!</v>
      </c>
      <c r="EW187" t="e">
        <f>AND('Planilla_General_03-12-2012_9_3'!H2986,"AAAAAE7t15g=")</f>
        <v>#VALUE!</v>
      </c>
      <c r="EX187" t="e">
        <f>AND('Planilla_General_03-12-2012_9_3'!I2986,"AAAAAE7t15k=")</f>
        <v>#VALUE!</v>
      </c>
      <c r="EY187" t="e">
        <f>AND('Planilla_General_03-12-2012_9_3'!J2986,"AAAAAE7t15o=")</f>
        <v>#VALUE!</v>
      </c>
      <c r="EZ187" t="e">
        <f>AND('Planilla_General_03-12-2012_9_3'!K2986,"AAAAAE7t15s=")</f>
        <v>#VALUE!</v>
      </c>
      <c r="FA187" t="e">
        <f>AND('Planilla_General_03-12-2012_9_3'!L2986,"AAAAAE7t15w=")</f>
        <v>#VALUE!</v>
      </c>
      <c r="FB187" t="e">
        <f>AND('Planilla_General_03-12-2012_9_3'!M2986,"AAAAAE7t150=")</f>
        <v>#VALUE!</v>
      </c>
      <c r="FC187" t="e">
        <f>AND('Planilla_General_03-12-2012_9_3'!N2986,"AAAAAE7t154=")</f>
        <v>#VALUE!</v>
      </c>
      <c r="FD187" t="e">
        <f>AND('Planilla_General_03-12-2012_9_3'!O2986,"AAAAAE7t158=")</f>
        <v>#VALUE!</v>
      </c>
      <c r="FE187">
        <f>IF('Planilla_General_03-12-2012_9_3'!2987:2987,"AAAAAE7t16A=",0)</f>
        <v>0</v>
      </c>
      <c r="FF187" t="e">
        <f>AND('Planilla_General_03-12-2012_9_3'!A2987,"AAAAAE7t16E=")</f>
        <v>#VALUE!</v>
      </c>
      <c r="FG187" t="e">
        <f>AND('Planilla_General_03-12-2012_9_3'!B2987,"AAAAAE7t16I=")</f>
        <v>#VALUE!</v>
      </c>
      <c r="FH187" t="e">
        <f>AND('Planilla_General_03-12-2012_9_3'!C2987,"AAAAAE7t16M=")</f>
        <v>#VALUE!</v>
      </c>
      <c r="FI187" t="e">
        <f>AND('Planilla_General_03-12-2012_9_3'!D2987,"AAAAAE7t16Q=")</f>
        <v>#VALUE!</v>
      </c>
      <c r="FJ187" t="e">
        <f>AND('Planilla_General_03-12-2012_9_3'!E2987,"AAAAAE7t16U=")</f>
        <v>#VALUE!</v>
      </c>
      <c r="FK187" t="e">
        <f>AND('Planilla_General_03-12-2012_9_3'!F2987,"AAAAAE7t16Y=")</f>
        <v>#VALUE!</v>
      </c>
      <c r="FL187" t="e">
        <f>AND('Planilla_General_03-12-2012_9_3'!G2987,"AAAAAE7t16c=")</f>
        <v>#VALUE!</v>
      </c>
      <c r="FM187" t="e">
        <f>AND('Planilla_General_03-12-2012_9_3'!H2987,"AAAAAE7t16g=")</f>
        <v>#VALUE!</v>
      </c>
      <c r="FN187" t="e">
        <f>AND('Planilla_General_03-12-2012_9_3'!I2987,"AAAAAE7t16k=")</f>
        <v>#VALUE!</v>
      </c>
      <c r="FO187" t="e">
        <f>AND('Planilla_General_03-12-2012_9_3'!J2987,"AAAAAE7t16o=")</f>
        <v>#VALUE!</v>
      </c>
      <c r="FP187" t="e">
        <f>AND('Planilla_General_03-12-2012_9_3'!K2987,"AAAAAE7t16s=")</f>
        <v>#VALUE!</v>
      </c>
      <c r="FQ187" t="e">
        <f>AND('Planilla_General_03-12-2012_9_3'!L2987,"AAAAAE7t16w=")</f>
        <v>#VALUE!</v>
      </c>
      <c r="FR187" t="e">
        <f>AND('Planilla_General_03-12-2012_9_3'!M2987,"AAAAAE7t160=")</f>
        <v>#VALUE!</v>
      </c>
      <c r="FS187" t="e">
        <f>AND('Planilla_General_03-12-2012_9_3'!N2987,"AAAAAE7t164=")</f>
        <v>#VALUE!</v>
      </c>
      <c r="FT187" t="e">
        <f>AND('Planilla_General_03-12-2012_9_3'!O2987,"AAAAAE7t168=")</f>
        <v>#VALUE!</v>
      </c>
      <c r="FU187">
        <f>IF('Planilla_General_03-12-2012_9_3'!2988:2988,"AAAAAE7t17A=",0)</f>
        <v>0</v>
      </c>
      <c r="FV187" t="e">
        <f>AND('Planilla_General_03-12-2012_9_3'!A2988,"AAAAAE7t17E=")</f>
        <v>#VALUE!</v>
      </c>
      <c r="FW187" t="e">
        <f>AND('Planilla_General_03-12-2012_9_3'!B2988,"AAAAAE7t17I=")</f>
        <v>#VALUE!</v>
      </c>
      <c r="FX187" t="e">
        <f>AND('Planilla_General_03-12-2012_9_3'!C2988,"AAAAAE7t17M=")</f>
        <v>#VALUE!</v>
      </c>
      <c r="FY187" t="e">
        <f>AND('Planilla_General_03-12-2012_9_3'!D2988,"AAAAAE7t17Q=")</f>
        <v>#VALUE!</v>
      </c>
      <c r="FZ187" t="e">
        <f>AND('Planilla_General_03-12-2012_9_3'!E2988,"AAAAAE7t17U=")</f>
        <v>#VALUE!</v>
      </c>
      <c r="GA187" t="e">
        <f>AND('Planilla_General_03-12-2012_9_3'!F2988,"AAAAAE7t17Y=")</f>
        <v>#VALUE!</v>
      </c>
      <c r="GB187" t="e">
        <f>AND('Planilla_General_03-12-2012_9_3'!G2988,"AAAAAE7t17c=")</f>
        <v>#VALUE!</v>
      </c>
      <c r="GC187" t="e">
        <f>AND('Planilla_General_03-12-2012_9_3'!H2988,"AAAAAE7t17g=")</f>
        <v>#VALUE!</v>
      </c>
      <c r="GD187" t="e">
        <f>AND('Planilla_General_03-12-2012_9_3'!I2988,"AAAAAE7t17k=")</f>
        <v>#VALUE!</v>
      </c>
      <c r="GE187" t="e">
        <f>AND('Planilla_General_03-12-2012_9_3'!J2988,"AAAAAE7t17o=")</f>
        <v>#VALUE!</v>
      </c>
      <c r="GF187" t="e">
        <f>AND('Planilla_General_03-12-2012_9_3'!K2988,"AAAAAE7t17s=")</f>
        <v>#VALUE!</v>
      </c>
      <c r="GG187" t="e">
        <f>AND('Planilla_General_03-12-2012_9_3'!L2988,"AAAAAE7t17w=")</f>
        <v>#VALUE!</v>
      </c>
      <c r="GH187" t="e">
        <f>AND('Planilla_General_03-12-2012_9_3'!M2988,"AAAAAE7t170=")</f>
        <v>#VALUE!</v>
      </c>
      <c r="GI187" t="e">
        <f>AND('Planilla_General_03-12-2012_9_3'!N2988,"AAAAAE7t174=")</f>
        <v>#VALUE!</v>
      </c>
      <c r="GJ187" t="e">
        <f>AND('Planilla_General_03-12-2012_9_3'!O2988,"AAAAAE7t178=")</f>
        <v>#VALUE!</v>
      </c>
      <c r="GK187">
        <f>IF('Planilla_General_03-12-2012_9_3'!2989:2989,"AAAAAE7t18A=",0)</f>
        <v>0</v>
      </c>
      <c r="GL187" t="e">
        <f>AND('Planilla_General_03-12-2012_9_3'!A2989,"AAAAAE7t18E=")</f>
        <v>#VALUE!</v>
      </c>
      <c r="GM187" t="e">
        <f>AND('Planilla_General_03-12-2012_9_3'!B2989,"AAAAAE7t18I=")</f>
        <v>#VALUE!</v>
      </c>
      <c r="GN187" t="e">
        <f>AND('Planilla_General_03-12-2012_9_3'!C2989,"AAAAAE7t18M=")</f>
        <v>#VALUE!</v>
      </c>
      <c r="GO187" t="e">
        <f>AND('Planilla_General_03-12-2012_9_3'!D2989,"AAAAAE7t18Q=")</f>
        <v>#VALUE!</v>
      </c>
      <c r="GP187" t="e">
        <f>AND('Planilla_General_03-12-2012_9_3'!E2989,"AAAAAE7t18U=")</f>
        <v>#VALUE!</v>
      </c>
      <c r="GQ187" t="e">
        <f>AND('Planilla_General_03-12-2012_9_3'!F2989,"AAAAAE7t18Y=")</f>
        <v>#VALUE!</v>
      </c>
      <c r="GR187" t="e">
        <f>AND('Planilla_General_03-12-2012_9_3'!G2989,"AAAAAE7t18c=")</f>
        <v>#VALUE!</v>
      </c>
      <c r="GS187" t="e">
        <f>AND('Planilla_General_03-12-2012_9_3'!H2989,"AAAAAE7t18g=")</f>
        <v>#VALUE!</v>
      </c>
      <c r="GT187" t="e">
        <f>AND('Planilla_General_03-12-2012_9_3'!I2989,"AAAAAE7t18k=")</f>
        <v>#VALUE!</v>
      </c>
      <c r="GU187" t="e">
        <f>AND('Planilla_General_03-12-2012_9_3'!J2989,"AAAAAE7t18o=")</f>
        <v>#VALUE!</v>
      </c>
      <c r="GV187" t="e">
        <f>AND('Planilla_General_03-12-2012_9_3'!K2989,"AAAAAE7t18s=")</f>
        <v>#VALUE!</v>
      </c>
      <c r="GW187" t="e">
        <f>AND('Planilla_General_03-12-2012_9_3'!L2989,"AAAAAE7t18w=")</f>
        <v>#VALUE!</v>
      </c>
      <c r="GX187" t="e">
        <f>AND('Planilla_General_03-12-2012_9_3'!M2989,"AAAAAE7t180=")</f>
        <v>#VALUE!</v>
      </c>
      <c r="GY187" t="e">
        <f>AND('Planilla_General_03-12-2012_9_3'!N2989,"AAAAAE7t184=")</f>
        <v>#VALUE!</v>
      </c>
      <c r="GZ187" t="e">
        <f>AND('Planilla_General_03-12-2012_9_3'!O2989,"AAAAAE7t188=")</f>
        <v>#VALUE!</v>
      </c>
      <c r="HA187">
        <f>IF('Planilla_General_03-12-2012_9_3'!2990:2990,"AAAAAE7t19A=",0)</f>
        <v>0</v>
      </c>
      <c r="HB187" t="e">
        <f>AND('Planilla_General_03-12-2012_9_3'!A2990,"AAAAAE7t19E=")</f>
        <v>#VALUE!</v>
      </c>
      <c r="HC187" t="e">
        <f>AND('Planilla_General_03-12-2012_9_3'!B2990,"AAAAAE7t19I=")</f>
        <v>#VALUE!</v>
      </c>
      <c r="HD187" t="e">
        <f>AND('Planilla_General_03-12-2012_9_3'!C2990,"AAAAAE7t19M=")</f>
        <v>#VALUE!</v>
      </c>
      <c r="HE187" t="e">
        <f>AND('Planilla_General_03-12-2012_9_3'!D2990,"AAAAAE7t19Q=")</f>
        <v>#VALUE!</v>
      </c>
      <c r="HF187" t="e">
        <f>AND('Planilla_General_03-12-2012_9_3'!E2990,"AAAAAE7t19U=")</f>
        <v>#VALUE!</v>
      </c>
      <c r="HG187" t="e">
        <f>AND('Planilla_General_03-12-2012_9_3'!F2990,"AAAAAE7t19Y=")</f>
        <v>#VALUE!</v>
      </c>
      <c r="HH187" t="e">
        <f>AND('Planilla_General_03-12-2012_9_3'!G2990,"AAAAAE7t19c=")</f>
        <v>#VALUE!</v>
      </c>
      <c r="HI187" t="e">
        <f>AND('Planilla_General_03-12-2012_9_3'!H2990,"AAAAAE7t19g=")</f>
        <v>#VALUE!</v>
      </c>
      <c r="HJ187" t="e">
        <f>AND('Planilla_General_03-12-2012_9_3'!I2990,"AAAAAE7t19k=")</f>
        <v>#VALUE!</v>
      </c>
      <c r="HK187" t="e">
        <f>AND('Planilla_General_03-12-2012_9_3'!J2990,"AAAAAE7t19o=")</f>
        <v>#VALUE!</v>
      </c>
      <c r="HL187" t="e">
        <f>AND('Planilla_General_03-12-2012_9_3'!K2990,"AAAAAE7t19s=")</f>
        <v>#VALUE!</v>
      </c>
      <c r="HM187" t="e">
        <f>AND('Planilla_General_03-12-2012_9_3'!L2990,"AAAAAE7t19w=")</f>
        <v>#VALUE!</v>
      </c>
      <c r="HN187" t="e">
        <f>AND('Planilla_General_03-12-2012_9_3'!M2990,"AAAAAE7t190=")</f>
        <v>#VALUE!</v>
      </c>
      <c r="HO187" t="e">
        <f>AND('Planilla_General_03-12-2012_9_3'!N2990,"AAAAAE7t194=")</f>
        <v>#VALUE!</v>
      </c>
      <c r="HP187" t="e">
        <f>AND('Planilla_General_03-12-2012_9_3'!O2990,"AAAAAE7t198=")</f>
        <v>#VALUE!</v>
      </c>
      <c r="HQ187">
        <f>IF('Planilla_General_03-12-2012_9_3'!2991:2991,"AAAAAE7t1+A=",0)</f>
        <v>0</v>
      </c>
      <c r="HR187" t="e">
        <f>AND('Planilla_General_03-12-2012_9_3'!A2991,"AAAAAE7t1+E=")</f>
        <v>#VALUE!</v>
      </c>
      <c r="HS187" t="e">
        <f>AND('Planilla_General_03-12-2012_9_3'!B2991,"AAAAAE7t1+I=")</f>
        <v>#VALUE!</v>
      </c>
      <c r="HT187" t="e">
        <f>AND('Planilla_General_03-12-2012_9_3'!C2991,"AAAAAE7t1+M=")</f>
        <v>#VALUE!</v>
      </c>
      <c r="HU187" t="e">
        <f>AND('Planilla_General_03-12-2012_9_3'!D2991,"AAAAAE7t1+Q=")</f>
        <v>#VALUE!</v>
      </c>
      <c r="HV187" t="e">
        <f>AND('Planilla_General_03-12-2012_9_3'!E2991,"AAAAAE7t1+U=")</f>
        <v>#VALUE!</v>
      </c>
      <c r="HW187" t="e">
        <f>AND('Planilla_General_03-12-2012_9_3'!F2991,"AAAAAE7t1+Y=")</f>
        <v>#VALUE!</v>
      </c>
      <c r="HX187" t="e">
        <f>AND('Planilla_General_03-12-2012_9_3'!G2991,"AAAAAE7t1+c=")</f>
        <v>#VALUE!</v>
      </c>
      <c r="HY187" t="e">
        <f>AND('Planilla_General_03-12-2012_9_3'!H2991,"AAAAAE7t1+g=")</f>
        <v>#VALUE!</v>
      </c>
      <c r="HZ187" t="e">
        <f>AND('Planilla_General_03-12-2012_9_3'!I2991,"AAAAAE7t1+k=")</f>
        <v>#VALUE!</v>
      </c>
      <c r="IA187" t="e">
        <f>AND('Planilla_General_03-12-2012_9_3'!J2991,"AAAAAE7t1+o=")</f>
        <v>#VALUE!</v>
      </c>
      <c r="IB187" t="e">
        <f>AND('Planilla_General_03-12-2012_9_3'!K2991,"AAAAAE7t1+s=")</f>
        <v>#VALUE!</v>
      </c>
      <c r="IC187" t="e">
        <f>AND('Planilla_General_03-12-2012_9_3'!L2991,"AAAAAE7t1+w=")</f>
        <v>#VALUE!</v>
      </c>
      <c r="ID187" t="e">
        <f>AND('Planilla_General_03-12-2012_9_3'!M2991,"AAAAAE7t1+0=")</f>
        <v>#VALUE!</v>
      </c>
      <c r="IE187" t="e">
        <f>AND('Planilla_General_03-12-2012_9_3'!N2991,"AAAAAE7t1+4=")</f>
        <v>#VALUE!</v>
      </c>
      <c r="IF187" t="e">
        <f>AND('Planilla_General_03-12-2012_9_3'!O2991,"AAAAAE7t1+8=")</f>
        <v>#VALUE!</v>
      </c>
      <c r="IG187">
        <f>IF('Planilla_General_03-12-2012_9_3'!2992:2992,"AAAAAE7t1/A=",0)</f>
        <v>0</v>
      </c>
      <c r="IH187" t="e">
        <f>AND('Planilla_General_03-12-2012_9_3'!A2992,"AAAAAE7t1/E=")</f>
        <v>#VALUE!</v>
      </c>
      <c r="II187" t="e">
        <f>AND('Planilla_General_03-12-2012_9_3'!B2992,"AAAAAE7t1/I=")</f>
        <v>#VALUE!</v>
      </c>
      <c r="IJ187" t="e">
        <f>AND('Planilla_General_03-12-2012_9_3'!C2992,"AAAAAE7t1/M=")</f>
        <v>#VALUE!</v>
      </c>
      <c r="IK187" t="e">
        <f>AND('Planilla_General_03-12-2012_9_3'!D2992,"AAAAAE7t1/Q=")</f>
        <v>#VALUE!</v>
      </c>
      <c r="IL187" t="e">
        <f>AND('Planilla_General_03-12-2012_9_3'!E2992,"AAAAAE7t1/U=")</f>
        <v>#VALUE!</v>
      </c>
      <c r="IM187" t="e">
        <f>AND('Planilla_General_03-12-2012_9_3'!F2992,"AAAAAE7t1/Y=")</f>
        <v>#VALUE!</v>
      </c>
      <c r="IN187" t="e">
        <f>AND('Planilla_General_03-12-2012_9_3'!G2992,"AAAAAE7t1/c=")</f>
        <v>#VALUE!</v>
      </c>
      <c r="IO187" t="e">
        <f>AND('Planilla_General_03-12-2012_9_3'!H2992,"AAAAAE7t1/g=")</f>
        <v>#VALUE!</v>
      </c>
      <c r="IP187" t="e">
        <f>AND('Planilla_General_03-12-2012_9_3'!I2992,"AAAAAE7t1/k=")</f>
        <v>#VALUE!</v>
      </c>
      <c r="IQ187" t="e">
        <f>AND('Planilla_General_03-12-2012_9_3'!J2992,"AAAAAE7t1/o=")</f>
        <v>#VALUE!</v>
      </c>
      <c r="IR187" t="e">
        <f>AND('Planilla_General_03-12-2012_9_3'!K2992,"AAAAAE7t1/s=")</f>
        <v>#VALUE!</v>
      </c>
      <c r="IS187" t="e">
        <f>AND('Planilla_General_03-12-2012_9_3'!L2992,"AAAAAE7t1/w=")</f>
        <v>#VALUE!</v>
      </c>
      <c r="IT187" t="e">
        <f>AND('Planilla_General_03-12-2012_9_3'!M2992,"AAAAAE7t1/0=")</f>
        <v>#VALUE!</v>
      </c>
      <c r="IU187" t="e">
        <f>AND('Planilla_General_03-12-2012_9_3'!N2992,"AAAAAE7t1/4=")</f>
        <v>#VALUE!</v>
      </c>
      <c r="IV187" t="e">
        <f>AND('Planilla_General_03-12-2012_9_3'!O2992,"AAAAAE7t1/8=")</f>
        <v>#VALUE!</v>
      </c>
    </row>
    <row r="188" spans="1:256" x14ac:dyDescent="0.25">
      <c r="A188" t="e">
        <f>IF('Planilla_General_03-12-2012_9_3'!2993:2993,"AAAAAGu/7wA=",0)</f>
        <v>#VALUE!</v>
      </c>
      <c r="B188" t="e">
        <f>AND('Planilla_General_03-12-2012_9_3'!A2993,"AAAAAGu/7wE=")</f>
        <v>#VALUE!</v>
      </c>
      <c r="C188" t="e">
        <f>AND('Planilla_General_03-12-2012_9_3'!B2993,"AAAAAGu/7wI=")</f>
        <v>#VALUE!</v>
      </c>
      <c r="D188" t="e">
        <f>AND('Planilla_General_03-12-2012_9_3'!C2993,"AAAAAGu/7wM=")</f>
        <v>#VALUE!</v>
      </c>
      <c r="E188" t="e">
        <f>AND('Planilla_General_03-12-2012_9_3'!D2993,"AAAAAGu/7wQ=")</f>
        <v>#VALUE!</v>
      </c>
      <c r="F188" t="e">
        <f>AND('Planilla_General_03-12-2012_9_3'!E2993,"AAAAAGu/7wU=")</f>
        <v>#VALUE!</v>
      </c>
      <c r="G188" t="e">
        <f>AND('Planilla_General_03-12-2012_9_3'!F2993,"AAAAAGu/7wY=")</f>
        <v>#VALUE!</v>
      </c>
      <c r="H188" t="e">
        <f>AND('Planilla_General_03-12-2012_9_3'!G2993,"AAAAAGu/7wc=")</f>
        <v>#VALUE!</v>
      </c>
      <c r="I188" t="e">
        <f>AND('Planilla_General_03-12-2012_9_3'!H2993,"AAAAAGu/7wg=")</f>
        <v>#VALUE!</v>
      </c>
      <c r="J188" t="e">
        <f>AND('Planilla_General_03-12-2012_9_3'!I2993,"AAAAAGu/7wk=")</f>
        <v>#VALUE!</v>
      </c>
      <c r="K188" t="e">
        <f>AND('Planilla_General_03-12-2012_9_3'!J2993,"AAAAAGu/7wo=")</f>
        <v>#VALUE!</v>
      </c>
      <c r="L188" t="e">
        <f>AND('Planilla_General_03-12-2012_9_3'!K2993,"AAAAAGu/7ws=")</f>
        <v>#VALUE!</v>
      </c>
      <c r="M188" t="e">
        <f>AND('Planilla_General_03-12-2012_9_3'!L2993,"AAAAAGu/7ww=")</f>
        <v>#VALUE!</v>
      </c>
      <c r="N188" t="e">
        <f>AND('Planilla_General_03-12-2012_9_3'!M2993,"AAAAAGu/7w0=")</f>
        <v>#VALUE!</v>
      </c>
      <c r="O188" t="e">
        <f>AND('Planilla_General_03-12-2012_9_3'!N2993,"AAAAAGu/7w4=")</f>
        <v>#VALUE!</v>
      </c>
      <c r="P188" t="e">
        <f>AND('Planilla_General_03-12-2012_9_3'!O2993,"AAAAAGu/7w8=")</f>
        <v>#VALUE!</v>
      </c>
      <c r="Q188">
        <f>IF('Planilla_General_03-12-2012_9_3'!2994:2994,"AAAAAGu/7xA=",0)</f>
        <v>0</v>
      </c>
      <c r="R188" t="e">
        <f>AND('Planilla_General_03-12-2012_9_3'!A2994,"AAAAAGu/7xE=")</f>
        <v>#VALUE!</v>
      </c>
      <c r="S188" t="e">
        <f>AND('Planilla_General_03-12-2012_9_3'!B2994,"AAAAAGu/7xI=")</f>
        <v>#VALUE!</v>
      </c>
      <c r="T188" t="e">
        <f>AND('Planilla_General_03-12-2012_9_3'!C2994,"AAAAAGu/7xM=")</f>
        <v>#VALUE!</v>
      </c>
      <c r="U188" t="e">
        <f>AND('Planilla_General_03-12-2012_9_3'!D2994,"AAAAAGu/7xQ=")</f>
        <v>#VALUE!</v>
      </c>
      <c r="V188" t="e">
        <f>AND('Planilla_General_03-12-2012_9_3'!E2994,"AAAAAGu/7xU=")</f>
        <v>#VALUE!</v>
      </c>
      <c r="W188" t="e">
        <f>AND('Planilla_General_03-12-2012_9_3'!F2994,"AAAAAGu/7xY=")</f>
        <v>#VALUE!</v>
      </c>
      <c r="X188" t="e">
        <f>AND('Planilla_General_03-12-2012_9_3'!G2994,"AAAAAGu/7xc=")</f>
        <v>#VALUE!</v>
      </c>
      <c r="Y188" t="e">
        <f>AND('Planilla_General_03-12-2012_9_3'!H2994,"AAAAAGu/7xg=")</f>
        <v>#VALUE!</v>
      </c>
      <c r="Z188" t="e">
        <f>AND('Planilla_General_03-12-2012_9_3'!I2994,"AAAAAGu/7xk=")</f>
        <v>#VALUE!</v>
      </c>
      <c r="AA188" t="e">
        <f>AND('Planilla_General_03-12-2012_9_3'!J2994,"AAAAAGu/7xo=")</f>
        <v>#VALUE!</v>
      </c>
      <c r="AB188" t="e">
        <f>AND('Planilla_General_03-12-2012_9_3'!K2994,"AAAAAGu/7xs=")</f>
        <v>#VALUE!</v>
      </c>
      <c r="AC188" t="e">
        <f>AND('Planilla_General_03-12-2012_9_3'!L2994,"AAAAAGu/7xw=")</f>
        <v>#VALUE!</v>
      </c>
      <c r="AD188" t="e">
        <f>AND('Planilla_General_03-12-2012_9_3'!M2994,"AAAAAGu/7x0=")</f>
        <v>#VALUE!</v>
      </c>
      <c r="AE188" t="e">
        <f>AND('Planilla_General_03-12-2012_9_3'!N2994,"AAAAAGu/7x4=")</f>
        <v>#VALUE!</v>
      </c>
      <c r="AF188" t="e">
        <f>AND('Planilla_General_03-12-2012_9_3'!O2994,"AAAAAGu/7x8=")</f>
        <v>#VALUE!</v>
      </c>
      <c r="AG188">
        <f>IF('Planilla_General_03-12-2012_9_3'!2995:2995,"AAAAAGu/7yA=",0)</f>
        <v>0</v>
      </c>
      <c r="AH188" t="e">
        <f>AND('Planilla_General_03-12-2012_9_3'!A2995,"AAAAAGu/7yE=")</f>
        <v>#VALUE!</v>
      </c>
      <c r="AI188" t="e">
        <f>AND('Planilla_General_03-12-2012_9_3'!B2995,"AAAAAGu/7yI=")</f>
        <v>#VALUE!</v>
      </c>
      <c r="AJ188" t="e">
        <f>AND('Planilla_General_03-12-2012_9_3'!C2995,"AAAAAGu/7yM=")</f>
        <v>#VALUE!</v>
      </c>
      <c r="AK188" t="e">
        <f>AND('Planilla_General_03-12-2012_9_3'!D2995,"AAAAAGu/7yQ=")</f>
        <v>#VALUE!</v>
      </c>
      <c r="AL188" t="e">
        <f>AND('Planilla_General_03-12-2012_9_3'!E2995,"AAAAAGu/7yU=")</f>
        <v>#VALUE!</v>
      </c>
      <c r="AM188" t="e">
        <f>AND('Planilla_General_03-12-2012_9_3'!F2995,"AAAAAGu/7yY=")</f>
        <v>#VALUE!</v>
      </c>
      <c r="AN188" t="e">
        <f>AND('Planilla_General_03-12-2012_9_3'!G2995,"AAAAAGu/7yc=")</f>
        <v>#VALUE!</v>
      </c>
      <c r="AO188" t="e">
        <f>AND('Planilla_General_03-12-2012_9_3'!H2995,"AAAAAGu/7yg=")</f>
        <v>#VALUE!</v>
      </c>
      <c r="AP188" t="e">
        <f>AND('Planilla_General_03-12-2012_9_3'!I2995,"AAAAAGu/7yk=")</f>
        <v>#VALUE!</v>
      </c>
      <c r="AQ188" t="e">
        <f>AND('Planilla_General_03-12-2012_9_3'!J2995,"AAAAAGu/7yo=")</f>
        <v>#VALUE!</v>
      </c>
      <c r="AR188" t="e">
        <f>AND('Planilla_General_03-12-2012_9_3'!K2995,"AAAAAGu/7ys=")</f>
        <v>#VALUE!</v>
      </c>
      <c r="AS188" t="e">
        <f>AND('Planilla_General_03-12-2012_9_3'!L2995,"AAAAAGu/7yw=")</f>
        <v>#VALUE!</v>
      </c>
      <c r="AT188" t="e">
        <f>AND('Planilla_General_03-12-2012_9_3'!M2995,"AAAAAGu/7y0=")</f>
        <v>#VALUE!</v>
      </c>
      <c r="AU188" t="e">
        <f>AND('Planilla_General_03-12-2012_9_3'!N2995,"AAAAAGu/7y4=")</f>
        <v>#VALUE!</v>
      </c>
      <c r="AV188" t="e">
        <f>AND('Planilla_General_03-12-2012_9_3'!O2995,"AAAAAGu/7y8=")</f>
        <v>#VALUE!</v>
      </c>
      <c r="AW188">
        <f>IF('Planilla_General_03-12-2012_9_3'!2996:2996,"AAAAAGu/7zA=",0)</f>
        <v>0</v>
      </c>
      <c r="AX188" t="e">
        <f>AND('Planilla_General_03-12-2012_9_3'!A2996,"AAAAAGu/7zE=")</f>
        <v>#VALUE!</v>
      </c>
      <c r="AY188" t="e">
        <f>AND('Planilla_General_03-12-2012_9_3'!B2996,"AAAAAGu/7zI=")</f>
        <v>#VALUE!</v>
      </c>
      <c r="AZ188" t="e">
        <f>AND('Planilla_General_03-12-2012_9_3'!C2996,"AAAAAGu/7zM=")</f>
        <v>#VALUE!</v>
      </c>
      <c r="BA188" t="e">
        <f>AND('Planilla_General_03-12-2012_9_3'!D2996,"AAAAAGu/7zQ=")</f>
        <v>#VALUE!</v>
      </c>
      <c r="BB188" t="e">
        <f>AND('Planilla_General_03-12-2012_9_3'!E2996,"AAAAAGu/7zU=")</f>
        <v>#VALUE!</v>
      </c>
      <c r="BC188" t="e">
        <f>AND('Planilla_General_03-12-2012_9_3'!F2996,"AAAAAGu/7zY=")</f>
        <v>#VALUE!</v>
      </c>
      <c r="BD188" t="e">
        <f>AND('Planilla_General_03-12-2012_9_3'!G2996,"AAAAAGu/7zc=")</f>
        <v>#VALUE!</v>
      </c>
      <c r="BE188" t="e">
        <f>AND('Planilla_General_03-12-2012_9_3'!H2996,"AAAAAGu/7zg=")</f>
        <v>#VALUE!</v>
      </c>
      <c r="BF188" t="e">
        <f>AND('Planilla_General_03-12-2012_9_3'!I2996,"AAAAAGu/7zk=")</f>
        <v>#VALUE!</v>
      </c>
      <c r="BG188" t="e">
        <f>AND('Planilla_General_03-12-2012_9_3'!J2996,"AAAAAGu/7zo=")</f>
        <v>#VALUE!</v>
      </c>
      <c r="BH188" t="e">
        <f>AND('Planilla_General_03-12-2012_9_3'!K2996,"AAAAAGu/7zs=")</f>
        <v>#VALUE!</v>
      </c>
      <c r="BI188" t="e">
        <f>AND('Planilla_General_03-12-2012_9_3'!L2996,"AAAAAGu/7zw=")</f>
        <v>#VALUE!</v>
      </c>
      <c r="BJ188" t="e">
        <f>AND('Planilla_General_03-12-2012_9_3'!M2996,"AAAAAGu/7z0=")</f>
        <v>#VALUE!</v>
      </c>
      <c r="BK188" t="e">
        <f>AND('Planilla_General_03-12-2012_9_3'!N2996,"AAAAAGu/7z4=")</f>
        <v>#VALUE!</v>
      </c>
      <c r="BL188" t="e">
        <f>AND('Planilla_General_03-12-2012_9_3'!O2996,"AAAAAGu/7z8=")</f>
        <v>#VALUE!</v>
      </c>
      <c r="BM188">
        <f>IF('Planilla_General_03-12-2012_9_3'!2997:2997,"AAAAAGu/70A=",0)</f>
        <v>0</v>
      </c>
      <c r="BN188" t="e">
        <f>AND('Planilla_General_03-12-2012_9_3'!A2997,"AAAAAGu/70E=")</f>
        <v>#VALUE!</v>
      </c>
      <c r="BO188" t="e">
        <f>AND('Planilla_General_03-12-2012_9_3'!B2997,"AAAAAGu/70I=")</f>
        <v>#VALUE!</v>
      </c>
      <c r="BP188" t="e">
        <f>AND('Planilla_General_03-12-2012_9_3'!C2997,"AAAAAGu/70M=")</f>
        <v>#VALUE!</v>
      </c>
      <c r="BQ188" t="e">
        <f>AND('Planilla_General_03-12-2012_9_3'!D2997,"AAAAAGu/70Q=")</f>
        <v>#VALUE!</v>
      </c>
      <c r="BR188" t="e">
        <f>AND('Planilla_General_03-12-2012_9_3'!E2997,"AAAAAGu/70U=")</f>
        <v>#VALUE!</v>
      </c>
      <c r="BS188" t="e">
        <f>AND('Planilla_General_03-12-2012_9_3'!F2997,"AAAAAGu/70Y=")</f>
        <v>#VALUE!</v>
      </c>
      <c r="BT188" t="e">
        <f>AND('Planilla_General_03-12-2012_9_3'!G2997,"AAAAAGu/70c=")</f>
        <v>#VALUE!</v>
      </c>
      <c r="BU188" t="e">
        <f>AND('Planilla_General_03-12-2012_9_3'!H2997,"AAAAAGu/70g=")</f>
        <v>#VALUE!</v>
      </c>
      <c r="BV188" t="e">
        <f>AND('Planilla_General_03-12-2012_9_3'!I2997,"AAAAAGu/70k=")</f>
        <v>#VALUE!</v>
      </c>
      <c r="BW188" t="e">
        <f>AND('Planilla_General_03-12-2012_9_3'!J2997,"AAAAAGu/70o=")</f>
        <v>#VALUE!</v>
      </c>
      <c r="BX188" t="e">
        <f>AND('Planilla_General_03-12-2012_9_3'!K2997,"AAAAAGu/70s=")</f>
        <v>#VALUE!</v>
      </c>
      <c r="BY188" t="e">
        <f>AND('Planilla_General_03-12-2012_9_3'!L2997,"AAAAAGu/70w=")</f>
        <v>#VALUE!</v>
      </c>
      <c r="BZ188" t="e">
        <f>AND('Planilla_General_03-12-2012_9_3'!M2997,"AAAAAGu/700=")</f>
        <v>#VALUE!</v>
      </c>
      <c r="CA188" t="e">
        <f>AND('Planilla_General_03-12-2012_9_3'!N2997,"AAAAAGu/704=")</f>
        <v>#VALUE!</v>
      </c>
      <c r="CB188" t="e">
        <f>AND('Planilla_General_03-12-2012_9_3'!O2997,"AAAAAGu/708=")</f>
        <v>#VALUE!</v>
      </c>
      <c r="CC188">
        <f>IF('Planilla_General_03-12-2012_9_3'!2998:2998,"AAAAAGu/71A=",0)</f>
        <v>0</v>
      </c>
      <c r="CD188" t="e">
        <f>AND('Planilla_General_03-12-2012_9_3'!A2998,"AAAAAGu/71E=")</f>
        <v>#VALUE!</v>
      </c>
      <c r="CE188" t="e">
        <f>AND('Planilla_General_03-12-2012_9_3'!B2998,"AAAAAGu/71I=")</f>
        <v>#VALUE!</v>
      </c>
      <c r="CF188" t="e">
        <f>AND('Planilla_General_03-12-2012_9_3'!C2998,"AAAAAGu/71M=")</f>
        <v>#VALUE!</v>
      </c>
      <c r="CG188" t="e">
        <f>AND('Planilla_General_03-12-2012_9_3'!D2998,"AAAAAGu/71Q=")</f>
        <v>#VALUE!</v>
      </c>
      <c r="CH188" t="e">
        <f>AND('Planilla_General_03-12-2012_9_3'!E2998,"AAAAAGu/71U=")</f>
        <v>#VALUE!</v>
      </c>
      <c r="CI188" t="e">
        <f>AND('Planilla_General_03-12-2012_9_3'!F2998,"AAAAAGu/71Y=")</f>
        <v>#VALUE!</v>
      </c>
      <c r="CJ188" t="e">
        <f>AND('Planilla_General_03-12-2012_9_3'!G2998,"AAAAAGu/71c=")</f>
        <v>#VALUE!</v>
      </c>
      <c r="CK188" t="e">
        <f>AND('Planilla_General_03-12-2012_9_3'!H2998,"AAAAAGu/71g=")</f>
        <v>#VALUE!</v>
      </c>
      <c r="CL188" t="e">
        <f>AND('Planilla_General_03-12-2012_9_3'!I2998,"AAAAAGu/71k=")</f>
        <v>#VALUE!</v>
      </c>
      <c r="CM188" t="e">
        <f>AND('Planilla_General_03-12-2012_9_3'!J2998,"AAAAAGu/71o=")</f>
        <v>#VALUE!</v>
      </c>
      <c r="CN188" t="e">
        <f>AND('Planilla_General_03-12-2012_9_3'!K2998,"AAAAAGu/71s=")</f>
        <v>#VALUE!</v>
      </c>
      <c r="CO188" t="e">
        <f>AND('Planilla_General_03-12-2012_9_3'!L2998,"AAAAAGu/71w=")</f>
        <v>#VALUE!</v>
      </c>
      <c r="CP188" t="e">
        <f>AND('Planilla_General_03-12-2012_9_3'!M2998,"AAAAAGu/710=")</f>
        <v>#VALUE!</v>
      </c>
      <c r="CQ188" t="e">
        <f>AND('Planilla_General_03-12-2012_9_3'!N2998,"AAAAAGu/714=")</f>
        <v>#VALUE!</v>
      </c>
      <c r="CR188" t="e">
        <f>AND('Planilla_General_03-12-2012_9_3'!O2998,"AAAAAGu/718=")</f>
        <v>#VALUE!</v>
      </c>
      <c r="CS188">
        <f>IF('Planilla_General_03-12-2012_9_3'!2999:2999,"AAAAAGu/72A=",0)</f>
        <v>0</v>
      </c>
      <c r="CT188" t="e">
        <f>AND('Planilla_General_03-12-2012_9_3'!A2999,"AAAAAGu/72E=")</f>
        <v>#VALUE!</v>
      </c>
      <c r="CU188" t="e">
        <f>AND('Planilla_General_03-12-2012_9_3'!B2999,"AAAAAGu/72I=")</f>
        <v>#VALUE!</v>
      </c>
      <c r="CV188" t="e">
        <f>AND('Planilla_General_03-12-2012_9_3'!C2999,"AAAAAGu/72M=")</f>
        <v>#VALUE!</v>
      </c>
      <c r="CW188" t="e">
        <f>AND('Planilla_General_03-12-2012_9_3'!D2999,"AAAAAGu/72Q=")</f>
        <v>#VALUE!</v>
      </c>
      <c r="CX188" t="e">
        <f>AND('Planilla_General_03-12-2012_9_3'!E2999,"AAAAAGu/72U=")</f>
        <v>#VALUE!</v>
      </c>
      <c r="CY188" t="e">
        <f>AND('Planilla_General_03-12-2012_9_3'!F2999,"AAAAAGu/72Y=")</f>
        <v>#VALUE!</v>
      </c>
      <c r="CZ188" t="e">
        <f>AND('Planilla_General_03-12-2012_9_3'!G2999,"AAAAAGu/72c=")</f>
        <v>#VALUE!</v>
      </c>
      <c r="DA188" t="e">
        <f>AND('Planilla_General_03-12-2012_9_3'!H2999,"AAAAAGu/72g=")</f>
        <v>#VALUE!</v>
      </c>
      <c r="DB188" t="e">
        <f>AND('Planilla_General_03-12-2012_9_3'!I2999,"AAAAAGu/72k=")</f>
        <v>#VALUE!</v>
      </c>
      <c r="DC188" t="e">
        <f>AND('Planilla_General_03-12-2012_9_3'!J2999,"AAAAAGu/72o=")</f>
        <v>#VALUE!</v>
      </c>
      <c r="DD188" t="e">
        <f>AND('Planilla_General_03-12-2012_9_3'!K2999,"AAAAAGu/72s=")</f>
        <v>#VALUE!</v>
      </c>
      <c r="DE188" t="e">
        <f>AND('Planilla_General_03-12-2012_9_3'!L2999,"AAAAAGu/72w=")</f>
        <v>#VALUE!</v>
      </c>
      <c r="DF188" t="e">
        <f>AND('Planilla_General_03-12-2012_9_3'!M2999,"AAAAAGu/720=")</f>
        <v>#VALUE!</v>
      </c>
      <c r="DG188" t="e">
        <f>AND('Planilla_General_03-12-2012_9_3'!N2999,"AAAAAGu/724=")</f>
        <v>#VALUE!</v>
      </c>
      <c r="DH188" t="e">
        <f>AND('Planilla_General_03-12-2012_9_3'!O2999,"AAAAAGu/728=")</f>
        <v>#VALUE!</v>
      </c>
      <c r="DI188">
        <f>IF('Planilla_General_03-12-2012_9_3'!3000:3000,"AAAAAGu/73A=",0)</f>
        <v>0</v>
      </c>
      <c r="DJ188" t="e">
        <f>AND('Planilla_General_03-12-2012_9_3'!A3000,"AAAAAGu/73E=")</f>
        <v>#VALUE!</v>
      </c>
      <c r="DK188" t="e">
        <f>AND('Planilla_General_03-12-2012_9_3'!B3000,"AAAAAGu/73I=")</f>
        <v>#VALUE!</v>
      </c>
      <c r="DL188" t="e">
        <f>AND('Planilla_General_03-12-2012_9_3'!C3000,"AAAAAGu/73M=")</f>
        <v>#VALUE!</v>
      </c>
      <c r="DM188" t="e">
        <f>AND('Planilla_General_03-12-2012_9_3'!D3000,"AAAAAGu/73Q=")</f>
        <v>#VALUE!</v>
      </c>
      <c r="DN188" t="e">
        <f>AND('Planilla_General_03-12-2012_9_3'!E3000,"AAAAAGu/73U=")</f>
        <v>#VALUE!</v>
      </c>
      <c r="DO188" t="e">
        <f>AND('Planilla_General_03-12-2012_9_3'!F3000,"AAAAAGu/73Y=")</f>
        <v>#VALUE!</v>
      </c>
      <c r="DP188" t="e">
        <f>AND('Planilla_General_03-12-2012_9_3'!G3000,"AAAAAGu/73c=")</f>
        <v>#VALUE!</v>
      </c>
      <c r="DQ188" t="e">
        <f>AND('Planilla_General_03-12-2012_9_3'!H3000,"AAAAAGu/73g=")</f>
        <v>#VALUE!</v>
      </c>
      <c r="DR188" t="e">
        <f>AND('Planilla_General_03-12-2012_9_3'!I3000,"AAAAAGu/73k=")</f>
        <v>#VALUE!</v>
      </c>
      <c r="DS188" t="e">
        <f>AND('Planilla_General_03-12-2012_9_3'!J3000,"AAAAAGu/73o=")</f>
        <v>#VALUE!</v>
      </c>
      <c r="DT188" t="e">
        <f>AND('Planilla_General_03-12-2012_9_3'!K3000,"AAAAAGu/73s=")</f>
        <v>#VALUE!</v>
      </c>
      <c r="DU188" t="e">
        <f>AND('Planilla_General_03-12-2012_9_3'!L3000,"AAAAAGu/73w=")</f>
        <v>#VALUE!</v>
      </c>
      <c r="DV188" t="e">
        <f>AND('Planilla_General_03-12-2012_9_3'!M3000,"AAAAAGu/730=")</f>
        <v>#VALUE!</v>
      </c>
      <c r="DW188" t="e">
        <f>AND('Planilla_General_03-12-2012_9_3'!N3000,"AAAAAGu/734=")</f>
        <v>#VALUE!</v>
      </c>
      <c r="DX188" t="e">
        <f>AND('Planilla_General_03-12-2012_9_3'!O3000,"AAAAAGu/738=")</f>
        <v>#VALUE!</v>
      </c>
      <c r="DY188">
        <f>IF('Planilla_General_03-12-2012_9_3'!3001:3001,"AAAAAGu/74A=",0)</f>
        <v>0</v>
      </c>
      <c r="DZ188" t="e">
        <f>AND('Planilla_General_03-12-2012_9_3'!A3001,"AAAAAGu/74E=")</f>
        <v>#VALUE!</v>
      </c>
      <c r="EA188" t="e">
        <f>AND('Planilla_General_03-12-2012_9_3'!B3001,"AAAAAGu/74I=")</f>
        <v>#VALUE!</v>
      </c>
      <c r="EB188" t="e">
        <f>AND('Planilla_General_03-12-2012_9_3'!C3001,"AAAAAGu/74M=")</f>
        <v>#VALUE!</v>
      </c>
      <c r="EC188" t="e">
        <f>AND('Planilla_General_03-12-2012_9_3'!D3001,"AAAAAGu/74Q=")</f>
        <v>#VALUE!</v>
      </c>
      <c r="ED188" t="e">
        <f>AND('Planilla_General_03-12-2012_9_3'!E3001,"AAAAAGu/74U=")</f>
        <v>#VALUE!</v>
      </c>
      <c r="EE188" t="e">
        <f>AND('Planilla_General_03-12-2012_9_3'!F3001,"AAAAAGu/74Y=")</f>
        <v>#VALUE!</v>
      </c>
      <c r="EF188" t="e">
        <f>AND('Planilla_General_03-12-2012_9_3'!G3001,"AAAAAGu/74c=")</f>
        <v>#VALUE!</v>
      </c>
      <c r="EG188" t="e">
        <f>AND('Planilla_General_03-12-2012_9_3'!H3001,"AAAAAGu/74g=")</f>
        <v>#VALUE!</v>
      </c>
      <c r="EH188" t="e">
        <f>AND('Planilla_General_03-12-2012_9_3'!I3001,"AAAAAGu/74k=")</f>
        <v>#VALUE!</v>
      </c>
      <c r="EI188" t="e">
        <f>AND('Planilla_General_03-12-2012_9_3'!J3001,"AAAAAGu/74o=")</f>
        <v>#VALUE!</v>
      </c>
      <c r="EJ188" t="e">
        <f>AND('Planilla_General_03-12-2012_9_3'!K3001,"AAAAAGu/74s=")</f>
        <v>#VALUE!</v>
      </c>
      <c r="EK188" t="e">
        <f>AND('Planilla_General_03-12-2012_9_3'!L3001,"AAAAAGu/74w=")</f>
        <v>#VALUE!</v>
      </c>
      <c r="EL188" t="e">
        <f>AND('Planilla_General_03-12-2012_9_3'!M3001,"AAAAAGu/740=")</f>
        <v>#VALUE!</v>
      </c>
      <c r="EM188" t="e">
        <f>AND('Planilla_General_03-12-2012_9_3'!N3001,"AAAAAGu/744=")</f>
        <v>#VALUE!</v>
      </c>
      <c r="EN188" t="e">
        <f>AND('Planilla_General_03-12-2012_9_3'!O3001,"AAAAAGu/748=")</f>
        <v>#VALUE!</v>
      </c>
      <c r="EO188">
        <f>IF('Planilla_General_03-12-2012_9_3'!3002:3002,"AAAAAGu/75A=",0)</f>
        <v>0</v>
      </c>
      <c r="EP188" t="e">
        <f>AND('Planilla_General_03-12-2012_9_3'!A3002,"AAAAAGu/75E=")</f>
        <v>#VALUE!</v>
      </c>
      <c r="EQ188" t="e">
        <f>AND('Planilla_General_03-12-2012_9_3'!B3002,"AAAAAGu/75I=")</f>
        <v>#VALUE!</v>
      </c>
      <c r="ER188" t="e">
        <f>AND('Planilla_General_03-12-2012_9_3'!C3002,"AAAAAGu/75M=")</f>
        <v>#VALUE!</v>
      </c>
      <c r="ES188" t="e">
        <f>AND('Planilla_General_03-12-2012_9_3'!D3002,"AAAAAGu/75Q=")</f>
        <v>#VALUE!</v>
      </c>
      <c r="ET188" t="e">
        <f>AND('Planilla_General_03-12-2012_9_3'!E3002,"AAAAAGu/75U=")</f>
        <v>#VALUE!</v>
      </c>
      <c r="EU188" t="e">
        <f>AND('Planilla_General_03-12-2012_9_3'!F3002,"AAAAAGu/75Y=")</f>
        <v>#VALUE!</v>
      </c>
      <c r="EV188" t="e">
        <f>AND('Planilla_General_03-12-2012_9_3'!G3002,"AAAAAGu/75c=")</f>
        <v>#VALUE!</v>
      </c>
      <c r="EW188" t="e">
        <f>AND('Planilla_General_03-12-2012_9_3'!H3002,"AAAAAGu/75g=")</f>
        <v>#VALUE!</v>
      </c>
      <c r="EX188" t="e">
        <f>AND('Planilla_General_03-12-2012_9_3'!I3002,"AAAAAGu/75k=")</f>
        <v>#VALUE!</v>
      </c>
      <c r="EY188" t="e">
        <f>AND('Planilla_General_03-12-2012_9_3'!J3002,"AAAAAGu/75o=")</f>
        <v>#VALUE!</v>
      </c>
      <c r="EZ188" t="e">
        <f>AND('Planilla_General_03-12-2012_9_3'!K3002,"AAAAAGu/75s=")</f>
        <v>#VALUE!</v>
      </c>
      <c r="FA188" t="e">
        <f>AND('Planilla_General_03-12-2012_9_3'!L3002,"AAAAAGu/75w=")</f>
        <v>#VALUE!</v>
      </c>
      <c r="FB188" t="e">
        <f>AND('Planilla_General_03-12-2012_9_3'!M3002,"AAAAAGu/750=")</f>
        <v>#VALUE!</v>
      </c>
      <c r="FC188" t="e">
        <f>AND('Planilla_General_03-12-2012_9_3'!N3002,"AAAAAGu/754=")</f>
        <v>#VALUE!</v>
      </c>
      <c r="FD188" t="e">
        <f>AND('Planilla_General_03-12-2012_9_3'!O3002,"AAAAAGu/758=")</f>
        <v>#VALUE!</v>
      </c>
      <c r="FE188">
        <f>IF('Planilla_General_03-12-2012_9_3'!3003:3003,"AAAAAGu/76A=",0)</f>
        <v>0</v>
      </c>
      <c r="FF188" t="e">
        <f>AND('Planilla_General_03-12-2012_9_3'!A3003,"AAAAAGu/76E=")</f>
        <v>#VALUE!</v>
      </c>
      <c r="FG188" t="e">
        <f>AND('Planilla_General_03-12-2012_9_3'!B3003,"AAAAAGu/76I=")</f>
        <v>#VALUE!</v>
      </c>
      <c r="FH188" t="e">
        <f>AND('Planilla_General_03-12-2012_9_3'!C3003,"AAAAAGu/76M=")</f>
        <v>#VALUE!</v>
      </c>
      <c r="FI188" t="e">
        <f>AND('Planilla_General_03-12-2012_9_3'!D3003,"AAAAAGu/76Q=")</f>
        <v>#VALUE!</v>
      </c>
      <c r="FJ188" t="e">
        <f>AND('Planilla_General_03-12-2012_9_3'!E3003,"AAAAAGu/76U=")</f>
        <v>#VALUE!</v>
      </c>
      <c r="FK188" t="e">
        <f>AND('Planilla_General_03-12-2012_9_3'!F3003,"AAAAAGu/76Y=")</f>
        <v>#VALUE!</v>
      </c>
      <c r="FL188" t="e">
        <f>AND('Planilla_General_03-12-2012_9_3'!G3003,"AAAAAGu/76c=")</f>
        <v>#VALUE!</v>
      </c>
      <c r="FM188" t="e">
        <f>AND('Planilla_General_03-12-2012_9_3'!H3003,"AAAAAGu/76g=")</f>
        <v>#VALUE!</v>
      </c>
      <c r="FN188" t="e">
        <f>AND('Planilla_General_03-12-2012_9_3'!I3003,"AAAAAGu/76k=")</f>
        <v>#VALUE!</v>
      </c>
      <c r="FO188" t="e">
        <f>AND('Planilla_General_03-12-2012_9_3'!J3003,"AAAAAGu/76o=")</f>
        <v>#VALUE!</v>
      </c>
      <c r="FP188" t="e">
        <f>AND('Planilla_General_03-12-2012_9_3'!K3003,"AAAAAGu/76s=")</f>
        <v>#VALUE!</v>
      </c>
      <c r="FQ188" t="e">
        <f>AND('Planilla_General_03-12-2012_9_3'!L3003,"AAAAAGu/76w=")</f>
        <v>#VALUE!</v>
      </c>
      <c r="FR188" t="e">
        <f>AND('Planilla_General_03-12-2012_9_3'!M3003,"AAAAAGu/760=")</f>
        <v>#VALUE!</v>
      </c>
      <c r="FS188" t="e">
        <f>AND('Planilla_General_03-12-2012_9_3'!N3003,"AAAAAGu/764=")</f>
        <v>#VALUE!</v>
      </c>
      <c r="FT188" t="e">
        <f>AND('Planilla_General_03-12-2012_9_3'!O3003,"AAAAAGu/768=")</f>
        <v>#VALUE!</v>
      </c>
      <c r="FU188">
        <f>IF('Planilla_General_03-12-2012_9_3'!3004:3004,"AAAAAGu/77A=",0)</f>
        <v>0</v>
      </c>
      <c r="FV188" t="e">
        <f>AND('Planilla_General_03-12-2012_9_3'!A3004,"AAAAAGu/77E=")</f>
        <v>#VALUE!</v>
      </c>
      <c r="FW188" t="e">
        <f>AND('Planilla_General_03-12-2012_9_3'!B3004,"AAAAAGu/77I=")</f>
        <v>#VALUE!</v>
      </c>
      <c r="FX188" t="e">
        <f>AND('Planilla_General_03-12-2012_9_3'!C3004,"AAAAAGu/77M=")</f>
        <v>#VALUE!</v>
      </c>
      <c r="FY188" t="e">
        <f>AND('Planilla_General_03-12-2012_9_3'!D3004,"AAAAAGu/77Q=")</f>
        <v>#VALUE!</v>
      </c>
      <c r="FZ188" t="e">
        <f>AND('Planilla_General_03-12-2012_9_3'!E3004,"AAAAAGu/77U=")</f>
        <v>#VALUE!</v>
      </c>
      <c r="GA188" t="e">
        <f>AND('Planilla_General_03-12-2012_9_3'!F3004,"AAAAAGu/77Y=")</f>
        <v>#VALUE!</v>
      </c>
      <c r="GB188" t="e">
        <f>AND('Planilla_General_03-12-2012_9_3'!G3004,"AAAAAGu/77c=")</f>
        <v>#VALUE!</v>
      </c>
      <c r="GC188" t="e">
        <f>AND('Planilla_General_03-12-2012_9_3'!H3004,"AAAAAGu/77g=")</f>
        <v>#VALUE!</v>
      </c>
      <c r="GD188" t="e">
        <f>AND('Planilla_General_03-12-2012_9_3'!I3004,"AAAAAGu/77k=")</f>
        <v>#VALUE!</v>
      </c>
      <c r="GE188" t="e">
        <f>AND('Planilla_General_03-12-2012_9_3'!J3004,"AAAAAGu/77o=")</f>
        <v>#VALUE!</v>
      </c>
      <c r="GF188" t="e">
        <f>AND('Planilla_General_03-12-2012_9_3'!K3004,"AAAAAGu/77s=")</f>
        <v>#VALUE!</v>
      </c>
      <c r="GG188" t="e">
        <f>AND('Planilla_General_03-12-2012_9_3'!L3004,"AAAAAGu/77w=")</f>
        <v>#VALUE!</v>
      </c>
      <c r="GH188" t="e">
        <f>AND('Planilla_General_03-12-2012_9_3'!M3004,"AAAAAGu/770=")</f>
        <v>#VALUE!</v>
      </c>
      <c r="GI188" t="e">
        <f>AND('Planilla_General_03-12-2012_9_3'!N3004,"AAAAAGu/774=")</f>
        <v>#VALUE!</v>
      </c>
      <c r="GJ188" t="e">
        <f>AND('Planilla_General_03-12-2012_9_3'!O3004,"AAAAAGu/778=")</f>
        <v>#VALUE!</v>
      </c>
      <c r="GK188">
        <f>IF('Planilla_General_03-12-2012_9_3'!3005:3005,"AAAAAGu/78A=",0)</f>
        <v>0</v>
      </c>
      <c r="GL188" t="e">
        <f>AND('Planilla_General_03-12-2012_9_3'!A3005,"AAAAAGu/78E=")</f>
        <v>#VALUE!</v>
      </c>
      <c r="GM188" t="e">
        <f>AND('Planilla_General_03-12-2012_9_3'!B3005,"AAAAAGu/78I=")</f>
        <v>#VALUE!</v>
      </c>
      <c r="GN188" t="e">
        <f>AND('Planilla_General_03-12-2012_9_3'!C3005,"AAAAAGu/78M=")</f>
        <v>#VALUE!</v>
      </c>
      <c r="GO188" t="e">
        <f>AND('Planilla_General_03-12-2012_9_3'!D3005,"AAAAAGu/78Q=")</f>
        <v>#VALUE!</v>
      </c>
      <c r="GP188" t="e">
        <f>AND('Planilla_General_03-12-2012_9_3'!E3005,"AAAAAGu/78U=")</f>
        <v>#VALUE!</v>
      </c>
      <c r="GQ188" t="e">
        <f>AND('Planilla_General_03-12-2012_9_3'!F3005,"AAAAAGu/78Y=")</f>
        <v>#VALUE!</v>
      </c>
      <c r="GR188" t="e">
        <f>AND('Planilla_General_03-12-2012_9_3'!G3005,"AAAAAGu/78c=")</f>
        <v>#VALUE!</v>
      </c>
      <c r="GS188" t="e">
        <f>AND('Planilla_General_03-12-2012_9_3'!H3005,"AAAAAGu/78g=")</f>
        <v>#VALUE!</v>
      </c>
      <c r="GT188" t="e">
        <f>AND('Planilla_General_03-12-2012_9_3'!I3005,"AAAAAGu/78k=")</f>
        <v>#VALUE!</v>
      </c>
      <c r="GU188" t="e">
        <f>AND('Planilla_General_03-12-2012_9_3'!J3005,"AAAAAGu/78o=")</f>
        <v>#VALUE!</v>
      </c>
      <c r="GV188" t="e">
        <f>AND('Planilla_General_03-12-2012_9_3'!K3005,"AAAAAGu/78s=")</f>
        <v>#VALUE!</v>
      </c>
      <c r="GW188" t="e">
        <f>AND('Planilla_General_03-12-2012_9_3'!L3005,"AAAAAGu/78w=")</f>
        <v>#VALUE!</v>
      </c>
      <c r="GX188" t="e">
        <f>AND('Planilla_General_03-12-2012_9_3'!M3005,"AAAAAGu/780=")</f>
        <v>#VALUE!</v>
      </c>
      <c r="GY188" t="e">
        <f>AND('Planilla_General_03-12-2012_9_3'!N3005,"AAAAAGu/784=")</f>
        <v>#VALUE!</v>
      </c>
      <c r="GZ188" t="e">
        <f>AND('Planilla_General_03-12-2012_9_3'!O3005,"AAAAAGu/788=")</f>
        <v>#VALUE!</v>
      </c>
      <c r="HA188">
        <f>IF('Planilla_General_03-12-2012_9_3'!3006:3006,"AAAAAGu/79A=",0)</f>
        <v>0</v>
      </c>
      <c r="HB188" t="e">
        <f>AND('Planilla_General_03-12-2012_9_3'!A3006,"AAAAAGu/79E=")</f>
        <v>#VALUE!</v>
      </c>
      <c r="HC188" t="e">
        <f>AND('Planilla_General_03-12-2012_9_3'!B3006,"AAAAAGu/79I=")</f>
        <v>#VALUE!</v>
      </c>
      <c r="HD188" t="e">
        <f>AND('Planilla_General_03-12-2012_9_3'!C3006,"AAAAAGu/79M=")</f>
        <v>#VALUE!</v>
      </c>
      <c r="HE188" t="e">
        <f>AND('Planilla_General_03-12-2012_9_3'!D3006,"AAAAAGu/79Q=")</f>
        <v>#VALUE!</v>
      </c>
      <c r="HF188" t="e">
        <f>AND('Planilla_General_03-12-2012_9_3'!E3006,"AAAAAGu/79U=")</f>
        <v>#VALUE!</v>
      </c>
      <c r="HG188" t="e">
        <f>AND('Planilla_General_03-12-2012_9_3'!F3006,"AAAAAGu/79Y=")</f>
        <v>#VALUE!</v>
      </c>
      <c r="HH188" t="e">
        <f>AND('Planilla_General_03-12-2012_9_3'!G3006,"AAAAAGu/79c=")</f>
        <v>#VALUE!</v>
      </c>
      <c r="HI188" t="e">
        <f>AND('Planilla_General_03-12-2012_9_3'!H3006,"AAAAAGu/79g=")</f>
        <v>#VALUE!</v>
      </c>
      <c r="HJ188" t="e">
        <f>AND('Planilla_General_03-12-2012_9_3'!I3006,"AAAAAGu/79k=")</f>
        <v>#VALUE!</v>
      </c>
      <c r="HK188" t="e">
        <f>AND('Planilla_General_03-12-2012_9_3'!J3006,"AAAAAGu/79o=")</f>
        <v>#VALUE!</v>
      </c>
      <c r="HL188" t="e">
        <f>AND('Planilla_General_03-12-2012_9_3'!K3006,"AAAAAGu/79s=")</f>
        <v>#VALUE!</v>
      </c>
      <c r="HM188" t="e">
        <f>AND('Planilla_General_03-12-2012_9_3'!L3006,"AAAAAGu/79w=")</f>
        <v>#VALUE!</v>
      </c>
      <c r="HN188" t="e">
        <f>AND('Planilla_General_03-12-2012_9_3'!M3006,"AAAAAGu/790=")</f>
        <v>#VALUE!</v>
      </c>
      <c r="HO188" t="e">
        <f>AND('Planilla_General_03-12-2012_9_3'!N3006,"AAAAAGu/794=")</f>
        <v>#VALUE!</v>
      </c>
      <c r="HP188" t="e">
        <f>AND('Planilla_General_03-12-2012_9_3'!O3006,"AAAAAGu/798=")</f>
        <v>#VALUE!</v>
      </c>
      <c r="HQ188">
        <f>IF('Planilla_General_03-12-2012_9_3'!3007:3007,"AAAAAGu/7+A=",0)</f>
        <v>0</v>
      </c>
      <c r="HR188" t="e">
        <f>AND('Planilla_General_03-12-2012_9_3'!A3007,"AAAAAGu/7+E=")</f>
        <v>#VALUE!</v>
      </c>
      <c r="HS188" t="e">
        <f>AND('Planilla_General_03-12-2012_9_3'!B3007,"AAAAAGu/7+I=")</f>
        <v>#VALUE!</v>
      </c>
      <c r="HT188" t="e">
        <f>AND('Planilla_General_03-12-2012_9_3'!C3007,"AAAAAGu/7+M=")</f>
        <v>#VALUE!</v>
      </c>
      <c r="HU188" t="e">
        <f>AND('Planilla_General_03-12-2012_9_3'!D3007,"AAAAAGu/7+Q=")</f>
        <v>#VALUE!</v>
      </c>
      <c r="HV188" t="e">
        <f>AND('Planilla_General_03-12-2012_9_3'!E3007,"AAAAAGu/7+U=")</f>
        <v>#VALUE!</v>
      </c>
      <c r="HW188" t="e">
        <f>AND('Planilla_General_03-12-2012_9_3'!F3007,"AAAAAGu/7+Y=")</f>
        <v>#VALUE!</v>
      </c>
      <c r="HX188" t="e">
        <f>AND('Planilla_General_03-12-2012_9_3'!G3007,"AAAAAGu/7+c=")</f>
        <v>#VALUE!</v>
      </c>
      <c r="HY188" t="e">
        <f>AND('Planilla_General_03-12-2012_9_3'!H3007,"AAAAAGu/7+g=")</f>
        <v>#VALUE!</v>
      </c>
      <c r="HZ188" t="e">
        <f>AND('Planilla_General_03-12-2012_9_3'!I3007,"AAAAAGu/7+k=")</f>
        <v>#VALUE!</v>
      </c>
      <c r="IA188" t="e">
        <f>AND('Planilla_General_03-12-2012_9_3'!J3007,"AAAAAGu/7+o=")</f>
        <v>#VALUE!</v>
      </c>
      <c r="IB188" t="e">
        <f>AND('Planilla_General_03-12-2012_9_3'!K3007,"AAAAAGu/7+s=")</f>
        <v>#VALUE!</v>
      </c>
      <c r="IC188" t="e">
        <f>AND('Planilla_General_03-12-2012_9_3'!L3007,"AAAAAGu/7+w=")</f>
        <v>#VALUE!</v>
      </c>
      <c r="ID188" t="e">
        <f>AND('Planilla_General_03-12-2012_9_3'!M3007,"AAAAAGu/7+0=")</f>
        <v>#VALUE!</v>
      </c>
      <c r="IE188" t="e">
        <f>AND('Planilla_General_03-12-2012_9_3'!N3007,"AAAAAGu/7+4=")</f>
        <v>#VALUE!</v>
      </c>
      <c r="IF188" t="e">
        <f>AND('Planilla_General_03-12-2012_9_3'!O3007,"AAAAAGu/7+8=")</f>
        <v>#VALUE!</v>
      </c>
      <c r="IG188">
        <f>IF('Planilla_General_03-12-2012_9_3'!3008:3008,"AAAAAGu/7/A=",0)</f>
        <v>0</v>
      </c>
      <c r="IH188" t="e">
        <f>AND('Planilla_General_03-12-2012_9_3'!A3008,"AAAAAGu/7/E=")</f>
        <v>#VALUE!</v>
      </c>
      <c r="II188" t="e">
        <f>AND('Planilla_General_03-12-2012_9_3'!B3008,"AAAAAGu/7/I=")</f>
        <v>#VALUE!</v>
      </c>
      <c r="IJ188" t="e">
        <f>AND('Planilla_General_03-12-2012_9_3'!C3008,"AAAAAGu/7/M=")</f>
        <v>#VALUE!</v>
      </c>
      <c r="IK188" t="e">
        <f>AND('Planilla_General_03-12-2012_9_3'!D3008,"AAAAAGu/7/Q=")</f>
        <v>#VALUE!</v>
      </c>
      <c r="IL188" t="e">
        <f>AND('Planilla_General_03-12-2012_9_3'!E3008,"AAAAAGu/7/U=")</f>
        <v>#VALUE!</v>
      </c>
      <c r="IM188" t="e">
        <f>AND('Planilla_General_03-12-2012_9_3'!F3008,"AAAAAGu/7/Y=")</f>
        <v>#VALUE!</v>
      </c>
      <c r="IN188" t="e">
        <f>AND('Planilla_General_03-12-2012_9_3'!G3008,"AAAAAGu/7/c=")</f>
        <v>#VALUE!</v>
      </c>
      <c r="IO188" t="e">
        <f>AND('Planilla_General_03-12-2012_9_3'!H3008,"AAAAAGu/7/g=")</f>
        <v>#VALUE!</v>
      </c>
      <c r="IP188" t="e">
        <f>AND('Planilla_General_03-12-2012_9_3'!I3008,"AAAAAGu/7/k=")</f>
        <v>#VALUE!</v>
      </c>
      <c r="IQ188" t="e">
        <f>AND('Planilla_General_03-12-2012_9_3'!J3008,"AAAAAGu/7/o=")</f>
        <v>#VALUE!</v>
      </c>
      <c r="IR188" t="e">
        <f>AND('Planilla_General_03-12-2012_9_3'!K3008,"AAAAAGu/7/s=")</f>
        <v>#VALUE!</v>
      </c>
      <c r="IS188" t="e">
        <f>AND('Planilla_General_03-12-2012_9_3'!L3008,"AAAAAGu/7/w=")</f>
        <v>#VALUE!</v>
      </c>
      <c r="IT188" t="e">
        <f>AND('Planilla_General_03-12-2012_9_3'!M3008,"AAAAAGu/7/0=")</f>
        <v>#VALUE!</v>
      </c>
      <c r="IU188" t="e">
        <f>AND('Planilla_General_03-12-2012_9_3'!N3008,"AAAAAGu/7/4=")</f>
        <v>#VALUE!</v>
      </c>
      <c r="IV188" t="e">
        <f>AND('Planilla_General_03-12-2012_9_3'!O3008,"AAAAAGu/7/8=")</f>
        <v>#VALUE!</v>
      </c>
    </row>
    <row r="189" spans="1:256" x14ac:dyDescent="0.25">
      <c r="A189" t="e">
        <f>IF('Planilla_General_03-12-2012_9_3'!3009:3009,"AAAAAGX/7wA=",0)</f>
        <v>#VALUE!</v>
      </c>
      <c r="B189" t="e">
        <f>AND('Planilla_General_03-12-2012_9_3'!A3009,"AAAAAGX/7wE=")</f>
        <v>#VALUE!</v>
      </c>
      <c r="C189" t="e">
        <f>AND('Planilla_General_03-12-2012_9_3'!B3009,"AAAAAGX/7wI=")</f>
        <v>#VALUE!</v>
      </c>
      <c r="D189" t="e">
        <f>AND('Planilla_General_03-12-2012_9_3'!C3009,"AAAAAGX/7wM=")</f>
        <v>#VALUE!</v>
      </c>
      <c r="E189" t="e">
        <f>AND('Planilla_General_03-12-2012_9_3'!D3009,"AAAAAGX/7wQ=")</f>
        <v>#VALUE!</v>
      </c>
      <c r="F189" t="e">
        <f>AND('Planilla_General_03-12-2012_9_3'!E3009,"AAAAAGX/7wU=")</f>
        <v>#VALUE!</v>
      </c>
      <c r="G189" t="e">
        <f>AND('Planilla_General_03-12-2012_9_3'!F3009,"AAAAAGX/7wY=")</f>
        <v>#VALUE!</v>
      </c>
      <c r="H189" t="e">
        <f>AND('Planilla_General_03-12-2012_9_3'!G3009,"AAAAAGX/7wc=")</f>
        <v>#VALUE!</v>
      </c>
      <c r="I189" t="e">
        <f>AND('Planilla_General_03-12-2012_9_3'!H3009,"AAAAAGX/7wg=")</f>
        <v>#VALUE!</v>
      </c>
      <c r="J189" t="e">
        <f>AND('Planilla_General_03-12-2012_9_3'!I3009,"AAAAAGX/7wk=")</f>
        <v>#VALUE!</v>
      </c>
      <c r="K189" t="e">
        <f>AND('Planilla_General_03-12-2012_9_3'!J3009,"AAAAAGX/7wo=")</f>
        <v>#VALUE!</v>
      </c>
      <c r="L189" t="e">
        <f>AND('Planilla_General_03-12-2012_9_3'!K3009,"AAAAAGX/7ws=")</f>
        <v>#VALUE!</v>
      </c>
      <c r="M189" t="e">
        <f>AND('Planilla_General_03-12-2012_9_3'!L3009,"AAAAAGX/7ww=")</f>
        <v>#VALUE!</v>
      </c>
      <c r="N189" t="e">
        <f>AND('Planilla_General_03-12-2012_9_3'!M3009,"AAAAAGX/7w0=")</f>
        <v>#VALUE!</v>
      </c>
      <c r="O189" t="e">
        <f>AND('Planilla_General_03-12-2012_9_3'!N3009,"AAAAAGX/7w4=")</f>
        <v>#VALUE!</v>
      </c>
      <c r="P189" t="e">
        <f>AND('Planilla_General_03-12-2012_9_3'!O3009,"AAAAAGX/7w8=")</f>
        <v>#VALUE!</v>
      </c>
      <c r="Q189">
        <f>IF('Planilla_General_03-12-2012_9_3'!3010:3010,"AAAAAGX/7xA=",0)</f>
        <v>0</v>
      </c>
      <c r="R189" t="e">
        <f>AND('Planilla_General_03-12-2012_9_3'!A3010,"AAAAAGX/7xE=")</f>
        <v>#VALUE!</v>
      </c>
      <c r="S189" t="e">
        <f>AND('Planilla_General_03-12-2012_9_3'!B3010,"AAAAAGX/7xI=")</f>
        <v>#VALUE!</v>
      </c>
      <c r="T189" t="e">
        <f>AND('Planilla_General_03-12-2012_9_3'!C3010,"AAAAAGX/7xM=")</f>
        <v>#VALUE!</v>
      </c>
      <c r="U189" t="e">
        <f>AND('Planilla_General_03-12-2012_9_3'!D3010,"AAAAAGX/7xQ=")</f>
        <v>#VALUE!</v>
      </c>
      <c r="V189" t="e">
        <f>AND('Planilla_General_03-12-2012_9_3'!E3010,"AAAAAGX/7xU=")</f>
        <v>#VALUE!</v>
      </c>
      <c r="W189" t="e">
        <f>AND('Planilla_General_03-12-2012_9_3'!F3010,"AAAAAGX/7xY=")</f>
        <v>#VALUE!</v>
      </c>
      <c r="X189" t="e">
        <f>AND('Planilla_General_03-12-2012_9_3'!G3010,"AAAAAGX/7xc=")</f>
        <v>#VALUE!</v>
      </c>
      <c r="Y189" t="e">
        <f>AND('Planilla_General_03-12-2012_9_3'!H3010,"AAAAAGX/7xg=")</f>
        <v>#VALUE!</v>
      </c>
      <c r="Z189" t="e">
        <f>AND('Planilla_General_03-12-2012_9_3'!I3010,"AAAAAGX/7xk=")</f>
        <v>#VALUE!</v>
      </c>
      <c r="AA189" t="e">
        <f>AND('Planilla_General_03-12-2012_9_3'!J3010,"AAAAAGX/7xo=")</f>
        <v>#VALUE!</v>
      </c>
      <c r="AB189" t="e">
        <f>AND('Planilla_General_03-12-2012_9_3'!K3010,"AAAAAGX/7xs=")</f>
        <v>#VALUE!</v>
      </c>
      <c r="AC189" t="e">
        <f>AND('Planilla_General_03-12-2012_9_3'!L3010,"AAAAAGX/7xw=")</f>
        <v>#VALUE!</v>
      </c>
      <c r="AD189" t="e">
        <f>AND('Planilla_General_03-12-2012_9_3'!M3010,"AAAAAGX/7x0=")</f>
        <v>#VALUE!</v>
      </c>
      <c r="AE189" t="e">
        <f>AND('Planilla_General_03-12-2012_9_3'!N3010,"AAAAAGX/7x4=")</f>
        <v>#VALUE!</v>
      </c>
      <c r="AF189" t="e">
        <f>AND('Planilla_General_03-12-2012_9_3'!O3010,"AAAAAGX/7x8=")</f>
        <v>#VALUE!</v>
      </c>
      <c r="AG189">
        <f>IF('Planilla_General_03-12-2012_9_3'!3011:3011,"AAAAAGX/7yA=",0)</f>
        <v>0</v>
      </c>
      <c r="AH189" t="e">
        <f>AND('Planilla_General_03-12-2012_9_3'!A3011,"AAAAAGX/7yE=")</f>
        <v>#VALUE!</v>
      </c>
      <c r="AI189" t="e">
        <f>AND('Planilla_General_03-12-2012_9_3'!B3011,"AAAAAGX/7yI=")</f>
        <v>#VALUE!</v>
      </c>
      <c r="AJ189" t="e">
        <f>AND('Planilla_General_03-12-2012_9_3'!C3011,"AAAAAGX/7yM=")</f>
        <v>#VALUE!</v>
      </c>
      <c r="AK189" t="e">
        <f>AND('Planilla_General_03-12-2012_9_3'!D3011,"AAAAAGX/7yQ=")</f>
        <v>#VALUE!</v>
      </c>
      <c r="AL189" t="e">
        <f>AND('Planilla_General_03-12-2012_9_3'!E3011,"AAAAAGX/7yU=")</f>
        <v>#VALUE!</v>
      </c>
      <c r="AM189" t="e">
        <f>AND('Planilla_General_03-12-2012_9_3'!F3011,"AAAAAGX/7yY=")</f>
        <v>#VALUE!</v>
      </c>
      <c r="AN189" t="e">
        <f>AND('Planilla_General_03-12-2012_9_3'!G3011,"AAAAAGX/7yc=")</f>
        <v>#VALUE!</v>
      </c>
      <c r="AO189" t="e">
        <f>AND('Planilla_General_03-12-2012_9_3'!H3011,"AAAAAGX/7yg=")</f>
        <v>#VALUE!</v>
      </c>
      <c r="AP189" t="e">
        <f>AND('Planilla_General_03-12-2012_9_3'!I3011,"AAAAAGX/7yk=")</f>
        <v>#VALUE!</v>
      </c>
      <c r="AQ189" t="e">
        <f>AND('Planilla_General_03-12-2012_9_3'!J3011,"AAAAAGX/7yo=")</f>
        <v>#VALUE!</v>
      </c>
      <c r="AR189" t="e">
        <f>AND('Planilla_General_03-12-2012_9_3'!K3011,"AAAAAGX/7ys=")</f>
        <v>#VALUE!</v>
      </c>
      <c r="AS189" t="e">
        <f>AND('Planilla_General_03-12-2012_9_3'!L3011,"AAAAAGX/7yw=")</f>
        <v>#VALUE!</v>
      </c>
      <c r="AT189" t="e">
        <f>AND('Planilla_General_03-12-2012_9_3'!M3011,"AAAAAGX/7y0=")</f>
        <v>#VALUE!</v>
      </c>
      <c r="AU189" t="e">
        <f>AND('Planilla_General_03-12-2012_9_3'!N3011,"AAAAAGX/7y4=")</f>
        <v>#VALUE!</v>
      </c>
      <c r="AV189" t="e">
        <f>AND('Planilla_General_03-12-2012_9_3'!O3011,"AAAAAGX/7y8=")</f>
        <v>#VALUE!</v>
      </c>
      <c r="AW189">
        <f>IF('Planilla_General_03-12-2012_9_3'!3012:3012,"AAAAAGX/7zA=",0)</f>
        <v>0</v>
      </c>
      <c r="AX189" t="e">
        <f>AND('Planilla_General_03-12-2012_9_3'!A3012,"AAAAAGX/7zE=")</f>
        <v>#VALUE!</v>
      </c>
      <c r="AY189" t="e">
        <f>AND('Planilla_General_03-12-2012_9_3'!B3012,"AAAAAGX/7zI=")</f>
        <v>#VALUE!</v>
      </c>
      <c r="AZ189" t="e">
        <f>AND('Planilla_General_03-12-2012_9_3'!C3012,"AAAAAGX/7zM=")</f>
        <v>#VALUE!</v>
      </c>
      <c r="BA189" t="e">
        <f>AND('Planilla_General_03-12-2012_9_3'!D3012,"AAAAAGX/7zQ=")</f>
        <v>#VALUE!</v>
      </c>
      <c r="BB189" t="e">
        <f>AND('Planilla_General_03-12-2012_9_3'!E3012,"AAAAAGX/7zU=")</f>
        <v>#VALUE!</v>
      </c>
      <c r="BC189" t="e">
        <f>AND('Planilla_General_03-12-2012_9_3'!F3012,"AAAAAGX/7zY=")</f>
        <v>#VALUE!</v>
      </c>
      <c r="BD189" t="e">
        <f>AND('Planilla_General_03-12-2012_9_3'!G3012,"AAAAAGX/7zc=")</f>
        <v>#VALUE!</v>
      </c>
      <c r="BE189" t="e">
        <f>AND('Planilla_General_03-12-2012_9_3'!H3012,"AAAAAGX/7zg=")</f>
        <v>#VALUE!</v>
      </c>
      <c r="BF189" t="e">
        <f>AND('Planilla_General_03-12-2012_9_3'!I3012,"AAAAAGX/7zk=")</f>
        <v>#VALUE!</v>
      </c>
      <c r="BG189" t="e">
        <f>AND('Planilla_General_03-12-2012_9_3'!J3012,"AAAAAGX/7zo=")</f>
        <v>#VALUE!</v>
      </c>
      <c r="BH189" t="e">
        <f>AND('Planilla_General_03-12-2012_9_3'!K3012,"AAAAAGX/7zs=")</f>
        <v>#VALUE!</v>
      </c>
      <c r="BI189" t="e">
        <f>AND('Planilla_General_03-12-2012_9_3'!L3012,"AAAAAGX/7zw=")</f>
        <v>#VALUE!</v>
      </c>
      <c r="BJ189" t="e">
        <f>AND('Planilla_General_03-12-2012_9_3'!M3012,"AAAAAGX/7z0=")</f>
        <v>#VALUE!</v>
      </c>
      <c r="BK189" t="e">
        <f>AND('Planilla_General_03-12-2012_9_3'!N3012,"AAAAAGX/7z4=")</f>
        <v>#VALUE!</v>
      </c>
      <c r="BL189" t="e">
        <f>AND('Planilla_General_03-12-2012_9_3'!O3012,"AAAAAGX/7z8=")</f>
        <v>#VALUE!</v>
      </c>
      <c r="BM189">
        <f>IF('Planilla_General_03-12-2012_9_3'!3013:3013,"AAAAAGX/70A=",0)</f>
        <v>0</v>
      </c>
      <c r="BN189" t="e">
        <f>AND('Planilla_General_03-12-2012_9_3'!A3013,"AAAAAGX/70E=")</f>
        <v>#VALUE!</v>
      </c>
      <c r="BO189" t="e">
        <f>AND('Planilla_General_03-12-2012_9_3'!B3013,"AAAAAGX/70I=")</f>
        <v>#VALUE!</v>
      </c>
      <c r="BP189" t="e">
        <f>AND('Planilla_General_03-12-2012_9_3'!C3013,"AAAAAGX/70M=")</f>
        <v>#VALUE!</v>
      </c>
      <c r="BQ189" t="e">
        <f>AND('Planilla_General_03-12-2012_9_3'!D3013,"AAAAAGX/70Q=")</f>
        <v>#VALUE!</v>
      </c>
      <c r="BR189" t="e">
        <f>AND('Planilla_General_03-12-2012_9_3'!E3013,"AAAAAGX/70U=")</f>
        <v>#VALUE!</v>
      </c>
      <c r="BS189" t="e">
        <f>AND('Planilla_General_03-12-2012_9_3'!F3013,"AAAAAGX/70Y=")</f>
        <v>#VALUE!</v>
      </c>
      <c r="BT189" t="e">
        <f>AND('Planilla_General_03-12-2012_9_3'!G3013,"AAAAAGX/70c=")</f>
        <v>#VALUE!</v>
      </c>
      <c r="BU189" t="e">
        <f>AND('Planilla_General_03-12-2012_9_3'!H3013,"AAAAAGX/70g=")</f>
        <v>#VALUE!</v>
      </c>
      <c r="BV189" t="e">
        <f>AND('Planilla_General_03-12-2012_9_3'!I3013,"AAAAAGX/70k=")</f>
        <v>#VALUE!</v>
      </c>
      <c r="BW189" t="e">
        <f>AND('Planilla_General_03-12-2012_9_3'!J3013,"AAAAAGX/70o=")</f>
        <v>#VALUE!</v>
      </c>
      <c r="BX189" t="e">
        <f>AND('Planilla_General_03-12-2012_9_3'!K3013,"AAAAAGX/70s=")</f>
        <v>#VALUE!</v>
      </c>
      <c r="BY189" t="e">
        <f>AND('Planilla_General_03-12-2012_9_3'!L3013,"AAAAAGX/70w=")</f>
        <v>#VALUE!</v>
      </c>
      <c r="BZ189" t="e">
        <f>AND('Planilla_General_03-12-2012_9_3'!M3013,"AAAAAGX/700=")</f>
        <v>#VALUE!</v>
      </c>
      <c r="CA189" t="e">
        <f>AND('Planilla_General_03-12-2012_9_3'!N3013,"AAAAAGX/704=")</f>
        <v>#VALUE!</v>
      </c>
      <c r="CB189" t="e">
        <f>AND('Planilla_General_03-12-2012_9_3'!O3013,"AAAAAGX/708=")</f>
        <v>#VALUE!</v>
      </c>
      <c r="CC189">
        <f>IF('Planilla_General_03-12-2012_9_3'!3014:3014,"AAAAAGX/71A=",0)</f>
        <v>0</v>
      </c>
      <c r="CD189" t="e">
        <f>AND('Planilla_General_03-12-2012_9_3'!A3014,"AAAAAGX/71E=")</f>
        <v>#VALUE!</v>
      </c>
      <c r="CE189" t="e">
        <f>AND('Planilla_General_03-12-2012_9_3'!B3014,"AAAAAGX/71I=")</f>
        <v>#VALUE!</v>
      </c>
      <c r="CF189" t="e">
        <f>AND('Planilla_General_03-12-2012_9_3'!C3014,"AAAAAGX/71M=")</f>
        <v>#VALUE!</v>
      </c>
      <c r="CG189" t="e">
        <f>AND('Planilla_General_03-12-2012_9_3'!D3014,"AAAAAGX/71Q=")</f>
        <v>#VALUE!</v>
      </c>
      <c r="CH189" t="e">
        <f>AND('Planilla_General_03-12-2012_9_3'!E3014,"AAAAAGX/71U=")</f>
        <v>#VALUE!</v>
      </c>
      <c r="CI189" t="e">
        <f>AND('Planilla_General_03-12-2012_9_3'!F3014,"AAAAAGX/71Y=")</f>
        <v>#VALUE!</v>
      </c>
      <c r="CJ189" t="e">
        <f>AND('Planilla_General_03-12-2012_9_3'!G3014,"AAAAAGX/71c=")</f>
        <v>#VALUE!</v>
      </c>
      <c r="CK189" t="e">
        <f>AND('Planilla_General_03-12-2012_9_3'!H3014,"AAAAAGX/71g=")</f>
        <v>#VALUE!</v>
      </c>
      <c r="CL189" t="e">
        <f>AND('Planilla_General_03-12-2012_9_3'!I3014,"AAAAAGX/71k=")</f>
        <v>#VALUE!</v>
      </c>
      <c r="CM189" t="e">
        <f>AND('Planilla_General_03-12-2012_9_3'!J3014,"AAAAAGX/71o=")</f>
        <v>#VALUE!</v>
      </c>
      <c r="CN189" t="e">
        <f>AND('Planilla_General_03-12-2012_9_3'!K3014,"AAAAAGX/71s=")</f>
        <v>#VALUE!</v>
      </c>
      <c r="CO189" t="e">
        <f>AND('Planilla_General_03-12-2012_9_3'!L3014,"AAAAAGX/71w=")</f>
        <v>#VALUE!</v>
      </c>
      <c r="CP189" t="e">
        <f>AND('Planilla_General_03-12-2012_9_3'!M3014,"AAAAAGX/710=")</f>
        <v>#VALUE!</v>
      </c>
      <c r="CQ189" t="e">
        <f>AND('Planilla_General_03-12-2012_9_3'!N3014,"AAAAAGX/714=")</f>
        <v>#VALUE!</v>
      </c>
      <c r="CR189" t="e">
        <f>AND('Planilla_General_03-12-2012_9_3'!O3014,"AAAAAGX/718=")</f>
        <v>#VALUE!</v>
      </c>
      <c r="CS189">
        <f>IF('Planilla_General_03-12-2012_9_3'!3015:3015,"AAAAAGX/72A=",0)</f>
        <v>0</v>
      </c>
      <c r="CT189" t="e">
        <f>AND('Planilla_General_03-12-2012_9_3'!A3015,"AAAAAGX/72E=")</f>
        <v>#VALUE!</v>
      </c>
      <c r="CU189" t="e">
        <f>AND('Planilla_General_03-12-2012_9_3'!B3015,"AAAAAGX/72I=")</f>
        <v>#VALUE!</v>
      </c>
      <c r="CV189" t="e">
        <f>AND('Planilla_General_03-12-2012_9_3'!C3015,"AAAAAGX/72M=")</f>
        <v>#VALUE!</v>
      </c>
      <c r="CW189" t="e">
        <f>AND('Planilla_General_03-12-2012_9_3'!D3015,"AAAAAGX/72Q=")</f>
        <v>#VALUE!</v>
      </c>
      <c r="CX189" t="e">
        <f>AND('Planilla_General_03-12-2012_9_3'!E3015,"AAAAAGX/72U=")</f>
        <v>#VALUE!</v>
      </c>
      <c r="CY189" t="e">
        <f>AND('Planilla_General_03-12-2012_9_3'!F3015,"AAAAAGX/72Y=")</f>
        <v>#VALUE!</v>
      </c>
      <c r="CZ189" t="e">
        <f>AND('Planilla_General_03-12-2012_9_3'!G3015,"AAAAAGX/72c=")</f>
        <v>#VALUE!</v>
      </c>
      <c r="DA189" t="e">
        <f>AND('Planilla_General_03-12-2012_9_3'!H3015,"AAAAAGX/72g=")</f>
        <v>#VALUE!</v>
      </c>
      <c r="DB189" t="e">
        <f>AND('Planilla_General_03-12-2012_9_3'!I3015,"AAAAAGX/72k=")</f>
        <v>#VALUE!</v>
      </c>
      <c r="DC189" t="e">
        <f>AND('Planilla_General_03-12-2012_9_3'!J3015,"AAAAAGX/72o=")</f>
        <v>#VALUE!</v>
      </c>
      <c r="DD189" t="e">
        <f>AND('Planilla_General_03-12-2012_9_3'!K3015,"AAAAAGX/72s=")</f>
        <v>#VALUE!</v>
      </c>
      <c r="DE189" t="e">
        <f>AND('Planilla_General_03-12-2012_9_3'!L3015,"AAAAAGX/72w=")</f>
        <v>#VALUE!</v>
      </c>
      <c r="DF189" t="e">
        <f>AND('Planilla_General_03-12-2012_9_3'!M3015,"AAAAAGX/720=")</f>
        <v>#VALUE!</v>
      </c>
      <c r="DG189" t="e">
        <f>AND('Planilla_General_03-12-2012_9_3'!N3015,"AAAAAGX/724=")</f>
        <v>#VALUE!</v>
      </c>
      <c r="DH189" t="e">
        <f>AND('Planilla_General_03-12-2012_9_3'!O3015,"AAAAAGX/728=")</f>
        <v>#VALUE!</v>
      </c>
      <c r="DI189">
        <f>IF('Planilla_General_03-12-2012_9_3'!3016:3016,"AAAAAGX/73A=",0)</f>
        <v>0</v>
      </c>
      <c r="DJ189" t="e">
        <f>AND('Planilla_General_03-12-2012_9_3'!A3016,"AAAAAGX/73E=")</f>
        <v>#VALUE!</v>
      </c>
      <c r="DK189" t="e">
        <f>AND('Planilla_General_03-12-2012_9_3'!B3016,"AAAAAGX/73I=")</f>
        <v>#VALUE!</v>
      </c>
      <c r="DL189" t="e">
        <f>AND('Planilla_General_03-12-2012_9_3'!C3016,"AAAAAGX/73M=")</f>
        <v>#VALUE!</v>
      </c>
      <c r="DM189" t="e">
        <f>AND('Planilla_General_03-12-2012_9_3'!D3016,"AAAAAGX/73Q=")</f>
        <v>#VALUE!</v>
      </c>
      <c r="DN189" t="e">
        <f>AND('Planilla_General_03-12-2012_9_3'!E3016,"AAAAAGX/73U=")</f>
        <v>#VALUE!</v>
      </c>
      <c r="DO189" t="e">
        <f>AND('Planilla_General_03-12-2012_9_3'!F3016,"AAAAAGX/73Y=")</f>
        <v>#VALUE!</v>
      </c>
      <c r="DP189" t="e">
        <f>AND('Planilla_General_03-12-2012_9_3'!G3016,"AAAAAGX/73c=")</f>
        <v>#VALUE!</v>
      </c>
      <c r="DQ189" t="e">
        <f>AND('Planilla_General_03-12-2012_9_3'!H3016,"AAAAAGX/73g=")</f>
        <v>#VALUE!</v>
      </c>
      <c r="DR189" t="e">
        <f>AND('Planilla_General_03-12-2012_9_3'!I3016,"AAAAAGX/73k=")</f>
        <v>#VALUE!</v>
      </c>
      <c r="DS189" t="e">
        <f>AND('Planilla_General_03-12-2012_9_3'!J3016,"AAAAAGX/73o=")</f>
        <v>#VALUE!</v>
      </c>
      <c r="DT189" t="e">
        <f>AND('Planilla_General_03-12-2012_9_3'!K3016,"AAAAAGX/73s=")</f>
        <v>#VALUE!</v>
      </c>
      <c r="DU189" t="e">
        <f>AND('Planilla_General_03-12-2012_9_3'!L3016,"AAAAAGX/73w=")</f>
        <v>#VALUE!</v>
      </c>
      <c r="DV189" t="e">
        <f>AND('Planilla_General_03-12-2012_9_3'!M3016,"AAAAAGX/730=")</f>
        <v>#VALUE!</v>
      </c>
      <c r="DW189" t="e">
        <f>AND('Planilla_General_03-12-2012_9_3'!N3016,"AAAAAGX/734=")</f>
        <v>#VALUE!</v>
      </c>
      <c r="DX189" t="e">
        <f>AND('Planilla_General_03-12-2012_9_3'!O3016,"AAAAAGX/738=")</f>
        <v>#VALUE!</v>
      </c>
      <c r="DY189">
        <f>IF('Planilla_General_03-12-2012_9_3'!3017:3017,"AAAAAGX/74A=",0)</f>
        <v>0</v>
      </c>
      <c r="DZ189" t="e">
        <f>AND('Planilla_General_03-12-2012_9_3'!A3017,"AAAAAGX/74E=")</f>
        <v>#VALUE!</v>
      </c>
      <c r="EA189" t="e">
        <f>AND('Planilla_General_03-12-2012_9_3'!B3017,"AAAAAGX/74I=")</f>
        <v>#VALUE!</v>
      </c>
      <c r="EB189" t="e">
        <f>AND('Planilla_General_03-12-2012_9_3'!C3017,"AAAAAGX/74M=")</f>
        <v>#VALUE!</v>
      </c>
      <c r="EC189" t="e">
        <f>AND('Planilla_General_03-12-2012_9_3'!D3017,"AAAAAGX/74Q=")</f>
        <v>#VALUE!</v>
      </c>
      <c r="ED189" t="e">
        <f>AND('Planilla_General_03-12-2012_9_3'!E3017,"AAAAAGX/74U=")</f>
        <v>#VALUE!</v>
      </c>
      <c r="EE189" t="e">
        <f>AND('Planilla_General_03-12-2012_9_3'!F3017,"AAAAAGX/74Y=")</f>
        <v>#VALUE!</v>
      </c>
      <c r="EF189" t="e">
        <f>AND('Planilla_General_03-12-2012_9_3'!G3017,"AAAAAGX/74c=")</f>
        <v>#VALUE!</v>
      </c>
      <c r="EG189" t="e">
        <f>AND('Planilla_General_03-12-2012_9_3'!H3017,"AAAAAGX/74g=")</f>
        <v>#VALUE!</v>
      </c>
      <c r="EH189" t="e">
        <f>AND('Planilla_General_03-12-2012_9_3'!I3017,"AAAAAGX/74k=")</f>
        <v>#VALUE!</v>
      </c>
      <c r="EI189" t="e">
        <f>AND('Planilla_General_03-12-2012_9_3'!J3017,"AAAAAGX/74o=")</f>
        <v>#VALUE!</v>
      </c>
      <c r="EJ189" t="e">
        <f>AND('Planilla_General_03-12-2012_9_3'!K3017,"AAAAAGX/74s=")</f>
        <v>#VALUE!</v>
      </c>
      <c r="EK189" t="e">
        <f>AND('Planilla_General_03-12-2012_9_3'!L3017,"AAAAAGX/74w=")</f>
        <v>#VALUE!</v>
      </c>
      <c r="EL189" t="e">
        <f>AND('Planilla_General_03-12-2012_9_3'!M3017,"AAAAAGX/740=")</f>
        <v>#VALUE!</v>
      </c>
      <c r="EM189" t="e">
        <f>AND('Planilla_General_03-12-2012_9_3'!N3017,"AAAAAGX/744=")</f>
        <v>#VALUE!</v>
      </c>
      <c r="EN189" t="e">
        <f>AND('Planilla_General_03-12-2012_9_3'!O3017,"AAAAAGX/748=")</f>
        <v>#VALUE!</v>
      </c>
      <c r="EO189">
        <f>IF('Planilla_General_03-12-2012_9_3'!3018:3018,"AAAAAGX/75A=",0)</f>
        <v>0</v>
      </c>
      <c r="EP189" t="e">
        <f>AND('Planilla_General_03-12-2012_9_3'!A3018,"AAAAAGX/75E=")</f>
        <v>#VALUE!</v>
      </c>
      <c r="EQ189" t="e">
        <f>AND('Planilla_General_03-12-2012_9_3'!B3018,"AAAAAGX/75I=")</f>
        <v>#VALUE!</v>
      </c>
      <c r="ER189" t="e">
        <f>AND('Planilla_General_03-12-2012_9_3'!C3018,"AAAAAGX/75M=")</f>
        <v>#VALUE!</v>
      </c>
      <c r="ES189" t="e">
        <f>AND('Planilla_General_03-12-2012_9_3'!D3018,"AAAAAGX/75Q=")</f>
        <v>#VALUE!</v>
      </c>
      <c r="ET189" t="e">
        <f>AND('Planilla_General_03-12-2012_9_3'!E3018,"AAAAAGX/75U=")</f>
        <v>#VALUE!</v>
      </c>
      <c r="EU189" t="e">
        <f>AND('Planilla_General_03-12-2012_9_3'!F3018,"AAAAAGX/75Y=")</f>
        <v>#VALUE!</v>
      </c>
      <c r="EV189" t="e">
        <f>AND('Planilla_General_03-12-2012_9_3'!G3018,"AAAAAGX/75c=")</f>
        <v>#VALUE!</v>
      </c>
      <c r="EW189" t="e">
        <f>AND('Planilla_General_03-12-2012_9_3'!H3018,"AAAAAGX/75g=")</f>
        <v>#VALUE!</v>
      </c>
      <c r="EX189" t="e">
        <f>AND('Planilla_General_03-12-2012_9_3'!I3018,"AAAAAGX/75k=")</f>
        <v>#VALUE!</v>
      </c>
      <c r="EY189" t="e">
        <f>AND('Planilla_General_03-12-2012_9_3'!J3018,"AAAAAGX/75o=")</f>
        <v>#VALUE!</v>
      </c>
      <c r="EZ189" t="e">
        <f>AND('Planilla_General_03-12-2012_9_3'!K3018,"AAAAAGX/75s=")</f>
        <v>#VALUE!</v>
      </c>
      <c r="FA189" t="e">
        <f>AND('Planilla_General_03-12-2012_9_3'!L3018,"AAAAAGX/75w=")</f>
        <v>#VALUE!</v>
      </c>
      <c r="FB189" t="e">
        <f>AND('Planilla_General_03-12-2012_9_3'!M3018,"AAAAAGX/750=")</f>
        <v>#VALUE!</v>
      </c>
      <c r="FC189" t="e">
        <f>AND('Planilla_General_03-12-2012_9_3'!N3018,"AAAAAGX/754=")</f>
        <v>#VALUE!</v>
      </c>
      <c r="FD189" t="e">
        <f>AND('Planilla_General_03-12-2012_9_3'!O3018,"AAAAAGX/758=")</f>
        <v>#VALUE!</v>
      </c>
      <c r="FE189">
        <f>IF('Planilla_General_03-12-2012_9_3'!3019:3019,"AAAAAGX/76A=",0)</f>
        <v>0</v>
      </c>
      <c r="FF189" t="e">
        <f>AND('Planilla_General_03-12-2012_9_3'!A3019,"AAAAAGX/76E=")</f>
        <v>#VALUE!</v>
      </c>
      <c r="FG189" t="e">
        <f>AND('Planilla_General_03-12-2012_9_3'!B3019,"AAAAAGX/76I=")</f>
        <v>#VALUE!</v>
      </c>
      <c r="FH189" t="e">
        <f>AND('Planilla_General_03-12-2012_9_3'!C3019,"AAAAAGX/76M=")</f>
        <v>#VALUE!</v>
      </c>
      <c r="FI189" t="e">
        <f>AND('Planilla_General_03-12-2012_9_3'!D3019,"AAAAAGX/76Q=")</f>
        <v>#VALUE!</v>
      </c>
      <c r="FJ189" t="e">
        <f>AND('Planilla_General_03-12-2012_9_3'!E3019,"AAAAAGX/76U=")</f>
        <v>#VALUE!</v>
      </c>
      <c r="FK189" t="e">
        <f>AND('Planilla_General_03-12-2012_9_3'!F3019,"AAAAAGX/76Y=")</f>
        <v>#VALUE!</v>
      </c>
      <c r="FL189" t="e">
        <f>AND('Planilla_General_03-12-2012_9_3'!G3019,"AAAAAGX/76c=")</f>
        <v>#VALUE!</v>
      </c>
      <c r="FM189" t="e">
        <f>AND('Planilla_General_03-12-2012_9_3'!H3019,"AAAAAGX/76g=")</f>
        <v>#VALUE!</v>
      </c>
      <c r="FN189" t="e">
        <f>AND('Planilla_General_03-12-2012_9_3'!I3019,"AAAAAGX/76k=")</f>
        <v>#VALUE!</v>
      </c>
      <c r="FO189" t="e">
        <f>AND('Planilla_General_03-12-2012_9_3'!J3019,"AAAAAGX/76o=")</f>
        <v>#VALUE!</v>
      </c>
      <c r="FP189" t="e">
        <f>AND('Planilla_General_03-12-2012_9_3'!K3019,"AAAAAGX/76s=")</f>
        <v>#VALUE!</v>
      </c>
      <c r="FQ189" t="e">
        <f>AND('Planilla_General_03-12-2012_9_3'!L3019,"AAAAAGX/76w=")</f>
        <v>#VALUE!</v>
      </c>
      <c r="FR189" t="e">
        <f>AND('Planilla_General_03-12-2012_9_3'!M3019,"AAAAAGX/760=")</f>
        <v>#VALUE!</v>
      </c>
      <c r="FS189" t="e">
        <f>AND('Planilla_General_03-12-2012_9_3'!N3019,"AAAAAGX/764=")</f>
        <v>#VALUE!</v>
      </c>
      <c r="FT189" t="e">
        <f>AND('Planilla_General_03-12-2012_9_3'!O3019,"AAAAAGX/768=")</f>
        <v>#VALUE!</v>
      </c>
      <c r="FU189">
        <f>IF('Planilla_General_03-12-2012_9_3'!3020:3020,"AAAAAGX/77A=",0)</f>
        <v>0</v>
      </c>
      <c r="FV189" t="e">
        <f>AND('Planilla_General_03-12-2012_9_3'!A3020,"AAAAAGX/77E=")</f>
        <v>#VALUE!</v>
      </c>
      <c r="FW189" t="e">
        <f>AND('Planilla_General_03-12-2012_9_3'!B3020,"AAAAAGX/77I=")</f>
        <v>#VALUE!</v>
      </c>
      <c r="FX189" t="e">
        <f>AND('Planilla_General_03-12-2012_9_3'!C3020,"AAAAAGX/77M=")</f>
        <v>#VALUE!</v>
      </c>
      <c r="FY189" t="e">
        <f>AND('Planilla_General_03-12-2012_9_3'!D3020,"AAAAAGX/77Q=")</f>
        <v>#VALUE!</v>
      </c>
      <c r="FZ189" t="e">
        <f>AND('Planilla_General_03-12-2012_9_3'!E3020,"AAAAAGX/77U=")</f>
        <v>#VALUE!</v>
      </c>
      <c r="GA189" t="e">
        <f>AND('Planilla_General_03-12-2012_9_3'!F3020,"AAAAAGX/77Y=")</f>
        <v>#VALUE!</v>
      </c>
      <c r="GB189" t="e">
        <f>AND('Planilla_General_03-12-2012_9_3'!G3020,"AAAAAGX/77c=")</f>
        <v>#VALUE!</v>
      </c>
      <c r="GC189" t="e">
        <f>AND('Planilla_General_03-12-2012_9_3'!H3020,"AAAAAGX/77g=")</f>
        <v>#VALUE!</v>
      </c>
      <c r="GD189" t="e">
        <f>AND('Planilla_General_03-12-2012_9_3'!I3020,"AAAAAGX/77k=")</f>
        <v>#VALUE!</v>
      </c>
      <c r="GE189" t="e">
        <f>AND('Planilla_General_03-12-2012_9_3'!J3020,"AAAAAGX/77o=")</f>
        <v>#VALUE!</v>
      </c>
      <c r="GF189" t="e">
        <f>AND('Planilla_General_03-12-2012_9_3'!K3020,"AAAAAGX/77s=")</f>
        <v>#VALUE!</v>
      </c>
      <c r="GG189" t="e">
        <f>AND('Planilla_General_03-12-2012_9_3'!L3020,"AAAAAGX/77w=")</f>
        <v>#VALUE!</v>
      </c>
      <c r="GH189" t="e">
        <f>AND('Planilla_General_03-12-2012_9_3'!M3020,"AAAAAGX/770=")</f>
        <v>#VALUE!</v>
      </c>
      <c r="GI189" t="e">
        <f>AND('Planilla_General_03-12-2012_9_3'!N3020,"AAAAAGX/774=")</f>
        <v>#VALUE!</v>
      </c>
      <c r="GJ189" t="e">
        <f>AND('Planilla_General_03-12-2012_9_3'!O3020,"AAAAAGX/778=")</f>
        <v>#VALUE!</v>
      </c>
      <c r="GK189">
        <f>IF('Planilla_General_03-12-2012_9_3'!3021:3021,"AAAAAGX/78A=",0)</f>
        <v>0</v>
      </c>
      <c r="GL189" t="e">
        <f>AND('Planilla_General_03-12-2012_9_3'!A3021,"AAAAAGX/78E=")</f>
        <v>#VALUE!</v>
      </c>
      <c r="GM189" t="e">
        <f>AND('Planilla_General_03-12-2012_9_3'!B3021,"AAAAAGX/78I=")</f>
        <v>#VALUE!</v>
      </c>
      <c r="GN189" t="e">
        <f>AND('Planilla_General_03-12-2012_9_3'!C3021,"AAAAAGX/78M=")</f>
        <v>#VALUE!</v>
      </c>
      <c r="GO189" t="e">
        <f>AND('Planilla_General_03-12-2012_9_3'!D3021,"AAAAAGX/78Q=")</f>
        <v>#VALUE!</v>
      </c>
      <c r="GP189" t="e">
        <f>AND('Planilla_General_03-12-2012_9_3'!E3021,"AAAAAGX/78U=")</f>
        <v>#VALUE!</v>
      </c>
      <c r="GQ189" t="e">
        <f>AND('Planilla_General_03-12-2012_9_3'!F3021,"AAAAAGX/78Y=")</f>
        <v>#VALUE!</v>
      </c>
      <c r="GR189" t="e">
        <f>AND('Planilla_General_03-12-2012_9_3'!G3021,"AAAAAGX/78c=")</f>
        <v>#VALUE!</v>
      </c>
      <c r="GS189" t="e">
        <f>AND('Planilla_General_03-12-2012_9_3'!H3021,"AAAAAGX/78g=")</f>
        <v>#VALUE!</v>
      </c>
      <c r="GT189" t="e">
        <f>AND('Planilla_General_03-12-2012_9_3'!I3021,"AAAAAGX/78k=")</f>
        <v>#VALUE!</v>
      </c>
      <c r="GU189" t="e">
        <f>AND('Planilla_General_03-12-2012_9_3'!J3021,"AAAAAGX/78o=")</f>
        <v>#VALUE!</v>
      </c>
      <c r="GV189" t="e">
        <f>AND('Planilla_General_03-12-2012_9_3'!K3021,"AAAAAGX/78s=")</f>
        <v>#VALUE!</v>
      </c>
      <c r="GW189" t="e">
        <f>AND('Planilla_General_03-12-2012_9_3'!L3021,"AAAAAGX/78w=")</f>
        <v>#VALUE!</v>
      </c>
      <c r="GX189" t="e">
        <f>AND('Planilla_General_03-12-2012_9_3'!M3021,"AAAAAGX/780=")</f>
        <v>#VALUE!</v>
      </c>
      <c r="GY189" t="e">
        <f>AND('Planilla_General_03-12-2012_9_3'!N3021,"AAAAAGX/784=")</f>
        <v>#VALUE!</v>
      </c>
      <c r="GZ189" t="e">
        <f>AND('Planilla_General_03-12-2012_9_3'!O3021,"AAAAAGX/788=")</f>
        <v>#VALUE!</v>
      </c>
      <c r="HA189">
        <f>IF('Planilla_General_03-12-2012_9_3'!3022:3022,"AAAAAGX/79A=",0)</f>
        <v>0</v>
      </c>
      <c r="HB189" t="e">
        <f>AND('Planilla_General_03-12-2012_9_3'!A3022,"AAAAAGX/79E=")</f>
        <v>#VALUE!</v>
      </c>
      <c r="HC189" t="e">
        <f>AND('Planilla_General_03-12-2012_9_3'!B3022,"AAAAAGX/79I=")</f>
        <v>#VALUE!</v>
      </c>
      <c r="HD189" t="e">
        <f>AND('Planilla_General_03-12-2012_9_3'!C3022,"AAAAAGX/79M=")</f>
        <v>#VALUE!</v>
      </c>
      <c r="HE189" t="e">
        <f>AND('Planilla_General_03-12-2012_9_3'!D3022,"AAAAAGX/79Q=")</f>
        <v>#VALUE!</v>
      </c>
      <c r="HF189" t="e">
        <f>AND('Planilla_General_03-12-2012_9_3'!E3022,"AAAAAGX/79U=")</f>
        <v>#VALUE!</v>
      </c>
      <c r="HG189" t="e">
        <f>AND('Planilla_General_03-12-2012_9_3'!F3022,"AAAAAGX/79Y=")</f>
        <v>#VALUE!</v>
      </c>
      <c r="HH189" t="e">
        <f>AND('Planilla_General_03-12-2012_9_3'!G3022,"AAAAAGX/79c=")</f>
        <v>#VALUE!</v>
      </c>
      <c r="HI189" t="e">
        <f>AND('Planilla_General_03-12-2012_9_3'!H3022,"AAAAAGX/79g=")</f>
        <v>#VALUE!</v>
      </c>
      <c r="HJ189" t="e">
        <f>AND('Planilla_General_03-12-2012_9_3'!I3022,"AAAAAGX/79k=")</f>
        <v>#VALUE!</v>
      </c>
      <c r="HK189" t="e">
        <f>AND('Planilla_General_03-12-2012_9_3'!J3022,"AAAAAGX/79o=")</f>
        <v>#VALUE!</v>
      </c>
      <c r="HL189" t="e">
        <f>AND('Planilla_General_03-12-2012_9_3'!K3022,"AAAAAGX/79s=")</f>
        <v>#VALUE!</v>
      </c>
      <c r="HM189" t="e">
        <f>AND('Planilla_General_03-12-2012_9_3'!L3022,"AAAAAGX/79w=")</f>
        <v>#VALUE!</v>
      </c>
      <c r="HN189" t="e">
        <f>AND('Planilla_General_03-12-2012_9_3'!M3022,"AAAAAGX/790=")</f>
        <v>#VALUE!</v>
      </c>
      <c r="HO189" t="e">
        <f>AND('Planilla_General_03-12-2012_9_3'!N3022,"AAAAAGX/794=")</f>
        <v>#VALUE!</v>
      </c>
      <c r="HP189" t="e">
        <f>AND('Planilla_General_03-12-2012_9_3'!O3022,"AAAAAGX/798=")</f>
        <v>#VALUE!</v>
      </c>
      <c r="HQ189">
        <f>IF('Planilla_General_03-12-2012_9_3'!3023:3023,"AAAAAGX/7+A=",0)</f>
        <v>0</v>
      </c>
      <c r="HR189" t="e">
        <f>AND('Planilla_General_03-12-2012_9_3'!A3023,"AAAAAGX/7+E=")</f>
        <v>#VALUE!</v>
      </c>
      <c r="HS189" t="e">
        <f>AND('Planilla_General_03-12-2012_9_3'!B3023,"AAAAAGX/7+I=")</f>
        <v>#VALUE!</v>
      </c>
      <c r="HT189" t="e">
        <f>AND('Planilla_General_03-12-2012_9_3'!C3023,"AAAAAGX/7+M=")</f>
        <v>#VALUE!</v>
      </c>
      <c r="HU189" t="e">
        <f>AND('Planilla_General_03-12-2012_9_3'!D3023,"AAAAAGX/7+Q=")</f>
        <v>#VALUE!</v>
      </c>
      <c r="HV189" t="e">
        <f>AND('Planilla_General_03-12-2012_9_3'!E3023,"AAAAAGX/7+U=")</f>
        <v>#VALUE!</v>
      </c>
      <c r="HW189" t="e">
        <f>AND('Planilla_General_03-12-2012_9_3'!F3023,"AAAAAGX/7+Y=")</f>
        <v>#VALUE!</v>
      </c>
      <c r="HX189" t="e">
        <f>AND('Planilla_General_03-12-2012_9_3'!G3023,"AAAAAGX/7+c=")</f>
        <v>#VALUE!</v>
      </c>
      <c r="HY189" t="e">
        <f>AND('Planilla_General_03-12-2012_9_3'!H3023,"AAAAAGX/7+g=")</f>
        <v>#VALUE!</v>
      </c>
      <c r="HZ189" t="e">
        <f>AND('Planilla_General_03-12-2012_9_3'!I3023,"AAAAAGX/7+k=")</f>
        <v>#VALUE!</v>
      </c>
      <c r="IA189" t="e">
        <f>AND('Planilla_General_03-12-2012_9_3'!J3023,"AAAAAGX/7+o=")</f>
        <v>#VALUE!</v>
      </c>
      <c r="IB189" t="e">
        <f>AND('Planilla_General_03-12-2012_9_3'!K3023,"AAAAAGX/7+s=")</f>
        <v>#VALUE!</v>
      </c>
      <c r="IC189" t="e">
        <f>AND('Planilla_General_03-12-2012_9_3'!L3023,"AAAAAGX/7+w=")</f>
        <v>#VALUE!</v>
      </c>
      <c r="ID189" t="e">
        <f>AND('Planilla_General_03-12-2012_9_3'!M3023,"AAAAAGX/7+0=")</f>
        <v>#VALUE!</v>
      </c>
      <c r="IE189" t="e">
        <f>AND('Planilla_General_03-12-2012_9_3'!N3023,"AAAAAGX/7+4=")</f>
        <v>#VALUE!</v>
      </c>
      <c r="IF189" t="e">
        <f>AND('Planilla_General_03-12-2012_9_3'!O3023,"AAAAAGX/7+8=")</f>
        <v>#VALUE!</v>
      </c>
      <c r="IG189">
        <f>IF('Planilla_General_03-12-2012_9_3'!3024:3024,"AAAAAGX/7/A=",0)</f>
        <v>0</v>
      </c>
      <c r="IH189" t="e">
        <f>AND('Planilla_General_03-12-2012_9_3'!A3024,"AAAAAGX/7/E=")</f>
        <v>#VALUE!</v>
      </c>
      <c r="II189" t="e">
        <f>AND('Planilla_General_03-12-2012_9_3'!B3024,"AAAAAGX/7/I=")</f>
        <v>#VALUE!</v>
      </c>
      <c r="IJ189" t="e">
        <f>AND('Planilla_General_03-12-2012_9_3'!C3024,"AAAAAGX/7/M=")</f>
        <v>#VALUE!</v>
      </c>
      <c r="IK189" t="e">
        <f>AND('Planilla_General_03-12-2012_9_3'!D3024,"AAAAAGX/7/Q=")</f>
        <v>#VALUE!</v>
      </c>
      <c r="IL189" t="e">
        <f>AND('Planilla_General_03-12-2012_9_3'!E3024,"AAAAAGX/7/U=")</f>
        <v>#VALUE!</v>
      </c>
      <c r="IM189" t="e">
        <f>AND('Planilla_General_03-12-2012_9_3'!F3024,"AAAAAGX/7/Y=")</f>
        <v>#VALUE!</v>
      </c>
      <c r="IN189" t="e">
        <f>AND('Planilla_General_03-12-2012_9_3'!G3024,"AAAAAGX/7/c=")</f>
        <v>#VALUE!</v>
      </c>
      <c r="IO189" t="e">
        <f>AND('Planilla_General_03-12-2012_9_3'!H3024,"AAAAAGX/7/g=")</f>
        <v>#VALUE!</v>
      </c>
      <c r="IP189" t="e">
        <f>AND('Planilla_General_03-12-2012_9_3'!I3024,"AAAAAGX/7/k=")</f>
        <v>#VALUE!</v>
      </c>
      <c r="IQ189" t="e">
        <f>AND('Planilla_General_03-12-2012_9_3'!J3024,"AAAAAGX/7/o=")</f>
        <v>#VALUE!</v>
      </c>
      <c r="IR189" t="e">
        <f>AND('Planilla_General_03-12-2012_9_3'!K3024,"AAAAAGX/7/s=")</f>
        <v>#VALUE!</v>
      </c>
      <c r="IS189" t="e">
        <f>AND('Planilla_General_03-12-2012_9_3'!L3024,"AAAAAGX/7/w=")</f>
        <v>#VALUE!</v>
      </c>
      <c r="IT189" t="e">
        <f>AND('Planilla_General_03-12-2012_9_3'!M3024,"AAAAAGX/7/0=")</f>
        <v>#VALUE!</v>
      </c>
      <c r="IU189" t="e">
        <f>AND('Planilla_General_03-12-2012_9_3'!N3024,"AAAAAGX/7/4=")</f>
        <v>#VALUE!</v>
      </c>
      <c r="IV189" t="e">
        <f>AND('Planilla_General_03-12-2012_9_3'!O3024,"AAAAAGX/7/8=")</f>
        <v>#VALUE!</v>
      </c>
    </row>
    <row r="190" spans="1:256" x14ac:dyDescent="0.25">
      <c r="A190" t="e">
        <f>IF('Planilla_General_03-12-2012_9_3'!3025:3025,"AAAAAH//XgA=",0)</f>
        <v>#VALUE!</v>
      </c>
      <c r="B190" t="e">
        <f>AND('Planilla_General_03-12-2012_9_3'!A3025,"AAAAAH//XgE=")</f>
        <v>#VALUE!</v>
      </c>
      <c r="C190" t="e">
        <f>AND('Planilla_General_03-12-2012_9_3'!B3025,"AAAAAH//XgI=")</f>
        <v>#VALUE!</v>
      </c>
      <c r="D190" t="e">
        <f>AND('Planilla_General_03-12-2012_9_3'!C3025,"AAAAAH//XgM=")</f>
        <v>#VALUE!</v>
      </c>
      <c r="E190" t="e">
        <f>AND('Planilla_General_03-12-2012_9_3'!D3025,"AAAAAH//XgQ=")</f>
        <v>#VALUE!</v>
      </c>
      <c r="F190" t="e">
        <f>AND('Planilla_General_03-12-2012_9_3'!E3025,"AAAAAH//XgU=")</f>
        <v>#VALUE!</v>
      </c>
      <c r="G190" t="e">
        <f>AND('Planilla_General_03-12-2012_9_3'!F3025,"AAAAAH//XgY=")</f>
        <v>#VALUE!</v>
      </c>
      <c r="H190" t="e">
        <f>AND('Planilla_General_03-12-2012_9_3'!G3025,"AAAAAH//Xgc=")</f>
        <v>#VALUE!</v>
      </c>
      <c r="I190" t="e">
        <f>AND('Planilla_General_03-12-2012_9_3'!H3025,"AAAAAH//Xgg=")</f>
        <v>#VALUE!</v>
      </c>
      <c r="J190" t="e">
        <f>AND('Planilla_General_03-12-2012_9_3'!I3025,"AAAAAH//Xgk=")</f>
        <v>#VALUE!</v>
      </c>
      <c r="K190" t="e">
        <f>AND('Planilla_General_03-12-2012_9_3'!J3025,"AAAAAH//Xgo=")</f>
        <v>#VALUE!</v>
      </c>
      <c r="L190" t="e">
        <f>AND('Planilla_General_03-12-2012_9_3'!K3025,"AAAAAH//Xgs=")</f>
        <v>#VALUE!</v>
      </c>
      <c r="M190" t="e">
        <f>AND('Planilla_General_03-12-2012_9_3'!L3025,"AAAAAH//Xgw=")</f>
        <v>#VALUE!</v>
      </c>
      <c r="N190" t="e">
        <f>AND('Planilla_General_03-12-2012_9_3'!M3025,"AAAAAH//Xg0=")</f>
        <v>#VALUE!</v>
      </c>
      <c r="O190" t="e">
        <f>AND('Planilla_General_03-12-2012_9_3'!N3025,"AAAAAH//Xg4=")</f>
        <v>#VALUE!</v>
      </c>
      <c r="P190" t="e">
        <f>AND('Planilla_General_03-12-2012_9_3'!O3025,"AAAAAH//Xg8=")</f>
        <v>#VALUE!</v>
      </c>
      <c r="Q190">
        <f>IF('Planilla_General_03-12-2012_9_3'!3026:3026,"AAAAAH//XhA=",0)</f>
        <v>0</v>
      </c>
      <c r="R190" t="e">
        <f>AND('Planilla_General_03-12-2012_9_3'!A3026,"AAAAAH//XhE=")</f>
        <v>#VALUE!</v>
      </c>
      <c r="S190" t="e">
        <f>AND('Planilla_General_03-12-2012_9_3'!B3026,"AAAAAH//XhI=")</f>
        <v>#VALUE!</v>
      </c>
      <c r="T190" t="e">
        <f>AND('Planilla_General_03-12-2012_9_3'!C3026,"AAAAAH//XhM=")</f>
        <v>#VALUE!</v>
      </c>
      <c r="U190" t="e">
        <f>AND('Planilla_General_03-12-2012_9_3'!D3026,"AAAAAH//XhQ=")</f>
        <v>#VALUE!</v>
      </c>
      <c r="V190" t="e">
        <f>AND('Planilla_General_03-12-2012_9_3'!E3026,"AAAAAH//XhU=")</f>
        <v>#VALUE!</v>
      </c>
      <c r="W190" t="e">
        <f>AND('Planilla_General_03-12-2012_9_3'!F3026,"AAAAAH//XhY=")</f>
        <v>#VALUE!</v>
      </c>
      <c r="X190" t="e">
        <f>AND('Planilla_General_03-12-2012_9_3'!G3026,"AAAAAH//Xhc=")</f>
        <v>#VALUE!</v>
      </c>
      <c r="Y190" t="e">
        <f>AND('Planilla_General_03-12-2012_9_3'!H3026,"AAAAAH//Xhg=")</f>
        <v>#VALUE!</v>
      </c>
      <c r="Z190" t="e">
        <f>AND('Planilla_General_03-12-2012_9_3'!I3026,"AAAAAH//Xhk=")</f>
        <v>#VALUE!</v>
      </c>
      <c r="AA190" t="e">
        <f>AND('Planilla_General_03-12-2012_9_3'!J3026,"AAAAAH//Xho=")</f>
        <v>#VALUE!</v>
      </c>
      <c r="AB190" t="e">
        <f>AND('Planilla_General_03-12-2012_9_3'!K3026,"AAAAAH//Xhs=")</f>
        <v>#VALUE!</v>
      </c>
      <c r="AC190" t="e">
        <f>AND('Planilla_General_03-12-2012_9_3'!L3026,"AAAAAH//Xhw=")</f>
        <v>#VALUE!</v>
      </c>
      <c r="AD190" t="e">
        <f>AND('Planilla_General_03-12-2012_9_3'!M3026,"AAAAAH//Xh0=")</f>
        <v>#VALUE!</v>
      </c>
      <c r="AE190" t="e">
        <f>AND('Planilla_General_03-12-2012_9_3'!N3026,"AAAAAH//Xh4=")</f>
        <v>#VALUE!</v>
      </c>
      <c r="AF190" t="e">
        <f>AND('Planilla_General_03-12-2012_9_3'!O3026,"AAAAAH//Xh8=")</f>
        <v>#VALUE!</v>
      </c>
      <c r="AG190">
        <f>IF('Planilla_General_03-12-2012_9_3'!3027:3027,"AAAAAH//XiA=",0)</f>
        <v>0</v>
      </c>
      <c r="AH190" t="e">
        <f>AND('Planilla_General_03-12-2012_9_3'!A3027,"AAAAAH//XiE=")</f>
        <v>#VALUE!</v>
      </c>
      <c r="AI190" t="e">
        <f>AND('Planilla_General_03-12-2012_9_3'!B3027,"AAAAAH//XiI=")</f>
        <v>#VALUE!</v>
      </c>
      <c r="AJ190" t="e">
        <f>AND('Planilla_General_03-12-2012_9_3'!C3027,"AAAAAH//XiM=")</f>
        <v>#VALUE!</v>
      </c>
      <c r="AK190" t="e">
        <f>AND('Planilla_General_03-12-2012_9_3'!D3027,"AAAAAH//XiQ=")</f>
        <v>#VALUE!</v>
      </c>
      <c r="AL190" t="e">
        <f>AND('Planilla_General_03-12-2012_9_3'!E3027,"AAAAAH//XiU=")</f>
        <v>#VALUE!</v>
      </c>
      <c r="AM190" t="e">
        <f>AND('Planilla_General_03-12-2012_9_3'!F3027,"AAAAAH//XiY=")</f>
        <v>#VALUE!</v>
      </c>
      <c r="AN190" t="e">
        <f>AND('Planilla_General_03-12-2012_9_3'!G3027,"AAAAAH//Xic=")</f>
        <v>#VALUE!</v>
      </c>
      <c r="AO190" t="e">
        <f>AND('Planilla_General_03-12-2012_9_3'!H3027,"AAAAAH//Xig=")</f>
        <v>#VALUE!</v>
      </c>
      <c r="AP190" t="e">
        <f>AND('Planilla_General_03-12-2012_9_3'!I3027,"AAAAAH//Xik=")</f>
        <v>#VALUE!</v>
      </c>
      <c r="AQ190" t="e">
        <f>AND('Planilla_General_03-12-2012_9_3'!J3027,"AAAAAH//Xio=")</f>
        <v>#VALUE!</v>
      </c>
      <c r="AR190" t="e">
        <f>AND('Planilla_General_03-12-2012_9_3'!K3027,"AAAAAH//Xis=")</f>
        <v>#VALUE!</v>
      </c>
      <c r="AS190" t="e">
        <f>AND('Planilla_General_03-12-2012_9_3'!L3027,"AAAAAH//Xiw=")</f>
        <v>#VALUE!</v>
      </c>
      <c r="AT190" t="e">
        <f>AND('Planilla_General_03-12-2012_9_3'!M3027,"AAAAAH//Xi0=")</f>
        <v>#VALUE!</v>
      </c>
      <c r="AU190" t="e">
        <f>AND('Planilla_General_03-12-2012_9_3'!N3027,"AAAAAH//Xi4=")</f>
        <v>#VALUE!</v>
      </c>
      <c r="AV190" t="e">
        <f>AND('Planilla_General_03-12-2012_9_3'!O3027,"AAAAAH//Xi8=")</f>
        <v>#VALUE!</v>
      </c>
      <c r="AW190">
        <f>IF('Planilla_General_03-12-2012_9_3'!3028:3028,"AAAAAH//XjA=",0)</f>
        <v>0</v>
      </c>
      <c r="AX190" t="e">
        <f>AND('Planilla_General_03-12-2012_9_3'!A3028,"AAAAAH//XjE=")</f>
        <v>#VALUE!</v>
      </c>
      <c r="AY190" t="e">
        <f>AND('Planilla_General_03-12-2012_9_3'!B3028,"AAAAAH//XjI=")</f>
        <v>#VALUE!</v>
      </c>
      <c r="AZ190" t="e">
        <f>AND('Planilla_General_03-12-2012_9_3'!C3028,"AAAAAH//XjM=")</f>
        <v>#VALUE!</v>
      </c>
      <c r="BA190" t="e">
        <f>AND('Planilla_General_03-12-2012_9_3'!D3028,"AAAAAH//XjQ=")</f>
        <v>#VALUE!</v>
      </c>
      <c r="BB190" t="e">
        <f>AND('Planilla_General_03-12-2012_9_3'!E3028,"AAAAAH//XjU=")</f>
        <v>#VALUE!</v>
      </c>
      <c r="BC190" t="e">
        <f>AND('Planilla_General_03-12-2012_9_3'!F3028,"AAAAAH//XjY=")</f>
        <v>#VALUE!</v>
      </c>
      <c r="BD190" t="e">
        <f>AND('Planilla_General_03-12-2012_9_3'!G3028,"AAAAAH//Xjc=")</f>
        <v>#VALUE!</v>
      </c>
      <c r="BE190" t="e">
        <f>AND('Planilla_General_03-12-2012_9_3'!H3028,"AAAAAH//Xjg=")</f>
        <v>#VALUE!</v>
      </c>
      <c r="BF190" t="e">
        <f>AND('Planilla_General_03-12-2012_9_3'!I3028,"AAAAAH//Xjk=")</f>
        <v>#VALUE!</v>
      </c>
      <c r="BG190" t="e">
        <f>AND('Planilla_General_03-12-2012_9_3'!J3028,"AAAAAH//Xjo=")</f>
        <v>#VALUE!</v>
      </c>
      <c r="BH190" t="e">
        <f>AND('Planilla_General_03-12-2012_9_3'!K3028,"AAAAAH//Xjs=")</f>
        <v>#VALUE!</v>
      </c>
      <c r="BI190" t="e">
        <f>AND('Planilla_General_03-12-2012_9_3'!L3028,"AAAAAH//Xjw=")</f>
        <v>#VALUE!</v>
      </c>
      <c r="BJ190" t="e">
        <f>AND('Planilla_General_03-12-2012_9_3'!M3028,"AAAAAH//Xj0=")</f>
        <v>#VALUE!</v>
      </c>
      <c r="BK190" t="e">
        <f>AND('Planilla_General_03-12-2012_9_3'!N3028,"AAAAAH//Xj4=")</f>
        <v>#VALUE!</v>
      </c>
      <c r="BL190" t="e">
        <f>AND('Planilla_General_03-12-2012_9_3'!O3028,"AAAAAH//Xj8=")</f>
        <v>#VALUE!</v>
      </c>
      <c r="BM190">
        <f>IF('Planilla_General_03-12-2012_9_3'!3029:3029,"AAAAAH//XkA=",0)</f>
        <v>0</v>
      </c>
      <c r="BN190" t="e">
        <f>AND('Planilla_General_03-12-2012_9_3'!A3029,"AAAAAH//XkE=")</f>
        <v>#VALUE!</v>
      </c>
      <c r="BO190" t="e">
        <f>AND('Planilla_General_03-12-2012_9_3'!B3029,"AAAAAH//XkI=")</f>
        <v>#VALUE!</v>
      </c>
      <c r="BP190" t="e">
        <f>AND('Planilla_General_03-12-2012_9_3'!C3029,"AAAAAH//XkM=")</f>
        <v>#VALUE!</v>
      </c>
      <c r="BQ190" t="e">
        <f>AND('Planilla_General_03-12-2012_9_3'!D3029,"AAAAAH//XkQ=")</f>
        <v>#VALUE!</v>
      </c>
      <c r="BR190" t="e">
        <f>AND('Planilla_General_03-12-2012_9_3'!E3029,"AAAAAH//XkU=")</f>
        <v>#VALUE!</v>
      </c>
      <c r="BS190" t="e">
        <f>AND('Planilla_General_03-12-2012_9_3'!F3029,"AAAAAH//XkY=")</f>
        <v>#VALUE!</v>
      </c>
      <c r="BT190" t="e">
        <f>AND('Planilla_General_03-12-2012_9_3'!G3029,"AAAAAH//Xkc=")</f>
        <v>#VALUE!</v>
      </c>
      <c r="BU190" t="e">
        <f>AND('Planilla_General_03-12-2012_9_3'!H3029,"AAAAAH//Xkg=")</f>
        <v>#VALUE!</v>
      </c>
      <c r="BV190" t="e">
        <f>AND('Planilla_General_03-12-2012_9_3'!I3029,"AAAAAH//Xkk=")</f>
        <v>#VALUE!</v>
      </c>
      <c r="BW190" t="e">
        <f>AND('Planilla_General_03-12-2012_9_3'!J3029,"AAAAAH//Xko=")</f>
        <v>#VALUE!</v>
      </c>
      <c r="BX190" t="e">
        <f>AND('Planilla_General_03-12-2012_9_3'!K3029,"AAAAAH//Xks=")</f>
        <v>#VALUE!</v>
      </c>
      <c r="BY190" t="e">
        <f>AND('Planilla_General_03-12-2012_9_3'!L3029,"AAAAAH//Xkw=")</f>
        <v>#VALUE!</v>
      </c>
      <c r="BZ190" t="e">
        <f>AND('Planilla_General_03-12-2012_9_3'!M3029,"AAAAAH//Xk0=")</f>
        <v>#VALUE!</v>
      </c>
      <c r="CA190" t="e">
        <f>AND('Planilla_General_03-12-2012_9_3'!N3029,"AAAAAH//Xk4=")</f>
        <v>#VALUE!</v>
      </c>
      <c r="CB190" t="e">
        <f>AND('Planilla_General_03-12-2012_9_3'!O3029,"AAAAAH//Xk8=")</f>
        <v>#VALUE!</v>
      </c>
      <c r="CC190">
        <f>IF('Planilla_General_03-12-2012_9_3'!3030:3030,"AAAAAH//XlA=",0)</f>
        <v>0</v>
      </c>
      <c r="CD190" t="e">
        <f>AND('Planilla_General_03-12-2012_9_3'!A3030,"AAAAAH//XlE=")</f>
        <v>#VALUE!</v>
      </c>
      <c r="CE190" t="e">
        <f>AND('Planilla_General_03-12-2012_9_3'!B3030,"AAAAAH//XlI=")</f>
        <v>#VALUE!</v>
      </c>
      <c r="CF190" t="e">
        <f>AND('Planilla_General_03-12-2012_9_3'!C3030,"AAAAAH//XlM=")</f>
        <v>#VALUE!</v>
      </c>
      <c r="CG190" t="e">
        <f>AND('Planilla_General_03-12-2012_9_3'!D3030,"AAAAAH//XlQ=")</f>
        <v>#VALUE!</v>
      </c>
      <c r="CH190" t="e">
        <f>AND('Planilla_General_03-12-2012_9_3'!E3030,"AAAAAH//XlU=")</f>
        <v>#VALUE!</v>
      </c>
      <c r="CI190" t="e">
        <f>AND('Planilla_General_03-12-2012_9_3'!F3030,"AAAAAH//XlY=")</f>
        <v>#VALUE!</v>
      </c>
      <c r="CJ190" t="e">
        <f>AND('Planilla_General_03-12-2012_9_3'!G3030,"AAAAAH//Xlc=")</f>
        <v>#VALUE!</v>
      </c>
      <c r="CK190" t="e">
        <f>AND('Planilla_General_03-12-2012_9_3'!H3030,"AAAAAH//Xlg=")</f>
        <v>#VALUE!</v>
      </c>
      <c r="CL190" t="e">
        <f>AND('Planilla_General_03-12-2012_9_3'!I3030,"AAAAAH//Xlk=")</f>
        <v>#VALUE!</v>
      </c>
      <c r="CM190" t="e">
        <f>AND('Planilla_General_03-12-2012_9_3'!J3030,"AAAAAH//Xlo=")</f>
        <v>#VALUE!</v>
      </c>
      <c r="CN190" t="e">
        <f>AND('Planilla_General_03-12-2012_9_3'!K3030,"AAAAAH//Xls=")</f>
        <v>#VALUE!</v>
      </c>
      <c r="CO190" t="e">
        <f>AND('Planilla_General_03-12-2012_9_3'!L3030,"AAAAAH//Xlw=")</f>
        <v>#VALUE!</v>
      </c>
      <c r="CP190" t="e">
        <f>AND('Planilla_General_03-12-2012_9_3'!M3030,"AAAAAH//Xl0=")</f>
        <v>#VALUE!</v>
      </c>
      <c r="CQ190" t="e">
        <f>AND('Planilla_General_03-12-2012_9_3'!N3030,"AAAAAH//Xl4=")</f>
        <v>#VALUE!</v>
      </c>
      <c r="CR190" t="e">
        <f>AND('Planilla_General_03-12-2012_9_3'!O3030,"AAAAAH//Xl8=")</f>
        <v>#VALUE!</v>
      </c>
      <c r="CS190">
        <f>IF('Planilla_General_03-12-2012_9_3'!3031:3031,"AAAAAH//XmA=",0)</f>
        <v>0</v>
      </c>
      <c r="CT190" t="e">
        <f>AND('Planilla_General_03-12-2012_9_3'!A3031,"AAAAAH//XmE=")</f>
        <v>#VALUE!</v>
      </c>
      <c r="CU190" t="e">
        <f>AND('Planilla_General_03-12-2012_9_3'!B3031,"AAAAAH//XmI=")</f>
        <v>#VALUE!</v>
      </c>
      <c r="CV190" t="e">
        <f>AND('Planilla_General_03-12-2012_9_3'!C3031,"AAAAAH//XmM=")</f>
        <v>#VALUE!</v>
      </c>
      <c r="CW190" t="e">
        <f>AND('Planilla_General_03-12-2012_9_3'!D3031,"AAAAAH//XmQ=")</f>
        <v>#VALUE!</v>
      </c>
      <c r="CX190" t="e">
        <f>AND('Planilla_General_03-12-2012_9_3'!E3031,"AAAAAH//XmU=")</f>
        <v>#VALUE!</v>
      </c>
      <c r="CY190" t="e">
        <f>AND('Planilla_General_03-12-2012_9_3'!F3031,"AAAAAH//XmY=")</f>
        <v>#VALUE!</v>
      </c>
      <c r="CZ190" t="e">
        <f>AND('Planilla_General_03-12-2012_9_3'!G3031,"AAAAAH//Xmc=")</f>
        <v>#VALUE!</v>
      </c>
      <c r="DA190" t="e">
        <f>AND('Planilla_General_03-12-2012_9_3'!H3031,"AAAAAH//Xmg=")</f>
        <v>#VALUE!</v>
      </c>
      <c r="DB190" t="e">
        <f>AND('Planilla_General_03-12-2012_9_3'!I3031,"AAAAAH//Xmk=")</f>
        <v>#VALUE!</v>
      </c>
      <c r="DC190" t="e">
        <f>AND('Planilla_General_03-12-2012_9_3'!J3031,"AAAAAH//Xmo=")</f>
        <v>#VALUE!</v>
      </c>
      <c r="DD190" t="e">
        <f>AND('Planilla_General_03-12-2012_9_3'!K3031,"AAAAAH//Xms=")</f>
        <v>#VALUE!</v>
      </c>
      <c r="DE190" t="e">
        <f>AND('Planilla_General_03-12-2012_9_3'!L3031,"AAAAAH//Xmw=")</f>
        <v>#VALUE!</v>
      </c>
      <c r="DF190" t="e">
        <f>AND('Planilla_General_03-12-2012_9_3'!M3031,"AAAAAH//Xm0=")</f>
        <v>#VALUE!</v>
      </c>
      <c r="DG190" t="e">
        <f>AND('Planilla_General_03-12-2012_9_3'!N3031,"AAAAAH//Xm4=")</f>
        <v>#VALUE!</v>
      </c>
      <c r="DH190" t="e">
        <f>AND('Planilla_General_03-12-2012_9_3'!O3031,"AAAAAH//Xm8=")</f>
        <v>#VALUE!</v>
      </c>
      <c r="DI190">
        <f>IF('Planilla_General_03-12-2012_9_3'!3032:3032,"AAAAAH//XnA=",0)</f>
        <v>0</v>
      </c>
      <c r="DJ190" t="e">
        <f>AND('Planilla_General_03-12-2012_9_3'!A3032,"AAAAAH//XnE=")</f>
        <v>#VALUE!</v>
      </c>
      <c r="DK190" t="e">
        <f>AND('Planilla_General_03-12-2012_9_3'!B3032,"AAAAAH//XnI=")</f>
        <v>#VALUE!</v>
      </c>
      <c r="DL190" t="e">
        <f>AND('Planilla_General_03-12-2012_9_3'!C3032,"AAAAAH//XnM=")</f>
        <v>#VALUE!</v>
      </c>
      <c r="DM190" t="e">
        <f>AND('Planilla_General_03-12-2012_9_3'!D3032,"AAAAAH//XnQ=")</f>
        <v>#VALUE!</v>
      </c>
      <c r="DN190" t="e">
        <f>AND('Planilla_General_03-12-2012_9_3'!E3032,"AAAAAH//XnU=")</f>
        <v>#VALUE!</v>
      </c>
      <c r="DO190" t="e">
        <f>AND('Planilla_General_03-12-2012_9_3'!F3032,"AAAAAH//XnY=")</f>
        <v>#VALUE!</v>
      </c>
      <c r="DP190" t="e">
        <f>AND('Planilla_General_03-12-2012_9_3'!G3032,"AAAAAH//Xnc=")</f>
        <v>#VALUE!</v>
      </c>
      <c r="DQ190" t="e">
        <f>AND('Planilla_General_03-12-2012_9_3'!H3032,"AAAAAH//Xng=")</f>
        <v>#VALUE!</v>
      </c>
      <c r="DR190" t="e">
        <f>AND('Planilla_General_03-12-2012_9_3'!I3032,"AAAAAH//Xnk=")</f>
        <v>#VALUE!</v>
      </c>
      <c r="DS190" t="e">
        <f>AND('Planilla_General_03-12-2012_9_3'!J3032,"AAAAAH//Xno=")</f>
        <v>#VALUE!</v>
      </c>
      <c r="DT190" t="e">
        <f>AND('Planilla_General_03-12-2012_9_3'!K3032,"AAAAAH//Xns=")</f>
        <v>#VALUE!</v>
      </c>
      <c r="DU190" t="e">
        <f>AND('Planilla_General_03-12-2012_9_3'!L3032,"AAAAAH//Xnw=")</f>
        <v>#VALUE!</v>
      </c>
      <c r="DV190" t="e">
        <f>AND('Planilla_General_03-12-2012_9_3'!M3032,"AAAAAH//Xn0=")</f>
        <v>#VALUE!</v>
      </c>
      <c r="DW190" t="e">
        <f>AND('Planilla_General_03-12-2012_9_3'!N3032,"AAAAAH//Xn4=")</f>
        <v>#VALUE!</v>
      </c>
      <c r="DX190" t="e">
        <f>AND('Planilla_General_03-12-2012_9_3'!O3032,"AAAAAH//Xn8=")</f>
        <v>#VALUE!</v>
      </c>
      <c r="DY190">
        <f>IF('Planilla_General_03-12-2012_9_3'!3033:3033,"AAAAAH//XoA=",0)</f>
        <v>0</v>
      </c>
      <c r="DZ190" t="e">
        <f>AND('Planilla_General_03-12-2012_9_3'!A3033,"AAAAAH//XoE=")</f>
        <v>#VALUE!</v>
      </c>
      <c r="EA190" t="e">
        <f>AND('Planilla_General_03-12-2012_9_3'!B3033,"AAAAAH//XoI=")</f>
        <v>#VALUE!</v>
      </c>
      <c r="EB190" t="e">
        <f>AND('Planilla_General_03-12-2012_9_3'!C3033,"AAAAAH//XoM=")</f>
        <v>#VALUE!</v>
      </c>
      <c r="EC190" t="e">
        <f>AND('Planilla_General_03-12-2012_9_3'!D3033,"AAAAAH//XoQ=")</f>
        <v>#VALUE!</v>
      </c>
      <c r="ED190" t="e">
        <f>AND('Planilla_General_03-12-2012_9_3'!E3033,"AAAAAH//XoU=")</f>
        <v>#VALUE!</v>
      </c>
      <c r="EE190" t="e">
        <f>AND('Planilla_General_03-12-2012_9_3'!F3033,"AAAAAH//XoY=")</f>
        <v>#VALUE!</v>
      </c>
      <c r="EF190" t="e">
        <f>AND('Planilla_General_03-12-2012_9_3'!G3033,"AAAAAH//Xoc=")</f>
        <v>#VALUE!</v>
      </c>
      <c r="EG190" t="e">
        <f>AND('Planilla_General_03-12-2012_9_3'!H3033,"AAAAAH//Xog=")</f>
        <v>#VALUE!</v>
      </c>
      <c r="EH190" t="e">
        <f>AND('Planilla_General_03-12-2012_9_3'!I3033,"AAAAAH//Xok=")</f>
        <v>#VALUE!</v>
      </c>
      <c r="EI190" t="e">
        <f>AND('Planilla_General_03-12-2012_9_3'!J3033,"AAAAAH//Xoo=")</f>
        <v>#VALUE!</v>
      </c>
      <c r="EJ190" t="e">
        <f>AND('Planilla_General_03-12-2012_9_3'!K3033,"AAAAAH//Xos=")</f>
        <v>#VALUE!</v>
      </c>
      <c r="EK190" t="e">
        <f>AND('Planilla_General_03-12-2012_9_3'!L3033,"AAAAAH//Xow=")</f>
        <v>#VALUE!</v>
      </c>
      <c r="EL190" t="e">
        <f>AND('Planilla_General_03-12-2012_9_3'!M3033,"AAAAAH//Xo0=")</f>
        <v>#VALUE!</v>
      </c>
      <c r="EM190" t="e">
        <f>AND('Planilla_General_03-12-2012_9_3'!N3033,"AAAAAH//Xo4=")</f>
        <v>#VALUE!</v>
      </c>
      <c r="EN190" t="e">
        <f>AND('Planilla_General_03-12-2012_9_3'!O3033,"AAAAAH//Xo8=")</f>
        <v>#VALUE!</v>
      </c>
      <c r="EO190">
        <f>IF('Planilla_General_03-12-2012_9_3'!3034:3034,"AAAAAH//XpA=",0)</f>
        <v>0</v>
      </c>
      <c r="EP190" t="e">
        <f>AND('Planilla_General_03-12-2012_9_3'!A3034,"AAAAAH//XpE=")</f>
        <v>#VALUE!</v>
      </c>
      <c r="EQ190" t="e">
        <f>AND('Planilla_General_03-12-2012_9_3'!B3034,"AAAAAH//XpI=")</f>
        <v>#VALUE!</v>
      </c>
      <c r="ER190" t="e">
        <f>AND('Planilla_General_03-12-2012_9_3'!C3034,"AAAAAH//XpM=")</f>
        <v>#VALUE!</v>
      </c>
      <c r="ES190" t="e">
        <f>AND('Planilla_General_03-12-2012_9_3'!D3034,"AAAAAH//XpQ=")</f>
        <v>#VALUE!</v>
      </c>
      <c r="ET190" t="e">
        <f>AND('Planilla_General_03-12-2012_9_3'!E3034,"AAAAAH//XpU=")</f>
        <v>#VALUE!</v>
      </c>
      <c r="EU190" t="e">
        <f>AND('Planilla_General_03-12-2012_9_3'!F3034,"AAAAAH//XpY=")</f>
        <v>#VALUE!</v>
      </c>
      <c r="EV190" t="e">
        <f>AND('Planilla_General_03-12-2012_9_3'!G3034,"AAAAAH//Xpc=")</f>
        <v>#VALUE!</v>
      </c>
      <c r="EW190" t="e">
        <f>AND('Planilla_General_03-12-2012_9_3'!H3034,"AAAAAH//Xpg=")</f>
        <v>#VALUE!</v>
      </c>
      <c r="EX190" t="e">
        <f>AND('Planilla_General_03-12-2012_9_3'!I3034,"AAAAAH//Xpk=")</f>
        <v>#VALUE!</v>
      </c>
      <c r="EY190" t="e">
        <f>AND('Planilla_General_03-12-2012_9_3'!J3034,"AAAAAH//Xpo=")</f>
        <v>#VALUE!</v>
      </c>
      <c r="EZ190" t="e">
        <f>AND('Planilla_General_03-12-2012_9_3'!K3034,"AAAAAH//Xps=")</f>
        <v>#VALUE!</v>
      </c>
      <c r="FA190" t="e">
        <f>AND('Planilla_General_03-12-2012_9_3'!L3034,"AAAAAH//Xpw=")</f>
        <v>#VALUE!</v>
      </c>
      <c r="FB190" t="e">
        <f>AND('Planilla_General_03-12-2012_9_3'!M3034,"AAAAAH//Xp0=")</f>
        <v>#VALUE!</v>
      </c>
      <c r="FC190" t="e">
        <f>AND('Planilla_General_03-12-2012_9_3'!N3034,"AAAAAH//Xp4=")</f>
        <v>#VALUE!</v>
      </c>
      <c r="FD190" t="e">
        <f>AND('Planilla_General_03-12-2012_9_3'!O3034,"AAAAAH//Xp8=")</f>
        <v>#VALUE!</v>
      </c>
      <c r="FE190">
        <f>IF('Planilla_General_03-12-2012_9_3'!3035:3035,"AAAAAH//XqA=",0)</f>
        <v>0</v>
      </c>
      <c r="FF190" t="e">
        <f>AND('Planilla_General_03-12-2012_9_3'!A3035,"AAAAAH//XqE=")</f>
        <v>#VALUE!</v>
      </c>
      <c r="FG190" t="e">
        <f>AND('Planilla_General_03-12-2012_9_3'!B3035,"AAAAAH//XqI=")</f>
        <v>#VALUE!</v>
      </c>
      <c r="FH190" t="e">
        <f>AND('Planilla_General_03-12-2012_9_3'!C3035,"AAAAAH//XqM=")</f>
        <v>#VALUE!</v>
      </c>
      <c r="FI190" t="e">
        <f>AND('Planilla_General_03-12-2012_9_3'!D3035,"AAAAAH//XqQ=")</f>
        <v>#VALUE!</v>
      </c>
      <c r="FJ190" t="e">
        <f>AND('Planilla_General_03-12-2012_9_3'!E3035,"AAAAAH//XqU=")</f>
        <v>#VALUE!</v>
      </c>
      <c r="FK190" t="e">
        <f>AND('Planilla_General_03-12-2012_9_3'!F3035,"AAAAAH//XqY=")</f>
        <v>#VALUE!</v>
      </c>
      <c r="FL190" t="e">
        <f>AND('Planilla_General_03-12-2012_9_3'!G3035,"AAAAAH//Xqc=")</f>
        <v>#VALUE!</v>
      </c>
      <c r="FM190" t="e">
        <f>AND('Planilla_General_03-12-2012_9_3'!H3035,"AAAAAH//Xqg=")</f>
        <v>#VALUE!</v>
      </c>
      <c r="FN190" t="e">
        <f>AND('Planilla_General_03-12-2012_9_3'!I3035,"AAAAAH//Xqk=")</f>
        <v>#VALUE!</v>
      </c>
      <c r="FO190" t="e">
        <f>AND('Planilla_General_03-12-2012_9_3'!J3035,"AAAAAH//Xqo=")</f>
        <v>#VALUE!</v>
      </c>
      <c r="FP190" t="e">
        <f>AND('Planilla_General_03-12-2012_9_3'!K3035,"AAAAAH//Xqs=")</f>
        <v>#VALUE!</v>
      </c>
      <c r="FQ190" t="e">
        <f>AND('Planilla_General_03-12-2012_9_3'!L3035,"AAAAAH//Xqw=")</f>
        <v>#VALUE!</v>
      </c>
      <c r="FR190" t="e">
        <f>AND('Planilla_General_03-12-2012_9_3'!M3035,"AAAAAH//Xq0=")</f>
        <v>#VALUE!</v>
      </c>
      <c r="FS190" t="e">
        <f>AND('Planilla_General_03-12-2012_9_3'!N3035,"AAAAAH//Xq4=")</f>
        <v>#VALUE!</v>
      </c>
      <c r="FT190" t="e">
        <f>AND('Planilla_General_03-12-2012_9_3'!O3035,"AAAAAH//Xq8=")</f>
        <v>#VALUE!</v>
      </c>
      <c r="FU190">
        <f>IF('Planilla_General_03-12-2012_9_3'!3036:3036,"AAAAAH//XrA=",0)</f>
        <v>0</v>
      </c>
      <c r="FV190" t="e">
        <f>AND('Planilla_General_03-12-2012_9_3'!A3036,"AAAAAH//XrE=")</f>
        <v>#VALUE!</v>
      </c>
      <c r="FW190" t="e">
        <f>AND('Planilla_General_03-12-2012_9_3'!B3036,"AAAAAH//XrI=")</f>
        <v>#VALUE!</v>
      </c>
      <c r="FX190" t="e">
        <f>AND('Planilla_General_03-12-2012_9_3'!C3036,"AAAAAH//XrM=")</f>
        <v>#VALUE!</v>
      </c>
      <c r="FY190" t="e">
        <f>AND('Planilla_General_03-12-2012_9_3'!D3036,"AAAAAH//XrQ=")</f>
        <v>#VALUE!</v>
      </c>
      <c r="FZ190" t="e">
        <f>AND('Planilla_General_03-12-2012_9_3'!E3036,"AAAAAH//XrU=")</f>
        <v>#VALUE!</v>
      </c>
      <c r="GA190" t="e">
        <f>AND('Planilla_General_03-12-2012_9_3'!F3036,"AAAAAH//XrY=")</f>
        <v>#VALUE!</v>
      </c>
      <c r="GB190" t="e">
        <f>AND('Planilla_General_03-12-2012_9_3'!G3036,"AAAAAH//Xrc=")</f>
        <v>#VALUE!</v>
      </c>
      <c r="GC190" t="e">
        <f>AND('Planilla_General_03-12-2012_9_3'!H3036,"AAAAAH//Xrg=")</f>
        <v>#VALUE!</v>
      </c>
      <c r="GD190" t="e">
        <f>AND('Planilla_General_03-12-2012_9_3'!I3036,"AAAAAH//Xrk=")</f>
        <v>#VALUE!</v>
      </c>
      <c r="GE190" t="e">
        <f>AND('Planilla_General_03-12-2012_9_3'!J3036,"AAAAAH//Xro=")</f>
        <v>#VALUE!</v>
      </c>
      <c r="GF190" t="e">
        <f>AND('Planilla_General_03-12-2012_9_3'!K3036,"AAAAAH//Xrs=")</f>
        <v>#VALUE!</v>
      </c>
      <c r="GG190" t="e">
        <f>AND('Planilla_General_03-12-2012_9_3'!L3036,"AAAAAH//Xrw=")</f>
        <v>#VALUE!</v>
      </c>
      <c r="GH190" t="e">
        <f>AND('Planilla_General_03-12-2012_9_3'!M3036,"AAAAAH//Xr0=")</f>
        <v>#VALUE!</v>
      </c>
      <c r="GI190" t="e">
        <f>AND('Planilla_General_03-12-2012_9_3'!N3036,"AAAAAH//Xr4=")</f>
        <v>#VALUE!</v>
      </c>
      <c r="GJ190" t="e">
        <f>AND('Planilla_General_03-12-2012_9_3'!O3036,"AAAAAH//Xr8=")</f>
        <v>#VALUE!</v>
      </c>
      <c r="GK190">
        <f>IF('Planilla_General_03-12-2012_9_3'!3037:3037,"AAAAAH//XsA=",0)</f>
        <v>0</v>
      </c>
      <c r="GL190" t="e">
        <f>AND('Planilla_General_03-12-2012_9_3'!A3037,"AAAAAH//XsE=")</f>
        <v>#VALUE!</v>
      </c>
      <c r="GM190" t="e">
        <f>AND('Planilla_General_03-12-2012_9_3'!B3037,"AAAAAH//XsI=")</f>
        <v>#VALUE!</v>
      </c>
      <c r="GN190" t="e">
        <f>AND('Planilla_General_03-12-2012_9_3'!C3037,"AAAAAH//XsM=")</f>
        <v>#VALUE!</v>
      </c>
      <c r="GO190" t="e">
        <f>AND('Planilla_General_03-12-2012_9_3'!D3037,"AAAAAH//XsQ=")</f>
        <v>#VALUE!</v>
      </c>
      <c r="GP190" t="e">
        <f>AND('Planilla_General_03-12-2012_9_3'!E3037,"AAAAAH//XsU=")</f>
        <v>#VALUE!</v>
      </c>
      <c r="GQ190" t="e">
        <f>AND('Planilla_General_03-12-2012_9_3'!F3037,"AAAAAH//XsY=")</f>
        <v>#VALUE!</v>
      </c>
      <c r="GR190" t="e">
        <f>AND('Planilla_General_03-12-2012_9_3'!G3037,"AAAAAH//Xsc=")</f>
        <v>#VALUE!</v>
      </c>
      <c r="GS190" t="e">
        <f>AND('Planilla_General_03-12-2012_9_3'!H3037,"AAAAAH//Xsg=")</f>
        <v>#VALUE!</v>
      </c>
      <c r="GT190" t="e">
        <f>AND('Planilla_General_03-12-2012_9_3'!I3037,"AAAAAH//Xsk=")</f>
        <v>#VALUE!</v>
      </c>
      <c r="GU190" t="e">
        <f>AND('Planilla_General_03-12-2012_9_3'!J3037,"AAAAAH//Xso=")</f>
        <v>#VALUE!</v>
      </c>
      <c r="GV190" t="e">
        <f>AND('Planilla_General_03-12-2012_9_3'!K3037,"AAAAAH//Xss=")</f>
        <v>#VALUE!</v>
      </c>
      <c r="GW190" t="e">
        <f>AND('Planilla_General_03-12-2012_9_3'!L3037,"AAAAAH//Xsw=")</f>
        <v>#VALUE!</v>
      </c>
      <c r="GX190" t="e">
        <f>AND('Planilla_General_03-12-2012_9_3'!M3037,"AAAAAH//Xs0=")</f>
        <v>#VALUE!</v>
      </c>
      <c r="GY190" t="e">
        <f>AND('Planilla_General_03-12-2012_9_3'!N3037,"AAAAAH//Xs4=")</f>
        <v>#VALUE!</v>
      </c>
      <c r="GZ190" t="e">
        <f>AND('Planilla_General_03-12-2012_9_3'!O3037,"AAAAAH//Xs8=")</f>
        <v>#VALUE!</v>
      </c>
      <c r="HA190">
        <f>IF('Planilla_General_03-12-2012_9_3'!3038:3038,"AAAAAH//XtA=",0)</f>
        <v>0</v>
      </c>
      <c r="HB190" t="e">
        <f>AND('Planilla_General_03-12-2012_9_3'!A3038,"AAAAAH//XtE=")</f>
        <v>#VALUE!</v>
      </c>
      <c r="HC190" t="e">
        <f>AND('Planilla_General_03-12-2012_9_3'!B3038,"AAAAAH//XtI=")</f>
        <v>#VALUE!</v>
      </c>
      <c r="HD190" t="e">
        <f>AND('Planilla_General_03-12-2012_9_3'!C3038,"AAAAAH//XtM=")</f>
        <v>#VALUE!</v>
      </c>
      <c r="HE190" t="e">
        <f>AND('Planilla_General_03-12-2012_9_3'!D3038,"AAAAAH//XtQ=")</f>
        <v>#VALUE!</v>
      </c>
      <c r="HF190" t="e">
        <f>AND('Planilla_General_03-12-2012_9_3'!E3038,"AAAAAH//XtU=")</f>
        <v>#VALUE!</v>
      </c>
      <c r="HG190" t="e">
        <f>AND('Planilla_General_03-12-2012_9_3'!F3038,"AAAAAH//XtY=")</f>
        <v>#VALUE!</v>
      </c>
      <c r="HH190" t="e">
        <f>AND('Planilla_General_03-12-2012_9_3'!G3038,"AAAAAH//Xtc=")</f>
        <v>#VALUE!</v>
      </c>
      <c r="HI190" t="e">
        <f>AND('Planilla_General_03-12-2012_9_3'!H3038,"AAAAAH//Xtg=")</f>
        <v>#VALUE!</v>
      </c>
      <c r="HJ190" t="e">
        <f>AND('Planilla_General_03-12-2012_9_3'!I3038,"AAAAAH//Xtk=")</f>
        <v>#VALUE!</v>
      </c>
      <c r="HK190" t="e">
        <f>AND('Planilla_General_03-12-2012_9_3'!J3038,"AAAAAH//Xto=")</f>
        <v>#VALUE!</v>
      </c>
      <c r="HL190" t="e">
        <f>AND('Planilla_General_03-12-2012_9_3'!K3038,"AAAAAH//Xts=")</f>
        <v>#VALUE!</v>
      </c>
      <c r="HM190" t="e">
        <f>AND('Planilla_General_03-12-2012_9_3'!L3038,"AAAAAH//Xtw=")</f>
        <v>#VALUE!</v>
      </c>
      <c r="HN190" t="e">
        <f>AND('Planilla_General_03-12-2012_9_3'!M3038,"AAAAAH//Xt0=")</f>
        <v>#VALUE!</v>
      </c>
      <c r="HO190" t="e">
        <f>AND('Planilla_General_03-12-2012_9_3'!N3038,"AAAAAH//Xt4=")</f>
        <v>#VALUE!</v>
      </c>
      <c r="HP190" t="e">
        <f>AND('Planilla_General_03-12-2012_9_3'!O3038,"AAAAAH//Xt8=")</f>
        <v>#VALUE!</v>
      </c>
      <c r="HQ190">
        <f>IF('Planilla_General_03-12-2012_9_3'!3039:3039,"AAAAAH//XuA=",0)</f>
        <v>0</v>
      </c>
      <c r="HR190" t="e">
        <f>AND('Planilla_General_03-12-2012_9_3'!A3039,"AAAAAH//XuE=")</f>
        <v>#VALUE!</v>
      </c>
      <c r="HS190" t="e">
        <f>AND('Planilla_General_03-12-2012_9_3'!B3039,"AAAAAH//XuI=")</f>
        <v>#VALUE!</v>
      </c>
      <c r="HT190" t="e">
        <f>AND('Planilla_General_03-12-2012_9_3'!C3039,"AAAAAH//XuM=")</f>
        <v>#VALUE!</v>
      </c>
      <c r="HU190" t="e">
        <f>AND('Planilla_General_03-12-2012_9_3'!D3039,"AAAAAH//XuQ=")</f>
        <v>#VALUE!</v>
      </c>
      <c r="HV190" t="e">
        <f>AND('Planilla_General_03-12-2012_9_3'!E3039,"AAAAAH//XuU=")</f>
        <v>#VALUE!</v>
      </c>
      <c r="HW190" t="e">
        <f>AND('Planilla_General_03-12-2012_9_3'!F3039,"AAAAAH//XuY=")</f>
        <v>#VALUE!</v>
      </c>
      <c r="HX190" t="e">
        <f>AND('Planilla_General_03-12-2012_9_3'!G3039,"AAAAAH//Xuc=")</f>
        <v>#VALUE!</v>
      </c>
      <c r="HY190" t="e">
        <f>AND('Planilla_General_03-12-2012_9_3'!H3039,"AAAAAH//Xug=")</f>
        <v>#VALUE!</v>
      </c>
      <c r="HZ190" t="e">
        <f>AND('Planilla_General_03-12-2012_9_3'!I3039,"AAAAAH//Xuk=")</f>
        <v>#VALUE!</v>
      </c>
      <c r="IA190" t="e">
        <f>AND('Planilla_General_03-12-2012_9_3'!J3039,"AAAAAH//Xuo=")</f>
        <v>#VALUE!</v>
      </c>
      <c r="IB190" t="e">
        <f>AND('Planilla_General_03-12-2012_9_3'!K3039,"AAAAAH//Xus=")</f>
        <v>#VALUE!</v>
      </c>
      <c r="IC190" t="e">
        <f>AND('Planilla_General_03-12-2012_9_3'!L3039,"AAAAAH//Xuw=")</f>
        <v>#VALUE!</v>
      </c>
      <c r="ID190" t="e">
        <f>AND('Planilla_General_03-12-2012_9_3'!M3039,"AAAAAH//Xu0=")</f>
        <v>#VALUE!</v>
      </c>
      <c r="IE190" t="e">
        <f>AND('Planilla_General_03-12-2012_9_3'!N3039,"AAAAAH//Xu4=")</f>
        <v>#VALUE!</v>
      </c>
      <c r="IF190" t="e">
        <f>AND('Planilla_General_03-12-2012_9_3'!O3039,"AAAAAH//Xu8=")</f>
        <v>#VALUE!</v>
      </c>
      <c r="IG190">
        <f>IF('Planilla_General_03-12-2012_9_3'!3040:3040,"AAAAAH//XvA=",0)</f>
        <v>0</v>
      </c>
      <c r="IH190" t="e">
        <f>AND('Planilla_General_03-12-2012_9_3'!A3040,"AAAAAH//XvE=")</f>
        <v>#VALUE!</v>
      </c>
      <c r="II190" t="e">
        <f>AND('Planilla_General_03-12-2012_9_3'!B3040,"AAAAAH//XvI=")</f>
        <v>#VALUE!</v>
      </c>
      <c r="IJ190" t="e">
        <f>AND('Planilla_General_03-12-2012_9_3'!C3040,"AAAAAH//XvM=")</f>
        <v>#VALUE!</v>
      </c>
      <c r="IK190" t="e">
        <f>AND('Planilla_General_03-12-2012_9_3'!D3040,"AAAAAH//XvQ=")</f>
        <v>#VALUE!</v>
      </c>
      <c r="IL190" t="e">
        <f>AND('Planilla_General_03-12-2012_9_3'!E3040,"AAAAAH//XvU=")</f>
        <v>#VALUE!</v>
      </c>
      <c r="IM190" t="e">
        <f>AND('Planilla_General_03-12-2012_9_3'!F3040,"AAAAAH//XvY=")</f>
        <v>#VALUE!</v>
      </c>
      <c r="IN190" t="e">
        <f>AND('Planilla_General_03-12-2012_9_3'!G3040,"AAAAAH//Xvc=")</f>
        <v>#VALUE!</v>
      </c>
      <c r="IO190" t="e">
        <f>AND('Planilla_General_03-12-2012_9_3'!H3040,"AAAAAH//Xvg=")</f>
        <v>#VALUE!</v>
      </c>
      <c r="IP190" t="e">
        <f>AND('Planilla_General_03-12-2012_9_3'!I3040,"AAAAAH//Xvk=")</f>
        <v>#VALUE!</v>
      </c>
      <c r="IQ190" t="e">
        <f>AND('Planilla_General_03-12-2012_9_3'!J3040,"AAAAAH//Xvo=")</f>
        <v>#VALUE!</v>
      </c>
      <c r="IR190" t="e">
        <f>AND('Planilla_General_03-12-2012_9_3'!K3040,"AAAAAH//Xvs=")</f>
        <v>#VALUE!</v>
      </c>
      <c r="IS190" t="e">
        <f>AND('Planilla_General_03-12-2012_9_3'!L3040,"AAAAAH//Xvw=")</f>
        <v>#VALUE!</v>
      </c>
      <c r="IT190" t="e">
        <f>AND('Planilla_General_03-12-2012_9_3'!M3040,"AAAAAH//Xv0=")</f>
        <v>#VALUE!</v>
      </c>
      <c r="IU190" t="e">
        <f>AND('Planilla_General_03-12-2012_9_3'!N3040,"AAAAAH//Xv4=")</f>
        <v>#VALUE!</v>
      </c>
      <c r="IV190" t="e">
        <f>AND('Planilla_General_03-12-2012_9_3'!O3040,"AAAAAH//Xv8=")</f>
        <v>#VALUE!</v>
      </c>
    </row>
    <row r="191" spans="1:256" x14ac:dyDescent="0.25">
      <c r="A191" t="e">
        <f>IF('Planilla_General_03-12-2012_9_3'!3041:3041,"AAAAAHfq5wA=",0)</f>
        <v>#VALUE!</v>
      </c>
      <c r="B191" t="e">
        <f>AND('Planilla_General_03-12-2012_9_3'!A3041,"AAAAAHfq5wE=")</f>
        <v>#VALUE!</v>
      </c>
      <c r="C191" t="e">
        <f>AND('Planilla_General_03-12-2012_9_3'!B3041,"AAAAAHfq5wI=")</f>
        <v>#VALUE!</v>
      </c>
      <c r="D191" t="e">
        <f>AND('Planilla_General_03-12-2012_9_3'!C3041,"AAAAAHfq5wM=")</f>
        <v>#VALUE!</v>
      </c>
      <c r="E191" t="e">
        <f>AND('Planilla_General_03-12-2012_9_3'!D3041,"AAAAAHfq5wQ=")</f>
        <v>#VALUE!</v>
      </c>
      <c r="F191" t="e">
        <f>AND('Planilla_General_03-12-2012_9_3'!E3041,"AAAAAHfq5wU=")</f>
        <v>#VALUE!</v>
      </c>
      <c r="G191" t="e">
        <f>AND('Planilla_General_03-12-2012_9_3'!F3041,"AAAAAHfq5wY=")</f>
        <v>#VALUE!</v>
      </c>
      <c r="H191" t="e">
        <f>AND('Planilla_General_03-12-2012_9_3'!G3041,"AAAAAHfq5wc=")</f>
        <v>#VALUE!</v>
      </c>
      <c r="I191" t="e">
        <f>AND('Planilla_General_03-12-2012_9_3'!H3041,"AAAAAHfq5wg=")</f>
        <v>#VALUE!</v>
      </c>
      <c r="J191" t="e">
        <f>AND('Planilla_General_03-12-2012_9_3'!I3041,"AAAAAHfq5wk=")</f>
        <v>#VALUE!</v>
      </c>
      <c r="K191" t="e">
        <f>AND('Planilla_General_03-12-2012_9_3'!J3041,"AAAAAHfq5wo=")</f>
        <v>#VALUE!</v>
      </c>
      <c r="L191" t="e">
        <f>AND('Planilla_General_03-12-2012_9_3'!K3041,"AAAAAHfq5ws=")</f>
        <v>#VALUE!</v>
      </c>
      <c r="M191" t="e">
        <f>AND('Planilla_General_03-12-2012_9_3'!L3041,"AAAAAHfq5ww=")</f>
        <v>#VALUE!</v>
      </c>
      <c r="N191" t="e">
        <f>AND('Planilla_General_03-12-2012_9_3'!M3041,"AAAAAHfq5w0=")</f>
        <v>#VALUE!</v>
      </c>
      <c r="O191" t="e">
        <f>AND('Planilla_General_03-12-2012_9_3'!N3041,"AAAAAHfq5w4=")</f>
        <v>#VALUE!</v>
      </c>
      <c r="P191" t="e">
        <f>AND('Planilla_General_03-12-2012_9_3'!O3041,"AAAAAHfq5w8=")</f>
        <v>#VALUE!</v>
      </c>
      <c r="Q191">
        <f>IF('Planilla_General_03-12-2012_9_3'!3042:3042,"AAAAAHfq5xA=",0)</f>
        <v>0</v>
      </c>
      <c r="R191" t="e">
        <f>AND('Planilla_General_03-12-2012_9_3'!A3042,"AAAAAHfq5xE=")</f>
        <v>#VALUE!</v>
      </c>
      <c r="S191" t="e">
        <f>AND('Planilla_General_03-12-2012_9_3'!B3042,"AAAAAHfq5xI=")</f>
        <v>#VALUE!</v>
      </c>
      <c r="T191" t="e">
        <f>AND('Planilla_General_03-12-2012_9_3'!C3042,"AAAAAHfq5xM=")</f>
        <v>#VALUE!</v>
      </c>
      <c r="U191" t="e">
        <f>AND('Planilla_General_03-12-2012_9_3'!D3042,"AAAAAHfq5xQ=")</f>
        <v>#VALUE!</v>
      </c>
      <c r="V191" t="e">
        <f>AND('Planilla_General_03-12-2012_9_3'!E3042,"AAAAAHfq5xU=")</f>
        <v>#VALUE!</v>
      </c>
      <c r="W191" t="e">
        <f>AND('Planilla_General_03-12-2012_9_3'!F3042,"AAAAAHfq5xY=")</f>
        <v>#VALUE!</v>
      </c>
      <c r="X191" t="e">
        <f>AND('Planilla_General_03-12-2012_9_3'!G3042,"AAAAAHfq5xc=")</f>
        <v>#VALUE!</v>
      </c>
      <c r="Y191" t="e">
        <f>AND('Planilla_General_03-12-2012_9_3'!H3042,"AAAAAHfq5xg=")</f>
        <v>#VALUE!</v>
      </c>
      <c r="Z191" t="e">
        <f>AND('Planilla_General_03-12-2012_9_3'!I3042,"AAAAAHfq5xk=")</f>
        <v>#VALUE!</v>
      </c>
      <c r="AA191" t="e">
        <f>AND('Planilla_General_03-12-2012_9_3'!J3042,"AAAAAHfq5xo=")</f>
        <v>#VALUE!</v>
      </c>
      <c r="AB191" t="e">
        <f>AND('Planilla_General_03-12-2012_9_3'!K3042,"AAAAAHfq5xs=")</f>
        <v>#VALUE!</v>
      </c>
      <c r="AC191" t="e">
        <f>AND('Planilla_General_03-12-2012_9_3'!L3042,"AAAAAHfq5xw=")</f>
        <v>#VALUE!</v>
      </c>
      <c r="AD191" t="e">
        <f>AND('Planilla_General_03-12-2012_9_3'!M3042,"AAAAAHfq5x0=")</f>
        <v>#VALUE!</v>
      </c>
      <c r="AE191" t="e">
        <f>AND('Planilla_General_03-12-2012_9_3'!N3042,"AAAAAHfq5x4=")</f>
        <v>#VALUE!</v>
      </c>
      <c r="AF191" t="e">
        <f>AND('Planilla_General_03-12-2012_9_3'!O3042,"AAAAAHfq5x8=")</f>
        <v>#VALUE!</v>
      </c>
      <c r="AG191">
        <f>IF('Planilla_General_03-12-2012_9_3'!3043:3043,"AAAAAHfq5yA=",0)</f>
        <v>0</v>
      </c>
      <c r="AH191" t="e">
        <f>AND('Planilla_General_03-12-2012_9_3'!A3043,"AAAAAHfq5yE=")</f>
        <v>#VALUE!</v>
      </c>
      <c r="AI191" t="e">
        <f>AND('Planilla_General_03-12-2012_9_3'!B3043,"AAAAAHfq5yI=")</f>
        <v>#VALUE!</v>
      </c>
      <c r="AJ191" t="e">
        <f>AND('Planilla_General_03-12-2012_9_3'!C3043,"AAAAAHfq5yM=")</f>
        <v>#VALUE!</v>
      </c>
      <c r="AK191" t="e">
        <f>AND('Planilla_General_03-12-2012_9_3'!D3043,"AAAAAHfq5yQ=")</f>
        <v>#VALUE!</v>
      </c>
      <c r="AL191" t="e">
        <f>AND('Planilla_General_03-12-2012_9_3'!E3043,"AAAAAHfq5yU=")</f>
        <v>#VALUE!</v>
      </c>
      <c r="AM191" t="e">
        <f>AND('Planilla_General_03-12-2012_9_3'!F3043,"AAAAAHfq5yY=")</f>
        <v>#VALUE!</v>
      </c>
      <c r="AN191" t="e">
        <f>AND('Planilla_General_03-12-2012_9_3'!G3043,"AAAAAHfq5yc=")</f>
        <v>#VALUE!</v>
      </c>
      <c r="AO191" t="e">
        <f>AND('Planilla_General_03-12-2012_9_3'!H3043,"AAAAAHfq5yg=")</f>
        <v>#VALUE!</v>
      </c>
      <c r="AP191" t="e">
        <f>AND('Planilla_General_03-12-2012_9_3'!I3043,"AAAAAHfq5yk=")</f>
        <v>#VALUE!</v>
      </c>
      <c r="AQ191" t="e">
        <f>AND('Planilla_General_03-12-2012_9_3'!J3043,"AAAAAHfq5yo=")</f>
        <v>#VALUE!</v>
      </c>
      <c r="AR191" t="e">
        <f>AND('Planilla_General_03-12-2012_9_3'!K3043,"AAAAAHfq5ys=")</f>
        <v>#VALUE!</v>
      </c>
      <c r="AS191" t="e">
        <f>AND('Planilla_General_03-12-2012_9_3'!L3043,"AAAAAHfq5yw=")</f>
        <v>#VALUE!</v>
      </c>
      <c r="AT191" t="e">
        <f>AND('Planilla_General_03-12-2012_9_3'!M3043,"AAAAAHfq5y0=")</f>
        <v>#VALUE!</v>
      </c>
      <c r="AU191" t="e">
        <f>AND('Planilla_General_03-12-2012_9_3'!N3043,"AAAAAHfq5y4=")</f>
        <v>#VALUE!</v>
      </c>
      <c r="AV191" t="e">
        <f>AND('Planilla_General_03-12-2012_9_3'!O3043,"AAAAAHfq5y8=")</f>
        <v>#VALUE!</v>
      </c>
      <c r="AW191">
        <f>IF('Planilla_General_03-12-2012_9_3'!3044:3044,"AAAAAHfq5zA=",0)</f>
        <v>0</v>
      </c>
      <c r="AX191" t="e">
        <f>AND('Planilla_General_03-12-2012_9_3'!A3044,"AAAAAHfq5zE=")</f>
        <v>#VALUE!</v>
      </c>
      <c r="AY191" t="e">
        <f>AND('Planilla_General_03-12-2012_9_3'!B3044,"AAAAAHfq5zI=")</f>
        <v>#VALUE!</v>
      </c>
      <c r="AZ191" t="e">
        <f>AND('Planilla_General_03-12-2012_9_3'!C3044,"AAAAAHfq5zM=")</f>
        <v>#VALUE!</v>
      </c>
      <c r="BA191" t="e">
        <f>AND('Planilla_General_03-12-2012_9_3'!D3044,"AAAAAHfq5zQ=")</f>
        <v>#VALUE!</v>
      </c>
      <c r="BB191" t="e">
        <f>AND('Planilla_General_03-12-2012_9_3'!E3044,"AAAAAHfq5zU=")</f>
        <v>#VALUE!</v>
      </c>
      <c r="BC191" t="e">
        <f>AND('Planilla_General_03-12-2012_9_3'!F3044,"AAAAAHfq5zY=")</f>
        <v>#VALUE!</v>
      </c>
      <c r="BD191" t="e">
        <f>AND('Planilla_General_03-12-2012_9_3'!G3044,"AAAAAHfq5zc=")</f>
        <v>#VALUE!</v>
      </c>
      <c r="BE191" t="e">
        <f>AND('Planilla_General_03-12-2012_9_3'!H3044,"AAAAAHfq5zg=")</f>
        <v>#VALUE!</v>
      </c>
      <c r="BF191" t="e">
        <f>AND('Planilla_General_03-12-2012_9_3'!I3044,"AAAAAHfq5zk=")</f>
        <v>#VALUE!</v>
      </c>
      <c r="BG191" t="e">
        <f>AND('Planilla_General_03-12-2012_9_3'!J3044,"AAAAAHfq5zo=")</f>
        <v>#VALUE!</v>
      </c>
      <c r="BH191" t="e">
        <f>AND('Planilla_General_03-12-2012_9_3'!K3044,"AAAAAHfq5zs=")</f>
        <v>#VALUE!</v>
      </c>
      <c r="BI191" t="e">
        <f>AND('Planilla_General_03-12-2012_9_3'!L3044,"AAAAAHfq5zw=")</f>
        <v>#VALUE!</v>
      </c>
      <c r="BJ191" t="e">
        <f>AND('Planilla_General_03-12-2012_9_3'!M3044,"AAAAAHfq5z0=")</f>
        <v>#VALUE!</v>
      </c>
      <c r="BK191" t="e">
        <f>AND('Planilla_General_03-12-2012_9_3'!N3044,"AAAAAHfq5z4=")</f>
        <v>#VALUE!</v>
      </c>
      <c r="BL191" t="e">
        <f>AND('Planilla_General_03-12-2012_9_3'!O3044,"AAAAAHfq5z8=")</f>
        <v>#VALUE!</v>
      </c>
      <c r="BM191">
        <f>IF('Planilla_General_03-12-2012_9_3'!3045:3045,"AAAAAHfq50A=",0)</f>
        <v>0</v>
      </c>
      <c r="BN191" t="e">
        <f>AND('Planilla_General_03-12-2012_9_3'!A3045,"AAAAAHfq50E=")</f>
        <v>#VALUE!</v>
      </c>
      <c r="BO191" t="e">
        <f>AND('Planilla_General_03-12-2012_9_3'!B3045,"AAAAAHfq50I=")</f>
        <v>#VALUE!</v>
      </c>
      <c r="BP191" t="e">
        <f>AND('Planilla_General_03-12-2012_9_3'!C3045,"AAAAAHfq50M=")</f>
        <v>#VALUE!</v>
      </c>
      <c r="BQ191" t="e">
        <f>AND('Planilla_General_03-12-2012_9_3'!D3045,"AAAAAHfq50Q=")</f>
        <v>#VALUE!</v>
      </c>
      <c r="BR191" t="e">
        <f>AND('Planilla_General_03-12-2012_9_3'!E3045,"AAAAAHfq50U=")</f>
        <v>#VALUE!</v>
      </c>
      <c r="BS191" t="e">
        <f>AND('Planilla_General_03-12-2012_9_3'!F3045,"AAAAAHfq50Y=")</f>
        <v>#VALUE!</v>
      </c>
      <c r="BT191" t="e">
        <f>AND('Planilla_General_03-12-2012_9_3'!G3045,"AAAAAHfq50c=")</f>
        <v>#VALUE!</v>
      </c>
      <c r="BU191" t="e">
        <f>AND('Planilla_General_03-12-2012_9_3'!H3045,"AAAAAHfq50g=")</f>
        <v>#VALUE!</v>
      </c>
      <c r="BV191" t="e">
        <f>AND('Planilla_General_03-12-2012_9_3'!I3045,"AAAAAHfq50k=")</f>
        <v>#VALUE!</v>
      </c>
      <c r="BW191" t="e">
        <f>AND('Planilla_General_03-12-2012_9_3'!J3045,"AAAAAHfq50o=")</f>
        <v>#VALUE!</v>
      </c>
      <c r="BX191" t="e">
        <f>AND('Planilla_General_03-12-2012_9_3'!K3045,"AAAAAHfq50s=")</f>
        <v>#VALUE!</v>
      </c>
      <c r="BY191" t="e">
        <f>AND('Planilla_General_03-12-2012_9_3'!L3045,"AAAAAHfq50w=")</f>
        <v>#VALUE!</v>
      </c>
      <c r="BZ191" t="e">
        <f>AND('Planilla_General_03-12-2012_9_3'!M3045,"AAAAAHfq500=")</f>
        <v>#VALUE!</v>
      </c>
      <c r="CA191" t="e">
        <f>AND('Planilla_General_03-12-2012_9_3'!N3045,"AAAAAHfq504=")</f>
        <v>#VALUE!</v>
      </c>
      <c r="CB191" t="e">
        <f>AND('Planilla_General_03-12-2012_9_3'!O3045,"AAAAAHfq508=")</f>
        <v>#VALUE!</v>
      </c>
      <c r="CC191">
        <f>IF('Planilla_General_03-12-2012_9_3'!3046:3046,"AAAAAHfq51A=",0)</f>
        <v>0</v>
      </c>
      <c r="CD191" t="e">
        <f>AND('Planilla_General_03-12-2012_9_3'!A3046,"AAAAAHfq51E=")</f>
        <v>#VALUE!</v>
      </c>
      <c r="CE191" t="e">
        <f>AND('Planilla_General_03-12-2012_9_3'!B3046,"AAAAAHfq51I=")</f>
        <v>#VALUE!</v>
      </c>
      <c r="CF191" t="e">
        <f>AND('Planilla_General_03-12-2012_9_3'!C3046,"AAAAAHfq51M=")</f>
        <v>#VALUE!</v>
      </c>
      <c r="CG191" t="e">
        <f>AND('Planilla_General_03-12-2012_9_3'!D3046,"AAAAAHfq51Q=")</f>
        <v>#VALUE!</v>
      </c>
      <c r="CH191" t="e">
        <f>AND('Planilla_General_03-12-2012_9_3'!E3046,"AAAAAHfq51U=")</f>
        <v>#VALUE!</v>
      </c>
      <c r="CI191" t="e">
        <f>AND('Planilla_General_03-12-2012_9_3'!F3046,"AAAAAHfq51Y=")</f>
        <v>#VALUE!</v>
      </c>
      <c r="CJ191" t="e">
        <f>AND('Planilla_General_03-12-2012_9_3'!G3046,"AAAAAHfq51c=")</f>
        <v>#VALUE!</v>
      </c>
      <c r="CK191" t="e">
        <f>AND('Planilla_General_03-12-2012_9_3'!H3046,"AAAAAHfq51g=")</f>
        <v>#VALUE!</v>
      </c>
      <c r="CL191" t="e">
        <f>AND('Planilla_General_03-12-2012_9_3'!I3046,"AAAAAHfq51k=")</f>
        <v>#VALUE!</v>
      </c>
      <c r="CM191" t="e">
        <f>AND('Planilla_General_03-12-2012_9_3'!J3046,"AAAAAHfq51o=")</f>
        <v>#VALUE!</v>
      </c>
      <c r="CN191" t="e">
        <f>AND('Planilla_General_03-12-2012_9_3'!K3046,"AAAAAHfq51s=")</f>
        <v>#VALUE!</v>
      </c>
      <c r="CO191" t="e">
        <f>AND('Planilla_General_03-12-2012_9_3'!L3046,"AAAAAHfq51w=")</f>
        <v>#VALUE!</v>
      </c>
      <c r="CP191" t="e">
        <f>AND('Planilla_General_03-12-2012_9_3'!M3046,"AAAAAHfq510=")</f>
        <v>#VALUE!</v>
      </c>
      <c r="CQ191" t="e">
        <f>AND('Planilla_General_03-12-2012_9_3'!N3046,"AAAAAHfq514=")</f>
        <v>#VALUE!</v>
      </c>
      <c r="CR191" t="e">
        <f>AND('Planilla_General_03-12-2012_9_3'!O3046,"AAAAAHfq518=")</f>
        <v>#VALUE!</v>
      </c>
      <c r="CS191">
        <f>IF('Planilla_General_03-12-2012_9_3'!3047:3047,"AAAAAHfq52A=",0)</f>
        <v>0</v>
      </c>
      <c r="CT191" t="e">
        <f>AND('Planilla_General_03-12-2012_9_3'!A3047,"AAAAAHfq52E=")</f>
        <v>#VALUE!</v>
      </c>
      <c r="CU191" t="e">
        <f>AND('Planilla_General_03-12-2012_9_3'!B3047,"AAAAAHfq52I=")</f>
        <v>#VALUE!</v>
      </c>
      <c r="CV191" t="e">
        <f>AND('Planilla_General_03-12-2012_9_3'!C3047,"AAAAAHfq52M=")</f>
        <v>#VALUE!</v>
      </c>
      <c r="CW191" t="e">
        <f>AND('Planilla_General_03-12-2012_9_3'!D3047,"AAAAAHfq52Q=")</f>
        <v>#VALUE!</v>
      </c>
      <c r="CX191" t="e">
        <f>AND('Planilla_General_03-12-2012_9_3'!E3047,"AAAAAHfq52U=")</f>
        <v>#VALUE!</v>
      </c>
      <c r="CY191" t="e">
        <f>AND('Planilla_General_03-12-2012_9_3'!F3047,"AAAAAHfq52Y=")</f>
        <v>#VALUE!</v>
      </c>
      <c r="CZ191" t="e">
        <f>AND('Planilla_General_03-12-2012_9_3'!G3047,"AAAAAHfq52c=")</f>
        <v>#VALUE!</v>
      </c>
      <c r="DA191" t="e">
        <f>AND('Planilla_General_03-12-2012_9_3'!H3047,"AAAAAHfq52g=")</f>
        <v>#VALUE!</v>
      </c>
      <c r="DB191" t="e">
        <f>AND('Planilla_General_03-12-2012_9_3'!I3047,"AAAAAHfq52k=")</f>
        <v>#VALUE!</v>
      </c>
      <c r="DC191" t="e">
        <f>AND('Planilla_General_03-12-2012_9_3'!J3047,"AAAAAHfq52o=")</f>
        <v>#VALUE!</v>
      </c>
      <c r="DD191" t="e">
        <f>AND('Planilla_General_03-12-2012_9_3'!K3047,"AAAAAHfq52s=")</f>
        <v>#VALUE!</v>
      </c>
      <c r="DE191" t="e">
        <f>AND('Planilla_General_03-12-2012_9_3'!L3047,"AAAAAHfq52w=")</f>
        <v>#VALUE!</v>
      </c>
      <c r="DF191" t="e">
        <f>AND('Planilla_General_03-12-2012_9_3'!M3047,"AAAAAHfq520=")</f>
        <v>#VALUE!</v>
      </c>
      <c r="DG191" t="e">
        <f>AND('Planilla_General_03-12-2012_9_3'!N3047,"AAAAAHfq524=")</f>
        <v>#VALUE!</v>
      </c>
      <c r="DH191" t="e">
        <f>AND('Planilla_General_03-12-2012_9_3'!O3047,"AAAAAHfq528=")</f>
        <v>#VALUE!</v>
      </c>
      <c r="DI191">
        <f>IF('Planilla_General_03-12-2012_9_3'!3048:3048,"AAAAAHfq53A=",0)</f>
        <v>0</v>
      </c>
      <c r="DJ191" t="e">
        <f>AND('Planilla_General_03-12-2012_9_3'!A3048,"AAAAAHfq53E=")</f>
        <v>#VALUE!</v>
      </c>
      <c r="DK191" t="e">
        <f>AND('Planilla_General_03-12-2012_9_3'!B3048,"AAAAAHfq53I=")</f>
        <v>#VALUE!</v>
      </c>
      <c r="DL191" t="e">
        <f>AND('Planilla_General_03-12-2012_9_3'!C3048,"AAAAAHfq53M=")</f>
        <v>#VALUE!</v>
      </c>
      <c r="DM191" t="e">
        <f>AND('Planilla_General_03-12-2012_9_3'!D3048,"AAAAAHfq53Q=")</f>
        <v>#VALUE!</v>
      </c>
      <c r="DN191" t="e">
        <f>AND('Planilla_General_03-12-2012_9_3'!E3048,"AAAAAHfq53U=")</f>
        <v>#VALUE!</v>
      </c>
      <c r="DO191" t="e">
        <f>AND('Planilla_General_03-12-2012_9_3'!F3048,"AAAAAHfq53Y=")</f>
        <v>#VALUE!</v>
      </c>
      <c r="DP191" t="e">
        <f>AND('Planilla_General_03-12-2012_9_3'!G3048,"AAAAAHfq53c=")</f>
        <v>#VALUE!</v>
      </c>
      <c r="DQ191" t="e">
        <f>AND('Planilla_General_03-12-2012_9_3'!H3048,"AAAAAHfq53g=")</f>
        <v>#VALUE!</v>
      </c>
      <c r="DR191" t="e">
        <f>AND('Planilla_General_03-12-2012_9_3'!I3048,"AAAAAHfq53k=")</f>
        <v>#VALUE!</v>
      </c>
      <c r="DS191" t="e">
        <f>AND('Planilla_General_03-12-2012_9_3'!J3048,"AAAAAHfq53o=")</f>
        <v>#VALUE!</v>
      </c>
      <c r="DT191" t="e">
        <f>AND('Planilla_General_03-12-2012_9_3'!K3048,"AAAAAHfq53s=")</f>
        <v>#VALUE!</v>
      </c>
      <c r="DU191" t="e">
        <f>AND('Planilla_General_03-12-2012_9_3'!L3048,"AAAAAHfq53w=")</f>
        <v>#VALUE!</v>
      </c>
      <c r="DV191" t="e">
        <f>AND('Planilla_General_03-12-2012_9_3'!M3048,"AAAAAHfq530=")</f>
        <v>#VALUE!</v>
      </c>
      <c r="DW191" t="e">
        <f>AND('Planilla_General_03-12-2012_9_3'!N3048,"AAAAAHfq534=")</f>
        <v>#VALUE!</v>
      </c>
      <c r="DX191" t="e">
        <f>AND('Planilla_General_03-12-2012_9_3'!O3048,"AAAAAHfq538=")</f>
        <v>#VALUE!</v>
      </c>
      <c r="DY191">
        <f>IF('Planilla_General_03-12-2012_9_3'!3049:3049,"AAAAAHfq54A=",0)</f>
        <v>0</v>
      </c>
      <c r="DZ191" t="e">
        <f>AND('Planilla_General_03-12-2012_9_3'!A3049,"AAAAAHfq54E=")</f>
        <v>#VALUE!</v>
      </c>
      <c r="EA191" t="e">
        <f>AND('Planilla_General_03-12-2012_9_3'!B3049,"AAAAAHfq54I=")</f>
        <v>#VALUE!</v>
      </c>
      <c r="EB191" t="e">
        <f>AND('Planilla_General_03-12-2012_9_3'!C3049,"AAAAAHfq54M=")</f>
        <v>#VALUE!</v>
      </c>
      <c r="EC191" t="e">
        <f>AND('Planilla_General_03-12-2012_9_3'!D3049,"AAAAAHfq54Q=")</f>
        <v>#VALUE!</v>
      </c>
      <c r="ED191" t="e">
        <f>AND('Planilla_General_03-12-2012_9_3'!E3049,"AAAAAHfq54U=")</f>
        <v>#VALUE!</v>
      </c>
      <c r="EE191" t="e">
        <f>AND('Planilla_General_03-12-2012_9_3'!F3049,"AAAAAHfq54Y=")</f>
        <v>#VALUE!</v>
      </c>
      <c r="EF191" t="e">
        <f>AND('Planilla_General_03-12-2012_9_3'!G3049,"AAAAAHfq54c=")</f>
        <v>#VALUE!</v>
      </c>
      <c r="EG191" t="e">
        <f>AND('Planilla_General_03-12-2012_9_3'!H3049,"AAAAAHfq54g=")</f>
        <v>#VALUE!</v>
      </c>
      <c r="EH191" t="e">
        <f>AND('Planilla_General_03-12-2012_9_3'!I3049,"AAAAAHfq54k=")</f>
        <v>#VALUE!</v>
      </c>
      <c r="EI191" t="e">
        <f>AND('Planilla_General_03-12-2012_9_3'!J3049,"AAAAAHfq54o=")</f>
        <v>#VALUE!</v>
      </c>
      <c r="EJ191" t="e">
        <f>AND('Planilla_General_03-12-2012_9_3'!K3049,"AAAAAHfq54s=")</f>
        <v>#VALUE!</v>
      </c>
      <c r="EK191" t="e">
        <f>AND('Planilla_General_03-12-2012_9_3'!L3049,"AAAAAHfq54w=")</f>
        <v>#VALUE!</v>
      </c>
      <c r="EL191" t="e">
        <f>AND('Planilla_General_03-12-2012_9_3'!M3049,"AAAAAHfq540=")</f>
        <v>#VALUE!</v>
      </c>
      <c r="EM191" t="e">
        <f>AND('Planilla_General_03-12-2012_9_3'!N3049,"AAAAAHfq544=")</f>
        <v>#VALUE!</v>
      </c>
      <c r="EN191" t="e">
        <f>AND('Planilla_General_03-12-2012_9_3'!O3049,"AAAAAHfq548=")</f>
        <v>#VALUE!</v>
      </c>
      <c r="EO191">
        <f>IF('Planilla_General_03-12-2012_9_3'!3050:3050,"AAAAAHfq55A=",0)</f>
        <v>0</v>
      </c>
      <c r="EP191" t="e">
        <f>AND('Planilla_General_03-12-2012_9_3'!A3050,"AAAAAHfq55E=")</f>
        <v>#VALUE!</v>
      </c>
      <c r="EQ191" t="e">
        <f>AND('Planilla_General_03-12-2012_9_3'!B3050,"AAAAAHfq55I=")</f>
        <v>#VALUE!</v>
      </c>
      <c r="ER191" t="e">
        <f>AND('Planilla_General_03-12-2012_9_3'!C3050,"AAAAAHfq55M=")</f>
        <v>#VALUE!</v>
      </c>
      <c r="ES191" t="e">
        <f>AND('Planilla_General_03-12-2012_9_3'!D3050,"AAAAAHfq55Q=")</f>
        <v>#VALUE!</v>
      </c>
      <c r="ET191" t="e">
        <f>AND('Planilla_General_03-12-2012_9_3'!E3050,"AAAAAHfq55U=")</f>
        <v>#VALUE!</v>
      </c>
      <c r="EU191" t="e">
        <f>AND('Planilla_General_03-12-2012_9_3'!F3050,"AAAAAHfq55Y=")</f>
        <v>#VALUE!</v>
      </c>
      <c r="EV191" t="e">
        <f>AND('Planilla_General_03-12-2012_9_3'!G3050,"AAAAAHfq55c=")</f>
        <v>#VALUE!</v>
      </c>
      <c r="EW191" t="e">
        <f>AND('Planilla_General_03-12-2012_9_3'!H3050,"AAAAAHfq55g=")</f>
        <v>#VALUE!</v>
      </c>
      <c r="EX191" t="e">
        <f>AND('Planilla_General_03-12-2012_9_3'!I3050,"AAAAAHfq55k=")</f>
        <v>#VALUE!</v>
      </c>
      <c r="EY191" t="e">
        <f>AND('Planilla_General_03-12-2012_9_3'!J3050,"AAAAAHfq55o=")</f>
        <v>#VALUE!</v>
      </c>
      <c r="EZ191" t="e">
        <f>AND('Planilla_General_03-12-2012_9_3'!K3050,"AAAAAHfq55s=")</f>
        <v>#VALUE!</v>
      </c>
      <c r="FA191" t="e">
        <f>AND('Planilla_General_03-12-2012_9_3'!L3050,"AAAAAHfq55w=")</f>
        <v>#VALUE!</v>
      </c>
      <c r="FB191" t="e">
        <f>AND('Planilla_General_03-12-2012_9_3'!M3050,"AAAAAHfq550=")</f>
        <v>#VALUE!</v>
      </c>
      <c r="FC191" t="e">
        <f>AND('Planilla_General_03-12-2012_9_3'!N3050,"AAAAAHfq554=")</f>
        <v>#VALUE!</v>
      </c>
      <c r="FD191" t="e">
        <f>AND('Planilla_General_03-12-2012_9_3'!O3050,"AAAAAHfq558=")</f>
        <v>#VALUE!</v>
      </c>
      <c r="FE191">
        <f>IF('Planilla_General_03-12-2012_9_3'!3051:3051,"AAAAAHfq56A=",0)</f>
        <v>0</v>
      </c>
      <c r="FF191" t="e">
        <f>AND('Planilla_General_03-12-2012_9_3'!A3051,"AAAAAHfq56E=")</f>
        <v>#VALUE!</v>
      </c>
      <c r="FG191" t="e">
        <f>AND('Planilla_General_03-12-2012_9_3'!B3051,"AAAAAHfq56I=")</f>
        <v>#VALUE!</v>
      </c>
      <c r="FH191" t="e">
        <f>AND('Planilla_General_03-12-2012_9_3'!C3051,"AAAAAHfq56M=")</f>
        <v>#VALUE!</v>
      </c>
      <c r="FI191" t="e">
        <f>AND('Planilla_General_03-12-2012_9_3'!D3051,"AAAAAHfq56Q=")</f>
        <v>#VALUE!</v>
      </c>
      <c r="FJ191" t="e">
        <f>AND('Planilla_General_03-12-2012_9_3'!E3051,"AAAAAHfq56U=")</f>
        <v>#VALUE!</v>
      </c>
      <c r="FK191" t="e">
        <f>AND('Planilla_General_03-12-2012_9_3'!F3051,"AAAAAHfq56Y=")</f>
        <v>#VALUE!</v>
      </c>
      <c r="FL191" t="e">
        <f>AND('Planilla_General_03-12-2012_9_3'!G3051,"AAAAAHfq56c=")</f>
        <v>#VALUE!</v>
      </c>
      <c r="FM191" t="e">
        <f>AND('Planilla_General_03-12-2012_9_3'!H3051,"AAAAAHfq56g=")</f>
        <v>#VALUE!</v>
      </c>
      <c r="FN191" t="e">
        <f>AND('Planilla_General_03-12-2012_9_3'!I3051,"AAAAAHfq56k=")</f>
        <v>#VALUE!</v>
      </c>
      <c r="FO191" t="e">
        <f>AND('Planilla_General_03-12-2012_9_3'!J3051,"AAAAAHfq56o=")</f>
        <v>#VALUE!</v>
      </c>
      <c r="FP191" t="e">
        <f>AND('Planilla_General_03-12-2012_9_3'!K3051,"AAAAAHfq56s=")</f>
        <v>#VALUE!</v>
      </c>
      <c r="FQ191" t="e">
        <f>AND('Planilla_General_03-12-2012_9_3'!L3051,"AAAAAHfq56w=")</f>
        <v>#VALUE!</v>
      </c>
      <c r="FR191" t="e">
        <f>AND('Planilla_General_03-12-2012_9_3'!M3051,"AAAAAHfq560=")</f>
        <v>#VALUE!</v>
      </c>
      <c r="FS191" t="e">
        <f>AND('Planilla_General_03-12-2012_9_3'!N3051,"AAAAAHfq564=")</f>
        <v>#VALUE!</v>
      </c>
      <c r="FT191" t="e">
        <f>AND('Planilla_General_03-12-2012_9_3'!O3051,"AAAAAHfq568=")</f>
        <v>#VALUE!</v>
      </c>
      <c r="FU191">
        <f>IF('Planilla_General_03-12-2012_9_3'!3052:3052,"AAAAAHfq57A=",0)</f>
        <v>0</v>
      </c>
      <c r="FV191" t="e">
        <f>AND('Planilla_General_03-12-2012_9_3'!A3052,"AAAAAHfq57E=")</f>
        <v>#VALUE!</v>
      </c>
      <c r="FW191" t="e">
        <f>AND('Planilla_General_03-12-2012_9_3'!B3052,"AAAAAHfq57I=")</f>
        <v>#VALUE!</v>
      </c>
      <c r="FX191" t="e">
        <f>AND('Planilla_General_03-12-2012_9_3'!C3052,"AAAAAHfq57M=")</f>
        <v>#VALUE!</v>
      </c>
      <c r="FY191" t="e">
        <f>AND('Planilla_General_03-12-2012_9_3'!D3052,"AAAAAHfq57Q=")</f>
        <v>#VALUE!</v>
      </c>
      <c r="FZ191" t="e">
        <f>AND('Planilla_General_03-12-2012_9_3'!E3052,"AAAAAHfq57U=")</f>
        <v>#VALUE!</v>
      </c>
      <c r="GA191" t="e">
        <f>AND('Planilla_General_03-12-2012_9_3'!F3052,"AAAAAHfq57Y=")</f>
        <v>#VALUE!</v>
      </c>
      <c r="GB191" t="e">
        <f>AND('Planilla_General_03-12-2012_9_3'!G3052,"AAAAAHfq57c=")</f>
        <v>#VALUE!</v>
      </c>
      <c r="GC191" t="e">
        <f>AND('Planilla_General_03-12-2012_9_3'!H3052,"AAAAAHfq57g=")</f>
        <v>#VALUE!</v>
      </c>
      <c r="GD191" t="e">
        <f>AND('Planilla_General_03-12-2012_9_3'!I3052,"AAAAAHfq57k=")</f>
        <v>#VALUE!</v>
      </c>
      <c r="GE191" t="e">
        <f>AND('Planilla_General_03-12-2012_9_3'!J3052,"AAAAAHfq57o=")</f>
        <v>#VALUE!</v>
      </c>
      <c r="GF191" t="e">
        <f>AND('Planilla_General_03-12-2012_9_3'!K3052,"AAAAAHfq57s=")</f>
        <v>#VALUE!</v>
      </c>
      <c r="GG191" t="e">
        <f>AND('Planilla_General_03-12-2012_9_3'!L3052,"AAAAAHfq57w=")</f>
        <v>#VALUE!</v>
      </c>
      <c r="GH191" t="e">
        <f>AND('Planilla_General_03-12-2012_9_3'!M3052,"AAAAAHfq570=")</f>
        <v>#VALUE!</v>
      </c>
      <c r="GI191" t="e">
        <f>AND('Planilla_General_03-12-2012_9_3'!N3052,"AAAAAHfq574=")</f>
        <v>#VALUE!</v>
      </c>
      <c r="GJ191" t="e">
        <f>AND('Planilla_General_03-12-2012_9_3'!O3052,"AAAAAHfq578=")</f>
        <v>#VALUE!</v>
      </c>
      <c r="GK191">
        <f>IF('Planilla_General_03-12-2012_9_3'!3053:3053,"AAAAAHfq58A=",0)</f>
        <v>0</v>
      </c>
      <c r="GL191" t="e">
        <f>AND('Planilla_General_03-12-2012_9_3'!A3053,"AAAAAHfq58E=")</f>
        <v>#VALUE!</v>
      </c>
      <c r="GM191" t="e">
        <f>AND('Planilla_General_03-12-2012_9_3'!B3053,"AAAAAHfq58I=")</f>
        <v>#VALUE!</v>
      </c>
      <c r="GN191" t="e">
        <f>AND('Planilla_General_03-12-2012_9_3'!C3053,"AAAAAHfq58M=")</f>
        <v>#VALUE!</v>
      </c>
      <c r="GO191" t="e">
        <f>AND('Planilla_General_03-12-2012_9_3'!D3053,"AAAAAHfq58Q=")</f>
        <v>#VALUE!</v>
      </c>
      <c r="GP191" t="e">
        <f>AND('Planilla_General_03-12-2012_9_3'!E3053,"AAAAAHfq58U=")</f>
        <v>#VALUE!</v>
      </c>
      <c r="GQ191" t="e">
        <f>AND('Planilla_General_03-12-2012_9_3'!F3053,"AAAAAHfq58Y=")</f>
        <v>#VALUE!</v>
      </c>
      <c r="GR191" t="e">
        <f>AND('Planilla_General_03-12-2012_9_3'!G3053,"AAAAAHfq58c=")</f>
        <v>#VALUE!</v>
      </c>
      <c r="GS191" t="e">
        <f>AND('Planilla_General_03-12-2012_9_3'!H3053,"AAAAAHfq58g=")</f>
        <v>#VALUE!</v>
      </c>
      <c r="GT191" t="e">
        <f>AND('Planilla_General_03-12-2012_9_3'!I3053,"AAAAAHfq58k=")</f>
        <v>#VALUE!</v>
      </c>
      <c r="GU191" t="e">
        <f>AND('Planilla_General_03-12-2012_9_3'!J3053,"AAAAAHfq58o=")</f>
        <v>#VALUE!</v>
      </c>
      <c r="GV191" t="e">
        <f>AND('Planilla_General_03-12-2012_9_3'!K3053,"AAAAAHfq58s=")</f>
        <v>#VALUE!</v>
      </c>
      <c r="GW191" t="e">
        <f>AND('Planilla_General_03-12-2012_9_3'!L3053,"AAAAAHfq58w=")</f>
        <v>#VALUE!</v>
      </c>
      <c r="GX191" t="e">
        <f>AND('Planilla_General_03-12-2012_9_3'!M3053,"AAAAAHfq580=")</f>
        <v>#VALUE!</v>
      </c>
      <c r="GY191" t="e">
        <f>AND('Planilla_General_03-12-2012_9_3'!N3053,"AAAAAHfq584=")</f>
        <v>#VALUE!</v>
      </c>
      <c r="GZ191" t="e">
        <f>AND('Planilla_General_03-12-2012_9_3'!O3053,"AAAAAHfq588=")</f>
        <v>#VALUE!</v>
      </c>
      <c r="HA191">
        <f>IF('Planilla_General_03-12-2012_9_3'!3054:3054,"AAAAAHfq59A=",0)</f>
        <v>0</v>
      </c>
      <c r="HB191" t="e">
        <f>AND('Planilla_General_03-12-2012_9_3'!A3054,"AAAAAHfq59E=")</f>
        <v>#VALUE!</v>
      </c>
      <c r="HC191" t="e">
        <f>AND('Planilla_General_03-12-2012_9_3'!B3054,"AAAAAHfq59I=")</f>
        <v>#VALUE!</v>
      </c>
      <c r="HD191" t="e">
        <f>AND('Planilla_General_03-12-2012_9_3'!C3054,"AAAAAHfq59M=")</f>
        <v>#VALUE!</v>
      </c>
      <c r="HE191" t="e">
        <f>AND('Planilla_General_03-12-2012_9_3'!D3054,"AAAAAHfq59Q=")</f>
        <v>#VALUE!</v>
      </c>
      <c r="HF191" t="e">
        <f>AND('Planilla_General_03-12-2012_9_3'!E3054,"AAAAAHfq59U=")</f>
        <v>#VALUE!</v>
      </c>
      <c r="HG191" t="e">
        <f>AND('Planilla_General_03-12-2012_9_3'!F3054,"AAAAAHfq59Y=")</f>
        <v>#VALUE!</v>
      </c>
      <c r="HH191" t="e">
        <f>AND('Planilla_General_03-12-2012_9_3'!G3054,"AAAAAHfq59c=")</f>
        <v>#VALUE!</v>
      </c>
      <c r="HI191" t="e">
        <f>AND('Planilla_General_03-12-2012_9_3'!H3054,"AAAAAHfq59g=")</f>
        <v>#VALUE!</v>
      </c>
      <c r="HJ191" t="e">
        <f>AND('Planilla_General_03-12-2012_9_3'!I3054,"AAAAAHfq59k=")</f>
        <v>#VALUE!</v>
      </c>
      <c r="HK191" t="e">
        <f>AND('Planilla_General_03-12-2012_9_3'!J3054,"AAAAAHfq59o=")</f>
        <v>#VALUE!</v>
      </c>
      <c r="HL191" t="e">
        <f>AND('Planilla_General_03-12-2012_9_3'!K3054,"AAAAAHfq59s=")</f>
        <v>#VALUE!</v>
      </c>
      <c r="HM191" t="e">
        <f>AND('Planilla_General_03-12-2012_9_3'!L3054,"AAAAAHfq59w=")</f>
        <v>#VALUE!</v>
      </c>
      <c r="HN191" t="e">
        <f>AND('Planilla_General_03-12-2012_9_3'!M3054,"AAAAAHfq590=")</f>
        <v>#VALUE!</v>
      </c>
      <c r="HO191" t="e">
        <f>AND('Planilla_General_03-12-2012_9_3'!N3054,"AAAAAHfq594=")</f>
        <v>#VALUE!</v>
      </c>
      <c r="HP191" t="e">
        <f>AND('Planilla_General_03-12-2012_9_3'!O3054,"AAAAAHfq598=")</f>
        <v>#VALUE!</v>
      </c>
      <c r="HQ191">
        <f>IF('Planilla_General_03-12-2012_9_3'!3055:3055,"AAAAAHfq5+A=",0)</f>
        <v>0</v>
      </c>
      <c r="HR191" t="e">
        <f>AND('Planilla_General_03-12-2012_9_3'!A3055,"AAAAAHfq5+E=")</f>
        <v>#VALUE!</v>
      </c>
      <c r="HS191" t="e">
        <f>AND('Planilla_General_03-12-2012_9_3'!B3055,"AAAAAHfq5+I=")</f>
        <v>#VALUE!</v>
      </c>
      <c r="HT191" t="e">
        <f>AND('Planilla_General_03-12-2012_9_3'!C3055,"AAAAAHfq5+M=")</f>
        <v>#VALUE!</v>
      </c>
      <c r="HU191" t="e">
        <f>AND('Planilla_General_03-12-2012_9_3'!D3055,"AAAAAHfq5+Q=")</f>
        <v>#VALUE!</v>
      </c>
      <c r="HV191" t="e">
        <f>AND('Planilla_General_03-12-2012_9_3'!E3055,"AAAAAHfq5+U=")</f>
        <v>#VALUE!</v>
      </c>
      <c r="HW191" t="e">
        <f>AND('Planilla_General_03-12-2012_9_3'!F3055,"AAAAAHfq5+Y=")</f>
        <v>#VALUE!</v>
      </c>
      <c r="HX191" t="e">
        <f>AND('Planilla_General_03-12-2012_9_3'!G3055,"AAAAAHfq5+c=")</f>
        <v>#VALUE!</v>
      </c>
      <c r="HY191" t="e">
        <f>AND('Planilla_General_03-12-2012_9_3'!H3055,"AAAAAHfq5+g=")</f>
        <v>#VALUE!</v>
      </c>
      <c r="HZ191" t="e">
        <f>AND('Planilla_General_03-12-2012_9_3'!I3055,"AAAAAHfq5+k=")</f>
        <v>#VALUE!</v>
      </c>
      <c r="IA191" t="e">
        <f>AND('Planilla_General_03-12-2012_9_3'!J3055,"AAAAAHfq5+o=")</f>
        <v>#VALUE!</v>
      </c>
      <c r="IB191" t="e">
        <f>AND('Planilla_General_03-12-2012_9_3'!K3055,"AAAAAHfq5+s=")</f>
        <v>#VALUE!</v>
      </c>
      <c r="IC191" t="e">
        <f>AND('Planilla_General_03-12-2012_9_3'!L3055,"AAAAAHfq5+w=")</f>
        <v>#VALUE!</v>
      </c>
      <c r="ID191" t="e">
        <f>AND('Planilla_General_03-12-2012_9_3'!M3055,"AAAAAHfq5+0=")</f>
        <v>#VALUE!</v>
      </c>
      <c r="IE191" t="e">
        <f>AND('Planilla_General_03-12-2012_9_3'!N3055,"AAAAAHfq5+4=")</f>
        <v>#VALUE!</v>
      </c>
      <c r="IF191" t="e">
        <f>AND('Planilla_General_03-12-2012_9_3'!O3055,"AAAAAHfq5+8=")</f>
        <v>#VALUE!</v>
      </c>
      <c r="IG191">
        <f>IF('Planilla_General_03-12-2012_9_3'!3056:3056,"AAAAAHfq5/A=",0)</f>
        <v>0</v>
      </c>
      <c r="IH191" t="e">
        <f>AND('Planilla_General_03-12-2012_9_3'!A3056,"AAAAAHfq5/E=")</f>
        <v>#VALUE!</v>
      </c>
      <c r="II191" t="e">
        <f>AND('Planilla_General_03-12-2012_9_3'!B3056,"AAAAAHfq5/I=")</f>
        <v>#VALUE!</v>
      </c>
      <c r="IJ191" t="e">
        <f>AND('Planilla_General_03-12-2012_9_3'!C3056,"AAAAAHfq5/M=")</f>
        <v>#VALUE!</v>
      </c>
      <c r="IK191" t="e">
        <f>AND('Planilla_General_03-12-2012_9_3'!D3056,"AAAAAHfq5/Q=")</f>
        <v>#VALUE!</v>
      </c>
      <c r="IL191" t="e">
        <f>AND('Planilla_General_03-12-2012_9_3'!E3056,"AAAAAHfq5/U=")</f>
        <v>#VALUE!</v>
      </c>
      <c r="IM191" t="e">
        <f>AND('Planilla_General_03-12-2012_9_3'!F3056,"AAAAAHfq5/Y=")</f>
        <v>#VALUE!</v>
      </c>
      <c r="IN191" t="e">
        <f>AND('Planilla_General_03-12-2012_9_3'!G3056,"AAAAAHfq5/c=")</f>
        <v>#VALUE!</v>
      </c>
      <c r="IO191" t="e">
        <f>AND('Planilla_General_03-12-2012_9_3'!H3056,"AAAAAHfq5/g=")</f>
        <v>#VALUE!</v>
      </c>
      <c r="IP191" t="e">
        <f>AND('Planilla_General_03-12-2012_9_3'!I3056,"AAAAAHfq5/k=")</f>
        <v>#VALUE!</v>
      </c>
      <c r="IQ191" t="e">
        <f>AND('Planilla_General_03-12-2012_9_3'!J3056,"AAAAAHfq5/o=")</f>
        <v>#VALUE!</v>
      </c>
      <c r="IR191" t="e">
        <f>AND('Planilla_General_03-12-2012_9_3'!K3056,"AAAAAHfq5/s=")</f>
        <v>#VALUE!</v>
      </c>
      <c r="IS191" t="e">
        <f>AND('Planilla_General_03-12-2012_9_3'!L3056,"AAAAAHfq5/w=")</f>
        <v>#VALUE!</v>
      </c>
      <c r="IT191" t="e">
        <f>AND('Planilla_General_03-12-2012_9_3'!M3056,"AAAAAHfq5/0=")</f>
        <v>#VALUE!</v>
      </c>
      <c r="IU191" t="e">
        <f>AND('Planilla_General_03-12-2012_9_3'!N3056,"AAAAAHfq5/4=")</f>
        <v>#VALUE!</v>
      </c>
      <c r="IV191" t="e">
        <f>AND('Planilla_General_03-12-2012_9_3'!O3056,"AAAAAHfq5/8=")</f>
        <v>#VALUE!</v>
      </c>
    </row>
    <row r="192" spans="1:256" x14ac:dyDescent="0.25">
      <c r="A192" t="e">
        <f>IF('Planilla_General_03-12-2012_9_3'!3057:3057,"AAAAAG/b9wA=",0)</f>
        <v>#VALUE!</v>
      </c>
      <c r="B192" t="e">
        <f>AND('Planilla_General_03-12-2012_9_3'!A3057,"AAAAAG/b9wE=")</f>
        <v>#VALUE!</v>
      </c>
      <c r="C192" t="e">
        <f>AND('Planilla_General_03-12-2012_9_3'!B3057,"AAAAAG/b9wI=")</f>
        <v>#VALUE!</v>
      </c>
      <c r="D192" t="e">
        <f>AND('Planilla_General_03-12-2012_9_3'!C3057,"AAAAAG/b9wM=")</f>
        <v>#VALUE!</v>
      </c>
      <c r="E192" t="e">
        <f>AND('Planilla_General_03-12-2012_9_3'!D3057,"AAAAAG/b9wQ=")</f>
        <v>#VALUE!</v>
      </c>
      <c r="F192" t="e">
        <f>AND('Planilla_General_03-12-2012_9_3'!E3057,"AAAAAG/b9wU=")</f>
        <v>#VALUE!</v>
      </c>
      <c r="G192" t="e">
        <f>AND('Planilla_General_03-12-2012_9_3'!F3057,"AAAAAG/b9wY=")</f>
        <v>#VALUE!</v>
      </c>
      <c r="H192" t="e">
        <f>AND('Planilla_General_03-12-2012_9_3'!G3057,"AAAAAG/b9wc=")</f>
        <v>#VALUE!</v>
      </c>
      <c r="I192" t="e">
        <f>AND('Planilla_General_03-12-2012_9_3'!H3057,"AAAAAG/b9wg=")</f>
        <v>#VALUE!</v>
      </c>
      <c r="J192" t="e">
        <f>AND('Planilla_General_03-12-2012_9_3'!I3057,"AAAAAG/b9wk=")</f>
        <v>#VALUE!</v>
      </c>
      <c r="K192" t="e">
        <f>AND('Planilla_General_03-12-2012_9_3'!J3057,"AAAAAG/b9wo=")</f>
        <v>#VALUE!</v>
      </c>
      <c r="L192" t="e">
        <f>AND('Planilla_General_03-12-2012_9_3'!K3057,"AAAAAG/b9ws=")</f>
        <v>#VALUE!</v>
      </c>
      <c r="M192" t="e">
        <f>AND('Planilla_General_03-12-2012_9_3'!L3057,"AAAAAG/b9ww=")</f>
        <v>#VALUE!</v>
      </c>
      <c r="N192" t="e">
        <f>AND('Planilla_General_03-12-2012_9_3'!M3057,"AAAAAG/b9w0=")</f>
        <v>#VALUE!</v>
      </c>
      <c r="O192" t="e">
        <f>AND('Planilla_General_03-12-2012_9_3'!N3057,"AAAAAG/b9w4=")</f>
        <v>#VALUE!</v>
      </c>
      <c r="P192" t="e">
        <f>AND('Planilla_General_03-12-2012_9_3'!O3057,"AAAAAG/b9w8=")</f>
        <v>#VALUE!</v>
      </c>
      <c r="Q192">
        <f>IF('Planilla_General_03-12-2012_9_3'!3058:3058,"AAAAAG/b9xA=",0)</f>
        <v>0</v>
      </c>
      <c r="R192" t="e">
        <f>AND('Planilla_General_03-12-2012_9_3'!A3058,"AAAAAG/b9xE=")</f>
        <v>#VALUE!</v>
      </c>
      <c r="S192" t="e">
        <f>AND('Planilla_General_03-12-2012_9_3'!B3058,"AAAAAG/b9xI=")</f>
        <v>#VALUE!</v>
      </c>
      <c r="T192" t="e">
        <f>AND('Planilla_General_03-12-2012_9_3'!C3058,"AAAAAG/b9xM=")</f>
        <v>#VALUE!</v>
      </c>
      <c r="U192" t="e">
        <f>AND('Planilla_General_03-12-2012_9_3'!D3058,"AAAAAG/b9xQ=")</f>
        <v>#VALUE!</v>
      </c>
      <c r="V192" t="e">
        <f>AND('Planilla_General_03-12-2012_9_3'!E3058,"AAAAAG/b9xU=")</f>
        <v>#VALUE!</v>
      </c>
      <c r="W192" t="e">
        <f>AND('Planilla_General_03-12-2012_9_3'!F3058,"AAAAAG/b9xY=")</f>
        <v>#VALUE!</v>
      </c>
      <c r="X192" t="e">
        <f>AND('Planilla_General_03-12-2012_9_3'!G3058,"AAAAAG/b9xc=")</f>
        <v>#VALUE!</v>
      </c>
      <c r="Y192" t="e">
        <f>AND('Planilla_General_03-12-2012_9_3'!H3058,"AAAAAG/b9xg=")</f>
        <v>#VALUE!</v>
      </c>
      <c r="Z192" t="e">
        <f>AND('Planilla_General_03-12-2012_9_3'!I3058,"AAAAAG/b9xk=")</f>
        <v>#VALUE!</v>
      </c>
      <c r="AA192" t="e">
        <f>AND('Planilla_General_03-12-2012_9_3'!J3058,"AAAAAG/b9xo=")</f>
        <v>#VALUE!</v>
      </c>
      <c r="AB192" t="e">
        <f>AND('Planilla_General_03-12-2012_9_3'!K3058,"AAAAAG/b9xs=")</f>
        <v>#VALUE!</v>
      </c>
      <c r="AC192" t="e">
        <f>AND('Planilla_General_03-12-2012_9_3'!L3058,"AAAAAG/b9xw=")</f>
        <v>#VALUE!</v>
      </c>
      <c r="AD192" t="e">
        <f>AND('Planilla_General_03-12-2012_9_3'!M3058,"AAAAAG/b9x0=")</f>
        <v>#VALUE!</v>
      </c>
      <c r="AE192" t="e">
        <f>AND('Planilla_General_03-12-2012_9_3'!N3058,"AAAAAG/b9x4=")</f>
        <v>#VALUE!</v>
      </c>
      <c r="AF192" t="e">
        <f>AND('Planilla_General_03-12-2012_9_3'!O3058,"AAAAAG/b9x8=")</f>
        <v>#VALUE!</v>
      </c>
      <c r="AG192">
        <f>IF('Planilla_General_03-12-2012_9_3'!3059:3059,"AAAAAG/b9yA=",0)</f>
        <v>0</v>
      </c>
      <c r="AH192" t="e">
        <f>AND('Planilla_General_03-12-2012_9_3'!A3059,"AAAAAG/b9yE=")</f>
        <v>#VALUE!</v>
      </c>
      <c r="AI192" t="e">
        <f>AND('Planilla_General_03-12-2012_9_3'!B3059,"AAAAAG/b9yI=")</f>
        <v>#VALUE!</v>
      </c>
      <c r="AJ192" t="e">
        <f>AND('Planilla_General_03-12-2012_9_3'!C3059,"AAAAAG/b9yM=")</f>
        <v>#VALUE!</v>
      </c>
      <c r="AK192" t="e">
        <f>AND('Planilla_General_03-12-2012_9_3'!D3059,"AAAAAG/b9yQ=")</f>
        <v>#VALUE!</v>
      </c>
      <c r="AL192" t="e">
        <f>AND('Planilla_General_03-12-2012_9_3'!E3059,"AAAAAG/b9yU=")</f>
        <v>#VALUE!</v>
      </c>
      <c r="AM192" t="e">
        <f>AND('Planilla_General_03-12-2012_9_3'!F3059,"AAAAAG/b9yY=")</f>
        <v>#VALUE!</v>
      </c>
      <c r="AN192" t="e">
        <f>AND('Planilla_General_03-12-2012_9_3'!G3059,"AAAAAG/b9yc=")</f>
        <v>#VALUE!</v>
      </c>
      <c r="AO192" t="e">
        <f>AND('Planilla_General_03-12-2012_9_3'!H3059,"AAAAAG/b9yg=")</f>
        <v>#VALUE!</v>
      </c>
      <c r="AP192" t="e">
        <f>AND('Planilla_General_03-12-2012_9_3'!I3059,"AAAAAG/b9yk=")</f>
        <v>#VALUE!</v>
      </c>
      <c r="AQ192" t="e">
        <f>AND('Planilla_General_03-12-2012_9_3'!J3059,"AAAAAG/b9yo=")</f>
        <v>#VALUE!</v>
      </c>
      <c r="AR192" t="e">
        <f>AND('Planilla_General_03-12-2012_9_3'!K3059,"AAAAAG/b9ys=")</f>
        <v>#VALUE!</v>
      </c>
      <c r="AS192" t="e">
        <f>AND('Planilla_General_03-12-2012_9_3'!L3059,"AAAAAG/b9yw=")</f>
        <v>#VALUE!</v>
      </c>
      <c r="AT192" t="e">
        <f>AND('Planilla_General_03-12-2012_9_3'!M3059,"AAAAAG/b9y0=")</f>
        <v>#VALUE!</v>
      </c>
      <c r="AU192" t="e">
        <f>AND('Planilla_General_03-12-2012_9_3'!N3059,"AAAAAG/b9y4=")</f>
        <v>#VALUE!</v>
      </c>
      <c r="AV192" t="e">
        <f>AND('Planilla_General_03-12-2012_9_3'!O3059,"AAAAAG/b9y8=")</f>
        <v>#VALUE!</v>
      </c>
      <c r="AW192">
        <f>IF('Planilla_General_03-12-2012_9_3'!3060:3060,"AAAAAG/b9zA=",0)</f>
        <v>0</v>
      </c>
      <c r="AX192" t="e">
        <f>AND('Planilla_General_03-12-2012_9_3'!A3060,"AAAAAG/b9zE=")</f>
        <v>#VALUE!</v>
      </c>
      <c r="AY192" t="e">
        <f>AND('Planilla_General_03-12-2012_9_3'!B3060,"AAAAAG/b9zI=")</f>
        <v>#VALUE!</v>
      </c>
      <c r="AZ192" t="e">
        <f>AND('Planilla_General_03-12-2012_9_3'!C3060,"AAAAAG/b9zM=")</f>
        <v>#VALUE!</v>
      </c>
      <c r="BA192" t="e">
        <f>AND('Planilla_General_03-12-2012_9_3'!D3060,"AAAAAG/b9zQ=")</f>
        <v>#VALUE!</v>
      </c>
      <c r="BB192" t="e">
        <f>AND('Planilla_General_03-12-2012_9_3'!E3060,"AAAAAG/b9zU=")</f>
        <v>#VALUE!</v>
      </c>
      <c r="BC192" t="e">
        <f>AND('Planilla_General_03-12-2012_9_3'!F3060,"AAAAAG/b9zY=")</f>
        <v>#VALUE!</v>
      </c>
      <c r="BD192" t="e">
        <f>AND('Planilla_General_03-12-2012_9_3'!G3060,"AAAAAG/b9zc=")</f>
        <v>#VALUE!</v>
      </c>
      <c r="BE192" t="e">
        <f>AND('Planilla_General_03-12-2012_9_3'!H3060,"AAAAAG/b9zg=")</f>
        <v>#VALUE!</v>
      </c>
      <c r="BF192" t="e">
        <f>AND('Planilla_General_03-12-2012_9_3'!I3060,"AAAAAG/b9zk=")</f>
        <v>#VALUE!</v>
      </c>
      <c r="BG192" t="e">
        <f>AND('Planilla_General_03-12-2012_9_3'!J3060,"AAAAAG/b9zo=")</f>
        <v>#VALUE!</v>
      </c>
      <c r="BH192" t="e">
        <f>AND('Planilla_General_03-12-2012_9_3'!K3060,"AAAAAG/b9zs=")</f>
        <v>#VALUE!</v>
      </c>
      <c r="BI192" t="e">
        <f>AND('Planilla_General_03-12-2012_9_3'!L3060,"AAAAAG/b9zw=")</f>
        <v>#VALUE!</v>
      </c>
      <c r="BJ192" t="e">
        <f>AND('Planilla_General_03-12-2012_9_3'!M3060,"AAAAAG/b9z0=")</f>
        <v>#VALUE!</v>
      </c>
      <c r="BK192" t="e">
        <f>AND('Planilla_General_03-12-2012_9_3'!N3060,"AAAAAG/b9z4=")</f>
        <v>#VALUE!</v>
      </c>
      <c r="BL192" t="e">
        <f>AND('Planilla_General_03-12-2012_9_3'!O3060,"AAAAAG/b9z8=")</f>
        <v>#VALUE!</v>
      </c>
      <c r="BM192">
        <f>IF('Planilla_General_03-12-2012_9_3'!3061:3061,"AAAAAG/b90A=",0)</f>
        <v>0</v>
      </c>
      <c r="BN192" t="e">
        <f>AND('Planilla_General_03-12-2012_9_3'!A3061,"AAAAAG/b90E=")</f>
        <v>#VALUE!</v>
      </c>
      <c r="BO192" t="e">
        <f>AND('Planilla_General_03-12-2012_9_3'!B3061,"AAAAAG/b90I=")</f>
        <v>#VALUE!</v>
      </c>
      <c r="BP192" t="e">
        <f>AND('Planilla_General_03-12-2012_9_3'!C3061,"AAAAAG/b90M=")</f>
        <v>#VALUE!</v>
      </c>
      <c r="BQ192" t="e">
        <f>AND('Planilla_General_03-12-2012_9_3'!D3061,"AAAAAG/b90Q=")</f>
        <v>#VALUE!</v>
      </c>
      <c r="BR192" t="e">
        <f>AND('Planilla_General_03-12-2012_9_3'!E3061,"AAAAAG/b90U=")</f>
        <v>#VALUE!</v>
      </c>
      <c r="BS192" t="e">
        <f>AND('Planilla_General_03-12-2012_9_3'!F3061,"AAAAAG/b90Y=")</f>
        <v>#VALUE!</v>
      </c>
      <c r="BT192" t="e">
        <f>AND('Planilla_General_03-12-2012_9_3'!G3061,"AAAAAG/b90c=")</f>
        <v>#VALUE!</v>
      </c>
      <c r="BU192" t="e">
        <f>AND('Planilla_General_03-12-2012_9_3'!H3061,"AAAAAG/b90g=")</f>
        <v>#VALUE!</v>
      </c>
      <c r="BV192" t="e">
        <f>AND('Planilla_General_03-12-2012_9_3'!I3061,"AAAAAG/b90k=")</f>
        <v>#VALUE!</v>
      </c>
      <c r="BW192" t="e">
        <f>AND('Planilla_General_03-12-2012_9_3'!J3061,"AAAAAG/b90o=")</f>
        <v>#VALUE!</v>
      </c>
      <c r="BX192" t="e">
        <f>AND('Planilla_General_03-12-2012_9_3'!K3061,"AAAAAG/b90s=")</f>
        <v>#VALUE!</v>
      </c>
      <c r="BY192" t="e">
        <f>AND('Planilla_General_03-12-2012_9_3'!L3061,"AAAAAG/b90w=")</f>
        <v>#VALUE!</v>
      </c>
      <c r="BZ192" t="e">
        <f>AND('Planilla_General_03-12-2012_9_3'!M3061,"AAAAAG/b900=")</f>
        <v>#VALUE!</v>
      </c>
      <c r="CA192" t="e">
        <f>AND('Planilla_General_03-12-2012_9_3'!N3061,"AAAAAG/b904=")</f>
        <v>#VALUE!</v>
      </c>
      <c r="CB192" t="e">
        <f>AND('Planilla_General_03-12-2012_9_3'!O3061,"AAAAAG/b908=")</f>
        <v>#VALUE!</v>
      </c>
      <c r="CC192">
        <f>IF('Planilla_General_03-12-2012_9_3'!3062:3062,"AAAAAG/b91A=",0)</f>
        <v>0</v>
      </c>
      <c r="CD192" t="e">
        <f>AND('Planilla_General_03-12-2012_9_3'!A3062,"AAAAAG/b91E=")</f>
        <v>#VALUE!</v>
      </c>
      <c r="CE192" t="e">
        <f>AND('Planilla_General_03-12-2012_9_3'!B3062,"AAAAAG/b91I=")</f>
        <v>#VALUE!</v>
      </c>
      <c r="CF192" t="e">
        <f>AND('Planilla_General_03-12-2012_9_3'!C3062,"AAAAAG/b91M=")</f>
        <v>#VALUE!</v>
      </c>
      <c r="CG192" t="e">
        <f>AND('Planilla_General_03-12-2012_9_3'!D3062,"AAAAAG/b91Q=")</f>
        <v>#VALUE!</v>
      </c>
      <c r="CH192" t="e">
        <f>AND('Planilla_General_03-12-2012_9_3'!E3062,"AAAAAG/b91U=")</f>
        <v>#VALUE!</v>
      </c>
      <c r="CI192" t="e">
        <f>AND('Planilla_General_03-12-2012_9_3'!F3062,"AAAAAG/b91Y=")</f>
        <v>#VALUE!</v>
      </c>
      <c r="CJ192" t="e">
        <f>AND('Planilla_General_03-12-2012_9_3'!G3062,"AAAAAG/b91c=")</f>
        <v>#VALUE!</v>
      </c>
      <c r="CK192" t="e">
        <f>AND('Planilla_General_03-12-2012_9_3'!H3062,"AAAAAG/b91g=")</f>
        <v>#VALUE!</v>
      </c>
      <c r="CL192" t="e">
        <f>AND('Planilla_General_03-12-2012_9_3'!I3062,"AAAAAG/b91k=")</f>
        <v>#VALUE!</v>
      </c>
      <c r="CM192" t="e">
        <f>AND('Planilla_General_03-12-2012_9_3'!J3062,"AAAAAG/b91o=")</f>
        <v>#VALUE!</v>
      </c>
      <c r="CN192" t="e">
        <f>AND('Planilla_General_03-12-2012_9_3'!K3062,"AAAAAG/b91s=")</f>
        <v>#VALUE!</v>
      </c>
      <c r="CO192" t="e">
        <f>AND('Planilla_General_03-12-2012_9_3'!L3062,"AAAAAG/b91w=")</f>
        <v>#VALUE!</v>
      </c>
      <c r="CP192" t="e">
        <f>AND('Planilla_General_03-12-2012_9_3'!M3062,"AAAAAG/b910=")</f>
        <v>#VALUE!</v>
      </c>
      <c r="CQ192" t="e">
        <f>AND('Planilla_General_03-12-2012_9_3'!N3062,"AAAAAG/b914=")</f>
        <v>#VALUE!</v>
      </c>
      <c r="CR192" t="e">
        <f>AND('Planilla_General_03-12-2012_9_3'!O3062,"AAAAAG/b918=")</f>
        <v>#VALUE!</v>
      </c>
      <c r="CS192">
        <f>IF('Planilla_General_03-12-2012_9_3'!3063:3063,"AAAAAG/b92A=",0)</f>
        <v>0</v>
      </c>
      <c r="CT192" t="e">
        <f>AND('Planilla_General_03-12-2012_9_3'!A3063,"AAAAAG/b92E=")</f>
        <v>#VALUE!</v>
      </c>
      <c r="CU192" t="e">
        <f>AND('Planilla_General_03-12-2012_9_3'!B3063,"AAAAAG/b92I=")</f>
        <v>#VALUE!</v>
      </c>
      <c r="CV192" t="e">
        <f>AND('Planilla_General_03-12-2012_9_3'!C3063,"AAAAAG/b92M=")</f>
        <v>#VALUE!</v>
      </c>
      <c r="CW192" t="e">
        <f>AND('Planilla_General_03-12-2012_9_3'!D3063,"AAAAAG/b92Q=")</f>
        <v>#VALUE!</v>
      </c>
      <c r="CX192" t="e">
        <f>AND('Planilla_General_03-12-2012_9_3'!E3063,"AAAAAG/b92U=")</f>
        <v>#VALUE!</v>
      </c>
      <c r="CY192" t="e">
        <f>AND('Planilla_General_03-12-2012_9_3'!F3063,"AAAAAG/b92Y=")</f>
        <v>#VALUE!</v>
      </c>
      <c r="CZ192" t="e">
        <f>AND('Planilla_General_03-12-2012_9_3'!G3063,"AAAAAG/b92c=")</f>
        <v>#VALUE!</v>
      </c>
      <c r="DA192" t="e">
        <f>AND('Planilla_General_03-12-2012_9_3'!H3063,"AAAAAG/b92g=")</f>
        <v>#VALUE!</v>
      </c>
      <c r="DB192" t="e">
        <f>AND('Planilla_General_03-12-2012_9_3'!I3063,"AAAAAG/b92k=")</f>
        <v>#VALUE!</v>
      </c>
      <c r="DC192" t="e">
        <f>AND('Planilla_General_03-12-2012_9_3'!J3063,"AAAAAG/b92o=")</f>
        <v>#VALUE!</v>
      </c>
      <c r="DD192" t="e">
        <f>AND('Planilla_General_03-12-2012_9_3'!K3063,"AAAAAG/b92s=")</f>
        <v>#VALUE!</v>
      </c>
      <c r="DE192" t="e">
        <f>AND('Planilla_General_03-12-2012_9_3'!L3063,"AAAAAG/b92w=")</f>
        <v>#VALUE!</v>
      </c>
      <c r="DF192" t="e">
        <f>AND('Planilla_General_03-12-2012_9_3'!M3063,"AAAAAG/b920=")</f>
        <v>#VALUE!</v>
      </c>
      <c r="DG192" t="e">
        <f>AND('Planilla_General_03-12-2012_9_3'!N3063,"AAAAAG/b924=")</f>
        <v>#VALUE!</v>
      </c>
      <c r="DH192" t="e">
        <f>AND('Planilla_General_03-12-2012_9_3'!O3063,"AAAAAG/b928=")</f>
        <v>#VALUE!</v>
      </c>
      <c r="DI192">
        <f>IF('Planilla_General_03-12-2012_9_3'!3064:3064,"AAAAAG/b93A=",0)</f>
        <v>0</v>
      </c>
      <c r="DJ192" t="e">
        <f>AND('Planilla_General_03-12-2012_9_3'!A3064,"AAAAAG/b93E=")</f>
        <v>#VALUE!</v>
      </c>
      <c r="DK192" t="e">
        <f>AND('Planilla_General_03-12-2012_9_3'!B3064,"AAAAAG/b93I=")</f>
        <v>#VALUE!</v>
      </c>
      <c r="DL192" t="e">
        <f>AND('Planilla_General_03-12-2012_9_3'!C3064,"AAAAAG/b93M=")</f>
        <v>#VALUE!</v>
      </c>
      <c r="DM192" t="e">
        <f>AND('Planilla_General_03-12-2012_9_3'!D3064,"AAAAAG/b93Q=")</f>
        <v>#VALUE!</v>
      </c>
      <c r="DN192" t="e">
        <f>AND('Planilla_General_03-12-2012_9_3'!E3064,"AAAAAG/b93U=")</f>
        <v>#VALUE!</v>
      </c>
      <c r="DO192" t="e">
        <f>AND('Planilla_General_03-12-2012_9_3'!F3064,"AAAAAG/b93Y=")</f>
        <v>#VALUE!</v>
      </c>
      <c r="DP192" t="e">
        <f>AND('Planilla_General_03-12-2012_9_3'!G3064,"AAAAAG/b93c=")</f>
        <v>#VALUE!</v>
      </c>
      <c r="DQ192" t="e">
        <f>AND('Planilla_General_03-12-2012_9_3'!H3064,"AAAAAG/b93g=")</f>
        <v>#VALUE!</v>
      </c>
      <c r="DR192" t="e">
        <f>AND('Planilla_General_03-12-2012_9_3'!I3064,"AAAAAG/b93k=")</f>
        <v>#VALUE!</v>
      </c>
      <c r="DS192" t="e">
        <f>AND('Planilla_General_03-12-2012_9_3'!J3064,"AAAAAG/b93o=")</f>
        <v>#VALUE!</v>
      </c>
      <c r="DT192" t="e">
        <f>AND('Planilla_General_03-12-2012_9_3'!K3064,"AAAAAG/b93s=")</f>
        <v>#VALUE!</v>
      </c>
      <c r="DU192" t="e">
        <f>AND('Planilla_General_03-12-2012_9_3'!L3064,"AAAAAG/b93w=")</f>
        <v>#VALUE!</v>
      </c>
      <c r="DV192" t="e">
        <f>AND('Planilla_General_03-12-2012_9_3'!M3064,"AAAAAG/b930=")</f>
        <v>#VALUE!</v>
      </c>
      <c r="DW192" t="e">
        <f>AND('Planilla_General_03-12-2012_9_3'!N3064,"AAAAAG/b934=")</f>
        <v>#VALUE!</v>
      </c>
      <c r="DX192" t="e">
        <f>AND('Planilla_General_03-12-2012_9_3'!O3064,"AAAAAG/b938=")</f>
        <v>#VALUE!</v>
      </c>
      <c r="DY192">
        <f>IF('Planilla_General_03-12-2012_9_3'!3065:3065,"AAAAAG/b94A=",0)</f>
        <v>0</v>
      </c>
      <c r="DZ192" t="e">
        <f>AND('Planilla_General_03-12-2012_9_3'!A3065,"AAAAAG/b94E=")</f>
        <v>#VALUE!</v>
      </c>
      <c r="EA192" t="e">
        <f>AND('Planilla_General_03-12-2012_9_3'!B3065,"AAAAAG/b94I=")</f>
        <v>#VALUE!</v>
      </c>
      <c r="EB192" t="e">
        <f>AND('Planilla_General_03-12-2012_9_3'!C3065,"AAAAAG/b94M=")</f>
        <v>#VALUE!</v>
      </c>
      <c r="EC192" t="e">
        <f>AND('Planilla_General_03-12-2012_9_3'!D3065,"AAAAAG/b94Q=")</f>
        <v>#VALUE!</v>
      </c>
      <c r="ED192" t="e">
        <f>AND('Planilla_General_03-12-2012_9_3'!E3065,"AAAAAG/b94U=")</f>
        <v>#VALUE!</v>
      </c>
      <c r="EE192" t="e">
        <f>AND('Planilla_General_03-12-2012_9_3'!F3065,"AAAAAG/b94Y=")</f>
        <v>#VALUE!</v>
      </c>
      <c r="EF192" t="e">
        <f>AND('Planilla_General_03-12-2012_9_3'!G3065,"AAAAAG/b94c=")</f>
        <v>#VALUE!</v>
      </c>
      <c r="EG192" t="e">
        <f>AND('Planilla_General_03-12-2012_9_3'!H3065,"AAAAAG/b94g=")</f>
        <v>#VALUE!</v>
      </c>
      <c r="EH192" t="e">
        <f>AND('Planilla_General_03-12-2012_9_3'!I3065,"AAAAAG/b94k=")</f>
        <v>#VALUE!</v>
      </c>
      <c r="EI192" t="e">
        <f>AND('Planilla_General_03-12-2012_9_3'!J3065,"AAAAAG/b94o=")</f>
        <v>#VALUE!</v>
      </c>
      <c r="EJ192" t="e">
        <f>AND('Planilla_General_03-12-2012_9_3'!K3065,"AAAAAG/b94s=")</f>
        <v>#VALUE!</v>
      </c>
      <c r="EK192" t="e">
        <f>AND('Planilla_General_03-12-2012_9_3'!L3065,"AAAAAG/b94w=")</f>
        <v>#VALUE!</v>
      </c>
      <c r="EL192" t="e">
        <f>AND('Planilla_General_03-12-2012_9_3'!M3065,"AAAAAG/b940=")</f>
        <v>#VALUE!</v>
      </c>
      <c r="EM192" t="e">
        <f>AND('Planilla_General_03-12-2012_9_3'!N3065,"AAAAAG/b944=")</f>
        <v>#VALUE!</v>
      </c>
      <c r="EN192" t="e">
        <f>AND('Planilla_General_03-12-2012_9_3'!O3065,"AAAAAG/b948=")</f>
        <v>#VALUE!</v>
      </c>
      <c r="EO192">
        <f>IF('Planilla_General_03-12-2012_9_3'!3066:3066,"AAAAAG/b95A=",0)</f>
        <v>0</v>
      </c>
      <c r="EP192" t="e">
        <f>AND('Planilla_General_03-12-2012_9_3'!A3066,"AAAAAG/b95E=")</f>
        <v>#VALUE!</v>
      </c>
      <c r="EQ192" t="e">
        <f>AND('Planilla_General_03-12-2012_9_3'!B3066,"AAAAAG/b95I=")</f>
        <v>#VALUE!</v>
      </c>
      <c r="ER192" t="e">
        <f>AND('Planilla_General_03-12-2012_9_3'!C3066,"AAAAAG/b95M=")</f>
        <v>#VALUE!</v>
      </c>
      <c r="ES192" t="e">
        <f>AND('Planilla_General_03-12-2012_9_3'!D3066,"AAAAAG/b95Q=")</f>
        <v>#VALUE!</v>
      </c>
      <c r="ET192" t="e">
        <f>AND('Planilla_General_03-12-2012_9_3'!E3066,"AAAAAG/b95U=")</f>
        <v>#VALUE!</v>
      </c>
      <c r="EU192" t="e">
        <f>AND('Planilla_General_03-12-2012_9_3'!F3066,"AAAAAG/b95Y=")</f>
        <v>#VALUE!</v>
      </c>
      <c r="EV192" t="e">
        <f>AND('Planilla_General_03-12-2012_9_3'!G3066,"AAAAAG/b95c=")</f>
        <v>#VALUE!</v>
      </c>
      <c r="EW192" t="e">
        <f>AND('Planilla_General_03-12-2012_9_3'!H3066,"AAAAAG/b95g=")</f>
        <v>#VALUE!</v>
      </c>
      <c r="EX192" t="e">
        <f>AND('Planilla_General_03-12-2012_9_3'!I3066,"AAAAAG/b95k=")</f>
        <v>#VALUE!</v>
      </c>
      <c r="EY192" t="e">
        <f>AND('Planilla_General_03-12-2012_9_3'!J3066,"AAAAAG/b95o=")</f>
        <v>#VALUE!</v>
      </c>
      <c r="EZ192" t="e">
        <f>AND('Planilla_General_03-12-2012_9_3'!K3066,"AAAAAG/b95s=")</f>
        <v>#VALUE!</v>
      </c>
      <c r="FA192" t="e">
        <f>AND('Planilla_General_03-12-2012_9_3'!L3066,"AAAAAG/b95w=")</f>
        <v>#VALUE!</v>
      </c>
      <c r="FB192" t="e">
        <f>AND('Planilla_General_03-12-2012_9_3'!M3066,"AAAAAG/b950=")</f>
        <v>#VALUE!</v>
      </c>
      <c r="FC192" t="e">
        <f>AND('Planilla_General_03-12-2012_9_3'!N3066,"AAAAAG/b954=")</f>
        <v>#VALUE!</v>
      </c>
      <c r="FD192" t="e">
        <f>AND('Planilla_General_03-12-2012_9_3'!O3066,"AAAAAG/b958=")</f>
        <v>#VALUE!</v>
      </c>
      <c r="FE192">
        <f>IF('Planilla_General_03-12-2012_9_3'!3067:3067,"AAAAAG/b96A=",0)</f>
        <v>0</v>
      </c>
      <c r="FF192" t="e">
        <f>AND('Planilla_General_03-12-2012_9_3'!A3067,"AAAAAG/b96E=")</f>
        <v>#VALUE!</v>
      </c>
      <c r="FG192" t="e">
        <f>AND('Planilla_General_03-12-2012_9_3'!B3067,"AAAAAG/b96I=")</f>
        <v>#VALUE!</v>
      </c>
      <c r="FH192" t="e">
        <f>AND('Planilla_General_03-12-2012_9_3'!C3067,"AAAAAG/b96M=")</f>
        <v>#VALUE!</v>
      </c>
      <c r="FI192" t="e">
        <f>AND('Planilla_General_03-12-2012_9_3'!D3067,"AAAAAG/b96Q=")</f>
        <v>#VALUE!</v>
      </c>
      <c r="FJ192" t="e">
        <f>AND('Planilla_General_03-12-2012_9_3'!E3067,"AAAAAG/b96U=")</f>
        <v>#VALUE!</v>
      </c>
      <c r="FK192" t="e">
        <f>AND('Planilla_General_03-12-2012_9_3'!F3067,"AAAAAG/b96Y=")</f>
        <v>#VALUE!</v>
      </c>
      <c r="FL192" t="e">
        <f>AND('Planilla_General_03-12-2012_9_3'!G3067,"AAAAAG/b96c=")</f>
        <v>#VALUE!</v>
      </c>
      <c r="FM192" t="e">
        <f>AND('Planilla_General_03-12-2012_9_3'!H3067,"AAAAAG/b96g=")</f>
        <v>#VALUE!</v>
      </c>
      <c r="FN192" t="e">
        <f>AND('Planilla_General_03-12-2012_9_3'!I3067,"AAAAAG/b96k=")</f>
        <v>#VALUE!</v>
      </c>
      <c r="FO192" t="e">
        <f>AND('Planilla_General_03-12-2012_9_3'!J3067,"AAAAAG/b96o=")</f>
        <v>#VALUE!</v>
      </c>
      <c r="FP192" t="e">
        <f>AND('Planilla_General_03-12-2012_9_3'!K3067,"AAAAAG/b96s=")</f>
        <v>#VALUE!</v>
      </c>
      <c r="FQ192" t="e">
        <f>AND('Planilla_General_03-12-2012_9_3'!L3067,"AAAAAG/b96w=")</f>
        <v>#VALUE!</v>
      </c>
      <c r="FR192" t="e">
        <f>AND('Planilla_General_03-12-2012_9_3'!M3067,"AAAAAG/b960=")</f>
        <v>#VALUE!</v>
      </c>
      <c r="FS192" t="e">
        <f>AND('Planilla_General_03-12-2012_9_3'!N3067,"AAAAAG/b964=")</f>
        <v>#VALUE!</v>
      </c>
      <c r="FT192" t="e">
        <f>AND('Planilla_General_03-12-2012_9_3'!O3067,"AAAAAG/b968=")</f>
        <v>#VALUE!</v>
      </c>
      <c r="FU192">
        <f>IF('Planilla_General_03-12-2012_9_3'!3068:3068,"AAAAAG/b97A=",0)</f>
        <v>0</v>
      </c>
      <c r="FV192" t="e">
        <f>AND('Planilla_General_03-12-2012_9_3'!A3068,"AAAAAG/b97E=")</f>
        <v>#VALUE!</v>
      </c>
      <c r="FW192" t="e">
        <f>AND('Planilla_General_03-12-2012_9_3'!B3068,"AAAAAG/b97I=")</f>
        <v>#VALUE!</v>
      </c>
      <c r="FX192" t="e">
        <f>AND('Planilla_General_03-12-2012_9_3'!C3068,"AAAAAG/b97M=")</f>
        <v>#VALUE!</v>
      </c>
      <c r="FY192" t="e">
        <f>AND('Planilla_General_03-12-2012_9_3'!D3068,"AAAAAG/b97Q=")</f>
        <v>#VALUE!</v>
      </c>
      <c r="FZ192" t="e">
        <f>AND('Planilla_General_03-12-2012_9_3'!E3068,"AAAAAG/b97U=")</f>
        <v>#VALUE!</v>
      </c>
      <c r="GA192" t="e">
        <f>AND('Planilla_General_03-12-2012_9_3'!F3068,"AAAAAG/b97Y=")</f>
        <v>#VALUE!</v>
      </c>
      <c r="GB192" t="e">
        <f>AND('Planilla_General_03-12-2012_9_3'!G3068,"AAAAAG/b97c=")</f>
        <v>#VALUE!</v>
      </c>
      <c r="GC192" t="e">
        <f>AND('Planilla_General_03-12-2012_9_3'!H3068,"AAAAAG/b97g=")</f>
        <v>#VALUE!</v>
      </c>
      <c r="GD192" t="e">
        <f>AND('Planilla_General_03-12-2012_9_3'!I3068,"AAAAAG/b97k=")</f>
        <v>#VALUE!</v>
      </c>
      <c r="GE192" t="e">
        <f>AND('Planilla_General_03-12-2012_9_3'!J3068,"AAAAAG/b97o=")</f>
        <v>#VALUE!</v>
      </c>
      <c r="GF192" t="e">
        <f>AND('Planilla_General_03-12-2012_9_3'!K3068,"AAAAAG/b97s=")</f>
        <v>#VALUE!</v>
      </c>
      <c r="GG192" t="e">
        <f>AND('Planilla_General_03-12-2012_9_3'!L3068,"AAAAAG/b97w=")</f>
        <v>#VALUE!</v>
      </c>
      <c r="GH192" t="e">
        <f>AND('Planilla_General_03-12-2012_9_3'!M3068,"AAAAAG/b970=")</f>
        <v>#VALUE!</v>
      </c>
      <c r="GI192" t="e">
        <f>AND('Planilla_General_03-12-2012_9_3'!N3068,"AAAAAG/b974=")</f>
        <v>#VALUE!</v>
      </c>
      <c r="GJ192" t="e">
        <f>AND('Planilla_General_03-12-2012_9_3'!O3068,"AAAAAG/b978=")</f>
        <v>#VALUE!</v>
      </c>
      <c r="GK192">
        <f>IF('Planilla_General_03-12-2012_9_3'!3069:3069,"AAAAAG/b98A=",0)</f>
        <v>0</v>
      </c>
      <c r="GL192" t="e">
        <f>AND('Planilla_General_03-12-2012_9_3'!A3069,"AAAAAG/b98E=")</f>
        <v>#VALUE!</v>
      </c>
      <c r="GM192" t="e">
        <f>AND('Planilla_General_03-12-2012_9_3'!B3069,"AAAAAG/b98I=")</f>
        <v>#VALUE!</v>
      </c>
      <c r="GN192" t="e">
        <f>AND('Planilla_General_03-12-2012_9_3'!C3069,"AAAAAG/b98M=")</f>
        <v>#VALUE!</v>
      </c>
      <c r="GO192" t="e">
        <f>AND('Planilla_General_03-12-2012_9_3'!D3069,"AAAAAG/b98Q=")</f>
        <v>#VALUE!</v>
      </c>
      <c r="GP192" t="e">
        <f>AND('Planilla_General_03-12-2012_9_3'!E3069,"AAAAAG/b98U=")</f>
        <v>#VALUE!</v>
      </c>
      <c r="GQ192" t="e">
        <f>AND('Planilla_General_03-12-2012_9_3'!F3069,"AAAAAG/b98Y=")</f>
        <v>#VALUE!</v>
      </c>
      <c r="GR192" t="e">
        <f>AND('Planilla_General_03-12-2012_9_3'!G3069,"AAAAAG/b98c=")</f>
        <v>#VALUE!</v>
      </c>
      <c r="GS192" t="e">
        <f>AND('Planilla_General_03-12-2012_9_3'!H3069,"AAAAAG/b98g=")</f>
        <v>#VALUE!</v>
      </c>
      <c r="GT192" t="e">
        <f>AND('Planilla_General_03-12-2012_9_3'!I3069,"AAAAAG/b98k=")</f>
        <v>#VALUE!</v>
      </c>
      <c r="GU192" t="e">
        <f>AND('Planilla_General_03-12-2012_9_3'!J3069,"AAAAAG/b98o=")</f>
        <v>#VALUE!</v>
      </c>
      <c r="GV192" t="e">
        <f>AND('Planilla_General_03-12-2012_9_3'!K3069,"AAAAAG/b98s=")</f>
        <v>#VALUE!</v>
      </c>
      <c r="GW192" t="e">
        <f>AND('Planilla_General_03-12-2012_9_3'!L3069,"AAAAAG/b98w=")</f>
        <v>#VALUE!</v>
      </c>
      <c r="GX192" t="e">
        <f>AND('Planilla_General_03-12-2012_9_3'!M3069,"AAAAAG/b980=")</f>
        <v>#VALUE!</v>
      </c>
      <c r="GY192" t="e">
        <f>AND('Planilla_General_03-12-2012_9_3'!N3069,"AAAAAG/b984=")</f>
        <v>#VALUE!</v>
      </c>
      <c r="GZ192" t="e">
        <f>AND('Planilla_General_03-12-2012_9_3'!O3069,"AAAAAG/b988=")</f>
        <v>#VALUE!</v>
      </c>
      <c r="HA192">
        <f>IF('Planilla_General_03-12-2012_9_3'!3070:3070,"AAAAAG/b99A=",0)</f>
        <v>0</v>
      </c>
      <c r="HB192" t="e">
        <f>AND('Planilla_General_03-12-2012_9_3'!A3070,"AAAAAG/b99E=")</f>
        <v>#VALUE!</v>
      </c>
      <c r="HC192" t="e">
        <f>AND('Planilla_General_03-12-2012_9_3'!B3070,"AAAAAG/b99I=")</f>
        <v>#VALUE!</v>
      </c>
      <c r="HD192" t="e">
        <f>AND('Planilla_General_03-12-2012_9_3'!C3070,"AAAAAG/b99M=")</f>
        <v>#VALUE!</v>
      </c>
      <c r="HE192" t="e">
        <f>AND('Planilla_General_03-12-2012_9_3'!D3070,"AAAAAG/b99Q=")</f>
        <v>#VALUE!</v>
      </c>
      <c r="HF192" t="e">
        <f>AND('Planilla_General_03-12-2012_9_3'!E3070,"AAAAAG/b99U=")</f>
        <v>#VALUE!</v>
      </c>
      <c r="HG192" t="e">
        <f>AND('Planilla_General_03-12-2012_9_3'!F3070,"AAAAAG/b99Y=")</f>
        <v>#VALUE!</v>
      </c>
      <c r="HH192" t="e">
        <f>AND('Planilla_General_03-12-2012_9_3'!G3070,"AAAAAG/b99c=")</f>
        <v>#VALUE!</v>
      </c>
      <c r="HI192" t="e">
        <f>AND('Planilla_General_03-12-2012_9_3'!H3070,"AAAAAG/b99g=")</f>
        <v>#VALUE!</v>
      </c>
      <c r="HJ192" t="e">
        <f>AND('Planilla_General_03-12-2012_9_3'!I3070,"AAAAAG/b99k=")</f>
        <v>#VALUE!</v>
      </c>
      <c r="HK192" t="e">
        <f>AND('Planilla_General_03-12-2012_9_3'!J3070,"AAAAAG/b99o=")</f>
        <v>#VALUE!</v>
      </c>
      <c r="HL192" t="e">
        <f>AND('Planilla_General_03-12-2012_9_3'!K3070,"AAAAAG/b99s=")</f>
        <v>#VALUE!</v>
      </c>
      <c r="HM192" t="e">
        <f>AND('Planilla_General_03-12-2012_9_3'!L3070,"AAAAAG/b99w=")</f>
        <v>#VALUE!</v>
      </c>
      <c r="HN192" t="e">
        <f>AND('Planilla_General_03-12-2012_9_3'!M3070,"AAAAAG/b990=")</f>
        <v>#VALUE!</v>
      </c>
      <c r="HO192" t="e">
        <f>AND('Planilla_General_03-12-2012_9_3'!N3070,"AAAAAG/b994=")</f>
        <v>#VALUE!</v>
      </c>
      <c r="HP192" t="e">
        <f>AND('Planilla_General_03-12-2012_9_3'!O3070,"AAAAAG/b998=")</f>
        <v>#VALUE!</v>
      </c>
      <c r="HQ192">
        <f>IF('Planilla_General_03-12-2012_9_3'!3071:3071,"AAAAAG/b9+A=",0)</f>
        <v>0</v>
      </c>
      <c r="HR192" t="e">
        <f>AND('Planilla_General_03-12-2012_9_3'!A3071,"AAAAAG/b9+E=")</f>
        <v>#VALUE!</v>
      </c>
      <c r="HS192" t="e">
        <f>AND('Planilla_General_03-12-2012_9_3'!B3071,"AAAAAG/b9+I=")</f>
        <v>#VALUE!</v>
      </c>
      <c r="HT192" t="e">
        <f>AND('Planilla_General_03-12-2012_9_3'!C3071,"AAAAAG/b9+M=")</f>
        <v>#VALUE!</v>
      </c>
      <c r="HU192" t="e">
        <f>AND('Planilla_General_03-12-2012_9_3'!D3071,"AAAAAG/b9+Q=")</f>
        <v>#VALUE!</v>
      </c>
      <c r="HV192" t="e">
        <f>AND('Planilla_General_03-12-2012_9_3'!E3071,"AAAAAG/b9+U=")</f>
        <v>#VALUE!</v>
      </c>
      <c r="HW192" t="e">
        <f>AND('Planilla_General_03-12-2012_9_3'!F3071,"AAAAAG/b9+Y=")</f>
        <v>#VALUE!</v>
      </c>
      <c r="HX192" t="e">
        <f>AND('Planilla_General_03-12-2012_9_3'!G3071,"AAAAAG/b9+c=")</f>
        <v>#VALUE!</v>
      </c>
      <c r="HY192" t="e">
        <f>AND('Planilla_General_03-12-2012_9_3'!H3071,"AAAAAG/b9+g=")</f>
        <v>#VALUE!</v>
      </c>
      <c r="HZ192" t="e">
        <f>AND('Planilla_General_03-12-2012_9_3'!I3071,"AAAAAG/b9+k=")</f>
        <v>#VALUE!</v>
      </c>
      <c r="IA192" t="e">
        <f>AND('Planilla_General_03-12-2012_9_3'!J3071,"AAAAAG/b9+o=")</f>
        <v>#VALUE!</v>
      </c>
      <c r="IB192" t="e">
        <f>AND('Planilla_General_03-12-2012_9_3'!K3071,"AAAAAG/b9+s=")</f>
        <v>#VALUE!</v>
      </c>
      <c r="IC192" t="e">
        <f>AND('Planilla_General_03-12-2012_9_3'!L3071,"AAAAAG/b9+w=")</f>
        <v>#VALUE!</v>
      </c>
      <c r="ID192" t="e">
        <f>AND('Planilla_General_03-12-2012_9_3'!M3071,"AAAAAG/b9+0=")</f>
        <v>#VALUE!</v>
      </c>
      <c r="IE192" t="e">
        <f>AND('Planilla_General_03-12-2012_9_3'!N3071,"AAAAAG/b9+4=")</f>
        <v>#VALUE!</v>
      </c>
      <c r="IF192" t="e">
        <f>AND('Planilla_General_03-12-2012_9_3'!O3071,"AAAAAG/b9+8=")</f>
        <v>#VALUE!</v>
      </c>
      <c r="IG192">
        <f>IF('Planilla_General_03-12-2012_9_3'!3072:3072,"AAAAAG/b9/A=",0)</f>
        <v>0</v>
      </c>
      <c r="IH192" t="e">
        <f>AND('Planilla_General_03-12-2012_9_3'!A3072,"AAAAAG/b9/E=")</f>
        <v>#VALUE!</v>
      </c>
      <c r="II192" t="e">
        <f>AND('Planilla_General_03-12-2012_9_3'!B3072,"AAAAAG/b9/I=")</f>
        <v>#VALUE!</v>
      </c>
      <c r="IJ192" t="e">
        <f>AND('Planilla_General_03-12-2012_9_3'!C3072,"AAAAAG/b9/M=")</f>
        <v>#VALUE!</v>
      </c>
      <c r="IK192" t="e">
        <f>AND('Planilla_General_03-12-2012_9_3'!D3072,"AAAAAG/b9/Q=")</f>
        <v>#VALUE!</v>
      </c>
      <c r="IL192" t="e">
        <f>AND('Planilla_General_03-12-2012_9_3'!E3072,"AAAAAG/b9/U=")</f>
        <v>#VALUE!</v>
      </c>
      <c r="IM192" t="e">
        <f>AND('Planilla_General_03-12-2012_9_3'!F3072,"AAAAAG/b9/Y=")</f>
        <v>#VALUE!</v>
      </c>
      <c r="IN192" t="e">
        <f>AND('Planilla_General_03-12-2012_9_3'!G3072,"AAAAAG/b9/c=")</f>
        <v>#VALUE!</v>
      </c>
      <c r="IO192" t="e">
        <f>AND('Planilla_General_03-12-2012_9_3'!H3072,"AAAAAG/b9/g=")</f>
        <v>#VALUE!</v>
      </c>
      <c r="IP192" t="e">
        <f>AND('Planilla_General_03-12-2012_9_3'!I3072,"AAAAAG/b9/k=")</f>
        <v>#VALUE!</v>
      </c>
      <c r="IQ192" t="e">
        <f>AND('Planilla_General_03-12-2012_9_3'!J3072,"AAAAAG/b9/o=")</f>
        <v>#VALUE!</v>
      </c>
      <c r="IR192" t="e">
        <f>AND('Planilla_General_03-12-2012_9_3'!K3072,"AAAAAG/b9/s=")</f>
        <v>#VALUE!</v>
      </c>
      <c r="IS192" t="e">
        <f>AND('Planilla_General_03-12-2012_9_3'!L3072,"AAAAAG/b9/w=")</f>
        <v>#VALUE!</v>
      </c>
      <c r="IT192" t="e">
        <f>AND('Planilla_General_03-12-2012_9_3'!M3072,"AAAAAG/b9/0=")</f>
        <v>#VALUE!</v>
      </c>
      <c r="IU192" t="e">
        <f>AND('Planilla_General_03-12-2012_9_3'!N3072,"AAAAAG/b9/4=")</f>
        <v>#VALUE!</v>
      </c>
      <c r="IV192" t="e">
        <f>AND('Planilla_General_03-12-2012_9_3'!O3072,"AAAAAG/b9/8=")</f>
        <v>#VALUE!</v>
      </c>
    </row>
    <row r="193" spans="1:256" x14ac:dyDescent="0.25">
      <c r="A193" t="e">
        <f>IF('Planilla_General_03-12-2012_9_3'!3073:3073,"AAAAAHPznQA=",0)</f>
        <v>#VALUE!</v>
      </c>
      <c r="B193" t="e">
        <f>AND('Planilla_General_03-12-2012_9_3'!A3073,"AAAAAHPznQE=")</f>
        <v>#VALUE!</v>
      </c>
      <c r="C193" t="e">
        <f>AND('Planilla_General_03-12-2012_9_3'!B3073,"AAAAAHPznQI=")</f>
        <v>#VALUE!</v>
      </c>
      <c r="D193" t="e">
        <f>AND('Planilla_General_03-12-2012_9_3'!C3073,"AAAAAHPznQM=")</f>
        <v>#VALUE!</v>
      </c>
      <c r="E193" t="e">
        <f>AND('Planilla_General_03-12-2012_9_3'!D3073,"AAAAAHPznQQ=")</f>
        <v>#VALUE!</v>
      </c>
      <c r="F193" t="e">
        <f>AND('Planilla_General_03-12-2012_9_3'!E3073,"AAAAAHPznQU=")</f>
        <v>#VALUE!</v>
      </c>
      <c r="G193" t="e">
        <f>AND('Planilla_General_03-12-2012_9_3'!F3073,"AAAAAHPznQY=")</f>
        <v>#VALUE!</v>
      </c>
      <c r="H193" t="e">
        <f>AND('Planilla_General_03-12-2012_9_3'!G3073,"AAAAAHPznQc=")</f>
        <v>#VALUE!</v>
      </c>
      <c r="I193" t="e">
        <f>AND('Planilla_General_03-12-2012_9_3'!H3073,"AAAAAHPznQg=")</f>
        <v>#VALUE!</v>
      </c>
      <c r="J193" t="e">
        <f>AND('Planilla_General_03-12-2012_9_3'!I3073,"AAAAAHPznQk=")</f>
        <v>#VALUE!</v>
      </c>
      <c r="K193" t="e">
        <f>AND('Planilla_General_03-12-2012_9_3'!J3073,"AAAAAHPznQo=")</f>
        <v>#VALUE!</v>
      </c>
      <c r="L193" t="e">
        <f>AND('Planilla_General_03-12-2012_9_3'!K3073,"AAAAAHPznQs=")</f>
        <v>#VALUE!</v>
      </c>
      <c r="M193" t="e">
        <f>AND('Planilla_General_03-12-2012_9_3'!L3073,"AAAAAHPznQw=")</f>
        <v>#VALUE!</v>
      </c>
      <c r="N193" t="e">
        <f>AND('Planilla_General_03-12-2012_9_3'!M3073,"AAAAAHPznQ0=")</f>
        <v>#VALUE!</v>
      </c>
      <c r="O193" t="e">
        <f>AND('Planilla_General_03-12-2012_9_3'!N3073,"AAAAAHPznQ4=")</f>
        <v>#VALUE!</v>
      </c>
      <c r="P193" t="e">
        <f>AND('Planilla_General_03-12-2012_9_3'!O3073,"AAAAAHPznQ8=")</f>
        <v>#VALUE!</v>
      </c>
      <c r="Q193">
        <f>IF('Planilla_General_03-12-2012_9_3'!3074:3074,"AAAAAHPznRA=",0)</f>
        <v>0</v>
      </c>
      <c r="R193" t="e">
        <f>AND('Planilla_General_03-12-2012_9_3'!A3074,"AAAAAHPznRE=")</f>
        <v>#VALUE!</v>
      </c>
      <c r="S193" t="e">
        <f>AND('Planilla_General_03-12-2012_9_3'!B3074,"AAAAAHPznRI=")</f>
        <v>#VALUE!</v>
      </c>
      <c r="T193" t="e">
        <f>AND('Planilla_General_03-12-2012_9_3'!C3074,"AAAAAHPznRM=")</f>
        <v>#VALUE!</v>
      </c>
      <c r="U193" t="e">
        <f>AND('Planilla_General_03-12-2012_9_3'!D3074,"AAAAAHPznRQ=")</f>
        <v>#VALUE!</v>
      </c>
      <c r="V193" t="e">
        <f>AND('Planilla_General_03-12-2012_9_3'!E3074,"AAAAAHPznRU=")</f>
        <v>#VALUE!</v>
      </c>
      <c r="W193" t="e">
        <f>AND('Planilla_General_03-12-2012_9_3'!F3074,"AAAAAHPznRY=")</f>
        <v>#VALUE!</v>
      </c>
      <c r="X193" t="e">
        <f>AND('Planilla_General_03-12-2012_9_3'!G3074,"AAAAAHPznRc=")</f>
        <v>#VALUE!</v>
      </c>
      <c r="Y193" t="e">
        <f>AND('Planilla_General_03-12-2012_9_3'!H3074,"AAAAAHPznRg=")</f>
        <v>#VALUE!</v>
      </c>
      <c r="Z193" t="e">
        <f>AND('Planilla_General_03-12-2012_9_3'!I3074,"AAAAAHPznRk=")</f>
        <v>#VALUE!</v>
      </c>
      <c r="AA193" t="e">
        <f>AND('Planilla_General_03-12-2012_9_3'!J3074,"AAAAAHPznRo=")</f>
        <v>#VALUE!</v>
      </c>
      <c r="AB193" t="e">
        <f>AND('Planilla_General_03-12-2012_9_3'!K3074,"AAAAAHPznRs=")</f>
        <v>#VALUE!</v>
      </c>
      <c r="AC193" t="e">
        <f>AND('Planilla_General_03-12-2012_9_3'!L3074,"AAAAAHPznRw=")</f>
        <v>#VALUE!</v>
      </c>
      <c r="AD193" t="e">
        <f>AND('Planilla_General_03-12-2012_9_3'!M3074,"AAAAAHPznR0=")</f>
        <v>#VALUE!</v>
      </c>
      <c r="AE193" t="e">
        <f>AND('Planilla_General_03-12-2012_9_3'!N3074,"AAAAAHPznR4=")</f>
        <v>#VALUE!</v>
      </c>
      <c r="AF193" t="e">
        <f>AND('Planilla_General_03-12-2012_9_3'!O3074,"AAAAAHPznR8=")</f>
        <v>#VALUE!</v>
      </c>
      <c r="AG193">
        <f>IF('Planilla_General_03-12-2012_9_3'!3075:3075,"AAAAAHPznSA=",0)</f>
        <v>0</v>
      </c>
      <c r="AH193" t="e">
        <f>AND('Planilla_General_03-12-2012_9_3'!A3075,"AAAAAHPznSE=")</f>
        <v>#VALUE!</v>
      </c>
      <c r="AI193" t="e">
        <f>AND('Planilla_General_03-12-2012_9_3'!B3075,"AAAAAHPznSI=")</f>
        <v>#VALUE!</v>
      </c>
      <c r="AJ193" t="e">
        <f>AND('Planilla_General_03-12-2012_9_3'!C3075,"AAAAAHPznSM=")</f>
        <v>#VALUE!</v>
      </c>
      <c r="AK193" t="e">
        <f>AND('Planilla_General_03-12-2012_9_3'!D3075,"AAAAAHPznSQ=")</f>
        <v>#VALUE!</v>
      </c>
      <c r="AL193" t="e">
        <f>AND('Planilla_General_03-12-2012_9_3'!E3075,"AAAAAHPznSU=")</f>
        <v>#VALUE!</v>
      </c>
      <c r="AM193" t="e">
        <f>AND('Planilla_General_03-12-2012_9_3'!F3075,"AAAAAHPznSY=")</f>
        <v>#VALUE!</v>
      </c>
      <c r="AN193" t="e">
        <f>AND('Planilla_General_03-12-2012_9_3'!G3075,"AAAAAHPznSc=")</f>
        <v>#VALUE!</v>
      </c>
      <c r="AO193" t="e">
        <f>AND('Planilla_General_03-12-2012_9_3'!H3075,"AAAAAHPznSg=")</f>
        <v>#VALUE!</v>
      </c>
      <c r="AP193" t="e">
        <f>AND('Planilla_General_03-12-2012_9_3'!I3075,"AAAAAHPznSk=")</f>
        <v>#VALUE!</v>
      </c>
      <c r="AQ193" t="e">
        <f>AND('Planilla_General_03-12-2012_9_3'!J3075,"AAAAAHPznSo=")</f>
        <v>#VALUE!</v>
      </c>
      <c r="AR193" t="e">
        <f>AND('Planilla_General_03-12-2012_9_3'!K3075,"AAAAAHPznSs=")</f>
        <v>#VALUE!</v>
      </c>
      <c r="AS193" t="e">
        <f>AND('Planilla_General_03-12-2012_9_3'!L3075,"AAAAAHPznSw=")</f>
        <v>#VALUE!</v>
      </c>
      <c r="AT193" t="e">
        <f>AND('Planilla_General_03-12-2012_9_3'!M3075,"AAAAAHPznS0=")</f>
        <v>#VALUE!</v>
      </c>
      <c r="AU193" t="e">
        <f>AND('Planilla_General_03-12-2012_9_3'!N3075,"AAAAAHPznS4=")</f>
        <v>#VALUE!</v>
      </c>
      <c r="AV193" t="e">
        <f>AND('Planilla_General_03-12-2012_9_3'!O3075,"AAAAAHPznS8=")</f>
        <v>#VALUE!</v>
      </c>
      <c r="AW193">
        <f>IF('Planilla_General_03-12-2012_9_3'!3076:3076,"AAAAAHPznTA=",0)</f>
        <v>0</v>
      </c>
      <c r="AX193" t="e">
        <f>AND('Planilla_General_03-12-2012_9_3'!A3076,"AAAAAHPznTE=")</f>
        <v>#VALUE!</v>
      </c>
      <c r="AY193" t="e">
        <f>AND('Planilla_General_03-12-2012_9_3'!B3076,"AAAAAHPznTI=")</f>
        <v>#VALUE!</v>
      </c>
      <c r="AZ193" t="e">
        <f>AND('Planilla_General_03-12-2012_9_3'!C3076,"AAAAAHPznTM=")</f>
        <v>#VALUE!</v>
      </c>
      <c r="BA193" t="e">
        <f>AND('Planilla_General_03-12-2012_9_3'!D3076,"AAAAAHPznTQ=")</f>
        <v>#VALUE!</v>
      </c>
      <c r="BB193" t="e">
        <f>AND('Planilla_General_03-12-2012_9_3'!E3076,"AAAAAHPznTU=")</f>
        <v>#VALUE!</v>
      </c>
      <c r="BC193" t="e">
        <f>AND('Planilla_General_03-12-2012_9_3'!F3076,"AAAAAHPznTY=")</f>
        <v>#VALUE!</v>
      </c>
      <c r="BD193" t="e">
        <f>AND('Planilla_General_03-12-2012_9_3'!G3076,"AAAAAHPznTc=")</f>
        <v>#VALUE!</v>
      </c>
      <c r="BE193" t="e">
        <f>AND('Planilla_General_03-12-2012_9_3'!H3076,"AAAAAHPznTg=")</f>
        <v>#VALUE!</v>
      </c>
      <c r="BF193" t="e">
        <f>AND('Planilla_General_03-12-2012_9_3'!I3076,"AAAAAHPznTk=")</f>
        <v>#VALUE!</v>
      </c>
      <c r="BG193" t="e">
        <f>AND('Planilla_General_03-12-2012_9_3'!J3076,"AAAAAHPznTo=")</f>
        <v>#VALUE!</v>
      </c>
      <c r="BH193" t="e">
        <f>AND('Planilla_General_03-12-2012_9_3'!K3076,"AAAAAHPznTs=")</f>
        <v>#VALUE!</v>
      </c>
      <c r="BI193" t="e">
        <f>AND('Planilla_General_03-12-2012_9_3'!L3076,"AAAAAHPznTw=")</f>
        <v>#VALUE!</v>
      </c>
      <c r="BJ193" t="e">
        <f>AND('Planilla_General_03-12-2012_9_3'!M3076,"AAAAAHPznT0=")</f>
        <v>#VALUE!</v>
      </c>
      <c r="BK193" t="e">
        <f>AND('Planilla_General_03-12-2012_9_3'!N3076,"AAAAAHPznT4=")</f>
        <v>#VALUE!</v>
      </c>
      <c r="BL193" t="e">
        <f>AND('Planilla_General_03-12-2012_9_3'!O3076,"AAAAAHPznT8=")</f>
        <v>#VALUE!</v>
      </c>
      <c r="BM193">
        <f>IF('Planilla_General_03-12-2012_9_3'!3077:3077,"AAAAAHPznUA=",0)</f>
        <v>0</v>
      </c>
      <c r="BN193" t="e">
        <f>AND('Planilla_General_03-12-2012_9_3'!A3077,"AAAAAHPznUE=")</f>
        <v>#VALUE!</v>
      </c>
      <c r="BO193" t="e">
        <f>AND('Planilla_General_03-12-2012_9_3'!B3077,"AAAAAHPznUI=")</f>
        <v>#VALUE!</v>
      </c>
      <c r="BP193" t="e">
        <f>AND('Planilla_General_03-12-2012_9_3'!C3077,"AAAAAHPznUM=")</f>
        <v>#VALUE!</v>
      </c>
      <c r="BQ193" t="e">
        <f>AND('Planilla_General_03-12-2012_9_3'!D3077,"AAAAAHPznUQ=")</f>
        <v>#VALUE!</v>
      </c>
      <c r="BR193" t="e">
        <f>AND('Planilla_General_03-12-2012_9_3'!E3077,"AAAAAHPznUU=")</f>
        <v>#VALUE!</v>
      </c>
      <c r="BS193" t="e">
        <f>AND('Planilla_General_03-12-2012_9_3'!F3077,"AAAAAHPznUY=")</f>
        <v>#VALUE!</v>
      </c>
      <c r="BT193" t="e">
        <f>AND('Planilla_General_03-12-2012_9_3'!G3077,"AAAAAHPznUc=")</f>
        <v>#VALUE!</v>
      </c>
      <c r="BU193" t="e">
        <f>AND('Planilla_General_03-12-2012_9_3'!H3077,"AAAAAHPznUg=")</f>
        <v>#VALUE!</v>
      </c>
      <c r="BV193" t="e">
        <f>AND('Planilla_General_03-12-2012_9_3'!I3077,"AAAAAHPznUk=")</f>
        <v>#VALUE!</v>
      </c>
      <c r="BW193" t="e">
        <f>AND('Planilla_General_03-12-2012_9_3'!J3077,"AAAAAHPznUo=")</f>
        <v>#VALUE!</v>
      </c>
      <c r="BX193" t="e">
        <f>AND('Planilla_General_03-12-2012_9_3'!K3077,"AAAAAHPznUs=")</f>
        <v>#VALUE!</v>
      </c>
      <c r="BY193" t="e">
        <f>AND('Planilla_General_03-12-2012_9_3'!L3077,"AAAAAHPznUw=")</f>
        <v>#VALUE!</v>
      </c>
      <c r="BZ193" t="e">
        <f>AND('Planilla_General_03-12-2012_9_3'!M3077,"AAAAAHPznU0=")</f>
        <v>#VALUE!</v>
      </c>
      <c r="CA193" t="e">
        <f>AND('Planilla_General_03-12-2012_9_3'!N3077,"AAAAAHPznU4=")</f>
        <v>#VALUE!</v>
      </c>
      <c r="CB193" t="e">
        <f>AND('Planilla_General_03-12-2012_9_3'!O3077,"AAAAAHPznU8=")</f>
        <v>#VALUE!</v>
      </c>
      <c r="CC193">
        <f>IF('Planilla_General_03-12-2012_9_3'!3078:3078,"AAAAAHPznVA=",0)</f>
        <v>0</v>
      </c>
      <c r="CD193" t="e">
        <f>AND('Planilla_General_03-12-2012_9_3'!A3078,"AAAAAHPznVE=")</f>
        <v>#VALUE!</v>
      </c>
      <c r="CE193" t="e">
        <f>AND('Planilla_General_03-12-2012_9_3'!B3078,"AAAAAHPznVI=")</f>
        <v>#VALUE!</v>
      </c>
      <c r="CF193" t="e">
        <f>AND('Planilla_General_03-12-2012_9_3'!C3078,"AAAAAHPznVM=")</f>
        <v>#VALUE!</v>
      </c>
      <c r="CG193" t="e">
        <f>AND('Planilla_General_03-12-2012_9_3'!D3078,"AAAAAHPznVQ=")</f>
        <v>#VALUE!</v>
      </c>
      <c r="CH193" t="e">
        <f>AND('Planilla_General_03-12-2012_9_3'!E3078,"AAAAAHPznVU=")</f>
        <v>#VALUE!</v>
      </c>
      <c r="CI193" t="e">
        <f>AND('Planilla_General_03-12-2012_9_3'!F3078,"AAAAAHPznVY=")</f>
        <v>#VALUE!</v>
      </c>
      <c r="CJ193" t="e">
        <f>AND('Planilla_General_03-12-2012_9_3'!G3078,"AAAAAHPznVc=")</f>
        <v>#VALUE!</v>
      </c>
      <c r="CK193" t="e">
        <f>AND('Planilla_General_03-12-2012_9_3'!H3078,"AAAAAHPznVg=")</f>
        <v>#VALUE!</v>
      </c>
      <c r="CL193" t="e">
        <f>AND('Planilla_General_03-12-2012_9_3'!I3078,"AAAAAHPznVk=")</f>
        <v>#VALUE!</v>
      </c>
      <c r="CM193" t="e">
        <f>AND('Planilla_General_03-12-2012_9_3'!J3078,"AAAAAHPznVo=")</f>
        <v>#VALUE!</v>
      </c>
      <c r="CN193" t="e">
        <f>AND('Planilla_General_03-12-2012_9_3'!K3078,"AAAAAHPznVs=")</f>
        <v>#VALUE!</v>
      </c>
      <c r="CO193" t="e">
        <f>AND('Planilla_General_03-12-2012_9_3'!L3078,"AAAAAHPznVw=")</f>
        <v>#VALUE!</v>
      </c>
      <c r="CP193" t="e">
        <f>AND('Planilla_General_03-12-2012_9_3'!M3078,"AAAAAHPznV0=")</f>
        <v>#VALUE!</v>
      </c>
      <c r="CQ193" t="e">
        <f>AND('Planilla_General_03-12-2012_9_3'!N3078,"AAAAAHPznV4=")</f>
        <v>#VALUE!</v>
      </c>
      <c r="CR193" t="e">
        <f>AND('Planilla_General_03-12-2012_9_3'!O3078,"AAAAAHPznV8=")</f>
        <v>#VALUE!</v>
      </c>
      <c r="CS193">
        <f>IF('Planilla_General_03-12-2012_9_3'!3079:3079,"AAAAAHPznWA=",0)</f>
        <v>0</v>
      </c>
      <c r="CT193" t="e">
        <f>AND('Planilla_General_03-12-2012_9_3'!A3079,"AAAAAHPznWE=")</f>
        <v>#VALUE!</v>
      </c>
      <c r="CU193" t="e">
        <f>AND('Planilla_General_03-12-2012_9_3'!B3079,"AAAAAHPznWI=")</f>
        <v>#VALUE!</v>
      </c>
      <c r="CV193" t="e">
        <f>AND('Planilla_General_03-12-2012_9_3'!C3079,"AAAAAHPznWM=")</f>
        <v>#VALUE!</v>
      </c>
      <c r="CW193" t="e">
        <f>AND('Planilla_General_03-12-2012_9_3'!D3079,"AAAAAHPznWQ=")</f>
        <v>#VALUE!</v>
      </c>
      <c r="CX193" t="e">
        <f>AND('Planilla_General_03-12-2012_9_3'!E3079,"AAAAAHPznWU=")</f>
        <v>#VALUE!</v>
      </c>
      <c r="CY193" t="e">
        <f>AND('Planilla_General_03-12-2012_9_3'!F3079,"AAAAAHPznWY=")</f>
        <v>#VALUE!</v>
      </c>
      <c r="CZ193" t="e">
        <f>AND('Planilla_General_03-12-2012_9_3'!G3079,"AAAAAHPznWc=")</f>
        <v>#VALUE!</v>
      </c>
      <c r="DA193" t="e">
        <f>AND('Planilla_General_03-12-2012_9_3'!H3079,"AAAAAHPznWg=")</f>
        <v>#VALUE!</v>
      </c>
      <c r="DB193" t="e">
        <f>AND('Planilla_General_03-12-2012_9_3'!I3079,"AAAAAHPznWk=")</f>
        <v>#VALUE!</v>
      </c>
      <c r="DC193" t="e">
        <f>AND('Planilla_General_03-12-2012_9_3'!J3079,"AAAAAHPznWo=")</f>
        <v>#VALUE!</v>
      </c>
      <c r="DD193" t="e">
        <f>AND('Planilla_General_03-12-2012_9_3'!K3079,"AAAAAHPznWs=")</f>
        <v>#VALUE!</v>
      </c>
      <c r="DE193" t="e">
        <f>AND('Planilla_General_03-12-2012_9_3'!L3079,"AAAAAHPznWw=")</f>
        <v>#VALUE!</v>
      </c>
      <c r="DF193" t="e">
        <f>AND('Planilla_General_03-12-2012_9_3'!M3079,"AAAAAHPznW0=")</f>
        <v>#VALUE!</v>
      </c>
      <c r="DG193" t="e">
        <f>AND('Planilla_General_03-12-2012_9_3'!N3079,"AAAAAHPznW4=")</f>
        <v>#VALUE!</v>
      </c>
      <c r="DH193" t="e">
        <f>AND('Planilla_General_03-12-2012_9_3'!O3079,"AAAAAHPznW8=")</f>
        <v>#VALUE!</v>
      </c>
      <c r="DI193">
        <f>IF('Planilla_General_03-12-2012_9_3'!3080:3080,"AAAAAHPznXA=",0)</f>
        <v>0</v>
      </c>
      <c r="DJ193" t="e">
        <f>AND('Planilla_General_03-12-2012_9_3'!A3080,"AAAAAHPznXE=")</f>
        <v>#VALUE!</v>
      </c>
      <c r="DK193" t="e">
        <f>AND('Planilla_General_03-12-2012_9_3'!B3080,"AAAAAHPznXI=")</f>
        <v>#VALUE!</v>
      </c>
      <c r="DL193" t="e">
        <f>AND('Planilla_General_03-12-2012_9_3'!C3080,"AAAAAHPznXM=")</f>
        <v>#VALUE!</v>
      </c>
      <c r="DM193" t="e">
        <f>AND('Planilla_General_03-12-2012_9_3'!D3080,"AAAAAHPznXQ=")</f>
        <v>#VALUE!</v>
      </c>
      <c r="DN193" t="e">
        <f>AND('Planilla_General_03-12-2012_9_3'!E3080,"AAAAAHPznXU=")</f>
        <v>#VALUE!</v>
      </c>
      <c r="DO193" t="e">
        <f>AND('Planilla_General_03-12-2012_9_3'!F3080,"AAAAAHPznXY=")</f>
        <v>#VALUE!</v>
      </c>
      <c r="DP193" t="e">
        <f>AND('Planilla_General_03-12-2012_9_3'!G3080,"AAAAAHPznXc=")</f>
        <v>#VALUE!</v>
      </c>
      <c r="DQ193" t="e">
        <f>AND('Planilla_General_03-12-2012_9_3'!H3080,"AAAAAHPznXg=")</f>
        <v>#VALUE!</v>
      </c>
      <c r="DR193" t="e">
        <f>AND('Planilla_General_03-12-2012_9_3'!I3080,"AAAAAHPznXk=")</f>
        <v>#VALUE!</v>
      </c>
      <c r="DS193" t="e">
        <f>AND('Planilla_General_03-12-2012_9_3'!J3080,"AAAAAHPznXo=")</f>
        <v>#VALUE!</v>
      </c>
      <c r="DT193" t="e">
        <f>AND('Planilla_General_03-12-2012_9_3'!K3080,"AAAAAHPznXs=")</f>
        <v>#VALUE!</v>
      </c>
      <c r="DU193" t="e">
        <f>AND('Planilla_General_03-12-2012_9_3'!L3080,"AAAAAHPznXw=")</f>
        <v>#VALUE!</v>
      </c>
      <c r="DV193" t="e">
        <f>AND('Planilla_General_03-12-2012_9_3'!M3080,"AAAAAHPznX0=")</f>
        <v>#VALUE!</v>
      </c>
      <c r="DW193" t="e">
        <f>AND('Planilla_General_03-12-2012_9_3'!N3080,"AAAAAHPznX4=")</f>
        <v>#VALUE!</v>
      </c>
      <c r="DX193" t="e">
        <f>AND('Planilla_General_03-12-2012_9_3'!O3080,"AAAAAHPznX8=")</f>
        <v>#VALUE!</v>
      </c>
      <c r="DY193">
        <f>IF('Planilla_General_03-12-2012_9_3'!3081:3081,"AAAAAHPznYA=",0)</f>
        <v>0</v>
      </c>
      <c r="DZ193" t="e">
        <f>AND('Planilla_General_03-12-2012_9_3'!A3081,"AAAAAHPznYE=")</f>
        <v>#VALUE!</v>
      </c>
      <c r="EA193" t="e">
        <f>AND('Planilla_General_03-12-2012_9_3'!B3081,"AAAAAHPznYI=")</f>
        <v>#VALUE!</v>
      </c>
      <c r="EB193" t="e">
        <f>AND('Planilla_General_03-12-2012_9_3'!C3081,"AAAAAHPznYM=")</f>
        <v>#VALUE!</v>
      </c>
      <c r="EC193" t="e">
        <f>AND('Planilla_General_03-12-2012_9_3'!D3081,"AAAAAHPznYQ=")</f>
        <v>#VALUE!</v>
      </c>
      <c r="ED193" t="e">
        <f>AND('Planilla_General_03-12-2012_9_3'!E3081,"AAAAAHPznYU=")</f>
        <v>#VALUE!</v>
      </c>
      <c r="EE193" t="e">
        <f>AND('Planilla_General_03-12-2012_9_3'!F3081,"AAAAAHPznYY=")</f>
        <v>#VALUE!</v>
      </c>
      <c r="EF193" t="e">
        <f>AND('Planilla_General_03-12-2012_9_3'!G3081,"AAAAAHPznYc=")</f>
        <v>#VALUE!</v>
      </c>
      <c r="EG193" t="e">
        <f>AND('Planilla_General_03-12-2012_9_3'!H3081,"AAAAAHPznYg=")</f>
        <v>#VALUE!</v>
      </c>
      <c r="EH193" t="e">
        <f>AND('Planilla_General_03-12-2012_9_3'!I3081,"AAAAAHPznYk=")</f>
        <v>#VALUE!</v>
      </c>
      <c r="EI193" t="e">
        <f>AND('Planilla_General_03-12-2012_9_3'!J3081,"AAAAAHPznYo=")</f>
        <v>#VALUE!</v>
      </c>
      <c r="EJ193" t="e">
        <f>AND('Planilla_General_03-12-2012_9_3'!K3081,"AAAAAHPznYs=")</f>
        <v>#VALUE!</v>
      </c>
      <c r="EK193" t="e">
        <f>AND('Planilla_General_03-12-2012_9_3'!L3081,"AAAAAHPznYw=")</f>
        <v>#VALUE!</v>
      </c>
      <c r="EL193" t="e">
        <f>AND('Planilla_General_03-12-2012_9_3'!M3081,"AAAAAHPznY0=")</f>
        <v>#VALUE!</v>
      </c>
      <c r="EM193" t="e">
        <f>AND('Planilla_General_03-12-2012_9_3'!N3081,"AAAAAHPznY4=")</f>
        <v>#VALUE!</v>
      </c>
      <c r="EN193" t="e">
        <f>AND('Planilla_General_03-12-2012_9_3'!O3081,"AAAAAHPznY8=")</f>
        <v>#VALUE!</v>
      </c>
      <c r="EO193">
        <f>IF('Planilla_General_03-12-2012_9_3'!3082:3082,"AAAAAHPznZA=",0)</f>
        <v>0</v>
      </c>
      <c r="EP193" t="e">
        <f>AND('Planilla_General_03-12-2012_9_3'!A3082,"AAAAAHPznZE=")</f>
        <v>#VALUE!</v>
      </c>
      <c r="EQ193" t="e">
        <f>AND('Planilla_General_03-12-2012_9_3'!B3082,"AAAAAHPznZI=")</f>
        <v>#VALUE!</v>
      </c>
      <c r="ER193" t="e">
        <f>AND('Planilla_General_03-12-2012_9_3'!C3082,"AAAAAHPznZM=")</f>
        <v>#VALUE!</v>
      </c>
      <c r="ES193" t="e">
        <f>AND('Planilla_General_03-12-2012_9_3'!D3082,"AAAAAHPznZQ=")</f>
        <v>#VALUE!</v>
      </c>
      <c r="ET193" t="e">
        <f>AND('Planilla_General_03-12-2012_9_3'!E3082,"AAAAAHPznZU=")</f>
        <v>#VALUE!</v>
      </c>
      <c r="EU193" t="e">
        <f>AND('Planilla_General_03-12-2012_9_3'!F3082,"AAAAAHPznZY=")</f>
        <v>#VALUE!</v>
      </c>
      <c r="EV193" t="e">
        <f>AND('Planilla_General_03-12-2012_9_3'!G3082,"AAAAAHPznZc=")</f>
        <v>#VALUE!</v>
      </c>
      <c r="EW193" t="e">
        <f>AND('Planilla_General_03-12-2012_9_3'!H3082,"AAAAAHPznZg=")</f>
        <v>#VALUE!</v>
      </c>
      <c r="EX193" t="e">
        <f>AND('Planilla_General_03-12-2012_9_3'!I3082,"AAAAAHPznZk=")</f>
        <v>#VALUE!</v>
      </c>
      <c r="EY193" t="e">
        <f>AND('Planilla_General_03-12-2012_9_3'!J3082,"AAAAAHPznZo=")</f>
        <v>#VALUE!</v>
      </c>
      <c r="EZ193" t="e">
        <f>AND('Planilla_General_03-12-2012_9_3'!K3082,"AAAAAHPznZs=")</f>
        <v>#VALUE!</v>
      </c>
      <c r="FA193" t="e">
        <f>AND('Planilla_General_03-12-2012_9_3'!L3082,"AAAAAHPznZw=")</f>
        <v>#VALUE!</v>
      </c>
      <c r="FB193" t="e">
        <f>AND('Planilla_General_03-12-2012_9_3'!M3082,"AAAAAHPznZ0=")</f>
        <v>#VALUE!</v>
      </c>
      <c r="FC193" t="e">
        <f>AND('Planilla_General_03-12-2012_9_3'!N3082,"AAAAAHPznZ4=")</f>
        <v>#VALUE!</v>
      </c>
      <c r="FD193" t="e">
        <f>AND('Planilla_General_03-12-2012_9_3'!O3082,"AAAAAHPznZ8=")</f>
        <v>#VALUE!</v>
      </c>
      <c r="FE193">
        <f>IF('Planilla_General_03-12-2012_9_3'!3083:3083,"AAAAAHPznaA=",0)</f>
        <v>0</v>
      </c>
      <c r="FF193" t="e">
        <f>AND('Planilla_General_03-12-2012_9_3'!A3083,"AAAAAHPznaE=")</f>
        <v>#VALUE!</v>
      </c>
      <c r="FG193" t="e">
        <f>AND('Planilla_General_03-12-2012_9_3'!B3083,"AAAAAHPznaI=")</f>
        <v>#VALUE!</v>
      </c>
      <c r="FH193" t="e">
        <f>AND('Planilla_General_03-12-2012_9_3'!C3083,"AAAAAHPznaM=")</f>
        <v>#VALUE!</v>
      </c>
      <c r="FI193" t="e">
        <f>AND('Planilla_General_03-12-2012_9_3'!D3083,"AAAAAHPznaQ=")</f>
        <v>#VALUE!</v>
      </c>
      <c r="FJ193" t="e">
        <f>AND('Planilla_General_03-12-2012_9_3'!E3083,"AAAAAHPznaU=")</f>
        <v>#VALUE!</v>
      </c>
      <c r="FK193" t="e">
        <f>AND('Planilla_General_03-12-2012_9_3'!F3083,"AAAAAHPznaY=")</f>
        <v>#VALUE!</v>
      </c>
      <c r="FL193" t="e">
        <f>AND('Planilla_General_03-12-2012_9_3'!G3083,"AAAAAHPznac=")</f>
        <v>#VALUE!</v>
      </c>
      <c r="FM193" t="e">
        <f>AND('Planilla_General_03-12-2012_9_3'!H3083,"AAAAAHPznag=")</f>
        <v>#VALUE!</v>
      </c>
      <c r="FN193" t="e">
        <f>AND('Planilla_General_03-12-2012_9_3'!I3083,"AAAAAHPznak=")</f>
        <v>#VALUE!</v>
      </c>
      <c r="FO193" t="e">
        <f>AND('Planilla_General_03-12-2012_9_3'!J3083,"AAAAAHPznao=")</f>
        <v>#VALUE!</v>
      </c>
      <c r="FP193" t="e">
        <f>AND('Planilla_General_03-12-2012_9_3'!K3083,"AAAAAHPznas=")</f>
        <v>#VALUE!</v>
      </c>
      <c r="FQ193" t="e">
        <f>AND('Planilla_General_03-12-2012_9_3'!L3083,"AAAAAHPznaw=")</f>
        <v>#VALUE!</v>
      </c>
      <c r="FR193" t="e">
        <f>AND('Planilla_General_03-12-2012_9_3'!M3083,"AAAAAHPzna0=")</f>
        <v>#VALUE!</v>
      </c>
      <c r="FS193" t="e">
        <f>AND('Planilla_General_03-12-2012_9_3'!N3083,"AAAAAHPzna4=")</f>
        <v>#VALUE!</v>
      </c>
      <c r="FT193" t="e">
        <f>AND('Planilla_General_03-12-2012_9_3'!O3083,"AAAAAHPzna8=")</f>
        <v>#VALUE!</v>
      </c>
      <c r="FU193">
        <f>IF('Planilla_General_03-12-2012_9_3'!3084:3084,"AAAAAHPznbA=",0)</f>
        <v>0</v>
      </c>
      <c r="FV193" t="e">
        <f>AND('Planilla_General_03-12-2012_9_3'!A3084,"AAAAAHPznbE=")</f>
        <v>#VALUE!</v>
      </c>
      <c r="FW193" t="e">
        <f>AND('Planilla_General_03-12-2012_9_3'!B3084,"AAAAAHPznbI=")</f>
        <v>#VALUE!</v>
      </c>
      <c r="FX193" t="e">
        <f>AND('Planilla_General_03-12-2012_9_3'!C3084,"AAAAAHPznbM=")</f>
        <v>#VALUE!</v>
      </c>
      <c r="FY193" t="e">
        <f>AND('Planilla_General_03-12-2012_9_3'!D3084,"AAAAAHPznbQ=")</f>
        <v>#VALUE!</v>
      </c>
      <c r="FZ193" t="e">
        <f>AND('Planilla_General_03-12-2012_9_3'!E3084,"AAAAAHPznbU=")</f>
        <v>#VALUE!</v>
      </c>
      <c r="GA193" t="e">
        <f>AND('Planilla_General_03-12-2012_9_3'!F3084,"AAAAAHPznbY=")</f>
        <v>#VALUE!</v>
      </c>
      <c r="GB193" t="e">
        <f>AND('Planilla_General_03-12-2012_9_3'!G3084,"AAAAAHPznbc=")</f>
        <v>#VALUE!</v>
      </c>
      <c r="GC193" t="e">
        <f>AND('Planilla_General_03-12-2012_9_3'!H3084,"AAAAAHPznbg=")</f>
        <v>#VALUE!</v>
      </c>
      <c r="GD193" t="e">
        <f>AND('Planilla_General_03-12-2012_9_3'!I3084,"AAAAAHPznbk=")</f>
        <v>#VALUE!</v>
      </c>
      <c r="GE193" t="e">
        <f>AND('Planilla_General_03-12-2012_9_3'!J3084,"AAAAAHPznbo=")</f>
        <v>#VALUE!</v>
      </c>
      <c r="GF193" t="e">
        <f>AND('Planilla_General_03-12-2012_9_3'!K3084,"AAAAAHPznbs=")</f>
        <v>#VALUE!</v>
      </c>
      <c r="GG193" t="e">
        <f>AND('Planilla_General_03-12-2012_9_3'!L3084,"AAAAAHPznbw=")</f>
        <v>#VALUE!</v>
      </c>
      <c r="GH193" t="e">
        <f>AND('Planilla_General_03-12-2012_9_3'!M3084,"AAAAAHPznb0=")</f>
        <v>#VALUE!</v>
      </c>
      <c r="GI193" t="e">
        <f>AND('Planilla_General_03-12-2012_9_3'!N3084,"AAAAAHPznb4=")</f>
        <v>#VALUE!</v>
      </c>
      <c r="GJ193" t="e">
        <f>AND('Planilla_General_03-12-2012_9_3'!O3084,"AAAAAHPznb8=")</f>
        <v>#VALUE!</v>
      </c>
      <c r="GK193">
        <f>IF('Planilla_General_03-12-2012_9_3'!3085:3085,"AAAAAHPzncA=",0)</f>
        <v>0</v>
      </c>
      <c r="GL193" t="e">
        <f>AND('Planilla_General_03-12-2012_9_3'!A3085,"AAAAAHPzncE=")</f>
        <v>#VALUE!</v>
      </c>
      <c r="GM193" t="e">
        <f>AND('Planilla_General_03-12-2012_9_3'!B3085,"AAAAAHPzncI=")</f>
        <v>#VALUE!</v>
      </c>
      <c r="GN193" t="e">
        <f>AND('Planilla_General_03-12-2012_9_3'!C3085,"AAAAAHPzncM=")</f>
        <v>#VALUE!</v>
      </c>
      <c r="GO193" t="e">
        <f>AND('Planilla_General_03-12-2012_9_3'!D3085,"AAAAAHPzncQ=")</f>
        <v>#VALUE!</v>
      </c>
      <c r="GP193" t="e">
        <f>AND('Planilla_General_03-12-2012_9_3'!E3085,"AAAAAHPzncU=")</f>
        <v>#VALUE!</v>
      </c>
      <c r="GQ193" t="e">
        <f>AND('Planilla_General_03-12-2012_9_3'!F3085,"AAAAAHPzncY=")</f>
        <v>#VALUE!</v>
      </c>
      <c r="GR193" t="e">
        <f>AND('Planilla_General_03-12-2012_9_3'!G3085,"AAAAAHPzncc=")</f>
        <v>#VALUE!</v>
      </c>
      <c r="GS193" t="e">
        <f>AND('Planilla_General_03-12-2012_9_3'!H3085,"AAAAAHPzncg=")</f>
        <v>#VALUE!</v>
      </c>
      <c r="GT193" t="e">
        <f>AND('Planilla_General_03-12-2012_9_3'!I3085,"AAAAAHPznck=")</f>
        <v>#VALUE!</v>
      </c>
      <c r="GU193" t="e">
        <f>AND('Planilla_General_03-12-2012_9_3'!J3085,"AAAAAHPznco=")</f>
        <v>#VALUE!</v>
      </c>
      <c r="GV193" t="e">
        <f>AND('Planilla_General_03-12-2012_9_3'!K3085,"AAAAAHPzncs=")</f>
        <v>#VALUE!</v>
      </c>
      <c r="GW193" t="e">
        <f>AND('Planilla_General_03-12-2012_9_3'!L3085,"AAAAAHPzncw=")</f>
        <v>#VALUE!</v>
      </c>
      <c r="GX193" t="e">
        <f>AND('Planilla_General_03-12-2012_9_3'!M3085,"AAAAAHPznc0=")</f>
        <v>#VALUE!</v>
      </c>
      <c r="GY193" t="e">
        <f>AND('Planilla_General_03-12-2012_9_3'!N3085,"AAAAAHPznc4=")</f>
        <v>#VALUE!</v>
      </c>
      <c r="GZ193" t="e">
        <f>AND('Planilla_General_03-12-2012_9_3'!O3085,"AAAAAHPznc8=")</f>
        <v>#VALUE!</v>
      </c>
      <c r="HA193">
        <f>IF('Planilla_General_03-12-2012_9_3'!3086:3086,"AAAAAHPzndA=",0)</f>
        <v>0</v>
      </c>
      <c r="HB193" t="e">
        <f>AND('Planilla_General_03-12-2012_9_3'!A3086,"AAAAAHPzndE=")</f>
        <v>#VALUE!</v>
      </c>
      <c r="HC193" t="e">
        <f>AND('Planilla_General_03-12-2012_9_3'!B3086,"AAAAAHPzndI=")</f>
        <v>#VALUE!</v>
      </c>
      <c r="HD193" t="e">
        <f>AND('Planilla_General_03-12-2012_9_3'!C3086,"AAAAAHPzndM=")</f>
        <v>#VALUE!</v>
      </c>
      <c r="HE193" t="e">
        <f>AND('Planilla_General_03-12-2012_9_3'!D3086,"AAAAAHPzndQ=")</f>
        <v>#VALUE!</v>
      </c>
      <c r="HF193" t="e">
        <f>AND('Planilla_General_03-12-2012_9_3'!E3086,"AAAAAHPzndU=")</f>
        <v>#VALUE!</v>
      </c>
      <c r="HG193" t="e">
        <f>AND('Planilla_General_03-12-2012_9_3'!F3086,"AAAAAHPzndY=")</f>
        <v>#VALUE!</v>
      </c>
      <c r="HH193" t="e">
        <f>AND('Planilla_General_03-12-2012_9_3'!G3086,"AAAAAHPzndc=")</f>
        <v>#VALUE!</v>
      </c>
      <c r="HI193" t="e">
        <f>AND('Planilla_General_03-12-2012_9_3'!H3086,"AAAAAHPzndg=")</f>
        <v>#VALUE!</v>
      </c>
      <c r="HJ193" t="e">
        <f>AND('Planilla_General_03-12-2012_9_3'!I3086,"AAAAAHPzndk=")</f>
        <v>#VALUE!</v>
      </c>
      <c r="HK193" t="e">
        <f>AND('Planilla_General_03-12-2012_9_3'!J3086,"AAAAAHPzndo=")</f>
        <v>#VALUE!</v>
      </c>
      <c r="HL193" t="e">
        <f>AND('Planilla_General_03-12-2012_9_3'!K3086,"AAAAAHPznds=")</f>
        <v>#VALUE!</v>
      </c>
      <c r="HM193" t="e">
        <f>AND('Planilla_General_03-12-2012_9_3'!L3086,"AAAAAHPzndw=")</f>
        <v>#VALUE!</v>
      </c>
      <c r="HN193" t="e">
        <f>AND('Planilla_General_03-12-2012_9_3'!M3086,"AAAAAHPznd0=")</f>
        <v>#VALUE!</v>
      </c>
      <c r="HO193" t="e">
        <f>AND('Planilla_General_03-12-2012_9_3'!N3086,"AAAAAHPznd4=")</f>
        <v>#VALUE!</v>
      </c>
      <c r="HP193" t="e">
        <f>AND('Planilla_General_03-12-2012_9_3'!O3086,"AAAAAHPznd8=")</f>
        <v>#VALUE!</v>
      </c>
      <c r="HQ193">
        <f>IF('Planilla_General_03-12-2012_9_3'!3087:3087,"AAAAAHPzneA=",0)</f>
        <v>0</v>
      </c>
      <c r="HR193" t="e">
        <f>AND('Planilla_General_03-12-2012_9_3'!A3087,"AAAAAHPzneE=")</f>
        <v>#VALUE!</v>
      </c>
      <c r="HS193" t="e">
        <f>AND('Planilla_General_03-12-2012_9_3'!B3087,"AAAAAHPzneI=")</f>
        <v>#VALUE!</v>
      </c>
      <c r="HT193" t="e">
        <f>AND('Planilla_General_03-12-2012_9_3'!C3087,"AAAAAHPzneM=")</f>
        <v>#VALUE!</v>
      </c>
      <c r="HU193" t="e">
        <f>AND('Planilla_General_03-12-2012_9_3'!D3087,"AAAAAHPzneQ=")</f>
        <v>#VALUE!</v>
      </c>
      <c r="HV193" t="e">
        <f>AND('Planilla_General_03-12-2012_9_3'!E3087,"AAAAAHPzneU=")</f>
        <v>#VALUE!</v>
      </c>
      <c r="HW193" t="e">
        <f>AND('Planilla_General_03-12-2012_9_3'!F3087,"AAAAAHPzneY=")</f>
        <v>#VALUE!</v>
      </c>
      <c r="HX193" t="e">
        <f>AND('Planilla_General_03-12-2012_9_3'!G3087,"AAAAAHPznec=")</f>
        <v>#VALUE!</v>
      </c>
      <c r="HY193" t="e">
        <f>AND('Planilla_General_03-12-2012_9_3'!H3087,"AAAAAHPzneg=")</f>
        <v>#VALUE!</v>
      </c>
      <c r="HZ193" t="e">
        <f>AND('Planilla_General_03-12-2012_9_3'!I3087,"AAAAAHPznek=")</f>
        <v>#VALUE!</v>
      </c>
      <c r="IA193" t="e">
        <f>AND('Planilla_General_03-12-2012_9_3'!J3087,"AAAAAHPzneo=")</f>
        <v>#VALUE!</v>
      </c>
      <c r="IB193" t="e">
        <f>AND('Planilla_General_03-12-2012_9_3'!K3087,"AAAAAHPznes=")</f>
        <v>#VALUE!</v>
      </c>
      <c r="IC193" t="e">
        <f>AND('Planilla_General_03-12-2012_9_3'!L3087,"AAAAAHPznew=")</f>
        <v>#VALUE!</v>
      </c>
      <c r="ID193" t="e">
        <f>AND('Planilla_General_03-12-2012_9_3'!M3087,"AAAAAHPzne0=")</f>
        <v>#VALUE!</v>
      </c>
      <c r="IE193" t="e">
        <f>AND('Planilla_General_03-12-2012_9_3'!N3087,"AAAAAHPzne4=")</f>
        <v>#VALUE!</v>
      </c>
      <c r="IF193" t="e">
        <f>AND('Planilla_General_03-12-2012_9_3'!O3087,"AAAAAHPzne8=")</f>
        <v>#VALUE!</v>
      </c>
      <c r="IG193">
        <f>IF('Planilla_General_03-12-2012_9_3'!3088:3088,"AAAAAHPznfA=",0)</f>
        <v>0</v>
      </c>
      <c r="IH193" t="e">
        <f>AND('Planilla_General_03-12-2012_9_3'!A3088,"AAAAAHPznfE=")</f>
        <v>#VALUE!</v>
      </c>
      <c r="II193" t="e">
        <f>AND('Planilla_General_03-12-2012_9_3'!B3088,"AAAAAHPznfI=")</f>
        <v>#VALUE!</v>
      </c>
      <c r="IJ193" t="e">
        <f>AND('Planilla_General_03-12-2012_9_3'!C3088,"AAAAAHPznfM=")</f>
        <v>#VALUE!</v>
      </c>
      <c r="IK193" t="e">
        <f>AND('Planilla_General_03-12-2012_9_3'!D3088,"AAAAAHPznfQ=")</f>
        <v>#VALUE!</v>
      </c>
      <c r="IL193" t="e">
        <f>AND('Planilla_General_03-12-2012_9_3'!E3088,"AAAAAHPznfU=")</f>
        <v>#VALUE!</v>
      </c>
      <c r="IM193" t="e">
        <f>AND('Planilla_General_03-12-2012_9_3'!F3088,"AAAAAHPznfY=")</f>
        <v>#VALUE!</v>
      </c>
      <c r="IN193" t="e">
        <f>AND('Planilla_General_03-12-2012_9_3'!G3088,"AAAAAHPznfc=")</f>
        <v>#VALUE!</v>
      </c>
      <c r="IO193" t="e">
        <f>AND('Planilla_General_03-12-2012_9_3'!H3088,"AAAAAHPznfg=")</f>
        <v>#VALUE!</v>
      </c>
      <c r="IP193" t="e">
        <f>AND('Planilla_General_03-12-2012_9_3'!I3088,"AAAAAHPznfk=")</f>
        <v>#VALUE!</v>
      </c>
      <c r="IQ193" t="e">
        <f>AND('Planilla_General_03-12-2012_9_3'!J3088,"AAAAAHPznfo=")</f>
        <v>#VALUE!</v>
      </c>
      <c r="IR193" t="e">
        <f>AND('Planilla_General_03-12-2012_9_3'!K3088,"AAAAAHPznfs=")</f>
        <v>#VALUE!</v>
      </c>
      <c r="IS193" t="e">
        <f>AND('Planilla_General_03-12-2012_9_3'!L3088,"AAAAAHPznfw=")</f>
        <v>#VALUE!</v>
      </c>
      <c r="IT193" t="e">
        <f>AND('Planilla_General_03-12-2012_9_3'!M3088,"AAAAAHPznf0=")</f>
        <v>#VALUE!</v>
      </c>
      <c r="IU193" t="e">
        <f>AND('Planilla_General_03-12-2012_9_3'!N3088,"AAAAAHPznf4=")</f>
        <v>#VALUE!</v>
      </c>
      <c r="IV193" t="e">
        <f>AND('Planilla_General_03-12-2012_9_3'!O3088,"AAAAAHPznf8=")</f>
        <v>#VALUE!</v>
      </c>
    </row>
    <row r="194" spans="1:256" x14ac:dyDescent="0.25">
      <c r="A194" t="e">
        <f>IF('Planilla_General_03-12-2012_9_3'!3089:3089,"AAAAAFtr9wA=",0)</f>
        <v>#VALUE!</v>
      </c>
      <c r="B194" t="e">
        <f>AND('Planilla_General_03-12-2012_9_3'!A3089,"AAAAAFtr9wE=")</f>
        <v>#VALUE!</v>
      </c>
      <c r="C194" t="e">
        <f>AND('Planilla_General_03-12-2012_9_3'!B3089,"AAAAAFtr9wI=")</f>
        <v>#VALUE!</v>
      </c>
      <c r="D194" t="e">
        <f>AND('Planilla_General_03-12-2012_9_3'!C3089,"AAAAAFtr9wM=")</f>
        <v>#VALUE!</v>
      </c>
      <c r="E194" t="e">
        <f>AND('Planilla_General_03-12-2012_9_3'!D3089,"AAAAAFtr9wQ=")</f>
        <v>#VALUE!</v>
      </c>
      <c r="F194" t="e">
        <f>AND('Planilla_General_03-12-2012_9_3'!E3089,"AAAAAFtr9wU=")</f>
        <v>#VALUE!</v>
      </c>
      <c r="G194" t="e">
        <f>AND('Planilla_General_03-12-2012_9_3'!F3089,"AAAAAFtr9wY=")</f>
        <v>#VALUE!</v>
      </c>
      <c r="H194" t="e">
        <f>AND('Planilla_General_03-12-2012_9_3'!G3089,"AAAAAFtr9wc=")</f>
        <v>#VALUE!</v>
      </c>
      <c r="I194" t="e">
        <f>AND('Planilla_General_03-12-2012_9_3'!H3089,"AAAAAFtr9wg=")</f>
        <v>#VALUE!</v>
      </c>
      <c r="J194" t="e">
        <f>AND('Planilla_General_03-12-2012_9_3'!I3089,"AAAAAFtr9wk=")</f>
        <v>#VALUE!</v>
      </c>
      <c r="K194" t="e">
        <f>AND('Planilla_General_03-12-2012_9_3'!J3089,"AAAAAFtr9wo=")</f>
        <v>#VALUE!</v>
      </c>
      <c r="L194" t="e">
        <f>AND('Planilla_General_03-12-2012_9_3'!K3089,"AAAAAFtr9ws=")</f>
        <v>#VALUE!</v>
      </c>
      <c r="M194" t="e">
        <f>AND('Planilla_General_03-12-2012_9_3'!L3089,"AAAAAFtr9ww=")</f>
        <v>#VALUE!</v>
      </c>
      <c r="N194" t="e">
        <f>AND('Planilla_General_03-12-2012_9_3'!M3089,"AAAAAFtr9w0=")</f>
        <v>#VALUE!</v>
      </c>
      <c r="O194" t="e">
        <f>AND('Planilla_General_03-12-2012_9_3'!N3089,"AAAAAFtr9w4=")</f>
        <v>#VALUE!</v>
      </c>
      <c r="P194" t="e">
        <f>AND('Planilla_General_03-12-2012_9_3'!O3089,"AAAAAFtr9w8=")</f>
        <v>#VALUE!</v>
      </c>
      <c r="Q194">
        <f>IF('Planilla_General_03-12-2012_9_3'!3090:3090,"AAAAAFtr9xA=",0)</f>
        <v>0</v>
      </c>
      <c r="R194" t="e">
        <f>AND('Planilla_General_03-12-2012_9_3'!A3090,"AAAAAFtr9xE=")</f>
        <v>#VALUE!</v>
      </c>
      <c r="S194" t="e">
        <f>AND('Planilla_General_03-12-2012_9_3'!B3090,"AAAAAFtr9xI=")</f>
        <v>#VALUE!</v>
      </c>
      <c r="T194" t="e">
        <f>AND('Planilla_General_03-12-2012_9_3'!C3090,"AAAAAFtr9xM=")</f>
        <v>#VALUE!</v>
      </c>
      <c r="U194" t="e">
        <f>AND('Planilla_General_03-12-2012_9_3'!D3090,"AAAAAFtr9xQ=")</f>
        <v>#VALUE!</v>
      </c>
      <c r="V194" t="e">
        <f>AND('Planilla_General_03-12-2012_9_3'!E3090,"AAAAAFtr9xU=")</f>
        <v>#VALUE!</v>
      </c>
      <c r="W194" t="e">
        <f>AND('Planilla_General_03-12-2012_9_3'!F3090,"AAAAAFtr9xY=")</f>
        <v>#VALUE!</v>
      </c>
      <c r="X194" t="e">
        <f>AND('Planilla_General_03-12-2012_9_3'!G3090,"AAAAAFtr9xc=")</f>
        <v>#VALUE!</v>
      </c>
      <c r="Y194" t="e">
        <f>AND('Planilla_General_03-12-2012_9_3'!H3090,"AAAAAFtr9xg=")</f>
        <v>#VALUE!</v>
      </c>
      <c r="Z194" t="e">
        <f>AND('Planilla_General_03-12-2012_9_3'!I3090,"AAAAAFtr9xk=")</f>
        <v>#VALUE!</v>
      </c>
      <c r="AA194" t="e">
        <f>AND('Planilla_General_03-12-2012_9_3'!J3090,"AAAAAFtr9xo=")</f>
        <v>#VALUE!</v>
      </c>
      <c r="AB194" t="e">
        <f>AND('Planilla_General_03-12-2012_9_3'!K3090,"AAAAAFtr9xs=")</f>
        <v>#VALUE!</v>
      </c>
      <c r="AC194" t="e">
        <f>AND('Planilla_General_03-12-2012_9_3'!L3090,"AAAAAFtr9xw=")</f>
        <v>#VALUE!</v>
      </c>
      <c r="AD194" t="e">
        <f>AND('Planilla_General_03-12-2012_9_3'!M3090,"AAAAAFtr9x0=")</f>
        <v>#VALUE!</v>
      </c>
      <c r="AE194" t="e">
        <f>AND('Planilla_General_03-12-2012_9_3'!N3090,"AAAAAFtr9x4=")</f>
        <v>#VALUE!</v>
      </c>
      <c r="AF194" t="e">
        <f>AND('Planilla_General_03-12-2012_9_3'!O3090,"AAAAAFtr9x8=")</f>
        <v>#VALUE!</v>
      </c>
      <c r="AG194">
        <f>IF('Planilla_General_03-12-2012_9_3'!3091:3091,"AAAAAFtr9yA=",0)</f>
        <v>0</v>
      </c>
      <c r="AH194" t="e">
        <f>AND('Planilla_General_03-12-2012_9_3'!A3091,"AAAAAFtr9yE=")</f>
        <v>#VALUE!</v>
      </c>
      <c r="AI194" t="e">
        <f>AND('Planilla_General_03-12-2012_9_3'!B3091,"AAAAAFtr9yI=")</f>
        <v>#VALUE!</v>
      </c>
      <c r="AJ194" t="e">
        <f>AND('Planilla_General_03-12-2012_9_3'!C3091,"AAAAAFtr9yM=")</f>
        <v>#VALUE!</v>
      </c>
      <c r="AK194" t="e">
        <f>AND('Planilla_General_03-12-2012_9_3'!D3091,"AAAAAFtr9yQ=")</f>
        <v>#VALUE!</v>
      </c>
      <c r="AL194" t="e">
        <f>AND('Planilla_General_03-12-2012_9_3'!E3091,"AAAAAFtr9yU=")</f>
        <v>#VALUE!</v>
      </c>
      <c r="AM194" t="e">
        <f>AND('Planilla_General_03-12-2012_9_3'!F3091,"AAAAAFtr9yY=")</f>
        <v>#VALUE!</v>
      </c>
      <c r="AN194" t="e">
        <f>AND('Planilla_General_03-12-2012_9_3'!G3091,"AAAAAFtr9yc=")</f>
        <v>#VALUE!</v>
      </c>
      <c r="AO194" t="e">
        <f>AND('Planilla_General_03-12-2012_9_3'!H3091,"AAAAAFtr9yg=")</f>
        <v>#VALUE!</v>
      </c>
      <c r="AP194" t="e">
        <f>AND('Planilla_General_03-12-2012_9_3'!I3091,"AAAAAFtr9yk=")</f>
        <v>#VALUE!</v>
      </c>
      <c r="AQ194" t="e">
        <f>AND('Planilla_General_03-12-2012_9_3'!J3091,"AAAAAFtr9yo=")</f>
        <v>#VALUE!</v>
      </c>
      <c r="AR194" t="e">
        <f>AND('Planilla_General_03-12-2012_9_3'!K3091,"AAAAAFtr9ys=")</f>
        <v>#VALUE!</v>
      </c>
      <c r="AS194" t="e">
        <f>AND('Planilla_General_03-12-2012_9_3'!L3091,"AAAAAFtr9yw=")</f>
        <v>#VALUE!</v>
      </c>
      <c r="AT194" t="e">
        <f>AND('Planilla_General_03-12-2012_9_3'!M3091,"AAAAAFtr9y0=")</f>
        <v>#VALUE!</v>
      </c>
      <c r="AU194" t="e">
        <f>AND('Planilla_General_03-12-2012_9_3'!N3091,"AAAAAFtr9y4=")</f>
        <v>#VALUE!</v>
      </c>
      <c r="AV194" t="e">
        <f>AND('Planilla_General_03-12-2012_9_3'!O3091,"AAAAAFtr9y8=")</f>
        <v>#VALUE!</v>
      </c>
      <c r="AW194">
        <f>IF('Planilla_General_03-12-2012_9_3'!3092:3092,"AAAAAFtr9zA=",0)</f>
        <v>0</v>
      </c>
      <c r="AX194" t="e">
        <f>AND('Planilla_General_03-12-2012_9_3'!A3092,"AAAAAFtr9zE=")</f>
        <v>#VALUE!</v>
      </c>
      <c r="AY194" t="e">
        <f>AND('Planilla_General_03-12-2012_9_3'!B3092,"AAAAAFtr9zI=")</f>
        <v>#VALUE!</v>
      </c>
      <c r="AZ194" t="e">
        <f>AND('Planilla_General_03-12-2012_9_3'!C3092,"AAAAAFtr9zM=")</f>
        <v>#VALUE!</v>
      </c>
      <c r="BA194" t="e">
        <f>AND('Planilla_General_03-12-2012_9_3'!D3092,"AAAAAFtr9zQ=")</f>
        <v>#VALUE!</v>
      </c>
      <c r="BB194" t="e">
        <f>AND('Planilla_General_03-12-2012_9_3'!E3092,"AAAAAFtr9zU=")</f>
        <v>#VALUE!</v>
      </c>
      <c r="BC194" t="e">
        <f>AND('Planilla_General_03-12-2012_9_3'!F3092,"AAAAAFtr9zY=")</f>
        <v>#VALUE!</v>
      </c>
      <c r="BD194" t="e">
        <f>AND('Planilla_General_03-12-2012_9_3'!G3092,"AAAAAFtr9zc=")</f>
        <v>#VALUE!</v>
      </c>
      <c r="BE194" t="e">
        <f>AND('Planilla_General_03-12-2012_9_3'!H3092,"AAAAAFtr9zg=")</f>
        <v>#VALUE!</v>
      </c>
      <c r="BF194" t="e">
        <f>AND('Planilla_General_03-12-2012_9_3'!I3092,"AAAAAFtr9zk=")</f>
        <v>#VALUE!</v>
      </c>
      <c r="BG194" t="e">
        <f>AND('Planilla_General_03-12-2012_9_3'!J3092,"AAAAAFtr9zo=")</f>
        <v>#VALUE!</v>
      </c>
      <c r="BH194" t="e">
        <f>AND('Planilla_General_03-12-2012_9_3'!K3092,"AAAAAFtr9zs=")</f>
        <v>#VALUE!</v>
      </c>
      <c r="BI194" t="e">
        <f>AND('Planilla_General_03-12-2012_9_3'!L3092,"AAAAAFtr9zw=")</f>
        <v>#VALUE!</v>
      </c>
      <c r="BJ194" t="e">
        <f>AND('Planilla_General_03-12-2012_9_3'!M3092,"AAAAAFtr9z0=")</f>
        <v>#VALUE!</v>
      </c>
      <c r="BK194" t="e">
        <f>AND('Planilla_General_03-12-2012_9_3'!N3092,"AAAAAFtr9z4=")</f>
        <v>#VALUE!</v>
      </c>
      <c r="BL194" t="e">
        <f>AND('Planilla_General_03-12-2012_9_3'!O3092,"AAAAAFtr9z8=")</f>
        <v>#VALUE!</v>
      </c>
      <c r="BM194">
        <f>IF('Planilla_General_03-12-2012_9_3'!3093:3093,"AAAAAFtr90A=",0)</f>
        <v>0</v>
      </c>
      <c r="BN194" t="e">
        <f>AND('Planilla_General_03-12-2012_9_3'!A3093,"AAAAAFtr90E=")</f>
        <v>#VALUE!</v>
      </c>
      <c r="BO194" t="e">
        <f>AND('Planilla_General_03-12-2012_9_3'!B3093,"AAAAAFtr90I=")</f>
        <v>#VALUE!</v>
      </c>
      <c r="BP194" t="e">
        <f>AND('Planilla_General_03-12-2012_9_3'!C3093,"AAAAAFtr90M=")</f>
        <v>#VALUE!</v>
      </c>
      <c r="BQ194" t="e">
        <f>AND('Planilla_General_03-12-2012_9_3'!D3093,"AAAAAFtr90Q=")</f>
        <v>#VALUE!</v>
      </c>
      <c r="BR194" t="e">
        <f>AND('Planilla_General_03-12-2012_9_3'!E3093,"AAAAAFtr90U=")</f>
        <v>#VALUE!</v>
      </c>
      <c r="BS194" t="e">
        <f>AND('Planilla_General_03-12-2012_9_3'!F3093,"AAAAAFtr90Y=")</f>
        <v>#VALUE!</v>
      </c>
      <c r="BT194" t="e">
        <f>AND('Planilla_General_03-12-2012_9_3'!G3093,"AAAAAFtr90c=")</f>
        <v>#VALUE!</v>
      </c>
      <c r="BU194" t="e">
        <f>AND('Planilla_General_03-12-2012_9_3'!H3093,"AAAAAFtr90g=")</f>
        <v>#VALUE!</v>
      </c>
      <c r="BV194" t="e">
        <f>AND('Planilla_General_03-12-2012_9_3'!I3093,"AAAAAFtr90k=")</f>
        <v>#VALUE!</v>
      </c>
      <c r="BW194" t="e">
        <f>AND('Planilla_General_03-12-2012_9_3'!J3093,"AAAAAFtr90o=")</f>
        <v>#VALUE!</v>
      </c>
      <c r="BX194" t="e">
        <f>AND('Planilla_General_03-12-2012_9_3'!K3093,"AAAAAFtr90s=")</f>
        <v>#VALUE!</v>
      </c>
      <c r="BY194" t="e">
        <f>AND('Planilla_General_03-12-2012_9_3'!L3093,"AAAAAFtr90w=")</f>
        <v>#VALUE!</v>
      </c>
      <c r="BZ194" t="e">
        <f>AND('Planilla_General_03-12-2012_9_3'!M3093,"AAAAAFtr900=")</f>
        <v>#VALUE!</v>
      </c>
      <c r="CA194" t="e">
        <f>AND('Planilla_General_03-12-2012_9_3'!N3093,"AAAAAFtr904=")</f>
        <v>#VALUE!</v>
      </c>
      <c r="CB194" t="e">
        <f>AND('Planilla_General_03-12-2012_9_3'!O3093,"AAAAAFtr908=")</f>
        <v>#VALUE!</v>
      </c>
      <c r="CC194">
        <f>IF('Planilla_General_03-12-2012_9_3'!3094:3094,"AAAAAFtr91A=",0)</f>
        <v>0</v>
      </c>
      <c r="CD194" t="e">
        <f>AND('Planilla_General_03-12-2012_9_3'!A3094,"AAAAAFtr91E=")</f>
        <v>#VALUE!</v>
      </c>
      <c r="CE194" t="e">
        <f>AND('Planilla_General_03-12-2012_9_3'!B3094,"AAAAAFtr91I=")</f>
        <v>#VALUE!</v>
      </c>
      <c r="CF194" t="e">
        <f>AND('Planilla_General_03-12-2012_9_3'!C3094,"AAAAAFtr91M=")</f>
        <v>#VALUE!</v>
      </c>
      <c r="CG194" t="e">
        <f>AND('Planilla_General_03-12-2012_9_3'!D3094,"AAAAAFtr91Q=")</f>
        <v>#VALUE!</v>
      </c>
      <c r="CH194" t="e">
        <f>AND('Planilla_General_03-12-2012_9_3'!E3094,"AAAAAFtr91U=")</f>
        <v>#VALUE!</v>
      </c>
      <c r="CI194" t="e">
        <f>AND('Planilla_General_03-12-2012_9_3'!F3094,"AAAAAFtr91Y=")</f>
        <v>#VALUE!</v>
      </c>
      <c r="CJ194" t="e">
        <f>AND('Planilla_General_03-12-2012_9_3'!G3094,"AAAAAFtr91c=")</f>
        <v>#VALUE!</v>
      </c>
      <c r="CK194" t="e">
        <f>AND('Planilla_General_03-12-2012_9_3'!H3094,"AAAAAFtr91g=")</f>
        <v>#VALUE!</v>
      </c>
      <c r="CL194" t="e">
        <f>AND('Planilla_General_03-12-2012_9_3'!I3094,"AAAAAFtr91k=")</f>
        <v>#VALUE!</v>
      </c>
      <c r="CM194" t="e">
        <f>AND('Planilla_General_03-12-2012_9_3'!J3094,"AAAAAFtr91o=")</f>
        <v>#VALUE!</v>
      </c>
      <c r="CN194" t="e">
        <f>AND('Planilla_General_03-12-2012_9_3'!K3094,"AAAAAFtr91s=")</f>
        <v>#VALUE!</v>
      </c>
      <c r="CO194" t="e">
        <f>AND('Planilla_General_03-12-2012_9_3'!L3094,"AAAAAFtr91w=")</f>
        <v>#VALUE!</v>
      </c>
      <c r="CP194" t="e">
        <f>AND('Planilla_General_03-12-2012_9_3'!M3094,"AAAAAFtr910=")</f>
        <v>#VALUE!</v>
      </c>
      <c r="CQ194" t="e">
        <f>AND('Planilla_General_03-12-2012_9_3'!N3094,"AAAAAFtr914=")</f>
        <v>#VALUE!</v>
      </c>
      <c r="CR194" t="e">
        <f>AND('Planilla_General_03-12-2012_9_3'!O3094,"AAAAAFtr918=")</f>
        <v>#VALUE!</v>
      </c>
      <c r="CS194">
        <f>IF('Planilla_General_03-12-2012_9_3'!3095:3095,"AAAAAFtr92A=",0)</f>
        <v>0</v>
      </c>
      <c r="CT194" t="e">
        <f>AND('Planilla_General_03-12-2012_9_3'!A3095,"AAAAAFtr92E=")</f>
        <v>#VALUE!</v>
      </c>
      <c r="CU194" t="e">
        <f>AND('Planilla_General_03-12-2012_9_3'!B3095,"AAAAAFtr92I=")</f>
        <v>#VALUE!</v>
      </c>
      <c r="CV194" t="e">
        <f>AND('Planilla_General_03-12-2012_9_3'!C3095,"AAAAAFtr92M=")</f>
        <v>#VALUE!</v>
      </c>
      <c r="CW194" t="e">
        <f>AND('Planilla_General_03-12-2012_9_3'!D3095,"AAAAAFtr92Q=")</f>
        <v>#VALUE!</v>
      </c>
      <c r="CX194" t="e">
        <f>AND('Planilla_General_03-12-2012_9_3'!E3095,"AAAAAFtr92U=")</f>
        <v>#VALUE!</v>
      </c>
      <c r="CY194" t="e">
        <f>AND('Planilla_General_03-12-2012_9_3'!F3095,"AAAAAFtr92Y=")</f>
        <v>#VALUE!</v>
      </c>
      <c r="CZ194" t="e">
        <f>AND('Planilla_General_03-12-2012_9_3'!G3095,"AAAAAFtr92c=")</f>
        <v>#VALUE!</v>
      </c>
      <c r="DA194" t="e">
        <f>AND('Planilla_General_03-12-2012_9_3'!H3095,"AAAAAFtr92g=")</f>
        <v>#VALUE!</v>
      </c>
      <c r="DB194" t="e">
        <f>AND('Planilla_General_03-12-2012_9_3'!I3095,"AAAAAFtr92k=")</f>
        <v>#VALUE!</v>
      </c>
      <c r="DC194" t="e">
        <f>AND('Planilla_General_03-12-2012_9_3'!J3095,"AAAAAFtr92o=")</f>
        <v>#VALUE!</v>
      </c>
      <c r="DD194" t="e">
        <f>AND('Planilla_General_03-12-2012_9_3'!K3095,"AAAAAFtr92s=")</f>
        <v>#VALUE!</v>
      </c>
      <c r="DE194" t="e">
        <f>AND('Planilla_General_03-12-2012_9_3'!L3095,"AAAAAFtr92w=")</f>
        <v>#VALUE!</v>
      </c>
      <c r="DF194" t="e">
        <f>AND('Planilla_General_03-12-2012_9_3'!M3095,"AAAAAFtr920=")</f>
        <v>#VALUE!</v>
      </c>
      <c r="DG194" t="e">
        <f>AND('Planilla_General_03-12-2012_9_3'!N3095,"AAAAAFtr924=")</f>
        <v>#VALUE!</v>
      </c>
      <c r="DH194" t="e">
        <f>AND('Planilla_General_03-12-2012_9_3'!O3095,"AAAAAFtr928=")</f>
        <v>#VALUE!</v>
      </c>
      <c r="DI194">
        <f>IF('Planilla_General_03-12-2012_9_3'!3096:3096,"AAAAAFtr93A=",0)</f>
        <v>0</v>
      </c>
      <c r="DJ194" t="e">
        <f>AND('Planilla_General_03-12-2012_9_3'!A3096,"AAAAAFtr93E=")</f>
        <v>#VALUE!</v>
      </c>
      <c r="DK194" t="e">
        <f>AND('Planilla_General_03-12-2012_9_3'!B3096,"AAAAAFtr93I=")</f>
        <v>#VALUE!</v>
      </c>
      <c r="DL194" t="e">
        <f>AND('Planilla_General_03-12-2012_9_3'!C3096,"AAAAAFtr93M=")</f>
        <v>#VALUE!</v>
      </c>
      <c r="DM194" t="e">
        <f>AND('Planilla_General_03-12-2012_9_3'!D3096,"AAAAAFtr93Q=")</f>
        <v>#VALUE!</v>
      </c>
      <c r="DN194" t="e">
        <f>AND('Planilla_General_03-12-2012_9_3'!E3096,"AAAAAFtr93U=")</f>
        <v>#VALUE!</v>
      </c>
      <c r="DO194" t="e">
        <f>AND('Planilla_General_03-12-2012_9_3'!F3096,"AAAAAFtr93Y=")</f>
        <v>#VALUE!</v>
      </c>
      <c r="DP194" t="e">
        <f>AND('Planilla_General_03-12-2012_9_3'!G3096,"AAAAAFtr93c=")</f>
        <v>#VALUE!</v>
      </c>
      <c r="DQ194" t="e">
        <f>AND('Planilla_General_03-12-2012_9_3'!H3096,"AAAAAFtr93g=")</f>
        <v>#VALUE!</v>
      </c>
      <c r="DR194" t="e">
        <f>AND('Planilla_General_03-12-2012_9_3'!I3096,"AAAAAFtr93k=")</f>
        <v>#VALUE!</v>
      </c>
      <c r="DS194" t="e">
        <f>AND('Planilla_General_03-12-2012_9_3'!J3096,"AAAAAFtr93o=")</f>
        <v>#VALUE!</v>
      </c>
      <c r="DT194" t="e">
        <f>AND('Planilla_General_03-12-2012_9_3'!K3096,"AAAAAFtr93s=")</f>
        <v>#VALUE!</v>
      </c>
      <c r="DU194" t="e">
        <f>AND('Planilla_General_03-12-2012_9_3'!L3096,"AAAAAFtr93w=")</f>
        <v>#VALUE!</v>
      </c>
      <c r="DV194" t="e">
        <f>AND('Planilla_General_03-12-2012_9_3'!M3096,"AAAAAFtr930=")</f>
        <v>#VALUE!</v>
      </c>
      <c r="DW194" t="e">
        <f>AND('Planilla_General_03-12-2012_9_3'!N3096,"AAAAAFtr934=")</f>
        <v>#VALUE!</v>
      </c>
      <c r="DX194" t="e">
        <f>AND('Planilla_General_03-12-2012_9_3'!O3096,"AAAAAFtr938=")</f>
        <v>#VALUE!</v>
      </c>
      <c r="DY194">
        <f>IF('Planilla_General_03-12-2012_9_3'!3097:3097,"AAAAAFtr94A=",0)</f>
        <v>0</v>
      </c>
      <c r="DZ194" t="e">
        <f>AND('Planilla_General_03-12-2012_9_3'!A3097,"AAAAAFtr94E=")</f>
        <v>#VALUE!</v>
      </c>
      <c r="EA194" t="e">
        <f>AND('Planilla_General_03-12-2012_9_3'!B3097,"AAAAAFtr94I=")</f>
        <v>#VALUE!</v>
      </c>
      <c r="EB194" t="e">
        <f>AND('Planilla_General_03-12-2012_9_3'!C3097,"AAAAAFtr94M=")</f>
        <v>#VALUE!</v>
      </c>
      <c r="EC194" t="e">
        <f>AND('Planilla_General_03-12-2012_9_3'!D3097,"AAAAAFtr94Q=")</f>
        <v>#VALUE!</v>
      </c>
      <c r="ED194" t="e">
        <f>AND('Planilla_General_03-12-2012_9_3'!E3097,"AAAAAFtr94U=")</f>
        <v>#VALUE!</v>
      </c>
      <c r="EE194" t="e">
        <f>AND('Planilla_General_03-12-2012_9_3'!F3097,"AAAAAFtr94Y=")</f>
        <v>#VALUE!</v>
      </c>
      <c r="EF194" t="e">
        <f>AND('Planilla_General_03-12-2012_9_3'!G3097,"AAAAAFtr94c=")</f>
        <v>#VALUE!</v>
      </c>
      <c r="EG194" t="e">
        <f>AND('Planilla_General_03-12-2012_9_3'!H3097,"AAAAAFtr94g=")</f>
        <v>#VALUE!</v>
      </c>
      <c r="EH194" t="e">
        <f>AND('Planilla_General_03-12-2012_9_3'!I3097,"AAAAAFtr94k=")</f>
        <v>#VALUE!</v>
      </c>
      <c r="EI194" t="e">
        <f>AND('Planilla_General_03-12-2012_9_3'!J3097,"AAAAAFtr94o=")</f>
        <v>#VALUE!</v>
      </c>
      <c r="EJ194" t="e">
        <f>AND('Planilla_General_03-12-2012_9_3'!K3097,"AAAAAFtr94s=")</f>
        <v>#VALUE!</v>
      </c>
      <c r="EK194" t="e">
        <f>AND('Planilla_General_03-12-2012_9_3'!L3097,"AAAAAFtr94w=")</f>
        <v>#VALUE!</v>
      </c>
      <c r="EL194" t="e">
        <f>AND('Planilla_General_03-12-2012_9_3'!M3097,"AAAAAFtr940=")</f>
        <v>#VALUE!</v>
      </c>
      <c r="EM194" t="e">
        <f>AND('Planilla_General_03-12-2012_9_3'!N3097,"AAAAAFtr944=")</f>
        <v>#VALUE!</v>
      </c>
      <c r="EN194" t="e">
        <f>AND('Planilla_General_03-12-2012_9_3'!O3097,"AAAAAFtr948=")</f>
        <v>#VALUE!</v>
      </c>
      <c r="EO194">
        <f>IF('Planilla_General_03-12-2012_9_3'!3098:3098,"AAAAAFtr95A=",0)</f>
        <v>0</v>
      </c>
      <c r="EP194" t="e">
        <f>AND('Planilla_General_03-12-2012_9_3'!A3098,"AAAAAFtr95E=")</f>
        <v>#VALUE!</v>
      </c>
      <c r="EQ194" t="e">
        <f>AND('Planilla_General_03-12-2012_9_3'!B3098,"AAAAAFtr95I=")</f>
        <v>#VALUE!</v>
      </c>
      <c r="ER194" t="e">
        <f>AND('Planilla_General_03-12-2012_9_3'!C3098,"AAAAAFtr95M=")</f>
        <v>#VALUE!</v>
      </c>
      <c r="ES194" t="e">
        <f>AND('Planilla_General_03-12-2012_9_3'!D3098,"AAAAAFtr95Q=")</f>
        <v>#VALUE!</v>
      </c>
      <c r="ET194" t="e">
        <f>AND('Planilla_General_03-12-2012_9_3'!E3098,"AAAAAFtr95U=")</f>
        <v>#VALUE!</v>
      </c>
      <c r="EU194" t="e">
        <f>AND('Planilla_General_03-12-2012_9_3'!F3098,"AAAAAFtr95Y=")</f>
        <v>#VALUE!</v>
      </c>
      <c r="EV194" t="e">
        <f>AND('Planilla_General_03-12-2012_9_3'!G3098,"AAAAAFtr95c=")</f>
        <v>#VALUE!</v>
      </c>
      <c r="EW194" t="e">
        <f>AND('Planilla_General_03-12-2012_9_3'!H3098,"AAAAAFtr95g=")</f>
        <v>#VALUE!</v>
      </c>
      <c r="EX194" t="e">
        <f>AND('Planilla_General_03-12-2012_9_3'!I3098,"AAAAAFtr95k=")</f>
        <v>#VALUE!</v>
      </c>
      <c r="EY194" t="e">
        <f>AND('Planilla_General_03-12-2012_9_3'!J3098,"AAAAAFtr95o=")</f>
        <v>#VALUE!</v>
      </c>
      <c r="EZ194" t="e">
        <f>AND('Planilla_General_03-12-2012_9_3'!K3098,"AAAAAFtr95s=")</f>
        <v>#VALUE!</v>
      </c>
      <c r="FA194" t="e">
        <f>AND('Planilla_General_03-12-2012_9_3'!L3098,"AAAAAFtr95w=")</f>
        <v>#VALUE!</v>
      </c>
      <c r="FB194" t="e">
        <f>AND('Planilla_General_03-12-2012_9_3'!M3098,"AAAAAFtr950=")</f>
        <v>#VALUE!</v>
      </c>
      <c r="FC194" t="e">
        <f>AND('Planilla_General_03-12-2012_9_3'!N3098,"AAAAAFtr954=")</f>
        <v>#VALUE!</v>
      </c>
      <c r="FD194" t="e">
        <f>AND('Planilla_General_03-12-2012_9_3'!O3098,"AAAAAFtr958=")</f>
        <v>#VALUE!</v>
      </c>
      <c r="FE194">
        <f>IF('Planilla_General_03-12-2012_9_3'!3099:3099,"AAAAAFtr96A=",0)</f>
        <v>0</v>
      </c>
      <c r="FF194" t="e">
        <f>AND('Planilla_General_03-12-2012_9_3'!A3099,"AAAAAFtr96E=")</f>
        <v>#VALUE!</v>
      </c>
      <c r="FG194" t="e">
        <f>AND('Planilla_General_03-12-2012_9_3'!B3099,"AAAAAFtr96I=")</f>
        <v>#VALUE!</v>
      </c>
      <c r="FH194" t="e">
        <f>AND('Planilla_General_03-12-2012_9_3'!C3099,"AAAAAFtr96M=")</f>
        <v>#VALUE!</v>
      </c>
      <c r="FI194" t="e">
        <f>AND('Planilla_General_03-12-2012_9_3'!D3099,"AAAAAFtr96Q=")</f>
        <v>#VALUE!</v>
      </c>
      <c r="FJ194" t="e">
        <f>AND('Planilla_General_03-12-2012_9_3'!E3099,"AAAAAFtr96U=")</f>
        <v>#VALUE!</v>
      </c>
      <c r="FK194" t="e">
        <f>AND('Planilla_General_03-12-2012_9_3'!F3099,"AAAAAFtr96Y=")</f>
        <v>#VALUE!</v>
      </c>
      <c r="FL194" t="e">
        <f>AND('Planilla_General_03-12-2012_9_3'!G3099,"AAAAAFtr96c=")</f>
        <v>#VALUE!</v>
      </c>
      <c r="FM194" t="e">
        <f>AND('Planilla_General_03-12-2012_9_3'!H3099,"AAAAAFtr96g=")</f>
        <v>#VALUE!</v>
      </c>
      <c r="FN194" t="e">
        <f>AND('Planilla_General_03-12-2012_9_3'!I3099,"AAAAAFtr96k=")</f>
        <v>#VALUE!</v>
      </c>
      <c r="FO194" t="e">
        <f>AND('Planilla_General_03-12-2012_9_3'!J3099,"AAAAAFtr96o=")</f>
        <v>#VALUE!</v>
      </c>
      <c r="FP194" t="e">
        <f>AND('Planilla_General_03-12-2012_9_3'!K3099,"AAAAAFtr96s=")</f>
        <v>#VALUE!</v>
      </c>
      <c r="FQ194" t="e">
        <f>AND('Planilla_General_03-12-2012_9_3'!L3099,"AAAAAFtr96w=")</f>
        <v>#VALUE!</v>
      </c>
      <c r="FR194" t="e">
        <f>AND('Planilla_General_03-12-2012_9_3'!M3099,"AAAAAFtr960=")</f>
        <v>#VALUE!</v>
      </c>
      <c r="FS194" t="e">
        <f>AND('Planilla_General_03-12-2012_9_3'!N3099,"AAAAAFtr964=")</f>
        <v>#VALUE!</v>
      </c>
      <c r="FT194" t="e">
        <f>AND('Planilla_General_03-12-2012_9_3'!O3099,"AAAAAFtr968=")</f>
        <v>#VALUE!</v>
      </c>
      <c r="FU194">
        <f>IF('Planilla_General_03-12-2012_9_3'!3100:3100,"AAAAAFtr97A=",0)</f>
        <v>0</v>
      </c>
      <c r="FV194" t="e">
        <f>AND('Planilla_General_03-12-2012_9_3'!A3100,"AAAAAFtr97E=")</f>
        <v>#VALUE!</v>
      </c>
      <c r="FW194" t="e">
        <f>AND('Planilla_General_03-12-2012_9_3'!B3100,"AAAAAFtr97I=")</f>
        <v>#VALUE!</v>
      </c>
      <c r="FX194" t="e">
        <f>AND('Planilla_General_03-12-2012_9_3'!C3100,"AAAAAFtr97M=")</f>
        <v>#VALUE!</v>
      </c>
      <c r="FY194" t="e">
        <f>AND('Planilla_General_03-12-2012_9_3'!D3100,"AAAAAFtr97Q=")</f>
        <v>#VALUE!</v>
      </c>
      <c r="FZ194" t="e">
        <f>AND('Planilla_General_03-12-2012_9_3'!E3100,"AAAAAFtr97U=")</f>
        <v>#VALUE!</v>
      </c>
      <c r="GA194" t="e">
        <f>AND('Planilla_General_03-12-2012_9_3'!F3100,"AAAAAFtr97Y=")</f>
        <v>#VALUE!</v>
      </c>
      <c r="GB194" t="e">
        <f>AND('Planilla_General_03-12-2012_9_3'!G3100,"AAAAAFtr97c=")</f>
        <v>#VALUE!</v>
      </c>
      <c r="GC194" t="e">
        <f>AND('Planilla_General_03-12-2012_9_3'!H3100,"AAAAAFtr97g=")</f>
        <v>#VALUE!</v>
      </c>
      <c r="GD194" t="e">
        <f>AND('Planilla_General_03-12-2012_9_3'!I3100,"AAAAAFtr97k=")</f>
        <v>#VALUE!</v>
      </c>
      <c r="GE194" t="e">
        <f>AND('Planilla_General_03-12-2012_9_3'!J3100,"AAAAAFtr97o=")</f>
        <v>#VALUE!</v>
      </c>
      <c r="GF194" t="e">
        <f>AND('Planilla_General_03-12-2012_9_3'!K3100,"AAAAAFtr97s=")</f>
        <v>#VALUE!</v>
      </c>
      <c r="GG194" t="e">
        <f>AND('Planilla_General_03-12-2012_9_3'!L3100,"AAAAAFtr97w=")</f>
        <v>#VALUE!</v>
      </c>
      <c r="GH194" t="e">
        <f>AND('Planilla_General_03-12-2012_9_3'!M3100,"AAAAAFtr970=")</f>
        <v>#VALUE!</v>
      </c>
      <c r="GI194" t="e">
        <f>AND('Planilla_General_03-12-2012_9_3'!N3100,"AAAAAFtr974=")</f>
        <v>#VALUE!</v>
      </c>
      <c r="GJ194" t="e">
        <f>AND('Planilla_General_03-12-2012_9_3'!O3100,"AAAAAFtr978=")</f>
        <v>#VALUE!</v>
      </c>
      <c r="GK194">
        <f>IF('Planilla_General_03-12-2012_9_3'!3101:3101,"AAAAAFtr98A=",0)</f>
        <v>0</v>
      </c>
      <c r="GL194" t="e">
        <f>AND('Planilla_General_03-12-2012_9_3'!A3101,"AAAAAFtr98E=")</f>
        <v>#VALUE!</v>
      </c>
      <c r="GM194" t="e">
        <f>AND('Planilla_General_03-12-2012_9_3'!B3101,"AAAAAFtr98I=")</f>
        <v>#VALUE!</v>
      </c>
      <c r="GN194" t="e">
        <f>AND('Planilla_General_03-12-2012_9_3'!C3101,"AAAAAFtr98M=")</f>
        <v>#VALUE!</v>
      </c>
      <c r="GO194" t="e">
        <f>AND('Planilla_General_03-12-2012_9_3'!D3101,"AAAAAFtr98Q=")</f>
        <v>#VALUE!</v>
      </c>
      <c r="GP194" t="e">
        <f>AND('Planilla_General_03-12-2012_9_3'!E3101,"AAAAAFtr98U=")</f>
        <v>#VALUE!</v>
      </c>
      <c r="GQ194" t="e">
        <f>AND('Planilla_General_03-12-2012_9_3'!F3101,"AAAAAFtr98Y=")</f>
        <v>#VALUE!</v>
      </c>
      <c r="GR194" t="e">
        <f>AND('Planilla_General_03-12-2012_9_3'!G3101,"AAAAAFtr98c=")</f>
        <v>#VALUE!</v>
      </c>
      <c r="GS194" t="e">
        <f>AND('Planilla_General_03-12-2012_9_3'!H3101,"AAAAAFtr98g=")</f>
        <v>#VALUE!</v>
      </c>
      <c r="GT194" t="e">
        <f>AND('Planilla_General_03-12-2012_9_3'!I3101,"AAAAAFtr98k=")</f>
        <v>#VALUE!</v>
      </c>
      <c r="GU194" t="e">
        <f>AND('Planilla_General_03-12-2012_9_3'!J3101,"AAAAAFtr98o=")</f>
        <v>#VALUE!</v>
      </c>
      <c r="GV194" t="e">
        <f>AND('Planilla_General_03-12-2012_9_3'!K3101,"AAAAAFtr98s=")</f>
        <v>#VALUE!</v>
      </c>
      <c r="GW194" t="e">
        <f>AND('Planilla_General_03-12-2012_9_3'!L3101,"AAAAAFtr98w=")</f>
        <v>#VALUE!</v>
      </c>
      <c r="GX194" t="e">
        <f>AND('Planilla_General_03-12-2012_9_3'!M3101,"AAAAAFtr980=")</f>
        <v>#VALUE!</v>
      </c>
      <c r="GY194" t="e">
        <f>AND('Planilla_General_03-12-2012_9_3'!N3101,"AAAAAFtr984=")</f>
        <v>#VALUE!</v>
      </c>
      <c r="GZ194" t="e">
        <f>AND('Planilla_General_03-12-2012_9_3'!O3101,"AAAAAFtr988=")</f>
        <v>#VALUE!</v>
      </c>
      <c r="HA194">
        <f>IF('Planilla_General_03-12-2012_9_3'!3102:3102,"AAAAAFtr99A=",0)</f>
        <v>0</v>
      </c>
      <c r="HB194" t="e">
        <f>AND('Planilla_General_03-12-2012_9_3'!A3102,"AAAAAFtr99E=")</f>
        <v>#VALUE!</v>
      </c>
      <c r="HC194" t="e">
        <f>AND('Planilla_General_03-12-2012_9_3'!B3102,"AAAAAFtr99I=")</f>
        <v>#VALUE!</v>
      </c>
      <c r="HD194" t="e">
        <f>AND('Planilla_General_03-12-2012_9_3'!C3102,"AAAAAFtr99M=")</f>
        <v>#VALUE!</v>
      </c>
      <c r="HE194" t="e">
        <f>AND('Planilla_General_03-12-2012_9_3'!D3102,"AAAAAFtr99Q=")</f>
        <v>#VALUE!</v>
      </c>
      <c r="HF194" t="e">
        <f>AND('Planilla_General_03-12-2012_9_3'!E3102,"AAAAAFtr99U=")</f>
        <v>#VALUE!</v>
      </c>
      <c r="HG194" t="e">
        <f>AND('Planilla_General_03-12-2012_9_3'!F3102,"AAAAAFtr99Y=")</f>
        <v>#VALUE!</v>
      </c>
      <c r="HH194" t="e">
        <f>AND('Planilla_General_03-12-2012_9_3'!G3102,"AAAAAFtr99c=")</f>
        <v>#VALUE!</v>
      </c>
      <c r="HI194" t="e">
        <f>AND('Planilla_General_03-12-2012_9_3'!H3102,"AAAAAFtr99g=")</f>
        <v>#VALUE!</v>
      </c>
      <c r="HJ194" t="e">
        <f>AND('Planilla_General_03-12-2012_9_3'!I3102,"AAAAAFtr99k=")</f>
        <v>#VALUE!</v>
      </c>
      <c r="HK194" t="e">
        <f>AND('Planilla_General_03-12-2012_9_3'!J3102,"AAAAAFtr99o=")</f>
        <v>#VALUE!</v>
      </c>
      <c r="HL194" t="e">
        <f>AND('Planilla_General_03-12-2012_9_3'!K3102,"AAAAAFtr99s=")</f>
        <v>#VALUE!</v>
      </c>
      <c r="HM194" t="e">
        <f>AND('Planilla_General_03-12-2012_9_3'!L3102,"AAAAAFtr99w=")</f>
        <v>#VALUE!</v>
      </c>
      <c r="HN194" t="e">
        <f>AND('Planilla_General_03-12-2012_9_3'!M3102,"AAAAAFtr990=")</f>
        <v>#VALUE!</v>
      </c>
      <c r="HO194" t="e">
        <f>AND('Planilla_General_03-12-2012_9_3'!N3102,"AAAAAFtr994=")</f>
        <v>#VALUE!</v>
      </c>
      <c r="HP194" t="e">
        <f>AND('Planilla_General_03-12-2012_9_3'!O3102,"AAAAAFtr998=")</f>
        <v>#VALUE!</v>
      </c>
      <c r="HQ194">
        <f>IF('Planilla_General_03-12-2012_9_3'!3103:3103,"AAAAAFtr9+A=",0)</f>
        <v>0</v>
      </c>
      <c r="HR194" t="e">
        <f>AND('Planilla_General_03-12-2012_9_3'!A3103,"AAAAAFtr9+E=")</f>
        <v>#VALUE!</v>
      </c>
      <c r="HS194" t="e">
        <f>AND('Planilla_General_03-12-2012_9_3'!B3103,"AAAAAFtr9+I=")</f>
        <v>#VALUE!</v>
      </c>
      <c r="HT194" t="e">
        <f>AND('Planilla_General_03-12-2012_9_3'!C3103,"AAAAAFtr9+M=")</f>
        <v>#VALUE!</v>
      </c>
      <c r="HU194" t="e">
        <f>AND('Planilla_General_03-12-2012_9_3'!D3103,"AAAAAFtr9+Q=")</f>
        <v>#VALUE!</v>
      </c>
      <c r="HV194" t="e">
        <f>AND('Planilla_General_03-12-2012_9_3'!E3103,"AAAAAFtr9+U=")</f>
        <v>#VALUE!</v>
      </c>
      <c r="HW194" t="e">
        <f>AND('Planilla_General_03-12-2012_9_3'!F3103,"AAAAAFtr9+Y=")</f>
        <v>#VALUE!</v>
      </c>
      <c r="HX194" t="e">
        <f>AND('Planilla_General_03-12-2012_9_3'!G3103,"AAAAAFtr9+c=")</f>
        <v>#VALUE!</v>
      </c>
      <c r="HY194" t="e">
        <f>AND('Planilla_General_03-12-2012_9_3'!H3103,"AAAAAFtr9+g=")</f>
        <v>#VALUE!</v>
      </c>
      <c r="HZ194" t="e">
        <f>AND('Planilla_General_03-12-2012_9_3'!I3103,"AAAAAFtr9+k=")</f>
        <v>#VALUE!</v>
      </c>
      <c r="IA194" t="e">
        <f>AND('Planilla_General_03-12-2012_9_3'!J3103,"AAAAAFtr9+o=")</f>
        <v>#VALUE!</v>
      </c>
      <c r="IB194" t="e">
        <f>AND('Planilla_General_03-12-2012_9_3'!K3103,"AAAAAFtr9+s=")</f>
        <v>#VALUE!</v>
      </c>
      <c r="IC194" t="e">
        <f>AND('Planilla_General_03-12-2012_9_3'!L3103,"AAAAAFtr9+w=")</f>
        <v>#VALUE!</v>
      </c>
      <c r="ID194" t="e">
        <f>AND('Planilla_General_03-12-2012_9_3'!M3103,"AAAAAFtr9+0=")</f>
        <v>#VALUE!</v>
      </c>
      <c r="IE194" t="e">
        <f>AND('Planilla_General_03-12-2012_9_3'!N3103,"AAAAAFtr9+4=")</f>
        <v>#VALUE!</v>
      </c>
      <c r="IF194" t="e">
        <f>AND('Planilla_General_03-12-2012_9_3'!O3103,"AAAAAFtr9+8=")</f>
        <v>#VALUE!</v>
      </c>
      <c r="IG194">
        <f>IF('Planilla_General_03-12-2012_9_3'!3104:3104,"AAAAAFtr9/A=",0)</f>
        <v>0</v>
      </c>
      <c r="IH194" t="e">
        <f>AND('Planilla_General_03-12-2012_9_3'!A3104,"AAAAAFtr9/E=")</f>
        <v>#VALUE!</v>
      </c>
      <c r="II194" t="e">
        <f>AND('Planilla_General_03-12-2012_9_3'!B3104,"AAAAAFtr9/I=")</f>
        <v>#VALUE!</v>
      </c>
      <c r="IJ194" t="e">
        <f>AND('Planilla_General_03-12-2012_9_3'!C3104,"AAAAAFtr9/M=")</f>
        <v>#VALUE!</v>
      </c>
      <c r="IK194" t="e">
        <f>AND('Planilla_General_03-12-2012_9_3'!D3104,"AAAAAFtr9/Q=")</f>
        <v>#VALUE!</v>
      </c>
      <c r="IL194" t="e">
        <f>AND('Planilla_General_03-12-2012_9_3'!E3104,"AAAAAFtr9/U=")</f>
        <v>#VALUE!</v>
      </c>
      <c r="IM194" t="e">
        <f>AND('Planilla_General_03-12-2012_9_3'!F3104,"AAAAAFtr9/Y=")</f>
        <v>#VALUE!</v>
      </c>
      <c r="IN194" t="e">
        <f>AND('Planilla_General_03-12-2012_9_3'!G3104,"AAAAAFtr9/c=")</f>
        <v>#VALUE!</v>
      </c>
      <c r="IO194" t="e">
        <f>AND('Planilla_General_03-12-2012_9_3'!H3104,"AAAAAFtr9/g=")</f>
        <v>#VALUE!</v>
      </c>
      <c r="IP194" t="e">
        <f>AND('Planilla_General_03-12-2012_9_3'!I3104,"AAAAAFtr9/k=")</f>
        <v>#VALUE!</v>
      </c>
      <c r="IQ194" t="e">
        <f>AND('Planilla_General_03-12-2012_9_3'!J3104,"AAAAAFtr9/o=")</f>
        <v>#VALUE!</v>
      </c>
      <c r="IR194" t="e">
        <f>AND('Planilla_General_03-12-2012_9_3'!K3104,"AAAAAFtr9/s=")</f>
        <v>#VALUE!</v>
      </c>
      <c r="IS194" t="e">
        <f>AND('Planilla_General_03-12-2012_9_3'!L3104,"AAAAAFtr9/w=")</f>
        <v>#VALUE!</v>
      </c>
      <c r="IT194" t="e">
        <f>AND('Planilla_General_03-12-2012_9_3'!M3104,"AAAAAFtr9/0=")</f>
        <v>#VALUE!</v>
      </c>
      <c r="IU194" t="e">
        <f>AND('Planilla_General_03-12-2012_9_3'!N3104,"AAAAAFtr9/4=")</f>
        <v>#VALUE!</v>
      </c>
      <c r="IV194" t="e">
        <f>AND('Planilla_General_03-12-2012_9_3'!O3104,"AAAAAFtr9/8=")</f>
        <v>#VALUE!</v>
      </c>
    </row>
    <row r="195" spans="1:256" x14ac:dyDescent="0.25">
      <c r="A195" t="e">
        <f>IF('Planilla_General_03-12-2012_9_3'!3105:3105,"AAAAAFtpfwA=",0)</f>
        <v>#VALUE!</v>
      </c>
      <c r="B195" t="e">
        <f>AND('Planilla_General_03-12-2012_9_3'!A3105,"AAAAAFtpfwE=")</f>
        <v>#VALUE!</v>
      </c>
      <c r="C195" t="e">
        <f>AND('Planilla_General_03-12-2012_9_3'!B3105,"AAAAAFtpfwI=")</f>
        <v>#VALUE!</v>
      </c>
      <c r="D195" t="e">
        <f>AND('Planilla_General_03-12-2012_9_3'!C3105,"AAAAAFtpfwM=")</f>
        <v>#VALUE!</v>
      </c>
      <c r="E195" t="e">
        <f>AND('Planilla_General_03-12-2012_9_3'!D3105,"AAAAAFtpfwQ=")</f>
        <v>#VALUE!</v>
      </c>
      <c r="F195" t="e">
        <f>AND('Planilla_General_03-12-2012_9_3'!E3105,"AAAAAFtpfwU=")</f>
        <v>#VALUE!</v>
      </c>
      <c r="G195" t="e">
        <f>AND('Planilla_General_03-12-2012_9_3'!F3105,"AAAAAFtpfwY=")</f>
        <v>#VALUE!</v>
      </c>
      <c r="H195" t="e">
        <f>AND('Planilla_General_03-12-2012_9_3'!G3105,"AAAAAFtpfwc=")</f>
        <v>#VALUE!</v>
      </c>
      <c r="I195" t="e">
        <f>AND('Planilla_General_03-12-2012_9_3'!H3105,"AAAAAFtpfwg=")</f>
        <v>#VALUE!</v>
      </c>
      <c r="J195" t="e">
        <f>AND('Planilla_General_03-12-2012_9_3'!I3105,"AAAAAFtpfwk=")</f>
        <v>#VALUE!</v>
      </c>
      <c r="K195" t="e">
        <f>AND('Planilla_General_03-12-2012_9_3'!J3105,"AAAAAFtpfwo=")</f>
        <v>#VALUE!</v>
      </c>
      <c r="L195" t="e">
        <f>AND('Planilla_General_03-12-2012_9_3'!K3105,"AAAAAFtpfws=")</f>
        <v>#VALUE!</v>
      </c>
      <c r="M195" t="e">
        <f>AND('Planilla_General_03-12-2012_9_3'!L3105,"AAAAAFtpfww=")</f>
        <v>#VALUE!</v>
      </c>
      <c r="N195" t="e">
        <f>AND('Planilla_General_03-12-2012_9_3'!M3105,"AAAAAFtpfw0=")</f>
        <v>#VALUE!</v>
      </c>
      <c r="O195" t="e">
        <f>AND('Planilla_General_03-12-2012_9_3'!N3105,"AAAAAFtpfw4=")</f>
        <v>#VALUE!</v>
      </c>
      <c r="P195" t="e">
        <f>AND('Planilla_General_03-12-2012_9_3'!O3105,"AAAAAFtpfw8=")</f>
        <v>#VALUE!</v>
      </c>
      <c r="Q195">
        <f>IF('Planilla_General_03-12-2012_9_3'!3106:3106,"AAAAAFtpfxA=",0)</f>
        <v>0</v>
      </c>
      <c r="R195" t="e">
        <f>AND('Planilla_General_03-12-2012_9_3'!A3106,"AAAAAFtpfxE=")</f>
        <v>#VALUE!</v>
      </c>
      <c r="S195" t="e">
        <f>AND('Planilla_General_03-12-2012_9_3'!B3106,"AAAAAFtpfxI=")</f>
        <v>#VALUE!</v>
      </c>
      <c r="T195" t="e">
        <f>AND('Planilla_General_03-12-2012_9_3'!C3106,"AAAAAFtpfxM=")</f>
        <v>#VALUE!</v>
      </c>
      <c r="U195" t="e">
        <f>AND('Planilla_General_03-12-2012_9_3'!D3106,"AAAAAFtpfxQ=")</f>
        <v>#VALUE!</v>
      </c>
      <c r="V195" t="e">
        <f>AND('Planilla_General_03-12-2012_9_3'!E3106,"AAAAAFtpfxU=")</f>
        <v>#VALUE!</v>
      </c>
      <c r="W195" t="e">
        <f>AND('Planilla_General_03-12-2012_9_3'!F3106,"AAAAAFtpfxY=")</f>
        <v>#VALUE!</v>
      </c>
      <c r="X195" t="e">
        <f>AND('Planilla_General_03-12-2012_9_3'!G3106,"AAAAAFtpfxc=")</f>
        <v>#VALUE!</v>
      </c>
      <c r="Y195" t="e">
        <f>AND('Planilla_General_03-12-2012_9_3'!H3106,"AAAAAFtpfxg=")</f>
        <v>#VALUE!</v>
      </c>
      <c r="Z195" t="e">
        <f>AND('Planilla_General_03-12-2012_9_3'!I3106,"AAAAAFtpfxk=")</f>
        <v>#VALUE!</v>
      </c>
      <c r="AA195" t="e">
        <f>AND('Planilla_General_03-12-2012_9_3'!J3106,"AAAAAFtpfxo=")</f>
        <v>#VALUE!</v>
      </c>
      <c r="AB195" t="e">
        <f>AND('Planilla_General_03-12-2012_9_3'!K3106,"AAAAAFtpfxs=")</f>
        <v>#VALUE!</v>
      </c>
      <c r="AC195" t="e">
        <f>AND('Planilla_General_03-12-2012_9_3'!L3106,"AAAAAFtpfxw=")</f>
        <v>#VALUE!</v>
      </c>
      <c r="AD195" t="e">
        <f>AND('Planilla_General_03-12-2012_9_3'!M3106,"AAAAAFtpfx0=")</f>
        <v>#VALUE!</v>
      </c>
      <c r="AE195" t="e">
        <f>AND('Planilla_General_03-12-2012_9_3'!N3106,"AAAAAFtpfx4=")</f>
        <v>#VALUE!</v>
      </c>
      <c r="AF195" t="e">
        <f>AND('Planilla_General_03-12-2012_9_3'!O3106,"AAAAAFtpfx8=")</f>
        <v>#VALUE!</v>
      </c>
      <c r="AG195">
        <f>IF('Planilla_General_03-12-2012_9_3'!3107:3107,"AAAAAFtpfyA=",0)</f>
        <v>0</v>
      </c>
      <c r="AH195" t="e">
        <f>AND('Planilla_General_03-12-2012_9_3'!A3107,"AAAAAFtpfyE=")</f>
        <v>#VALUE!</v>
      </c>
      <c r="AI195" t="e">
        <f>AND('Planilla_General_03-12-2012_9_3'!B3107,"AAAAAFtpfyI=")</f>
        <v>#VALUE!</v>
      </c>
      <c r="AJ195" t="e">
        <f>AND('Planilla_General_03-12-2012_9_3'!C3107,"AAAAAFtpfyM=")</f>
        <v>#VALUE!</v>
      </c>
      <c r="AK195" t="e">
        <f>AND('Planilla_General_03-12-2012_9_3'!D3107,"AAAAAFtpfyQ=")</f>
        <v>#VALUE!</v>
      </c>
      <c r="AL195" t="e">
        <f>AND('Planilla_General_03-12-2012_9_3'!E3107,"AAAAAFtpfyU=")</f>
        <v>#VALUE!</v>
      </c>
      <c r="AM195" t="e">
        <f>AND('Planilla_General_03-12-2012_9_3'!F3107,"AAAAAFtpfyY=")</f>
        <v>#VALUE!</v>
      </c>
      <c r="AN195" t="e">
        <f>AND('Planilla_General_03-12-2012_9_3'!G3107,"AAAAAFtpfyc=")</f>
        <v>#VALUE!</v>
      </c>
      <c r="AO195" t="e">
        <f>AND('Planilla_General_03-12-2012_9_3'!H3107,"AAAAAFtpfyg=")</f>
        <v>#VALUE!</v>
      </c>
      <c r="AP195" t="e">
        <f>AND('Planilla_General_03-12-2012_9_3'!I3107,"AAAAAFtpfyk=")</f>
        <v>#VALUE!</v>
      </c>
      <c r="AQ195" t="e">
        <f>AND('Planilla_General_03-12-2012_9_3'!J3107,"AAAAAFtpfyo=")</f>
        <v>#VALUE!</v>
      </c>
      <c r="AR195" t="e">
        <f>AND('Planilla_General_03-12-2012_9_3'!K3107,"AAAAAFtpfys=")</f>
        <v>#VALUE!</v>
      </c>
      <c r="AS195" t="e">
        <f>AND('Planilla_General_03-12-2012_9_3'!L3107,"AAAAAFtpfyw=")</f>
        <v>#VALUE!</v>
      </c>
      <c r="AT195" t="e">
        <f>AND('Planilla_General_03-12-2012_9_3'!M3107,"AAAAAFtpfy0=")</f>
        <v>#VALUE!</v>
      </c>
      <c r="AU195" t="e">
        <f>AND('Planilla_General_03-12-2012_9_3'!N3107,"AAAAAFtpfy4=")</f>
        <v>#VALUE!</v>
      </c>
      <c r="AV195" t="e">
        <f>AND('Planilla_General_03-12-2012_9_3'!O3107,"AAAAAFtpfy8=")</f>
        <v>#VALUE!</v>
      </c>
      <c r="AW195">
        <f>IF('Planilla_General_03-12-2012_9_3'!3108:3108,"AAAAAFtpfzA=",0)</f>
        <v>0</v>
      </c>
      <c r="AX195" t="e">
        <f>AND('Planilla_General_03-12-2012_9_3'!A3108,"AAAAAFtpfzE=")</f>
        <v>#VALUE!</v>
      </c>
      <c r="AY195" t="e">
        <f>AND('Planilla_General_03-12-2012_9_3'!B3108,"AAAAAFtpfzI=")</f>
        <v>#VALUE!</v>
      </c>
      <c r="AZ195" t="e">
        <f>AND('Planilla_General_03-12-2012_9_3'!C3108,"AAAAAFtpfzM=")</f>
        <v>#VALUE!</v>
      </c>
      <c r="BA195" t="e">
        <f>AND('Planilla_General_03-12-2012_9_3'!D3108,"AAAAAFtpfzQ=")</f>
        <v>#VALUE!</v>
      </c>
      <c r="BB195" t="e">
        <f>AND('Planilla_General_03-12-2012_9_3'!E3108,"AAAAAFtpfzU=")</f>
        <v>#VALUE!</v>
      </c>
      <c r="BC195" t="e">
        <f>AND('Planilla_General_03-12-2012_9_3'!F3108,"AAAAAFtpfzY=")</f>
        <v>#VALUE!</v>
      </c>
      <c r="BD195" t="e">
        <f>AND('Planilla_General_03-12-2012_9_3'!G3108,"AAAAAFtpfzc=")</f>
        <v>#VALUE!</v>
      </c>
      <c r="BE195" t="e">
        <f>AND('Planilla_General_03-12-2012_9_3'!H3108,"AAAAAFtpfzg=")</f>
        <v>#VALUE!</v>
      </c>
      <c r="BF195" t="e">
        <f>AND('Planilla_General_03-12-2012_9_3'!I3108,"AAAAAFtpfzk=")</f>
        <v>#VALUE!</v>
      </c>
      <c r="BG195" t="e">
        <f>AND('Planilla_General_03-12-2012_9_3'!J3108,"AAAAAFtpfzo=")</f>
        <v>#VALUE!</v>
      </c>
      <c r="BH195" t="e">
        <f>AND('Planilla_General_03-12-2012_9_3'!K3108,"AAAAAFtpfzs=")</f>
        <v>#VALUE!</v>
      </c>
      <c r="BI195" t="e">
        <f>AND('Planilla_General_03-12-2012_9_3'!L3108,"AAAAAFtpfzw=")</f>
        <v>#VALUE!</v>
      </c>
      <c r="BJ195" t="e">
        <f>AND('Planilla_General_03-12-2012_9_3'!M3108,"AAAAAFtpfz0=")</f>
        <v>#VALUE!</v>
      </c>
      <c r="BK195" t="e">
        <f>AND('Planilla_General_03-12-2012_9_3'!N3108,"AAAAAFtpfz4=")</f>
        <v>#VALUE!</v>
      </c>
      <c r="BL195" t="e">
        <f>AND('Planilla_General_03-12-2012_9_3'!O3108,"AAAAAFtpfz8=")</f>
        <v>#VALUE!</v>
      </c>
      <c r="BM195">
        <f>IF('Planilla_General_03-12-2012_9_3'!3109:3109,"AAAAAFtpf0A=",0)</f>
        <v>0</v>
      </c>
      <c r="BN195" t="e">
        <f>AND('Planilla_General_03-12-2012_9_3'!A3109,"AAAAAFtpf0E=")</f>
        <v>#VALUE!</v>
      </c>
      <c r="BO195" t="e">
        <f>AND('Planilla_General_03-12-2012_9_3'!B3109,"AAAAAFtpf0I=")</f>
        <v>#VALUE!</v>
      </c>
      <c r="BP195" t="e">
        <f>AND('Planilla_General_03-12-2012_9_3'!C3109,"AAAAAFtpf0M=")</f>
        <v>#VALUE!</v>
      </c>
      <c r="BQ195" t="e">
        <f>AND('Planilla_General_03-12-2012_9_3'!D3109,"AAAAAFtpf0Q=")</f>
        <v>#VALUE!</v>
      </c>
      <c r="BR195" t="e">
        <f>AND('Planilla_General_03-12-2012_9_3'!E3109,"AAAAAFtpf0U=")</f>
        <v>#VALUE!</v>
      </c>
      <c r="BS195" t="e">
        <f>AND('Planilla_General_03-12-2012_9_3'!F3109,"AAAAAFtpf0Y=")</f>
        <v>#VALUE!</v>
      </c>
      <c r="BT195" t="e">
        <f>AND('Planilla_General_03-12-2012_9_3'!G3109,"AAAAAFtpf0c=")</f>
        <v>#VALUE!</v>
      </c>
      <c r="BU195" t="e">
        <f>AND('Planilla_General_03-12-2012_9_3'!H3109,"AAAAAFtpf0g=")</f>
        <v>#VALUE!</v>
      </c>
      <c r="BV195" t="e">
        <f>AND('Planilla_General_03-12-2012_9_3'!I3109,"AAAAAFtpf0k=")</f>
        <v>#VALUE!</v>
      </c>
      <c r="BW195" t="e">
        <f>AND('Planilla_General_03-12-2012_9_3'!J3109,"AAAAAFtpf0o=")</f>
        <v>#VALUE!</v>
      </c>
      <c r="BX195" t="e">
        <f>AND('Planilla_General_03-12-2012_9_3'!K3109,"AAAAAFtpf0s=")</f>
        <v>#VALUE!</v>
      </c>
      <c r="BY195" t="e">
        <f>AND('Planilla_General_03-12-2012_9_3'!L3109,"AAAAAFtpf0w=")</f>
        <v>#VALUE!</v>
      </c>
      <c r="BZ195" t="e">
        <f>AND('Planilla_General_03-12-2012_9_3'!M3109,"AAAAAFtpf00=")</f>
        <v>#VALUE!</v>
      </c>
      <c r="CA195" t="e">
        <f>AND('Planilla_General_03-12-2012_9_3'!N3109,"AAAAAFtpf04=")</f>
        <v>#VALUE!</v>
      </c>
      <c r="CB195" t="e">
        <f>AND('Planilla_General_03-12-2012_9_3'!O3109,"AAAAAFtpf08=")</f>
        <v>#VALUE!</v>
      </c>
      <c r="CC195">
        <f>IF('Planilla_General_03-12-2012_9_3'!3110:3110,"AAAAAFtpf1A=",0)</f>
        <v>0</v>
      </c>
      <c r="CD195" t="e">
        <f>AND('Planilla_General_03-12-2012_9_3'!A3110,"AAAAAFtpf1E=")</f>
        <v>#VALUE!</v>
      </c>
      <c r="CE195" t="e">
        <f>AND('Planilla_General_03-12-2012_9_3'!B3110,"AAAAAFtpf1I=")</f>
        <v>#VALUE!</v>
      </c>
      <c r="CF195" t="e">
        <f>AND('Planilla_General_03-12-2012_9_3'!C3110,"AAAAAFtpf1M=")</f>
        <v>#VALUE!</v>
      </c>
      <c r="CG195" t="e">
        <f>AND('Planilla_General_03-12-2012_9_3'!D3110,"AAAAAFtpf1Q=")</f>
        <v>#VALUE!</v>
      </c>
      <c r="CH195" t="e">
        <f>AND('Planilla_General_03-12-2012_9_3'!E3110,"AAAAAFtpf1U=")</f>
        <v>#VALUE!</v>
      </c>
      <c r="CI195" t="e">
        <f>AND('Planilla_General_03-12-2012_9_3'!F3110,"AAAAAFtpf1Y=")</f>
        <v>#VALUE!</v>
      </c>
      <c r="CJ195" t="e">
        <f>AND('Planilla_General_03-12-2012_9_3'!G3110,"AAAAAFtpf1c=")</f>
        <v>#VALUE!</v>
      </c>
      <c r="CK195" t="e">
        <f>AND('Planilla_General_03-12-2012_9_3'!H3110,"AAAAAFtpf1g=")</f>
        <v>#VALUE!</v>
      </c>
      <c r="CL195" t="e">
        <f>AND('Planilla_General_03-12-2012_9_3'!I3110,"AAAAAFtpf1k=")</f>
        <v>#VALUE!</v>
      </c>
      <c r="CM195" t="e">
        <f>AND('Planilla_General_03-12-2012_9_3'!J3110,"AAAAAFtpf1o=")</f>
        <v>#VALUE!</v>
      </c>
      <c r="CN195" t="e">
        <f>AND('Planilla_General_03-12-2012_9_3'!K3110,"AAAAAFtpf1s=")</f>
        <v>#VALUE!</v>
      </c>
      <c r="CO195" t="e">
        <f>AND('Planilla_General_03-12-2012_9_3'!L3110,"AAAAAFtpf1w=")</f>
        <v>#VALUE!</v>
      </c>
      <c r="CP195" t="e">
        <f>AND('Planilla_General_03-12-2012_9_3'!M3110,"AAAAAFtpf10=")</f>
        <v>#VALUE!</v>
      </c>
      <c r="CQ195" t="e">
        <f>AND('Planilla_General_03-12-2012_9_3'!N3110,"AAAAAFtpf14=")</f>
        <v>#VALUE!</v>
      </c>
      <c r="CR195" t="e">
        <f>AND('Planilla_General_03-12-2012_9_3'!O3110,"AAAAAFtpf18=")</f>
        <v>#VALUE!</v>
      </c>
      <c r="CS195">
        <f>IF('Planilla_General_03-12-2012_9_3'!3111:3111,"AAAAAFtpf2A=",0)</f>
        <v>0</v>
      </c>
      <c r="CT195" t="e">
        <f>AND('Planilla_General_03-12-2012_9_3'!A3111,"AAAAAFtpf2E=")</f>
        <v>#VALUE!</v>
      </c>
      <c r="CU195" t="e">
        <f>AND('Planilla_General_03-12-2012_9_3'!B3111,"AAAAAFtpf2I=")</f>
        <v>#VALUE!</v>
      </c>
      <c r="CV195" t="e">
        <f>AND('Planilla_General_03-12-2012_9_3'!C3111,"AAAAAFtpf2M=")</f>
        <v>#VALUE!</v>
      </c>
      <c r="CW195" t="e">
        <f>AND('Planilla_General_03-12-2012_9_3'!D3111,"AAAAAFtpf2Q=")</f>
        <v>#VALUE!</v>
      </c>
      <c r="CX195" t="e">
        <f>AND('Planilla_General_03-12-2012_9_3'!E3111,"AAAAAFtpf2U=")</f>
        <v>#VALUE!</v>
      </c>
      <c r="CY195" t="e">
        <f>AND('Planilla_General_03-12-2012_9_3'!F3111,"AAAAAFtpf2Y=")</f>
        <v>#VALUE!</v>
      </c>
      <c r="CZ195" t="e">
        <f>AND('Planilla_General_03-12-2012_9_3'!G3111,"AAAAAFtpf2c=")</f>
        <v>#VALUE!</v>
      </c>
      <c r="DA195" t="e">
        <f>AND('Planilla_General_03-12-2012_9_3'!H3111,"AAAAAFtpf2g=")</f>
        <v>#VALUE!</v>
      </c>
      <c r="DB195" t="e">
        <f>AND('Planilla_General_03-12-2012_9_3'!I3111,"AAAAAFtpf2k=")</f>
        <v>#VALUE!</v>
      </c>
      <c r="DC195" t="e">
        <f>AND('Planilla_General_03-12-2012_9_3'!J3111,"AAAAAFtpf2o=")</f>
        <v>#VALUE!</v>
      </c>
      <c r="DD195" t="e">
        <f>AND('Planilla_General_03-12-2012_9_3'!K3111,"AAAAAFtpf2s=")</f>
        <v>#VALUE!</v>
      </c>
      <c r="DE195" t="e">
        <f>AND('Planilla_General_03-12-2012_9_3'!L3111,"AAAAAFtpf2w=")</f>
        <v>#VALUE!</v>
      </c>
      <c r="DF195" t="e">
        <f>AND('Planilla_General_03-12-2012_9_3'!M3111,"AAAAAFtpf20=")</f>
        <v>#VALUE!</v>
      </c>
      <c r="DG195" t="e">
        <f>AND('Planilla_General_03-12-2012_9_3'!N3111,"AAAAAFtpf24=")</f>
        <v>#VALUE!</v>
      </c>
      <c r="DH195" t="e">
        <f>AND('Planilla_General_03-12-2012_9_3'!O3111,"AAAAAFtpf28=")</f>
        <v>#VALUE!</v>
      </c>
      <c r="DI195">
        <f>IF('Planilla_General_03-12-2012_9_3'!3112:3112,"AAAAAFtpf3A=",0)</f>
        <v>0</v>
      </c>
      <c r="DJ195" t="e">
        <f>AND('Planilla_General_03-12-2012_9_3'!A3112,"AAAAAFtpf3E=")</f>
        <v>#VALUE!</v>
      </c>
      <c r="DK195" t="e">
        <f>AND('Planilla_General_03-12-2012_9_3'!B3112,"AAAAAFtpf3I=")</f>
        <v>#VALUE!</v>
      </c>
      <c r="DL195" t="e">
        <f>AND('Planilla_General_03-12-2012_9_3'!C3112,"AAAAAFtpf3M=")</f>
        <v>#VALUE!</v>
      </c>
      <c r="DM195" t="e">
        <f>AND('Planilla_General_03-12-2012_9_3'!D3112,"AAAAAFtpf3Q=")</f>
        <v>#VALUE!</v>
      </c>
      <c r="DN195" t="e">
        <f>AND('Planilla_General_03-12-2012_9_3'!E3112,"AAAAAFtpf3U=")</f>
        <v>#VALUE!</v>
      </c>
      <c r="DO195" t="e">
        <f>AND('Planilla_General_03-12-2012_9_3'!F3112,"AAAAAFtpf3Y=")</f>
        <v>#VALUE!</v>
      </c>
      <c r="DP195" t="e">
        <f>AND('Planilla_General_03-12-2012_9_3'!G3112,"AAAAAFtpf3c=")</f>
        <v>#VALUE!</v>
      </c>
      <c r="DQ195" t="e">
        <f>AND('Planilla_General_03-12-2012_9_3'!H3112,"AAAAAFtpf3g=")</f>
        <v>#VALUE!</v>
      </c>
      <c r="DR195" t="e">
        <f>AND('Planilla_General_03-12-2012_9_3'!I3112,"AAAAAFtpf3k=")</f>
        <v>#VALUE!</v>
      </c>
      <c r="DS195" t="e">
        <f>AND('Planilla_General_03-12-2012_9_3'!J3112,"AAAAAFtpf3o=")</f>
        <v>#VALUE!</v>
      </c>
      <c r="DT195" t="e">
        <f>AND('Planilla_General_03-12-2012_9_3'!K3112,"AAAAAFtpf3s=")</f>
        <v>#VALUE!</v>
      </c>
      <c r="DU195" t="e">
        <f>AND('Planilla_General_03-12-2012_9_3'!L3112,"AAAAAFtpf3w=")</f>
        <v>#VALUE!</v>
      </c>
      <c r="DV195" t="e">
        <f>AND('Planilla_General_03-12-2012_9_3'!M3112,"AAAAAFtpf30=")</f>
        <v>#VALUE!</v>
      </c>
      <c r="DW195" t="e">
        <f>AND('Planilla_General_03-12-2012_9_3'!N3112,"AAAAAFtpf34=")</f>
        <v>#VALUE!</v>
      </c>
      <c r="DX195" t="e">
        <f>AND('Planilla_General_03-12-2012_9_3'!O3112,"AAAAAFtpf38=")</f>
        <v>#VALUE!</v>
      </c>
      <c r="DY195">
        <f>IF('Planilla_General_03-12-2012_9_3'!3113:3113,"AAAAAFtpf4A=",0)</f>
        <v>0</v>
      </c>
      <c r="DZ195" t="e">
        <f>AND('Planilla_General_03-12-2012_9_3'!A3113,"AAAAAFtpf4E=")</f>
        <v>#VALUE!</v>
      </c>
      <c r="EA195" t="e">
        <f>AND('Planilla_General_03-12-2012_9_3'!B3113,"AAAAAFtpf4I=")</f>
        <v>#VALUE!</v>
      </c>
      <c r="EB195" t="e">
        <f>AND('Planilla_General_03-12-2012_9_3'!C3113,"AAAAAFtpf4M=")</f>
        <v>#VALUE!</v>
      </c>
      <c r="EC195" t="e">
        <f>AND('Planilla_General_03-12-2012_9_3'!D3113,"AAAAAFtpf4Q=")</f>
        <v>#VALUE!</v>
      </c>
      <c r="ED195" t="e">
        <f>AND('Planilla_General_03-12-2012_9_3'!E3113,"AAAAAFtpf4U=")</f>
        <v>#VALUE!</v>
      </c>
      <c r="EE195" t="e">
        <f>AND('Planilla_General_03-12-2012_9_3'!F3113,"AAAAAFtpf4Y=")</f>
        <v>#VALUE!</v>
      </c>
      <c r="EF195" t="e">
        <f>AND('Planilla_General_03-12-2012_9_3'!G3113,"AAAAAFtpf4c=")</f>
        <v>#VALUE!</v>
      </c>
      <c r="EG195" t="e">
        <f>AND('Planilla_General_03-12-2012_9_3'!H3113,"AAAAAFtpf4g=")</f>
        <v>#VALUE!</v>
      </c>
      <c r="EH195" t="e">
        <f>AND('Planilla_General_03-12-2012_9_3'!I3113,"AAAAAFtpf4k=")</f>
        <v>#VALUE!</v>
      </c>
      <c r="EI195" t="e">
        <f>AND('Planilla_General_03-12-2012_9_3'!J3113,"AAAAAFtpf4o=")</f>
        <v>#VALUE!</v>
      </c>
      <c r="EJ195" t="e">
        <f>AND('Planilla_General_03-12-2012_9_3'!K3113,"AAAAAFtpf4s=")</f>
        <v>#VALUE!</v>
      </c>
      <c r="EK195" t="e">
        <f>AND('Planilla_General_03-12-2012_9_3'!L3113,"AAAAAFtpf4w=")</f>
        <v>#VALUE!</v>
      </c>
      <c r="EL195" t="e">
        <f>AND('Planilla_General_03-12-2012_9_3'!M3113,"AAAAAFtpf40=")</f>
        <v>#VALUE!</v>
      </c>
      <c r="EM195" t="e">
        <f>AND('Planilla_General_03-12-2012_9_3'!N3113,"AAAAAFtpf44=")</f>
        <v>#VALUE!</v>
      </c>
      <c r="EN195" t="e">
        <f>AND('Planilla_General_03-12-2012_9_3'!O3113,"AAAAAFtpf48=")</f>
        <v>#VALUE!</v>
      </c>
      <c r="EO195">
        <f>IF('Planilla_General_03-12-2012_9_3'!3114:3114,"AAAAAFtpf5A=",0)</f>
        <v>0</v>
      </c>
      <c r="EP195" t="e">
        <f>AND('Planilla_General_03-12-2012_9_3'!A3114,"AAAAAFtpf5E=")</f>
        <v>#VALUE!</v>
      </c>
      <c r="EQ195" t="e">
        <f>AND('Planilla_General_03-12-2012_9_3'!B3114,"AAAAAFtpf5I=")</f>
        <v>#VALUE!</v>
      </c>
      <c r="ER195" t="e">
        <f>AND('Planilla_General_03-12-2012_9_3'!C3114,"AAAAAFtpf5M=")</f>
        <v>#VALUE!</v>
      </c>
      <c r="ES195" t="e">
        <f>AND('Planilla_General_03-12-2012_9_3'!D3114,"AAAAAFtpf5Q=")</f>
        <v>#VALUE!</v>
      </c>
      <c r="ET195" t="e">
        <f>AND('Planilla_General_03-12-2012_9_3'!E3114,"AAAAAFtpf5U=")</f>
        <v>#VALUE!</v>
      </c>
      <c r="EU195" t="e">
        <f>AND('Planilla_General_03-12-2012_9_3'!F3114,"AAAAAFtpf5Y=")</f>
        <v>#VALUE!</v>
      </c>
      <c r="EV195" t="e">
        <f>AND('Planilla_General_03-12-2012_9_3'!G3114,"AAAAAFtpf5c=")</f>
        <v>#VALUE!</v>
      </c>
      <c r="EW195" t="e">
        <f>AND('Planilla_General_03-12-2012_9_3'!H3114,"AAAAAFtpf5g=")</f>
        <v>#VALUE!</v>
      </c>
      <c r="EX195" t="e">
        <f>AND('Planilla_General_03-12-2012_9_3'!I3114,"AAAAAFtpf5k=")</f>
        <v>#VALUE!</v>
      </c>
      <c r="EY195" t="e">
        <f>AND('Planilla_General_03-12-2012_9_3'!J3114,"AAAAAFtpf5o=")</f>
        <v>#VALUE!</v>
      </c>
      <c r="EZ195" t="e">
        <f>AND('Planilla_General_03-12-2012_9_3'!K3114,"AAAAAFtpf5s=")</f>
        <v>#VALUE!</v>
      </c>
      <c r="FA195" t="e">
        <f>AND('Planilla_General_03-12-2012_9_3'!L3114,"AAAAAFtpf5w=")</f>
        <v>#VALUE!</v>
      </c>
      <c r="FB195" t="e">
        <f>AND('Planilla_General_03-12-2012_9_3'!M3114,"AAAAAFtpf50=")</f>
        <v>#VALUE!</v>
      </c>
      <c r="FC195" t="e">
        <f>AND('Planilla_General_03-12-2012_9_3'!N3114,"AAAAAFtpf54=")</f>
        <v>#VALUE!</v>
      </c>
      <c r="FD195" t="e">
        <f>AND('Planilla_General_03-12-2012_9_3'!O3114,"AAAAAFtpf58=")</f>
        <v>#VALUE!</v>
      </c>
      <c r="FE195">
        <f>IF('Planilla_General_03-12-2012_9_3'!3115:3115,"AAAAAFtpf6A=",0)</f>
        <v>0</v>
      </c>
      <c r="FF195" t="e">
        <f>AND('Planilla_General_03-12-2012_9_3'!A3115,"AAAAAFtpf6E=")</f>
        <v>#VALUE!</v>
      </c>
      <c r="FG195" t="e">
        <f>AND('Planilla_General_03-12-2012_9_3'!B3115,"AAAAAFtpf6I=")</f>
        <v>#VALUE!</v>
      </c>
      <c r="FH195" t="e">
        <f>AND('Planilla_General_03-12-2012_9_3'!C3115,"AAAAAFtpf6M=")</f>
        <v>#VALUE!</v>
      </c>
      <c r="FI195" t="e">
        <f>AND('Planilla_General_03-12-2012_9_3'!D3115,"AAAAAFtpf6Q=")</f>
        <v>#VALUE!</v>
      </c>
      <c r="FJ195" t="e">
        <f>AND('Planilla_General_03-12-2012_9_3'!E3115,"AAAAAFtpf6U=")</f>
        <v>#VALUE!</v>
      </c>
      <c r="FK195" t="e">
        <f>AND('Planilla_General_03-12-2012_9_3'!F3115,"AAAAAFtpf6Y=")</f>
        <v>#VALUE!</v>
      </c>
      <c r="FL195" t="e">
        <f>AND('Planilla_General_03-12-2012_9_3'!G3115,"AAAAAFtpf6c=")</f>
        <v>#VALUE!</v>
      </c>
      <c r="FM195" t="e">
        <f>AND('Planilla_General_03-12-2012_9_3'!H3115,"AAAAAFtpf6g=")</f>
        <v>#VALUE!</v>
      </c>
      <c r="FN195" t="e">
        <f>AND('Planilla_General_03-12-2012_9_3'!I3115,"AAAAAFtpf6k=")</f>
        <v>#VALUE!</v>
      </c>
      <c r="FO195" t="e">
        <f>AND('Planilla_General_03-12-2012_9_3'!J3115,"AAAAAFtpf6o=")</f>
        <v>#VALUE!</v>
      </c>
      <c r="FP195" t="e">
        <f>AND('Planilla_General_03-12-2012_9_3'!K3115,"AAAAAFtpf6s=")</f>
        <v>#VALUE!</v>
      </c>
      <c r="FQ195" t="e">
        <f>AND('Planilla_General_03-12-2012_9_3'!L3115,"AAAAAFtpf6w=")</f>
        <v>#VALUE!</v>
      </c>
      <c r="FR195" t="e">
        <f>AND('Planilla_General_03-12-2012_9_3'!M3115,"AAAAAFtpf60=")</f>
        <v>#VALUE!</v>
      </c>
      <c r="FS195" t="e">
        <f>AND('Planilla_General_03-12-2012_9_3'!N3115,"AAAAAFtpf64=")</f>
        <v>#VALUE!</v>
      </c>
      <c r="FT195" t="e">
        <f>AND('Planilla_General_03-12-2012_9_3'!O3115,"AAAAAFtpf68=")</f>
        <v>#VALUE!</v>
      </c>
      <c r="FU195">
        <f>IF('Planilla_General_03-12-2012_9_3'!3116:3116,"AAAAAFtpf7A=",0)</f>
        <v>0</v>
      </c>
      <c r="FV195" t="e">
        <f>AND('Planilla_General_03-12-2012_9_3'!A3116,"AAAAAFtpf7E=")</f>
        <v>#VALUE!</v>
      </c>
      <c r="FW195" t="e">
        <f>AND('Planilla_General_03-12-2012_9_3'!B3116,"AAAAAFtpf7I=")</f>
        <v>#VALUE!</v>
      </c>
      <c r="FX195" t="e">
        <f>AND('Planilla_General_03-12-2012_9_3'!C3116,"AAAAAFtpf7M=")</f>
        <v>#VALUE!</v>
      </c>
      <c r="FY195" t="e">
        <f>AND('Planilla_General_03-12-2012_9_3'!D3116,"AAAAAFtpf7Q=")</f>
        <v>#VALUE!</v>
      </c>
      <c r="FZ195" t="e">
        <f>AND('Planilla_General_03-12-2012_9_3'!E3116,"AAAAAFtpf7U=")</f>
        <v>#VALUE!</v>
      </c>
      <c r="GA195" t="e">
        <f>AND('Planilla_General_03-12-2012_9_3'!F3116,"AAAAAFtpf7Y=")</f>
        <v>#VALUE!</v>
      </c>
      <c r="GB195" t="e">
        <f>AND('Planilla_General_03-12-2012_9_3'!G3116,"AAAAAFtpf7c=")</f>
        <v>#VALUE!</v>
      </c>
      <c r="GC195" t="e">
        <f>AND('Planilla_General_03-12-2012_9_3'!H3116,"AAAAAFtpf7g=")</f>
        <v>#VALUE!</v>
      </c>
      <c r="GD195" t="e">
        <f>AND('Planilla_General_03-12-2012_9_3'!I3116,"AAAAAFtpf7k=")</f>
        <v>#VALUE!</v>
      </c>
      <c r="GE195" t="e">
        <f>AND('Planilla_General_03-12-2012_9_3'!J3116,"AAAAAFtpf7o=")</f>
        <v>#VALUE!</v>
      </c>
      <c r="GF195" t="e">
        <f>AND('Planilla_General_03-12-2012_9_3'!K3116,"AAAAAFtpf7s=")</f>
        <v>#VALUE!</v>
      </c>
      <c r="GG195" t="e">
        <f>AND('Planilla_General_03-12-2012_9_3'!L3116,"AAAAAFtpf7w=")</f>
        <v>#VALUE!</v>
      </c>
      <c r="GH195" t="e">
        <f>AND('Planilla_General_03-12-2012_9_3'!M3116,"AAAAAFtpf70=")</f>
        <v>#VALUE!</v>
      </c>
      <c r="GI195" t="e">
        <f>AND('Planilla_General_03-12-2012_9_3'!N3116,"AAAAAFtpf74=")</f>
        <v>#VALUE!</v>
      </c>
      <c r="GJ195" t="e">
        <f>AND('Planilla_General_03-12-2012_9_3'!O3116,"AAAAAFtpf78=")</f>
        <v>#VALUE!</v>
      </c>
      <c r="GK195">
        <f>IF('Planilla_General_03-12-2012_9_3'!3117:3117,"AAAAAFtpf8A=",0)</f>
        <v>0</v>
      </c>
      <c r="GL195" t="e">
        <f>AND('Planilla_General_03-12-2012_9_3'!A3117,"AAAAAFtpf8E=")</f>
        <v>#VALUE!</v>
      </c>
      <c r="GM195" t="e">
        <f>AND('Planilla_General_03-12-2012_9_3'!B3117,"AAAAAFtpf8I=")</f>
        <v>#VALUE!</v>
      </c>
      <c r="GN195" t="e">
        <f>AND('Planilla_General_03-12-2012_9_3'!C3117,"AAAAAFtpf8M=")</f>
        <v>#VALUE!</v>
      </c>
      <c r="GO195" t="e">
        <f>AND('Planilla_General_03-12-2012_9_3'!D3117,"AAAAAFtpf8Q=")</f>
        <v>#VALUE!</v>
      </c>
      <c r="GP195" t="e">
        <f>AND('Planilla_General_03-12-2012_9_3'!E3117,"AAAAAFtpf8U=")</f>
        <v>#VALUE!</v>
      </c>
      <c r="GQ195" t="e">
        <f>AND('Planilla_General_03-12-2012_9_3'!F3117,"AAAAAFtpf8Y=")</f>
        <v>#VALUE!</v>
      </c>
      <c r="GR195" t="e">
        <f>AND('Planilla_General_03-12-2012_9_3'!G3117,"AAAAAFtpf8c=")</f>
        <v>#VALUE!</v>
      </c>
      <c r="GS195" t="e">
        <f>AND('Planilla_General_03-12-2012_9_3'!H3117,"AAAAAFtpf8g=")</f>
        <v>#VALUE!</v>
      </c>
      <c r="GT195" t="e">
        <f>AND('Planilla_General_03-12-2012_9_3'!I3117,"AAAAAFtpf8k=")</f>
        <v>#VALUE!</v>
      </c>
      <c r="GU195" t="e">
        <f>AND('Planilla_General_03-12-2012_9_3'!J3117,"AAAAAFtpf8o=")</f>
        <v>#VALUE!</v>
      </c>
      <c r="GV195" t="e">
        <f>AND('Planilla_General_03-12-2012_9_3'!K3117,"AAAAAFtpf8s=")</f>
        <v>#VALUE!</v>
      </c>
      <c r="GW195" t="e">
        <f>AND('Planilla_General_03-12-2012_9_3'!L3117,"AAAAAFtpf8w=")</f>
        <v>#VALUE!</v>
      </c>
      <c r="GX195" t="e">
        <f>AND('Planilla_General_03-12-2012_9_3'!M3117,"AAAAAFtpf80=")</f>
        <v>#VALUE!</v>
      </c>
      <c r="GY195" t="e">
        <f>AND('Planilla_General_03-12-2012_9_3'!N3117,"AAAAAFtpf84=")</f>
        <v>#VALUE!</v>
      </c>
      <c r="GZ195" t="e">
        <f>AND('Planilla_General_03-12-2012_9_3'!O3117,"AAAAAFtpf88=")</f>
        <v>#VALUE!</v>
      </c>
      <c r="HA195">
        <f>IF('Planilla_General_03-12-2012_9_3'!3118:3118,"AAAAAFtpf9A=",0)</f>
        <v>0</v>
      </c>
      <c r="HB195" t="e">
        <f>AND('Planilla_General_03-12-2012_9_3'!A3118,"AAAAAFtpf9E=")</f>
        <v>#VALUE!</v>
      </c>
      <c r="HC195" t="e">
        <f>AND('Planilla_General_03-12-2012_9_3'!B3118,"AAAAAFtpf9I=")</f>
        <v>#VALUE!</v>
      </c>
      <c r="HD195" t="e">
        <f>AND('Planilla_General_03-12-2012_9_3'!C3118,"AAAAAFtpf9M=")</f>
        <v>#VALUE!</v>
      </c>
      <c r="HE195" t="e">
        <f>AND('Planilla_General_03-12-2012_9_3'!D3118,"AAAAAFtpf9Q=")</f>
        <v>#VALUE!</v>
      </c>
      <c r="HF195" t="e">
        <f>AND('Planilla_General_03-12-2012_9_3'!E3118,"AAAAAFtpf9U=")</f>
        <v>#VALUE!</v>
      </c>
      <c r="HG195" t="e">
        <f>AND('Planilla_General_03-12-2012_9_3'!F3118,"AAAAAFtpf9Y=")</f>
        <v>#VALUE!</v>
      </c>
      <c r="HH195" t="e">
        <f>AND('Planilla_General_03-12-2012_9_3'!G3118,"AAAAAFtpf9c=")</f>
        <v>#VALUE!</v>
      </c>
      <c r="HI195" t="e">
        <f>AND('Planilla_General_03-12-2012_9_3'!H3118,"AAAAAFtpf9g=")</f>
        <v>#VALUE!</v>
      </c>
      <c r="HJ195" t="e">
        <f>AND('Planilla_General_03-12-2012_9_3'!I3118,"AAAAAFtpf9k=")</f>
        <v>#VALUE!</v>
      </c>
      <c r="HK195" t="e">
        <f>AND('Planilla_General_03-12-2012_9_3'!J3118,"AAAAAFtpf9o=")</f>
        <v>#VALUE!</v>
      </c>
      <c r="HL195" t="e">
        <f>AND('Planilla_General_03-12-2012_9_3'!K3118,"AAAAAFtpf9s=")</f>
        <v>#VALUE!</v>
      </c>
      <c r="HM195" t="e">
        <f>AND('Planilla_General_03-12-2012_9_3'!L3118,"AAAAAFtpf9w=")</f>
        <v>#VALUE!</v>
      </c>
      <c r="HN195" t="e">
        <f>AND('Planilla_General_03-12-2012_9_3'!M3118,"AAAAAFtpf90=")</f>
        <v>#VALUE!</v>
      </c>
      <c r="HO195" t="e">
        <f>AND('Planilla_General_03-12-2012_9_3'!N3118,"AAAAAFtpf94=")</f>
        <v>#VALUE!</v>
      </c>
      <c r="HP195" t="e">
        <f>AND('Planilla_General_03-12-2012_9_3'!O3118,"AAAAAFtpf98=")</f>
        <v>#VALUE!</v>
      </c>
      <c r="HQ195">
        <f>IF('Planilla_General_03-12-2012_9_3'!3119:3119,"AAAAAFtpf+A=",0)</f>
        <v>0</v>
      </c>
      <c r="HR195" t="e">
        <f>AND('Planilla_General_03-12-2012_9_3'!A3119,"AAAAAFtpf+E=")</f>
        <v>#VALUE!</v>
      </c>
      <c r="HS195" t="e">
        <f>AND('Planilla_General_03-12-2012_9_3'!B3119,"AAAAAFtpf+I=")</f>
        <v>#VALUE!</v>
      </c>
      <c r="HT195" t="e">
        <f>AND('Planilla_General_03-12-2012_9_3'!C3119,"AAAAAFtpf+M=")</f>
        <v>#VALUE!</v>
      </c>
      <c r="HU195" t="e">
        <f>AND('Planilla_General_03-12-2012_9_3'!D3119,"AAAAAFtpf+Q=")</f>
        <v>#VALUE!</v>
      </c>
      <c r="HV195" t="e">
        <f>AND('Planilla_General_03-12-2012_9_3'!E3119,"AAAAAFtpf+U=")</f>
        <v>#VALUE!</v>
      </c>
      <c r="HW195" t="e">
        <f>AND('Planilla_General_03-12-2012_9_3'!F3119,"AAAAAFtpf+Y=")</f>
        <v>#VALUE!</v>
      </c>
      <c r="HX195" t="e">
        <f>AND('Planilla_General_03-12-2012_9_3'!G3119,"AAAAAFtpf+c=")</f>
        <v>#VALUE!</v>
      </c>
      <c r="HY195" t="e">
        <f>AND('Planilla_General_03-12-2012_9_3'!H3119,"AAAAAFtpf+g=")</f>
        <v>#VALUE!</v>
      </c>
      <c r="HZ195" t="e">
        <f>AND('Planilla_General_03-12-2012_9_3'!I3119,"AAAAAFtpf+k=")</f>
        <v>#VALUE!</v>
      </c>
      <c r="IA195" t="e">
        <f>AND('Planilla_General_03-12-2012_9_3'!J3119,"AAAAAFtpf+o=")</f>
        <v>#VALUE!</v>
      </c>
      <c r="IB195" t="e">
        <f>AND('Planilla_General_03-12-2012_9_3'!K3119,"AAAAAFtpf+s=")</f>
        <v>#VALUE!</v>
      </c>
      <c r="IC195" t="e">
        <f>AND('Planilla_General_03-12-2012_9_3'!L3119,"AAAAAFtpf+w=")</f>
        <v>#VALUE!</v>
      </c>
      <c r="ID195" t="e">
        <f>AND('Planilla_General_03-12-2012_9_3'!M3119,"AAAAAFtpf+0=")</f>
        <v>#VALUE!</v>
      </c>
      <c r="IE195" t="e">
        <f>AND('Planilla_General_03-12-2012_9_3'!N3119,"AAAAAFtpf+4=")</f>
        <v>#VALUE!</v>
      </c>
      <c r="IF195" t="e">
        <f>AND('Planilla_General_03-12-2012_9_3'!O3119,"AAAAAFtpf+8=")</f>
        <v>#VALUE!</v>
      </c>
      <c r="IG195">
        <f>IF('Planilla_General_03-12-2012_9_3'!3120:3120,"AAAAAFtpf/A=",0)</f>
        <v>0</v>
      </c>
      <c r="IH195" t="e">
        <f>AND('Planilla_General_03-12-2012_9_3'!A3120,"AAAAAFtpf/E=")</f>
        <v>#VALUE!</v>
      </c>
      <c r="II195" t="e">
        <f>AND('Planilla_General_03-12-2012_9_3'!B3120,"AAAAAFtpf/I=")</f>
        <v>#VALUE!</v>
      </c>
      <c r="IJ195" t="e">
        <f>AND('Planilla_General_03-12-2012_9_3'!C3120,"AAAAAFtpf/M=")</f>
        <v>#VALUE!</v>
      </c>
      <c r="IK195" t="e">
        <f>AND('Planilla_General_03-12-2012_9_3'!D3120,"AAAAAFtpf/Q=")</f>
        <v>#VALUE!</v>
      </c>
      <c r="IL195" t="e">
        <f>AND('Planilla_General_03-12-2012_9_3'!E3120,"AAAAAFtpf/U=")</f>
        <v>#VALUE!</v>
      </c>
      <c r="IM195" t="e">
        <f>AND('Planilla_General_03-12-2012_9_3'!F3120,"AAAAAFtpf/Y=")</f>
        <v>#VALUE!</v>
      </c>
      <c r="IN195" t="e">
        <f>AND('Planilla_General_03-12-2012_9_3'!G3120,"AAAAAFtpf/c=")</f>
        <v>#VALUE!</v>
      </c>
      <c r="IO195" t="e">
        <f>AND('Planilla_General_03-12-2012_9_3'!H3120,"AAAAAFtpf/g=")</f>
        <v>#VALUE!</v>
      </c>
      <c r="IP195" t="e">
        <f>AND('Planilla_General_03-12-2012_9_3'!I3120,"AAAAAFtpf/k=")</f>
        <v>#VALUE!</v>
      </c>
      <c r="IQ195" t="e">
        <f>AND('Planilla_General_03-12-2012_9_3'!J3120,"AAAAAFtpf/o=")</f>
        <v>#VALUE!</v>
      </c>
      <c r="IR195" t="e">
        <f>AND('Planilla_General_03-12-2012_9_3'!K3120,"AAAAAFtpf/s=")</f>
        <v>#VALUE!</v>
      </c>
      <c r="IS195" t="e">
        <f>AND('Planilla_General_03-12-2012_9_3'!L3120,"AAAAAFtpf/w=")</f>
        <v>#VALUE!</v>
      </c>
      <c r="IT195" t="e">
        <f>AND('Planilla_General_03-12-2012_9_3'!M3120,"AAAAAFtpf/0=")</f>
        <v>#VALUE!</v>
      </c>
      <c r="IU195" t="e">
        <f>AND('Planilla_General_03-12-2012_9_3'!N3120,"AAAAAFtpf/4=")</f>
        <v>#VALUE!</v>
      </c>
      <c r="IV195" t="e">
        <f>AND('Planilla_General_03-12-2012_9_3'!O3120,"AAAAAFtpf/8=")</f>
        <v>#VALUE!</v>
      </c>
    </row>
    <row r="196" spans="1:256" x14ac:dyDescent="0.25">
      <c r="A196" t="e">
        <f>IF('Planilla_General_03-12-2012_9_3'!3121:3121,"AAAAAG/9XwA=",0)</f>
        <v>#VALUE!</v>
      </c>
      <c r="B196" t="e">
        <f>AND('Planilla_General_03-12-2012_9_3'!A3121,"AAAAAG/9XwE=")</f>
        <v>#VALUE!</v>
      </c>
      <c r="C196" t="e">
        <f>AND('Planilla_General_03-12-2012_9_3'!B3121,"AAAAAG/9XwI=")</f>
        <v>#VALUE!</v>
      </c>
      <c r="D196" t="e">
        <f>AND('Planilla_General_03-12-2012_9_3'!C3121,"AAAAAG/9XwM=")</f>
        <v>#VALUE!</v>
      </c>
      <c r="E196" t="e">
        <f>AND('Planilla_General_03-12-2012_9_3'!D3121,"AAAAAG/9XwQ=")</f>
        <v>#VALUE!</v>
      </c>
      <c r="F196" t="e">
        <f>AND('Planilla_General_03-12-2012_9_3'!E3121,"AAAAAG/9XwU=")</f>
        <v>#VALUE!</v>
      </c>
      <c r="G196" t="e">
        <f>AND('Planilla_General_03-12-2012_9_3'!F3121,"AAAAAG/9XwY=")</f>
        <v>#VALUE!</v>
      </c>
      <c r="H196" t="e">
        <f>AND('Planilla_General_03-12-2012_9_3'!G3121,"AAAAAG/9Xwc=")</f>
        <v>#VALUE!</v>
      </c>
      <c r="I196" t="e">
        <f>AND('Planilla_General_03-12-2012_9_3'!H3121,"AAAAAG/9Xwg=")</f>
        <v>#VALUE!</v>
      </c>
      <c r="J196" t="e">
        <f>AND('Planilla_General_03-12-2012_9_3'!I3121,"AAAAAG/9Xwk=")</f>
        <v>#VALUE!</v>
      </c>
      <c r="K196" t="e">
        <f>AND('Planilla_General_03-12-2012_9_3'!J3121,"AAAAAG/9Xwo=")</f>
        <v>#VALUE!</v>
      </c>
      <c r="L196" t="e">
        <f>AND('Planilla_General_03-12-2012_9_3'!K3121,"AAAAAG/9Xws=")</f>
        <v>#VALUE!</v>
      </c>
      <c r="M196" t="e">
        <f>AND('Planilla_General_03-12-2012_9_3'!L3121,"AAAAAG/9Xww=")</f>
        <v>#VALUE!</v>
      </c>
      <c r="N196" t="e">
        <f>AND('Planilla_General_03-12-2012_9_3'!M3121,"AAAAAG/9Xw0=")</f>
        <v>#VALUE!</v>
      </c>
      <c r="O196" t="e">
        <f>AND('Planilla_General_03-12-2012_9_3'!N3121,"AAAAAG/9Xw4=")</f>
        <v>#VALUE!</v>
      </c>
      <c r="P196" t="e">
        <f>AND('Planilla_General_03-12-2012_9_3'!O3121,"AAAAAG/9Xw8=")</f>
        <v>#VALUE!</v>
      </c>
      <c r="Q196">
        <f>IF('Planilla_General_03-12-2012_9_3'!3122:3122,"AAAAAG/9XxA=",0)</f>
        <v>0</v>
      </c>
      <c r="R196" t="e">
        <f>AND('Planilla_General_03-12-2012_9_3'!A3122,"AAAAAG/9XxE=")</f>
        <v>#VALUE!</v>
      </c>
      <c r="S196" t="e">
        <f>AND('Planilla_General_03-12-2012_9_3'!B3122,"AAAAAG/9XxI=")</f>
        <v>#VALUE!</v>
      </c>
      <c r="T196" t="e">
        <f>AND('Planilla_General_03-12-2012_9_3'!C3122,"AAAAAG/9XxM=")</f>
        <v>#VALUE!</v>
      </c>
      <c r="U196" t="e">
        <f>AND('Planilla_General_03-12-2012_9_3'!D3122,"AAAAAG/9XxQ=")</f>
        <v>#VALUE!</v>
      </c>
      <c r="V196" t="e">
        <f>AND('Planilla_General_03-12-2012_9_3'!E3122,"AAAAAG/9XxU=")</f>
        <v>#VALUE!</v>
      </c>
      <c r="W196" t="e">
        <f>AND('Planilla_General_03-12-2012_9_3'!F3122,"AAAAAG/9XxY=")</f>
        <v>#VALUE!</v>
      </c>
      <c r="X196" t="e">
        <f>AND('Planilla_General_03-12-2012_9_3'!G3122,"AAAAAG/9Xxc=")</f>
        <v>#VALUE!</v>
      </c>
      <c r="Y196" t="e">
        <f>AND('Planilla_General_03-12-2012_9_3'!H3122,"AAAAAG/9Xxg=")</f>
        <v>#VALUE!</v>
      </c>
      <c r="Z196" t="e">
        <f>AND('Planilla_General_03-12-2012_9_3'!I3122,"AAAAAG/9Xxk=")</f>
        <v>#VALUE!</v>
      </c>
      <c r="AA196" t="e">
        <f>AND('Planilla_General_03-12-2012_9_3'!J3122,"AAAAAG/9Xxo=")</f>
        <v>#VALUE!</v>
      </c>
      <c r="AB196" t="e">
        <f>AND('Planilla_General_03-12-2012_9_3'!K3122,"AAAAAG/9Xxs=")</f>
        <v>#VALUE!</v>
      </c>
      <c r="AC196" t="e">
        <f>AND('Planilla_General_03-12-2012_9_3'!L3122,"AAAAAG/9Xxw=")</f>
        <v>#VALUE!</v>
      </c>
      <c r="AD196" t="e">
        <f>AND('Planilla_General_03-12-2012_9_3'!M3122,"AAAAAG/9Xx0=")</f>
        <v>#VALUE!</v>
      </c>
      <c r="AE196" t="e">
        <f>AND('Planilla_General_03-12-2012_9_3'!N3122,"AAAAAG/9Xx4=")</f>
        <v>#VALUE!</v>
      </c>
      <c r="AF196" t="e">
        <f>AND('Planilla_General_03-12-2012_9_3'!O3122,"AAAAAG/9Xx8=")</f>
        <v>#VALUE!</v>
      </c>
      <c r="AG196">
        <f>IF('Planilla_General_03-12-2012_9_3'!3123:3123,"AAAAAG/9XyA=",0)</f>
        <v>0</v>
      </c>
      <c r="AH196" t="e">
        <f>AND('Planilla_General_03-12-2012_9_3'!A3123,"AAAAAG/9XyE=")</f>
        <v>#VALUE!</v>
      </c>
      <c r="AI196" t="e">
        <f>AND('Planilla_General_03-12-2012_9_3'!B3123,"AAAAAG/9XyI=")</f>
        <v>#VALUE!</v>
      </c>
      <c r="AJ196" t="e">
        <f>AND('Planilla_General_03-12-2012_9_3'!C3123,"AAAAAG/9XyM=")</f>
        <v>#VALUE!</v>
      </c>
      <c r="AK196" t="e">
        <f>AND('Planilla_General_03-12-2012_9_3'!D3123,"AAAAAG/9XyQ=")</f>
        <v>#VALUE!</v>
      </c>
      <c r="AL196" t="e">
        <f>AND('Planilla_General_03-12-2012_9_3'!E3123,"AAAAAG/9XyU=")</f>
        <v>#VALUE!</v>
      </c>
      <c r="AM196" t="e">
        <f>AND('Planilla_General_03-12-2012_9_3'!F3123,"AAAAAG/9XyY=")</f>
        <v>#VALUE!</v>
      </c>
      <c r="AN196" t="e">
        <f>AND('Planilla_General_03-12-2012_9_3'!G3123,"AAAAAG/9Xyc=")</f>
        <v>#VALUE!</v>
      </c>
      <c r="AO196" t="e">
        <f>AND('Planilla_General_03-12-2012_9_3'!H3123,"AAAAAG/9Xyg=")</f>
        <v>#VALUE!</v>
      </c>
      <c r="AP196" t="e">
        <f>AND('Planilla_General_03-12-2012_9_3'!I3123,"AAAAAG/9Xyk=")</f>
        <v>#VALUE!</v>
      </c>
      <c r="AQ196" t="e">
        <f>AND('Planilla_General_03-12-2012_9_3'!J3123,"AAAAAG/9Xyo=")</f>
        <v>#VALUE!</v>
      </c>
      <c r="AR196" t="e">
        <f>AND('Planilla_General_03-12-2012_9_3'!K3123,"AAAAAG/9Xys=")</f>
        <v>#VALUE!</v>
      </c>
      <c r="AS196" t="e">
        <f>AND('Planilla_General_03-12-2012_9_3'!L3123,"AAAAAG/9Xyw=")</f>
        <v>#VALUE!</v>
      </c>
      <c r="AT196" t="e">
        <f>AND('Planilla_General_03-12-2012_9_3'!M3123,"AAAAAG/9Xy0=")</f>
        <v>#VALUE!</v>
      </c>
      <c r="AU196" t="e">
        <f>AND('Planilla_General_03-12-2012_9_3'!N3123,"AAAAAG/9Xy4=")</f>
        <v>#VALUE!</v>
      </c>
      <c r="AV196" t="e">
        <f>AND('Planilla_General_03-12-2012_9_3'!O3123,"AAAAAG/9Xy8=")</f>
        <v>#VALUE!</v>
      </c>
      <c r="AW196">
        <f>IF('Planilla_General_03-12-2012_9_3'!3124:3124,"AAAAAG/9XzA=",0)</f>
        <v>0</v>
      </c>
      <c r="AX196" t="e">
        <f>AND('Planilla_General_03-12-2012_9_3'!A3124,"AAAAAG/9XzE=")</f>
        <v>#VALUE!</v>
      </c>
      <c r="AY196" t="e">
        <f>AND('Planilla_General_03-12-2012_9_3'!B3124,"AAAAAG/9XzI=")</f>
        <v>#VALUE!</v>
      </c>
      <c r="AZ196" t="e">
        <f>AND('Planilla_General_03-12-2012_9_3'!C3124,"AAAAAG/9XzM=")</f>
        <v>#VALUE!</v>
      </c>
      <c r="BA196" t="e">
        <f>AND('Planilla_General_03-12-2012_9_3'!D3124,"AAAAAG/9XzQ=")</f>
        <v>#VALUE!</v>
      </c>
      <c r="BB196" t="e">
        <f>AND('Planilla_General_03-12-2012_9_3'!E3124,"AAAAAG/9XzU=")</f>
        <v>#VALUE!</v>
      </c>
      <c r="BC196" t="e">
        <f>AND('Planilla_General_03-12-2012_9_3'!F3124,"AAAAAG/9XzY=")</f>
        <v>#VALUE!</v>
      </c>
      <c r="BD196" t="e">
        <f>AND('Planilla_General_03-12-2012_9_3'!G3124,"AAAAAG/9Xzc=")</f>
        <v>#VALUE!</v>
      </c>
      <c r="BE196" t="e">
        <f>AND('Planilla_General_03-12-2012_9_3'!H3124,"AAAAAG/9Xzg=")</f>
        <v>#VALUE!</v>
      </c>
      <c r="BF196" t="e">
        <f>AND('Planilla_General_03-12-2012_9_3'!I3124,"AAAAAG/9Xzk=")</f>
        <v>#VALUE!</v>
      </c>
      <c r="BG196" t="e">
        <f>AND('Planilla_General_03-12-2012_9_3'!J3124,"AAAAAG/9Xzo=")</f>
        <v>#VALUE!</v>
      </c>
      <c r="BH196" t="e">
        <f>AND('Planilla_General_03-12-2012_9_3'!K3124,"AAAAAG/9Xzs=")</f>
        <v>#VALUE!</v>
      </c>
      <c r="BI196" t="e">
        <f>AND('Planilla_General_03-12-2012_9_3'!L3124,"AAAAAG/9Xzw=")</f>
        <v>#VALUE!</v>
      </c>
      <c r="BJ196" t="e">
        <f>AND('Planilla_General_03-12-2012_9_3'!M3124,"AAAAAG/9Xz0=")</f>
        <v>#VALUE!</v>
      </c>
      <c r="BK196" t="e">
        <f>AND('Planilla_General_03-12-2012_9_3'!N3124,"AAAAAG/9Xz4=")</f>
        <v>#VALUE!</v>
      </c>
      <c r="BL196" t="e">
        <f>AND('Planilla_General_03-12-2012_9_3'!O3124,"AAAAAG/9Xz8=")</f>
        <v>#VALUE!</v>
      </c>
      <c r="BM196">
        <f>IF('Planilla_General_03-12-2012_9_3'!3125:3125,"AAAAAG/9X0A=",0)</f>
        <v>0</v>
      </c>
      <c r="BN196" t="e">
        <f>AND('Planilla_General_03-12-2012_9_3'!A3125,"AAAAAG/9X0E=")</f>
        <v>#VALUE!</v>
      </c>
      <c r="BO196" t="e">
        <f>AND('Planilla_General_03-12-2012_9_3'!B3125,"AAAAAG/9X0I=")</f>
        <v>#VALUE!</v>
      </c>
      <c r="BP196" t="e">
        <f>AND('Planilla_General_03-12-2012_9_3'!C3125,"AAAAAG/9X0M=")</f>
        <v>#VALUE!</v>
      </c>
      <c r="BQ196" t="e">
        <f>AND('Planilla_General_03-12-2012_9_3'!D3125,"AAAAAG/9X0Q=")</f>
        <v>#VALUE!</v>
      </c>
      <c r="BR196" t="e">
        <f>AND('Planilla_General_03-12-2012_9_3'!E3125,"AAAAAG/9X0U=")</f>
        <v>#VALUE!</v>
      </c>
      <c r="BS196" t="e">
        <f>AND('Planilla_General_03-12-2012_9_3'!F3125,"AAAAAG/9X0Y=")</f>
        <v>#VALUE!</v>
      </c>
      <c r="BT196" t="e">
        <f>AND('Planilla_General_03-12-2012_9_3'!G3125,"AAAAAG/9X0c=")</f>
        <v>#VALUE!</v>
      </c>
      <c r="BU196" t="e">
        <f>AND('Planilla_General_03-12-2012_9_3'!H3125,"AAAAAG/9X0g=")</f>
        <v>#VALUE!</v>
      </c>
      <c r="BV196" t="e">
        <f>AND('Planilla_General_03-12-2012_9_3'!I3125,"AAAAAG/9X0k=")</f>
        <v>#VALUE!</v>
      </c>
      <c r="BW196" t="e">
        <f>AND('Planilla_General_03-12-2012_9_3'!J3125,"AAAAAG/9X0o=")</f>
        <v>#VALUE!</v>
      </c>
      <c r="BX196" t="e">
        <f>AND('Planilla_General_03-12-2012_9_3'!K3125,"AAAAAG/9X0s=")</f>
        <v>#VALUE!</v>
      </c>
      <c r="BY196" t="e">
        <f>AND('Planilla_General_03-12-2012_9_3'!L3125,"AAAAAG/9X0w=")</f>
        <v>#VALUE!</v>
      </c>
      <c r="BZ196" t="e">
        <f>AND('Planilla_General_03-12-2012_9_3'!M3125,"AAAAAG/9X00=")</f>
        <v>#VALUE!</v>
      </c>
      <c r="CA196" t="e">
        <f>AND('Planilla_General_03-12-2012_9_3'!N3125,"AAAAAG/9X04=")</f>
        <v>#VALUE!</v>
      </c>
      <c r="CB196" t="e">
        <f>AND('Planilla_General_03-12-2012_9_3'!O3125,"AAAAAG/9X08=")</f>
        <v>#VALUE!</v>
      </c>
      <c r="CC196">
        <f>IF('Planilla_General_03-12-2012_9_3'!3126:3126,"AAAAAG/9X1A=",0)</f>
        <v>0</v>
      </c>
      <c r="CD196" t="e">
        <f>AND('Planilla_General_03-12-2012_9_3'!A3126,"AAAAAG/9X1E=")</f>
        <v>#VALUE!</v>
      </c>
      <c r="CE196" t="e">
        <f>AND('Planilla_General_03-12-2012_9_3'!B3126,"AAAAAG/9X1I=")</f>
        <v>#VALUE!</v>
      </c>
      <c r="CF196" t="e">
        <f>AND('Planilla_General_03-12-2012_9_3'!C3126,"AAAAAG/9X1M=")</f>
        <v>#VALUE!</v>
      </c>
      <c r="CG196" t="e">
        <f>AND('Planilla_General_03-12-2012_9_3'!D3126,"AAAAAG/9X1Q=")</f>
        <v>#VALUE!</v>
      </c>
      <c r="CH196" t="e">
        <f>AND('Planilla_General_03-12-2012_9_3'!E3126,"AAAAAG/9X1U=")</f>
        <v>#VALUE!</v>
      </c>
      <c r="CI196" t="e">
        <f>AND('Planilla_General_03-12-2012_9_3'!F3126,"AAAAAG/9X1Y=")</f>
        <v>#VALUE!</v>
      </c>
      <c r="CJ196" t="e">
        <f>AND('Planilla_General_03-12-2012_9_3'!G3126,"AAAAAG/9X1c=")</f>
        <v>#VALUE!</v>
      </c>
      <c r="CK196" t="e">
        <f>AND('Planilla_General_03-12-2012_9_3'!H3126,"AAAAAG/9X1g=")</f>
        <v>#VALUE!</v>
      </c>
      <c r="CL196" t="e">
        <f>AND('Planilla_General_03-12-2012_9_3'!I3126,"AAAAAG/9X1k=")</f>
        <v>#VALUE!</v>
      </c>
      <c r="CM196" t="e">
        <f>AND('Planilla_General_03-12-2012_9_3'!J3126,"AAAAAG/9X1o=")</f>
        <v>#VALUE!</v>
      </c>
      <c r="CN196" t="e">
        <f>AND('Planilla_General_03-12-2012_9_3'!K3126,"AAAAAG/9X1s=")</f>
        <v>#VALUE!</v>
      </c>
      <c r="CO196" t="e">
        <f>AND('Planilla_General_03-12-2012_9_3'!L3126,"AAAAAG/9X1w=")</f>
        <v>#VALUE!</v>
      </c>
      <c r="CP196" t="e">
        <f>AND('Planilla_General_03-12-2012_9_3'!M3126,"AAAAAG/9X10=")</f>
        <v>#VALUE!</v>
      </c>
      <c r="CQ196" t="e">
        <f>AND('Planilla_General_03-12-2012_9_3'!N3126,"AAAAAG/9X14=")</f>
        <v>#VALUE!</v>
      </c>
      <c r="CR196" t="e">
        <f>AND('Planilla_General_03-12-2012_9_3'!O3126,"AAAAAG/9X18=")</f>
        <v>#VALUE!</v>
      </c>
      <c r="CS196">
        <f>IF('Planilla_General_03-12-2012_9_3'!3127:3127,"AAAAAG/9X2A=",0)</f>
        <v>0</v>
      </c>
      <c r="CT196" t="e">
        <f>AND('Planilla_General_03-12-2012_9_3'!A3127,"AAAAAG/9X2E=")</f>
        <v>#VALUE!</v>
      </c>
      <c r="CU196" t="e">
        <f>AND('Planilla_General_03-12-2012_9_3'!B3127,"AAAAAG/9X2I=")</f>
        <v>#VALUE!</v>
      </c>
      <c r="CV196" t="e">
        <f>AND('Planilla_General_03-12-2012_9_3'!C3127,"AAAAAG/9X2M=")</f>
        <v>#VALUE!</v>
      </c>
      <c r="CW196" t="e">
        <f>AND('Planilla_General_03-12-2012_9_3'!D3127,"AAAAAG/9X2Q=")</f>
        <v>#VALUE!</v>
      </c>
      <c r="CX196" t="e">
        <f>AND('Planilla_General_03-12-2012_9_3'!E3127,"AAAAAG/9X2U=")</f>
        <v>#VALUE!</v>
      </c>
      <c r="CY196" t="e">
        <f>AND('Planilla_General_03-12-2012_9_3'!F3127,"AAAAAG/9X2Y=")</f>
        <v>#VALUE!</v>
      </c>
      <c r="CZ196" t="e">
        <f>AND('Planilla_General_03-12-2012_9_3'!G3127,"AAAAAG/9X2c=")</f>
        <v>#VALUE!</v>
      </c>
      <c r="DA196" t="e">
        <f>AND('Planilla_General_03-12-2012_9_3'!H3127,"AAAAAG/9X2g=")</f>
        <v>#VALUE!</v>
      </c>
      <c r="DB196" t="e">
        <f>AND('Planilla_General_03-12-2012_9_3'!I3127,"AAAAAG/9X2k=")</f>
        <v>#VALUE!</v>
      </c>
      <c r="DC196" t="e">
        <f>AND('Planilla_General_03-12-2012_9_3'!J3127,"AAAAAG/9X2o=")</f>
        <v>#VALUE!</v>
      </c>
      <c r="DD196" t="e">
        <f>AND('Planilla_General_03-12-2012_9_3'!K3127,"AAAAAG/9X2s=")</f>
        <v>#VALUE!</v>
      </c>
      <c r="DE196" t="e">
        <f>AND('Planilla_General_03-12-2012_9_3'!L3127,"AAAAAG/9X2w=")</f>
        <v>#VALUE!</v>
      </c>
      <c r="DF196" t="e">
        <f>AND('Planilla_General_03-12-2012_9_3'!M3127,"AAAAAG/9X20=")</f>
        <v>#VALUE!</v>
      </c>
      <c r="DG196" t="e">
        <f>AND('Planilla_General_03-12-2012_9_3'!N3127,"AAAAAG/9X24=")</f>
        <v>#VALUE!</v>
      </c>
      <c r="DH196" t="e">
        <f>AND('Planilla_General_03-12-2012_9_3'!O3127,"AAAAAG/9X28=")</f>
        <v>#VALUE!</v>
      </c>
      <c r="DI196">
        <f>IF('Planilla_General_03-12-2012_9_3'!3128:3128,"AAAAAG/9X3A=",0)</f>
        <v>0</v>
      </c>
      <c r="DJ196" t="e">
        <f>AND('Planilla_General_03-12-2012_9_3'!A3128,"AAAAAG/9X3E=")</f>
        <v>#VALUE!</v>
      </c>
      <c r="DK196" t="e">
        <f>AND('Planilla_General_03-12-2012_9_3'!B3128,"AAAAAG/9X3I=")</f>
        <v>#VALUE!</v>
      </c>
      <c r="DL196" t="e">
        <f>AND('Planilla_General_03-12-2012_9_3'!C3128,"AAAAAG/9X3M=")</f>
        <v>#VALUE!</v>
      </c>
      <c r="DM196" t="e">
        <f>AND('Planilla_General_03-12-2012_9_3'!D3128,"AAAAAG/9X3Q=")</f>
        <v>#VALUE!</v>
      </c>
      <c r="DN196" t="e">
        <f>AND('Planilla_General_03-12-2012_9_3'!E3128,"AAAAAG/9X3U=")</f>
        <v>#VALUE!</v>
      </c>
      <c r="DO196" t="e">
        <f>AND('Planilla_General_03-12-2012_9_3'!F3128,"AAAAAG/9X3Y=")</f>
        <v>#VALUE!</v>
      </c>
      <c r="DP196" t="e">
        <f>AND('Planilla_General_03-12-2012_9_3'!G3128,"AAAAAG/9X3c=")</f>
        <v>#VALUE!</v>
      </c>
      <c r="DQ196" t="e">
        <f>AND('Planilla_General_03-12-2012_9_3'!H3128,"AAAAAG/9X3g=")</f>
        <v>#VALUE!</v>
      </c>
      <c r="DR196" t="e">
        <f>AND('Planilla_General_03-12-2012_9_3'!I3128,"AAAAAG/9X3k=")</f>
        <v>#VALUE!</v>
      </c>
      <c r="DS196" t="e">
        <f>AND('Planilla_General_03-12-2012_9_3'!J3128,"AAAAAG/9X3o=")</f>
        <v>#VALUE!</v>
      </c>
      <c r="DT196" t="e">
        <f>AND('Planilla_General_03-12-2012_9_3'!K3128,"AAAAAG/9X3s=")</f>
        <v>#VALUE!</v>
      </c>
      <c r="DU196" t="e">
        <f>AND('Planilla_General_03-12-2012_9_3'!L3128,"AAAAAG/9X3w=")</f>
        <v>#VALUE!</v>
      </c>
      <c r="DV196" t="e">
        <f>AND('Planilla_General_03-12-2012_9_3'!M3128,"AAAAAG/9X30=")</f>
        <v>#VALUE!</v>
      </c>
      <c r="DW196" t="e">
        <f>AND('Planilla_General_03-12-2012_9_3'!N3128,"AAAAAG/9X34=")</f>
        <v>#VALUE!</v>
      </c>
      <c r="DX196" t="e">
        <f>AND('Planilla_General_03-12-2012_9_3'!O3128,"AAAAAG/9X38=")</f>
        <v>#VALUE!</v>
      </c>
      <c r="DY196">
        <f>IF('Planilla_General_03-12-2012_9_3'!3129:3129,"AAAAAG/9X4A=",0)</f>
        <v>0</v>
      </c>
      <c r="DZ196" t="e">
        <f>AND('Planilla_General_03-12-2012_9_3'!A3129,"AAAAAG/9X4E=")</f>
        <v>#VALUE!</v>
      </c>
      <c r="EA196" t="e">
        <f>AND('Planilla_General_03-12-2012_9_3'!B3129,"AAAAAG/9X4I=")</f>
        <v>#VALUE!</v>
      </c>
      <c r="EB196" t="e">
        <f>AND('Planilla_General_03-12-2012_9_3'!C3129,"AAAAAG/9X4M=")</f>
        <v>#VALUE!</v>
      </c>
      <c r="EC196" t="e">
        <f>AND('Planilla_General_03-12-2012_9_3'!D3129,"AAAAAG/9X4Q=")</f>
        <v>#VALUE!</v>
      </c>
      <c r="ED196" t="e">
        <f>AND('Planilla_General_03-12-2012_9_3'!E3129,"AAAAAG/9X4U=")</f>
        <v>#VALUE!</v>
      </c>
      <c r="EE196" t="e">
        <f>AND('Planilla_General_03-12-2012_9_3'!F3129,"AAAAAG/9X4Y=")</f>
        <v>#VALUE!</v>
      </c>
      <c r="EF196" t="e">
        <f>AND('Planilla_General_03-12-2012_9_3'!G3129,"AAAAAG/9X4c=")</f>
        <v>#VALUE!</v>
      </c>
      <c r="EG196" t="e">
        <f>AND('Planilla_General_03-12-2012_9_3'!H3129,"AAAAAG/9X4g=")</f>
        <v>#VALUE!</v>
      </c>
      <c r="EH196" t="e">
        <f>AND('Planilla_General_03-12-2012_9_3'!I3129,"AAAAAG/9X4k=")</f>
        <v>#VALUE!</v>
      </c>
      <c r="EI196" t="e">
        <f>AND('Planilla_General_03-12-2012_9_3'!J3129,"AAAAAG/9X4o=")</f>
        <v>#VALUE!</v>
      </c>
      <c r="EJ196" t="e">
        <f>AND('Planilla_General_03-12-2012_9_3'!K3129,"AAAAAG/9X4s=")</f>
        <v>#VALUE!</v>
      </c>
      <c r="EK196" t="e">
        <f>AND('Planilla_General_03-12-2012_9_3'!L3129,"AAAAAG/9X4w=")</f>
        <v>#VALUE!</v>
      </c>
      <c r="EL196" t="e">
        <f>AND('Planilla_General_03-12-2012_9_3'!M3129,"AAAAAG/9X40=")</f>
        <v>#VALUE!</v>
      </c>
      <c r="EM196" t="e">
        <f>AND('Planilla_General_03-12-2012_9_3'!N3129,"AAAAAG/9X44=")</f>
        <v>#VALUE!</v>
      </c>
      <c r="EN196" t="e">
        <f>AND('Planilla_General_03-12-2012_9_3'!O3129,"AAAAAG/9X48=")</f>
        <v>#VALUE!</v>
      </c>
      <c r="EO196">
        <f>IF('Planilla_General_03-12-2012_9_3'!3130:3130,"AAAAAG/9X5A=",0)</f>
        <v>0</v>
      </c>
      <c r="EP196" t="e">
        <f>AND('Planilla_General_03-12-2012_9_3'!A3130,"AAAAAG/9X5E=")</f>
        <v>#VALUE!</v>
      </c>
      <c r="EQ196" t="e">
        <f>AND('Planilla_General_03-12-2012_9_3'!B3130,"AAAAAG/9X5I=")</f>
        <v>#VALUE!</v>
      </c>
      <c r="ER196" t="e">
        <f>AND('Planilla_General_03-12-2012_9_3'!C3130,"AAAAAG/9X5M=")</f>
        <v>#VALUE!</v>
      </c>
      <c r="ES196" t="e">
        <f>AND('Planilla_General_03-12-2012_9_3'!D3130,"AAAAAG/9X5Q=")</f>
        <v>#VALUE!</v>
      </c>
      <c r="ET196" t="e">
        <f>AND('Planilla_General_03-12-2012_9_3'!E3130,"AAAAAG/9X5U=")</f>
        <v>#VALUE!</v>
      </c>
      <c r="EU196" t="e">
        <f>AND('Planilla_General_03-12-2012_9_3'!F3130,"AAAAAG/9X5Y=")</f>
        <v>#VALUE!</v>
      </c>
      <c r="EV196" t="e">
        <f>AND('Planilla_General_03-12-2012_9_3'!G3130,"AAAAAG/9X5c=")</f>
        <v>#VALUE!</v>
      </c>
      <c r="EW196" t="e">
        <f>AND('Planilla_General_03-12-2012_9_3'!H3130,"AAAAAG/9X5g=")</f>
        <v>#VALUE!</v>
      </c>
      <c r="EX196" t="e">
        <f>AND('Planilla_General_03-12-2012_9_3'!I3130,"AAAAAG/9X5k=")</f>
        <v>#VALUE!</v>
      </c>
      <c r="EY196" t="e">
        <f>AND('Planilla_General_03-12-2012_9_3'!J3130,"AAAAAG/9X5o=")</f>
        <v>#VALUE!</v>
      </c>
      <c r="EZ196" t="e">
        <f>AND('Planilla_General_03-12-2012_9_3'!K3130,"AAAAAG/9X5s=")</f>
        <v>#VALUE!</v>
      </c>
      <c r="FA196" t="e">
        <f>AND('Planilla_General_03-12-2012_9_3'!L3130,"AAAAAG/9X5w=")</f>
        <v>#VALUE!</v>
      </c>
      <c r="FB196" t="e">
        <f>AND('Planilla_General_03-12-2012_9_3'!M3130,"AAAAAG/9X50=")</f>
        <v>#VALUE!</v>
      </c>
      <c r="FC196" t="e">
        <f>AND('Planilla_General_03-12-2012_9_3'!N3130,"AAAAAG/9X54=")</f>
        <v>#VALUE!</v>
      </c>
      <c r="FD196" t="e">
        <f>AND('Planilla_General_03-12-2012_9_3'!O3130,"AAAAAG/9X58=")</f>
        <v>#VALUE!</v>
      </c>
      <c r="FE196">
        <f>IF('Planilla_General_03-12-2012_9_3'!3131:3131,"AAAAAG/9X6A=",0)</f>
        <v>0</v>
      </c>
      <c r="FF196" t="e">
        <f>AND('Planilla_General_03-12-2012_9_3'!A3131,"AAAAAG/9X6E=")</f>
        <v>#VALUE!</v>
      </c>
      <c r="FG196" t="e">
        <f>AND('Planilla_General_03-12-2012_9_3'!B3131,"AAAAAG/9X6I=")</f>
        <v>#VALUE!</v>
      </c>
      <c r="FH196" t="e">
        <f>AND('Planilla_General_03-12-2012_9_3'!C3131,"AAAAAG/9X6M=")</f>
        <v>#VALUE!</v>
      </c>
      <c r="FI196" t="e">
        <f>AND('Planilla_General_03-12-2012_9_3'!D3131,"AAAAAG/9X6Q=")</f>
        <v>#VALUE!</v>
      </c>
      <c r="FJ196" t="e">
        <f>AND('Planilla_General_03-12-2012_9_3'!E3131,"AAAAAG/9X6U=")</f>
        <v>#VALUE!</v>
      </c>
      <c r="FK196" t="e">
        <f>AND('Planilla_General_03-12-2012_9_3'!F3131,"AAAAAG/9X6Y=")</f>
        <v>#VALUE!</v>
      </c>
      <c r="FL196" t="e">
        <f>AND('Planilla_General_03-12-2012_9_3'!G3131,"AAAAAG/9X6c=")</f>
        <v>#VALUE!</v>
      </c>
      <c r="FM196" t="e">
        <f>AND('Planilla_General_03-12-2012_9_3'!H3131,"AAAAAG/9X6g=")</f>
        <v>#VALUE!</v>
      </c>
      <c r="FN196" t="e">
        <f>AND('Planilla_General_03-12-2012_9_3'!I3131,"AAAAAG/9X6k=")</f>
        <v>#VALUE!</v>
      </c>
      <c r="FO196" t="e">
        <f>AND('Planilla_General_03-12-2012_9_3'!J3131,"AAAAAG/9X6o=")</f>
        <v>#VALUE!</v>
      </c>
      <c r="FP196" t="e">
        <f>AND('Planilla_General_03-12-2012_9_3'!K3131,"AAAAAG/9X6s=")</f>
        <v>#VALUE!</v>
      </c>
      <c r="FQ196" t="e">
        <f>AND('Planilla_General_03-12-2012_9_3'!L3131,"AAAAAG/9X6w=")</f>
        <v>#VALUE!</v>
      </c>
      <c r="FR196" t="e">
        <f>AND('Planilla_General_03-12-2012_9_3'!M3131,"AAAAAG/9X60=")</f>
        <v>#VALUE!</v>
      </c>
      <c r="FS196" t="e">
        <f>AND('Planilla_General_03-12-2012_9_3'!N3131,"AAAAAG/9X64=")</f>
        <v>#VALUE!</v>
      </c>
      <c r="FT196" t="e">
        <f>AND('Planilla_General_03-12-2012_9_3'!O3131,"AAAAAG/9X68=")</f>
        <v>#VALUE!</v>
      </c>
      <c r="FU196">
        <f>IF('Planilla_General_03-12-2012_9_3'!3132:3132,"AAAAAG/9X7A=",0)</f>
        <v>0</v>
      </c>
      <c r="FV196" t="e">
        <f>AND('Planilla_General_03-12-2012_9_3'!A3132,"AAAAAG/9X7E=")</f>
        <v>#VALUE!</v>
      </c>
      <c r="FW196" t="e">
        <f>AND('Planilla_General_03-12-2012_9_3'!B3132,"AAAAAG/9X7I=")</f>
        <v>#VALUE!</v>
      </c>
      <c r="FX196" t="e">
        <f>AND('Planilla_General_03-12-2012_9_3'!C3132,"AAAAAG/9X7M=")</f>
        <v>#VALUE!</v>
      </c>
      <c r="FY196" t="e">
        <f>AND('Planilla_General_03-12-2012_9_3'!D3132,"AAAAAG/9X7Q=")</f>
        <v>#VALUE!</v>
      </c>
      <c r="FZ196" t="e">
        <f>AND('Planilla_General_03-12-2012_9_3'!E3132,"AAAAAG/9X7U=")</f>
        <v>#VALUE!</v>
      </c>
      <c r="GA196" t="e">
        <f>AND('Planilla_General_03-12-2012_9_3'!F3132,"AAAAAG/9X7Y=")</f>
        <v>#VALUE!</v>
      </c>
      <c r="GB196" t="e">
        <f>AND('Planilla_General_03-12-2012_9_3'!G3132,"AAAAAG/9X7c=")</f>
        <v>#VALUE!</v>
      </c>
      <c r="GC196" t="e">
        <f>AND('Planilla_General_03-12-2012_9_3'!H3132,"AAAAAG/9X7g=")</f>
        <v>#VALUE!</v>
      </c>
      <c r="GD196" t="e">
        <f>AND('Planilla_General_03-12-2012_9_3'!I3132,"AAAAAG/9X7k=")</f>
        <v>#VALUE!</v>
      </c>
      <c r="GE196" t="e">
        <f>AND('Planilla_General_03-12-2012_9_3'!J3132,"AAAAAG/9X7o=")</f>
        <v>#VALUE!</v>
      </c>
      <c r="GF196" t="e">
        <f>AND('Planilla_General_03-12-2012_9_3'!K3132,"AAAAAG/9X7s=")</f>
        <v>#VALUE!</v>
      </c>
      <c r="GG196" t="e">
        <f>AND('Planilla_General_03-12-2012_9_3'!L3132,"AAAAAG/9X7w=")</f>
        <v>#VALUE!</v>
      </c>
      <c r="GH196" t="e">
        <f>AND('Planilla_General_03-12-2012_9_3'!M3132,"AAAAAG/9X70=")</f>
        <v>#VALUE!</v>
      </c>
      <c r="GI196" t="e">
        <f>AND('Planilla_General_03-12-2012_9_3'!N3132,"AAAAAG/9X74=")</f>
        <v>#VALUE!</v>
      </c>
      <c r="GJ196" t="e">
        <f>AND('Planilla_General_03-12-2012_9_3'!O3132,"AAAAAG/9X78=")</f>
        <v>#VALUE!</v>
      </c>
      <c r="GK196">
        <f>IF('Planilla_General_03-12-2012_9_3'!3133:3133,"AAAAAG/9X8A=",0)</f>
        <v>0</v>
      </c>
      <c r="GL196" t="e">
        <f>AND('Planilla_General_03-12-2012_9_3'!A3133,"AAAAAG/9X8E=")</f>
        <v>#VALUE!</v>
      </c>
      <c r="GM196" t="e">
        <f>AND('Planilla_General_03-12-2012_9_3'!B3133,"AAAAAG/9X8I=")</f>
        <v>#VALUE!</v>
      </c>
      <c r="GN196" t="e">
        <f>AND('Planilla_General_03-12-2012_9_3'!C3133,"AAAAAG/9X8M=")</f>
        <v>#VALUE!</v>
      </c>
      <c r="GO196" t="e">
        <f>AND('Planilla_General_03-12-2012_9_3'!D3133,"AAAAAG/9X8Q=")</f>
        <v>#VALUE!</v>
      </c>
      <c r="GP196" t="e">
        <f>AND('Planilla_General_03-12-2012_9_3'!E3133,"AAAAAG/9X8U=")</f>
        <v>#VALUE!</v>
      </c>
      <c r="GQ196" t="e">
        <f>AND('Planilla_General_03-12-2012_9_3'!F3133,"AAAAAG/9X8Y=")</f>
        <v>#VALUE!</v>
      </c>
      <c r="GR196" t="e">
        <f>AND('Planilla_General_03-12-2012_9_3'!G3133,"AAAAAG/9X8c=")</f>
        <v>#VALUE!</v>
      </c>
      <c r="GS196" t="e">
        <f>AND('Planilla_General_03-12-2012_9_3'!H3133,"AAAAAG/9X8g=")</f>
        <v>#VALUE!</v>
      </c>
      <c r="GT196" t="e">
        <f>AND('Planilla_General_03-12-2012_9_3'!I3133,"AAAAAG/9X8k=")</f>
        <v>#VALUE!</v>
      </c>
      <c r="GU196" t="e">
        <f>AND('Planilla_General_03-12-2012_9_3'!J3133,"AAAAAG/9X8o=")</f>
        <v>#VALUE!</v>
      </c>
      <c r="GV196" t="e">
        <f>AND('Planilla_General_03-12-2012_9_3'!K3133,"AAAAAG/9X8s=")</f>
        <v>#VALUE!</v>
      </c>
      <c r="GW196" t="e">
        <f>AND('Planilla_General_03-12-2012_9_3'!L3133,"AAAAAG/9X8w=")</f>
        <v>#VALUE!</v>
      </c>
      <c r="GX196" t="e">
        <f>AND('Planilla_General_03-12-2012_9_3'!M3133,"AAAAAG/9X80=")</f>
        <v>#VALUE!</v>
      </c>
      <c r="GY196" t="e">
        <f>AND('Planilla_General_03-12-2012_9_3'!N3133,"AAAAAG/9X84=")</f>
        <v>#VALUE!</v>
      </c>
      <c r="GZ196" t="e">
        <f>AND('Planilla_General_03-12-2012_9_3'!O3133,"AAAAAG/9X88=")</f>
        <v>#VALUE!</v>
      </c>
      <c r="HA196">
        <f>IF('Planilla_General_03-12-2012_9_3'!3134:3134,"AAAAAG/9X9A=",0)</f>
        <v>0</v>
      </c>
      <c r="HB196" t="e">
        <f>AND('Planilla_General_03-12-2012_9_3'!A3134,"AAAAAG/9X9E=")</f>
        <v>#VALUE!</v>
      </c>
      <c r="HC196" t="e">
        <f>AND('Planilla_General_03-12-2012_9_3'!B3134,"AAAAAG/9X9I=")</f>
        <v>#VALUE!</v>
      </c>
      <c r="HD196" t="e">
        <f>AND('Planilla_General_03-12-2012_9_3'!C3134,"AAAAAG/9X9M=")</f>
        <v>#VALUE!</v>
      </c>
      <c r="HE196" t="e">
        <f>AND('Planilla_General_03-12-2012_9_3'!D3134,"AAAAAG/9X9Q=")</f>
        <v>#VALUE!</v>
      </c>
      <c r="HF196" t="e">
        <f>AND('Planilla_General_03-12-2012_9_3'!E3134,"AAAAAG/9X9U=")</f>
        <v>#VALUE!</v>
      </c>
      <c r="HG196" t="e">
        <f>AND('Planilla_General_03-12-2012_9_3'!F3134,"AAAAAG/9X9Y=")</f>
        <v>#VALUE!</v>
      </c>
      <c r="HH196" t="e">
        <f>AND('Planilla_General_03-12-2012_9_3'!G3134,"AAAAAG/9X9c=")</f>
        <v>#VALUE!</v>
      </c>
      <c r="HI196" t="e">
        <f>AND('Planilla_General_03-12-2012_9_3'!H3134,"AAAAAG/9X9g=")</f>
        <v>#VALUE!</v>
      </c>
      <c r="HJ196" t="e">
        <f>AND('Planilla_General_03-12-2012_9_3'!I3134,"AAAAAG/9X9k=")</f>
        <v>#VALUE!</v>
      </c>
      <c r="HK196" t="e">
        <f>AND('Planilla_General_03-12-2012_9_3'!J3134,"AAAAAG/9X9o=")</f>
        <v>#VALUE!</v>
      </c>
      <c r="HL196" t="e">
        <f>AND('Planilla_General_03-12-2012_9_3'!K3134,"AAAAAG/9X9s=")</f>
        <v>#VALUE!</v>
      </c>
      <c r="HM196" t="e">
        <f>AND('Planilla_General_03-12-2012_9_3'!L3134,"AAAAAG/9X9w=")</f>
        <v>#VALUE!</v>
      </c>
      <c r="HN196" t="e">
        <f>AND('Planilla_General_03-12-2012_9_3'!M3134,"AAAAAG/9X90=")</f>
        <v>#VALUE!</v>
      </c>
      <c r="HO196" t="e">
        <f>AND('Planilla_General_03-12-2012_9_3'!N3134,"AAAAAG/9X94=")</f>
        <v>#VALUE!</v>
      </c>
      <c r="HP196" t="e">
        <f>AND('Planilla_General_03-12-2012_9_3'!O3134,"AAAAAG/9X98=")</f>
        <v>#VALUE!</v>
      </c>
      <c r="HQ196">
        <f>IF('Planilla_General_03-12-2012_9_3'!3135:3135,"AAAAAG/9X+A=",0)</f>
        <v>0</v>
      </c>
      <c r="HR196" t="e">
        <f>AND('Planilla_General_03-12-2012_9_3'!A3135,"AAAAAG/9X+E=")</f>
        <v>#VALUE!</v>
      </c>
      <c r="HS196" t="e">
        <f>AND('Planilla_General_03-12-2012_9_3'!B3135,"AAAAAG/9X+I=")</f>
        <v>#VALUE!</v>
      </c>
      <c r="HT196" t="e">
        <f>AND('Planilla_General_03-12-2012_9_3'!C3135,"AAAAAG/9X+M=")</f>
        <v>#VALUE!</v>
      </c>
      <c r="HU196" t="e">
        <f>AND('Planilla_General_03-12-2012_9_3'!D3135,"AAAAAG/9X+Q=")</f>
        <v>#VALUE!</v>
      </c>
      <c r="HV196" t="e">
        <f>AND('Planilla_General_03-12-2012_9_3'!E3135,"AAAAAG/9X+U=")</f>
        <v>#VALUE!</v>
      </c>
      <c r="HW196" t="e">
        <f>AND('Planilla_General_03-12-2012_9_3'!F3135,"AAAAAG/9X+Y=")</f>
        <v>#VALUE!</v>
      </c>
      <c r="HX196" t="e">
        <f>AND('Planilla_General_03-12-2012_9_3'!G3135,"AAAAAG/9X+c=")</f>
        <v>#VALUE!</v>
      </c>
      <c r="HY196" t="e">
        <f>AND('Planilla_General_03-12-2012_9_3'!H3135,"AAAAAG/9X+g=")</f>
        <v>#VALUE!</v>
      </c>
      <c r="HZ196" t="e">
        <f>AND('Planilla_General_03-12-2012_9_3'!I3135,"AAAAAG/9X+k=")</f>
        <v>#VALUE!</v>
      </c>
      <c r="IA196" t="e">
        <f>AND('Planilla_General_03-12-2012_9_3'!J3135,"AAAAAG/9X+o=")</f>
        <v>#VALUE!</v>
      </c>
      <c r="IB196" t="e">
        <f>AND('Planilla_General_03-12-2012_9_3'!K3135,"AAAAAG/9X+s=")</f>
        <v>#VALUE!</v>
      </c>
      <c r="IC196" t="e">
        <f>AND('Planilla_General_03-12-2012_9_3'!L3135,"AAAAAG/9X+w=")</f>
        <v>#VALUE!</v>
      </c>
      <c r="ID196" t="e">
        <f>AND('Planilla_General_03-12-2012_9_3'!M3135,"AAAAAG/9X+0=")</f>
        <v>#VALUE!</v>
      </c>
      <c r="IE196" t="e">
        <f>AND('Planilla_General_03-12-2012_9_3'!N3135,"AAAAAG/9X+4=")</f>
        <v>#VALUE!</v>
      </c>
      <c r="IF196" t="e">
        <f>AND('Planilla_General_03-12-2012_9_3'!O3135,"AAAAAG/9X+8=")</f>
        <v>#VALUE!</v>
      </c>
      <c r="IG196">
        <f>IF('Planilla_General_03-12-2012_9_3'!3136:3136,"AAAAAG/9X/A=",0)</f>
        <v>0</v>
      </c>
      <c r="IH196" t="e">
        <f>AND('Planilla_General_03-12-2012_9_3'!A3136,"AAAAAG/9X/E=")</f>
        <v>#VALUE!</v>
      </c>
      <c r="II196" t="e">
        <f>AND('Planilla_General_03-12-2012_9_3'!B3136,"AAAAAG/9X/I=")</f>
        <v>#VALUE!</v>
      </c>
      <c r="IJ196" t="e">
        <f>AND('Planilla_General_03-12-2012_9_3'!C3136,"AAAAAG/9X/M=")</f>
        <v>#VALUE!</v>
      </c>
      <c r="IK196" t="e">
        <f>AND('Planilla_General_03-12-2012_9_3'!D3136,"AAAAAG/9X/Q=")</f>
        <v>#VALUE!</v>
      </c>
      <c r="IL196" t="e">
        <f>AND('Planilla_General_03-12-2012_9_3'!E3136,"AAAAAG/9X/U=")</f>
        <v>#VALUE!</v>
      </c>
      <c r="IM196" t="e">
        <f>AND('Planilla_General_03-12-2012_9_3'!F3136,"AAAAAG/9X/Y=")</f>
        <v>#VALUE!</v>
      </c>
      <c r="IN196" t="e">
        <f>AND('Planilla_General_03-12-2012_9_3'!G3136,"AAAAAG/9X/c=")</f>
        <v>#VALUE!</v>
      </c>
      <c r="IO196" t="e">
        <f>AND('Planilla_General_03-12-2012_9_3'!H3136,"AAAAAG/9X/g=")</f>
        <v>#VALUE!</v>
      </c>
      <c r="IP196" t="e">
        <f>AND('Planilla_General_03-12-2012_9_3'!I3136,"AAAAAG/9X/k=")</f>
        <v>#VALUE!</v>
      </c>
      <c r="IQ196" t="e">
        <f>AND('Planilla_General_03-12-2012_9_3'!J3136,"AAAAAG/9X/o=")</f>
        <v>#VALUE!</v>
      </c>
      <c r="IR196" t="e">
        <f>AND('Planilla_General_03-12-2012_9_3'!K3136,"AAAAAG/9X/s=")</f>
        <v>#VALUE!</v>
      </c>
      <c r="IS196" t="e">
        <f>AND('Planilla_General_03-12-2012_9_3'!L3136,"AAAAAG/9X/w=")</f>
        <v>#VALUE!</v>
      </c>
      <c r="IT196" t="e">
        <f>AND('Planilla_General_03-12-2012_9_3'!M3136,"AAAAAG/9X/0=")</f>
        <v>#VALUE!</v>
      </c>
      <c r="IU196" t="e">
        <f>AND('Planilla_General_03-12-2012_9_3'!N3136,"AAAAAG/9X/4=")</f>
        <v>#VALUE!</v>
      </c>
      <c r="IV196" t="e">
        <f>AND('Planilla_General_03-12-2012_9_3'!O3136,"AAAAAG/9X/8=")</f>
        <v>#VALUE!</v>
      </c>
    </row>
    <row r="197" spans="1:256" x14ac:dyDescent="0.25">
      <c r="A197" t="e">
        <f>IF('Planilla_General_03-12-2012_9_3'!3137:3137,"AAAAAA/qMgA=",0)</f>
        <v>#VALUE!</v>
      </c>
      <c r="B197" t="e">
        <f>AND('Planilla_General_03-12-2012_9_3'!A3137,"AAAAAA/qMgE=")</f>
        <v>#VALUE!</v>
      </c>
      <c r="C197" t="e">
        <f>AND('Planilla_General_03-12-2012_9_3'!B3137,"AAAAAA/qMgI=")</f>
        <v>#VALUE!</v>
      </c>
      <c r="D197" t="e">
        <f>AND('Planilla_General_03-12-2012_9_3'!C3137,"AAAAAA/qMgM=")</f>
        <v>#VALUE!</v>
      </c>
      <c r="E197" t="e">
        <f>AND('Planilla_General_03-12-2012_9_3'!D3137,"AAAAAA/qMgQ=")</f>
        <v>#VALUE!</v>
      </c>
      <c r="F197" t="e">
        <f>AND('Planilla_General_03-12-2012_9_3'!E3137,"AAAAAA/qMgU=")</f>
        <v>#VALUE!</v>
      </c>
      <c r="G197" t="e">
        <f>AND('Planilla_General_03-12-2012_9_3'!F3137,"AAAAAA/qMgY=")</f>
        <v>#VALUE!</v>
      </c>
      <c r="H197" t="e">
        <f>AND('Planilla_General_03-12-2012_9_3'!G3137,"AAAAAA/qMgc=")</f>
        <v>#VALUE!</v>
      </c>
      <c r="I197" t="e">
        <f>AND('Planilla_General_03-12-2012_9_3'!H3137,"AAAAAA/qMgg=")</f>
        <v>#VALUE!</v>
      </c>
      <c r="J197" t="e">
        <f>AND('Planilla_General_03-12-2012_9_3'!I3137,"AAAAAA/qMgk=")</f>
        <v>#VALUE!</v>
      </c>
      <c r="K197" t="e">
        <f>AND('Planilla_General_03-12-2012_9_3'!J3137,"AAAAAA/qMgo=")</f>
        <v>#VALUE!</v>
      </c>
      <c r="L197" t="e">
        <f>AND('Planilla_General_03-12-2012_9_3'!K3137,"AAAAAA/qMgs=")</f>
        <v>#VALUE!</v>
      </c>
      <c r="M197" t="e">
        <f>AND('Planilla_General_03-12-2012_9_3'!L3137,"AAAAAA/qMgw=")</f>
        <v>#VALUE!</v>
      </c>
      <c r="N197" t="e">
        <f>AND('Planilla_General_03-12-2012_9_3'!M3137,"AAAAAA/qMg0=")</f>
        <v>#VALUE!</v>
      </c>
      <c r="O197" t="e">
        <f>AND('Planilla_General_03-12-2012_9_3'!N3137,"AAAAAA/qMg4=")</f>
        <v>#VALUE!</v>
      </c>
      <c r="P197" t="e">
        <f>AND('Planilla_General_03-12-2012_9_3'!O3137,"AAAAAA/qMg8=")</f>
        <v>#VALUE!</v>
      </c>
      <c r="Q197">
        <f>IF('Planilla_General_03-12-2012_9_3'!3138:3138,"AAAAAA/qMhA=",0)</f>
        <v>0</v>
      </c>
      <c r="R197" t="e">
        <f>AND('Planilla_General_03-12-2012_9_3'!A3138,"AAAAAA/qMhE=")</f>
        <v>#VALUE!</v>
      </c>
      <c r="S197" t="e">
        <f>AND('Planilla_General_03-12-2012_9_3'!B3138,"AAAAAA/qMhI=")</f>
        <v>#VALUE!</v>
      </c>
      <c r="T197" t="e">
        <f>AND('Planilla_General_03-12-2012_9_3'!C3138,"AAAAAA/qMhM=")</f>
        <v>#VALUE!</v>
      </c>
      <c r="U197" t="e">
        <f>AND('Planilla_General_03-12-2012_9_3'!D3138,"AAAAAA/qMhQ=")</f>
        <v>#VALUE!</v>
      </c>
      <c r="V197" t="e">
        <f>AND('Planilla_General_03-12-2012_9_3'!E3138,"AAAAAA/qMhU=")</f>
        <v>#VALUE!</v>
      </c>
      <c r="W197" t="e">
        <f>AND('Planilla_General_03-12-2012_9_3'!F3138,"AAAAAA/qMhY=")</f>
        <v>#VALUE!</v>
      </c>
      <c r="X197" t="e">
        <f>AND('Planilla_General_03-12-2012_9_3'!G3138,"AAAAAA/qMhc=")</f>
        <v>#VALUE!</v>
      </c>
      <c r="Y197" t="e">
        <f>AND('Planilla_General_03-12-2012_9_3'!H3138,"AAAAAA/qMhg=")</f>
        <v>#VALUE!</v>
      </c>
      <c r="Z197" t="e">
        <f>AND('Planilla_General_03-12-2012_9_3'!I3138,"AAAAAA/qMhk=")</f>
        <v>#VALUE!</v>
      </c>
      <c r="AA197" t="e">
        <f>AND('Planilla_General_03-12-2012_9_3'!J3138,"AAAAAA/qMho=")</f>
        <v>#VALUE!</v>
      </c>
      <c r="AB197" t="e">
        <f>AND('Planilla_General_03-12-2012_9_3'!K3138,"AAAAAA/qMhs=")</f>
        <v>#VALUE!</v>
      </c>
      <c r="AC197" t="e">
        <f>AND('Planilla_General_03-12-2012_9_3'!L3138,"AAAAAA/qMhw=")</f>
        <v>#VALUE!</v>
      </c>
      <c r="AD197" t="e">
        <f>AND('Planilla_General_03-12-2012_9_3'!M3138,"AAAAAA/qMh0=")</f>
        <v>#VALUE!</v>
      </c>
      <c r="AE197" t="e">
        <f>AND('Planilla_General_03-12-2012_9_3'!N3138,"AAAAAA/qMh4=")</f>
        <v>#VALUE!</v>
      </c>
      <c r="AF197" t="e">
        <f>AND('Planilla_General_03-12-2012_9_3'!O3138,"AAAAAA/qMh8=")</f>
        <v>#VALUE!</v>
      </c>
      <c r="AG197">
        <f>IF('Planilla_General_03-12-2012_9_3'!3139:3139,"AAAAAA/qMiA=",0)</f>
        <v>0</v>
      </c>
      <c r="AH197" t="e">
        <f>AND('Planilla_General_03-12-2012_9_3'!A3139,"AAAAAA/qMiE=")</f>
        <v>#VALUE!</v>
      </c>
      <c r="AI197" t="e">
        <f>AND('Planilla_General_03-12-2012_9_3'!B3139,"AAAAAA/qMiI=")</f>
        <v>#VALUE!</v>
      </c>
      <c r="AJ197" t="e">
        <f>AND('Planilla_General_03-12-2012_9_3'!C3139,"AAAAAA/qMiM=")</f>
        <v>#VALUE!</v>
      </c>
      <c r="AK197" t="e">
        <f>AND('Planilla_General_03-12-2012_9_3'!D3139,"AAAAAA/qMiQ=")</f>
        <v>#VALUE!</v>
      </c>
      <c r="AL197" t="e">
        <f>AND('Planilla_General_03-12-2012_9_3'!E3139,"AAAAAA/qMiU=")</f>
        <v>#VALUE!</v>
      </c>
      <c r="AM197" t="e">
        <f>AND('Planilla_General_03-12-2012_9_3'!F3139,"AAAAAA/qMiY=")</f>
        <v>#VALUE!</v>
      </c>
      <c r="AN197" t="e">
        <f>AND('Planilla_General_03-12-2012_9_3'!G3139,"AAAAAA/qMic=")</f>
        <v>#VALUE!</v>
      </c>
      <c r="AO197" t="e">
        <f>AND('Planilla_General_03-12-2012_9_3'!H3139,"AAAAAA/qMig=")</f>
        <v>#VALUE!</v>
      </c>
      <c r="AP197" t="e">
        <f>AND('Planilla_General_03-12-2012_9_3'!I3139,"AAAAAA/qMik=")</f>
        <v>#VALUE!</v>
      </c>
      <c r="AQ197" t="e">
        <f>AND('Planilla_General_03-12-2012_9_3'!J3139,"AAAAAA/qMio=")</f>
        <v>#VALUE!</v>
      </c>
      <c r="AR197" t="e">
        <f>AND('Planilla_General_03-12-2012_9_3'!K3139,"AAAAAA/qMis=")</f>
        <v>#VALUE!</v>
      </c>
      <c r="AS197" t="e">
        <f>AND('Planilla_General_03-12-2012_9_3'!L3139,"AAAAAA/qMiw=")</f>
        <v>#VALUE!</v>
      </c>
      <c r="AT197" t="e">
        <f>AND('Planilla_General_03-12-2012_9_3'!M3139,"AAAAAA/qMi0=")</f>
        <v>#VALUE!</v>
      </c>
      <c r="AU197" t="e">
        <f>AND('Planilla_General_03-12-2012_9_3'!N3139,"AAAAAA/qMi4=")</f>
        <v>#VALUE!</v>
      </c>
      <c r="AV197" t="e">
        <f>AND('Planilla_General_03-12-2012_9_3'!O3139,"AAAAAA/qMi8=")</f>
        <v>#VALUE!</v>
      </c>
      <c r="AW197">
        <f>IF('Planilla_General_03-12-2012_9_3'!3140:3140,"AAAAAA/qMjA=",0)</f>
        <v>0</v>
      </c>
      <c r="AX197" t="e">
        <f>AND('Planilla_General_03-12-2012_9_3'!A3140,"AAAAAA/qMjE=")</f>
        <v>#VALUE!</v>
      </c>
      <c r="AY197" t="e">
        <f>AND('Planilla_General_03-12-2012_9_3'!B3140,"AAAAAA/qMjI=")</f>
        <v>#VALUE!</v>
      </c>
      <c r="AZ197" t="e">
        <f>AND('Planilla_General_03-12-2012_9_3'!C3140,"AAAAAA/qMjM=")</f>
        <v>#VALUE!</v>
      </c>
      <c r="BA197" t="e">
        <f>AND('Planilla_General_03-12-2012_9_3'!D3140,"AAAAAA/qMjQ=")</f>
        <v>#VALUE!</v>
      </c>
      <c r="BB197" t="e">
        <f>AND('Planilla_General_03-12-2012_9_3'!E3140,"AAAAAA/qMjU=")</f>
        <v>#VALUE!</v>
      </c>
      <c r="BC197" t="e">
        <f>AND('Planilla_General_03-12-2012_9_3'!F3140,"AAAAAA/qMjY=")</f>
        <v>#VALUE!</v>
      </c>
      <c r="BD197" t="e">
        <f>AND('Planilla_General_03-12-2012_9_3'!G3140,"AAAAAA/qMjc=")</f>
        <v>#VALUE!</v>
      </c>
      <c r="BE197" t="e">
        <f>AND('Planilla_General_03-12-2012_9_3'!H3140,"AAAAAA/qMjg=")</f>
        <v>#VALUE!</v>
      </c>
      <c r="BF197" t="e">
        <f>AND('Planilla_General_03-12-2012_9_3'!I3140,"AAAAAA/qMjk=")</f>
        <v>#VALUE!</v>
      </c>
      <c r="BG197" t="e">
        <f>AND('Planilla_General_03-12-2012_9_3'!J3140,"AAAAAA/qMjo=")</f>
        <v>#VALUE!</v>
      </c>
      <c r="BH197" t="e">
        <f>AND('Planilla_General_03-12-2012_9_3'!K3140,"AAAAAA/qMjs=")</f>
        <v>#VALUE!</v>
      </c>
      <c r="BI197" t="e">
        <f>AND('Planilla_General_03-12-2012_9_3'!L3140,"AAAAAA/qMjw=")</f>
        <v>#VALUE!</v>
      </c>
      <c r="BJ197" t="e">
        <f>AND('Planilla_General_03-12-2012_9_3'!M3140,"AAAAAA/qMj0=")</f>
        <v>#VALUE!</v>
      </c>
      <c r="BK197" t="e">
        <f>AND('Planilla_General_03-12-2012_9_3'!N3140,"AAAAAA/qMj4=")</f>
        <v>#VALUE!</v>
      </c>
      <c r="BL197" t="e">
        <f>AND('Planilla_General_03-12-2012_9_3'!O3140,"AAAAAA/qMj8=")</f>
        <v>#VALUE!</v>
      </c>
      <c r="BM197">
        <f>IF('Planilla_General_03-12-2012_9_3'!3141:3141,"AAAAAA/qMkA=",0)</f>
        <v>0</v>
      </c>
      <c r="BN197" t="e">
        <f>AND('Planilla_General_03-12-2012_9_3'!A3141,"AAAAAA/qMkE=")</f>
        <v>#VALUE!</v>
      </c>
      <c r="BO197" t="e">
        <f>AND('Planilla_General_03-12-2012_9_3'!B3141,"AAAAAA/qMkI=")</f>
        <v>#VALUE!</v>
      </c>
      <c r="BP197" t="e">
        <f>AND('Planilla_General_03-12-2012_9_3'!C3141,"AAAAAA/qMkM=")</f>
        <v>#VALUE!</v>
      </c>
      <c r="BQ197" t="e">
        <f>AND('Planilla_General_03-12-2012_9_3'!D3141,"AAAAAA/qMkQ=")</f>
        <v>#VALUE!</v>
      </c>
      <c r="BR197" t="e">
        <f>AND('Planilla_General_03-12-2012_9_3'!E3141,"AAAAAA/qMkU=")</f>
        <v>#VALUE!</v>
      </c>
      <c r="BS197" t="e">
        <f>AND('Planilla_General_03-12-2012_9_3'!F3141,"AAAAAA/qMkY=")</f>
        <v>#VALUE!</v>
      </c>
      <c r="BT197" t="e">
        <f>AND('Planilla_General_03-12-2012_9_3'!G3141,"AAAAAA/qMkc=")</f>
        <v>#VALUE!</v>
      </c>
      <c r="BU197" t="e">
        <f>AND('Planilla_General_03-12-2012_9_3'!H3141,"AAAAAA/qMkg=")</f>
        <v>#VALUE!</v>
      </c>
      <c r="BV197" t="e">
        <f>AND('Planilla_General_03-12-2012_9_3'!I3141,"AAAAAA/qMkk=")</f>
        <v>#VALUE!</v>
      </c>
      <c r="BW197" t="e">
        <f>AND('Planilla_General_03-12-2012_9_3'!J3141,"AAAAAA/qMko=")</f>
        <v>#VALUE!</v>
      </c>
      <c r="BX197" t="e">
        <f>AND('Planilla_General_03-12-2012_9_3'!K3141,"AAAAAA/qMks=")</f>
        <v>#VALUE!</v>
      </c>
      <c r="BY197" t="e">
        <f>AND('Planilla_General_03-12-2012_9_3'!L3141,"AAAAAA/qMkw=")</f>
        <v>#VALUE!</v>
      </c>
      <c r="BZ197" t="e">
        <f>AND('Planilla_General_03-12-2012_9_3'!M3141,"AAAAAA/qMk0=")</f>
        <v>#VALUE!</v>
      </c>
      <c r="CA197" t="e">
        <f>AND('Planilla_General_03-12-2012_9_3'!N3141,"AAAAAA/qMk4=")</f>
        <v>#VALUE!</v>
      </c>
      <c r="CB197" t="e">
        <f>AND('Planilla_General_03-12-2012_9_3'!O3141,"AAAAAA/qMk8=")</f>
        <v>#VALUE!</v>
      </c>
      <c r="CC197">
        <f>IF('Planilla_General_03-12-2012_9_3'!3142:3142,"AAAAAA/qMlA=",0)</f>
        <v>0</v>
      </c>
      <c r="CD197" t="e">
        <f>AND('Planilla_General_03-12-2012_9_3'!A3142,"AAAAAA/qMlE=")</f>
        <v>#VALUE!</v>
      </c>
      <c r="CE197" t="e">
        <f>AND('Planilla_General_03-12-2012_9_3'!B3142,"AAAAAA/qMlI=")</f>
        <v>#VALUE!</v>
      </c>
      <c r="CF197" t="e">
        <f>AND('Planilla_General_03-12-2012_9_3'!C3142,"AAAAAA/qMlM=")</f>
        <v>#VALUE!</v>
      </c>
      <c r="CG197" t="e">
        <f>AND('Planilla_General_03-12-2012_9_3'!D3142,"AAAAAA/qMlQ=")</f>
        <v>#VALUE!</v>
      </c>
      <c r="CH197" t="e">
        <f>AND('Planilla_General_03-12-2012_9_3'!E3142,"AAAAAA/qMlU=")</f>
        <v>#VALUE!</v>
      </c>
      <c r="CI197" t="e">
        <f>AND('Planilla_General_03-12-2012_9_3'!F3142,"AAAAAA/qMlY=")</f>
        <v>#VALUE!</v>
      </c>
      <c r="CJ197" t="e">
        <f>AND('Planilla_General_03-12-2012_9_3'!G3142,"AAAAAA/qMlc=")</f>
        <v>#VALUE!</v>
      </c>
      <c r="CK197" t="e">
        <f>AND('Planilla_General_03-12-2012_9_3'!H3142,"AAAAAA/qMlg=")</f>
        <v>#VALUE!</v>
      </c>
      <c r="CL197" t="e">
        <f>AND('Planilla_General_03-12-2012_9_3'!I3142,"AAAAAA/qMlk=")</f>
        <v>#VALUE!</v>
      </c>
      <c r="CM197" t="e">
        <f>AND('Planilla_General_03-12-2012_9_3'!J3142,"AAAAAA/qMlo=")</f>
        <v>#VALUE!</v>
      </c>
      <c r="CN197" t="e">
        <f>AND('Planilla_General_03-12-2012_9_3'!K3142,"AAAAAA/qMls=")</f>
        <v>#VALUE!</v>
      </c>
      <c r="CO197" t="e">
        <f>AND('Planilla_General_03-12-2012_9_3'!L3142,"AAAAAA/qMlw=")</f>
        <v>#VALUE!</v>
      </c>
      <c r="CP197" t="e">
        <f>AND('Planilla_General_03-12-2012_9_3'!M3142,"AAAAAA/qMl0=")</f>
        <v>#VALUE!</v>
      </c>
      <c r="CQ197" t="e">
        <f>AND('Planilla_General_03-12-2012_9_3'!N3142,"AAAAAA/qMl4=")</f>
        <v>#VALUE!</v>
      </c>
      <c r="CR197" t="e">
        <f>AND('Planilla_General_03-12-2012_9_3'!O3142,"AAAAAA/qMl8=")</f>
        <v>#VALUE!</v>
      </c>
      <c r="CS197">
        <f>IF('Planilla_General_03-12-2012_9_3'!3143:3143,"AAAAAA/qMmA=",0)</f>
        <v>0</v>
      </c>
      <c r="CT197" t="e">
        <f>AND('Planilla_General_03-12-2012_9_3'!A3143,"AAAAAA/qMmE=")</f>
        <v>#VALUE!</v>
      </c>
      <c r="CU197" t="e">
        <f>AND('Planilla_General_03-12-2012_9_3'!B3143,"AAAAAA/qMmI=")</f>
        <v>#VALUE!</v>
      </c>
      <c r="CV197" t="e">
        <f>AND('Planilla_General_03-12-2012_9_3'!C3143,"AAAAAA/qMmM=")</f>
        <v>#VALUE!</v>
      </c>
      <c r="CW197" t="e">
        <f>AND('Planilla_General_03-12-2012_9_3'!D3143,"AAAAAA/qMmQ=")</f>
        <v>#VALUE!</v>
      </c>
      <c r="CX197" t="e">
        <f>AND('Planilla_General_03-12-2012_9_3'!E3143,"AAAAAA/qMmU=")</f>
        <v>#VALUE!</v>
      </c>
      <c r="CY197" t="e">
        <f>AND('Planilla_General_03-12-2012_9_3'!F3143,"AAAAAA/qMmY=")</f>
        <v>#VALUE!</v>
      </c>
      <c r="CZ197" t="e">
        <f>AND('Planilla_General_03-12-2012_9_3'!G3143,"AAAAAA/qMmc=")</f>
        <v>#VALUE!</v>
      </c>
      <c r="DA197" t="e">
        <f>AND('Planilla_General_03-12-2012_9_3'!H3143,"AAAAAA/qMmg=")</f>
        <v>#VALUE!</v>
      </c>
      <c r="DB197" t="e">
        <f>AND('Planilla_General_03-12-2012_9_3'!I3143,"AAAAAA/qMmk=")</f>
        <v>#VALUE!</v>
      </c>
      <c r="DC197" t="e">
        <f>AND('Planilla_General_03-12-2012_9_3'!J3143,"AAAAAA/qMmo=")</f>
        <v>#VALUE!</v>
      </c>
      <c r="DD197" t="e">
        <f>AND('Planilla_General_03-12-2012_9_3'!K3143,"AAAAAA/qMms=")</f>
        <v>#VALUE!</v>
      </c>
      <c r="DE197" t="e">
        <f>AND('Planilla_General_03-12-2012_9_3'!L3143,"AAAAAA/qMmw=")</f>
        <v>#VALUE!</v>
      </c>
      <c r="DF197" t="e">
        <f>AND('Planilla_General_03-12-2012_9_3'!M3143,"AAAAAA/qMm0=")</f>
        <v>#VALUE!</v>
      </c>
      <c r="DG197" t="e">
        <f>AND('Planilla_General_03-12-2012_9_3'!N3143,"AAAAAA/qMm4=")</f>
        <v>#VALUE!</v>
      </c>
      <c r="DH197" t="e">
        <f>AND('Planilla_General_03-12-2012_9_3'!O3143,"AAAAAA/qMm8=")</f>
        <v>#VALUE!</v>
      </c>
      <c r="DI197">
        <f>IF('Planilla_General_03-12-2012_9_3'!3144:3144,"AAAAAA/qMnA=",0)</f>
        <v>0</v>
      </c>
      <c r="DJ197" t="e">
        <f>AND('Planilla_General_03-12-2012_9_3'!A3144,"AAAAAA/qMnE=")</f>
        <v>#VALUE!</v>
      </c>
      <c r="DK197" t="e">
        <f>AND('Planilla_General_03-12-2012_9_3'!B3144,"AAAAAA/qMnI=")</f>
        <v>#VALUE!</v>
      </c>
      <c r="DL197" t="e">
        <f>AND('Planilla_General_03-12-2012_9_3'!C3144,"AAAAAA/qMnM=")</f>
        <v>#VALUE!</v>
      </c>
      <c r="DM197" t="e">
        <f>AND('Planilla_General_03-12-2012_9_3'!D3144,"AAAAAA/qMnQ=")</f>
        <v>#VALUE!</v>
      </c>
      <c r="DN197" t="e">
        <f>AND('Planilla_General_03-12-2012_9_3'!E3144,"AAAAAA/qMnU=")</f>
        <v>#VALUE!</v>
      </c>
      <c r="DO197" t="e">
        <f>AND('Planilla_General_03-12-2012_9_3'!F3144,"AAAAAA/qMnY=")</f>
        <v>#VALUE!</v>
      </c>
      <c r="DP197" t="e">
        <f>AND('Planilla_General_03-12-2012_9_3'!G3144,"AAAAAA/qMnc=")</f>
        <v>#VALUE!</v>
      </c>
      <c r="DQ197" t="e">
        <f>AND('Planilla_General_03-12-2012_9_3'!H3144,"AAAAAA/qMng=")</f>
        <v>#VALUE!</v>
      </c>
      <c r="DR197" t="e">
        <f>AND('Planilla_General_03-12-2012_9_3'!I3144,"AAAAAA/qMnk=")</f>
        <v>#VALUE!</v>
      </c>
      <c r="DS197" t="e">
        <f>AND('Planilla_General_03-12-2012_9_3'!J3144,"AAAAAA/qMno=")</f>
        <v>#VALUE!</v>
      </c>
      <c r="DT197" t="e">
        <f>AND('Planilla_General_03-12-2012_9_3'!K3144,"AAAAAA/qMns=")</f>
        <v>#VALUE!</v>
      </c>
      <c r="DU197" t="e">
        <f>AND('Planilla_General_03-12-2012_9_3'!L3144,"AAAAAA/qMnw=")</f>
        <v>#VALUE!</v>
      </c>
      <c r="DV197" t="e">
        <f>AND('Planilla_General_03-12-2012_9_3'!M3144,"AAAAAA/qMn0=")</f>
        <v>#VALUE!</v>
      </c>
      <c r="DW197" t="e">
        <f>AND('Planilla_General_03-12-2012_9_3'!N3144,"AAAAAA/qMn4=")</f>
        <v>#VALUE!</v>
      </c>
      <c r="DX197" t="e">
        <f>AND('Planilla_General_03-12-2012_9_3'!O3144,"AAAAAA/qMn8=")</f>
        <v>#VALUE!</v>
      </c>
      <c r="DY197">
        <f>IF('Planilla_General_03-12-2012_9_3'!3145:3145,"AAAAAA/qMoA=",0)</f>
        <v>0</v>
      </c>
      <c r="DZ197" t="e">
        <f>AND('Planilla_General_03-12-2012_9_3'!A3145,"AAAAAA/qMoE=")</f>
        <v>#VALUE!</v>
      </c>
      <c r="EA197" t="e">
        <f>AND('Planilla_General_03-12-2012_9_3'!B3145,"AAAAAA/qMoI=")</f>
        <v>#VALUE!</v>
      </c>
      <c r="EB197" t="e">
        <f>AND('Planilla_General_03-12-2012_9_3'!C3145,"AAAAAA/qMoM=")</f>
        <v>#VALUE!</v>
      </c>
      <c r="EC197" t="e">
        <f>AND('Planilla_General_03-12-2012_9_3'!D3145,"AAAAAA/qMoQ=")</f>
        <v>#VALUE!</v>
      </c>
      <c r="ED197" t="e">
        <f>AND('Planilla_General_03-12-2012_9_3'!E3145,"AAAAAA/qMoU=")</f>
        <v>#VALUE!</v>
      </c>
      <c r="EE197" t="e">
        <f>AND('Planilla_General_03-12-2012_9_3'!F3145,"AAAAAA/qMoY=")</f>
        <v>#VALUE!</v>
      </c>
      <c r="EF197" t="e">
        <f>AND('Planilla_General_03-12-2012_9_3'!G3145,"AAAAAA/qMoc=")</f>
        <v>#VALUE!</v>
      </c>
      <c r="EG197" t="e">
        <f>AND('Planilla_General_03-12-2012_9_3'!H3145,"AAAAAA/qMog=")</f>
        <v>#VALUE!</v>
      </c>
      <c r="EH197" t="e">
        <f>AND('Planilla_General_03-12-2012_9_3'!I3145,"AAAAAA/qMok=")</f>
        <v>#VALUE!</v>
      </c>
      <c r="EI197" t="e">
        <f>AND('Planilla_General_03-12-2012_9_3'!J3145,"AAAAAA/qMoo=")</f>
        <v>#VALUE!</v>
      </c>
      <c r="EJ197" t="e">
        <f>AND('Planilla_General_03-12-2012_9_3'!K3145,"AAAAAA/qMos=")</f>
        <v>#VALUE!</v>
      </c>
      <c r="EK197" t="e">
        <f>AND('Planilla_General_03-12-2012_9_3'!L3145,"AAAAAA/qMow=")</f>
        <v>#VALUE!</v>
      </c>
      <c r="EL197" t="e">
        <f>AND('Planilla_General_03-12-2012_9_3'!M3145,"AAAAAA/qMo0=")</f>
        <v>#VALUE!</v>
      </c>
      <c r="EM197" t="e">
        <f>AND('Planilla_General_03-12-2012_9_3'!N3145,"AAAAAA/qMo4=")</f>
        <v>#VALUE!</v>
      </c>
      <c r="EN197" t="e">
        <f>AND('Planilla_General_03-12-2012_9_3'!O3145,"AAAAAA/qMo8=")</f>
        <v>#VALUE!</v>
      </c>
      <c r="EO197">
        <f>IF('Planilla_General_03-12-2012_9_3'!3146:3146,"AAAAAA/qMpA=",0)</f>
        <v>0</v>
      </c>
      <c r="EP197" t="e">
        <f>AND('Planilla_General_03-12-2012_9_3'!A3146,"AAAAAA/qMpE=")</f>
        <v>#VALUE!</v>
      </c>
      <c r="EQ197" t="e">
        <f>AND('Planilla_General_03-12-2012_9_3'!B3146,"AAAAAA/qMpI=")</f>
        <v>#VALUE!</v>
      </c>
      <c r="ER197" t="e">
        <f>AND('Planilla_General_03-12-2012_9_3'!C3146,"AAAAAA/qMpM=")</f>
        <v>#VALUE!</v>
      </c>
      <c r="ES197" t="e">
        <f>AND('Planilla_General_03-12-2012_9_3'!D3146,"AAAAAA/qMpQ=")</f>
        <v>#VALUE!</v>
      </c>
      <c r="ET197" t="e">
        <f>AND('Planilla_General_03-12-2012_9_3'!E3146,"AAAAAA/qMpU=")</f>
        <v>#VALUE!</v>
      </c>
      <c r="EU197" t="e">
        <f>AND('Planilla_General_03-12-2012_9_3'!F3146,"AAAAAA/qMpY=")</f>
        <v>#VALUE!</v>
      </c>
      <c r="EV197" t="e">
        <f>AND('Planilla_General_03-12-2012_9_3'!G3146,"AAAAAA/qMpc=")</f>
        <v>#VALUE!</v>
      </c>
      <c r="EW197" t="e">
        <f>AND('Planilla_General_03-12-2012_9_3'!H3146,"AAAAAA/qMpg=")</f>
        <v>#VALUE!</v>
      </c>
      <c r="EX197" t="e">
        <f>AND('Planilla_General_03-12-2012_9_3'!I3146,"AAAAAA/qMpk=")</f>
        <v>#VALUE!</v>
      </c>
      <c r="EY197" t="e">
        <f>AND('Planilla_General_03-12-2012_9_3'!J3146,"AAAAAA/qMpo=")</f>
        <v>#VALUE!</v>
      </c>
      <c r="EZ197" t="e">
        <f>AND('Planilla_General_03-12-2012_9_3'!K3146,"AAAAAA/qMps=")</f>
        <v>#VALUE!</v>
      </c>
      <c r="FA197" t="e">
        <f>AND('Planilla_General_03-12-2012_9_3'!L3146,"AAAAAA/qMpw=")</f>
        <v>#VALUE!</v>
      </c>
      <c r="FB197" t="e">
        <f>AND('Planilla_General_03-12-2012_9_3'!M3146,"AAAAAA/qMp0=")</f>
        <v>#VALUE!</v>
      </c>
      <c r="FC197" t="e">
        <f>AND('Planilla_General_03-12-2012_9_3'!N3146,"AAAAAA/qMp4=")</f>
        <v>#VALUE!</v>
      </c>
      <c r="FD197" t="e">
        <f>AND('Planilla_General_03-12-2012_9_3'!O3146,"AAAAAA/qMp8=")</f>
        <v>#VALUE!</v>
      </c>
      <c r="FE197">
        <f>IF('Planilla_General_03-12-2012_9_3'!3147:3147,"AAAAAA/qMqA=",0)</f>
        <v>0</v>
      </c>
      <c r="FF197" t="e">
        <f>AND('Planilla_General_03-12-2012_9_3'!A3147,"AAAAAA/qMqE=")</f>
        <v>#VALUE!</v>
      </c>
      <c r="FG197" t="e">
        <f>AND('Planilla_General_03-12-2012_9_3'!B3147,"AAAAAA/qMqI=")</f>
        <v>#VALUE!</v>
      </c>
      <c r="FH197" t="e">
        <f>AND('Planilla_General_03-12-2012_9_3'!C3147,"AAAAAA/qMqM=")</f>
        <v>#VALUE!</v>
      </c>
      <c r="FI197" t="e">
        <f>AND('Planilla_General_03-12-2012_9_3'!D3147,"AAAAAA/qMqQ=")</f>
        <v>#VALUE!</v>
      </c>
      <c r="FJ197" t="e">
        <f>AND('Planilla_General_03-12-2012_9_3'!E3147,"AAAAAA/qMqU=")</f>
        <v>#VALUE!</v>
      </c>
      <c r="FK197" t="e">
        <f>AND('Planilla_General_03-12-2012_9_3'!F3147,"AAAAAA/qMqY=")</f>
        <v>#VALUE!</v>
      </c>
      <c r="FL197" t="e">
        <f>AND('Planilla_General_03-12-2012_9_3'!G3147,"AAAAAA/qMqc=")</f>
        <v>#VALUE!</v>
      </c>
      <c r="FM197" t="e">
        <f>AND('Planilla_General_03-12-2012_9_3'!H3147,"AAAAAA/qMqg=")</f>
        <v>#VALUE!</v>
      </c>
      <c r="FN197" t="e">
        <f>AND('Planilla_General_03-12-2012_9_3'!I3147,"AAAAAA/qMqk=")</f>
        <v>#VALUE!</v>
      </c>
      <c r="FO197" t="e">
        <f>AND('Planilla_General_03-12-2012_9_3'!J3147,"AAAAAA/qMqo=")</f>
        <v>#VALUE!</v>
      </c>
      <c r="FP197" t="e">
        <f>AND('Planilla_General_03-12-2012_9_3'!K3147,"AAAAAA/qMqs=")</f>
        <v>#VALUE!</v>
      </c>
      <c r="FQ197" t="e">
        <f>AND('Planilla_General_03-12-2012_9_3'!L3147,"AAAAAA/qMqw=")</f>
        <v>#VALUE!</v>
      </c>
      <c r="FR197" t="e">
        <f>AND('Planilla_General_03-12-2012_9_3'!M3147,"AAAAAA/qMq0=")</f>
        <v>#VALUE!</v>
      </c>
      <c r="FS197" t="e">
        <f>AND('Planilla_General_03-12-2012_9_3'!N3147,"AAAAAA/qMq4=")</f>
        <v>#VALUE!</v>
      </c>
      <c r="FT197" t="e">
        <f>AND('Planilla_General_03-12-2012_9_3'!O3147,"AAAAAA/qMq8=")</f>
        <v>#VALUE!</v>
      </c>
      <c r="FU197">
        <f>IF('Planilla_General_03-12-2012_9_3'!3148:3148,"AAAAAA/qMrA=",0)</f>
        <v>0</v>
      </c>
      <c r="FV197" t="e">
        <f>AND('Planilla_General_03-12-2012_9_3'!A3148,"AAAAAA/qMrE=")</f>
        <v>#VALUE!</v>
      </c>
      <c r="FW197" t="e">
        <f>AND('Planilla_General_03-12-2012_9_3'!B3148,"AAAAAA/qMrI=")</f>
        <v>#VALUE!</v>
      </c>
      <c r="FX197" t="e">
        <f>AND('Planilla_General_03-12-2012_9_3'!C3148,"AAAAAA/qMrM=")</f>
        <v>#VALUE!</v>
      </c>
      <c r="FY197" t="e">
        <f>AND('Planilla_General_03-12-2012_9_3'!D3148,"AAAAAA/qMrQ=")</f>
        <v>#VALUE!</v>
      </c>
      <c r="FZ197" t="e">
        <f>AND('Planilla_General_03-12-2012_9_3'!E3148,"AAAAAA/qMrU=")</f>
        <v>#VALUE!</v>
      </c>
      <c r="GA197" t="e">
        <f>AND('Planilla_General_03-12-2012_9_3'!F3148,"AAAAAA/qMrY=")</f>
        <v>#VALUE!</v>
      </c>
      <c r="GB197" t="e">
        <f>AND('Planilla_General_03-12-2012_9_3'!G3148,"AAAAAA/qMrc=")</f>
        <v>#VALUE!</v>
      </c>
      <c r="GC197" t="e">
        <f>AND('Planilla_General_03-12-2012_9_3'!H3148,"AAAAAA/qMrg=")</f>
        <v>#VALUE!</v>
      </c>
      <c r="GD197" t="e">
        <f>AND('Planilla_General_03-12-2012_9_3'!I3148,"AAAAAA/qMrk=")</f>
        <v>#VALUE!</v>
      </c>
      <c r="GE197" t="e">
        <f>AND('Planilla_General_03-12-2012_9_3'!J3148,"AAAAAA/qMro=")</f>
        <v>#VALUE!</v>
      </c>
      <c r="GF197" t="e">
        <f>AND('Planilla_General_03-12-2012_9_3'!K3148,"AAAAAA/qMrs=")</f>
        <v>#VALUE!</v>
      </c>
      <c r="GG197" t="e">
        <f>AND('Planilla_General_03-12-2012_9_3'!L3148,"AAAAAA/qMrw=")</f>
        <v>#VALUE!</v>
      </c>
      <c r="GH197" t="e">
        <f>AND('Planilla_General_03-12-2012_9_3'!M3148,"AAAAAA/qMr0=")</f>
        <v>#VALUE!</v>
      </c>
      <c r="GI197" t="e">
        <f>AND('Planilla_General_03-12-2012_9_3'!N3148,"AAAAAA/qMr4=")</f>
        <v>#VALUE!</v>
      </c>
      <c r="GJ197" t="e">
        <f>AND('Planilla_General_03-12-2012_9_3'!O3148,"AAAAAA/qMr8=")</f>
        <v>#VALUE!</v>
      </c>
      <c r="GK197">
        <f>IF('Planilla_General_03-12-2012_9_3'!3149:3149,"AAAAAA/qMsA=",0)</f>
        <v>0</v>
      </c>
      <c r="GL197" t="e">
        <f>AND('Planilla_General_03-12-2012_9_3'!A3149,"AAAAAA/qMsE=")</f>
        <v>#VALUE!</v>
      </c>
      <c r="GM197" t="e">
        <f>AND('Planilla_General_03-12-2012_9_3'!B3149,"AAAAAA/qMsI=")</f>
        <v>#VALUE!</v>
      </c>
      <c r="GN197" t="e">
        <f>AND('Planilla_General_03-12-2012_9_3'!C3149,"AAAAAA/qMsM=")</f>
        <v>#VALUE!</v>
      </c>
      <c r="GO197" t="e">
        <f>AND('Planilla_General_03-12-2012_9_3'!D3149,"AAAAAA/qMsQ=")</f>
        <v>#VALUE!</v>
      </c>
      <c r="GP197" t="e">
        <f>AND('Planilla_General_03-12-2012_9_3'!E3149,"AAAAAA/qMsU=")</f>
        <v>#VALUE!</v>
      </c>
      <c r="GQ197" t="e">
        <f>AND('Planilla_General_03-12-2012_9_3'!F3149,"AAAAAA/qMsY=")</f>
        <v>#VALUE!</v>
      </c>
      <c r="GR197" t="e">
        <f>AND('Planilla_General_03-12-2012_9_3'!G3149,"AAAAAA/qMsc=")</f>
        <v>#VALUE!</v>
      </c>
      <c r="GS197" t="e">
        <f>AND('Planilla_General_03-12-2012_9_3'!H3149,"AAAAAA/qMsg=")</f>
        <v>#VALUE!</v>
      </c>
      <c r="GT197" t="e">
        <f>AND('Planilla_General_03-12-2012_9_3'!I3149,"AAAAAA/qMsk=")</f>
        <v>#VALUE!</v>
      </c>
      <c r="GU197" t="e">
        <f>AND('Planilla_General_03-12-2012_9_3'!J3149,"AAAAAA/qMso=")</f>
        <v>#VALUE!</v>
      </c>
      <c r="GV197" t="e">
        <f>AND('Planilla_General_03-12-2012_9_3'!K3149,"AAAAAA/qMss=")</f>
        <v>#VALUE!</v>
      </c>
      <c r="GW197" t="e">
        <f>AND('Planilla_General_03-12-2012_9_3'!L3149,"AAAAAA/qMsw=")</f>
        <v>#VALUE!</v>
      </c>
      <c r="GX197" t="e">
        <f>AND('Planilla_General_03-12-2012_9_3'!M3149,"AAAAAA/qMs0=")</f>
        <v>#VALUE!</v>
      </c>
      <c r="GY197" t="e">
        <f>AND('Planilla_General_03-12-2012_9_3'!N3149,"AAAAAA/qMs4=")</f>
        <v>#VALUE!</v>
      </c>
      <c r="GZ197" t="e">
        <f>AND('Planilla_General_03-12-2012_9_3'!O3149,"AAAAAA/qMs8=")</f>
        <v>#VALUE!</v>
      </c>
      <c r="HA197">
        <f>IF('Planilla_General_03-12-2012_9_3'!3150:3150,"AAAAAA/qMtA=",0)</f>
        <v>0</v>
      </c>
      <c r="HB197" t="e">
        <f>AND('Planilla_General_03-12-2012_9_3'!A3150,"AAAAAA/qMtE=")</f>
        <v>#VALUE!</v>
      </c>
      <c r="HC197" t="e">
        <f>AND('Planilla_General_03-12-2012_9_3'!B3150,"AAAAAA/qMtI=")</f>
        <v>#VALUE!</v>
      </c>
      <c r="HD197" t="e">
        <f>AND('Planilla_General_03-12-2012_9_3'!C3150,"AAAAAA/qMtM=")</f>
        <v>#VALUE!</v>
      </c>
      <c r="HE197" t="e">
        <f>AND('Planilla_General_03-12-2012_9_3'!D3150,"AAAAAA/qMtQ=")</f>
        <v>#VALUE!</v>
      </c>
      <c r="HF197" t="e">
        <f>AND('Planilla_General_03-12-2012_9_3'!E3150,"AAAAAA/qMtU=")</f>
        <v>#VALUE!</v>
      </c>
      <c r="HG197" t="e">
        <f>AND('Planilla_General_03-12-2012_9_3'!F3150,"AAAAAA/qMtY=")</f>
        <v>#VALUE!</v>
      </c>
      <c r="HH197" t="e">
        <f>AND('Planilla_General_03-12-2012_9_3'!G3150,"AAAAAA/qMtc=")</f>
        <v>#VALUE!</v>
      </c>
      <c r="HI197" t="e">
        <f>AND('Planilla_General_03-12-2012_9_3'!H3150,"AAAAAA/qMtg=")</f>
        <v>#VALUE!</v>
      </c>
      <c r="HJ197" t="e">
        <f>AND('Planilla_General_03-12-2012_9_3'!I3150,"AAAAAA/qMtk=")</f>
        <v>#VALUE!</v>
      </c>
      <c r="HK197" t="e">
        <f>AND('Planilla_General_03-12-2012_9_3'!J3150,"AAAAAA/qMto=")</f>
        <v>#VALUE!</v>
      </c>
      <c r="HL197" t="e">
        <f>AND('Planilla_General_03-12-2012_9_3'!K3150,"AAAAAA/qMts=")</f>
        <v>#VALUE!</v>
      </c>
      <c r="HM197" t="e">
        <f>AND('Planilla_General_03-12-2012_9_3'!L3150,"AAAAAA/qMtw=")</f>
        <v>#VALUE!</v>
      </c>
      <c r="HN197" t="e">
        <f>AND('Planilla_General_03-12-2012_9_3'!M3150,"AAAAAA/qMt0=")</f>
        <v>#VALUE!</v>
      </c>
      <c r="HO197" t="e">
        <f>AND('Planilla_General_03-12-2012_9_3'!N3150,"AAAAAA/qMt4=")</f>
        <v>#VALUE!</v>
      </c>
      <c r="HP197" t="e">
        <f>AND('Planilla_General_03-12-2012_9_3'!O3150,"AAAAAA/qMt8=")</f>
        <v>#VALUE!</v>
      </c>
      <c r="HQ197">
        <f>IF('Planilla_General_03-12-2012_9_3'!3151:3151,"AAAAAA/qMuA=",0)</f>
        <v>0</v>
      </c>
      <c r="HR197" t="e">
        <f>AND('Planilla_General_03-12-2012_9_3'!A3151,"AAAAAA/qMuE=")</f>
        <v>#VALUE!</v>
      </c>
      <c r="HS197" t="e">
        <f>AND('Planilla_General_03-12-2012_9_3'!B3151,"AAAAAA/qMuI=")</f>
        <v>#VALUE!</v>
      </c>
      <c r="HT197" t="e">
        <f>AND('Planilla_General_03-12-2012_9_3'!C3151,"AAAAAA/qMuM=")</f>
        <v>#VALUE!</v>
      </c>
      <c r="HU197" t="e">
        <f>AND('Planilla_General_03-12-2012_9_3'!D3151,"AAAAAA/qMuQ=")</f>
        <v>#VALUE!</v>
      </c>
      <c r="HV197" t="e">
        <f>AND('Planilla_General_03-12-2012_9_3'!E3151,"AAAAAA/qMuU=")</f>
        <v>#VALUE!</v>
      </c>
      <c r="HW197" t="e">
        <f>AND('Planilla_General_03-12-2012_9_3'!F3151,"AAAAAA/qMuY=")</f>
        <v>#VALUE!</v>
      </c>
      <c r="HX197" t="e">
        <f>AND('Planilla_General_03-12-2012_9_3'!G3151,"AAAAAA/qMuc=")</f>
        <v>#VALUE!</v>
      </c>
      <c r="HY197" t="e">
        <f>AND('Planilla_General_03-12-2012_9_3'!H3151,"AAAAAA/qMug=")</f>
        <v>#VALUE!</v>
      </c>
      <c r="HZ197" t="e">
        <f>AND('Planilla_General_03-12-2012_9_3'!I3151,"AAAAAA/qMuk=")</f>
        <v>#VALUE!</v>
      </c>
      <c r="IA197" t="e">
        <f>AND('Planilla_General_03-12-2012_9_3'!J3151,"AAAAAA/qMuo=")</f>
        <v>#VALUE!</v>
      </c>
      <c r="IB197" t="e">
        <f>AND('Planilla_General_03-12-2012_9_3'!K3151,"AAAAAA/qMus=")</f>
        <v>#VALUE!</v>
      </c>
      <c r="IC197" t="e">
        <f>AND('Planilla_General_03-12-2012_9_3'!L3151,"AAAAAA/qMuw=")</f>
        <v>#VALUE!</v>
      </c>
      <c r="ID197" t="e">
        <f>AND('Planilla_General_03-12-2012_9_3'!M3151,"AAAAAA/qMu0=")</f>
        <v>#VALUE!</v>
      </c>
      <c r="IE197" t="e">
        <f>AND('Planilla_General_03-12-2012_9_3'!N3151,"AAAAAA/qMu4=")</f>
        <v>#VALUE!</v>
      </c>
      <c r="IF197" t="e">
        <f>AND('Planilla_General_03-12-2012_9_3'!O3151,"AAAAAA/qMu8=")</f>
        <v>#VALUE!</v>
      </c>
      <c r="IG197">
        <f>IF('Planilla_General_03-12-2012_9_3'!3152:3152,"AAAAAA/qMvA=",0)</f>
        <v>0</v>
      </c>
      <c r="IH197" t="e">
        <f>AND('Planilla_General_03-12-2012_9_3'!A3152,"AAAAAA/qMvE=")</f>
        <v>#VALUE!</v>
      </c>
      <c r="II197" t="e">
        <f>AND('Planilla_General_03-12-2012_9_3'!B3152,"AAAAAA/qMvI=")</f>
        <v>#VALUE!</v>
      </c>
      <c r="IJ197" t="e">
        <f>AND('Planilla_General_03-12-2012_9_3'!C3152,"AAAAAA/qMvM=")</f>
        <v>#VALUE!</v>
      </c>
      <c r="IK197" t="e">
        <f>AND('Planilla_General_03-12-2012_9_3'!D3152,"AAAAAA/qMvQ=")</f>
        <v>#VALUE!</v>
      </c>
      <c r="IL197" t="e">
        <f>AND('Planilla_General_03-12-2012_9_3'!E3152,"AAAAAA/qMvU=")</f>
        <v>#VALUE!</v>
      </c>
      <c r="IM197" t="e">
        <f>AND('Planilla_General_03-12-2012_9_3'!F3152,"AAAAAA/qMvY=")</f>
        <v>#VALUE!</v>
      </c>
      <c r="IN197" t="e">
        <f>AND('Planilla_General_03-12-2012_9_3'!G3152,"AAAAAA/qMvc=")</f>
        <v>#VALUE!</v>
      </c>
      <c r="IO197" t="e">
        <f>AND('Planilla_General_03-12-2012_9_3'!H3152,"AAAAAA/qMvg=")</f>
        <v>#VALUE!</v>
      </c>
      <c r="IP197" t="e">
        <f>AND('Planilla_General_03-12-2012_9_3'!I3152,"AAAAAA/qMvk=")</f>
        <v>#VALUE!</v>
      </c>
      <c r="IQ197" t="e">
        <f>AND('Planilla_General_03-12-2012_9_3'!J3152,"AAAAAA/qMvo=")</f>
        <v>#VALUE!</v>
      </c>
      <c r="IR197" t="e">
        <f>AND('Planilla_General_03-12-2012_9_3'!K3152,"AAAAAA/qMvs=")</f>
        <v>#VALUE!</v>
      </c>
      <c r="IS197" t="e">
        <f>AND('Planilla_General_03-12-2012_9_3'!L3152,"AAAAAA/qMvw=")</f>
        <v>#VALUE!</v>
      </c>
      <c r="IT197" t="e">
        <f>AND('Planilla_General_03-12-2012_9_3'!M3152,"AAAAAA/qMv0=")</f>
        <v>#VALUE!</v>
      </c>
      <c r="IU197" t="e">
        <f>AND('Planilla_General_03-12-2012_9_3'!N3152,"AAAAAA/qMv4=")</f>
        <v>#VALUE!</v>
      </c>
      <c r="IV197" t="e">
        <f>AND('Planilla_General_03-12-2012_9_3'!O3152,"AAAAAA/qMv8=")</f>
        <v>#VALUE!</v>
      </c>
    </row>
    <row r="198" spans="1:256" x14ac:dyDescent="0.25">
      <c r="A198" t="e">
        <f>IF('Planilla_General_03-12-2012_9_3'!3153:3153,"AAAAAH/z9gA=",0)</f>
        <v>#VALUE!</v>
      </c>
      <c r="B198" t="e">
        <f>AND('Planilla_General_03-12-2012_9_3'!A3153,"AAAAAH/z9gE=")</f>
        <v>#VALUE!</v>
      </c>
      <c r="C198" t="e">
        <f>AND('Planilla_General_03-12-2012_9_3'!B3153,"AAAAAH/z9gI=")</f>
        <v>#VALUE!</v>
      </c>
      <c r="D198" t="e">
        <f>AND('Planilla_General_03-12-2012_9_3'!C3153,"AAAAAH/z9gM=")</f>
        <v>#VALUE!</v>
      </c>
      <c r="E198" t="e">
        <f>AND('Planilla_General_03-12-2012_9_3'!D3153,"AAAAAH/z9gQ=")</f>
        <v>#VALUE!</v>
      </c>
      <c r="F198" t="e">
        <f>AND('Planilla_General_03-12-2012_9_3'!E3153,"AAAAAH/z9gU=")</f>
        <v>#VALUE!</v>
      </c>
      <c r="G198" t="e">
        <f>AND('Planilla_General_03-12-2012_9_3'!F3153,"AAAAAH/z9gY=")</f>
        <v>#VALUE!</v>
      </c>
      <c r="H198" t="e">
        <f>AND('Planilla_General_03-12-2012_9_3'!G3153,"AAAAAH/z9gc=")</f>
        <v>#VALUE!</v>
      </c>
      <c r="I198" t="e">
        <f>AND('Planilla_General_03-12-2012_9_3'!H3153,"AAAAAH/z9gg=")</f>
        <v>#VALUE!</v>
      </c>
      <c r="J198" t="e">
        <f>AND('Planilla_General_03-12-2012_9_3'!I3153,"AAAAAH/z9gk=")</f>
        <v>#VALUE!</v>
      </c>
      <c r="K198" t="e">
        <f>AND('Planilla_General_03-12-2012_9_3'!J3153,"AAAAAH/z9go=")</f>
        <v>#VALUE!</v>
      </c>
      <c r="L198" t="e">
        <f>AND('Planilla_General_03-12-2012_9_3'!K3153,"AAAAAH/z9gs=")</f>
        <v>#VALUE!</v>
      </c>
      <c r="M198" t="e">
        <f>AND('Planilla_General_03-12-2012_9_3'!L3153,"AAAAAH/z9gw=")</f>
        <v>#VALUE!</v>
      </c>
      <c r="N198" t="e">
        <f>AND('Planilla_General_03-12-2012_9_3'!M3153,"AAAAAH/z9g0=")</f>
        <v>#VALUE!</v>
      </c>
      <c r="O198" t="e">
        <f>AND('Planilla_General_03-12-2012_9_3'!N3153,"AAAAAH/z9g4=")</f>
        <v>#VALUE!</v>
      </c>
      <c r="P198" t="e">
        <f>AND('Planilla_General_03-12-2012_9_3'!O3153,"AAAAAH/z9g8=")</f>
        <v>#VALUE!</v>
      </c>
      <c r="Q198">
        <f>IF('Planilla_General_03-12-2012_9_3'!3154:3154,"AAAAAH/z9hA=",0)</f>
        <v>0</v>
      </c>
      <c r="R198" t="e">
        <f>AND('Planilla_General_03-12-2012_9_3'!A3154,"AAAAAH/z9hE=")</f>
        <v>#VALUE!</v>
      </c>
      <c r="S198" t="e">
        <f>AND('Planilla_General_03-12-2012_9_3'!B3154,"AAAAAH/z9hI=")</f>
        <v>#VALUE!</v>
      </c>
      <c r="T198" t="e">
        <f>AND('Planilla_General_03-12-2012_9_3'!C3154,"AAAAAH/z9hM=")</f>
        <v>#VALUE!</v>
      </c>
      <c r="U198" t="e">
        <f>AND('Planilla_General_03-12-2012_9_3'!D3154,"AAAAAH/z9hQ=")</f>
        <v>#VALUE!</v>
      </c>
      <c r="V198" t="e">
        <f>AND('Planilla_General_03-12-2012_9_3'!E3154,"AAAAAH/z9hU=")</f>
        <v>#VALUE!</v>
      </c>
      <c r="W198" t="e">
        <f>AND('Planilla_General_03-12-2012_9_3'!F3154,"AAAAAH/z9hY=")</f>
        <v>#VALUE!</v>
      </c>
      <c r="X198" t="e">
        <f>AND('Planilla_General_03-12-2012_9_3'!G3154,"AAAAAH/z9hc=")</f>
        <v>#VALUE!</v>
      </c>
      <c r="Y198" t="e">
        <f>AND('Planilla_General_03-12-2012_9_3'!H3154,"AAAAAH/z9hg=")</f>
        <v>#VALUE!</v>
      </c>
      <c r="Z198" t="e">
        <f>AND('Planilla_General_03-12-2012_9_3'!I3154,"AAAAAH/z9hk=")</f>
        <v>#VALUE!</v>
      </c>
      <c r="AA198" t="e">
        <f>AND('Planilla_General_03-12-2012_9_3'!J3154,"AAAAAH/z9ho=")</f>
        <v>#VALUE!</v>
      </c>
      <c r="AB198" t="e">
        <f>AND('Planilla_General_03-12-2012_9_3'!K3154,"AAAAAH/z9hs=")</f>
        <v>#VALUE!</v>
      </c>
      <c r="AC198" t="e">
        <f>AND('Planilla_General_03-12-2012_9_3'!L3154,"AAAAAH/z9hw=")</f>
        <v>#VALUE!</v>
      </c>
      <c r="AD198" t="e">
        <f>AND('Planilla_General_03-12-2012_9_3'!M3154,"AAAAAH/z9h0=")</f>
        <v>#VALUE!</v>
      </c>
      <c r="AE198" t="e">
        <f>AND('Planilla_General_03-12-2012_9_3'!N3154,"AAAAAH/z9h4=")</f>
        <v>#VALUE!</v>
      </c>
      <c r="AF198" t="e">
        <f>AND('Planilla_General_03-12-2012_9_3'!O3154,"AAAAAH/z9h8=")</f>
        <v>#VALUE!</v>
      </c>
      <c r="AG198">
        <f>IF('Planilla_General_03-12-2012_9_3'!3155:3155,"AAAAAH/z9iA=",0)</f>
        <v>0</v>
      </c>
      <c r="AH198" t="e">
        <f>AND('Planilla_General_03-12-2012_9_3'!A3155,"AAAAAH/z9iE=")</f>
        <v>#VALUE!</v>
      </c>
      <c r="AI198" t="e">
        <f>AND('Planilla_General_03-12-2012_9_3'!B3155,"AAAAAH/z9iI=")</f>
        <v>#VALUE!</v>
      </c>
      <c r="AJ198" t="e">
        <f>AND('Planilla_General_03-12-2012_9_3'!C3155,"AAAAAH/z9iM=")</f>
        <v>#VALUE!</v>
      </c>
      <c r="AK198" t="e">
        <f>AND('Planilla_General_03-12-2012_9_3'!D3155,"AAAAAH/z9iQ=")</f>
        <v>#VALUE!</v>
      </c>
      <c r="AL198" t="e">
        <f>AND('Planilla_General_03-12-2012_9_3'!E3155,"AAAAAH/z9iU=")</f>
        <v>#VALUE!</v>
      </c>
      <c r="AM198" t="e">
        <f>AND('Planilla_General_03-12-2012_9_3'!F3155,"AAAAAH/z9iY=")</f>
        <v>#VALUE!</v>
      </c>
      <c r="AN198" t="e">
        <f>AND('Planilla_General_03-12-2012_9_3'!G3155,"AAAAAH/z9ic=")</f>
        <v>#VALUE!</v>
      </c>
      <c r="AO198" t="e">
        <f>AND('Planilla_General_03-12-2012_9_3'!H3155,"AAAAAH/z9ig=")</f>
        <v>#VALUE!</v>
      </c>
      <c r="AP198" t="e">
        <f>AND('Planilla_General_03-12-2012_9_3'!I3155,"AAAAAH/z9ik=")</f>
        <v>#VALUE!</v>
      </c>
      <c r="AQ198" t="e">
        <f>AND('Planilla_General_03-12-2012_9_3'!J3155,"AAAAAH/z9io=")</f>
        <v>#VALUE!</v>
      </c>
      <c r="AR198" t="e">
        <f>AND('Planilla_General_03-12-2012_9_3'!K3155,"AAAAAH/z9is=")</f>
        <v>#VALUE!</v>
      </c>
      <c r="AS198" t="e">
        <f>AND('Planilla_General_03-12-2012_9_3'!L3155,"AAAAAH/z9iw=")</f>
        <v>#VALUE!</v>
      </c>
      <c r="AT198" t="e">
        <f>AND('Planilla_General_03-12-2012_9_3'!M3155,"AAAAAH/z9i0=")</f>
        <v>#VALUE!</v>
      </c>
      <c r="AU198" t="e">
        <f>AND('Planilla_General_03-12-2012_9_3'!N3155,"AAAAAH/z9i4=")</f>
        <v>#VALUE!</v>
      </c>
      <c r="AV198" t="e">
        <f>AND('Planilla_General_03-12-2012_9_3'!O3155,"AAAAAH/z9i8=")</f>
        <v>#VALUE!</v>
      </c>
      <c r="AW198">
        <f>IF('Planilla_General_03-12-2012_9_3'!3156:3156,"AAAAAH/z9jA=",0)</f>
        <v>0</v>
      </c>
      <c r="AX198" t="e">
        <f>AND('Planilla_General_03-12-2012_9_3'!A3156,"AAAAAH/z9jE=")</f>
        <v>#VALUE!</v>
      </c>
      <c r="AY198" t="e">
        <f>AND('Planilla_General_03-12-2012_9_3'!B3156,"AAAAAH/z9jI=")</f>
        <v>#VALUE!</v>
      </c>
      <c r="AZ198" t="e">
        <f>AND('Planilla_General_03-12-2012_9_3'!C3156,"AAAAAH/z9jM=")</f>
        <v>#VALUE!</v>
      </c>
      <c r="BA198" t="e">
        <f>AND('Planilla_General_03-12-2012_9_3'!D3156,"AAAAAH/z9jQ=")</f>
        <v>#VALUE!</v>
      </c>
      <c r="BB198" t="e">
        <f>AND('Planilla_General_03-12-2012_9_3'!E3156,"AAAAAH/z9jU=")</f>
        <v>#VALUE!</v>
      </c>
      <c r="BC198" t="e">
        <f>AND('Planilla_General_03-12-2012_9_3'!F3156,"AAAAAH/z9jY=")</f>
        <v>#VALUE!</v>
      </c>
      <c r="BD198" t="e">
        <f>AND('Planilla_General_03-12-2012_9_3'!G3156,"AAAAAH/z9jc=")</f>
        <v>#VALUE!</v>
      </c>
      <c r="BE198" t="e">
        <f>AND('Planilla_General_03-12-2012_9_3'!H3156,"AAAAAH/z9jg=")</f>
        <v>#VALUE!</v>
      </c>
      <c r="BF198" t="e">
        <f>AND('Planilla_General_03-12-2012_9_3'!I3156,"AAAAAH/z9jk=")</f>
        <v>#VALUE!</v>
      </c>
      <c r="BG198" t="e">
        <f>AND('Planilla_General_03-12-2012_9_3'!J3156,"AAAAAH/z9jo=")</f>
        <v>#VALUE!</v>
      </c>
      <c r="BH198" t="e">
        <f>AND('Planilla_General_03-12-2012_9_3'!K3156,"AAAAAH/z9js=")</f>
        <v>#VALUE!</v>
      </c>
      <c r="BI198" t="e">
        <f>AND('Planilla_General_03-12-2012_9_3'!L3156,"AAAAAH/z9jw=")</f>
        <v>#VALUE!</v>
      </c>
      <c r="BJ198" t="e">
        <f>AND('Planilla_General_03-12-2012_9_3'!M3156,"AAAAAH/z9j0=")</f>
        <v>#VALUE!</v>
      </c>
      <c r="BK198" t="e">
        <f>AND('Planilla_General_03-12-2012_9_3'!N3156,"AAAAAH/z9j4=")</f>
        <v>#VALUE!</v>
      </c>
      <c r="BL198" t="e">
        <f>AND('Planilla_General_03-12-2012_9_3'!O3156,"AAAAAH/z9j8=")</f>
        <v>#VALUE!</v>
      </c>
      <c r="BM198">
        <f>IF('Planilla_General_03-12-2012_9_3'!3157:3157,"AAAAAH/z9kA=",0)</f>
        <v>0</v>
      </c>
      <c r="BN198" t="e">
        <f>AND('Planilla_General_03-12-2012_9_3'!A3157,"AAAAAH/z9kE=")</f>
        <v>#VALUE!</v>
      </c>
      <c r="BO198" t="e">
        <f>AND('Planilla_General_03-12-2012_9_3'!B3157,"AAAAAH/z9kI=")</f>
        <v>#VALUE!</v>
      </c>
      <c r="BP198" t="e">
        <f>AND('Planilla_General_03-12-2012_9_3'!C3157,"AAAAAH/z9kM=")</f>
        <v>#VALUE!</v>
      </c>
      <c r="BQ198" t="e">
        <f>AND('Planilla_General_03-12-2012_9_3'!D3157,"AAAAAH/z9kQ=")</f>
        <v>#VALUE!</v>
      </c>
      <c r="BR198" t="e">
        <f>AND('Planilla_General_03-12-2012_9_3'!E3157,"AAAAAH/z9kU=")</f>
        <v>#VALUE!</v>
      </c>
      <c r="BS198" t="e">
        <f>AND('Planilla_General_03-12-2012_9_3'!F3157,"AAAAAH/z9kY=")</f>
        <v>#VALUE!</v>
      </c>
      <c r="BT198" t="e">
        <f>AND('Planilla_General_03-12-2012_9_3'!G3157,"AAAAAH/z9kc=")</f>
        <v>#VALUE!</v>
      </c>
      <c r="BU198" t="e">
        <f>AND('Planilla_General_03-12-2012_9_3'!H3157,"AAAAAH/z9kg=")</f>
        <v>#VALUE!</v>
      </c>
      <c r="BV198" t="e">
        <f>AND('Planilla_General_03-12-2012_9_3'!I3157,"AAAAAH/z9kk=")</f>
        <v>#VALUE!</v>
      </c>
      <c r="BW198" t="e">
        <f>AND('Planilla_General_03-12-2012_9_3'!J3157,"AAAAAH/z9ko=")</f>
        <v>#VALUE!</v>
      </c>
      <c r="BX198" t="e">
        <f>AND('Planilla_General_03-12-2012_9_3'!K3157,"AAAAAH/z9ks=")</f>
        <v>#VALUE!</v>
      </c>
      <c r="BY198" t="e">
        <f>AND('Planilla_General_03-12-2012_9_3'!L3157,"AAAAAH/z9kw=")</f>
        <v>#VALUE!</v>
      </c>
      <c r="BZ198" t="e">
        <f>AND('Planilla_General_03-12-2012_9_3'!M3157,"AAAAAH/z9k0=")</f>
        <v>#VALUE!</v>
      </c>
      <c r="CA198" t="e">
        <f>AND('Planilla_General_03-12-2012_9_3'!N3157,"AAAAAH/z9k4=")</f>
        <v>#VALUE!</v>
      </c>
      <c r="CB198" t="e">
        <f>AND('Planilla_General_03-12-2012_9_3'!O3157,"AAAAAH/z9k8=")</f>
        <v>#VALUE!</v>
      </c>
      <c r="CC198">
        <f>IF('Planilla_General_03-12-2012_9_3'!3158:3158,"AAAAAH/z9lA=",0)</f>
        <v>0</v>
      </c>
      <c r="CD198" t="e">
        <f>AND('Planilla_General_03-12-2012_9_3'!A3158,"AAAAAH/z9lE=")</f>
        <v>#VALUE!</v>
      </c>
      <c r="CE198" t="e">
        <f>AND('Planilla_General_03-12-2012_9_3'!B3158,"AAAAAH/z9lI=")</f>
        <v>#VALUE!</v>
      </c>
      <c r="CF198" t="e">
        <f>AND('Planilla_General_03-12-2012_9_3'!C3158,"AAAAAH/z9lM=")</f>
        <v>#VALUE!</v>
      </c>
      <c r="CG198" t="e">
        <f>AND('Planilla_General_03-12-2012_9_3'!D3158,"AAAAAH/z9lQ=")</f>
        <v>#VALUE!</v>
      </c>
      <c r="CH198" t="e">
        <f>AND('Planilla_General_03-12-2012_9_3'!E3158,"AAAAAH/z9lU=")</f>
        <v>#VALUE!</v>
      </c>
      <c r="CI198" t="e">
        <f>AND('Planilla_General_03-12-2012_9_3'!F3158,"AAAAAH/z9lY=")</f>
        <v>#VALUE!</v>
      </c>
      <c r="CJ198" t="e">
        <f>AND('Planilla_General_03-12-2012_9_3'!G3158,"AAAAAH/z9lc=")</f>
        <v>#VALUE!</v>
      </c>
      <c r="CK198" t="e">
        <f>AND('Planilla_General_03-12-2012_9_3'!H3158,"AAAAAH/z9lg=")</f>
        <v>#VALUE!</v>
      </c>
      <c r="CL198" t="e">
        <f>AND('Planilla_General_03-12-2012_9_3'!I3158,"AAAAAH/z9lk=")</f>
        <v>#VALUE!</v>
      </c>
      <c r="CM198" t="e">
        <f>AND('Planilla_General_03-12-2012_9_3'!J3158,"AAAAAH/z9lo=")</f>
        <v>#VALUE!</v>
      </c>
      <c r="CN198" t="e">
        <f>AND('Planilla_General_03-12-2012_9_3'!K3158,"AAAAAH/z9ls=")</f>
        <v>#VALUE!</v>
      </c>
      <c r="CO198" t="e">
        <f>AND('Planilla_General_03-12-2012_9_3'!L3158,"AAAAAH/z9lw=")</f>
        <v>#VALUE!</v>
      </c>
      <c r="CP198" t="e">
        <f>AND('Planilla_General_03-12-2012_9_3'!M3158,"AAAAAH/z9l0=")</f>
        <v>#VALUE!</v>
      </c>
      <c r="CQ198" t="e">
        <f>AND('Planilla_General_03-12-2012_9_3'!N3158,"AAAAAH/z9l4=")</f>
        <v>#VALUE!</v>
      </c>
      <c r="CR198" t="e">
        <f>AND('Planilla_General_03-12-2012_9_3'!O3158,"AAAAAH/z9l8=")</f>
        <v>#VALUE!</v>
      </c>
      <c r="CS198">
        <f>IF('Planilla_General_03-12-2012_9_3'!3159:3159,"AAAAAH/z9mA=",0)</f>
        <v>0</v>
      </c>
      <c r="CT198" t="e">
        <f>AND('Planilla_General_03-12-2012_9_3'!A3159,"AAAAAH/z9mE=")</f>
        <v>#VALUE!</v>
      </c>
      <c r="CU198" t="e">
        <f>AND('Planilla_General_03-12-2012_9_3'!B3159,"AAAAAH/z9mI=")</f>
        <v>#VALUE!</v>
      </c>
      <c r="CV198" t="e">
        <f>AND('Planilla_General_03-12-2012_9_3'!C3159,"AAAAAH/z9mM=")</f>
        <v>#VALUE!</v>
      </c>
      <c r="CW198" t="e">
        <f>AND('Planilla_General_03-12-2012_9_3'!D3159,"AAAAAH/z9mQ=")</f>
        <v>#VALUE!</v>
      </c>
      <c r="CX198" t="e">
        <f>AND('Planilla_General_03-12-2012_9_3'!E3159,"AAAAAH/z9mU=")</f>
        <v>#VALUE!</v>
      </c>
      <c r="CY198" t="e">
        <f>AND('Planilla_General_03-12-2012_9_3'!F3159,"AAAAAH/z9mY=")</f>
        <v>#VALUE!</v>
      </c>
      <c r="CZ198" t="e">
        <f>AND('Planilla_General_03-12-2012_9_3'!G3159,"AAAAAH/z9mc=")</f>
        <v>#VALUE!</v>
      </c>
      <c r="DA198" t="e">
        <f>AND('Planilla_General_03-12-2012_9_3'!H3159,"AAAAAH/z9mg=")</f>
        <v>#VALUE!</v>
      </c>
      <c r="DB198" t="e">
        <f>AND('Planilla_General_03-12-2012_9_3'!I3159,"AAAAAH/z9mk=")</f>
        <v>#VALUE!</v>
      </c>
      <c r="DC198" t="e">
        <f>AND('Planilla_General_03-12-2012_9_3'!J3159,"AAAAAH/z9mo=")</f>
        <v>#VALUE!</v>
      </c>
      <c r="DD198" t="e">
        <f>AND('Planilla_General_03-12-2012_9_3'!K3159,"AAAAAH/z9ms=")</f>
        <v>#VALUE!</v>
      </c>
      <c r="DE198" t="e">
        <f>AND('Planilla_General_03-12-2012_9_3'!L3159,"AAAAAH/z9mw=")</f>
        <v>#VALUE!</v>
      </c>
      <c r="DF198" t="e">
        <f>AND('Planilla_General_03-12-2012_9_3'!M3159,"AAAAAH/z9m0=")</f>
        <v>#VALUE!</v>
      </c>
      <c r="DG198" t="e">
        <f>AND('Planilla_General_03-12-2012_9_3'!N3159,"AAAAAH/z9m4=")</f>
        <v>#VALUE!</v>
      </c>
      <c r="DH198" t="e">
        <f>AND('Planilla_General_03-12-2012_9_3'!O3159,"AAAAAH/z9m8=")</f>
        <v>#VALUE!</v>
      </c>
      <c r="DI198">
        <f>IF('Planilla_General_03-12-2012_9_3'!3160:3160,"AAAAAH/z9nA=",0)</f>
        <v>0</v>
      </c>
      <c r="DJ198" t="e">
        <f>AND('Planilla_General_03-12-2012_9_3'!A3160,"AAAAAH/z9nE=")</f>
        <v>#VALUE!</v>
      </c>
      <c r="DK198" t="e">
        <f>AND('Planilla_General_03-12-2012_9_3'!B3160,"AAAAAH/z9nI=")</f>
        <v>#VALUE!</v>
      </c>
      <c r="DL198" t="e">
        <f>AND('Planilla_General_03-12-2012_9_3'!C3160,"AAAAAH/z9nM=")</f>
        <v>#VALUE!</v>
      </c>
      <c r="DM198" t="e">
        <f>AND('Planilla_General_03-12-2012_9_3'!D3160,"AAAAAH/z9nQ=")</f>
        <v>#VALUE!</v>
      </c>
      <c r="DN198" t="e">
        <f>AND('Planilla_General_03-12-2012_9_3'!E3160,"AAAAAH/z9nU=")</f>
        <v>#VALUE!</v>
      </c>
      <c r="DO198" t="e">
        <f>AND('Planilla_General_03-12-2012_9_3'!F3160,"AAAAAH/z9nY=")</f>
        <v>#VALUE!</v>
      </c>
      <c r="DP198" t="e">
        <f>AND('Planilla_General_03-12-2012_9_3'!G3160,"AAAAAH/z9nc=")</f>
        <v>#VALUE!</v>
      </c>
      <c r="DQ198" t="e">
        <f>AND('Planilla_General_03-12-2012_9_3'!H3160,"AAAAAH/z9ng=")</f>
        <v>#VALUE!</v>
      </c>
      <c r="DR198" t="e">
        <f>AND('Planilla_General_03-12-2012_9_3'!I3160,"AAAAAH/z9nk=")</f>
        <v>#VALUE!</v>
      </c>
      <c r="DS198" t="e">
        <f>AND('Planilla_General_03-12-2012_9_3'!J3160,"AAAAAH/z9no=")</f>
        <v>#VALUE!</v>
      </c>
      <c r="DT198" t="e">
        <f>AND('Planilla_General_03-12-2012_9_3'!K3160,"AAAAAH/z9ns=")</f>
        <v>#VALUE!</v>
      </c>
      <c r="DU198" t="e">
        <f>AND('Planilla_General_03-12-2012_9_3'!L3160,"AAAAAH/z9nw=")</f>
        <v>#VALUE!</v>
      </c>
      <c r="DV198" t="e">
        <f>AND('Planilla_General_03-12-2012_9_3'!M3160,"AAAAAH/z9n0=")</f>
        <v>#VALUE!</v>
      </c>
      <c r="DW198" t="e">
        <f>AND('Planilla_General_03-12-2012_9_3'!N3160,"AAAAAH/z9n4=")</f>
        <v>#VALUE!</v>
      </c>
      <c r="DX198" t="e">
        <f>AND('Planilla_General_03-12-2012_9_3'!O3160,"AAAAAH/z9n8=")</f>
        <v>#VALUE!</v>
      </c>
      <c r="DY198">
        <f>IF('Planilla_General_03-12-2012_9_3'!3161:3161,"AAAAAH/z9oA=",0)</f>
        <v>0</v>
      </c>
      <c r="DZ198" t="e">
        <f>AND('Planilla_General_03-12-2012_9_3'!A3161,"AAAAAH/z9oE=")</f>
        <v>#VALUE!</v>
      </c>
      <c r="EA198" t="e">
        <f>AND('Planilla_General_03-12-2012_9_3'!B3161,"AAAAAH/z9oI=")</f>
        <v>#VALUE!</v>
      </c>
      <c r="EB198" t="e">
        <f>AND('Planilla_General_03-12-2012_9_3'!C3161,"AAAAAH/z9oM=")</f>
        <v>#VALUE!</v>
      </c>
      <c r="EC198" t="e">
        <f>AND('Planilla_General_03-12-2012_9_3'!D3161,"AAAAAH/z9oQ=")</f>
        <v>#VALUE!</v>
      </c>
      <c r="ED198" t="e">
        <f>AND('Planilla_General_03-12-2012_9_3'!E3161,"AAAAAH/z9oU=")</f>
        <v>#VALUE!</v>
      </c>
      <c r="EE198" t="e">
        <f>AND('Planilla_General_03-12-2012_9_3'!F3161,"AAAAAH/z9oY=")</f>
        <v>#VALUE!</v>
      </c>
      <c r="EF198" t="e">
        <f>AND('Planilla_General_03-12-2012_9_3'!G3161,"AAAAAH/z9oc=")</f>
        <v>#VALUE!</v>
      </c>
      <c r="EG198" t="e">
        <f>AND('Planilla_General_03-12-2012_9_3'!H3161,"AAAAAH/z9og=")</f>
        <v>#VALUE!</v>
      </c>
      <c r="EH198" t="e">
        <f>AND('Planilla_General_03-12-2012_9_3'!I3161,"AAAAAH/z9ok=")</f>
        <v>#VALUE!</v>
      </c>
      <c r="EI198" t="e">
        <f>AND('Planilla_General_03-12-2012_9_3'!J3161,"AAAAAH/z9oo=")</f>
        <v>#VALUE!</v>
      </c>
      <c r="EJ198" t="e">
        <f>AND('Planilla_General_03-12-2012_9_3'!K3161,"AAAAAH/z9os=")</f>
        <v>#VALUE!</v>
      </c>
      <c r="EK198" t="e">
        <f>AND('Planilla_General_03-12-2012_9_3'!L3161,"AAAAAH/z9ow=")</f>
        <v>#VALUE!</v>
      </c>
      <c r="EL198" t="e">
        <f>AND('Planilla_General_03-12-2012_9_3'!M3161,"AAAAAH/z9o0=")</f>
        <v>#VALUE!</v>
      </c>
      <c r="EM198" t="e">
        <f>AND('Planilla_General_03-12-2012_9_3'!N3161,"AAAAAH/z9o4=")</f>
        <v>#VALUE!</v>
      </c>
      <c r="EN198" t="e">
        <f>AND('Planilla_General_03-12-2012_9_3'!O3161,"AAAAAH/z9o8=")</f>
        <v>#VALUE!</v>
      </c>
      <c r="EO198">
        <f>IF('Planilla_General_03-12-2012_9_3'!3162:3162,"AAAAAH/z9pA=",0)</f>
        <v>0</v>
      </c>
      <c r="EP198" t="e">
        <f>AND('Planilla_General_03-12-2012_9_3'!A3162,"AAAAAH/z9pE=")</f>
        <v>#VALUE!</v>
      </c>
      <c r="EQ198" t="e">
        <f>AND('Planilla_General_03-12-2012_9_3'!B3162,"AAAAAH/z9pI=")</f>
        <v>#VALUE!</v>
      </c>
      <c r="ER198" t="e">
        <f>AND('Planilla_General_03-12-2012_9_3'!C3162,"AAAAAH/z9pM=")</f>
        <v>#VALUE!</v>
      </c>
      <c r="ES198" t="e">
        <f>AND('Planilla_General_03-12-2012_9_3'!D3162,"AAAAAH/z9pQ=")</f>
        <v>#VALUE!</v>
      </c>
      <c r="ET198" t="e">
        <f>AND('Planilla_General_03-12-2012_9_3'!E3162,"AAAAAH/z9pU=")</f>
        <v>#VALUE!</v>
      </c>
      <c r="EU198" t="e">
        <f>AND('Planilla_General_03-12-2012_9_3'!F3162,"AAAAAH/z9pY=")</f>
        <v>#VALUE!</v>
      </c>
      <c r="EV198" t="e">
        <f>AND('Planilla_General_03-12-2012_9_3'!G3162,"AAAAAH/z9pc=")</f>
        <v>#VALUE!</v>
      </c>
      <c r="EW198" t="e">
        <f>AND('Planilla_General_03-12-2012_9_3'!H3162,"AAAAAH/z9pg=")</f>
        <v>#VALUE!</v>
      </c>
      <c r="EX198" t="e">
        <f>AND('Planilla_General_03-12-2012_9_3'!I3162,"AAAAAH/z9pk=")</f>
        <v>#VALUE!</v>
      </c>
      <c r="EY198" t="e">
        <f>AND('Planilla_General_03-12-2012_9_3'!J3162,"AAAAAH/z9po=")</f>
        <v>#VALUE!</v>
      </c>
      <c r="EZ198" t="e">
        <f>AND('Planilla_General_03-12-2012_9_3'!K3162,"AAAAAH/z9ps=")</f>
        <v>#VALUE!</v>
      </c>
      <c r="FA198" t="e">
        <f>AND('Planilla_General_03-12-2012_9_3'!L3162,"AAAAAH/z9pw=")</f>
        <v>#VALUE!</v>
      </c>
      <c r="FB198" t="e">
        <f>AND('Planilla_General_03-12-2012_9_3'!M3162,"AAAAAH/z9p0=")</f>
        <v>#VALUE!</v>
      </c>
      <c r="FC198" t="e">
        <f>AND('Planilla_General_03-12-2012_9_3'!N3162,"AAAAAH/z9p4=")</f>
        <v>#VALUE!</v>
      </c>
      <c r="FD198" t="e">
        <f>AND('Planilla_General_03-12-2012_9_3'!O3162,"AAAAAH/z9p8=")</f>
        <v>#VALUE!</v>
      </c>
      <c r="FE198">
        <f>IF('Planilla_General_03-12-2012_9_3'!3163:3163,"AAAAAH/z9qA=",0)</f>
        <v>0</v>
      </c>
      <c r="FF198" t="e">
        <f>AND('Planilla_General_03-12-2012_9_3'!A3163,"AAAAAH/z9qE=")</f>
        <v>#VALUE!</v>
      </c>
      <c r="FG198" t="e">
        <f>AND('Planilla_General_03-12-2012_9_3'!B3163,"AAAAAH/z9qI=")</f>
        <v>#VALUE!</v>
      </c>
      <c r="FH198" t="e">
        <f>AND('Planilla_General_03-12-2012_9_3'!C3163,"AAAAAH/z9qM=")</f>
        <v>#VALUE!</v>
      </c>
      <c r="FI198" t="e">
        <f>AND('Planilla_General_03-12-2012_9_3'!D3163,"AAAAAH/z9qQ=")</f>
        <v>#VALUE!</v>
      </c>
      <c r="FJ198" t="e">
        <f>AND('Planilla_General_03-12-2012_9_3'!E3163,"AAAAAH/z9qU=")</f>
        <v>#VALUE!</v>
      </c>
      <c r="FK198" t="e">
        <f>AND('Planilla_General_03-12-2012_9_3'!F3163,"AAAAAH/z9qY=")</f>
        <v>#VALUE!</v>
      </c>
      <c r="FL198" t="e">
        <f>AND('Planilla_General_03-12-2012_9_3'!G3163,"AAAAAH/z9qc=")</f>
        <v>#VALUE!</v>
      </c>
      <c r="FM198" t="e">
        <f>AND('Planilla_General_03-12-2012_9_3'!H3163,"AAAAAH/z9qg=")</f>
        <v>#VALUE!</v>
      </c>
      <c r="FN198" t="e">
        <f>AND('Planilla_General_03-12-2012_9_3'!I3163,"AAAAAH/z9qk=")</f>
        <v>#VALUE!</v>
      </c>
      <c r="FO198" t="e">
        <f>AND('Planilla_General_03-12-2012_9_3'!J3163,"AAAAAH/z9qo=")</f>
        <v>#VALUE!</v>
      </c>
      <c r="FP198" t="e">
        <f>AND('Planilla_General_03-12-2012_9_3'!K3163,"AAAAAH/z9qs=")</f>
        <v>#VALUE!</v>
      </c>
      <c r="FQ198" t="e">
        <f>AND('Planilla_General_03-12-2012_9_3'!L3163,"AAAAAH/z9qw=")</f>
        <v>#VALUE!</v>
      </c>
      <c r="FR198" t="e">
        <f>AND('Planilla_General_03-12-2012_9_3'!M3163,"AAAAAH/z9q0=")</f>
        <v>#VALUE!</v>
      </c>
      <c r="FS198" t="e">
        <f>AND('Planilla_General_03-12-2012_9_3'!N3163,"AAAAAH/z9q4=")</f>
        <v>#VALUE!</v>
      </c>
      <c r="FT198" t="e">
        <f>AND('Planilla_General_03-12-2012_9_3'!O3163,"AAAAAH/z9q8=")</f>
        <v>#VALUE!</v>
      </c>
      <c r="FU198">
        <f>IF('Planilla_General_03-12-2012_9_3'!3164:3164,"AAAAAH/z9rA=",0)</f>
        <v>0</v>
      </c>
      <c r="FV198" t="e">
        <f>AND('Planilla_General_03-12-2012_9_3'!A3164,"AAAAAH/z9rE=")</f>
        <v>#VALUE!</v>
      </c>
      <c r="FW198" t="e">
        <f>AND('Planilla_General_03-12-2012_9_3'!B3164,"AAAAAH/z9rI=")</f>
        <v>#VALUE!</v>
      </c>
      <c r="FX198" t="e">
        <f>AND('Planilla_General_03-12-2012_9_3'!C3164,"AAAAAH/z9rM=")</f>
        <v>#VALUE!</v>
      </c>
      <c r="FY198" t="e">
        <f>AND('Planilla_General_03-12-2012_9_3'!D3164,"AAAAAH/z9rQ=")</f>
        <v>#VALUE!</v>
      </c>
      <c r="FZ198" t="e">
        <f>AND('Planilla_General_03-12-2012_9_3'!E3164,"AAAAAH/z9rU=")</f>
        <v>#VALUE!</v>
      </c>
      <c r="GA198" t="e">
        <f>AND('Planilla_General_03-12-2012_9_3'!F3164,"AAAAAH/z9rY=")</f>
        <v>#VALUE!</v>
      </c>
      <c r="GB198" t="e">
        <f>AND('Planilla_General_03-12-2012_9_3'!G3164,"AAAAAH/z9rc=")</f>
        <v>#VALUE!</v>
      </c>
      <c r="GC198" t="e">
        <f>AND('Planilla_General_03-12-2012_9_3'!H3164,"AAAAAH/z9rg=")</f>
        <v>#VALUE!</v>
      </c>
      <c r="GD198" t="e">
        <f>AND('Planilla_General_03-12-2012_9_3'!I3164,"AAAAAH/z9rk=")</f>
        <v>#VALUE!</v>
      </c>
      <c r="GE198" t="e">
        <f>AND('Planilla_General_03-12-2012_9_3'!J3164,"AAAAAH/z9ro=")</f>
        <v>#VALUE!</v>
      </c>
      <c r="GF198" t="e">
        <f>AND('Planilla_General_03-12-2012_9_3'!K3164,"AAAAAH/z9rs=")</f>
        <v>#VALUE!</v>
      </c>
      <c r="GG198" t="e">
        <f>AND('Planilla_General_03-12-2012_9_3'!L3164,"AAAAAH/z9rw=")</f>
        <v>#VALUE!</v>
      </c>
      <c r="GH198" t="e">
        <f>AND('Planilla_General_03-12-2012_9_3'!M3164,"AAAAAH/z9r0=")</f>
        <v>#VALUE!</v>
      </c>
      <c r="GI198" t="e">
        <f>AND('Planilla_General_03-12-2012_9_3'!N3164,"AAAAAH/z9r4=")</f>
        <v>#VALUE!</v>
      </c>
      <c r="GJ198" t="e">
        <f>AND('Planilla_General_03-12-2012_9_3'!O3164,"AAAAAH/z9r8=")</f>
        <v>#VALUE!</v>
      </c>
      <c r="GK198">
        <f>IF('Planilla_General_03-12-2012_9_3'!3165:3165,"AAAAAH/z9sA=",0)</f>
        <v>0</v>
      </c>
      <c r="GL198" t="e">
        <f>AND('Planilla_General_03-12-2012_9_3'!A3165,"AAAAAH/z9sE=")</f>
        <v>#VALUE!</v>
      </c>
      <c r="GM198" t="e">
        <f>AND('Planilla_General_03-12-2012_9_3'!B3165,"AAAAAH/z9sI=")</f>
        <v>#VALUE!</v>
      </c>
      <c r="GN198" t="e">
        <f>AND('Planilla_General_03-12-2012_9_3'!C3165,"AAAAAH/z9sM=")</f>
        <v>#VALUE!</v>
      </c>
      <c r="GO198" t="e">
        <f>AND('Planilla_General_03-12-2012_9_3'!D3165,"AAAAAH/z9sQ=")</f>
        <v>#VALUE!</v>
      </c>
      <c r="GP198" t="e">
        <f>AND('Planilla_General_03-12-2012_9_3'!E3165,"AAAAAH/z9sU=")</f>
        <v>#VALUE!</v>
      </c>
      <c r="GQ198" t="e">
        <f>AND('Planilla_General_03-12-2012_9_3'!F3165,"AAAAAH/z9sY=")</f>
        <v>#VALUE!</v>
      </c>
      <c r="GR198" t="e">
        <f>AND('Planilla_General_03-12-2012_9_3'!G3165,"AAAAAH/z9sc=")</f>
        <v>#VALUE!</v>
      </c>
      <c r="GS198" t="e">
        <f>AND('Planilla_General_03-12-2012_9_3'!H3165,"AAAAAH/z9sg=")</f>
        <v>#VALUE!</v>
      </c>
      <c r="GT198" t="e">
        <f>AND('Planilla_General_03-12-2012_9_3'!I3165,"AAAAAH/z9sk=")</f>
        <v>#VALUE!</v>
      </c>
      <c r="GU198" t="e">
        <f>AND('Planilla_General_03-12-2012_9_3'!J3165,"AAAAAH/z9so=")</f>
        <v>#VALUE!</v>
      </c>
      <c r="GV198" t="e">
        <f>AND('Planilla_General_03-12-2012_9_3'!K3165,"AAAAAH/z9ss=")</f>
        <v>#VALUE!</v>
      </c>
      <c r="GW198" t="e">
        <f>AND('Planilla_General_03-12-2012_9_3'!L3165,"AAAAAH/z9sw=")</f>
        <v>#VALUE!</v>
      </c>
      <c r="GX198" t="e">
        <f>AND('Planilla_General_03-12-2012_9_3'!M3165,"AAAAAH/z9s0=")</f>
        <v>#VALUE!</v>
      </c>
      <c r="GY198" t="e">
        <f>AND('Planilla_General_03-12-2012_9_3'!N3165,"AAAAAH/z9s4=")</f>
        <v>#VALUE!</v>
      </c>
      <c r="GZ198" t="e">
        <f>AND('Planilla_General_03-12-2012_9_3'!O3165,"AAAAAH/z9s8=")</f>
        <v>#VALUE!</v>
      </c>
      <c r="HA198">
        <f>IF('Planilla_General_03-12-2012_9_3'!3166:3166,"AAAAAH/z9tA=",0)</f>
        <v>0</v>
      </c>
      <c r="HB198" t="e">
        <f>AND('Planilla_General_03-12-2012_9_3'!A3166,"AAAAAH/z9tE=")</f>
        <v>#VALUE!</v>
      </c>
      <c r="HC198" t="e">
        <f>AND('Planilla_General_03-12-2012_9_3'!B3166,"AAAAAH/z9tI=")</f>
        <v>#VALUE!</v>
      </c>
      <c r="HD198" t="e">
        <f>AND('Planilla_General_03-12-2012_9_3'!C3166,"AAAAAH/z9tM=")</f>
        <v>#VALUE!</v>
      </c>
      <c r="HE198" t="e">
        <f>AND('Planilla_General_03-12-2012_9_3'!D3166,"AAAAAH/z9tQ=")</f>
        <v>#VALUE!</v>
      </c>
      <c r="HF198" t="e">
        <f>AND('Planilla_General_03-12-2012_9_3'!E3166,"AAAAAH/z9tU=")</f>
        <v>#VALUE!</v>
      </c>
      <c r="HG198" t="e">
        <f>AND('Planilla_General_03-12-2012_9_3'!F3166,"AAAAAH/z9tY=")</f>
        <v>#VALUE!</v>
      </c>
      <c r="HH198" t="e">
        <f>AND('Planilla_General_03-12-2012_9_3'!G3166,"AAAAAH/z9tc=")</f>
        <v>#VALUE!</v>
      </c>
      <c r="HI198" t="e">
        <f>AND('Planilla_General_03-12-2012_9_3'!H3166,"AAAAAH/z9tg=")</f>
        <v>#VALUE!</v>
      </c>
      <c r="HJ198" t="e">
        <f>AND('Planilla_General_03-12-2012_9_3'!I3166,"AAAAAH/z9tk=")</f>
        <v>#VALUE!</v>
      </c>
      <c r="HK198" t="e">
        <f>AND('Planilla_General_03-12-2012_9_3'!J3166,"AAAAAH/z9to=")</f>
        <v>#VALUE!</v>
      </c>
      <c r="HL198" t="e">
        <f>AND('Planilla_General_03-12-2012_9_3'!K3166,"AAAAAH/z9ts=")</f>
        <v>#VALUE!</v>
      </c>
      <c r="HM198" t="e">
        <f>AND('Planilla_General_03-12-2012_9_3'!L3166,"AAAAAH/z9tw=")</f>
        <v>#VALUE!</v>
      </c>
      <c r="HN198" t="e">
        <f>AND('Planilla_General_03-12-2012_9_3'!M3166,"AAAAAH/z9t0=")</f>
        <v>#VALUE!</v>
      </c>
      <c r="HO198" t="e">
        <f>AND('Planilla_General_03-12-2012_9_3'!N3166,"AAAAAH/z9t4=")</f>
        <v>#VALUE!</v>
      </c>
      <c r="HP198" t="e">
        <f>AND('Planilla_General_03-12-2012_9_3'!O3166,"AAAAAH/z9t8=")</f>
        <v>#VALUE!</v>
      </c>
      <c r="HQ198">
        <f>IF('Planilla_General_03-12-2012_9_3'!3167:3167,"AAAAAH/z9uA=",0)</f>
        <v>0</v>
      </c>
      <c r="HR198" t="e">
        <f>AND('Planilla_General_03-12-2012_9_3'!A3167,"AAAAAH/z9uE=")</f>
        <v>#VALUE!</v>
      </c>
      <c r="HS198" t="e">
        <f>AND('Planilla_General_03-12-2012_9_3'!B3167,"AAAAAH/z9uI=")</f>
        <v>#VALUE!</v>
      </c>
      <c r="HT198" t="e">
        <f>AND('Planilla_General_03-12-2012_9_3'!C3167,"AAAAAH/z9uM=")</f>
        <v>#VALUE!</v>
      </c>
      <c r="HU198" t="e">
        <f>AND('Planilla_General_03-12-2012_9_3'!D3167,"AAAAAH/z9uQ=")</f>
        <v>#VALUE!</v>
      </c>
      <c r="HV198" t="e">
        <f>AND('Planilla_General_03-12-2012_9_3'!E3167,"AAAAAH/z9uU=")</f>
        <v>#VALUE!</v>
      </c>
      <c r="HW198" t="e">
        <f>AND('Planilla_General_03-12-2012_9_3'!F3167,"AAAAAH/z9uY=")</f>
        <v>#VALUE!</v>
      </c>
      <c r="HX198" t="e">
        <f>AND('Planilla_General_03-12-2012_9_3'!G3167,"AAAAAH/z9uc=")</f>
        <v>#VALUE!</v>
      </c>
      <c r="HY198" t="e">
        <f>AND('Planilla_General_03-12-2012_9_3'!H3167,"AAAAAH/z9ug=")</f>
        <v>#VALUE!</v>
      </c>
      <c r="HZ198" t="e">
        <f>AND('Planilla_General_03-12-2012_9_3'!I3167,"AAAAAH/z9uk=")</f>
        <v>#VALUE!</v>
      </c>
      <c r="IA198" t="e">
        <f>AND('Planilla_General_03-12-2012_9_3'!J3167,"AAAAAH/z9uo=")</f>
        <v>#VALUE!</v>
      </c>
      <c r="IB198" t="e">
        <f>AND('Planilla_General_03-12-2012_9_3'!K3167,"AAAAAH/z9us=")</f>
        <v>#VALUE!</v>
      </c>
      <c r="IC198" t="e">
        <f>AND('Planilla_General_03-12-2012_9_3'!L3167,"AAAAAH/z9uw=")</f>
        <v>#VALUE!</v>
      </c>
      <c r="ID198" t="e">
        <f>AND('Planilla_General_03-12-2012_9_3'!M3167,"AAAAAH/z9u0=")</f>
        <v>#VALUE!</v>
      </c>
      <c r="IE198" t="e">
        <f>AND('Planilla_General_03-12-2012_9_3'!N3167,"AAAAAH/z9u4=")</f>
        <v>#VALUE!</v>
      </c>
      <c r="IF198" t="e">
        <f>AND('Planilla_General_03-12-2012_9_3'!O3167,"AAAAAH/z9u8=")</f>
        <v>#VALUE!</v>
      </c>
      <c r="IG198">
        <f>IF('Planilla_General_03-12-2012_9_3'!3168:3168,"AAAAAH/z9vA=",0)</f>
        <v>0</v>
      </c>
      <c r="IH198" t="e">
        <f>AND('Planilla_General_03-12-2012_9_3'!A3168,"AAAAAH/z9vE=")</f>
        <v>#VALUE!</v>
      </c>
      <c r="II198" t="e">
        <f>AND('Planilla_General_03-12-2012_9_3'!B3168,"AAAAAH/z9vI=")</f>
        <v>#VALUE!</v>
      </c>
      <c r="IJ198" t="e">
        <f>AND('Planilla_General_03-12-2012_9_3'!C3168,"AAAAAH/z9vM=")</f>
        <v>#VALUE!</v>
      </c>
      <c r="IK198" t="e">
        <f>AND('Planilla_General_03-12-2012_9_3'!D3168,"AAAAAH/z9vQ=")</f>
        <v>#VALUE!</v>
      </c>
      <c r="IL198" t="e">
        <f>AND('Planilla_General_03-12-2012_9_3'!E3168,"AAAAAH/z9vU=")</f>
        <v>#VALUE!</v>
      </c>
      <c r="IM198" t="e">
        <f>AND('Planilla_General_03-12-2012_9_3'!F3168,"AAAAAH/z9vY=")</f>
        <v>#VALUE!</v>
      </c>
      <c r="IN198" t="e">
        <f>AND('Planilla_General_03-12-2012_9_3'!G3168,"AAAAAH/z9vc=")</f>
        <v>#VALUE!</v>
      </c>
      <c r="IO198" t="e">
        <f>AND('Planilla_General_03-12-2012_9_3'!H3168,"AAAAAH/z9vg=")</f>
        <v>#VALUE!</v>
      </c>
      <c r="IP198" t="e">
        <f>AND('Planilla_General_03-12-2012_9_3'!I3168,"AAAAAH/z9vk=")</f>
        <v>#VALUE!</v>
      </c>
      <c r="IQ198" t="e">
        <f>AND('Planilla_General_03-12-2012_9_3'!J3168,"AAAAAH/z9vo=")</f>
        <v>#VALUE!</v>
      </c>
      <c r="IR198" t="e">
        <f>AND('Planilla_General_03-12-2012_9_3'!K3168,"AAAAAH/z9vs=")</f>
        <v>#VALUE!</v>
      </c>
      <c r="IS198" t="e">
        <f>AND('Planilla_General_03-12-2012_9_3'!L3168,"AAAAAH/z9vw=")</f>
        <v>#VALUE!</v>
      </c>
      <c r="IT198" t="e">
        <f>AND('Planilla_General_03-12-2012_9_3'!M3168,"AAAAAH/z9v0=")</f>
        <v>#VALUE!</v>
      </c>
      <c r="IU198" t="e">
        <f>AND('Planilla_General_03-12-2012_9_3'!N3168,"AAAAAH/z9v4=")</f>
        <v>#VALUE!</v>
      </c>
      <c r="IV198" t="e">
        <f>AND('Planilla_General_03-12-2012_9_3'!O3168,"AAAAAH/z9v8=")</f>
        <v>#VALUE!</v>
      </c>
    </row>
    <row r="199" spans="1:256" x14ac:dyDescent="0.25">
      <c r="A199" t="e">
        <f>IF('Planilla_General_03-12-2012_9_3'!3169:3169,"AAAAAE+/LwA=",0)</f>
        <v>#VALUE!</v>
      </c>
      <c r="B199" t="e">
        <f>AND('Planilla_General_03-12-2012_9_3'!A3169,"AAAAAE+/LwE=")</f>
        <v>#VALUE!</v>
      </c>
      <c r="C199" t="e">
        <f>AND('Planilla_General_03-12-2012_9_3'!B3169,"AAAAAE+/LwI=")</f>
        <v>#VALUE!</v>
      </c>
      <c r="D199" t="e">
        <f>AND('Planilla_General_03-12-2012_9_3'!C3169,"AAAAAE+/LwM=")</f>
        <v>#VALUE!</v>
      </c>
      <c r="E199" t="e">
        <f>AND('Planilla_General_03-12-2012_9_3'!D3169,"AAAAAE+/LwQ=")</f>
        <v>#VALUE!</v>
      </c>
      <c r="F199" t="e">
        <f>AND('Planilla_General_03-12-2012_9_3'!E3169,"AAAAAE+/LwU=")</f>
        <v>#VALUE!</v>
      </c>
      <c r="G199" t="e">
        <f>AND('Planilla_General_03-12-2012_9_3'!F3169,"AAAAAE+/LwY=")</f>
        <v>#VALUE!</v>
      </c>
      <c r="H199" t="e">
        <f>AND('Planilla_General_03-12-2012_9_3'!G3169,"AAAAAE+/Lwc=")</f>
        <v>#VALUE!</v>
      </c>
      <c r="I199" t="e">
        <f>AND('Planilla_General_03-12-2012_9_3'!H3169,"AAAAAE+/Lwg=")</f>
        <v>#VALUE!</v>
      </c>
      <c r="J199" t="e">
        <f>AND('Planilla_General_03-12-2012_9_3'!I3169,"AAAAAE+/Lwk=")</f>
        <v>#VALUE!</v>
      </c>
      <c r="K199" t="e">
        <f>AND('Planilla_General_03-12-2012_9_3'!J3169,"AAAAAE+/Lwo=")</f>
        <v>#VALUE!</v>
      </c>
      <c r="L199" t="e">
        <f>AND('Planilla_General_03-12-2012_9_3'!K3169,"AAAAAE+/Lws=")</f>
        <v>#VALUE!</v>
      </c>
      <c r="M199" t="e">
        <f>AND('Planilla_General_03-12-2012_9_3'!L3169,"AAAAAE+/Lww=")</f>
        <v>#VALUE!</v>
      </c>
      <c r="N199" t="e">
        <f>AND('Planilla_General_03-12-2012_9_3'!M3169,"AAAAAE+/Lw0=")</f>
        <v>#VALUE!</v>
      </c>
      <c r="O199" t="e">
        <f>AND('Planilla_General_03-12-2012_9_3'!N3169,"AAAAAE+/Lw4=")</f>
        <v>#VALUE!</v>
      </c>
      <c r="P199" t="e">
        <f>AND('Planilla_General_03-12-2012_9_3'!O3169,"AAAAAE+/Lw8=")</f>
        <v>#VALUE!</v>
      </c>
      <c r="Q199">
        <f>IF('Planilla_General_03-12-2012_9_3'!3170:3170,"AAAAAE+/LxA=",0)</f>
        <v>0</v>
      </c>
      <c r="R199" t="e">
        <f>AND('Planilla_General_03-12-2012_9_3'!A3170,"AAAAAE+/LxE=")</f>
        <v>#VALUE!</v>
      </c>
      <c r="S199" t="e">
        <f>AND('Planilla_General_03-12-2012_9_3'!B3170,"AAAAAE+/LxI=")</f>
        <v>#VALUE!</v>
      </c>
      <c r="T199" t="e">
        <f>AND('Planilla_General_03-12-2012_9_3'!C3170,"AAAAAE+/LxM=")</f>
        <v>#VALUE!</v>
      </c>
      <c r="U199" t="e">
        <f>AND('Planilla_General_03-12-2012_9_3'!D3170,"AAAAAE+/LxQ=")</f>
        <v>#VALUE!</v>
      </c>
      <c r="V199" t="e">
        <f>AND('Planilla_General_03-12-2012_9_3'!E3170,"AAAAAE+/LxU=")</f>
        <v>#VALUE!</v>
      </c>
      <c r="W199" t="e">
        <f>AND('Planilla_General_03-12-2012_9_3'!F3170,"AAAAAE+/LxY=")</f>
        <v>#VALUE!</v>
      </c>
      <c r="X199" t="e">
        <f>AND('Planilla_General_03-12-2012_9_3'!G3170,"AAAAAE+/Lxc=")</f>
        <v>#VALUE!</v>
      </c>
      <c r="Y199" t="e">
        <f>AND('Planilla_General_03-12-2012_9_3'!H3170,"AAAAAE+/Lxg=")</f>
        <v>#VALUE!</v>
      </c>
      <c r="Z199" t="e">
        <f>AND('Planilla_General_03-12-2012_9_3'!I3170,"AAAAAE+/Lxk=")</f>
        <v>#VALUE!</v>
      </c>
      <c r="AA199" t="e">
        <f>AND('Planilla_General_03-12-2012_9_3'!J3170,"AAAAAE+/Lxo=")</f>
        <v>#VALUE!</v>
      </c>
      <c r="AB199" t="e">
        <f>AND('Planilla_General_03-12-2012_9_3'!K3170,"AAAAAE+/Lxs=")</f>
        <v>#VALUE!</v>
      </c>
      <c r="AC199" t="e">
        <f>AND('Planilla_General_03-12-2012_9_3'!L3170,"AAAAAE+/Lxw=")</f>
        <v>#VALUE!</v>
      </c>
      <c r="AD199" t="e">
        <f>AND('Planilla_General_03-12-2012_9_3'!M3170,"AAAAAE+/Lx0=")</f>
        <v>#VALUE!</v>
      </c>
      <c r="AE199" t="e">
        <f>AND('Planilla_General_03-12-2012_9_3'!N3170,"AAAAAE+/Lx4=")</f>
        <v>#VALUE!</v>
      </c>
      <c r="AF199" t="e">
        <f>AND('Planilla_General_03-12-2012_9_3'!O3170,"AAAAAE+/Lx8=")</f>
        <v>#VALUE!</v>
      </c>
      <c r="AG199">
        <f>IF('Planilla_General_03-12-2012_9_3'!3171:3171,"AAAAAE+/LyA=",0)</f>
        <v>0</v>
      </c>
      <c r="AH199" t="e">
        <f>AND('Planilla_General_03-12-2012_9_3'!A3171,"AAAAAE+/LyE=")</f>
        <v>#VALUE!</v>
      </c>
      <c r="AI199" t="e">
        <f>AND('Planilla_General_03-12-2012_9_3'!B3171,"AAAAAE+/LyI=")</f>
        <v>#VALUE!</v>
      </c>
      <c r="AJ199" t="e">
        <f>AND('Planilla_General_03-12-2012_9_3'!C3171,"AAAAAE+/LyM=")</f>
        <v>#VALUE!</v>
      </c>
      <c r="AK199" t="e">
        <f>AND('Planilla_General_03-12-2012_9_3'!D3171,"AAAAAE+/LyQ=")</f>
        <v>#VALUE!</v>
      </c>
      <c r="AL199" t="e">
        <f>AND('Planilla_General_03-12-2012_9_3'!E3171,"AAAAAE+/LyU=")</f>
        <v>#VALUE!</v>
      </c>
      <c r="AM199" t="e">
        <f>AND('Planilla_General_03-12-2012_9_3'!F3171,"AAAAAE+/LyY=")</f>
        <v>#VALUE!</v>
      </c>
      <c r="AN199" t="e">
        <f>AND('Planilla_General_03-12-2012_9_3'!G3171,"AAAAAE+/Lyc=")</f>
        <v>#VALUE!</v>
      </c>
      <c r="AO199" t="e">
        <f>AND('Planilla_General_03-12-2012_9_3'!H3171,"AAAAAE+/Lyg=")</f>
        <v>#VALUE!</v>
      </c>
      <c r="AP199" t="e">
        <f>AND('Planilla_General_03-12-2012_9_3'!I3171,"AAAAAE+/Lyk=")</f>
        <v>#VALUE!</v>
      </c>
      <c r="AQ199" t="e">
        <f>AND('Planilla_General_03-12-2012_9_3'!J3171,"AAAAAE+/Lyo=")</f>
        <v>#VALUE!</v>
      </c>
      <c r="AR199" t="e">
        <f>AND('Planilla_General_03-12-2012_9_3'!K3171,"AAAAAE+/Lys=")</f>
        <v>#VALUE!</v>
      </c>
      <c r="AS199" t="e">
        <f>AND('Planilla_General_03-12-2012_9_3'!L3171,"AAAAAE+/Lyw=")</f>
        <v>#VALUE!</v>
      </c>
      <c r="AT199" t="e">
        <f>AND('Planilla_General_03-12-2012_9_3'!M3171,"AAAAAE+/Ly0=")</f>
        <v>#VALUE!</v>
      </c>
      <c r="AU199" t="e">
        <f>AND('Planilla_General_03-12-2012_9_3'!N3171,"AAAAAE+/Ly4=")</f>
        <v>#VALUE!</v>
      </c>
      <c r="AV199" t="e">
        <f>AND('Planilla_General_03-12-2012_9_3'!O3171,"AAAAAE+/Ly8=")</f>
        <v>#VALUE!</v>
      </c>
      <c r="AW199">
        <f>IF('Planilla_General_03-12-2012_9_3'!3172:3172,"AAAAAE+/LzA=",0)</f>
        <v>0</v>
      </c>
      <c r="AX199" t="e">
        <f>AND('Planilla_General_03-12-2012_9_3'!A3172,"AAAAAE+/LzE=")</f>
        <v>#VALUE!</v>
      </c>
      <c r="AY199" t="e">
        <f>AND('Planilla_General_03-12-2012_9_3'!B3172,"AAAAAE+/LzI=")</f>
        <v>#VALUE!</v>
      </c>
      <c r="AZ199" t="e">
        <f>AND('Planilla_General_03-12-2012_9_3'!C3172,"AAAAAE+/LzM=")</f>
        <v>#VALUE!</v>
      </c>
      <c r="BA199" t="e">
        <f>AND('Planilla_General_03-12-2012_9_3'!D3172,"AAAAAE+/LzQ=")</f>
        <v>#VALUE!</v>
      </c>
      <c r="BB199" t="e">
        <f>AND('Planilla_General_03-12-2012_9_3'!E3172,"AAAAAE+/LzU=")</f>
        <v>#VALUE!</v>
      </c>
      <c r="BC199" t="e">
        <f>AND('Planilla_General_03-12-2012_9_3'!F3172,"AAAAAE+/LzY=")</f>
        <v>#VALUE!</v>
      </c>
      <c r="BD199" t="e">
        <f>AND('Planilla_General_03-12-2012_9_3'!G3172,"AAAAAE+/Lzc=")</f>
        <v>#VALUE!</v>
      </c>
      <c r="BE199" t="e">
        <f>AND('Planilla_General_03-12-2012_9_3'!H3172,"AAAAAE+/Lzg=")</f>
        <v>#VALUE!</v>
      </c>
      <c r="BF199" t="e">
        <f>AND('Planilla_General_03-12-2012_9_3'!I3172,"AAAAAE+/Lzk=")</f>
        <v>#VALUE!</v>
      </c>
      <c r="BG199" t="e">
        <f>AND('Planilla_General_03-12-2012_9_3'!J3172,"AAAAAE+/Lzo=")</f>
        <v>#VALUE!</v>
      </c>
      <c r="BH199" t="e">
        <f>AND('Planilla_General_03-12-2012_9_3'!K3172,"AAAAAE+/Lzs=")</f>
        <v>#VALUE!</v>
      </c>
      <c r="BI199" t="e">
        <f>AND('Planilla_General_03-12-2012_9_3'!L3172,"AAAAAE+/Lzw=")</f>
        <v>#VALUE!</v>
      </c>
      <c r="BJ199" t="e">
        <f>AND('Planilla_General_03-12-2012_9_3'!M3172,"AAAAAE+/Lz0=")</f>
        <v>#VALUE!</v>
      </c>
      <c r="BK199" t="e">
        <f>AND('Planilla_General_03-12-2012_9_3'!N3172,"AAAAAE+/Lz4=")</f>
        <v>#VALUE!</v>
      </c>
      <c r="BL199" t="e">
        <f>AND('Planilla_General_03-12-2012_9_3'!O3172,"AAAAAE+/Lz8=")</f>
        <v>#VALUE!</v>
      </c>
      <c r="BM199">
        <f>IF('Planilla_General_03-12-2012_9_3'!3173:3173,"AAAAAE+/L0A=",0)</f>
        <v>0</v>
      </c>
      <c r="BN199" t="e">
        <f>AND('Planilla_General_03-12-2012_9_3'!A3173,"AAAAAE+/L0E=")</f>
        <v>#VALUE!</v>
      </c>
      <c r="BO199" t="e">
        <f>AND('Planilla_General_03-12-2012_9_3'!B3173,"AAAAAE+/L0I=")</f>
        <v>#VALUE!</v>
      </c>
      <c r="BP199" t="e">
        <f>AND('Planilla_General_03-12-2012_9_3'!C3173,"AAAAAE+/L0M=")</f>
        <v>#VALUE!</v>
      </c>
      <c r="BQ199" t="e">
        <f>AND('Planilla_General_03-12-2012_9_3'!D3173,"AAAAAE+/L0Q=")</f>
        <v>#VALUE!</v>
      </c>
      <c r="BR199" t="e">
        <f>AND('Planilla_General_03-12-2012_9_3'!E3173,"AAAAAE+/L0U=")</f>
        <v>#VALUE!</v>
      </c>
      <c r="BS199" t="e">
        <f>AND('Planilla_General_03-12-2012_9_3'!F3173,"AAAAAE+/L0Y=")</f>
        <v>#VALUE!</v>
      </c>
      <c r="BT199" t="e">
        <f>AND('Planilla_General_03-12-2012_9_3'!G3173,"AAAAAE+/L0c=")</f>
        <v>#VALUE!</v>
      </c>
      <c r="BU199" t="e">
        <f>AND('Planilla_General_03-12-2012_9_3'!H3173,"AAAAAE+/L0g=")</f>
        <v>#VALUE!</v>
      </c>
      <c r="BV199" t="e">
        <f>AND('Planilla_General_03-12-2012_9_3'!I3173,"AAAAAE+/L0k=")</f>
        <v>#VALUE!</v>
      </c>
      <c r="BW199" t="e">
        <f>AND('Planilla_General_03-12-2012_9_3'!J3173,"AAAAAE+/L0o=")</f>
        <v>#VALUE!</v>
      </c>
      <c r="BX199" t="e">
        <f>AND('Planilla_General_03-12-2012_9_3'!K3173,"AAAAAE+/L0s=")</f>
        <v>#VALUE!</v>
      </c>
      <c r="BY199" t="e">
        <f>AND('Planilla_General_03-12-2012_9_3'!L3173,"AAAAAE+/L0w=")</f>
        <v>#VALUE!</v>
      </c>
      <c r="BZ199" t="e">
        <f>AND('Planilla_General_03-12-2012_9_3'!M3173,"AAAAAE+/L00=")</f>
        <v>#VALUE!</v>
      </c>
      <c r="CA199" t="e">
        <f>AND('Planilla_General_03-12-2012_9_3'!N3173,"AAAAAE+/L04=")</f>
        <v>#VALUE!</v>
      </c>
      <c r="CB199" t="e">
        <f>AND('Planilla_General_03-12-2012_9_3'!O3173,"AAAAAE+/L08=")</f>
        <v>#VALUE!</v>
      </c>
      <c r="CC199">
        <f>IF('Planilla_General_03-12-2012_9_3'!3174:3174,"AAAAAE+/L1A=",0)</f>
        <v>0</v>
      </c>
      <c r="CD199" t="e">
        <f>AND('Planilla_General_03-12-2012_9_3'!A3174,"AAAAAE+/L1E=")</f>
        <v>#VALUE!</v>
      </c>
      <c r="CE199" t="e">
        <f>AND('Planilla_General_03-12-2012_9_3'!B3174,"AAAAAE+/L1I=")</f>
        <v>#VALUE!</v>
      </c>
      <c r="CF199" t="e">
        <f>AND('Planilla_General_03-12-2012_9_3'!C3174,"AAAAAE+/L1M=")</f>
        <v>#VALUE!</v>
      </c>
      <c r="CG199" t="e">
        <f>AND('Planilla_General_03-12-2012_9_3'!D3174,"AAAAAE+/L1Q=")</f>
        <v>#VALUE!</v>
      </c>
      <c r="CH199" t="e">
        <f>AND('Planilla_General_03-12-2012_9_3'!E3174,"AAAAAE+/L1U=")</f>
        <v>#VALUE!</v>
      </c>
      <c r="CI199" t="e">
        <f>AND('Planilla_General_03-12-2012_9_3'!F3174,"AAAAAE+/L1Y=")</f>
        <v>#VALUE!</v>
      </c>
      <c r="CJ199" t="e">
        <f>AND('Planilla_General_03-12-2012_9_3'!G3174,"AAAAAE+/L1c=")</f>
        <v>#VALUE!</v>
      </c>
      <c r="CK199" t="e">
        <f>AND('Planilla_General_03-12-2012_9_3'!H3174,"AAAAAE+/L1g=")</f>
        <v>#VALUE!</v>
      </c>
      <c r="CL199" t="e">
        <f>AND('Planilla_General_03-12-2012_9_3'!I3174,"AAAAAE+/L1k=")</f>
        <v>#VALUE!</v>
      </c>
      <c r="CM199" t="e">
        <f>AND('Planilla_General_03-12-2012_9_3'!J3174,"AAAAAE+/L1o=")</f>
        <v>#VALUE!</v>
      </c>
      <c r="CN199" t="e">
        <f>AND('Planilla_General_03-12-2012_9_3'!K3174,"AAAAAE+/L1s=")</f>
        <v>#VALUE!</v>
      </c>
      <c r="CO199" t="e">
        <f>AND('Planilla_General_03-12-2012_9_3'!L3174,"AAAAAE+/L1w=")</f>
        <v>#VALUE!</v>
      </c>
      <c r="CP199" t="e">
        <f>AND('Planilla_General_03-12-2012_9_3'!M3174,"AAAAAE+/L10=")</f>
        <v>#VALUE!</v>
      </c>
      <c r="CQ199" t="e">
        <f>AND('Planilla_General_03-12-2012_9_3'!N3174,"AAAAAE+/L14=")</f>
        <v>#VALUE!</v>
      </c>
      <c r="CR199" t="e">
        <f>AND('Planilla_General_03-12-2012_9_3'!O3174,"AAAAAE+/L18=")</f>
        <v>#VALUE!</v>
      </c>
      <c r="CS199">
        <f>IF('Planilla_General_03-12-2012_9_3'!3175:3175,"AAAAAE+/L2A=",0)</f>
        <v>0</v>
      </c>
      <c r="CT199" t="e">
        <f>AND('Planilla_General_03-12-2012_9_3'!A3175,"AAAAAE+/L2E=")</f>
        <v>#VALUE!</v>
      </c>
      <c r="CU199" t="e">
        <f>AND('Planilla_General_03-12-2012_9_3'!B3175,"AAAAAE+/L2I=")</f>
        <v>#VALUE!</v>
      </c>
      <c r="CV199" t="e">
        <f>AND('Planilla_General_03-12-2012_9_3'!C3175,"AAAAAE+/L2M=")</f>
        <v>#VALUE!</v>
      </c>
      <c r="CW199" t="e">
        <f>AND('Planilla_General_03-12-2012_9_3'!D3175,"AAAAAE+/L2Q=")</f>
        <v>#VALUE!</v>
      </c>
      <c r="CX199" t="e">
        <f>AND('Planilla_General_03-12-2012_9_3'!E3175,"AAAAAE+/L2U=")</f>
        <v>#VALUE!</v>
      </c>
      <c r="CY199" t="e">
        <f>AND('Planilla_General_03-12-2012_9_3'!F3175,"AAAAAE+/L2Y=")</f>
        <v>#VALUE!</v>
      </c>
      <c r="CZ199" t="e">
        <f>AND('Planilla_General_03-12-2012_9_3'!G3175,"AAAAAE+/L2c=")</f>
        <v>#VALUE!</v>
      </c>
      <c r="DA199" t="e">
        <f>AND('Planilla_General_03-12-2012_9_3'!H3175,"AAAAAE+/L2g=")</f>
        <v>#VALUE!</v>
      </c>
      <c r="DB199" t="e">
        <f>AND('Planilla_General_03-12-2012_9_3'!I3175,"AAAAAE+/L2k=")</f>
        <v>#VALUE!</v>
      </c>
      <c r="DC199" t="e">
        <f>AND('Planilla_General_03-12-2012_9_3'!J3175,"AAAAAE+/L2o=")</f>
        <v>#VALUE!</v>
      </c>
      <c r="DD199" t="e">
        <f>AND('Planilla_General_03-12-2012_9_3'!K3175,"AAAAAE+/L2s=")</f>
        <v>#VALUE!</v>
      </c>
      <c r="DE199" t="e">
        <f>AND('Planilla_General_03-12-2012_9_3'!L3175,"AAAAAE+/L2w=")</f>
        <v>#VALUE!</v>
      </c>
      <c r="DF199" t="e">
        <f>AND('Planilla_General_03-12-2012_9_3'!M3175,"AAAAAE+/L20=")</f>
        <v>#VALUE!</v>
      </c>
      <c r="DG199" t="e">
        <f>AND('Planilla_General_03-12-2012_9_3'!N3175,"AAAAAE+/L24=")</f>
        <v>#VALUE!</v>
      </c>
      <c r="DH199" t="e">
        <f>AND('Planilla_General_03-12-2012_9_3'!O3175,"AAAAAE+/L28=")</f>
        <v>#VALUE!</v>
      </c>
      <c r="DI199">
        <f>IF('Planilla_General_03-12-2012_9_3'!3176:3176,"AAAAAE+/L3A=",0)</f>
        <v>0</v>
      </c>
      <c r="DJ199" t="e">
        <f>AND('Planilla_General_03-12-2012_9_3'!A3176,"AAAAAE+/L3E=")</f>
        <v>#VALUE!</v>
      </c>
      <c r="DK199" t="e">
        <f>AND('Planilla_General_03-12-2012_9_3'!B3176,"AAAAAE+/L3I=")</f>
        <v>#VALUE!</v>
      </c>
      <c r="DL199" t="e">
        <f>AND('Planilla_General_03-12-2012_9_3'!C3176,"AAAAAE+/L3M=")</f>
        <v>#VALUE!</v>
      </c>
      <c r="DM199" t="e">
        <f>AND('Planilla_General_03-12-2012_9_3'!D3176,"AAAAAE+/L3Q=")</f>
        <v>#VALUE!</v>
      </c>
      <c r="DN199" t="e">
        <f>AND('Planilla_General_03-12-2012_9_3'!E3176,"AAAAAE+/L3U=")</f>
        <v>#VALUE!</v>
      </c>
      <c r="DO199" t="e">
        <f>AND('Planilla_General_03-12-2012_9_3'!F3176,"AAAAAE+/L3Y=")</f>
        <v>#VALUE!</v>
      </c>
      <c r="DP199" t="e">
        <f>AND('Planilla_General_03-12-2012_9_3'!G3176,"AAAAAE+/L3c=")</f>
        <v>#VALUE!</v>
      </c>
      <c r="DQ199" t="e">
        <f>AND('Planilla_General_03-12-2012_9_3'!H3176,"AAAAAE+/L3g=")</f>
        <v>#VALUE!</v>
      </c>
      <c r="DR199" t="e">
        <f>AND('Planilla_General_03-12-2012_9_3'!I3176,"AAAAAE+/L3k=")</f>
        <v>#VALUE!</v>
      </c>
      <c r="DS199" t="e">
        <f>AND('Planilla_General_03-12-2012_9_3'!J3176,"AAAAAE+/L3o=")</f>
        <v>#VALUE!</v>
      </c>
      <c r="DT199" t="e">
        <f>AND('Planilla_General_03-12-2012_9_3'!K3176,"AAAAAE+/L3s=")</f>
        <v>#VALUE!</v>
      </c>
      <c r="DU199" t="e">
        <f>AND('Planilla_General_03-12-2012_9_3'!L3176,"AAAAAE+/L3w=")</f>
        <v>#VALUE!</v>
      </c>
      <c r="DV199" t="e">
        <f>AND('Planilla_General_03-12-2012_9_3'!M3176,"AAAAAE+/L30=")</f>
        <v>#VALUE!</v>
      </c>
      <c r="DW199" t="e">
        <f>AND('Planilla_General_03-12-2012_9_3'!N3176,"AAAAAE+/L34=")</f>
        <v>#VALUE!</v>
      </c>
      <c r="DX199" t="e">
        <f>AND('Planilla_General_03-12-2012_9_3'!O3176,"AAAAAE+/L38=")</f>
        <v>#VALUE!</v>
      </c>
      <c r="DY199">
        <f>IF('Planilla_General_03-12-2012_9_3'!3177:3177,"AAAAAE+/L4A=",0)</f>
        <v>0</v>
      </c>
      <c r="DZ199" t="e">
        <f>AND('Planilla_General_03-12-2012_9_3'!A3177,"AAAAAE+/L4E=")</f>
        <v>#VALUE!</v>
      </c>
      <c r="EA199" t="e">
        <f>AND('Planilla_General_03-12-2012_9_3'!B3177,"AAAAAE+/L4I=")</f>
        <v>#VALUE!</v>
      </c>
      <c r="EB199" t="e">
        <f>AND('Planilla_General_03-12-2012_9_3'!C3177,"AAAAAE+/L4M=")</f>
        <v>#VALUE!</v>
      </c>
      <c r="EC199" t="e">
        <f>AND('Planilla_General_03-12-2012_9_3'!D3177,"AAAAAE+/L4Q=")</f>
        <v>#VALUE!</v>
      </c>
      <c r="ED199" t="e">
        <f>AND('Planilla_General_03-12-2012_9_3'!E3177,"AAAAAE+/L4U=")</f>
        <v>#VALUE!</v>
      </c>
      <c r="EE199" t="e">
        <f>AND('Planilla_General_03-12-2012_9_3'!F3177,"AAAAAE+/L4Y=")</f>
        <v>#VALUE!</v>
      </c>
      <c r="EF199" t="e">
        <f>AND('Planilla_General_03-12-2012_9_3'!G3177,"AAAAAE+/L4c=")</f>
        <v>#VALUE!</v>
      </c>
      <c r="EG199" t="e">
        <f>AND('Planilla_General_03-12-2012_9_3'!H3177,"AAAAAE+/L4g=")</f>
        <v>#VALUE!</v>
      </c>
      <c r="EH199" t="e">
        <f>AND('Planilla_General_03-12-2012_9_3'!I3177,"AAAAAE+/L4k=")</f>
        <v>#VALUE!</v>
      </c>
      <c r="EI199" t="e">
        <f>AND('Planilla_General_03-12-2012_9_3'!J3177,"AAAAAE+/L4o=")</f>
        <v>#VALUE!</v>
      </c>
      <c r="EJ199" t="e">
        <f>AND('Planilla_General_03-12-2012_9_3'!K3177,"AAAAAE+/L4s=")</f>
        <v>#VALUE!</v>
      </c>
      <c r="EK199" t="e">
        <f>AND('Planilla_General_03-12-2012_9_3'!L3177,"AAAAAE+/L4w=")</f>
        <v>#VALUE!</v>
      </c>
      <c r="EL199" t="e">
        <f>AND('Planilla_General_03-12-2012_9_3'!M3177,"AAAAAE+/L40=")</f>
        <v>#VALUE!</v>
      </c>
      <c r="EM199" t="e">
        <f>AND('Planilla_General_03-12-2012_9_3'!N3177,"AAAAAE+/L44=")</f>
        <v>#VALUE!</v>
      </c>
      <c r="EN199" t="e">
        <f>AND('Planilla_General_03-12-2012_9_3'!O3177,"AAAAAE+/L48=")</f>
        <v>#VALUE!</v>
      </c>
      <c r="EO199">
        <f>IF('Planilla_General_03-12-2012_9_3'!3178:3178,"AAAAAE+/L5A=",0)</f>
        <v>0</v>
      </c>
      <c r="EP199" t="e">
        <f>AND('Planilla_General_03-12-2012_9_3'!A3178,"AAAAAE+/L5E=")</f>
        <v>#VALUE!</v>
      </c>
      <c r="EQ199" t="e">
        <f>AND('Planilla_General_03-12-2012_9_3'!B3178,"AAAAAE+/L5I=")</f>
        <v>#VALUE!</v>
      </c>
      <c r="ER199" t="e">
        <f>AND('Planilla_General_03-12-2012_9_3'!C3178,"AAAAAE+/L5M=")</f>
        <v>#VALUE!</v>
      </c>
      <c r="ES199" t="e">
        <f>AND('Planilla_General_03-12-2012_9_3'!D3178,"AAAAAE+/L5Q=")</f>
        <v>#VALUE!</v>
      </c>
      <c r="ET199" t="e">
        <f>AND('Planilla_General_03-12-2012_9_3'!E3178,"AAAAAE+/L5U=")</f>
        <v>#VALUE!</v>
      </c>
      <c r="EU199" t="e">
        <f>AND('Planilla_General_03-12-2012_9_3'!F3178,"AAAAAE+/L5Y=")</f>
        <v>#VALUE!</v>
      </c>
      <c r="EV199" t="e">
        <f>AND('Planilla_General_03-12-2012_9_3'!G3178,"AAAAAE+/L5c=")</f>
        <v>#VALUE!</v>
      </c>
      <c r="EW199" t="e">
        <f>AND('Planilla_General_03-12-2012_9_3'!H3178,"AAAAAE+/L5g=")</f>
        <v>#VALUE!</v>
      </c>
      <c r="EX199" t="e">
        <f>AND('Planilla_General_03-12-2012_9_3'!I3178,"AAAAAE+/L5k=")</f>
        <v>#VALUE!</v>
      </c>
      <c r="EY199" t="e">
        <f>AND('Planilla_General_03-12-2012_9_3'!J3178,"AAAAAE+/L5o=")</f>
        <v>#VALUE!</v>
      </c>
      <c r="EZ199" t="e">
        <f>AND('Planilla_General_03-12-2012_9_3'!K3178,"AAAAAE+/L5s=")</f>
        <v>#VALUE!</v>
      </c>
      <c r="FA199" t="e">
        <f>AND('Planilla_General_03-12-2012_9_3'!L3178,"AAAAAE+/L5w=")</f>
        <v>#VALUE!</v>
      </c>
      <c r="FB199" t="e">
        <f>AND('Planilla_General_03-12-2012_9_3'!M3178,"AAAAAE+/L50=")</f>
        <v>#VALUE!</v>
      </c>
      <c r="FC199" t="e">
        <f>AND('Planilla_General_03-12-2012_9_3'!N3178,"AAAAAE+/L54=")</f>
        <v>#VALUE!</v>
      </c>
      <c r="FD199" t="e">
        <f>AND('Planilla_General_03-12-2012_9_3'!O3178,"AAAAAE+/L58=")</f>
        <v>#VALUE!</v>
      </c>
      <c r="FE199">
        <f>IF('Planilla_General_03-12-2012_9_3'!3179:3179,"AAAAAE+/L6A=",0)</f>
        <v>0</v>
      </c>
      <c r="FF199" t="e">
        <f>AND('Planilla_General_03-12-2012_9_3'!A3179,"AAAAAE+/L6E=")</f>
        <v>#VALUE!</v>
      </c>
      <c r="FG199" t="e">
        <f>AND('Planilla_General_03-12-2012_9_3'!B3179,"AAAAAE+/L6I=")</f>
        <v>#VALUE!</v>
      </c>
      <c r="FH199" t="e">
        <f>AND('Planilla_General_03-12-2012_9_3'!C3179,"AAAAAE+/L6M=")</f>
        <v>#VALUE!</v>
      </c>
      <c r="FI199" t="e">
        <f>AND('Planilla_General_03-12-2012_9_3'!D3179,"AAAAAE+/L6Q=")</f>
        <v>#VALUE!</v>
      </c>
      <c r="FJ199" t="e">
        <f>AND('Planilla_General_03-12-2012_9_3'!E3179,"AAAAAE+/L6U=")</f>
        <v>#VALUE!</v>
      </c>
      <c r="FK199" t="e">
        <f>AND('Planilla_General_03-12-2012_9_3'!F3179,"AAAAAE+/L6Y=")</f>
        <v>#VALUE!</v>
      </c>
      <c r="FL199" t="e">
        <f>AND('Planilla_General_03-12-2012_9_3'!G3179,"AAAAAE+/L6c=")</f>
        <v>#VALUE!</v>
      </c>
      <c r="FM199" t="e">
        <f>AND('Planilla_General_03-12-2012_9_3'!H3179,"AAAAAE+/L6g=")</f>
        <v>#VALUE!</v>
      </c>
      <c r="FN199" t="e">
        <f>AND('Planilla_General_03-12-2012_9_3'!I3179,"AAAAAE+/L6k=")</f>
        <v>#VALUE!</v>
      </c>
      <c r="FO199" t="e">
        <f>AND('Planilla_General_03-12-2012_9_3'!J3179,"AAAAAE+/L6o=")</f>
        <v>#VALUE!</v>
      </c>
      <c r="FP199" t="e">
        <f>AND('Planilla_General_03-12-2012_9_3'!K3179,"AAAAAE+/L6s=")</f>
        <v>#VALUE!</v>
      </c>
      <c r="FQ199" t="e">
        <f>AND('Planilla_General_03-12-2012_9_3'!L3179,"AAAAAE+/L6w=")</f>
        <v>#VALUE!</v>
      </c>
      <c r="FR199" t="e">
        <f>AND('Planilla_General_03-12-2012_9_3'!M3179,"AAAAAE+/L60=")</f>
        <v>#VALUE!</v>
      </c>
      <c r="FS199" t="e">
        <f>AND('Planilla_General_03-12-2012_9_3'!N3179,"AAAAAE+/L64=")</f>
        <v>#VALUE!</v>
      </c>
      <c r="FT199" t="e">
        <f>AND('Planilla_General_03-12-2012_9_3'!O3179,"AAAAAE+/L68=")</f>
        <v>#VALUE!</v>
      </c>
      <c r="FU199">
        <f>IF('Planilla_General_03-12-2012_9_3'!3180:3180,"AAAAAE+/L7A=",0)</f>
        <v>0</v>
      </c>
      <c r="FV199" t="e">
        <f>AND('Planilla_General_03-12-2012_9_3'!A3180,"AAAAAE+/L7E=")</f>
        <v>#VALUE!</v>
      </c>
      <c r="FW199" t="e">
        <f>AND('Planilla_General_03-12-2012_9_3'!B3180,"AAAAAE+/L7I=")</f>
        <v>#VALUE!</v>
      </c>
      <c r="FX199" t="e">
        <f>AND('Planilla_General_03-12-2012_9_3'!C3180,"AAAAAE+/L7M=")</f>
        <v>#VALUE!</v>
      </c>
      <c r="FY199" t="e">
        <f>AND('Planilla_General_03-12-2012_9_3'!D3180,"AAAAAE+/L7Q=")</f>
        <v>#VALUE!</v>
      </c>
      <c r="FZ199" t="e">
        <f>AND('Planilla_General_03-12-2012_9_3'!E3180,"AAAAAE+/L7U=")</f>
        <v>#VALUE!</v>
      </c>
      <c r="GA199" t="e">
        <f>AND('Planilla_General_03-12-2012_9_3'!F3180,"AAAAAE+/L7Y=")</f>
        <v>#VALUE!</v>
      </c>
      <c r="GB199" t="e">
        <f>AND('Planilla_General_03-12-2012_9_3'!G3180,"AAAAAE+/L7c=")</f>
        <v>#VALUE!</v>
      </c>
      <c r="GC199" t="e">
        <f>AND('Planilla_General_03-12-2012_9_3'!H3180,"AAAAAE+/L7g=")</f>
        <v>#VALUE!</v>
      </c>
      <c r="GD199" t="e">
        <f>AND('Planilla_General_03-12-2012_9_3'!I3180,"AAAAAE+/L7k=")</f>
        <v>#VALUE!</v>
      </c>
      <c r="GE199" t="e">
        <f>AND('Planilla_General_03-12-2012_9_3'!J3180,"AAAAAE+/L7o=")</f>
        <v>#VALUE!</v>
      </c>
      <c r="GF199" t="e">
        <f>AND('Planilla_General_03-12-2012_9_3'!K3180,"AAAAAE+/L7s=")</f>
        <v>#VALUE!</v>
      </c>
      <c r="GG199" t="e">
        <f>AND('Planilla_General_03-12-2012_9_3'!L3180,"AAAAAE+/L7w=")</f>
        <v>#VALUE!</v>
      </c>
      <c r="GH199" t="e">
        <f>AND('Planilla_General_03-12-2012_9_3'!M3180,"AAAAAE+/L70=")</f>
        <v>#VALUE!</v>
      </c>
      <c r="GI199" t="e">
        <f>AND('Planilla_General_03-12-2012_9_3'!N3180,"AAAAAE+/L74=")</f>
        <v>#VALUE!</v>
      </c>
      <c r="GJ199" t="e">
        <f>AND('Planilla_General_03-12-2012_9_3'!O3180,"AAAAAE+/L78=")</f>
        <v>#VALUE!</v>
      </c>
      <c r="GK199">
        <f>IF('Planilla_General_03-12-2012_9_3'!3181:3181,"AAAAAE+/L8A=",0)</f>
        <v>0</v>
      </c>
      <c r="GL199" t="e">
        <f>AND('Planilla_General_03-12-2012_9_3'!A3181,"AAAAAE+/L8E=")</f>
        <v>#VALUE!</v>
      </c>
      <c r="GM199" t="e">
        <f>AND('Planilla_General_03-12-2012_9_3'!B3181,"AAAAAE+/L8I=")</f>
        <v>#VALUE!</v>
      </c>
      <c r="GN199" t="e">
        <f>AND('Planilla_General_03-12-2012_9_3'!C3181,"AAAAAE+/L8M=")</f>
        <v>#VALUE!</v>
      </c>
      <c r="GO199" t="e">
        <f>AND('Planilla_General_03-12-2012_9_3'!D3181,"AAAAAE+/L8Q=")</f>
        <v>#VALUE!</v>
      </c>
      <c r="GP199" t="e">
        <f>AND('Planilla_General_03-12-2012_9_3'!E3181,"AAAAAE+/L8U=")</f>
        <v>#VALUE!</v>
      </c>
      <c r="GQ199" t="e">
        <f>AND('Planilla_General_03-12-2012_9_3'!F3181,"AAAAAE+/L8Y=")</f>
        <v>#VALUE!</v>
      </c>
      <c r="GR199" t="e">
        <f>AND('Planilla_General_03-12-2012_9_3'!G3181,"AAAAAE+/L8c=")</f>
        <v>#VALUE!</v>
      </c>
      <c r="GS199" t="e">
        <f>AND('Planilla_General_03-12-2012_9_3'!H3181,"AAAAAE+/L8g=")</f>
        <v>#VALUE!</v>
      </c>
      <c r="GT199" t="e">
        <f>AND('Planilla_General_03-12-2012_9_3'!I3181,"AAAAAE+/L8k=")</f>
        <v>#VALUE!</v>
      </c>
      <c r="GU199" t="e">
        <f>AND('Planilla_General_03-12-2012_9_3'!J3181,"AAAAAE+/L8o=")</f>
        <v>#VALUE!</v>
      </c>
      <c r="GV199" t="e">
        <f>AND('Planilla_General_03-12-2012_9_3'!K3181,"AAAAAE+/L8s=")</f>
        <v>#VALUE!</v>
      </c>
      <c r="GW199" t="e">
        <f>AND('Planilla_General_03-12-2012_9_3'!L3181,"AAAAAE+/L8w=")</f>
        <v>#VALUE!</v>
      </c>
      <c r="GX199" t="e">
        <f>AND('Planilla_General_03-12-2012_9_3'!M3181,"AAAAAE+/L80=")</f>
        <v>#VALUE!</v>
      </c>
      <c r="GY199" t="e">
        <f>AND('Planilla_General_03-12-2012_9_3'!N3181,"AAAAAE+/L84=")</f>
        <v>#VALUE!</v>
      </c>
      <c r="GZ199" t="e">
        <f>AND('Planilla_General_03-12-2012_9_3'!O3181,"AAAAAE+/L88=")</f>
        <v>#VALUE!</v>
      </c>
      <c r="HA199">
        <f>IF('Planilla_General_03-12-2012_9_3'!3182:3182,"AAAAAE+/L9A=",0)</f>
        <v>0</v>
      </c>
      <c r="HB199" t="e">
        <f>AND('Planilla_General_03-12-2012_9_3'!A3182,"AAAAAE+/L9E=")</f>
        <v>#VALUE!</v>
      </c>
      <c r="HC199" t="e">
        <f>AND('Planilla_General_03-12-2012_9_3'!B3182,"AAAAAE+/L9I=")</f>
        <v>#VALUE!</v>
      </c>
      <c r="HD199" t="e">
        <f>AND('Planilla_General_03-12-2012_9_3'!C3182,"AAAAAE+/L9M=")</f>
        <v>#VALUE!</v>
      </c>
      <c r="HE199" t="e">
        <f>AND('Planilla_General_03-12-2012_9_3'!D3182,"AAAAAE+/L9Q=")</f>
        <v>#VALUE!</v>
      </c>
      <c r="HF199" t="e">
        <f>AND('Planilla_General_03-12-2012_9_3'!E3182,"AAAAAE+/L9U=")</f>
        <v>#VALUE!</v>
      </c>
      <c r="HG199" t="e">
        <f>AND('Planilla_General_03-12-2012_9_3'!F3182,"AAAAAE+/L9Y=")</f>
        <v>#VALUE!</v>
      </c>
      <c r="HH199" t="e">
        <f>AND('Planilla_General_03-12-2012_9_3'!G3182,"AAAAAE+/L9c=")</f>
        <v>#VALUE!</v>
      </c>
      <c r="HI199" t="e">
        <f>AND('Planilla_General_03-12-2012_9_3'!H3182,"AAAAAE+/L9g=")</f>
        <v>#VALUE!</v>
      </c>
      <c r="HJ199" t="e">
        <f>AND('Planilla_General_03-12-2012_9_3'!I3182,"AAAAAE+/L9k=")</f>
        <v>#VALUE!</v>
      </c>
      <c r="HK199" t="e">
        <f>AND('Planilla_General_03-12-2012_9_3'!J3182,"AAAAAE+/L9o=")</f>
        <v>#VALUE!</v>
      </c>
      <c r="HL199" t="e">
        <f>AND('Planilla_General_03-12-2012_9_3'!K3182,"AAAAAE+/L9s=")</f>
        <v>#VALUE!</v>
      </c>
      <c r="HM199" t="e">
        <f>AND('Planilla_General_03-12-2012_9_3'!L3182,"AAAAAE+/L9w=")</f>
        <v>#VALUE!</v>
      </c>
      <c r="HN199" t="e">
        <f>AND('Planilla_General_03-12-2012_9_3'!M3182,"AAAAAE+/L90=")</f>
        <v>#VALUE!</v>
      </c>
      <c r="HO199" t="e">
        <f>AND('Planilla_General_03-12-2012_9_3'!N3182,"AAAAAE+/L94=")</f>
        <v>#VALUE!</v>
      </c>
      <c r="HP199" t="e">
        <f>AND('Planilla_General_03-12-2012_9_3'!O3182,"AAAAAE+/L98=")</f>
        <v>#VALUE!</v>
      </c>
      <c r="HQ199">
        <f>IF('Planilla_General_03-12-2012_9_3'!3183:3183,"AAAAAE+/L+A=",0)</f>
        <v>0</v>
      </c>
      <c r="HR199" t="e">
        <f>AND('Planilla_General_03-12-2012_9_3'!A3183,"AAAAAE+/L+E=")</f>
        <v>#VALUE!</v>
      </c>
      <c r="HS199" t="e">
        <f>AND('Planilla_General_03-12-2012_9_3'!B3183,"AAAAAE+/L+I=")</f>
        <v>#VALUE!</v>
      </c>
      <c r="HT199" t="e">
        <f>AND('Planilla_General_03-12-2012_9_3'!C3183,"AAAAAE+/L+M=")</f>
        <v>#VALUE!</v>
      </c>
      <c r="HU199" t="e">
        <f>AND('Planilla_General_03-12-2012_9_3'!D3183,"AAAAAE+/L+Q=")</f>
        <v>#VALUE!</v>
      </c>
      <c r="HV199" t="e">
        <f>AND('Planilla_General_03-12-2012_9_3'!E3183,"AAAAAE+/L+U=")</f>
        <v>#VALUE!</v>
      </c>
      <c r="HW199" t="e">
        <f>AND('Planilla_General_03-12-2012_9_3'!F3183,"AAAAAE+/L+Y=")</f>
        <v>#VALUE!</v>
      </c>
      <c r="HX199" t="e">
        <f>AND('Planilla_General_03-12-2012_9_3'!G3183,"AAAAAE+/L+c=")</f>
        <v>#VALUE!</v>
      </c>
      <c r="HY199" t="e">
        <f>AND('Planilla_General_03-12-2012_9_3'!H3183,"AAAAAE+/L+g=")</f>
        <v>#VALUE!</v>
      </c>
      <c r="HZ199" t="e">
        <f>AND('Planilla_General_03-12-2012_9_3'!I3183,"AAAAAE+/L+k=")</f>
        <v>#VALUE!</v>
      </c>
      <c r="IA199" t="e">
        <f>AND('Planilla_General_03-12-2012_9_3'!J3183,"AAAAAE+/L+o=")</f>
        <v>#VALUE!</v>
      </c>
      <c r="IB199" t="e">
        <f>AND('Planilla_General_03-12-2012_9_3'!K3183,"AAAAAE+/L+s=")</f>
        <v>#VALUE!</v>
      </c>
      <c r="IC199" t="e">
        <f>AND('Planilla_General_03-12-2012_9_3'!L3183,"AAAAAE+/L+w=")</f>
        <v>#VALUE!</v>
      </c>
      <c r="ID199" t="e">
        <f>AND('Planilla_General_03-12-2012_9_3'!M3183,"AAAAAE+/L+0=")</f>
        <v>#VALUE!</v>
      </c>
      <c r="IE199" t="e">
        <f>AND('Planilla_General_03-12-2012_9_3'!N3183,"AAAAAE+/L+4=")</f>
        <v>#VALUE!</v>
      </c>
      <c r="IF199" t="e">
        <f>AND('Planilla_General_03-12-2012_9_3'!O3183,"AAAAAE+/L+8=")</f>
        <v>#VALUE!</v>
      </c>
      <c r="IG199">
        <f>IF('Planilla_General_03-12-2012_9_3'!3184:3184,"AAAAAE+/L/A=",0)</f>
        <v>0</v>
      </c>
      <c r="IH199" t="e">
        <f>AND('Planilla_General_03-12-2012_9_3'!A3184,"AAAAAE+/L/E=")</f>
        <v>#VALUE!</v>
      </c>
      <c r="II199" t="e">
        <f>AND('Planilla_General_03-12-2012_9_3'!B3184,"AAAAAE+/L/I=")</f>
        <v>#VALUE!</v>
      </c>
      <c r="IJ199" t="e">
        <f>AND('Planilla_General_03-12-2012_9_3'!C3184,"AAAAAE+/L/M=")</f>
        <v>#VALUE!</v>
      </c>
      <c r="IK199" t="e">
        <f>AND('Planilla_General_03-12-2012_9_3'!D3184,"AAAAAE+/L/Q=")</f>
        <v>#VALUE!</v>
      </c>
      <c r="IL199" t="e">
        <f>AND('Planilla_General_03-12-2012_9_3'!E3184,"AAAAAE+/L/U=")</f>
        <v>#VALUE!</v>
      </c>
      <c r="IM199" t="e">
        <f>AND('Planilla_General_03-12-2012_9_3'!F3184,"AAAAAE+/L/Y=")</f>
        <v>#VALUE!</v>
      </c>
      <c r="IN199" t="e">
        <f>AND('Planilla_General_03-12-2012_9_3'!G3184,"AAAAAE+/L/c=")</f>
        <v>#VALUE!</v>
      </c>
      <c r="IO199" t="e">
        <f>AND('Planilla_General_03-12-2012_9_3'!H3184,"AAAAAE+/L/g=")</f>
        <v>#VALUE!</v>
      </c>
      <c r="IP199" t="e">
        <f>AND('Planilla_General_03-12-2012_9_3'!I3184,"AAAAAE+/L/k=")</f>
        <v>#VALUE!</v>
      </c>
      <c r="IQ199" t="e">
        <f>AND('Planilla_General_03-12-2012_9_3'!J3184,"AAAAAE+/L/o=")</f>
        <v>#VALUE!</v>
      </c>
      <c r="IR199" t="e">
        <f>AND('Planilla_General_03-12-2012_9_3'!K3184,"AAAAAE+/L/s=")</f>
        <v>#VALUE!</v>
      </c>
      <c r="IS199" t="e">
        <f>AND('Planilla_General_03-12-2012_9_3'!L3184,"AAAAAE+/L/w=")</f>
        <v>#VALUE!</v>
      </c>
      <c r="IT199" t="e">
        <f>AND('Planilla_General_03-12-2012_9_3'!M3184,"AAAAAE+/L/0=")</f>
        <v>#VALUE!</v>
      </c>
      <c r="IU199" t="e">
        <f>AND('Planilla_General_03-12-2012_9_3'!N3184,"AAAAAE+/L/4=")</f>
        <v>#VALUE!</v>
      </c>
      <c r="IV199" t="e">
        <f>AND('Planilla_General_03-12-2012_9_3'!O3184,"AAAAAE+/L/8=")</f>
        <v>#VALUE!</v>
      </c>
    </row>
    <row r="200" spans="1:256" x14ac:dyDescent="0.25">
      <c r="A200" t="e">
        <f>IF('Planilla_General_03-12-2012_9_3'!3185:3185,"AAAAAHXV+wA=",0)</f>
        <v>#VALUE!</v>
      </c>
      <c r="B200" t="e">
        <f>AND('Planilla_General_03-12-2012_9_3'!A3185,"AAAAAHXV+wE=")</f>
        <v>#VALUE!</v>
      </c>
      <c r="C200" t="e">
        <f>AND('Planilla_General_03-12-2012_9_3'!B3185,"AAAAAHXV+wI=")</f>
        <v>#VALUE!</v>
      </c>
      <c r="D200" t="e">
        <f>AND('Planilla_General_03-12-2012_9_3'!C3185,"AAAAAHXV+wM=")</f>
        <v>#VALUE!</v>
      </c>
      <c r="E200" t="e">
        <f>AND('Planilla_General_03-12-2012_9_3'!D3185,"AAAAAHXV+wQ=")</f>
        <v>#VALUE!</v>
      </c>
      <c r="F200" t="e">
        <f>AND('Planilla_General_03-12-2012_9_3'!E3185,"AAAAAHXV+wU=")</f>
        <v>#VALUE!</v>
      </c>
      <c r="G200" t="e">
        <f>AND('Planilla_General_03-12-2012_9_3'!F3185,"AAAAAHXV+wY=")</f>
        <v>#VALUE!</v>
      </c>
      <c r="H200" t="e">
        <f>AND('Planilla_General_03-12-2012_9_3'!G3185,"AAAAAHXV+wc=")</f>
        <v>#VALUE!</v>
      </c>
      <c r="I200" t="e">
        <f>AND('Planilla_General_03-12-2012_9_3'!H3185,"AAAAAHXV+wg=")</f>
        <v>#VALUE!</v>
      </c>
      <c r="J200" t="e">
        <f>AND('Planilla_General_03-12-2012_9_3'!I3185,"AAAAAHXV+wk=")</f>
        <v>#VALUE!</v>
      </c>
      <c r="K200" t="e">
        <f>AND('Planilla_General_03-12-2012_9_3'!J3185,"AAAAAHXV+wo=")</f>
        <v>#VALUE!</v>
      </c>
      <c r="L200" t="e">
        <f>AND('Planilla_General_03-12-2012_9_3'!K3185,"AAAAAHXV+ws=")</f>
        <v>#VALUE!</v>
      </c>
      <c r="M200" t="e">
        <f>AND('Planilla_General_03-12-2012_9_3'!L3185,"AAAAAHXV+ww=")</f>
        <v>#VALUE!</v>
      </c>
      <c r="N200" t="e">
        <f>AND('Planilla_General_03-12-2012_9_3'!M3185,"AAAAAHXV+w0=")</f>
        <v>#VALUE!</v>
      </c>
      <c r="O200" t="e">
        <f>AND('Planilla_General_03-12-2012_9_3'!N3185,"AAAAAHXV+w4=")</f>
        <v>#VALUE!</v>
      </c>
      <c r="P200" t="e">
        <f>AND('Planilla_General_03-12-2012_9_3'!O3185,"AAAAAHXV+w8=")</f>
        <v>#VALUE!</v>
      </c>
      <c r="Q200">
        <f>IF('Planilla_General_03-12-2012_9_3'!3186:3186,"AAAAAHXV+xA=",0)</f>
        <v>0</v>
      </c>
      <c r="R200" t="e">
        <f>AND('Planilla_General_03-12-2012_9_3'!A3186,"AAAAAHXV+xE=")</f>
        <v>#VALUE!</v>
      </c>
      <c r="S200" t="e">
        <f>AND('Planilla_General_03-12-2012_9_3'!B3186,"AAAAAHXV+xI=")</f>
        <v>#VALUE!</v>
      </c>
      <c r="T200" t="e">
        <f>AND('Planilla_General_03-12-2012_9_3'!C3186,"AAAAAHXV+xM=")</f>
        <v>#VALUE!</v>
      </c>
      <c r="U200" t="e">
        <f>AND('Planilla_General_03-12-2012_9_3'!D3186,"AAAAAHXV+xQ=")</f>
        <v>#VALUE!</v>
      </c>
      <c r="V200" t="e">
        <f>AND('Planilla_General_03-12-2012_9_3'!E3186,"AAAAAHXV+xU=")</f>
        <v>#VALUE!</v>
      </c>
      <c r="W200" t="e">
        <f>AND('Planilla_General_03-12-2012_9_3'!F3186,"AAAAAHXV+xY=")</f>
        <v>#VALUE!</v>
      </c>
      <c r="X200" t="e">
        <f>AND('Planilla_General_03-12-2012_9_3'!G3186,"AAAAAHXV+xc=")</f>
        <v>#VALUE!</v>
      </c>
      <c r="Y200" t="e">
        <f>AND('Planilla_General_03-12-2012_9_3'!H3186,"AAAAAHXV+xg=")</f>
        <v>#VALUE!</v>
      </c>
      <c r="Z200" t="e">
        <f>AND('Planilla_General_03-12-2012_9_3'!I3186,"AAAAAHXV+xk=")</f>
        <v>#VALUE!</v>
      </c>
      <c r="AA200" t="e">
        <f>AND('Planilla_General_03-12-2012_9_3'!J3186,"AAAAAHXV+xo=")</f>
        <v>#VALUE!</v>
      </c>
      <c r="AB200" t="e">
        <f>AND('Planilla_General_03-12-2012_9_3'!K3186,"AAAAAHXV+xs=")</f>
        <v>#VALUE!</v>
      </c>
      <c r="AC200" t="e">
        <f>AND('Planilla_General_03-12-2012_9_3'!L3186,"AAAAAHXV+xw=")</f>
        <v>#VALUE!</v>
      </c>
      <c r="AD200" t="e">
        <f>AND('Planilla_General_03-12-2012_9_3'!M3186,"AAAAAHXV+x0=")</f>
        <v>#VALUE!</v>
      </c>
      <c r="AE200" t="e">
        <f>AND('Planilla_General_03-12-2012_9_3'!N3186,"AAAAAHXV+x4=")</f>
        <v>#VALUE!</v>
      </c>
      <c r="AF200" t="e">
        <f>AND('Planilla_General_03-12-2012_9_3'!O3186,"AAAAAHXV+x8=")</f>
        <v>#VALUE!</v>
      </c>
      <c r="AG200">
        <f>IF('Planilla_General_03-12-2012_9_3'!3187:3187,"AAAAAHXV+yA=",0)</f>
        <v>0</v>
      </c>
      <c r="AH200" t="e">
        <f>AND('Planilla_General_03-12-2012_9_3'!A3187,"AAAAAHXV+yE=")</f>
        <v>#VALUE!</v>
      </c>
      <c r="AI200" t="e">
        <f>AND('Planilla_General_03-12-2012_9_3'!B3187,"AAAAAHXV+yI=")</f>
        <v>#VALUE!</v>
      </c>
      <c r="AJ200" t="e">
        <f>AND('Planilla_General_03-12-2012_9_3'!C3187,"AAAAAHXV+yM=")</f>
        <v>#VALUE!</v>
      </c>
      <c r="AK200" t="e">
        <f>AND('Planilla_General_03-12-2012_9_3'!D3187,"AAAAAHXV+yQ=")</f>
        <v>#VALUE!</v>
      </c>
      <c r="AL200" t="e">
        <f>AND('Planilla_General_03-12-2012_9_3'!E3187,"AAAAAHXV+yU=")</f>
        <v>#VALUE!</v>
      </c>
      <c r="AM200" t="e">
        <f>AND('Planilla_General_03-12-2012_9_3'!F3187,"AAAAAHXV+yY=")</f>
        <v>#VALUE!</v>
      </c>
      <c r="AN200" t="e">
        <f>AND('Planilla_General_03-12-2012_9_3'!G3187,"AAAAAHXV+yc=")</f>
        <v>#VALUE!</v>
      </c>
      <c r="AO200" t="e">
        <f>AND('Planilla_General_03-12-2012_9_3'!H3187,"AAAAAHXV+yg=")</f>
        <v>#VALUE!</v>
      </c>
      <c r="AP200" t="e">
        <f>AND('Planilla_General_03-12-2012_9_3'!I3187,"AAAAAHXV+yk=")</f>
        <v>#VALUE!</v>
      </c>
      <c r="AQ200" t="e">
        <f>AND('Planilla_General_03-12-2012_9_3'!J3187,"AAAAAHXV+yo=")</f>
        <v>#VALUE!</v>
      </c>
      <c r="AR200" t="e">
        <f>AND('Planilla_General_03-12-2012_9_3'!K3187,"AAAAAHXV+ys=")</f>
        <v>#VALUE!</v>
      </c>
      <c r="AS200" t="e">
        <f>AND('Planilla_General_03-12-2012_9_3'!L3187,"AAAAAHXV+yw=")</f>
        <v>#VALUE!</v>
      </c>
      <c r="AT200" t="e">
        <f>AND('Planilla_General_03-12-2012_9_3'!M3187,"AAAAAHXV+y0=")</f>
        <v>#VALUE!</v>
      </c>
      <c r="AU200" t="e">
        <f>AND('Planilla_General_03-12-2012_9_3'!N3187,"AAAAAHXV+y4=")</f>
        <v>#VALUE!</v>
      </c>
      <c r="AV200" t="e">
        <f>AND('Planilla_General_03-12-2012_9_3'!O3187,"AAAAAHXV+y8=")</f>
        <v>#VALUE!</v>
      </c>
      <c r="AW200">
        <f>IF('Planilla_General_03-12-2012_9_3'!3188:3188,"AAAAAHXV+zA=",0)</f>
        <v>0</v>
      </c>
      <c r="AX200" t="e">
        <f>AND('Planilla_General_03-12-2012_9_3'!A3188,"AAAAAHXV+zE=")</f>
        <v>#VALUE!</v>
      </c>
      <c r="AY200" t="e">
        <f>AND('Planilla_General_03-12-2012_9_3'!B3188,"AAAAAHXV+zI=")</f>
        <v>#VALUE!</v>
      </c>
      <c r="AZ200" t="e">
        <f>AND('Planilla_General_03-12-2012_9_3'!C3188,"AAAAAHXV+zM=")</f>
        <v>#VALUE!</v>
      </c>
      <c r="BA200" t="e">
        <f>AND('Planilla_General_03-12-2012_9_3'!D3188,"AAAAAHXV+zQ=")</f>
        <v>#VALUE!</v>
      </c>
      <c r="BB200" t="e">
        <f>AND('Planilla_General_03-12-2012_9_3'!E3188,"AAAAAHXV+zU=")</f>
        <v>#VALUE!</v>
      </c>
      <c r="BC200" t="e">
        <f>AND('Planilla_General_03-12-2012_9_3'!F3188,"AAAAAHXV+zY=")</f>
        <v>#VALUE!</v>
      </c>
      <c r="BD200" t="e">
        <f>AND('Planilla_General_03-12-2012_9_3'!G3188,"AAAAAHXV+zc=")</f>
        <v>#VALUE!</v>
      </c>
      <c r="BE200" t="e">
        <f>AND('Planilla_General_03-12-2012_9_3'!H3188,"AAAAAHXV+zg=")</f>
        <v>#VALUE!</v>
      </c>
      <c r="BF200" t="e">
        <f>AND('Planilla_General_03-12-2012_9_3'!I3188,"AAAAAHXV+zk=")</f>
        <v>#VALUE!</v>
      </c>
      <c r="BG200" t="e">
        <f>AND('Planilla_General_03-12-2012_9_3'!J3188,"AAAAAHXV+zo=")</f>
        <v>#VALUE!</v>
      </c>
      <c r="BH200" t="e">
        <f>AND('Planilla_General_03-12-2012_9_3'!K3188,"AAAAAHXV+zs=")</f>
        <v>#VALUE!</v>
      </c>
      <c r="BI200" t="e">
        <f>AND('Planilla_General_03-12-2012_9_3'!L3188,"AAAAAHXV+zw=")</f>
        <v>#VALUE!</v>
      </c>
      <c r="BJ200" t="e">
        <f>AND('Planilla_General_03-12-2012_9_3'!M3188,"AAAAAHXV+z0=")</f>
        <v>#VALUE!</v>
      </c>
      <c r="BK200" t="e">
        <f>AND('Planilla_General_03-12-2012_9_3'!N3188,"AAAAAHXV+z4=")</f>
        <v>#VALUE!</v>
      </c>
      <c r="BL200" t="e">
        <f>AND('Planilla_General_03-12-2012_9_3'!O3188,"AAAAAHXV+z8=")</f>
        <v>#VALUE!</v>
      </c>
      <c r="BM200">
        <f>IF('Planilla_General_03-12-2012_9_3'!3189:3189,"AAAAAHXV+0A=",0)</f>
        <v>0</v>
      </c>
      <c r="BN200" t="e">
        <f>AND('Planilla_General_03-12-2012_9_3'!A3189,"AAAAAHXV+0E=")</f>
        <v>#VALUE!</v>
      </c>
      <c r="BO200" t="e">
        <f>AND('Planilla_General_03-12-2012_9_3'!B3189,"AAAAAHXV+0I=")</f>
        <v>#VALUE!</v>
      </c>
      <c r="BP200" t="e">
        <f>AND('Planilla_General_03-12-2012_9_3'!C3189,"AAAAAHXV+0M=")</f>
        <v>#VALUE!</v>
      </c>
      <c r="BQ200" t="e">
        <f>AND('Planilla_General_03-12-2012_9_3'!D3189,"AAAAAHXV+0Q=")</f>
        <v>#VALUE!</v>
      </c>
      <c r="BR200" t="e">
        <f>AND('Planilla_General_03-12-2012_9_3'!E3189,"AAAAAHXV+0U=")</f>
        <v>#VALUE!</v>
      </c>
      <c r="BS200" t="e">
        <f>AND('Planilla_General_03-12-2012_9_3'!F3189,"AAAAAHXV+0Y=")</f>
        <v>#VALUE!</v>
      </c>
      <c r="BT200" t="e">
        <f>AND('Planilla_General_03-12-2012_9_3'!G3189,"AAAAAHXV+0c=")</f>
        <v>#VALUE!</v>
      </c>
      <c r="BU200" t="e">
        <f>AND('Planilla_General_03-12-2012_9_3'!H3189,"AAAAAHXV+0g=")</f>
        <v>#VALUE!</v>
      </c>
      <c r="BV200" t="e">
        <f>AND('Planilla_General_03-12-2012_9_3'!I3189,"AAAAAHXV+0k=")</f>
        <v>#VALUE!</v>
      </c>
      <c r="BW200" t="e">
        <f>AND('Planilla_General_03-12-2012_9_3'!J3189,"AAAAAHXV+0o=")</f>
        <v>#VALUE!</v>
      </c>
      <c r="BX200" t="e">
        <f>AND('Planilla_General_03-12-2012_9_3'!K3189,"AAAAAHXV+0s=")</f>
        <v>#VALUE!</v>
      </c>
      <c r="BY200" t="e">
        <f>AND('Planilla_General_03-12-2012_9_3'!L3189,"AAAAAHXV+0w=")</f>
        <v>#VALUE!</v>
      </c>
      <c r="BZ200" t="e">
        <f>AND('Planilla_General_03-12-2012_9_3'!M3189,"AAAAAHXV+00=")</f>
        <v>#VALUE!</v>
      </c>
      <c r="CA200" t="e">
        <f>AND('Planilla_General_03-12-2012_9_3'!N3189,"AAAAAHXV+04=")</f>
        <v>#VALUE!</v>
      </c>
      <c r="CB200" t="e">
        <f>AND('Planilla_General_03-12-2012_9_3'!O3189,"AAAAAHXV+08=")</f>
        <v>#VALUE!</v>
      </c>
      <c r="CC200">
        <f>IF('Planilla_General_03-12-2012_9_3'!3190:3190,"AAAAAHXV+1A=",0)</f>
        <v>0</v>
      </c>
      <c r="CD200" t="e">
        <f>AND('Planilla_General_03-12-2012_9_3'!A3190,"AAAAAHXV+1E=")</f>
        <v>#VALUE!</v>
      </c>
      <c r="CE200" t="e">
        <f>AND('Planilla_General_03-12-2012_9_3'!B3190,"AAAAAHXV+1I=")</f>
        <v>#VALUE!</v>
      </c>
      <c r="CF200" t="e">
        <f>AND('Planilla_General_03-12-2012_9_3'!C3190,"AAAAAHXV+1M=")</f>
        <v>#VALUE!</v>
      </c>
      <c r="CG200" t="e">
        <f>AND('Planilla_General_03-12-2012_9_3'!D3190,"AAAAAHXV+1Q=")</f>
        <v>#VALUE!</v>
      </c>
      <c r="CH200" t="e">
        <f>AND('Planilla_General_03-12-2012_9_3'!E3190,"AAAAAHXV+1U=")</f>
        <v>#VALUE!</v>
      </c>
      <c r="CI200" t="e">
        <f>AND('Planilla_General_03-12-2012_9_3'!F3190,"AAAAAHXV+1Y=")</f>
        <v>#VALUE!</v>
      </c>
      <c r="CJ200" t="e">
        <f>AND('Planilla_General_03-12-2012_9_3'!G3190,"AAAAAHXV+1c=")</f>
        <v>#VALUE!</v>
      </c>
      <c r="CK200" t="e">
        <f>AND('Planilla_General_03-12-2012_9_3'!H3190,"AAAAAHXV+1g=")</f>
        <v>#VALUE!</v>
      </c>
      <c r="CL200" t="e">
        <f>AND('Planilla_General_03-12-2012_9_3'!I3190,"AAAAAHXV+1k=")</f>
        <v>#VALUE!</v>
      </c>
      <c r="CM200" t="e">
        <f>AND('Planilla_General_03-12-2012_9_3'!J3190,"AAAAAHXV+1o=")</f>
        <v>#VALUE!</v>
      </c>
      <c r="CN200" t="e">
        <f>AND('Planilla_General_03-12-2012_9_3'!K3190,"AAAAAHXV+1s=")</f>
        <v>#VALUE!</v>
      </c>
      <c r="CO200" t="e">
        <f>AND('Planilla_General_03-12-2012_9_3'!L3190,"AAAAAHXV+1w=")</f>
        <v>#VALUE!</v>
      </c>
      <c r="CP200" t="e">
        <f>AND('Planilla_General_03-12-2012_9_3'!M3190,"AAAAAHXV+10=")</f>
        <v>#VALUE!</v>
      </c>
      <c r="CQ200" t="e">
        <f>AND('Planilla_General_03-12-2012_9_3'!N3190,"AAAAAHXV+14=")</f>
        <v>#VALUE!</v>
      </c>
      <c r="CR200" t="e">
        <f>AND('Planilla_General_03-12-2012_9_3'!O3190,"AAAAAHXV+18=")</f>
        <v>#VALUE!</v>
      </c>
      <c r="CS200">
        <f>IF('Planilla_General_03-12-2012_9_3'!3191:3191,"AAAAAHXV+2A=",0)</f>
        <v>0</v>
      </c>
      <c r="CT200" t="e">
        <f>AND('Planilla_General_03-12-2012_9_3'!A3191,"AAAAAHXV+2E=")</f>
        <v>#VALUE!</v>
      </c>
      <c r="CU200" t="e">
        <f>AND('Planilla_General_03-12-2012_9_3'!B3191,"AAAAAHXV+2I=")</f>
        <v>#VALUE!</v>
      </c>
      <c r="CV200" t="e">
        <f>AND('Planilla_General_03-12-2012_9_3'!C3191,"AAAAAHXV+2M=")</f>
        <v>#VALUE!</v>
      </c>
      <c r="CW200" t="e">
        <f>AND('Planilla_General_03-12-2012_9_3'!D3191,"AAAAAHXV+2Q=")</f>
        <v>#VALUE!</v>
      </c>
      <c r="CX200" t="e">
        <f>AND('Planilla_General_03-12-2012_9_3'!E3191,"AAAAAHXV+2U=")</f>
        <v>#VALUE!</v>
      </c>
      <c r="CY200" t="e">
        <f>AND('Planilla_General_03-12-2012_9_3'!F3191,"AAAAAHXV+2Y=")</f>
        <v>#VALUE!</v>
      </c>
      <c r="CZ200" t="e">
        <f>AND('Planilla_General_03-12-2012_9_3'!G3191,"AAAAAHXV+2c=")</f>
        <v>#VALUE!</v>
      </c>
      <c r="DA200" t="e">
        <f>AND('Planilla_General_03-12-2012_9_3'!H3191,"AAAAAHXV+2g=")</f>
        <v>#VALUE!</v>
      </c>
      <c r="DB200" t="e">
        <f>AND('Planilla_General_03-12-2012_9_3'!I3191,"AAAAAHXV+2k=")</f>
        <v>#VALUE!</v>
      </c>
      <c r="DC200" t="e">
        <f>AND('Planilla_General_03-12-2012_9_3'!J3191,"AAAAAHXV+2o=")</f>
        <v>#VALUE!</v>
      </c>
      <c r="DD200" t="e">
        <f>AND('Planilla_General_03-12-2012_9_3'!K3191,"AAAAAHXV+2s=")</f>
        <v>#VALUE!</v>
      </c>
      <c r="DE200" t="e">
        <f>AND('Planilla_General_03-12-2012_9_3'!L3191,"AAAAAHXV+2w=")</f>
        <v>#VALUE!</v>
      </c>
      <c r="DF200" t="e">
        <f>AND('Planilla_General_03-12-2012_9_3'!M3191,"AAAAAHXV+20=")</f>
        <v>#VALUE!</v>
      </c>
      <c r="DG200" t="e">
        <f>AND('Planilla_General_03-12-2012_9_3'!N3191,"AAAAAHXV+24=")</f>
        <v>#VALUE!</v>
      </c>
      <c r="DH200" t="e">
        <f>AND('Planilla_General_03-12-2012_9_3'!O3191,"AAAAAHXV+28=")</f>
        <v>#VALUE!</v>
      </c>
      <c r="DI200">
        <f>IF('Planilla_General_03-12-2012_9_3'!3192:3192,"AAAAAHXV+3A=",0)</f>
        <v>0</v>
      </c>
      <c r="DJ200" t="e">
        <f>AND('Planilla_General_03-12-2012_9_3'!A3192,"AAAAAHXV+3E=")</f>
        <v>#VALUE!</v>
      </c>
      <c r="DK200" t="e">
        <f>AND('Planilla_General_03-12-2012_9_3'!B3192,"AAAAAHXV+3I=")</f>
        <v>#VALUE!</v>
      </c>
      <c r="DL200" t="e">
        <f>AND('Planilla_General_03-12-2012_9_3'!C3192,"AAAAAHXV+3M=")</f>
        <v>#VALUE!</v>
      </c>
      <c r="DM200" t="e">
        <f>AND('Planilla_General_03-12-2012_9_3'!D3192,"AAAAAHXV+3Q=")</f>
        <v>#VALUE!</v>
      </c>
      <c r="DN200" t="e">
        <f>AND('Planilla_General_03-12-2012_9_3'!E3192,"AAAAAHXV+3U=")</f>
        <v>#VALUE!</v>
      </c>
      <c r="DO200" t="e">
        <f>AND('Planilla_General_03-12-2012_9_3'!F3192,"AAAAAHXV+3Y=")</f>
        <v>#VALUE!</v>
      </c>
      <c r="DP200" t="e">
        <f>AND('Planilla_General_03-12-2012_9_3'!G3192,"AAAAAHXV+3c=")</f>
        <v>#VALUE!</v>
      </c>
      <c r="DQ200" t="e">
        <f>AND('Planilla_General_03-12-2012_9_3'!H3192,"AAAAAHXV+3g=")</f>
        <v>#VALUE!</v>
      </c>
      <c r="DR200" t="e">
        <f>AND('Planilla_General_03-12-2012_9_3'!I3192,"AAAAAHXV+3k=")</f>
        <v>#VALUE!</v>
      </c>
      <c r="DS200" t="e">
        <f>AND('Planilla_General_03-12-2012_9_3'!J3192,"AAAAAHXV+3o=")</f>
        <v>#VALUE!</v>
      </c>
      <c r="DT200" t="e">
        <f>AND('Planilla_General_03-12-2012_9_3'!K3192,"AAAAAHXV+3s=")</f>
        <v>#VALUE!</v>
      </c>
      <c r="DU200" t="e">
        <f>AND('Planilla_General_03-12-2012_9_3'!L3192,"AAAAAHXV+3w=")</f>
        <v>#VALUE!</v>
      </c>
      <c r="DV200" t="e">
        <f>AND('Planilla_General_03-12-2012_9_3'!M3192,"AAAAAHXV+30=")</f>
        <v>#VALUE!</v>
      </c>
      <c r="DW200" t="e">
        <f>AND('Planilla_General_03-12-2012_9_3'!N3192,"AAAAAHXV+34=")</f>
        <v>#VALUE!</v>
      </c>
      <c r="DX200" t="e">
        <f>AND('Planilla_General_03-12-2012_9_3'!O3192,"AAAAAHXV+38=")</f>
        <v>#VALUE!</v>
      </c>
      <c r="DY200">
        <f>IF('Planilla_General_03-12-2012_9_3'!3193:3193,"AAAAAHXV+4A=",0)</f>
        <v>0</v>
      </c>
      <c r="DZ200" t="e">
        <f>AND('Planilla_General_03-12-2012_9_3'!A3193,"AAAAAHXV+4E=")</f>
        <v>#VALUE!</v>
      </c>
      <c r="EA200" t="e">
        <f>AND('Planilla_General_03-12-2012_9_3'!B3193,"AAAAAHXV+4I=")</f>
        <v>#VALUE!</v>
      </c>
      <c r="EB200" t="e">
        <f>AND('Planilla_General_03-12-2012_9_3'!C3193,"AAAAAHXV+4M=")</f>
        <v>#VALUE!</v>
      </c>
      <c r="EC200" t="e">
        <f>AND('Planilla_General_03-12-2012_9_3'!D3193,"AAAAAHXV+4Q=")</f>
        <v>#VALUE!</v>
      </c>
      <c r="ED200" t="e">
        <f>AND('Planilla_General_03-12-2012_9_3'!E3193,"AAAAAHXV+4U=")</f>
        <v>#VALUE!</v>
      </c>
      <c r="EE200" t="e">
        <f>AND('Planilla_General_03-12-2012_9_3'!F3193,"AAAAAHXV+4Y=")</f>
        <v>#VALUE!</v>
      </c>
      <c r="EF200" t="e">
        <f>AND('Planilla_General_03-12-2012_9_3'!G3193,"AAAAAHXV+4c=")</f>
        <v>#VALUE!</v>
      </c>
      <c r="EG200" t="e">
        <f>AND('Planilla_General_03-12-2012_9_3'!H3193,"AAAAAHXV+4g=")</f>
        <v>#VALUE!</v>
      </c>
      <c r="EH200" t="e">
        <f>AND('Planilla_General_03-12-2012_9_3'!I3193,"AAAAAHXV+4k=")</f>
        <v>#VALUE!</v>
      </c>
      <c r="EI200" t="e">
        <f>AND('Planilla_General_03-12-2012_9_3'!J3193,"AAAAAHXV+4o=")</f>
        <v>#VALUE!</v>
      </c>
      <c r="EJ200" t="e">
        <f>AND('Planilla_General_03-12-2012_9_3'!K3193,"AAAAAHXV+4s=")</f>
        <v>#VALUE!</v>
      </c>
      <c r="EK200" t="e">
        <f>AND('Planilla_General_03-12-2012_9_3'!L3193,"AAAAAHXV+4w=")</f>
        <v>#VALUE!</v>
      </c>
      <c r="EL200" t="e">
        <f>AND('Planilla_General_03-12-2012_9_3'!M3193,"AAAAAHXV+40=")</f>
        <v>#VALUE!</v>
      </c>
      <c r="EM200" t="e">
        <f>AND('Planilla_General_03-12-2012_9_3'!N3193,"AAAAAHXV+44=")</f>
        <v>#VALUE!</v>
      </c>
      <c r="EN200" t="e">
        <f>AND('Planilla_General_03-12-2012_9_3'!O3193,"AAAAAHXV+48=")</f>
        <v>#VALUE!</v>
      </c>
      <c r="EO200">
        <f>IF('Planilla_General_03-12-2012_9_3'!3194:3194,"AAAAAHXV+5A=",0)</f>
        <v>0</v>
      </c>
      <c r="EP200" t="e">
        <f>AND('Planilla_General_03-12-2012_9_3'!A3194,"AAAAAHXV+5E=")</f>
        <v>#VALUE!</v>
      </c>
      <c r="EQ200" t="e">
        <f>AND('Planilla_General_03-12-2012_9_3'!B3194,"AAAAAHXV+5I=")</f>
        <v>#VALUE!</v>
      </c>
      <c r="ER200" t="e">
        <f>AND('Planilla_General_03-12-2012_9_3'!C3194,"AAAAAHXV+5M=")</f>
        <v>#VALUE!</v>
      </c>
      <c r="ES200" t="e">
        <f>AND('Planilla_General_03-12-2012_9_3'!D3194,"AAAAAHXV+5Q=")</f>
        <v>#VALUE!</v>
      </c>
      <c r="ET200" t="e">
        <f>AND('Planilla_General_03-12-2012_9_3'!E3194,"AAAAAHXV+5U=")</f>
        <v>#VALUE!</v>
      </c>
      <c r="EU200" t="e">
        <f>AND('Planilla_General_03-12-2012_9_3'!F3194,"AAAAAHXV+5Y=")</f>
        <v>#VALUE!</v>
      </c>
      <c r="EV200" t="e">
        <f>AND('Planilla_General_03-12-2012_9_3'!G3194,"AAAAAHXV+5c=")</f>
        <v>#VALUE!</v>
      </c>
      <c r="EW200" t="e">
        <f>AND('Planilla_General_03-12-2012_9_3'!H3194,"AAAAAHXV+5g=")</f>
        <v>#VALUE!</v>
      </c>
      <c r="EX200" t="e">
        <f>AND('Planilla_General_03-12-2012_9_3'!I3194,"AAAAAHXV+5k=")</f>
        <v>#VALUE!</v>
      </c>
      <c r="EY200" t="e">
        <f>AND('Planilla_General_03-12-2012_9_3'!J3194,"AAAAAHXV+5o=")</f>
        <v>#VALUE!</v>
      </c>
      <c r="EZ200" t="e">
        <f>AND('Planilla_General_03-12-2012_9_3'!K3194,"AAAAAHXV+5s=")</f>
        <v>#VALUE!</v>
      </c>
      <c r="FA200" t="e">
        <f>AND('Planilla_General_03-12-2012_9_3'!L3194,"AAAAAHXV+5w=")</f>
        <v>#VALUE!</v>
      </c>
      <c r="FB200" t="e">
        <f>AND('Planilla_General_03-12-2012_9_3'!M3194,"AAAAAHXV+50=")</f>
        <v>#VALUE!</v>
      </c>
      <c r="FC200" t="e">
        <f>AND('Planilla_General_03-12-2012_9_3'!N3194,"AAAAAHXV+54=")</f>
        <v>#VALUE!</v>
      </c>
      <c r="FD200" t="e">
        <f>AND('Planilla_General_03-12-2012_9_3'!O3194,"AAAAAHXV+58=")</f>
        <v>#VALUE!</v>
      </c>
      <c r="FE200">
        <f>IF('Planilla_General_03-12-2012_9_3'!3195:3195,"AAAAAHXV+6A=",0)</f>
        <v>0</v>
      </c>
      <c r="FF200" t="e">
        <f>AND('Planilla_General_03-12-2012_9_3'!A3195,"AAAAAHXV+6E=")</f>
        <v>#VALUE!</v>
      </c>
      <c r="FG200" t="e">
        <f>AND('Planilla_General_03-12-2012_9_3'!B3195,"AAAAAHXV+6I=")</f>
        <v>#VALUE!</v>
      </c>
      <c r="FH200" t="e">
        <f>AND('Planilla_General_03-12-2012_9_3'!C3195,"AAAAAHXV+6M=")</f>
        <v>#VALUE!</v>
      </c>
      <c r="FI200" t="e">
        <f>AND('Planilla_General_03-12-2012_9_3'!D3195,"AAAAAHXV+6Q=")</f>
        <v>#VALUE!</v>
      </c>
      <c r="FJ200" t="e">
        <f>AND('Planilla_General_03-12-2012_9_3'!E3195,"AAAAAHXV+6U=")</f>
        <v>#VALUE!</v>
      </c>
      <c r="FK200" t="e">
        <f>AND('Planilla_General_03-12-2012_9_3'!F3195,"AAAAAHXV+6Y=")</f>
        <v>#VALUE!</v>
      </c>
      <c r="FL200" t="e">
        <f>AND('Planilla_General_03-12-2012_9_3'!G3195,"AAAAAHXV+6c=")</f>
        <v>#VALUE!</v>
      </c>
      <c r="FM200" t="e">
        <f>AND('Planilla_General_03-12-2012_9_3'!H3195,"AAAAAHXV+6g=")</f>
        <v>#VALUE!</v>
      </c>
      <c r="FN200" t="e">
        <f>AND('Planilla_General_03-12-2012_9_3'!I3195,"AAAAAHXV+6k=")</f>
        <v>#VALUE!</v>
      </c>
      <c r="FO200" t="e">
        <f>AND('Planilla_General_03-12-2012_9_3'!J3195,"AAAAAHXV+6o=")</f>
        <v>#VALUE!</v>
      </c>
      <c r="FP200" t="e">
        <f>AND('Planilla_General_03-12-2012_9_3'!K3195,"AAAAAHXV+6s=")</f>
        <v>#VALUE!</v>
      </c>
      <c r="FQ200" t="e">
        <f>AND('Planilla_General_03-12-2012_9_3'!L3195,"AAAAAHXV+6w=")</f>
        <v>#VALUE!</v>
      </c>
      <c r="FR200" t="e">
        <f>AND('Planilla_General_03-12-2012_9_3'!M3195,"AAAAAHXV+60=")</f>
        <v>#VALUE!</v>
      </c>
      <c r="FS200" t="e">
        <f>AND('Planilla_General_03-12-2012_9_3'!N3195,"AAAAAHXV+64=")</f>
        <v>#VALUE!</v>
      </c>
      <c r="FT200" t="e">
        <f>AND('Planilla_General_03-12-2012_9_3'!O3195,"AAAAAHXV+68=")</f>
        <v>#VALUE!</v>
      </c>
      <c r="FU200">
        <f>IF('Planilla_General_03-12-2012_9_3'!3196:3196,"AAAAAHXV+7A=",0)</f>
        <v>0</v>
      </c>
      <c r="FV200" t="e">
        <f>AND('Planilla_General_03-12-2012_9_3'!A3196,"AAAAAHXV+7E=")</f>
        <v>#VALUE!</v>
      </c>
      <c r="FW200" t="e">
        <f>AND('Planilla_General_03-12-2012_9_3'!B3196,"AAAAAHXV+7I=")</f>
        <v>#VALUE!</v>
      </c>
      <c r="FX200" t="e">
        <f>AND('Planilla_General_03-12-2012_9_3'!C3196,"AAAAAHXV+7M=")</f>
        <v>#VALUE!</v>
      </c>
      <c r="FY200" t="e">
        <f>AND('Planilla_General_03-12-2012_9_3'!D3196,"AAAAAHXV+7Q=")</f>
        <v>#VALUE!</v>
      </c>
      <c r="FZ200" t="e">
        <f>AND('Planilla_General_03-12-2012_9_3'!E3196,"AAAAAHXV+7U=")</f>
        <v>#VALUE!</v>
      </c>
      <c r="GA200" t="e">
        <f>AND('Planilla_General_03-12-2012_9_3'!F3196,"AAAAAHXV+7Y=")</f>
        <v>#VALUE!</v>
      </c>
      <c r="GB200" t="e">
        <f>AND('Planilla_General_03-12-2012_9_3'!G3196,"AAAAAHXV+7c=")</f>
        <v>#VALUE!</v>
      </c>
      <c r="GC200" t="e">
        <f>AND('Planilla_General_03-12-2012_9_3'!H3196,"AAAAAHXV+7g=")</f>
        <v>#VALUE!</v>
      </c>
      <c r="GD200" t="e">
        <f>AND('Planilla_General_03-12-2012_9_3'!I3196,"AAAAAHXV+7k=")</f>
        <v>#VALUE!</v>
      </c>
      <c r="GE200" t="e">
        <f>AND('Planilla_General_03-12-2012_9_3'!J3196,"AAAAAHXV+7o=")</f>
        <v>#VALUE!</v>
      </c>
      <c r="GF200" t="e">
        <f>AND('Planilla_General_03-12-2012_9_3'!K3196,"AAAAAHXV+7s=")</f>
        <v>#VALUE!</v>
      </c>
      <c r="GG200" t="e">
        <f>AND('Planilla_General_03-12-2012_9_3'!L3196,"AAAAAHXV+7w=")</f>
        <v>#VALUE!</v>
      </c>
      <c r="GH200" t="e">
        <f>AND('Planilla_General_03-12-2012_9_3'!M3196,"AAAAAHXV+70=")</f>
        <v>#VALUE!</v>
      </c>
      <c r="GI200" t="e">
        <f>AND('Planilla_General_03-12-2012_9_3'!N3196,"AAAAAHXV+74=")</f>
        <v>#VALUE!</v>
      </c>
      <c r="GJ200" t="e">
        <f>AND('Planilla_General_03-12-2012_9_3'!O3196,"AAAAAHXV+78=")</f>
        <v>#VALUE!</v>
      </c>
      <c r="GK200">
        <f>IF('Planilla_General_03-12-2012_9_3'!3197:3197,"AAAAAHXV+8A=",0)</f>
        <v>0</v>
      </c>
      <c r="GL200" t="e">
        <f>AND('Planilla_General_03-12-2012_9_3'!A3197,"AAAAAHXV+8E=")</f>
        <v>#VALUE!</v>
      </c>
      <c r="GM200" t="e">
        <f>AND('Planilla_General_03-12-2012_9_3'!B3197,"AAAAAHXV+8I=")</f>
        <v>#VALUE!</v>
      </c>
      <c r="GN200" t="e">
        <f>AND('Planilla_General_03-12-2012_9_3'!C3197,"AAAAAHXV+8M=")</f>
        <v>#VALUE!</v>
      </c>
      <c r="GO200" t="e">
        <f>AND('Planilla_General_03-12-2012_9_3'!D3197,"AAAAAHXV+8Q=")</f>
        <v>#VALUE!</v>
      </c>
      <c r="GP200" t="e">
        <f>AND('Planilla_General_03-12-2012_9_3'!E3197,"AAAAAHXV+8U=")</f>
        <v>#VALUE!</v>
      </c>
      <c r="GQ200" t="e">
        <f>AND('Planilla_General_03-12-2012_9_3'!F3197,"AAAAAHXV+8Y=")</f>
        <v>#VALUE!</v>
      </c>
      <c r="GR200" t="e">
        <f>AND('Planilla_General_03-12-2012_9_3'!G3197,"AAAAAHXV+8c=")</f>
        <v>#VALUE!</v>
      </c>
      <c r="GS200" t="e">
        <f>AND('Planilla_General_03-12-2012_9_3'!H3197,"AAAAAHXV+8g=")</f>
        <v>#VALUE!</v>
      </c>
      <c r="GT200" t="e">
        <f>AND('Planilla_General_03-12-2012_9_3'!I3197,"AAAAAHXV+8k=")</f>
        <v>#VALUE!</v>
      </c>
      <c r="GU200" t="e">
        <f>AND('Planilla_General_03-12-2012_9_3'!J3197,"AAAAAHXV+8o=")</f>
        <v>#VALUE!</v>
      </c>
      <c r="GV200" t="e">
        <f>AND('Planilla_General_03-12-2012_9_3'!K3197,"AAAAAHXV+8s=")</f>
        <v>#VALUE!</v>
      </c>
      <c r="GW200" t="e">
        <f>AND('Planilla_General_03-12-2012_9_3'!L3197,"AAAAAHXV+8w=")</f>
        <v>#VALUE!</v>
      </c>
      <c r="GX200" t="e">
        <f>AND('Planilla_General_03-12-2012_9_3'!M3197,"AAAAAHXV+80=")</f>
        <v>#VALUE!</v>
      </c>
      <c r="GY200" t="e">
        <f>AND('Planilla_General_03-12-2012_9_3'!N3197,"AAAAAHXV+84=")</f>
        <v>#VALUE!</v>
      </c>
      <c r="GZ200" t="e">
        <f>AND('Planilla_General_03-12-2012_9_3'!O3197,"AAAAAHXV+88=")</f>
        <v>#VALUE!</v>
      </c>
      <c r="HA200">
        <f>IF('Planilla_General_03-12-2012_9_3'!3198:3198,"AAAAAHXV+9A=",0)</f>
        <v>0</v>
      </c>
      <c r="HB200" t="e">
        <f>AND('Planilla_General_03-12-2012_9_3'!A3198,"AAAAAHXV+9E=")</f>
        <v>#VALUE!</v>
      </c>
      <c r="HC200" t="e">
        <f>AND('Planilla_General_03-12-2012_9_3'!B3198,"AAAAAHXV+9I=")</f>
        <v>#VALUE!</v>
      </c>
      <c r="HD200" t="e">
        <f>AND('Planilla_General_03-12-2012_9_3'!C3198,"AAAAAHXV+9M=")</f>
        <v>#VALUE!</v>
      </c>
      <c r="HE200" t="e">
        <f>AND('Planilla_General_03-12-2012_9_3'!D3198,"AAAAAHXV+9Q=")</f>
        <v>#VALUE!</v>
      </c>
      <c r="HF200" t="e">
        <f>AND('Planilla_General_03-12-2012_9_3'!E3198,"AAAAAHXV+9U=")</f>
        <v>#VALUE!</v>
      </c>
      <c r="HG200" t="e">
        <f>AND('Planilla_General_03-12-2012_9_3'!F3198,"AAAAAHXV+9Y=")</f>
        <v>#VALUE!</v>
      </c>
      <c r="HH200" t="e">
        <f>AND('Planilla_General_03-12-2012_9_3'!G3198,"AAAAAHXV+9c=")</f>
        <v>#VALUE!</v>
      </c>
      <c r="HI200" t="e">
        <f>AND('Planilla_General_03-12-2012_9_3'!H3198,"AAAAAHXV+9g=")</f>
        <v>#VALUE!</v>
      </c>
      <c r="HJ200" t="e">
        <f>AND('Planilla_General_03-12-2012_9_3'!I3198,"AAAAAHXV+9k=")</f>
        <v>#VALUE!</v>
      </c>
      <c r="HK200" t="e">
        <f>AND('Planilla_General_03-12-2012_9_3'!J3198,"AAAAAHXV+9o=")</f>
        <v>#VALUE!</v>
      </c>
      <c r="HL200" t="e">
        <f>AND('Planilla_General_03-12-2012_9_3'!K3198,"AAAAAHXV+9s=")</f>
        <v>#VALUE!</v>
      </c>
      <c r="HM200" t="e">
        <f>AND('Planilla_General_03-12-2012_9_3'!L3198,"AAAAAHXV+9w=")</f>
        <v>#VALUE!</v>
      </c>
      <c r="HN200" t="e">
        <f>AND('Planilla_General_03-12-2012_9_3'!M3198,"AAAAAHXV+90=")</f>
        <v>#VALUE!</v>
      </c>
      <c r="HO200" t="e">
        <f>AND('Planilla_General_03-12-2012_9_3'!N3198,"AAAAAHXV+94=")</f>
        <v>#VALUE!</v>
      </c>
      <c r="HP200" t="e">
        <f>AND('Planilla_General_03-12-2012_9_3'!O3198,"AAAAAHXV+98=")</f>
        <v>#VALUE!</v>
      </c>
      <c r="HQ200">
        <f>IF('Planilla_General_03-12-2012_9_3'!3199:3199,"AAAAAHXV++A=",0)</f>
        <v>0</v>
      </c>
      <c r="HR200" t="e">
        <f>AND('Planilla_General_03-12-2012_9_3'!A3199,"AAAAAHXV++E=")</f>
        <v>#VALUE!</v>
      </c>
      <c r="HS200" t="e">
        <f>AND('Planilla_General_03-12-2012_9_3'!B3199,"AAAAAHXV++I=")</f>
        <v>#VALUE!</v>
      </c>
      <c r="HT200" t="e">
        <f>AND('Planilla_General_03-12-2012_9_3'!C3199,"AAAAAHXV++M=")</f>
        <v>#VALUE!</v>
      </c>
      <c r="HU200" t="e">
        <f>AND('Planilla_General_03-12-2012_9_3'!D3199,"AAAAAHXV++Q=")</f>
        <v>#VALUE!</v>
      </c>
      <c r="HV200" t="e">
        <f>AND('Planilla_General_03-12-2012_9_3'!E3199,"AAAAAHXV++U=")</f>
        <v>#VALUE!</v>
      </c>
      <c r="HW200" t="e">
        <f>AND('Planilla_General_03-12-2012_9_3'!F3199,"AAAAAHXV++Y=")</f>
        <v>#VALUE!</v>
      </c>
      <c r="HX200" t="e">
        <f>AND('Planilla_General_03-12-2012_9_3'!G3199,"AAAAAHXV++c=")</f>
        <v>#VALUE!</v>
      </c>
      <c r="HY200" t="e">
        <f>AND('Planilla_General_03-12-2012_9_3'!H3199,"AAAAAHXV++g=")</f>
        <v>#VALUE!</v>
      </c>
      <c r="HZ200" t="e">
        <f>AND('Planilla_General_03-12-2012_9_3'!I3199,"AAAAAHXV++k=")</f>
        <v>#VALUE!</v>
      </c>
      <c r="IA200" t="e">
        <f>AND('Planilla_General_03-12-2012_9_3'!J3199,"AAAAAHXV++o=")</f>
        <v>#VALUE!</v>
      </c>
      <c r="IB200" t="e">
        <f>AND('Planilla_General_03-12-2012_9_3'!K3199,"AAAAAHXV++s=")</f>
        <v>#VALUE!</v>
      </c>
      <c r="IC200" t="e">
        <f>AND('Planilla_General_03-12-2012_9_3'!L3199,"AAAAAHXV++w=")</f>
        <v>#VALUE!</v>
      </c>
      <c r="ID200" t="e">
        <f>AND('Planilla_General_03-12-2012_9_3'!M3199,"AAAAAHXV++0=")</f>
        <v>#VALUE!</v>
      </c>
      <c r="IE200" t="e">
        <f>AND('Planilla_General_03-12-2012_9_3'!N3199,"AAAAAHXV++4=")</f>
        <v>#VALUE!</v>
      </c>
      <c r="IF200" t="e">
        <f>AND('Planilla_General_03-12-2012_9_3'!O3199,"AAAAAHXV++8=")</f>
        <v>#VALUE!</v>
      </c>
      <c r="IG200">
        <f>IF('Planilla_General_03-12-2012_9_3'!3200:3200,"AAAAAHXV+/A=",0)</f>
        <v>0</v>
      </c>
      <c r="IH200" t="e">
        <f>AND('Planilla_General_03-12-2012_9_3'!A3200,"AAAAAHXV+/E=")</f>
        <v>#VALUE!</v>
      </c>
      <c r="II200" t="e">
        <f>AND('Planilla_General_03-12-2012_9_3'!B3200,"AAAAAHXV+/I=")</f>
        <v>#VALUE!</v>
      </c>
      <c r="IJ200" t="e">
        <f>AND('Planilla_General_03-12-2012_9_3'!C3200,"AAAAAHXV+/M=")</f>
        <v>#VALUE!</v>
      </c>
      <c r="IK200" t="e">
        <f>AND('Planilla_General_03-12-2012_9_3'!D3200,"AAAAAHXV+/Q=")</f>
        <v>#VALUE!</v>
      </c>
      <c r="IL200" t="e">
        <f>AND('Planilla_General_03-12-2012_9_3'!E3200,"AAAAAHXV+/U=")</f>
        <v>#VALUE!</v>
      </c>
      <c r="IM200" t="e">
        <f>AND('Planilla_General_03-12-2012_9_3'!F3200,"AAAAAHXV+/Y=")</f>
        <v>#VALUE!</v>
      </c>
      <c r="IN200" t="e">
        <f>AND('Planilla_General_03-12-2012_9_3'!G3200,"AAAAAHXV+/c=")</f>
        <v>#VALUE!</v>
      </c>
      <c r="IO200" t="e">
        <f>AND('Planilla_General_03-12-2012_9_3'!H3200,"AAAAAHXV+/g=")</f>
        <v>#VALUE!</v>
      </c>
      <c r="IP200" t="e">
        <f>AND('Planilla_General_03-12-2012_9_3'!I3200,"AAAAAHXV+/k=")</f>
        <v>#VALUE!</v>
      </c>
      <c r="IQ200" t="e">
        <f>AND('Planilla_General_03-12-2012_9_3'!J3200,"AAAAAHXV+/o=")</f>
        <v>#VALUE!</v>
      </c>
      <c r="IR200" t="e">
        <f>AND('Planilla_General_03-12-2012_9_3'!K3200,"AAAAAHXV+/s=")</f>
        <v>#VALUE!</v>
      </c>
      <c r="IS200" t="e">
        <f>AND('Planilla_General_03-12-2012_9_3'!L3200,"AAAAAHXV+/w=")</f>
        <v>#VALUE!</v>
      </c>
      <c r="IT200" t="e">
        <f>AND('Planilla_General_03-12-2012_9_3'!M3200,"AAAAAHXV+/0=")</f>
        <v>#VALUE!</v>
      </c>
      <c r="IU200" t="e">
        <f>AND('Planilla_General_03-12-2012_9_3'!N3200,"AAAAAHXV+/4=")</f>
        <v>#VALUE!</v>
      </c>
      <c r="IV200" t="e">
        <f>AND('Planilla_General_03-12-2012_9_3'!O3200,"AAAAAHXV+/8=")</f>
        <v>#VALUE!</v>
      </c>
    </row>
    <row r="201" spans="1:256" x14ac:dyDescent="0.25">
      <c r="A201" t="e">
        <f>IF('Planilla_General_03-12-2012_9_3'!3201:3201,"AAAAAF/63QA=",0)</f>
        <v>#VALUE!</v>
      </c>
      <c r="B201" t="e">
        <f>AND('Planilla_General_03-12-2012_9_3'!A3201,"AAAAAF/63QE=")</f>
        <v>#VALUE!</v>
      </c>
      <c r="C201" t="e">
        <f>AND('Planilla_General_03-12-2012_9_3'!B3201,"AAAAAF/63QI=")</f>
        <v>#VALUE!</v>
      </c>
      <c r="D201" t="e">
        <f>AND('Planilla_General_03-12-2012_9_3'!C3201,"AAAAAF/63QM=")</f>
        <v>#VALUE!</v>
      </c>
      <c r="E201" t="e">
        <f>AND('Planilla_General_03-12-2012_9_3'!D3201,"AAAAAF/63QQ=")</f>
        <v>#VALUE!</v>
      </c>
      <c r="F201" t="e">
        <f>AND('Planilla_General_03-12-2012_9_3'!E3201,"AAAAAF/63QU=")</f>
        <v>#VALUE!</v>
      </c>
      <c r="G201" t="e">
        <f>AND('Planilla_General_03-12-2012_9_3'!F3201,"AAAAAF/63QY=")</f>
        <v>#VALUE!</v>
      </c>
      <c r="H201" t="e">
        <f>AND('Planilla_General_03-12-2012_9_3'!G3201,"AAAAAF/63Qc=")</f>
        <v>#VALUE!</v>
      </c>
      <c r="I201" t="e">
        <f>AND('Planilla_General_03-12-2012_9_3'!H3201,"AAAAAF/63Qg=")</f>
        <v>#VALUE!</v>
      </c>
      <c r="J201" t="e">
        <f>AND('Planilla_General_03-12-2012_9_3'!I3201,"AAAAAF/63Qk=")</f>
        <v>#VALUE!</v>
      </c>
      <c r="K201" t="e">
        <f>AND('Planilla_General_03-12-2012_9_3'!J3201,"AAAAAF/63Qo=")</f>
        <v>#VALUE!</v>
      </c>
      <c r="L201" t="e">
        <f>AND('Planilla_General_03-12-2012_9_3'!K3201,"AAAAAF/63Qs=")</f>
        <v>#VALUE!</v>
      </c>
      <c r="M201" t="e">
        <f>AND('Planilla_General_03-12-2012_9_3'!L3201,"AAAAAF/63Qw=")</f>
        <v>#VALUE!</v>
      </c>
      <c r="N201" t="e">
        <f>AND('Planilla_General_03-12-2012_9_3'!M3201,"AAAAAF/63Q0=")</f>
        <v>#VALUE!</v>
      </c>
      <c r="O201" t="e">
        <f>AND('Planilla_General_03-12-2012_9_3'!N3201,"AAAAAF/63Q4=")</f>
        <v>#VALUE!</v>
      </c>
      <c r="P201" t="e">
        <f>AND('Planilla_General_03-12-2012_9_3'!O3201,"AAAAAF/63Q8=")</f>
        <v>#VALUE!</v>
      </c>
      <c r="Q201">
        <f>IF('Planilla_General_03-12-2012_9_3'!3202:3202,"AAAAAF/63RA=",0)</f>
        <v>0</v>
      </c>
      <c r="R201" t="e">
        <f>AND('Planilla_General_03-12-2012_9_3'!A3202,"AAAAAF/63RE=")</f>
        <v>#VALUE!</v>
      </c>
      <c r="S201" t="e">
        <f>AND('Planilla_General_03-12-2012_9_3'!B3202,"AAAAAF/63RI=")</f>
        <v>#VALUE!</v>
      </c>
      <c r="T201" t="e">
        <f>AND('Planilla_General_03-12-2012_9_3'!C3202,"AAAAAF/63RM=")</f>
        <v>#VALUE!</v>
      </c>
      <c r="U201" t="e">
        <f>AND('Planilla_General_03-12-2012_9_3'!D3202,"AAAAAF/63RQ=")</f>
        <v>#VALUE!</v>
      </c>
      <c r="V201" t="e">
        <f>AND('Planilla_General_03-12-2012_9_3'!E3202,"AAAAAF/63RU=")</f>
        <v>#VALUE!</v>
      </c>
      <c r="W201" t="e">
        <f>AND('Planilla_General_03-12-2012_9_3'!F3202,"AAAAAF/63RY=")</f>
        <v>#VALUE!</v>
      </c>
      <c r="X201" t="e">
        <f>AND('Planilla_General_03-12-2012_9_3'!G3202,"AAAAAF/63Rc=")</f>
        <v>#VALUE!</v>
      </c>
      <c r="Y201" t="e">
        <f>AND('Planilla_General_03-12-2012_9_3'!H3202,"AAAAAF/63Rg=")</f>
        <v>#VALUE!</v>
      </c>
      <c r="Z201" t="e">
        <f>AND('Planilla_General_03-12-2012_9_3'!I3202,"AAAAAF/63Rk=")</f>
        <v>#VALUE!</v>
      </c>
      <c r="AA201" t="e">
        <f>AND('Planilla_General_03-12-2012_9_3'!J3202,"AAAAAF/63Ro=")</f>
        <v>#VALUE!</v>
      </c>
      <c r="AB201" t="e">
        <f>AND('Planilla_General_03-12-2012_9_3'!K3202,"AAAAAF/63Rs=")</f>
        <v>#VALUE!</v>
      </c>
      <c r="AC201" t="e">
        <f>AND('Planilla_General_03-12-2012_9_3'!L3202,"AAAAAF/63Rw=")</f>
        <v>#VALUE!</v>
      </c>
      <c r="AD201" t="e">
        <f>AND('Planilla_General_03-12-2012_9_3'!M3202,"AAAAAF/63R0=")</f>
        <v>#VALUE!</v>
      </c>
      <c r="AE201" t="e">
        <f>AND('Planilla_General_03-12-2012_9_3'!N3202,"AAAAAF/63R4=")</f>
        <v>#VALUE!</v>
      </c>
      <c r="AF201" t="e">
        <f>AND('Planilla_General_03-12-2012_9_3'!O3202,"AAAAAF/63R8=")</f>
        <v>#VALUE!</v>
      </c>
      <c r="AG201">
        <f>IF('Planilla_General_03-12-2012_9_3'!3203:3203,"AAAAAF/63SA=",0)</f>
        <v>0</v>
      </c>
      <c r="AH201" t="e">
        <f>AND('Planilla_General_03-12-2012_9_3'!A3203,"AAAAAF/63SE=")</f>
        <v>#VALUE!</v>
      </c>
      <c r="AI201" t="e">
        <f>AND('Planilla_General_03-12-2012_9_3'!B3203,"AAAAAF/63SI=")</f>
        <v>#VALUE!</v>
      </c>
      <c r="AJ201" t="e">
        <f>AND('Planilla_General_03-12-2012_9_3'!C3203,"AAAAAF/63SM=")</f>
        <v>#VALUE!</v>
      </c>
      <c r="AK201" t="e">
        <f>AND('Planilla_General_03-12-2012_9_3'!D3203,"AAAAAF/63SQ=")</f>
        <v>#VALUE!</v>
      </c>
      <c r="AL201" t="e">
        <f>AND('Planilla_General_03-12-2012_9_3'!E3203,"AAAAAF/63SU=")</f>
        <v>#VALUE!</v>
      </c>
      <c r="AM201" t="e">
        <f>AND('Planilla_General_03-12-2012_9_3'!F3203,"AAAAAF/63SY=")</f>
        <v>#VALUE!</v>
      </c>
      <c r="AN201" t="e">
        <f>AND('Planilla_General_03-12-2012_9_3'!G3203,"AAAAAF/63Sc=")</f>
        <v>#VALUE!</v>
      </c>
      <c r="AO201" t="e">
        <f>AND('Planilla_General_03-12-2012_9_3'!H3203,"AAAAAF/63Sg=")</f>
        <v>#VALUE!</v>
      </c>
      <c r="AP201" t="e">
        <f>AND('Planilla_General_03-12-2012_9_3'!I3203,"AAAAAF/63Sk=")</f>
        <v>#VALUE!</v>
      </c>
      <c r="AQ201" t="e">
        <f>AND('Planilla_General_03-12-2012_9_3'!J3203,"AAAAAF/63So=")</f>
        <v>#VALUE!</v>
      </c>
      <c r="AR201" t="e">
        <f>AND('Planilla_General_03-12-2012_9_3'!K3203,"AAAAAF/63Ss=")</f>
        <v>#VALUE!</v>
      </c>
      <c r="AS201" t="e">
        <f>AND('Planilla_General_03-12-2012_9_3'!L3203,"AAAAAF/63Sw=")</f>
        <v>#VALUE!</v>
      </c>
      <c r="AT201" t="e">
        <f>AND('Planilla_General_03-12-2012_9_3'!M3203,"AAAAAF/63S0=")</f>
        <v>#VALUE!</v>
      </c>
      <c r="AU201" t="e">
        <f>AND('Planilla_General_03-12-2012_9_3'!N3203,"AAAAAF/63S4=")</f>
        <v>#VALUE!</v>
      </c>
      <c r="AV201" t="e">
        <f>AND('Planilla_General_03-12-2012_9_3'!O3203,"AAAAAF/63S8=")</f>
        <v>#VALUE!</v>
      </c>
      <c r="AW201">
        <f>IF('Planilla_General_03-12-2012_9_3'!3204:3204,"AAAAAF/63TA=",0)</f>
        <v>0</v>
      </c>
      <c r="AX201" t="e">
        <f>AND('Planilla_General_03-12-2012_9_3'!A3204,"AAAAAF/63TE=")</f>
        <v>#VALUE!</v>
      </c>
      <c r="AY201" t="e">
        <f>AND('Planilla_General_03-12-2012_9_3'!B3204,"AAAAAF/63TI=")</f>
        <v>#VALUE!</v>
      </c>
      <c r="AZ201" t="e">
        <f>AND('Planilla_General_03-12-2012_9_3'!C3204,"AAAAAF/63TM=")</f>
        <v>#VALUE!</v>
      </c>
      <c r="BA201" t="e">
        <f>AND('Planilla_General_03-12-2012_9_3'!D3204,"AAAAAF/63TQ=")</f>
        <v>#VALUE!</v>
      </c>
      <c r="BB201" t="e">
        <f>AND('Planilla_General_03-12-2012_9_3'!E3204,"AAAAAF/63TU=")</f>
        <v>#VALUE!</v>
      </c>
      <c r="BC201" t="e">
        <f>AND('Planilla_General_03-12-2012_9_3'!F3204,"AAAAAF/63TY=")</f>
        <v>#VALUE!</v>
      </c>
      <c r="BD201" t="e">
        <f>AND('Planilla_General_03-12-2012_9_3'!G3204,"AAAAAF/63Tc=")</f>
        <v>#VALUE!</v>
      </c>
      <c r="BE201" t="e">
        <f>AND('Planilla_General_03-12-2012_9_3'!H3204,"AAAAAF/63Tg=")</f>
        <v>#VALUE!</v>
      </c>
      <c r="BF201" t="e">
        <f>AND('Planilla_General_03-12-2012_9_3'!I3204,"AAAAAF/63Tk=")</f>
        <v>#VALUE!</v>
      </c>
      <c r="BG201" t="e">
        <f>AND('Planilla_General_03-12-2012_9_3'!J3204,"AAAAAF/63To=")</f>
        <v>#VALUE!</v>
      </c>
      <c r="BH201" t="e">
        <f>AND('Planilla_General_03-12-2012_9_3'!K3204,"AAAAAF/63Ts=")</f>
        <v>#VALUE!</v>
      </c>
      <c r="BI201" t="e">
        <f>AND('Planilla_General_03-12-2012_9_3'!L3204,"AAAAAF/63Tw=")</f>
        <v>#VALUE!</v>
      </c>
      <c r="BJ201" t="e">
        <f>AND('Planilla_General_03-12-2012_9_3'!M3204,"AAAAAF/63T0=")</f>
        <v>#VALUE!</v>
      </c>
      <c r="BK201" t="e">
        <f>AND('Planilla_General_03-12-2012_9_3'!N3204,"AAAAAF/63T4=")</f>
        <v>#VALUE!</v>
      </c>
      <c r="BL201" t="e">
        <f>AND('Planilla_General_03-12-2012_9_3'!O3204,"AAAAAF/63T8=")</f>
        <v>#VALUE!</v>
      </c>
      <c r="BM201">
        <f>IF('Planilla_General_03-12-2012_9_3'!3205:3205,"AAAAAF/63UA=",0)</f>
        <v>0</v>
      </c>
      <c r="BN201" t="e">
        <f>AND('Planilla_General_03-12-2012_9_3'!A3205,"AAAAAF/63UE=")</f>
        <v>#VALUE!</v>
      </c>
      <c r="BO201" t="e">
        <f>AND('Planilla_General_03-12-2012_9_3'!B3205,"AAAAAF/63UI=")</f>
        <v>#VALUE!</v>
      </c>
      <c r="BP201" t="e">
        <f>AND('Planilla_General_03-12-2012_9_3'!C3205,"AAAAAF/63UM=")</f>
        <v>#VALUE!</v>
      </c>
      <c r="BQ201" t="e">
        <f>AND('Planilla_General_03-12-2012_9_3'!D3205,"AAAAAF/63UQ=")</f>
        <v>#VALUE!</v>
      </c>
      <c r="BR201" t="e">
        <f>AND('Planilla_General_03-12-2012_9_3'!E3205,"AAAAAF/63UU=")</f>
        <v>#VALUE!</v>
      </c>
      <c r="BS201" t="e">
        <f>AND('Planilla_General_03-12-2012_9_3'!F3205,"AAAAAF/63UY=")</f>
        <v>#VALUE!</v>
      </c>
      <c r="BT201" t="e">
        <f>AND('Planilla_General_03-12-2012_9_3'!G3205,"AAAAAF/63Uc=")</f>
        <v>#VALUE!</v>
      </c>
      <c r="BU201" t="e">
        <f>AND('Planilla_General_03-12-2012_9_3'!H3205,"AAAAAF/63Ug=")</f>
        <v>#VALUE!</v>
      </c>
      <c r="BV201" t="e">
        <f>AND('Planilla_General_03-12-2012_9_3'!I3205,"AAAAAF/63Uk=")</f>
        <v>#VALUE!</v>
      </c>
      <c r="BW201" t="e">
        <f>AND('Planilla_General_03-12-2012_9_3'!J3205,"AAAAAF/63Uo=")</f>
        <v>#VALUE!</v>
      </c>
      <c r="BX201" t="e">
        <f>AND('Planilla_General_03-12-2012_9_3'!K3205,"AAAAAF/63Us=")</f>
        <v>#VALUE!</v>
      </c>
      <c r="BY201" t="e">
        <f>AND('Planilla_General_03-12-2012_9_3'!L3205,"AAAAAF/63Uw=")</f>
        <v>#VALUE!</v>
      </c>
      <c r="BZ201" t="e">
        <f>AND('Planilla_General_03-12-2012_9_3'!M3205,"AAAAAF/63U0=")</f>
        <v>#VALUE!</v>
      </c>
      <c r="CA201" t="e">
        <f>AND('Planilla_General_03-12-2012_9_3'!N3205,"AAAAAF/63U4=")</f>
        <v>#VALUE!</v>
      </c>
      <c r="CB201" t="e">
        <f>AND('Planilla_General_03-12-2012_9_3'!O3205,"AAAAAF/63U8=")</f>
        <v>#VALUE!</v>
      </c>
      <c r="CC201">
        <f>IF('Planilla_General_03-12-2012_9_3'!3206:3206,"AAAAAF/63VA=",0)</f>
        <v>0</v>
      </c>
      <c r="CD201" t="e">
        <f>AND('Planilla_General_03-12-2012_9_3'!A3206,"AAAAAF/63VE=")</f>
        <v>#VALUE!</v>
      </c>
      <c r="CE201" t="e">
        <f>AND('Planilla_General_03-12-2012_9_3'!B3206,"AAAAAF/63VI=")</f>
        <v>#VALUE!</v>
      </c>
      <c r="CF201" t="e">
        <f>AND('Planilla_General_03-12-2012_9_3'!C3206,"AAAAAF/63VM=")</f>
        <v>#VALUE!</v>
      </c>
      <c r="CG201" t="e">
        <f>AND('Planilla_General_03-12-2012_9_3'!D3206,"AAAAAF/63VQ=")</f>
        <v>#VALUE!</v>
      </c>
      <c r="CH201" t="e">
        <f>AND('Planilla_General_03-12-2012_9_3'!E3206,"AAAAAF/63VU=")</f>
        <v>#VALUE!</v>
      </c>
      <c r="CI201" t="e">
        <f>AND('Planilla_General_03-12-2012_9_3'!F3206,"AAAAAF/63VY=")</f>
        <v>#VALUE!</v>
      </c>
      <c r="CJ201" t="e">
        <f>AND('Planilla_General_03-12-2012_9_3'!G3206,"AAAAAF/63Vc=")</f>
        <v>#VALUE!</v>
      </c>
      <c r="CK201" t="e">
        <f>AND('Planilla_General_03-12-2012_9_3'!H3206,"AAAAAF/63Vg=")</f>
        <v>#VALUE!</v>
      </c>
      <c r="CL201" t="e">
        <f>AND('Planilla_General_03-12-2012_9_3'!I3206,"AAAAAF/63Vk=")</f>
        <v>#VALUE!</v>
      </c>
      <c r="CM201" t="e">
        <f>AND('Planilla_General_03-12-2012_9_3'!J3206,"AAAAAF/63Vo=")</f>
        <v>#VALUE!</v>
      </c>
      <c r="CN201" t="e">
        <f>AND('Planilla_General_03-12-2012_9_3'!K3206,"AAAAAF/63Vs=")</f>
        <v>#VALUE!</v>
      </c>
      <c r="CO201" t="e">
        <f>AND('Planilla_General_03-12-2012_9_3'!L3206,"AAAAAF/63Vw=")</f>
        <v>#VALUE!</v>
      </c>
      <c r="CP201" t="e">
        <f>AND('Planilla_General_03-12-2012_9_3'!M3206,"AAAAAF/63V0=")</f>
        <v>#VALUE!</v>
      </c>
      <c r="CQ201" t="e">
        <f>AND('Planilla_General_03-12-2012_9_3'!N3206,"AAAAAF/63V4=")</f>
        <v>#VALUE!</v>
      </c>
      <c r="CR201" t="e">
        <f>AND('Planilla_General_03-12-2012_9_3'!O3206,"AAAAAF/63V8=")</f>
        <v>#VALUE!</v>
      </c>
      <c r="CS201">
        <f>IF('Planilla_General_03-12-2012_9_3'!3207:3207,"AAAAAF/63WA=",0)</f>
        <v>0</v>
      </c>
      <c r="CT201" t="e">
        <f>AND('Planilla_General_03-12-2012_9_3'!A3207,"AAAAAF/63WE=")</f>
        <v>#VALUE!</v>
      </c>
      <c r="CU201" t="e">
        <f>AND('Planilla_General_03-12-2012_9_3'!B3207,"AAAAAF/63WI=")</f>
        <v>#VALUE!</v>
      </c>
      <c r="CV201" t="e">
        <f>AND('Planilla_General_03-12-2012_9_3'!C3207,"AAAAAF/63WM=")</f>
        <v>#VALUE!</v>
      </c>
      <c r="CW201" t="e">
        <f>AND('Planilla_General_03-12-2012_9_3'!D3207,"AAAAAF/63WQ=")</f>
        <v>#VALUE!</v>
      </c>
      <c r="CX201" t="e">
        <f>AND('Planilla_General_03-12-2012_9_3'!E3207,"AAAAAF/63WU=")</f>
        <v>#VALUE!</v>
      </c>
      <c r="CY201" t="e">
        <f>AND('Planilla_General_03-12-2012_9_3'!F3207,"AAAAAF/63WY=")</f>
        <v>#VALUE!</v>
      </c>
      <c r="CZ201" t="e">
        <f>AND('Planilla_General_03-12-2012_9_3'!G3207,"AAAAAF/63Wc=")</f>
        <v>#VALUE!</v>
      </c>
      <c r="DA201" t="e">
        <f>AND('Planilla_General_03-12-2012_9_3'!H3207,"AAAAAF/63Wg=")</f>
        <v>#VALUE!</v>
      </c>
      <c r="DB201" t="e">
        <f>AND('Planilla_General_03-12-2012_9_3'!I3207,"AAAAAF/63Wk=")</f>
        <v>#VALUE!</v>
      </c>
      <c r="DC201" t="e">
        <f>AND('Planilla_General_03-12-2012_9_3'!J3207,"AAAAAF/63Wo=")</f>
        <v>#VALUE!</v>
      </c>
      <c r="DD201" t="e">
        <f>AND('Planilla_General_03-12-2012_9_3'!K3207,"AAAAAF/63Ws=")</f>
        <v>#VALUE!</v>
      </c>
      <c r="DE201" t="e">
        <f>AND('Planilla_General_03-12-2012_9_3'!L3207,"AAAAAF/63Ww=")</f>
        <v>#VALUE!</v>
      </c>
      <c r="DF201" t="e">
        <f>AND('Planilla_General_03-12-2012_9_3'!M3207,"AAAAAF/63W0=")</f>
        <v>#VALUE!</v>
      </c>
      <c r="DG201" t="e">
        <f>AND('Planilla_General_03-12-2012_9_3'!N3207,"AAAAAF/63W4=")</f>
        <v>#VALUE!</v>
      </c>
      <c r="DH201" t="e">
        <f>AND('Planilla_General_03-12-2012_9_3'!O3207,"AAAAAF/63W8=")</f>
        <v>#VALUE!</v>
      </c>
      <c r="DI201">
        <f>IF('Planilla_General_03-12-2012_9_3'!3208:3208,"AAAAAF/63XA=",0)</f>
        <v>0</v>
      </c>
      <c r="DJ201" t="e">
        <f>AND('Planilla_General_03-12-2012_9_3'!A3208,"AAAAAF/63XE=")</f>
        <v>#VALUE!</v>
      </c>
      <c r="DK201" t="e">
        <f>AND('Planilla_General_03-12-2012_9_3'!B3208,"AAAAAF/63XI=")</f>
        <v>#VALUE!</v>
      </c>
      <c r="DL201" t="e">
        <f>AND('Planilla_General_03-12-2012_9_3'!C3208,"AAAAAF/63XM=")</f>
        <v>#VALUE!</v>
      </c>
      <c r="DM201" t="e">
        <f>AND('Planilla_General_03-12-2012_9_3'!D3208,"AAAAAF/63XQ=")</f>
        <v>#VALUE!</v>
      </c>
      <c r="DN201" t="e">
        <f>AND('Planilla_General_03-12-2012_9_3'!E3208,"AAAAAF/63XU=")</f>
        <v>#VALUE!</v>
      </c>
      <c r="DO201" t="e">
        <f>AND('Planilla_General_03-12-2012_9_3'!F3208,"AAAAAF/63XY=")</f>
        <v>#VALUE!</v>
      </c>
      <c r="DP201" t="e">
        <f>AND('Planilla_General_03-12-2012_9_3'!G3208,"AAAAAF/63Xc=")</f>
        <v>#VALUE!</v>
      </c>
      <c r="DQ201" t="e">
        <f>AND('Planilla_General_03-12-2012_9_3'!H3208,"AAAAAF/63Xg=")</f>
        <v>#VALUE!</v>
      </c>
      <c r="DR201" t="e">
        <f>AND('Planilla_General_03-12-2012_9_3'!I3208,"AAAAAF/63Xk=")</f>
        <v>#VALUE!</v>
      </c>
      <c r="DS201" t="e">
        <f>AND('Planilla_General_03-12-2012_9_3'!J3208,"AAAAAF/63Xo=")</f>
        <v>#VALUE!</v>
      </c>
      <c r="DT201" t="e">
        <f>AND('Planilla_General_03-12-2012_9_3'!K3208,"AAAAAF/63Xs=")</f>
        <v>#VALUE!</v>
      </c>
      <c r="DU201" t="e">
        <f>AND('Planilla_General_03-12-2012_9_3'!L3208,"AAAAAF/63Xw=")</f>
        <v>#VALUE!</v>
      </c>
      <c r="DV201" t="e">
        <f>AND('Planilla_General_03-12-2012_9_3'!M3208,"AAAAAF/63X0=")</f>
        <v>#VALUE!</v>
      </c>
      <c r="DW201" t="e">
        <f>AND('Planilla_General_03-12-2012_9_3'!N3208,"AAAAAF/63X4=")</f>
        <v>#VALUE!</v>
      </c>
      <c r="DX201" t="e">
        <f>AND('Planilla_General_03-12-2012_9_3'!O3208,"AAAAAF/63X8=")</f>
        <v>#VALUE!</v>
      </c>
      <c r="DY201">
        <f>IF('Planilla_General_03-12-2012_9_3'!3209:3209,"AAAAAF/63YA=",0)</f>
        <v>0</v>
      </c>
      <c r="DZ201" t="e">
        <f>AND('Planilla_General_03-12-2012_9_3'!A3209,"AAAAAF/63YE=")</f>
        <v>#VALUE!</v>
      </c>
      <c r="EA201" t="e">
        <f>AND('Planilla_General_03-12-2012_9_3'!B3209,"AAAAAF/63YI=")</f>
        <v>#VALUE!</v>
      </c>
      <c r="EB201" t="e">
        <f>AND('Planilla_General_03-12-2012_9_3'!C3209,"AAAAAF/63YM=")</f>
        <v>#VALUE!</v>
      </c>
      <c r="EC201" t="e">
        <f>AND('Planilla_General_03-12-2012_9_3'!D3209,"AAAAAF/63YQ=")</f>
        <v>#VALUE!</v>
      </c>
      <c r="ED201" t="e">
        <f>AND('Planilla_General_03-12-2012_9_3'!E3209,"AAAAAF/63YU=")</f>
        <v>#VALUE!</v>
      </c>
      <c r="EE201" t="e">
        <f>AND('Planilla_General_03-12-2012_9_3'!F3209,"AAAAAF/63YY=")</f>
        <v>#VALUE!</v>
      </c>
      <c r="EF201" t="e">
        <f>AND('Planilla_General_03-12-2012_9_3'!G3209,"AAAAAF/63Yc=")</f>
        <v>#VALUE!</v>
      </c>
      <c r="EG201" t="e">
        <f>AND('Planilla_General_03-12-2012_9_3'!H3209,"AAAAAF/63Yg=")</f>
        <v>#VALUE!</v>
      </c>
      <c r="EH201" t="e">
        <f>AND('Planilla_General_03-12-2012_9_3'!I3209,"AAAAAF/63Yk=")</f>
        <v>#VALUE!</v>
      </c>
      <c r="EI201" t="e">
        <f>AND('Planilla_General_03-12-2012_9_3'!J3209,"AAAAAF/63Yo=")</f>
        <v>#VALUE!</v>
      </c>
      <c r="EJ201" t="e">
        <f>AND('Planilla_General_03-12-2012_9_3'!K3209,"AAAAAF/63Ys=")</f>
        <v>#VALUE!</v>
      </c>
      <c r="EK201" t="e">
        <f>AND('Planilla_General_03-12-2012_9_3'!L3209,"AAAAAF/63Yw=")</f>
        <v>#VALUE!</v>
      </c>
      <c r="EL201" t="e">
        <f>AND('Planilla_General_03-12-2012_9_3'!M3209,"AAAAAF/63Y0=")</f>
        <v>#VALUE!</v>
      </c>
      <c r="EM201" t="e">
        <f>AND('Planilla_General_03-12-2012_9_3'!N3209,"AAAAAF/63Y4=")</f>
        <v>#VALUE!</v>
      </c>
      <c r="EN201" t="e">
        <f>AND('Planilla_General_03-12-2012_9_3'!O3209,"AAAAAF/63Y8=")</f>
        <v>#VALUE!</v>
      </c>
      <c r="EO201">
        <f>IF('Planilla_General_03-12-2012_9_3'!3210:3210,"AAAAAF/63ZA=",0)</f>
        <v>0</v>
      </c>
      <c r="EP201" t="e">
        <f>AND('Planilla_General_03-12-2012_9_3'!A3210,"AAAAAF/63ZE=")</f>
        <v>#VALUE!</v>
      </c>
      <c r="EQ201" t="e">
        <f>AND('Planilla_General_03-12-2012_9_3'!B3210,"AAAAAF/63ZI=")</f>
        <v>#VALUE!</v>
      </c>
      <c r="ER201" t="e">
        <f>AND('Planilla_General_03-12-2012_9_3'!C3210,"AAAAAF/63ZM=")</f>
        <v>#VALUE!</v>
      </c>
      <c r="ES201" t="e">
        <f>AND('Planilla_General_03-12-2012_9_3'!D3210,"AAAAAF/63ZQ=")</f>
        <v>#VALUE!</v>
      </c>
      <c r="ET201" t="e">
        <f>AND('Planilla_General_03-12-2012_9_3'!E3210,"AAAAAF/63ZU=")</f>
        <v>#VALUE!</v>
      </c>
      <c r="EU201" t="e">
        <f>AND('Planilla_General_03-12-2012_9_3'!F3210,"AAAAAF/63ZY=")</f>
        <v>#VALUE!</v>
      </c>
      <c r="EV201" t="e">
        <f>AND('Planilla_General_03-12-2012_9_3'!G3210,"AAAAAF/63Zc=")</f>
        <v>#VALUE!</v>
      </c>
      <c r="EW201" t="e">
        <f>AND('Planilla_General_03-12-2012_9_3'!H3210,"AAAAAF/63Zg=")</f>
        <v>#VALUE!</v>
      </c>
      <c r="EX201" t="e">
        <f>AND('Planilla_General_03-12-2012_9_3'!I3210,"AAAAAF/63Zk=")</f>
        <v>#VALUE!</v>
      </c>
      <c r="EY201" t="e">
        <f>AND('Planilla_General_03-12-2012_9_3'!J3210,"AAAAAF/63Zo=")</f>
        <v>#VALUE!</v>
      </c>
      <c r="EZ201" t="e">
        <f>AND('Planilla_General_03-12-2012_9_3'!K3210,"AAAAAF/63Zs=")</f>
        <v>#VALUE!</v>
      </c>
      <c r="FA201" t="e">
        <f>AND('Planilla_General_03-12-2012_9_3'!L3210,"AAAAAF/63Zw=")</f>
        <v>#VALUE!</v>
      </c>
      <c r="FB201" t="e">
        <f>AND('Planilla_General_03-12-2012_9_3'!M3210,"AAAAAF/63Z0=")</f>
        <v>#VALUE!</v>
      </c>
      <c r="FC201" t="e">
        <f>AND('Planilla_General_03-12-2012_9_3'!N3210,"AAAAAF/63Z4=")</f>
        <v>#VALUE!</v>
      </c>
      <c r="FD201" t="e">
        <f>AND('Planilla_General_03-12-2012_9_3'!O3210,"AAAAAF/63Z8=")</f>
        <v>#VALUE!</v>
      </c>
      <c r="FE201">
        <f>IF('Planilla_General_03-12-2012_9_3'!3211:3211,"AAAAAF/63aA=",0)</f>
        <v>0</v>
      </c>
      <c r="FF201" t="e">
        <f>AND('Planilla_General_03-12-2012_9_3'!A3211,"AAAAAF/63aE=")</f>
        <v>#VALUE!</v>
      </c>
      <c r="FG201" t="e">
        <f>AND('Planilla_General_03-12-2012_9_3'!B3211,"AAAAAF/63aI=")</f>
        <v>#VALUE!</v>
      </c>
      <c r="FH201" t="e">
        <f>AND('Planilla_General_03-12-2012_9_3'!C3211,"AAAAAF/63aM=")</f>
        <v>#VALUE!</v>
      </c>
      <c r="FI201" t="e">
        <f>AND('Planilla_General_03-12-2012_9_3'!D3211,"AAAAAF/63aQ=")</f>
        <v>#VALUE!</v>
      </c>
      <c r="FJ201" t="e">
        <f>AND('Planilla_General_03-12-2012_9_3'!E3211,"AAAAAF/63aU=")</f>
        <v>#VALUE!</v>
      </c>
      <c r="FK201" t="e">
        <f>AND('Planilla_General_03-12-2012_9_3'!F3211,"AAAAAF/63aY=")</f>
        <v>#VALUE!</v>
      </c>
      <c r="FL201" t="e">
        <f>AND('Planilla_General_03-12-2012_9_3'!G3211,"AAAAAF/63ac=")</f>
        <v>#VALUE!</v>
      </c>
      <c r="FM201" t="e">
        <f>AND('Planilla_General_03-12-2012_9_3'!H3211,"AAAAAF/63ag=")</f>
        <v>#VALUE!</v>
      </c>
      <c r="FN201" t="e">
        <f>AND('Planilla_General_03-12-2012_9_3'!I3211,"AAAAAF/63ak=")</f>
        <v>#VALUE!</v>
      </c>
      <c r="FO201" t="e">
        <f>AND('Planilla_General_03-12-2012_9_3'!J3211,"AAAAAF/63ao=")</f>
        <v>#VALUE!</v>
      </c>
      <c r="FP201" t="e">
        <f>AND('Planilla_General_03-12-2012_9_3'!K3211,"AAAAAF/63as=")</f>
        <v>#VALUE!</v>
      </c>
      <c r="FQ201" t="e">
        <f>AND('Planilla_General_03-12-2012_9_3'!L3211,"AAAAAF/63aw=")</f>
        <v>#VALUE!</v>
      </c>
      <c r="FR201" t="e">
        <f>AND('Planilla_General_03-12-2012_9_3'!M3211,"AAAAAF/63a0=")</f>
        <v>#VALUE!</v>
      </c>
      <c r="FS201" t="e">
        <f>AND('Planilla_General_03-12-2012_9_3'!N3211,"AAAAAF/63a4=")</f>
        <v>#VALUE!</v>
      </c>
      <c r="FT201" t="e">
        <f>AND('Planilla_General_03-12-2012_9_3'!O3211,"AAAAAF/63a8=")</f>
        <v>#VALUE!</v>
      </c>
      <c r="FU201">
        <f>IF('Planilla_General_03-12-2012_9_3'!3212:3212,"AAAAAF/63bA=",0)</f>
        <v>0</v>
      </c>
      <c r="FV201" t="e">
        <f>AND('Planilla_General_03-12-2012_9_3'!A3212,"AAAAAF/63bE=")</f>
        <v>#VALUE!</v>
      </c>
      <c r="FW201" t="e">
        <f>AND('Planilla_General_03-12-2012_9_3'!B3212,"AAAAAF/63bI=")</f>
        <v>#VALUE!</v>
      </c>
      <c r="FX201" t="e">
        <f>AND('Planilla_General_03-12-2012_9_3'!C3212,"AAAAAF/63bM=")</f>
        <v>#VALUE!</v>
      </c>
      <c r="FY201" t="e">
        <f>AND('Planilla_General_03-12-2012_9_3'!D3212,"AAAAAF/63bQ=")</f>
        <v>#VALUE!</v>
      </c>
      <c r="FZ201" t="e">
        <f>AND('Planilla_General_03-12-2012_9_3'!E3212,"AAAAAF/63bU=")</f>
        <v>#VALUE!</v>
      </c>
      <c r="GA201" t="e">
        <f>AND('Planilla_General_03-12-2012_9_3'!F3212,"AAAAAF/63bY=")</f>
        <v>#VALUE!</v>
      </c>
      <c r="GB201" t="e">
        <f>AND('Planilla_General_03-12-2012_9_3'!G3212,"AAAAAF/63bc=")</f>
        <v>#VALUE!</v>
      </c>
      <c r="GC201" t="e">
        <f>AND('Planilla_General_03-12-2012_9_3'!H3212,"AAAAAF/63bg=")</f>
        <v>#VALUE!</v>
      </c>
      <c r="GD201" t="e">
        <f>AND('Planilla_General_03-12-2012_9_3'!I3212,"AAAAAF/63bk=")</f>
        <v>#VALUE!</v>
      </c>
      <c r="GE201" t="e">
        <f>AND('Planilla_General_03-12-2012_9_3'!J3212,"AAAAAF/63bo=")</f>
        <v>#VALUE!</v>
      </c>
      <c r="GF201" t="e">
        <f>AND('Planilla_General_03-12-2012_9_3'!K3212,"AAAAAF/63bs=")</f>
        <v>#VALUE!</v>
      </c>
      <c r="GG201" t="e">
        <f>AND('Planilla_General_03-12-2012_9_3'!L3212,"AAAAAF/63bw=")</f>
        <v>#VALUE!</v>
      </c>
      <c r="GH201" t="e">
        <f>AND('Planilla_General_03-12-2012_9_3'!M3212,"AAAAAF/63b0=")</f>
        <v>#VALUE!</v>
      </c>
      <c r="GI201" t="e">
        <f>AND('Planilla_General_03-12-2012_9_3'!N3212,"AAAAAF/63b4=")</f>
        <v>#VALUE!</v>
      </c>
      <c r="GJ201" t="e">
        <f>AND('Planilla_General_03-12-2012_9_3'!O3212,"AAAAAF/63b8=")</f>
        <v>#VALUE!</v>
      </c>
      <c r="GK201">
        <f>IF('Planilla_General_03-12-2012_9_3'!3213:3213,"AAAAAF/63cA=",0)</f>
        <v>0</v>
      </c>
      <c r="GL201" t="e">
        <f>AND('Planilla_General_03-12-2012_9_3'!A3213,"AAAAAF/63cE=")</f>
        <v>#VALUE!</v>
      </c>
      <c r="GM201" t="e">
        <f>AND('Planilla_General_03-12-2012_9_3'!B3213,"AAAAAF/63cI=")</f>
        <v>#VALUE!</v>
      </c>
      <c r="GN201" t="e">
        <f>AND('Planilla_General_03-12-2012_9_3'!C3213,"AAAAAF/63cM=")</f>
        <v>#VALUE!</v>
      </c>
      <c r="GO201" t="e">
        <f>AND('Planilla_General_03-12-2012_9_3'!D3213,"AAAAAF/63cQ=")</f>
        <v>#VALUE!</v>
      </c>
      <c r="GP201" t="e">
        <f>AND('Planilla_General_03-12-2012_9_3'!E3213,"AAAAAF/63cU=")</f>
        <v>#VALUE!</v>
      </c>
      <c r="GQ201" t="e">
        <f>AND('Planilla_General_03-12-2012_9_3'!F3213,"AAAAAF/63cY=")</f>
        <v>#VALUE!</v>
      </c>
      <c r="GR201" t="e">
        <f>AND('Planilla_General_03-12-2012_9_3'!G3213,"AAAAAF/63cc=")</f>
        <v>#VALUE!</v>
      </c>
      <c r="GS201" t="e">
        <f>AND('Planilla_General_03-12-2012_9_3'!H3213,"AAAAAF/63cg=")</f>
        <v>#VALUE!</v>
      </c>
      <c r="GT201" t="e">
        <f>AND('Planilla_General_03-12-2012_9_3'!I3213,"AAAAAF/63ck=")</f>
        <v>#VALUE!</v>
      </c>
      <c r="GU201" t="e">
        <f>AND('Planilla_General_03-12-2012_9_3'!J3213,"AAAAAF/63co=")</f>
        <v>#VALUE!</v>
      </c>
      <c r="GV201" t="e">
        <f>AND('Planilla_General_03-12-2012_9_3'!K3213,"AAAAAF/63cs=")</f>
        <v>#VALUE!</v>
      </c>
      <c r="GW201" t="e">
        <f>AND('Planilla_General_03-12-2012_9_3'!L3213,"AAAAAF/63cw=")</f>
        <v>#VALUE!</v>
      </c>
      <c r="GX201" t="e">
        <f>AND('Planilla_General_03-12-2012_9_3'!M3213,"AAAAAF/63c0=")</f>
        <v>#VALUE!</v>
      </c>
      <c r="GY201" t="e">
        <f>AND('Planilla_General_03-12-2012_9_3'!N3213,"AAAAAF/63c4=")</f>
        <v>#VALUE!</v>
      </c>
      <c r="GZ201" t="e">
        <f>AND('Planilla_General_03-12-2012_9_3'!O3213,"AAAAAF/63c8=")</f>
        <v>#VALUE!</v>
      </c>
      <c r="HA201">
        <f>IF('Planilla_General_03-12-2012_9_3'!3214:3214,"AAAAAF/63dA=",0)</f>
        <v>0</v>
      </c>
      <c r="HB201" t="e">
        <f>AND('Planilla_General_03-12-2012_9_3'!A3214,"AAAAAF/63dE=")</f>
        <v>#VALUE!</v>
      </c>
      <c r="HC201" t="e">
        <f>AND('Planilla_General_03-12-2012_9_3'!B3214,"AAAAAF/63dI=")</f>
        <v>#VALUE!</v>
      </c>
      <c r="HD201" t="e">
        <f>AND('Planilla_General_03-12-2012_9_3'!C3214,"AAAAAF/63dM=")</f>
        <v>#VALUE!</v>
      </c>
      <c r="HE201" t="e">
        <f>AND('Planilla_General_03-12-2012_9_3'!D3214,"AAAAAF/63dQ=")</f>
        <v>#VALUE!</v>
      </c>
      <c r="HF201" t="e">
        <f>AND('Planilla_General_03-12-2012_9_3'!E3214,"AAAAAF/63dU=")</f>
        <v>#VALUE!</v>
      </c>
      <c r="HG201" t="e">
        <f>AND('Planilla_General_03-12-2012_9_3'!F3214,"AAAAAF/63dY=")</f>
        <v>#VALUE!</v>
      </c>
      <c r="HH201" t="e">
        <f>AND('Planilla_General_03-12-2012_9_3'!G3214,"AAAAAF/63dc=")</f>
        <v>#VALUE!</v>
      </c>
      <c r="HI201" t="e">
        <f>AND('Planilla_General_03-12-2012_9_3'!H3214,"AAAAAF/63dg=")</f>
        <v>#VALUE!</v>
      </c>
      <c r="HJ201" t="e">
        <f>AND('Planilla_General_03-12-2012_9_3'!I3214,"AAAAAF/63dk=")</f>
        <v>#VALUE!</v>
      </c>
      <c r="HK201" t="e">
        <f>AND('Planilla_General_03-12-2012_9_3'!J3214,"AAAAAF/63do=")</f>
        <v>#VALUE!</v>
      </c>
      <c r="HL201" t="e">
        <f>AND('Planilla_General_03-12-2012_9_3'!K3214,"AAAAAF/63ds=")</f>
        <v>#VALUE!</v>
      </c>
      <c r="HM201" t="e">
        <f>AND('Planilla_General_03-12-2012_9_3'!L3214,"AAAAAF/63dw=")</f>
        <v>#VALUE!</v>
      </c>
      <c r="HN201" t="e">
        <f>AND('Planilla_General_03-12-2012_9_3'!M3214,"AAAAAF/63d0=")</f>
        <v>#VALUE!</v>
      </c>
      <c r="HO201" t="e">
        <f>AND('Planilla_General_03-12-2012_9_3'!N3214,"AAAAAF/63d4=")</f>
        <v>#VALUE!</v>
      </c>
      <c r="HP201" t="e">
        <f>AND('Planilla_General_03-12-2012_9_3'!O3214,"AAAAAF/63d8=")</f>
        <v>#VALUE!</v>
      </c>
      <c r="HQ201">
        <f>IF('Planilla_General_03-12-2012_9_3'!3215:3215,"AAAAAF/63eA=",0)</f>
        <v>0</v>
      </c>
      <c r="HR201" t="e">
        <f>AND('Planilla_General_03-12-2012_9_3'!A3215,"AAAAAF/63eE=")</f>
        <v>#VALUE!</v>
      </c>
      <c r="HS201" t="e">
        <f>AND('Planilla_General_03-12-2012_9_3'!B3215,"AAAAAF/63eI=")</f>
        <v>#VALUE!</v>
      </c>
      <c r="HT201" t="e">
        <f>AND('Planilla_General_03-12-2012_9_3'!C3215,"AAAAAF/63eM=")</f>
        <v>#VALUE!</v>
      </c>
      <c r="HU201" t="e">
        <f>AND('Planilla_General_03-12-2012_9_3'!D3215,"AAAAAF/63eQ=")</f>
        <v>#VALUE!</v>
      </c>
      <c r="HV201" t="e">
        <f>AND('Planilla_General_03-12-2012_9_3'!E3215,"AAAAAF/63eU=")</f>
        <v>#VALUE!</v>
      </c>
      <c r="HW201" t="e">
        <f>AND('Planilla_General_03-12-2012_9_3'!F3215,"AAAAAF/63eY=")</f>
        <v>#VALUE!</v>
      </c>
      <c r="HX201" t="e">
        <f>AND('Planilla_General_03-12-2012_9_3'!G3215,"AAAAAF/63ec=")</f>
        <v>#VALUE!</v>
      </c>
      <c r="HY201" t="e">
        <f>AND('Planilla_General_03-12-2012_9_3'!H3215,"AAAAAF/63eg=")</f>
        <v>#VALUE!</v>
      </c>
      <c r="HZ201" t="e">
        <f>AND('Planilla_General_03-12-2012_9_3'!I3215,"AAAAAF/63ek=")</f>
        <v>#VALUE!</v>
      </c>
      <c r="IA201" t="e">
        <f>AND('Planilla_General_03-12-2012_9_3'!J3215,"AAAAAF/63eo=")</f>
        <v>#VALUE!</v>
      </c>
      <c r="IB201" t="e">
        <f>AND('Planilla_General_03-12-2012_9_3'!K3215,"AAAAAF/63es=")</f>
        <v>#VALUE!</v>
      </c>
      <c r="IC201" t="e">
        <f>AND('Planilla_General_03-12-2012_9_3'!L3215,"AAAAAF/63ew=")</f>
        <v>#VALUE!</v>
      </c>
      <c r="ID201" t="e">
        <f>AND('Planilla_General_03-12-2012_9_3'!M3215,"AAAAAF/63e0=")</f>
        <v>#VALUE!</v>
      </c>
      <c r="IE201" t="e">
        <f>AND('Planilla_General_03-12-2012_9_3'!N3215,"AAAAAF/63e4=")</f>
        <v>#VALUE!</v>
      </c>
      <c r="IF201" t="e">
        <f>AND('Planilla_General_03-12-2012_9_3'!O3215,"AAAAAF/63e8=")</f>
        <v>#VALUE!</v>
      </c>
      <c r="IG201">
        <f>IF('Planilla_General_03-12-2012_9_3'!3216:3216,"AAAAAF/63fA=",0)</f>
        <v>0</v>
      </c>
      <c r="IH201" t="e">
        <f>AND('Planilla_General_03-12-2012_9_3'!A3216,"AAAAAF/63fE=")</f>
        <v>#VALUE!</v>
      </c>
      <c r="II201" t="e">
        <f>AND('Planilla_General_03-12-2012_9_3'!B3216,"AAAAAF/63fI=")</f>
        <v>#VALUE!</v>
      </c>
      <c r="IJ201" t="e">
        <f>AND('Planilla_General_03-12-2012_9_3'!C3216,"AAAAAF/63fM=")</f>
        <v>#VALUE!</v>
      </c>
      <c r="IK201" t="e">
        <f>AND('Planilla_General_03-12-2012_9_3'!D3216,"AAAAAF/63fQ=")</f>
        <v>#VALUE!</v>
      </c>
      <c r="IL201" t="e">
        <f>AND('Planilla_General_03-12-2012_9_3'!E3216,"AAAAAF/63fU=")</f>
        <v>#VALUE!</v>
      </c>
      <c r="IM201" t="e">
        <f>AND('Planilla_General_03-12-2012_9_3'!F3216,"AAAAAF/63fY=")</f>
        <v>#VALUE!</v>
      </c>
      <c r="IN201" t="e">
        <f>AND('Planilla_General_03-12-2012_9_3'!G3216,"AAAAAF/63fc=")</f>
        <v>#VALUE!</v>
      </c>
      <c r="IO201" t="e">
        <f>AND('Planilla_General_03-12-2012_9_3'!H3216,"AAAAAF/63fg=")</f>
        <v>#VALUE!</v>
      </c>
      <c r="IP201" t="e">
        <f>AND('Planilla_General_03-12-2012_9_3'!I3216,"AAAAAF/63fk=")</f>
        <v>#VALUE!</v>
      </c>
      <c r="IQ201" t="e">
        <f>AND('Planilla_General_03-12-2012_9_3'!J3216,"AAAAAF/63fo=")</f>
        <v>#VALUE!</v>
      </c>
      <c r="IR201" t="e">
        <f>AND('Planilla_General_03-12-2012_9_3'!K3216,"AAAAAF/63fs=")</f>
        <v>#VALUE!</v>
      </c>
      <c r="IS201" t="e">
        <f>AND('Planilla_General_03-12-2012_9_3'!L3216,"AAAAAF/63fw=")</f>
        <v>#VALUE!</v>
      </c>
      <c r="IT201" t="e">
        <f>AND('Planilla_General_03-12-2012_9_3'!M3216,"AAAAAF/63f0=")</f>
        <v>#VALUE!</v>
      </c>
      <c r="IU201" t="e">
        <f>AND('Planilla_General_03-12-2012_9_3'!N3216,"AAAAAF/63f4=")</f>
        <v>#VALUE!</v>
      </c>
      <c r="IV201" t="e">
        <f>AND('Planilla_General_03-12-2012_9_3'!O3216,"AAAAAF/63f8=")</f>
        <v>#VALUE!</v>
      </c>
    </row>
    <row r="202" spans="1:256" x14ac:dyDescent="0.25">
      <c r="A202" t="e">
        <f>IF('Planilla_General_03-12-2012_9_3'!3217:3217,"AAAAAHpvuwA=",0)</f>
        <v>#VALUE!</v>
      </c>
      <c r="B202" t="e">
        <f>AND('Planilla_General_03-12-2012_9_3'!A3217,"AAAAAHpvuwE=")</f>
        <v>#VALUE!</v>
      </c>
      <c r="C202" t="e">
        <f>AND('Planilla_General_03-12-2012_9_3'!B3217,"AAAAAHpvuwI=")</f>
        <v>#VALUE!</v>
      </c>
      <c r="D202" t="e">
        <f>AND('Planilla_General_03-12-2012_9_3'!C3217,"AAAAAHpvuwM=")</f>
        <v>#VALUE!</v>
      </c>
      <c r="E202" t="e">
        <f>AND('Planilla_General_03-12-2012_9_3'!D3217,"AAAAAHpvuwQ=")</f>
        <v>#VALUE!</v>
      </c>
      <c r="F202" t="e">
        <f>AND('Planilla_General_03-12-2012_9_3'!E3217,"AAAAAHpvuwU=")</f>
        <v>#VALUE!</v>
      </c>
      <c r="G202" t="e">
        <f>AND('Planilla_General_03-12-2012_9_3'!F3217,"AAAAAHpvuwY=")</f>
        <v>#VALUE!</v>
      </c>
      <c r="H202" t="e">
        <f>AND('Planilla_General_03-12-2012_9_3'!G3217,"AAAAAHpvuwc=")</f>
        <v>#VALUE!</v>
      </c>
      <c r="I202" t="e">
        <f>AND('Planilla_General_03-12-2012_9_3'!H3217,"AAAAAHpvuwg=")</f>
        <v>#VALUE!</v>
      </c>
      <c r="J202" t="e">
        <f>AND('Planilla_General_03-12-2012_9_3'!I3217,"AAAAAHpvuwk=")</f>
        <v>#VALUE!</v>
      </c>
      <c r="K202" t="e">
        <f>AND('Planilla_General_03-12-2012_9_3'!J3217,"AAAAAHpvuwo=")</f>
        <v>#VALUE!</v>
      </c>
      <c r="L202" t="e">
        <f>AND('Planilla_General_03-12-2012_9_3'!K3217,"AAAAAHpvuws=")</f>
        <v>#VALUE!</v>
      </c>
      <c r="M202" t="e">
        <f>AND('Planilla_General_03-12-2012_9_3'!L3217,"AAAAAHpvuww=")</f>
        <v>#VALUE!</v>
      </c>
      <c r="N202" t="e">
        <f>AND('Planilla_General_03-12-2012_9_3'!M3217,"AAAAAHpvuw0=")</f>
        <v>#VALUE!</v>
      </c>
      <c r="O202" t="e">
        <f>AND('Planilla_General_03-12-2012_9_3'!N3217,"AAAAAHpvuw4=")</f>
        <v>#VALUE!</v>
      </c>
      <c r="P202" t="e">
        <f>AND('Planilla_General_03-12-2012_9_3'!O3217,"AAAAAHpvuw8=")</f>
        <v>#VALUE!</v>
      </c>
      <c r="Q202">
        <f>IF('Planilla_General_03-12-2012_9_3'!3218:3218,"AAAAAHpvuxA=",0)</f>
        <v>0</v>
      </c>
      <c r="R202" t="e">
        <f>AND('Planilla_General_03-12-2012_9_3'!A3218,"AAAAAHpvuxE=")</f>
        <v>#VALUE!</v>
      </c>
      <c r="S202" t="e">
        <f>AND('Planilla_General_03-12-2012_9_3'!B3218,"AAAAAHpvuxI=")</f>
        <v>#VALUE!</v>
      </c>
      <c r="T202" t="e">
        <f>AND('Planilla_General_03-12-2012_9_3'!C3218,"AAAAAHpvuxM=")</f>
        <v>#VALUE!</v>
      </c>
      <c r="U202" t="e">
        <f>AND('Planilla_General_03-12-2012_9_3'!D3218,"AAAAAHpvuxQ=")</f>
        <v>#VALUE!</v>
      </c>
      <c r="V202" t="e">
        <f>AND('Planilla_General_03-12-2012_9_3'!E3218,"AAAAAHpvuxU=")</f>
        <v>#VALUE!</v>
      </c>
      <c r="W202" t="e">
        <f>AND('Planilla_General_03-12-2012_9_3'!F3218,"AAAAAHpvuxY=")</f>
        <v>#VALUE!</v>
      </c>
      <c r="X202" t="e">
        <f>AND('Planilla_General_03-12-2012_9_3'!G3218,"AAAAAHpvuxc=")</f>
        <v>#VALUE!</v>
      </c>
      <c r="Y202" t="e">
        <f>AND('Planilla_General_03-12-2012_9_3'!H3218,"AAAAAHpvuxg=")</f>
        <v>#VALUE!</v>
      </c>
      <c r="Z202" t="e">
        <f>AND('Planilla_General_03-12-2012_9_3'!I3218,"AAAAAHpvuxk=")</f>
        <v>#VALUE!</v>
      </c>
      <c r="AA202" t="e">
        <f>AND('Planilla_General_03-12-2012_9_3'!J3218,"AAAAAHpvuxo=")</f>
        <v>#VALUE!</v>
      </c>
      <c r="AB202" t="e">
        <f>AND('Planilla_General_03-12-2012_9_3'!K3218,"AAAAAHpvuxs=")</f>
        <v>#VALUE!</v>
      </c>
      <c r="AC202" t="e">
        <f>AND('Planilla_General_03-12-2012_9_3'!L3218,"AAAAAHpvuxw=")</f>
        <v>#VALUE!</v>
      </c>
      <c r="AD202" t="e">
        <f>AND('Planilla_General_03-12-2012_9_3'!M3218,"AAAAAHpvux0=")</f>
        <v>#VALUE!</v>
      </c>
      <c r="AE202" t="e">
        <f>AND('Planilla_General_03-12-2012_9_3'!N3218,"AAAAAHpvux4=")</f>
        <v>#VALUE!</v>
      </c>
      <c r="AF202" t="e">
        <f>AND('Planilla_General_03-12-2012_9_3'!O3218,"AAAAAHpvux8=")</f>
        <v>#VALUE!</v>
      </c>
      <c r="AG202">
        <f>IF('Planilla_General_03-12-2012_9_3'!3219:3219,"AAAAAHpvuyA=",0)</f>
        <v>0</v>
      </c>
      <c r="AH202" t="e">
        <f>AND('Planilla_General_03-12-2012_9_3'!A3219,"AAAAAHpvuyE=")</f>
        <v>#VALUE!</v>
      </c>
      <c r="AI202" t="e">
        <f>AND('Planilla_General_03-12-2012_9_3'!B3219,"AAAAAHpvuyI=")</f>
        <v>#VALUE!</v>
      </c>
      <c r="AJ202" t="e">
        <f>AND('Planilla_General_03-12-2012_9_3'!C3219,"AAAAAHpvuyM=")</f>
        <v>#VALUE!</v>
      </c>
      <c r="AK202" t="e">
        <f>AND('Planilla_General_03-12-2012_9_3'!D3219,"AAAAAHpvuyQ=")</f>
        <v>#VALUE!</v>
      </c>
      <c r="AL202" t="e">
        <f>AND('Planilla_General_03-12-2012_9_3'!E3219,"AAAAAHpvuyU=")</f>
        <v>#VALUE!</v>
      </c>
      <c r="AM202" t="e">
        <f>AND('Planilla_General_03-12-2012_9_3'!F3219,"AAAAAHpvuyY=")</f>
        <v>#VALUE!</v>
      </c>
      <c r="AN202" t="e">
        <f>AND('Planilla_General_03-12-2012_9_3'!G3219,"AAAAAHpvuyc=")</f>
        <v>#VALUE!</v>
      </c>
      <c r="AO202" t="e">
        <f>AND('Planilla_General_03-12-2012_9_3'!H3219,"AAAAAHpvuyg=")</f>
        <v>#VALUE!</v>
      </c>
      <c r="AP202" t="e">
        <f>AND('Planilla_General_03-12-2012_9_3'!I3219,"AAAAAHpvuyk=")</f>
        <v>#VALUE!</v>
      </c>
      <c r="AQ202" t="e">
        <f>AND('Planilla_General_03-12-2012_9_3'!J3219,"AAAAAHpvuyo=")</f>
        <v>#VALUE!</v>
      </c>
      <c r="AR202" t="e">
        <f>AND('Planilla_General_03-12-2012_9_3'!K3219,"AAAAAHpvuys=")</f>
        <v>#VALUE!</v>
      </c>
      <c r="AS202" t="e">
        <f>AND('Planilla_General_03-12-2012_9_3'!L3219,"AAAAAHpvuyw=")</f>
        <v>#VALUE!</v>
      </c>
      <c r="AT202" t="e">
        <f>AND('Planilla_General_03-12-2012_9_3'!M3219,"AAAAAHpvuy0=")</f>
        <v>#VALUE!</v>
      </c>
      <c r="AU202" t="e">
        <f>AND('Planilla_General_03-12-2012_9_3'!N3219,"AAAAAHpvuy4=")</f>
        <v>#VALUE!</v>
      </c>
      <c r="AV202" t="e">
        <f>AND('Planilla_General_03-12-2012_9_3'!O3219,"AAAAAHpvuy8=")</f>
        <v>#VALUE!</v>
      </c>
      <c r="AW202">
        <f>IF('Planilla_General_03-12-2012_9_3'!3220:3220,"AAAAAHpvuzA=",0)</f>
        <v>0</v>
      </c>
      <c r="AX202" t="e">
        <f>AND('Planilla_General_03-12-2012_9_3'!A3220,"AAAAAHpvuzE=")</f>
        <v>#VALUE!</v>
      </c>
      <c r="AY202" t="e">
        <f>AND('Planilla_General_03-12-2012_9_3'!B3220,"AAAAAHpvuzI=")</f>
        <v>#VALUE!</v>
      </c>
      <c r="AZ202" t="e">
        <f>AND('Planilla_General_03-12-2012_9_3'!C3220,"AAAAAHpvuzM=")</f>
        <v>#VALUE!</v>
      </c>
      <c r="BA202" t="e">
        <f>AND('Planilla_General_03-12-2012_9_3'!D3220,"AAAAAHpvuzQ=")</f>
        <v>#VALUE!</v>
      </c>
      <c r="BB202" t="e">
        <f>AND('Planilla_General_03-12-2012_9_3'!E3220,"AAAAAHpvuzU=")</f>
        <v>#VALUE!</v>
      </c>
      <c r="BC202" t="e">
        <f>AND('Planilla_General_03-12-2012_9_3'!F3220,"AAAAAHpvuzY=")</f>
        <v>#VALUE!</v>
      </c>
      <c r="BD202" t="e">
        <f>AND('Planilla_General_03-12-2012_9_3'!G3220,"AAAAAHpvuzc=")</f>
        <v>#VALUE!</v>
      </c>
      <c r="BE202" t="e">
        <f>AND('Planilla_General_03-12-2012_9_3'!H3220,"AAAAAHpvuzg=")</f>
        <v>#VALUE!</v>
      </c>
      <c r="BF202" t="e">
        <f>AND('Planilla_General_03-12-2012_9_3'!I3220,"AAAAAHpvuzk=")</f>
        <v>#VALUE!</v>
      </c>
      <c r="BG202" t="e">
        <f>AND('Planilla_General_03-12-2012_9_3'!J3220,"AAAAAHpvuzo=")</f>
        <v>#VALUE!</v>
      </c>
      <c r="BH202" t="e">
        <f>AND('Planilla_General_03-12-2012_9_3'!K3220,"AAAAAHpvuzs=")</f>
        <v>#VALUE!</v>
      </c>
      <c r="BI202" t="e">
        <f>AND('Planilla_General_03-12-2012_9_3'!L3220,"AAAAAHpvuzw=")</f>
        <v>#VALUE!</v>
      </c>
      <c r="BJ202" t="e">
        <f>AND('Planilla_General_03-12-2012_9_3'!M3220,"AAAAAHpvuz0=")</f>
        <v>#VALUE!</v>
      </c>
      <c r="BK202" t="e">
        <f>AND('Planilla_General_03-12-2012_9_3'!N3220,"AAAAAHpvuz4=")</f>
        <v>#VALUE!</v>
      </c>
      <c r="BL202" t="e">
        <f>AND('Planilla_General_03-12-2012_9_3'!O3220,"AAAAAHpvuz8=")</f>
        <v>#VALUE!</v>
      </c>
      <c r="BM202">
        <f>IF('Planilla_General_03-12-2012_9_3'!3221:3221,"AAAAAHpvu0A=",0)</f>
        <v>0</v>
      </c>
      <c r="BN202" t="e">
        <f>AND('Planilla_General_03-12-2012_9_3'!A3221,"AAAAAHpvu0E=")</f>
        <v>#VALUE!</v>
      </c>
      <c r="BO202" t="e">
        <f>AND('Planilla_General_03-12-2012_9_3'!B3221,"AAAAAHpvu0I=")</f>
        <v>#VALUE!</v>
      </c>
      <c r="BP202" t="e">
        <f>AND('Planilla_General_03-12-2012_9_3'!C3221,"AAAAAHpvu0M=")</f>
        <v>#VALUE!</v>
      </c>
      <c r="BQ202" t="e">
        <f>AND('Planilla_General_03-12-2012_9_3'!D3221,"AAAAAHpvu0Q=")</f>
        <v>#VALUE!</v>
      </c>
      <c r="BR202" t="e">
        <f>AND('Planilla_General_03-12-2012_9_3'!E3221,"AAAAAHpvu0U=")</f>
        <v>#VALUE!</v>
      </c>
      <c r="BS202" t="e">
        <f>AND('Planilla_General_03-12-2012_9_3'!F3221,"AAAAAHpvu0Y=")</f>
        <v>#VALUE!</v>
      </c>
      <c r="BT202" t="e">
        <f>AND('Planilla_General_03-12-2012_9_3'!G3221,"AAAAAHpvu0c=")</f>
        <v>#VALUE!</v>
      </c>
      <c r="BU202" t="e">
        <f>AND('Planilla_General_03-12-2012_9_3'!H3221,"AAAAAHpvu0g=")</f>
        <v>#VALUE!</v>
      </c>
      <c r="BV202" t="e">
        <f>AND('Planilla_General_03-12-2012_9_3'!I3221,"AAAAAHpvu0k=")</f>
        <v>#VALUE!</v>
      </c>
      <c r="BW202" t="e">
        <f>AND('Planilla_General_03-12-2012_9_3'!J3221,"AAAAAHpvu0o=")</f>
        <v>#VALUE!</v>
      </c>
      <c r="BX202" t="e">
        <f>AND('Planilla_General_03-12-2012_9_3'!K3221,"AAAAAHpvu0s=")</f>
        <v>#VALUE!</v>
      </c>
      <c r="BY202" t="e">
        <f>AND('Planilla_General_03-12-2012_9_3'!L3221,"AAAAAHpvu0w=")</f>
        <v>#VALUE!</v>
      </c>
      <c r="BZ202" t="e">
        <f>AND('Planilla_General_03-12-2012_9_3'!M3221,"AAAAAHpvu00=")</f>
        <v>#VALUE!</v>
      </c>
      <c r="CA202" t="e">
        <f>AND('Planilla_General_03-12-2012_9_3'!N3221,"AAAAAHpvu04=")</f>
        <v>#VALUE!</v>
      </c>
      <c r="CB202" t="e">
        <f>AND('Planilla_General_03-12-2012_9_3'!O3221,"AAAAAHpvu08=")</f>
        <v>#VALUE!</v>
      </c>
      <c r="CC202">
        <f>IF('Planilla_General_03-12-2012_9_3'!3222:3222,"AAAAAHpvu1A=",0)</f>
        <v>0</v>
      </c>
      <c r="CD202" t="e">
        <f>AND('Planilla_General_03-12-2012_9_3'!A3222,"AAAAAHpvu1E=")</f>
        <v>#VALUE!</v>
      </c>
      <c r="CE202" t="e">
        <f>AND('Planilla_General_03-12-2012_9_3'!B3222,"AAAAAHpvu1I=")</f>
        <v>#VALUE!</v>
      </c>
      <c r="CF202" t="e">
        <f>AND('Planilla_General_03-12-2012_9_3'!C3222,"AAAAAHpvu1M=")</f>
        <v>#VALUE!</v>
      </c>
      <c r="CG202" t="e">
        <f>AND('Planilla_General_03-12-2012_9_3'!D3222,"AAAAAHpvu1Q=")</f>
        <v>#VALUE!</v>
      </c>
      <c r="CH202" t="e">
        <f>AND('Planilla_General_03-12-2012_9_3'!E3222,"AAAAAHpvu1U=")</f>
        <v>#VALUE!</v>
      </c>
      <c r="CI202" t="e">
        <f>AND('Planilla_General_03-12-2012_9_3'!F3222,"AAAAAHpvu1Y=")</f>
        <v>#VALUE!</v>
      </c>
      <c r="CJ202" t="e">
        <f>AND('Planilla_General_03-12-2012_9_3'!G3222,"AAAAAHpvu1c=")</f>
        <v>#VALUE!</v>
      </c>
      <c r="CK202" t="e">
        <f>AND('Planilla_General_03-12-2012_9_3'!H3222,"AAAAAHpvu1g=")</f>
        <v>#VALUE!</v>
      </c>
      <c r="CL202" t="e">
        <f>AND('Planilla_General_03-12-2012_9_3'!I3222,"AAAAAHpvu1k=")</f>
        <v>#VALUE!</v>
      </c>
      <c r="CM202" t="e">
        <f>AND('Planilla_General_03-12-2012_9_3'!J3222,"AAAAAHpvu1o=")</f>
        <v>#VALUE!</v>
      </c>
      <c r="CN202" t="e">
        <f>AND('Planilla_General_03-12-2012_9_3'!K3222,"AAAAAHpvu1s=")</f>
        <v>#VALUE!</v>
      </c>
      <c r="CO202" t="e">
        <f>AND('Planilla_General_03-12-2012_9_3'!L3222,"AAAAAHpvu1w=")</f>
        <v>#VALUE!</v>
      </c>
      <c r="CP202" t="e">
        <f>AND('Planilla_General_03-12-2012_9_3'!M3222,"AAAAAHpvu10=")</f>
        <v>#VALUE!</v>
      </c>
      <c r="CQ202" t="e">
        <f>AND('Planilla_General_03-12-2012_9_3'!N3222,"AAAAAHpvu14=")</f>
        <v>#VALUE!</v>
      </c>
      <c r="CR202" t="e">
        <f>AND('Planilla_General_03-12-2012_9_3'!O3222,"AAAAAHpvu18=")</f>
        <v>#VALUE!</v>
      </c>
      <c r="CS202">
        <f>IF('Planilla_General_03-12-2012_9_3'!3223:3223,"AAAAAHpvu2A=",0)</f>
        <v>0</v>
      </c>
      <c r="CT202" t="e">
        <f>AND('Planilla_General_03-12-2012_9_3'!A3223,"AAAAAHpvu2E=")</f>
        <v>#VALUE!</v>
      </c>
      <c r="CU202" t="e">
        <f>AND('Planilla_General_03-12-2012_9_3'!B3223,"AAAAAHpvu2I=")</f>
        <v>#VALUE!</v>
      </c>
      <c r="CV202" t="e">
        <f>AND('Planilla_General_03-12-2012_9_3'!C3223,"AAAAAHpvu2M=")</f>
        <v>#VALUE!</v>
      </c>
      <c r="CW202" t="e">
        <f>AND('Planilla_General_03-12-2012_9_3'!D3223,"AAAAAHpvu2Q=")</f>
        <v>#VALUE!</v>
      </c>
      <c r="CX202" t="e">
        <f>AND('Planilla_General_03-12-2012_9_3'!E3223,"AAAAAHpvu2U=")</f>
        <v>#VALUE!</v>
      </c>
      <c r="CY202" t="e">
        <f>AND('Planilla_General_03-12-2012_9_3'!F3223,"AAAAAHpvu2Y=")</f>
        <v>#VALUE!</v>
      </c>
      <c r="CZ202" t="e">
        <f>AND('Planilla_General_03-12-2012_9_3'!G3223,"AAAAAHpvu2c=")</f>
        <v>#VALUE!</v>
      </c>
      <c r="DA202" t="e">
        <f>AND('Planilla_General_03-12-2012_9_3'!H3223,"AAAAAHpvu2g=")</f>
        <v>#VALUE!</v>
      </c>
      <c r="DB202" t="e">
        <f>AND('Planilla_General_03-12-2012_9_3'!I3223,"AAAAAHpvu2k=")</f>
        <v>#VALUE!</v>
      </c>
      <c r="DC202" t="e">
        <f>AND('Planilla_General_03-12-2012_9_3'!J3223,"AAAAAHpvu2o=")</f>
        <v>#VALUE!</v>
      </c>
      <c r="DD202" t="e">
        <f>AND('Planilla_General_03-12-2012_9_3'!K3223,"AAAAAHpvu2s=")</f>
        <v>#VALUE!</v>
      </c>
      <c r="DE202" t="e">
        <f>AND('Planilla_General_03-12-2012_9_3'!L3223,"AAAAAHpvu2w=")</f>
        <v>#VALUE!</v>
      </c>
      <c r="DF202" t="e">
        <f>AND('Planilla_General_03-12-2012_9_3'!M3223,"AAAAAHpvu20=")</f>
        <v>#VALUE!</v>
      </c>
      <c r="DG202" t="e">
        <f>AND('Planilla_General_03-12-2012_9_3'!N3223,"AAAAAHpvu24=")</f>
        <v>#VALUE!</v>
      </c>
      <c r="DH202" t="e">
        <f>AND('Planilla_General_03-12-2012_9_3'!O3223,"AAAAAHpvu28=")</f>
        <v>#VALUE!</v>
      </c>
      <c r="DI202">
        <f>IF('Planilla_General_03-12-2012_9_3'!3224:3224,"AAAAAHpvu3A=",0)</f>
        <v>0</v>
      </c>
      <c r="DJ202" t="e">
        <f>AND('Planilla_General_03-12-2012_9_3'!A3224,"AAAAAHpvu3E=")</f>
        <v>#VALUE!</v>
      </c>
      <c r="DK202" t="e">
        <f>AND('Planilla_General_03-12-2012_9_3'!B3224,"AAAAAHpvu3I=")</f>
        <v>#VALUE!</v>
      </c>
      <c r="DL202" t="e">
        <f>AND('Planilla_General_03-12-2012_9_3'!C3224,"AAAAAHpvu3M=")</f>
        <v>#VALUE!</v>
      </c>
      <c r="DM202" t="e">
        <f>AND('Planilla_General_03-12-2012_9_3'!D3224,"AAAAAHpvu3Q=")</f>
        <v>#VALUE!</v>
      </c>
      <c r="DN202" t="e">
        <f>AND('Planilla_General_03-12-2012_9_3'!E3224,"AAAAAHpvu3U=")</f>
        <v>#VALUE!</v>
      </c>
      <c r="DO202" t="e">
        <f>AND('Planilla_General_03-12-2012_9_3'!F3224,"AAAAAHpvu3Y=")</f>
        <v>#VALUE!</v>
      </c>
      <c r="DP202" t="e">
        <f>AND('Planilla_General_03-12-2012_9_3'!G3224,"AAAAAHpvu3c=")</f>
        <v>#VALUE!</v>
      </c>
      <c r="DQ202" t="e">
        <f>AND('Planilla_General_03-12-2012_9_3'!H3224,"AAAAAHpvu3g=")</f>
        <v>#VALUE!</v>
      </c>
      <c r="DR202" t="e">
        <f>AND('Planilla_General_03-12-2012_9_3'!I3224,"AAAAAHpvu3k=")</f>
        <v>#VALUE!</v>
      </c>
      <c r="DS202" t="e">
        <f>AND('Planilla_General_03-12-2012_9_3'!J3224,"AAAAAHpvu3o=")</f>
        <v>#VALUE!</v>
      </c>
      <c r="DT202" t="e">
        <f>AND('Planilla_General_03-12-2012_9_3'!K3224,"AAAAAHpvu3s=")</f>
        <v>#VALUE!</v>
      </c>
      <c r="DU202" t="e">
        <f>AND('Planilla_General_03-12-2012_9_3'!L3224,"AAAAAHpvu3w=")</f>
        <v>#VALUE!</v>
      </c>
      <c r="DV202" t="e">
        <f>AND('Planilla_General_03-12-2012_9_3'!M3224,"AAAAAHpvu30=")</f>
        <v>#VALUE!</v>
      </c>
      <c r="DW202" t="e">
        <f>AND('Planilla_General_03-12-2012_9_3'!N3224,"AAAAAHpvu34=")</f>
        <v>#VALUE!</v>
      </c>
      <c r="DX202" t="e">
        <f>AND('Planilla_General_03-12-2012_9_3'!O3224,"AAAAAHpvu38=")</f>
        <v>#VALUE!</v>
      </c>
      <c r="DY202">
        <f>IF('Planilla_General_03-12-2012_9_3'!3225:3225,"AAAAAHpvu4A=",0)</f>
        <v>0</v>
      </c>
      <c r="DZ202" t="e">
        <f>AND('Planilla_General_03-12-2012_9_3'!A3225,"AAAAAHpvu4E=")</f>
        <v>#VALUE!</v>
      </c>
      <c r="EA202" t="e">
        <f>AND('Planilla_General_03-12-2012_9_3'!B3225,"AAAAAHpvu4I=")</f>
        <v>#VALUE!</v>
      </c>
      <c r="EB202" t="e">
        <f>AND('Planilla_General_03-12-2012_9_3'!C3225,"AAAAAHpvu4M=")</f>
        <v>#VALUE!</v>
      </c>
      <c r="EC202" t="e">
        <f>AND('Planilla_General_03-12-2012_9_3'!D3225,"AAAAAHpvu4Q=")</f>
        <v>#VALUE!</v>
      </c>
      <c r="ED202" t="e">
        <f>AND('Planilla_General_03-12-2012_9_3'!E3225,"AAAAAHpvu4U=")</f>
        <v>#VALUE!</v>
      </c>
      <c r="EE202" t="e">
        <f>AND('Planilla_General_03-12-2012_9_3'!F3225,"AAAAAHpvu4Y=")</f>
        <v>#VALUE!</v>
      </c>
      <c r="EF202" t="e">
        <f>AND('Planilla_General_03-12-2012_9_3'!G3225,"AAAAAHpvu4c=")</f>
        <v>#VALUE!</v>
      </c>
      <c r="EG202" t="e">
        <f>AND('Planilla_General_03-12-2012_9_3'!H3225,"AAAAAHpvu4g=")</f>
        <v>#VALUE!</v>
      </c>
      <c r="EH202" t="e">
        <f>AND('Planilla_General_03-12-2012_9_3'!I3225,"AAAAAHpvu4k=")</f>
        <v>#VALUE!</v>
      </c>
      <c r="EI202" t="e">
        <f>AND('Planilla_General_03-12-2012_9_3'!J3225,"AAAAAHpvu4o=")</f>
        <v>#VALUE!</v>
      </c>
      <c r="EJ202" t="e">
        <f>AND('Planilla_General_03-12-2012_9_3'!K3225,"AAAAAHpvu4s=")</f>
        <v>#VALUE!</v>
      </c>
      <c r="EK202" t="e">
        <f>AND('Planilla_General_03-12-2012_9_3'!L3225,"AAAAAHpvu4w=")</f>
        <v>#VALUE!</v>
      </c>
      <c r="EL202" t="e">
        <f>AND('Planilla_General_03-12-2012_9_3'!M3225,"AAAAAHpvu40=")</f>
        <v>#VALUE!</v>
      </c>
      <c r="EM202" t="e">
        <f>AND('Planilla_General_03-12-2012_9_3'!N3225,"AAAAAHpvu44=")</f>
        <v>#VALUE!</v>
      </c>
      <c r="EN202" t="e">
        <f>AND('Planilla_General_03-12-2012_9_3'!O3225,"AAAAAHpvu48=")</f>
        <v>#VALUE!</v>
      </c>
      <c r="EO202">
        <f>IF('Planilla_General_03-12-2012_9_3'!3226:3226,"AAAAAHpvu5A=",0)</f>
        <v>0</v>
      </c>
      <c r="EP202" t="e">
        <f>AND('Planilla_General_03-12-2012_9_3'!A3226,"AAAAAHpvu5E=")</f>
        <v>#VALUE!</v>
      </c>
      <c r="EQ202" t="e">
        <f>AND('Planilla_General_03-12-2012_9_3'!B3226,"AAAAAHpvu5I=")</f>
        <v>#VALUE!</v>
      </c>
      <c r="ER202" t="e">
        <f>AND('Planilla_General_03-12-2012_9_3'!C3226,"AAAAAHpvu5M=")</f>
        <v>#VALUE!</v>
      </c>
      <c r="ES202" t="e">
        <f>AND('Planilla_General_03-12-2012_9_3'!D3226,"AAAAAHpvu5Q=")</f>
        <v>#VALUE!</v>
      </c>
      <c r="ET202" t="e">
        <f>AND('Planilla_General_03-12-2012_9_3'!E3226,"AAAAAHpvu5U=")</f>
        <v>#VALUE!</v>
      </c>
      <c r="EU202" t="e">
        <f>AND('Planilla_General_03-12-2012_9_3'!F3226,"AAAAAHpvu5Y=")</f>
        <v>#VALUE!</v>
      </c>
      <c r="EV202" t="e">
        <f>AND('Planilla_General_03-12-2012_9_3'!G3226,"AAAAAHpvu5c=")</f>
        <v>#VALUE!</v>
      </c>
      <c r="EW202" t="e">
        <f>AND('Planilla_General_03-12-2012_9_3'!H3226,"AAAAAHpvu5g=")</f>
        <v>#VALUE!</v>
      </c>
      <c r="EX202" t="e">
        <f>AND('Planilla_General_03-12-2012_9_3'!I3226,"AAAAAHpvu5k=")</f>
        <v>#VALUE!</v>
      </c>
      <c r="EY202" t="e">
        <f>AND('Planilla_General_03-12-2012_9_3'!J3226,"AAAAAHpvu5o=")</f>
        <v>#VALUE!</v>
      </c>
      <c r="EZ202" t="e">
        <f>AND('Planilla_General_03-12-2012_9_3'!K3226,"AAAAAHpvu5s=")</f>
        <v>#VALUE!</v>
      </c>
      <c r="FA202" t="e">
        <f>AND('Planilla_General_03-12-2012_9_3'!L3226,"AAAAAHpvu5w=")</f>
        <v>#VALUE!</v>
      </c>
      <c r="FB202" t="e">
        <f>AND('Planilla_General_03-12-2012_9_3'!M3226,"AAAAAHpvu50=")</f>
        <v>#VALUE!</v>
      </c>
      <c r="FC202" t="e">
        <f>AND('Planilla_General_03-12-2012_9_3'!N3226,"AAAAAHpvu54=")</f>
        <v>#VALUE!</v>
      </c>
      <c r="FD202" t="e">
        <f>AND('Planilla_General_03-12-2012_9_3'!O3226,"AAAAAHpvu58=")</f>
        <v>#VALUE!</v>
      </c>
      <c r="FE202">
        <f>IF('Planilla_General_03-12-2012_9_3'!3227:3227,"AAAAAHpvu6A=",0)</f>
        <v>0</v>
      </c>
      <c r="FF202" t="e">
        <f>AND('Planilla_General_03-12-2012_9_3'!A3227,"AAAAAHpvu6E=")</f>
        <v>#VALUE!</v>
      </c>
      <c r="FG202" t="e">
        <f>AND('Planilla_General_03-12-2012_9_3'!B3227,"AAAAAHpvu6I=")</f>
        <v>#VALUE!</v>
      </c>
      <c r="FH202" t="e">
        <f>AND('Planilla_General_03-12-2012_9_3'!C3227,"AAAAAHpvu6M=")</f>
        <v>#VALUE!</v>
      </c>
      <c r="FI202" t="e">
        <f>AND('Planilla_General_03-12-2012_9_3'!D3227,"AAAAAHpvu6Q=")</f>
        <v>#VALUE!</v>
      </c>
      <c r="FJ202" t="e">
        <f>AND('Planilla_General_03-12-2012_9_3'!E3227,"AAAAAHpvu6U=")</f>
        <v>#VALUE!</v>
      </c>
      <c r="FK202" t="e">
        <f>AND('Planilla_General_03-12-2012_9_3'!F3227,"AAAAAHpvu6Y=")</f>
        <v>#VALUE!</v>
      </c>
      <c r="FL202" t="e">
        <f>AND('Planilla_General_03-12-2012_9_3'!G3227,"AAAAAHpvu6c=")</f>
        <v>#VALUE!</v>
      </c>
      <c r="FM202" t="e">
        <f>AND('Planilla_General_03-12-2012_9_3'!H3227,"AAAAAHpvu6g=")</f>
        <v>#VALUE!</v>
      </c>
      <c r="FN202" t="e">
        <f>AND('Planilla_General_03-12-2012_9_3'!I3227,"AAAAAHpvu6k=")</f>
        <v>#VALUE!</v>
      </c>
      <c r="FO202" t="e">
        <f>AND('Planilla_General_03-12-2012_9_3'!J3227,"AAAAAHpvu6o=")</f>
        <v>#VALUE!</v>
      </c>
      <c r="FP202" t="e">
        <f>AND('Planilla_General_03-12-2012_9_3'!K3227,"AAAAAHpvu6s=")</f>
        <v>#VALUE!</v>
      </c>
      <c r="FQ202" t="e">
        <f>AND('Planilla_General_03-12-2012_9_3'!L3227,"AAAAAHpvu6w=")</f>
        <v>#VALUE!</v>
      </c>
      <c r="FR202" t="e">
        <f>AND('Planilla_General_03-12-2012_9_3'!M3227,"AAAAAHpvu60=")</f>
        <v>#VALUE!</v>
      </c>
      <c r="FS202" t="e">
        <f>AND('Planilla_General_03-12-2012_9_3'!N3227,"AAAAAHpvu64=")</f>
        <v>#VALUE!</v>
      </c>
      <c r="FT202" t="e">
        <f>AND('Planilla_General_03-12-2012_9_3'!O3227,"AAAAAHpvu68=")</f>
        <v>#VALUE!</v>
      </c>
      <c r="FU202">
        <f>IF('Planilla_General_03-12-2012_9_3'!3228:3228,"AAAAAHpvu7A=",0)</f>
        <v>0</v>
      </c>
      <c r="FV202" t="e">
        <f>AND('Planilla_General_03-12-2012_9_3'!A3228,"AAAAAHpvu7E=")</f>
        <v>#VALUE!</v>
      </c>
      <c r="FW202" t="e">
        <f>AND('Planilla_General_03-12-2012_9_3'!B3228,"AAAAAHpvu7I=")</f>
        <v>#VALUE!</v>
      </c>
      <c r="FX202" t="e">
        <f>AND('Planilla_General_03-12-2012_9_3'!C3228,"AAAAAHpvu7M=")</f>
        <v>#VALUE!</v>
      </c>
      <c r="FY202" t="e">
        <f>AND('Planilla_General_03-12-2012_9_3'!D3228,"AAAAAHpvu7Q=")</f>
        <v>#VALUE!</v>
      </c>
      <c r="FZ202" t="e">
        <f>AND('Planilla_General_03-12-2012_9_3'!E3228,"AAAAAHpvu7U=")</f>
        <v>#VALUE!</v>
      </c>
      <c r="GA202" t="e">
        <f>AND('Planilla_General_03-12-2012_9_3'!F3228,"AAAAAHpvu7Y=")</f>
        <v>#VALUE!</v>
      </c>
      <c r="GB202" t="e">
        <f>AND('Planilla_General_03-12-2012_9_3'!G3228,"AAAAAHpvu7c=")</f>
        <v>#VALUE!</v>
      </c>
      <c r="GC202" t="e">
        <f>AND('Planilla_General_03-12-2012_9_3'!H3228,"AAAAAHpvu7g=")</f>
        <v>#VALUE!</v>
      </c>
      <c r="GD202" t="e">
        <f>AND('Planilla_General_03-12-2012_9_3'!I3228,"AAAAAHpvu7k=")</f>
        <v>#VALUE!</v>
      </c>
      <c r="GE202" t="e">
        <f>AND('Planilla_General_03-12-2012_9_3'!J3228,"AAAAAHpvu7o=")</f>
        <v>#VALUE!</v>
      </c>
      <c r="GF202" t="e">
        <f>AND('Planilla_General_03-12-2012_9_3'!K3228,"AAAAAHpvu7s=")</f>
        <v>#VALUE!</v>
      </c>
      <c r="GG202" t="e">
        <f>AND('Planilla_General_03-12-2012_9_3'!L3228,"AAAAAHpvu7w=")</f>
        <v>#VALUE!</v>
      </c>
      <c r="GH202" t="e">
        <f>AND('Planilla_General_03-12-2012_9_3'!M3228,"AAAAAHpvu70=")</f>
        <v>#VALUE!</v>
      </c>
      <c r="GI202" t="e">
        <f>AND('Planilla_General_03-12-2012_9_3'!N3228,"AAAAAHpvu74=")</f>
        <v>#VALUE!</v>
      </c>
      <c r="GJ202" t="e">
        <f>AND('Planilla_General_03-12-2012_9_3'!O3228,"AAAAAHpvu78=")</f>
        <v>#VALUE!</v>
      </c>
      <c r="GK202">
        <f>IF('Planilla_General_03-12-2012_9_3'!3229:3229,"AAAAAHpvu8A=",0)</f>
        <v>0</v>
      </c>
      <c r="GL202" t="e">
        <f>AND('Planilla_General_03-12-2012_9_3'!A3229,"AAAAAHpvu8E=")</f>
        <v>#VALUE!</v>
      </c>
      <c r="GM202" t="e">
        <f>AND('Planilla_General_03-12-2012_9_3'!B3229,"AAAAAHpvu8I=")</f>
        <v>#VALUE!</v>
      </c>
      <c r="GN202" t="e">
        <f>AND('Planilla_General_03-12-2012_9_3'!C3229,"AAAAAHpvu8M=")</f>
        <v>#VALUE!</v>
      </c>
      <c r="GO202" t="e">
        <f>AND('Planilla_General_03-12-2012_9_3'!D3229,"AAAAAHpvu8Q=")</f>
        <v>#VALUE!</v>
      </c>
      <c r="GP202" t="e">
        <f>AND('Planilla_General_03-12-2012_9_3'!E3229,"AAAAAHpvu8U=")</f>
        <v>#VALUE!</v>
      </c>
      <c r="GQ202" t="e">
        <f>AND('Planilla_General_03-12-2012_9_3'!F3229,"AAAAAHpvu8Y=")</f>
        <v>#VALUE!</v>
      </c>
      <c r="GR202" t="e">
        <f>AND('Planilla_General_03-12-2012_9_3'!G3229,"AAAAAHpvu8c=")</f>
        <v>#VALUE!</v>
      </c>
      <c r="GS202" t="e">
        <f>AND('Planilla_General_03-12-2012_9_3'!H3229,"AAAAAHpvu8g=")</f>
        <v>#VALUE!</v>
      </c>
      <c r="GT202" t="e">
        <f>AND('Planilla_General_03-12-2012_9_3'!I3229,"AAAAAHpvu8k=")</f>
        <v>#VALUE!</v>
      </c>
      <c r="GU202" t="e">
        <f>AND('Planilla_General_03-12-2012_9_3'!J3229,"AAAAAHpvu8o=")</f>
        <v>#VALUE!</v>
      </c>
      <c r="GV202" t="e">
        <f>AND('Planilla_General_03-12-2012_9_3'!K3229,"AAAAAHpvu8s=")</f>
        <v>#VALUE!</v>
      </c>
      <c r="GW202" t="e">
        <f>AND('Planilla_General_03-12-2012_9_3'!L3229,"AAAAAHpvu8w=")</f>
        <v>#VALUE!</v>
      </c>
      <c r="GX202" t="e">
        <f>AND('Planilla_General_03-12-2012_9_3'!M3229,"AAAAAHpvu80=")</f>
        <v>#VALUE!</v>
      </c>
      <c r="GY202" t="e">
        <f>AND('Planilla_General_03-12-2012_9_3'!N3229,"AAAAAHpvu84=")</f>
        <v>#VALUE!</v>
      </c>
      <c r="GZ202" t="e">
        <f>AND('Planilla_General_03-12-2012_9_3'!O3229,"AAAAAHpvu88=")</f>
        <v>#VALUE!</v>
      </c>
      <c r="HA202">
        <f>IF('Planilla_General_03-12-2012_9_3'!3230:3230,"AAAAAHpvu9A=",0)</f>
        <v>0</v>
      </c>
      <c r="HB202" t="e">
        <f>AND('Planilla_General_03-12-2012_9_3'!A3230,"AAAAAHpvu9E=")</f>
        <v>#VALUE!</v>
      </c>
      <c r="HC202" t="e">
        <f>AND('Planilla_General_03-12-2012_9_3'!B3230,"AAAAAHpvu9I=")</f>
        <v>#VALUE!</v>
      </c>
      <c r="HD202" t="e">
        <f>AND('Planilla_General_03-12-2012_9_3'!C3230,"AAAAAHpvu9M=")</f>
        <v>#VALUE!</v>
      </c>
      <c r="HE202" t="e">
        <f>AND('Planilla_General_03-12-2012_9_3'!D3230,"AAAAAHpvu9Q=")</f>
        <v>#VALUE!</v>
      </c>
      <c r="HF202" t="e">
        <f>AND('Planilla_General_03-12-2012_9_3'!E3230,"AAAAAHpvu9U=")</f>
        <v>#VALUE!</v>
      </c>
      <c r="HG202" t="e">
        <f>AND('Planilla_General_03-12-2012_9_3'!F3230,"AAAAAHpvu9Y=")</f>
        <v>#VALUE!</v>
      </c>
      <c r="HH202" t="e">
        <f>AND('Planilla_General_03-12-2012_9_3'!G3230,"AAAAAHpvu9c=")</f>
        <v>#VALUE!</v>
      </c>
      <c r="HI202" t="e">
        <f>AND('Planilla_General_03-12-2012_9_3'!H3230,"AAAAAHpvu9g=")</f>
        <v>#VALUE!</v>
      </c>
      <c r="HJ202" t="e">
        <f>AND('Planilla_General_03-12-2012_9_3'!I3230,"AAAAAHpvu9k=")</f>
        <v>#VALUE!</v>
      </c>
      <c r="HK202" t="e">
        <f>AND('Planilla_General_03-12-2012_9_3'!J3230,"AAAAAHpvu9o=")</f>
        <v>#VALUE!</v>
      </c>
      <c r="HL202" t="e">
        <f>AND('Planilla_General_03-12-2012_9_3'!K3230,"AAAAAHpvu9s=")</f>
        <v>#VALUE!</v>
      </c>
      <c r="HM202" t="e">
        <f>AND('Planilla_General_03-12-2012_9_3'!L3230,"AAAAAHpvu9w=")</f>
        <v>#VALUE!</v>
      </c>
      <c r="HN202" t="e">
        <f>AND('Planilla_General_03-12-2012_9_3'!M3230,"AAAAAHpvu90=")</f>
        <v>#VALUE!</v>
      </c>
      <c r="HO202" t="e">
        <f>AND('Planilla_General_03-12-2012_9_3'!N3230,"AAAAAHpvu94=")</f>
        <v>#VALUE!</v>
      </c>
      <c r="HP202" t="e">
        <f>AND('Planilla_General_03-12-2012_9_3'!O3230,"AAAAAHpvu98=")</f>
        <v>#VALUE!</v>
      </c>
      <c r="HQ202">
        <f>IF('Planilla_General_03-12-2012_9_3'!3231:3231,"AAAAAHpvu+A=",0)</f>
        <v>0</v>
      </c>
      <c r="HR202" t="e">
        <f>AND('Planilla_General_03-12-2012_9_3'!A3231,"AAAAAHpvu+E=")</f>
        <v>#VALUE!</v>
      </c>
      <c r="HS202" t="e">
        <f>AND('Planilla_General_03-12-2012_9_3'!B3231,"AAAAAHpvu+I=")</f>
        <v>#VALUE!</v>
      </c>
      <c r="HT202" t="e">
        <f>AND('Planilla_General_03-12-2012_9_3'!C3231,"AAAAAHpvu+M=")</f>
        <v>#VALUE!</v>
      </c>
      <c r="HU202" t="e">
        <f>AND('Planilla_General_03-12-2012_9_3'!D3231,"AAAAAHpvu+Q=")</f>
        <v>#VALUE!</v>
      </c>
      <c r="HV202" t="e">
        <f>AND('Planilla_General_03-12-2012_9_3'!E3231,"AAAAAHpvu+U=")</f>
        <v>#VALUE!</v>
      </c>
      <c r="HW202" t="e">
        <f>AND('Planilla_General_03-12-2012_9_3'!F3231,"AAAAAHpvu+Y=")</f>
        <v>#VALUE!</v>
      </c>
      <c r="HX202" t="e">
        <f>AND('Planilla_General_03-12-2012_9_3'!G3231,"AAAAAHpvu+c=")</f>
        <v>#VALUE!</v>
      </c>
      <c r="HY202" t="e">
        <f>AND('Planilla_General_03-12-2012_9_3'!H3231,"AAAAAHpvu+g=")</f>
        <v>#VALUE!</v>
      </c>
      <c r="HZ202" t="e">
        <f>AND('Planilla_General_03-12-2012_9_3'!I3231,"AAAAAHpvu+k=")</f>
        <v>#VALUE!</v>
      </c>
      <c r="IA202" t="e">
        <f>AND('Planilla_General_03-12-2012_9_3'!J3231,"AAAAAHpvu+o=")</f>
        <v>#VALUE!</v>
      </c>
      <c r="IB202" t="e">
        <f>AND('Planilla_General_03-12-2012_9_3'!K3231,"AAAAAHpvu+s=")</f>
        <v>#VALUE!</v>
      </c>
      <c r="IC202" t="e">
        <f>AND('Planilla_General_03-12-2012_9_3'!L3231,"AAAAAHpvu+w=")</f>
        <v>#VALUE!</v>
      </c>
      <c r="ID202" t="e">
        <f>AND('Planilla_General_03-12-2012_9_3'!M3231,"AAAAAHpvu+0=")</f>
        <v>#VALUE!</v>
      </c>
      <c r="IE202" t="e">
        <f>AND('Planilla_General_03-12-2012_9_3'!N3231,"AAAAAHpvu+4=")</f>
        <v>#VALUE!</v>
      </c>
      <c r="IF202" t="e">
        <f>AND('Planilla_General_03-12-2012_9_3'!O3231,"AAAAAHpvu+8=")</f>
        <v>#VALUE!</v>
      </c>
      <c r="IG202">
        <f>IF('Planilla_General_03-12-2012_9_3'!3232:3232,"AAAAAHpvu/A=",0)</f>
        <v>0</v>
      </c>
      <c r="IH202" t="e">
        <f>AND('Planilla_General_03-12-2012_9_3'!A3232,"AAAAAHpvu/E=")</f>
        <v>#VALUE!</v>
      </c>
      <c r="II202" t="e">
        <f>AND('Planilla_General_03-12-2012_9_3'!B3232,"AAAAAHpvu/I=")</f>
        <v>#VALUE!</v>
      </c>
      <c r="IJ202" t="e">
        <f>AND('Planilla_General_03-12-2012_9_3'!C3232,"AAAAAHpvu/M=")</f>
        <v>#VALUE!</v>
      </c>
      <c r="IK202" t="e">
        <f>AND('Planilla_General_03-12-2012_9_3'!D3232,"AAAAAHpvu/Q=")</f>
        <v>#VALUE!</v>
      </c>
      <c r="IL202" t="e">
        <f>AND('Planilla_General_03-12-2012_9_3'!E3232,"AAAAAHpvu/U=")</f>
        <v>#VALUE!</v>
      </c>
      <c r="IM202" t="e">
        <f>AND('Planilla_General_03-12-2012_9_3'!F3232,"AAAAAHpvu/Y=")</f>
        <v>#VALUE!</v>
      </c>
      <c r="IN202" t="e">
        <f>AND('Planilla_General_03-12-2012_9_3'!G3232,"AAAAAHpvu/c=")</f>
        <v>#VALUE!</v>
      </c>
      <c r="IO202" t="e">
        <f>AND('Planilla_General_03-12-2012_9_3'!H3232,"AAAAAHpvu/g=")</f>
        <v>#VALUE!</v>
      </c>
      <c r="IP202" t="e">
        <f>AND('Planilla_General_03-12-2012_9_3'!I3232,"AAAAAHpvu/k=")</f>
        <v>#VALUE!</v>
      </c>
      <c r="IQ202" t="e">
        <f>AND('Planilla_General_03-12-2012_9_3'!J3232,"AAAAAHpvu/o=")</f>
        <v>#VALUE!</v>
      </c>
      <c r="IR202" t="e">
        <f>AND('Planilla_General_03-12-2012_9_3'!K3232,"AAAAAHpvu/s=")</f>
        <v>#VALUE!</v>
      </c>
      <c r="IS202" t="e">
        <f>AND('Planilla_General_03-12-2012_9_3'!L3232,"AAAAAHpvu/w=")</f>
        <v>#VALUE!</v>
      </c>
      <c r="IT202" t="e">
        <f>AND('Planilla_General_03-12-2012_9_3'!M3232,"AAAAAHpvu/0=")</f>
        <v>#VALUE!</v>
      </c>
      <c r="IU202" t="e">
        <f>AND('Planilla_General_03-12-2012_9_3'!N3232,"AAAAAHpvu/4=")</f>
        <v>#VALUE!</v>
      </c>
      <c r="IV202" t="e">
        <f>AND('Planilla_General_03-12-2012_9_3'!O3232,"AAAAAHpvu/8=")</f>
        <v>#VALUE!</v>
      </c>
    </row>
    <row r="203" spans="1:256" x14ac:dyDescent="0.25">
      <c r="A203" t="e">
        <f>IF('Planilla_General_03-12-2012_9_3'!3233:3233,"AAAAABn/vwA=",0)</f>
        <v>#VALUE!</v>
      </c>
      <c r="B203" t="e">
        <f>AND('Planilla_General_03-12-2012_9_3'!A3233,"AAAAABn/vwE=")</f>
        <v>#VALUE!</v>
      </c>
      <c r="C203" t="e">
        <f>AND('Planilla_General_03-12-2012_9_3'!B3233,"AAAAABn/vwI=")</f>
        <v>#VALUE!</v>
      </c>
      <c r="D203" t="e">
        <f>AND('Planilla_General_03-12-2012_9_3'!C3233,"AAAAABn/vwM=")</f>
        <v>#VALUE!</v>
      </c>
      <c r="E203" t="e">
        <f>AND('Planilla_General_03-12-2012_9_3'!D3233,"AAAAABn/vwQ=")</f>
        <v>#VALUE!</v>
      </c>
      <c r="F203" t="e">
        <f>AND('Planilla_General_03-12-2012_9_3'!E3233,"AAAAABn/vwU=")</f>
        <v>#VALUE!</v>
      </c>
      <c r="G203" t="e">
        <f>AND('Planilla_General_03-12-2012_9_3'!F3233,"AAAAABn/vwY=")</f>
        <v>#VALUE!</v>
      </c>
      <c r="H203" t="e">
        <f>AND('Planilla_General_03-12-2012_9_3'!G3233,"AAAAABn/vwc=")</f>
        <v>#VALUE!</v>
      </c>
      <c r="I203" t="e">
        <f>AND('Planilla_General_03-12-2012_9_3'!H3233,"AAAAABn/vwg=")</f>
        <v>#VALUE!</v>
      </c>
      <c r="J203" t="e">
        <f>AND('Planilla_General_03-12-2012_9_3'!I3233,"AAAAABn/vwk=")</f>
        <v>#VALUE!</v>
      </c>
      <c r="K203" t="e">
        <f>AND('Planilla_General_03-12-2012_9_3'!J3233,"AAAAABn/vwo=")</f>
        <v>#VALUE!</v>
      </c>
      <c r="L203" t="e">
        <f>AND('Planilla_General_03-12-2012_9_3'!K3233,"AAAAABn/vws=")</f>
        <v>#VALUE!</v>
      </c>
      <c r="M203" t="e">
        <f>AND('Planilla_General_03-12-2012_9_3'!L3233,"AAAAABn/vww=")</f>
        <v>#VALUE!</v>
      </c>
      <c r="N203" t="e">
        <f>AND('Planilla_General_03-12-2012_9_3'!M3233,"AAAAABn/vw0=")</f>
        <v>#VALUE!</v>
      </c>
      <c r="O203" t="e">
        <f>AND('Planilla_General_03-12-2012_9_3'!N3233,"AAAAABn/vw4=")</f>
        <v>#VALUE!</v>
      </c>
      <c r="P203" t="e">
        <f>AND('Planilla_General_03-12-2012_9_3'!O3233,"AAAAABn/vw8=")</f>
        <v>#VALUE!</v>
      </c>
      <c r="Q203">
        <f>IF('Planilla_General_03-12-2012_9_3'!3234:3234,"AAAAABn/vxA=",0)</f>
        <v>0</v>
      </c>
      <c r="R203" t="e">
        <f>AND('Planilla_General_03-12-2012_9_3'!A3234,"AAAAABn/vxE=")</f>
        <v>#VALUE!</v>
      </c>
      <c r="S203" t="e">
        <f>AND('Planilla_General_03-12-2012_9_3'!B3234,"AAAAABn/vxI=")</f>
        <v>#VALUE!</v>
      </c>
      <c r="T203" t="e">
        <f>AND('Planilla_General_03-12-2012_9_3'!C3234,"AAAAABn/vxM=")</f>
        <v>#VALUE!</v>
      </c>
      <c r="U203" t="e">
        <f>AND('Planilla_General_03-12-2012_9_3'!D3234,"AAAAABn/vxQ=")</f>
        <v>#VALUE!</v>
      </c>
      <c r="V203" t="e">
        <f>AND('Planilla_General_03-12-2012_9_3'!E3234,"AAAAABn/vxU=")</f>
        <v>#VALUE!</v>
      </c>
      <c r="W203" t="e">
        <f>AND('Planilla_General_03-12-2012_9_3'!F3234,"AAAAABn/vxY=")</f>
        <v>#VALUE!</v>
      </c>
      <c r="X203" t="e">
        <f>AND('Planilla_General_03-12-2012_9_3'!G3234,"AAAAABn/vxc=")</f>
        <v>#VALUE!</v>
      </c>
      <c r="Y203" t="e">
        <f>AND('Planilla_General_03-12-2012_9_3'!H3234,"AAAAABn/vxg=")</f>
        <v>#VALUE!</v>
      </c>
      <c r="Z203" t="e">
        <f>AND('Planilla_General_03-12-2012_9_3'!I3234,"AAAAABn/vxk=")</f>
        <v>#VALUE!</v>
      </c>
      <c r="AA203" t="e">
        <f>AND('Planilla_General_03-12-2012_9_3'!J3234,"AAAAABn/vxo=")</f>
        <v>#VALUE!</v>
      </c>
      <c r="AB203" t="e">
        <f>AND('Planilla_General_03-12-2012_9_3'!K3234,"AAAAABn/vxs=")</f>
        <v>#VALUE!</v>
      </c>
      <c r="AC203" t="e">
        <f>AND('Planilla_General_03-12-2012_9_3'!L3234,"AAAAABn/vxw=")</f>
        <v>#VALUE!</v>
      </c>
      <c r="AD203" t="e">
        <f>AND('Planilla_General_03-12-2012_9_3'!M3234,"AAAAABn/vx0=")</f>
        <v>#VALUE!</v>
      </c>
      <c r="AE203" t="e">
        <f>AND('Planilla_General_03-12-2012_9_3'!N3234,"AAAAABn/vx4=")</f>
        <v>#VALUE!</v>
      </c>
      <c r="AF203" t="e">
        <f>AND('Planilla_General_03-12-2012_9_3'!O3234,"AAAAABn/vx8=")</f>
        <v>#VALUE!</v>
      </c>
      <c r="AG203">
        <f>IF('Planilla_General_03-12-2012_9_3'!3235:3235,"AAAAABn/vyA=",0)</f>
        <v>0</v>
      </c>
      <c r="AH203" t="e">
        <f>AND('Planilla_General_03-12-2012_9_3'!A3235,"AAAAABn/vyE=")</f>
        <v>#VALUE!</v>
      </c>
      <c r="AI203" t="e">
        <f>AND('Planilla_General_03-12-2012_9_3'!B3235,"AAAAABn/vyI=")</f>
        <v>#VALUE!</v>
      </c>
      <c r="AJ203" t="e">
        <f>AND('Planilla_General_03-12-2012_9_3'!C3235,"AAAAABn/vyM=")</f>
        <v>#VALUE!</v>
      </c>
      <c r="AK203" t="e">
        <f>AND('Planilla_General_03-12-2012_9_3'!D3235,"AAAAABn/vyQ=")</f>
        <v>#VALUE!</v>
      </c>
      <c r="AL203" t="e">
        <f>AND('Planilla_General_03-12-2012_9_3'!E3235,"AAAAABn/vyU=")</f>
        <v>#VALUE!</v>
      </c>
      <c r="AM203" t="e">
        <f>AND('Planilla_General_03-12-2012_9_3'!F3235,"AAAAABn/vyY=")</f>
        <v>#VALUE!</v>
      </c>
      <c r="AN203" t="e">
        <f>AND('Planilla_General_03-12-2012_9_3'!G3235,"AAAAABn/vyc=")</f>
        <v>#VALUE!</v>
      </c>
      <c r="AO203" t="e">
        <f>AND('Planilla_General_03-12-2012_9_3'!H3235,"AAAAABn/vyg=")</f>
        <v>#VALUE!</v>
      </c>
      <c r="AP203" t="e">
        <f>AND('Planilla_General_03-12-2012_9_3'!I3235,"AAAAABn/vyk=")</f>
        <v>#VALUE!</v>
      </c>
      <c r="AQ203" t="e">
        <f>AND('Planilla_General_03-12-2012_9_3'!J3235,"AAAAABn/vyo=")</f>
        <v>#VALUE!</v>
      </c>
      <c r="AR203" t="e">
        <f>AND('Planilla_General_03-12-2012_9_3'!K3235,"AAAAABn/vys=")</f>
        <v>#VALUE!</v>
      </c>
      <c r="AS203" t="e">
        <f>AND('Planilla_General_03-12-2012_9_3'!L3235,"AAAAABn/vyw=")</f>
        <v>#VALUE!</v>
      </c>
      <c r="AT203" t="e">
        <f>AND('Planilla_General_03-12-2012_9_3'!M3235,"AAAAABn/vy0=")</f>
        <v>#VALUE!</v>
      </c>
      <c r="AU203" t="e">
        <f>AND('Planilla_General_03-12-2012_9_3'!N3235,"AAAAABn/vy4=")</f>
        <v>#VALUE!</v>
      </c>
      <c r="AV203" t="e">
        <f>AND('Planilla_General_03-12-2012_9_3'!O3235,"AAAAABn/vy8=")</f>
        <v>#VALUE!</v>
      </c>
      <c r="AW203">
        <f>IF('Planilla_General_03-12-2012_9_3'!3236:3236,"AAAAABn/vzA=",0)</f>
        <v>0</v>
      </c>
      <c r="AX203" t="e">
        <f>AND('Planilla_General_03-12-2012_9_3'!A3236,"AAAAABn/vzE=")</f>
        <v>#VALUE!</v>
      </c>
      <c r="AY203" t="e">
        <f>AND('Planilla_General_03-12-2012_9_3'!B3236,"AAAAABn/vzI=")</f>
        <v>#VALUE!</v>
      </c>
      <c r="AZ203" t="e">
        <f>AND('Planilla_General_03-12-2012_9_3'!C3236,"AAAAABn/vzM=")</f>
        <v>#VALUE!</v>
      </c>
      <c r="BA203" t="e">
        <f>AND('Planilla_General_03-12-2012_9_3'!D3236,"AAAAABn/vzQ=")</f>
        <v>#VALUE!</v>
      </c>
      <c r="BB203" t="e">
        <f>AND('Planilla_General_03-12-2012_9_3'!E3236,"AAAAABn/vzU=")</f>
        <v>#VALUE!</v>
      </c>
      <c r="BC203" t="e">
        <f>AND('Planilla_General_03-12-2012_9_3'!F3236,"AAAAABn/vzY=")</f>
        <v>#VALUE!</v>
      </c>
      <c r="BD203" t="e">
        <f>AND('Planilla_General_03-12-2012_9_3'!G3236,"AAAAABn/vzc=")</f>
        <v>#VALUE!</v>
      </c>
      <c r="BE203" t="e">
        <f>AND('Planilla_General_03-12-2012_9_3'!H3236,"AAAAABn/vzg=")</f>
        <v>#VALUE!</v>
      </c>
      <c r="BF203" t="e">
        <f>AND('Planilla_General_03-12-2012_9_3'!I3236,"AAAAABn/vzk=")</f>
        <v>#VALUE!</v>
      </c>
      <c r="BG203" t="e">
        <f>AND('Planilla_General_03-12-2012_9_3'!J3236,"AAAAABn/vzo=")</f>
        <v>#VALUE!</v>
      </c>
      <c r="BH203" t="e">
        <f>AND('Planilla_General_03-12-2012_9_3'!K3236,"AAAAABn/vzs=")</f>
        <v>#VALUE!</v>
      </c>
      <c r="BI203" t="e">
        <f>AND('Planilla_General_03-12-2012_9_3'!L3236,"AAAAABn/vzw=")</f>
        <v>#VALUE!</v>
      </c>
      <c r="BJ203" t="e">
        <f>AND('Planilla_General_03-12-2012_9_3'!M3236,"AAAAABn/vz0=")</f>
        <v>#VALUE!</v>
      </c>
      <c r="BK203" t="e">
        <f>AND('Planilla_General_03-12-2012_9_3'!N3236,"AAAAABn/vz4=")</f>
        <v>#VALUE!</v>
      </c>
      <c r="BL203" t="e">
        <f>AND('Planilla_General_03-12-2012_9_3'!O3236,"AAAAABn/vz8=")</f>
        <v>#VALUE!</v>
      </c>
      <c r="BM203">
        <f>IF('Planilla_General_03-12-2012_9_3'!3237:3237,"AAAAABn/v0A=",0)</f>
        <v>0</v>
      </c>
      <c r="BN203" t="e">
        <f>AND('Planilla_General_03-12-2012_9_3'!A3237,"AAAAABn/v0E=")</f>
        <v>#VALUE!</v>
      </c>
      <c r="BO203" t="e">
        <f>AND('Planilla_General_03-12-2012_9_3'!B3237,"AAAAABn/v0I=")</f>
        <v>#VALUE!</v>
      </c>
      <c r="BP203" t="e">
        <f>AND('Planilla_General_03-12-2012_9_3'!C3237,"AAAAABn/v0M=")</f>
        <v>#VALUE!</v>
      </c>
      <c r="BQ203" t="e">
        <f>AND('Planilla_General_03-12-2012_9_3'!D3237,"AAAAABn/v0Q=")</f>
        <v>#VALUE!</v>
      </c>
      <c r="BR203" t="e">
        <f>AND('Planilla_General_03-12-2012_9_3'!E3237,"AAAAABn/v0U=")</f>
        <v>#VALUE!</v>
      </c>
      <c r="BS203" t="e">
        <f>AND('Planilla_General_03-12-2012_9_3'!F3237,"AAAAABn/v0Y=")</f>
        <v>#VALUE!</v>
      </c>
      <c r="BT203" t="e">
        <f>AND('Planilla_General_03-12-2012_9_3'!G3237,"AAAAABn/v0c=")</f>
        <v>#VALUE!</v>
      </c>
      <c r="BU203" t="e">
        <f>AND('Planilla_General_03-12-2012_9_3'!H3237,"AAAAABn/v0g=")</f>
        <v>#VALUE!</v>
      </c>
      <c r="BV203" t="e">
        <f>AND('Planilla_General_03-12-2012_9_3'!I3237,"AAAAABn/v0k=")</f>
        <v>#VALUE!</v>
      </c>
      <c r="BW203" t="e">
        <f>AND('Planilla_General_03-12-2012_9_3'!J3237,"AAAAABn/v0o=")</f>
        <v>#VALUE!</v>
      </c>
      <c r="BX203" t="e">
        <f>AND('Planilla_General_03-12-2012_9_3'!K3237,"AAAAABn/v0s=")</f>
        <v>#VALUE!</v>
      </c>
      <c r="BY203" t="e">
        <f>AND('Planilla_General_03-12-2012_9_3'!L3237,"AAAAABn/v0w=")</f>
        <v>#VALUE!</v>
      </c>
      <c r="BZ203" t="e">
        <f>AND('Planilla_General_03-12-2012_9_3'!M3237,"AAAAABn/v00=")</f>
        <v>#VALUE!</v>
      </c>
      <c r="CA203" t="e">
        <f>AND('Planilla_General_03-12-2012_9_3'!N3237,"AAAAABn/v04=")</f>
        <v>#VALUE!</v>
      </c>
      <c r="CB203" t="e">
        <f>AND('Planilla_General_03-12-2012_9_3'!O3237,"AAAAABn/v08=")</f>
        <v>#VALUE!</v>
      </c>
      <c r="CC203">
        <f>IF('Planilla_General_03-12-2012_9_3'!3238:3238,"AAAAABn/v1A=",0)</f>
        <v>0</v>
      </c>
      <c r="CD203" t="e">
        <f>AND('Planilla_General_03-12-2012_9_3'!A3238,"AAAAABn/v1E=")</f>
        <v>#VALUE!</v>
      </c>
      <c r="CE203" t="e">
        <f>AND('Planilla_General_03-12-2012_9_3'!B3238,"AAAAABn/v1I=")</f>
        <v>#VALUE!</v>
      </c>
      <c r="CF203" t="e">
        <f>AND('Planilla_General_03-12-2012_9_3'!C3238,"AAAAABn/v1M=")</f>
        <v>#VALUE!</v>
      </c>
      <c r="CG203" t="e">
        <f>AND('Planilla_General_03-12-2012_9_3'!D3238,"AAAAABn/v1Q=")</f>
        <v>#VALUE!</v>
      </c>
      <c r="CH203" t="e">
        <f>AND('Planilla_General_03-12-2012_9_3'!E3238,"AAAAABn/v1U=")</f>
        <v>#VALUE!</v>
      </c>
      <c r="CI203" t="e">
        <f>AND('Planilla_General_03-12-2012_9_3'!F3238,"AAAAABn/v1Y=")</f>
        <v>#VALUE!</v>
      </c>
      <c r="CJ203" t="e">
        <f>AND('Planilla_General_03-12-2012_9_3'!G3238,"AAAAABn/v1c=")</f>
        <v>#VALUE!</v>
      </c>
      <c r="CK203" t="e">
        <f>AND('Planilla_General_03-12-2012_9_3'!H3238,"AAAAABn/v1g=")</f>
        <v>#VALUE!</v>
      </c>
      <c r="CL203" t="e">
        <f>AND('Planilla_General_03-12-2012_9_3'!I3238,"AAAAABn/v1k=")</f>
        <v>#VALUE!</v>
      </c>
      <c r="CM203" t="e">
        <f>AND('Planilla_General_03-12-2012_9_3'!J3238,"AAAAABn/v1o=")</f>
        <v>#VALUE!</v>
      </c>
      <c r="CN203" t="e">
        <f>AND('Planilla_General_03-12-2012_9_3'!K3238,"AAAAABn/v1s=")</f>
        <v>#VALUE!</v>
      </c>
      <c r="CO203" t="e">
        <f>AND('Planilla_General_03-12-2012_9_3'!L3238,"AAAAABn/v1w=")</f>
        <v>#VALUE!</v>
      </c>
      <c r="CP203" t="e">
        <f>AND('Planilla_General_03-12-2012_9_3'!M3238,"AAAAABn/v10=")</f>
        <v>#VALUE!</v>
      </c>
      <c r="CQ203" t="e">
        <f>AND('Planilla_General_03-12-2012_9_3'!N3238,"AAAAABn/v14=")</f>
        <v>#VALUE!</v>
      </c>
      <c r="CR203" t="e">
        <f>AND('Planilla_General_03-12-2012_9_3'!O3238,"AAAAABn/v18=")</f>
        <v>#VALUE!</v>
      </c>
      <c r="CS203">
        <f>IF('Planilla_General_03-12-2012_9_3'!3239:3239,"AAAAABn/v2A=",0)</f>
        <v>0</v>
      </c>
      <c r="CT203" t="e">
        <f>AND('Planilla_General_03-12-2012_9_3'!A3239,"AAAAABn/v2E=")</f>
        <v>#VALUE!</v>
      </c>
      <c r="CU203" t="e">
        <f>AND('Planilla_General_03-12-2012_9_3'!B3239,"AAAAABn/v2I=")</f>
        <v>#VALUE!</v>
      </c>
      <c r="CV203" t="e">
        <f>AND('Planilla_General_03-12-2012_9_3'!C3239,"AAAAABn/v2M=")</f>
        <v>#VALUE!</v>
      </c>
      <c r="CW203" t="e">
        <f>AND('Planilla_General_03-12-2012_9_3'!D3239,"AAAAABn/v2Q=")</f>
        <v>#VALUE!</v>
      </c>
      <c r="CX203" t="e">
        <f>AND('Planilla_General_03-12-2012_9_3'!E3239,"AAAAABn/v2U=")</f>
        <v>#VALUE!</v>
      </c>
      <c r="CY203" t="e">
        <f>AND('Planilla_General_03-12-2012_9_3'!F3239,"AAAAABn/v2Y=")</f>
        <v>#VALUE!</v>
      </c>
      <c r="CZ203" t="e">
        <f>AND('Planilla_General_03-12-2012_9_3'!G3239,"AAAAABn/v2c=")</f>
        <v>#VALUE!</v>
      </c>
      <c r="DA203" t="e">
        <f>AND('Planilla_General_03-12-2012_9_3'!H3239,"AAAAABn/v2g=")</f>
        <v>#VALUE!</v>
      </c>
      <c r="DB203" t="e">
        <f>AND('Planilla_General_03-12-2012_9_3'!I3239,"AAAAABn/v2k=")</f>
        <v>#VALUE!</v>
      </c>
      <c r="DC203" t="e">
        <f>AND('Planilla_General_03-12-2012_9_3'!J3239,"AAAAABn/v2o=")</f>
        <v>#VALUE!</v>
      </c>
      <c r="DD203" t="e">
        <f>AND('Planilla_General_03-12-2012_9_3'!K3239,"AAAAABn/v2s=")</f>
        <v>#VALUE!</v>
      </c>
      <c r="DE203" t="e">
        <f>AND('Planilla_General_03-12-2012_9_3'!L3239,"AAAAABn/v2w=")</f>
        <v>#VALUE!</v>
      </c>
      <c r="DF203" t="e">
        <f>AND('Planilla_General_03-12-2012_9_3'!M3239,"AAAAABn/v20=")</f>
        <v>#VALUE!</v>
      </c>
      <c r="DG203" t="e">
        <f>AND('Planilla_General_03-12-2012_9_3'!N3239,"AAAAABn/v24=")</f>
        <v>#VALUE!</v>
      </c>
      <c r="DH203" t="e">
        <f>AND('Planilla_General_03-12-2012_9_3'!O3239,"AAAAABn/v28=")</f>
        <v>#VALUE!</v>
      </c>
      <c r="DI203">
        <f>IF('Planilla_General_03-12-2012_9_3'!3240:3240,"AAAAABn/v3A=",0)</f>
        <v>0</v>
      </c>
      <c r="DJ203" t="e">
        <f>AND('Planilla_General_03-12-2012_9_3'!A3240,"AAAAABn/v3E=")</f>
        <v>#VALUE!</v>
      </c>
      <c r="DK203" t="e">
        <f>AND('Planilla_General_03-12-2012_9_3'!B3240,"AAAAABn/v3I=")</f>
        <v>#VALUE!</v>
      </c>
      <c r="DL203" t="e">
        <f>AND('Planilla_General_03-12-2012_9_3'!C3240,"AAAAABn/v3M=")</f>
        <v>#VALUE!</v>
      </c>
      <c r="DM203" t="e">
        <f>AND('Planilla_General_03-12-2012_9_3'!D3240,"AAAAABn/v3Q=")</f>
        <v>#VALUE!</v>
      </c>
      <c r="DN203" t="e">
        <f>AND('Planilla_General_03-12-2012_9_3'!E3240,"AAAAABn/v3U=")</f>
        <v>#VALUE!</v>
      </c>
      <c r="DO203" t="e">
        <f>AND('Planilla_General_03-12-2012_9_3'!F3240,"AAAAABn/v3Y=")</f>
        <v>#VALUE!</v>
      </c>
      <c r="DP203" t="e">
        <f>AND('Planilla_General_03-12-2012_9_3'!G3240,"AAAAABn/v3c=")</f>
        <v>#VALUE!</v>
      </c>
      <c r="DQ203" t="e">
        <f>AND('Planilla_General_03-12-2012_9_3'!H3240,"AAAAABn/v3g=")</f>
        <v>#VALUE!</v>
      </c>
      <c r="DR203" t="e">
        <f>AND('Planilla_General_03-12-2012_9_3'!I3240,"AAAAABn/v3k=")</f>
        <v>#VALUE!</v>
      </c>
      <c r="DS203" t="e">
        <f>AND('Planilla_General_03-12-2012_9_3'!J3240,"AAAAABn/v3o=")</f>
        <v>#VALUE!</v>
      </c>
      <c r="DT203" t="e">
        <f>AND('Planilla_General_03-12-2012_9_3'!K3240,"AAAAABn/v3s=")</f>
        <v>#VALUE!</v>
      </c>
      <c r="DU203" t="e">
        <f>AND('Planilla_General_03-12-2012_9_3'!L3240,"AAAAABn/v3w=")</f>
        <v>#VALUE!</v>
      </c>
      <c r="DV203" t="e">
        <f>AND('Planilla_General_03-12-2012_9_3'!M3240,"AAAAABn/v30=")</f>
        <v>#VALUE!</v>
      </c>
      <c r="DW203" t="e">
        <f>AND('Planilla_General_03-12-2012_9_3'!N3240,"AAAAABn/v34=")</f>
        <v>#VALUE!</v>
      </c>
      <c r="DX203" t="e">
        <f>AND('Planilla_General_03-12-2012_9_3'!O3240,"AAAAABn/v38=")</f>
        <v>#VALUE!</v>
      </c>
      <c r="DY203">
        <f>IF('Planilla_General_03-12-2012_9_3'!3241:3241,"AAAAABn/v4A=",0)</f>
        <v>0</v>
      </c>
      <c r="DZ203" t="e">
        <f>AND('Planilla_General_03-12-2012_9_3'!A3241,"AAAAABn/v4E=")</f>
        <v>#VALUE!</v>
      </c>
      <c r="EA203" t="e">
        <f>AND('Planilla_General_03-12-2012_9_3'!B3241,"AAAAABn/v4I=")</f>
        <v>#VALUE!</v>
      </c>
      <c r="EB203" t="e">
        <f>AND('Planilla_General_03-12-2012_9_3'!C3241,"AAAAABn/v4M=")</f>
        <v>#VALUE!</v>
      </c>
      <c r="EC203" t="e">
        <f>AND('Planilla_General_03-12-2012_9_3'!D3241,"AAAAABn/v4Q=")</f>
        <v>#VALUE!</v>
      </c>
      <c r="ED203" t="e">
        <f>AND('Planilla_General_03-12-2012_9_3'!E3241,"AAAAABn/v4U=")</f>
        <v>#VALUE!</v>
      </c>
      <c r="EE203" t="e">
        <f>AND('Planilla_General_03-12-2012_9_3'!F3241,"AAAAABn/v4Y=")</f>
        <v>#VALUE!</v>
      </c>
      <c r="EF203" t="e">
        <f>AND('Planilla_General_03-12-2012_9_3'!G3241,"AAAAABn/v4c=")</f>
        <v>#VALUE!</v>
      </c>
      <c r="EG203" t="e">
        <f>AND('Planilla_General_03-12-2012_9_3'!H3241,"AAAAABn/v4g=")</f>
        <v>#VALUE!</v>
      </c>
      <c r="EH203" t="e">
        <f>AND('Planilla_General_03-12-2012_9_3'!I3241,"AAAAABn/v4k=")</f>
        <v>#VALUE!</v>
      </c>
      <c r="EI203" t="e">
        <f>AND('Planilla_General_03-12-2012_9_3'!J3241,"AAAAABn/v4o=")</f>
        <v>#VALUE!</v>
      </c>
      <c r="EJ203" t="e">
        <f>AND('Planilla_General_03-12-2012_9_3'!K3241,"AAAAABn/v4s=")</f>
        <v>#VALUE!</v>
      </c>
      <c r="EK203" t="e">
        <f>AND('Planilla_General_03-12-2012_9_3'!L3241,"AAAAABn/v4w=")</f>
        <v>#VALUE!</v>
      </c>
      <c r="EL203" t="e">
        <f>AND('Planilla_General_03-12-2012_9_3'!M3241,"AAAAABn/v40=")</f>
        <v>#VALUE!</v>
      </c>
      <c r="EM203" t="e">
        <f>AND('Planilla_General_03-12-2012_9_3'!N3241,"AAAAABn/v44=")</f>
        <v>#VALUE!</v>
      </c>
      <c r="EN203" t="e">
        <f>AND('Planilla_General_03-12-2012_9_3'!O3241,"AAAAABn/v48=")</f>
        <v>#VALUE!</v>
      </c>
      <c r="EO203">
        <f>IF('Planilla_General_03-12-2012_9_3'!3242:3242,"AAAAABn/v5A=",0)</f>
        <v>0</v>
      </c>
      <c r="EP203" t="e">
        <f>AND('Planilla_General_03-12-2012_9_3'!A3242,"AAAAABn/v5E=")</f>
        <v>#VALUE!</v>
      </c>
      <c r="EQ203" t="e">
        <f>AND('Planilla_General_03-12-2012_9_3'!B3242,"AAAAABn/v5I=")</f>
        <v>#VALUE!</v>
      </c>
      <c r="ER203" t="e">
        <f>AND('Planilla_General_03-12-2012_9_3'!C3242,"AAAAABn/v5M=")</f>
        <v>#VALUE!</v>
      </c>
      <c r="ES203" t="e">
        <f>AND('Planilla_General_03-12-2012_9_3'!D3242,"AAAAABn/v5Q=")</f>
        <v>#VALUE!</v>
      </c>
      <c r="ET203" t="e">
        <f>AND('Planilla_General_03-12-2012_9_3'!E3242,"AAAAABn/v5U=")</f>
        <v>#VALUE!</v>
      </c>
      <c r="EU203" t="e">
        <f>AND('Planilla_General_03-12-2012_9_3'!F3242,"AAAAABn/v5Y=")</f>
        <v>#VALUE!</v>
      </c>
      <c r="EV203" t="e">
        <f>AND('Planilla_General_03-12-2012_9_3'!G3242,"AAAAABn/v5c=")</f>
        <v>#VALUE!</v>
      </c>
      <c r="EW203" t="e">
        <f>AND('Planilla_General_03-12-2012_9_3'!H3242,"AAAAABn/v5g=")</f>
        <v>#VALUE!</v>
      </c>
      <c r="EX203" t="e">
        <f>AND('Planilla_General_03-12-2012_9_3'!I3242,"AAAAABn/v5k=")</f>
        <v>#VALUE!</v>
      </c>
      <c r="EY203" t="e">
        <f>AND('Planilla_General_03-12-2012_9_3'!J3242,"AAAAABn/v5o=")</f>
        <v>#VALUE!</v>
      </c>
      <c r="EZ203" t="e">
        <f>AND('Planilla_General_03-12-2012_9_3'!K3242,"AAAAABn/v5s=")</f>
        <v>#VALUE!</v>
      </c>
      <c r="FA203" t="e">
        <f>AND('Planilla_General_03-12-2012_9_3'!L3242,"AAAAABn/v5w=")</f>
        <v>#VALUE!</v>
      </c>
      <c r="FB203" t="e">
        <f>AND('Planilla_General_03-12-2012_9_3'!M3242,"AAAAABn/v50=")</f>
        <v>#VALUE!</v>
      </c>
      <c r="FC203" t="e">
        <f>AND('Planilla_General_03-12-2012_9_3'!N3242,"AAAAABn/v54=")</f>
        <v>#VALUE!</v>
      </c>
      <c r="FD203" t="e">
        <f>AND('Planilla_General_03-12-2012_9_3'!O3242,"AAAAABn/v58=")</f>
        <v>#VALUE!</v>
      </c>
      <c r="FE203">
        <f>IF('Planilla_General_03-12-2012_9_3'!3243:3243,"AAAAABn/v6A=",0)</f>
        <v>0</v>
      </c>
      <c r="FF203" t="e">
        <f>AND('Planilla_General_03-12-2012_9_3'!A3243,"AAAAABn/v6E=")</f>
        <v>#VALUE!</v>
      </c>
      <c r="FG203" t="e">
        <f>AND('Planilla_General_03-12-2012_9_3'!B3243,"AAAAABn/v6I=")</f>
        <v>#VALUE!</v>
      </c>
      <c r="FH203" t="e">
        <f>AND('Planilla_General_03-12-2012_9_3'!C3243,"AAAAABn/v6M=")</f>
        <v>#VALUE!</v>
      </c>
      <c r="FI203" t="e">
        <f>AND('Planilla_General_03-12-2012_9_3'!D3243,"AAAAABn/v6Q=")</f>
        <v>#VALUE!</v>
      </c>
      <c r="FJ203" t="e">
        <f>AND('Planilla_General_03-12-2012_9_3'!E3243,"AAAAABn/v6U=")</f>
        <v>#VALUE!</v>
      </c>
      <c r="FK203" t="e">
        <f>AND('Planilla_General_03-12-2012_9_3'!F3243,"AAAAABn/v6Y=")</f>
        <v>#VALUE!</v>
      </c>
      <c r="FL203" t="e">
        <f>AND('Planilla_General_03-12-2012_9_3'!G3243,"AAAAABn/v6c=")</f>
        <v>#VALUE!</v>
      </c>
      <c r="FM203" t="e">
        <f>AND('Planilla_General_03-12-2012_9_3'!H3243,"AAAAABn/v6g=")</f>
        <v>#VALUE!</v>
      </c>
      <c r="FN203" t="e">
        <f>AND('Planilla_General_03-12-2012_9_3'!I3243,"AAAAABn/v6k=")</f>
        <v>#VALUE!</v>
      </c>
      <c r="FO203" t="e">
        <f>AND('Planilla_General_03-12-2012_9_3'!J3243,"AAAAABn/v6o=")</f>
        <v>#VALUE!</v>
      </c>
      <c r="FP203" t="e">
        <f>AND('Planilla_General_03-12-2012_9_3'!K3243,"AAAAABn/v6s=")</f>
        <v>#VALUE!</v>
      </c>
      <c r="FQ203" t="e">
        <f>AND('Planilla_General_03-12-2012_9_3'!L3243,"AAAAABn/v6w=")</f>
        <v>#VALUE!</v>
      </c>
      <c r="FR203" t="e">
        <f>AND('Planilla_General_03-12-2012_9_3'!M3243,"AAAAABn/v60=")</f>
        <v>#VALUE!</v>
      </c>
      <c r="FS203" t="e">
        <f>AND('Planilla_General_03-12-2012_9_3'!N3243,"AAAAABn/v64=")</f>
        <v>#VALUE!</v>
      </c>
      <c r="FT203" t="e">
        <f>AND('Planilla_General_03-12-2012_9_3'!O3243,"AAAAABn/v68=")</f>
        <v>#VALUE!</v>
      </c>
      <c r="FU203">
        <f>IF('Planilla_General_03-12-2012_9_3'!3244:3244,"AAAAABn/v7A=",0)</f>
        <v>0</v>
      </c>
      <c r="FV203" t="e">
        <f>AND('Planilla_General_03-12-2012_9_3'!A3244,"AAAAABn/v7E=")</f>
        <v>#VALUE!</v>
      </c>
      <c r="FW203" t="e">
        <f>AND('Planilla_General_03-12-2012_9_3'!B3244,"AAAAABn/v7I=")</f>
        <v>#VALUE!</v>
      </c>
      <c r="FX203" t="e">
        <f>AND('Planilla_General_03-12-2012_9_3'!C3244,"AAAAABn/v7M=")</f>
        <v>#VALUE!</v>
      </c>
      <c r="FY203" t="e">
        <f>AND('Planilla_General_03-12-2012_9_3'!D3244,"AAAAABn/v7Q=")</f>
        <v>#VALUE!</v>
      </c>
      <c r="FZ203" t="e">
        <f>AND('Planilla_General_03-12-2012_9_3'!E3244,"AAAAABn/v7U=")</f>
        <v>#VALUE!</v>
      </c>
      <c r="GA203" t="e">
        <f>AND('Planilla_General_03-12-2012_9_3'!F3244,"AAAAABn/v7Y=")</f>
        <v>#VALUE!</v>
      </c>
      <c r="GB203" t="e">
        <f>AND('Planilla_General_03-12-2012_9_3'!G3244,"AAAAABn/v7c=")</f>
        <v>#VALUE!</v>
      </c>
      <c r="GC203" t="e">
        <f>AND('Planilla_General_03-12-2012_9_3'!H3244,"AAAAABn/v7g=")</f>
        <v>#VALUE!</v>
      </c>
      <c r="GD203" t="e">
        <f>AND('Planilla_General_03-12-2012_9_3'!I3244,"AAAAABn/v7k=")</f>
        <v>#VALUE!</v>
      </c>
      <c r="GE203" t="e">
        <f>AND('Planilla_General_03-12-2012_9_3'!J3244,"AAAAABn/v7o=")</f>
        <v>#VALUE!</v>
      </c>
      <c r="GF203" t="e">
        <f>AND('Planilla_General_03-12-2012_9_3'!K3244,"AAAAABn/v7s=")</f>
        <v>#VALUE!</v>
      </c>
      <c r="GG203" t="e">
        <f>AND('Planilla_General_03-12-2012_9_3'!L3244,"AAAAABn/v7w=")</f>
        <v>#VALUE!</v>
      </c>
      <c r="GH203" t="e">
        <f>AND('Planilla_General_03-12-2012_9_3'!M3244,"AAAAABn/v70=")</f>
        <v>#VALUE!</v>
      </c>
      <c r="GI203" t="e">
        <f>AND('Planilla_General_03-12-2012_9_3'!N3244,"AAAAABn/v74=")</f>
        <v>#VALUE!</v>
      </c>
      <c r="GJ203" t="e">
        <f>AND('Planilla_General_03-12-2012_9_3'!O3244,"AAAAABn/v78=")</f>
        <v>#VALUE!</v>
      </c>
      <c r="GK203">
        <f>IF('Planilla_General_03-12-2012_9_3'!3245:3245,"AAAAABn/v8A=",0)</f>
        <v>0</v>
      </c>
      <c r="GL203" t="e">
        <f>AND('Planilla_General_03-12-2012_9_3'!A3245,"AAAAABn/v8E=")</f>
        <v>#VALUE!</v>
      </c>
      <c r="GM203" t="e">
        <f>AND('Planilla_General_03-12-2012_9_3'!B3245,"AAAAABn/v8I=")</f>
        <v>#VALUE!</v>
      </c>
      <c r="GN203" t="e">
        <f>AND('Planilla_General_03-12-2012_9_3'!C3245,"AAAAABn/v8M=")</f>
        <v>#VALUE!</v>
      </c>
      <c r="GO203" t="e">
        <f>AND('Planilla_General_03-12-2012_9_3'!D3245,"AAAAABn/v8Q=")</f>
        <v>#VALUE!</v>
      </c>
      <c r="GP203" t="e">
        <f>AND('Planilla_General_03-12-2012_9_3'!E3245,"AAAAABn/v8U=")</f>
        <v>#VALUE!</v>
      </c>
      <c r="GQ203" t="e">
        <f>AND('Planilla_General_03-12-2012_9_3'!F3245,"AAAAABn/v8Y=")</f>
        <v>#VALUE!</v>
      </c>
      <c r="GR203" t="e">
        <f>AND('Planilla_General_03-12-2012_9_3'!G3245,"AAAAABn/v8c=")</f>
        <v>#VALUE!</v>
      </c>
      <c r="GS203" t="e">
        <f>AND('Planilla_General_03-12-2012_9_3'!H3245,"AAAAABn/v8g=")</f>
        <v>#VALUE!</v>
      </c>
      <c r="GT203" t="e">
        <f>AND('Planilla_General_03-12-2012_9_3'!I3245,"AAAAABn/v8k=")</f>
        <v>#VALUE!</v>
      </c>
      <c r="GU203" t="e">
        <f>AND('Planilla_General_03-12-2012_9_3'!J3245,"AAAAABn/v8o=")</f>
        <v>#VALUE!</v>
      </c>
      <c r="GV203" t="e">
        <f>AND('Planilla_General_03-12-2012_9_3'!K3245,"AAAAABn/v8s=")</f>
        <v>#VALUE!</v>
      </c>
      <c r="GW203" t="e">
        <f>AND('Planilla_General_03-12-2012_9_3'!L3245,"AAAAABn/v8w=")</f>
        <v>#VALUE!</v>
      </c>
      <c r="GX203" t="e">
        <f>AND('Planilla_General_03-12-2012_9_3'!M3245,"AAAAABn/v80=")</f>
        <v>#VALUE!</v>
      </c>
      <c r="GY203" t="e">
        <f>AND('Planilla_General_03-12-2012_9_3'!N3245,"AAAAABn/v84=")</f>
        <v>#VALUE!</v>
      </c>
      <c r="GZ203" t="e">
        <f>AND('Planilla_General_03-12-2012_9_3'!O3245,"AAAAABn/v88=")</f>
        <v>#VALUE!</v>
      </c>
      <c r="HA203">
        <f>IF('Planilla_General_03-12-2012_9_3'!3246:3246,"AAAAABn/v9A=",0)</f>
        <v>0</v>
      </c>
      <c r="HB203" t="e">
        <f>AND('Planilla_General_03-12-2012_9_3'!A3246,"AAAAABn/v9E=")</f>
        <v>#VALUE!</v>
      </c>
      <c r="HC203" t="e">
        <f>AND('Planilla_General_03-12-2012_9_3'!B3246,"AAAAABn/v9I=")</f>
        <v>#VALUE!</v>
      </c>
      <c r="HD203" t="e">
        <f>AND('Planilla_General_03-12-2012_9_3'!C3246,"AAAAABn/v9M=")</f>
        <v>#VALUE!</v>
      </c>
      <c r="HE203" t="e">
        <f>AND('Planilla_General_03-12-2012_9_3'!D3246,"AAAAABn/v9Q=")</f>
        <v>#VALUE!</v>
      </c>
      <c r="HF203" t="e">
        <f>AND('Planilla_General_03-12-2012_9_3'!E3246,"AAAAABn/v9U=")</f>
        <v>#VALUE!</v>
      </c>
      <c r="HG203" t="e">
        <f>AND('Planilla_General_03-12-2012_9_3'!F3246,"AAAAABn/v9Y=")</f>
        <v>#VALUE!</v>
      </c>
      <c r="HH203" t="e">
        <f>AND('Planilla_General_03-12-2012_9_3'!G3246,"AAAAABn/v9c=")</f>
        <v>#VALUE!</v>
      </c>
      <c r="HI203" t="e">
        <f>AND('Planilla_General_03-12-2012_9_3'!H3246,"AAAAABn/v9g=")</f>
        <v>#VALUE!</v>
      </c>
      <c r="HJ203" t="e">
        <f>AND('Planilla_General_03-12-2012_9_3'!I3246,"AAAAABn/v9k=")</f>
        <v>#VALUE!</v>
      </c>
      <c r="HK203" t="e">
        <f>AND('Planilla_General_03-12-2012_9_3'!J3246,"AAAAABn/v9o=")</f>
        <v>#VALUE!</v>
      </c>
      <c r="HL203" t="e">
        <f>AND('Planilla_General_03-12-2012_9_3'!K3246,"AAAAABn/v9s=")</f>
        <v>#VALUE!</v>
      </c>
      <c r="HM203" t="e">
        <f>AND('Planilla_General_03-12-2012_9_3'!L3246,"AAAAABn/v9w=")</f>
        <v>#VALUE!</v>
      </c>
      <c r="HN203" t="e">
        <f>AND('Planilla_General_03-12-2012_9_3'!M3246,"AAAAABn/v90=")</f>
        <v>#VALUE!</v>
      </c>
      <c r="HO203" t="e">
        <f>AND('Planilla_General_03-12-2012_9_3'!N3246,"AAAAABn/v94=")</f>
        <v>#VALUE!</v>
      </c>
      <c r="HP203" t="e">
        <f>AND('Planilla_General_03-12-2012_9_3'!O3246,"AAAAABn/v98=")</f>
        <v>#VALUE!</v>
      </c>
      <c r="HQ203">
        <f>IF('Planilla_General_03-12-2012_9_3'!3247:3247,"AAAAABn/v+A=",0)</f>
        <v>0</v>
      </c>
      <c r="HR203" t="e">
        <f>AND('Planilla_General_03-12-2012_9_3'!A3247,"AAAAABn/v+E=")</f>
        <v>#VALUE!</v>
      </c>
      <c r="HS203" t="e">
        <f>AND('Planilla_General_03-12-2012_9_3'!B3247,"AAAAABn/v+I=")</f>
        <v>#VALUE!</v>
      </c>
      <c r="HT203" t="e">
        <f>AND('Planilla_General_03-12-2012_9_3'!C3247,"AAAAABn/v+M=")</f>
        <v>#VALUE!</v>
      </c>
      <c r="HU203" t="e">
        <f>AND('Planilla_General_03-12-2012_9_3'!D3247,"AAAAABn/v+Q=")</f>
        <v>#VALUE!</v>
      </c>
      <c r="HV203" t="e">
        <f>AND('Planilla_General_03-12-2012_9_3'!E3247,"AAAAABn/v+U=")</f>
        <v>#VALUE!</v>
      </c>
      <c r="HW203" t="e">
        <f>AND('Planilla_General_03-12-2012_9_3'!F3247,"AAAAABn/v+Y=")</f>
        <v>#VALUE!</v>
      </c>
      <c r="HX203" t="e">
        <f>AND('Planilla_General_03-12-2012_9_3'!G3247,"AAAAABn/v+c=")</f>
        <v>#VALUE!</v>
      </c>
      <c r="HY203" t="e">
        <f>AND('Planilla_General_03-12-2012_9_3'!H3247,"AAAAABn/v+g=")</f>
        <v>#VALUE!</v>
      </c>
      <c r="HZ203" t="e">
        <f>AND('Planilla_General_03-12-2012_9_3'!I3247,"AAAAABn/v+k=")</f>
        <v>#VALUE!</v>
      </c>
      <c r="IA203" t="e">
        <f>AND('Planilla_General_03-12-2012_9_3'!J3247,"AAAAABn/v+o=")</f>
        <v>#VALUE!</v>
      </c>
      <c r="IB203" t="e">
        <f>AND('Planilla_General_03-12-2012_9_3'!K3247,"AAAAABn/v+s=")</f>
        <v>#VALUE!</v>
      </c>
      <c r="IC203" t="e">
        <f>AND('Planilla_General_03-12-2012_9_3'!L3247,"AAAAABn/v+w=")</f>
        <v>#VALUE!</v>
      </c>
      <c r="ID203" t="e">
        <f>AND('Planilla_General_03-12-2012_9_3'!M3247,"AAAAABn/v+0=")</f>
        <v>#VALUE!</v>
      </c>
      <c r="IE203" t="e">
        <f>AND('Planilla_General_03-12-2012_9_3'!N3247,"AAAAABn/v+4=")</f>
        <v>#VALUE!</v>
      </c>
      <c r="IF203" t="e">
        <f>AND('Planilla_General_03-12-2012_9_3'!O3247,"AAAAABn/v+8=")</f>
        <v>#VALUE!</v>
      </c>
      <c r="IG203">
        <f>IF('Planilla_General_03-12-2012_9_3'!3248:3248,"AAAAABn/v/A=",0)</f>
        <v>0</v>
      </c>
      <c r="IH203" t="e">
        <f>AND('Planilla_General_03-12-2012_9_3'!A3248,"AAAAABn/v/E=")</f>
        <v>#VALUE!</v>
      </c>
      <c r="II203" t="e">
        <f>AND('Planilla_General_03-12-2012_9_3'!B3248,"AAAAABn/v/I=")</f>
        <v>#VALUE!</v>
      </c>
      <c r="IJ203" t="e">
        <f>AND('Planilla_General_03-12-2012_9_3'!C3248,"AAAAABn/v/M=")</f>
        <v>#VALUE!</v>
      </c>
      <c r="IK203" t="e">
        <f>AND('Planilla_General_03-12-2012_9_3'!D3248,"AAAAABn/v/Q=")</f>
        <v>#VALUE!</v>
      </c>
      <c r="IL203" t="e">
        <f>AND('Planilla_General_03-12-2012_9_3'!E3248,"AAAAABn/v/U=")</f>
        <v>#VALUE!</v>
      </c>
      <c r="IM203" t="e">
        <f>AND('Planilla_General_03-12-2012_9_3'!F3248,"AAAAABn/v/Y=")</f>
        <v>#VALUE!</v>
      </c>
      <c r="IN203" t="e">
        <f>AND('Planilla_General_03-12-2012_9_3'!G3248,"AAAAABn/v/c=")</f>
        <v>#VALUE!</v>
      </c>
      <c r="IO203" t="e">
        <f>AND('Planilla_General_03-12-2012_9_3'!H3248,"AAAAABn/v/g=")</f>
        <v>#VALUE!</v>
      </c>
      <c r="IP203" t="e">
        <f>AND('Planilla_General_03-12-2012_9_3'!I3248,"AAAAABn/v/k=")</f>
        <v>#VALUE!</v>
      </c>
      <c r="IQ203" t="e">
        <f>AND('Planilla_General_03-12-2012_9_3'!J3248,"AAAAABn/v/o=")</f>
        <v>#VALUE!</v>
      </c>
      <c r="IR203" t="e">
        <f>AND('Planilla_General_03-12-2012_9_3'!K3248,"AAAAABn/v/s=")</f>
        <v>#VALUE!</v>
      </c>
      <c r="IS203" t="e">
        <f>AND('Planilla_General_03-12-2012_9_3'!L3248,"AAAAABn/v/w=")</f>
        <v>#VALUE!</v>
      </c>
      <c r="IT203" t="e">
        <f>AND('Planilla_General_03-12-2012_9_3'!M3248,"AAAAABn/v/0=")</f>
        <v>#VALUE!</v>
      </c>
      <c r="IU203" t="e">
        <f>AND('Planilla_General_03-12-2012_9_3'!N3248,"AAAAABn/v/4=")</f>
        <v>#VALUE!</v>
      </c>
      <c r="IV203" t="e">
        <f>AND('Planilla_General_03-12-2012_9_3'!O3248,"AAAAABn/v/8=")</f>
        <v>#VALUE!</v>
      </c>
    </row>
    <row r="204" spans="1:256" x14ac:dyDescent="0.25">
      <c r="A204" t="e">
        <f>IF('Planilla_General_03-12-2012_9_3'!3249:3249,"AAAAAG/7/wA=",0)</f>
        <v>#VALUE!</v>
      </c>
      <c r="B204" t="e">
        <f>AND('Planilla_General_03-12-2012_9_3'!A3249,"AAAAAG/7/wE=")</f>
        <v>#VALUE!</v>
      </c>
      <c r="C204" t="e">
        <f>AND('Planilla_General_03-12-2012_9_3'!B3249,"AAAAAG/7/wI=")</f>
        <v>#VALUE!</v>
      </c>
      <c r="D204" t="e">
        <f>AND('Planilla_General_03-12-2012_9_3'!C3249,"AAAAAG/7/wM=")</f>
        <v>#VALUE!</v>
      </c>
      <c r="E204" t="e">
        <f>AND('Planilla_General_03-12-2012_9_3'!D3249,"AAAAAG/7/wQ=")</f>
        <v>#VALUE!</v>
      </c>
      <c r="F204" t="e">
        <f>AND('Planilla_General_03-12-2012_9_3'!E3249,"AAAAAG/7/wU=")</f>
        <v>#VALUE!</v>
      </c>
      <c r="G204" t="e">
        <f>AND('Planilla_General_03-12-2012_9_3'!F3249,"AAAAAG/7/wY=")</f>
        <v>#VALUE!</v>
      </c>
      <c r="H204" t="e">
        <f>AND('Planilla_General_03-12-2012_9_3'!G3249,"AAAAAG/7/wc=")</f>
        <v>#VALUE!</v>
      </c>
      <c r="I204" t="e">
        <f>AND('Planilla_General_03-12-2012_9_3'!H3249,"AAAAAG/7/wg=")</f>
        <v>#VALUE!</v>
      </c>
      <c r="J204" t="e">
        <f>AND('Planilla_General_03-12-2012_9_3'!I3249,"AAAAAG/7/wk=")</f>
        <v>#VALUE!</v>
      </c>
      <c r="K204" t="e">
        <f>AND('Planilla_General_03-12-2012_9_3'!J3249,"AAAAAG/7/wo=")</f>
        <v>#VALUE!</v>
      </c>
      <c r="L204" t="e">
        <f>AND('Planilla_General_03-12-2012_9_3'!K3249,"AAAAAG/7/ws=")</f>
        <v>#VALUE!</v>
      </c>
      <c r="M204" t="e">
        <f>AND('Planilla_General_03-12-2012_9_3'!L3249,"AAAAAG/7/ww=")</f>
        <v>#VALUE!</v>
      </c>
      <c r="N204" t="e">
        <f>AND('Planilla_General_03-12-2012_9_3'!M3249,"AAAAAG/7/w0=")</f>
        <v>#VALUE!</v>
      </c>
      <c r="O204" t="e">
        <f>AND('Planilla_General_03-12-2012_9_3'!N3249,"AAAAAG/7/w4=")</f>
        <v>#VALUE!</v>
      </c>
      <c r="P204" t="e">
        <f>AND('Planilla_General_03-12-2012_9_3'!O3249,"AAAAAG/7/w8=")</f>
        <v>#VALUE!</v>
      </c>
      <c r="Q204">
        <f>IF('Planilla_General_03-12-2012_9_3'!3250:3250,"AAAAAG/7/xA=",0)</f>
        <v>0</v>
      </c>
      <c r="R204" t="e">
        <f>AND('Planilla_General_03-12-2012_9_3'!A3250,"AAAAAG/7/xE=")</f>
        <v>#VALUE!</v>
      </c>
      <c r="S204" t="e">
        <f>AND('Planilla_General_03-12-2012_9_3'!B3250,"AAAAAG/7/xI=")</f>
        <v>#VALUE!</v>
      </c>
      <c r="T204" t="e">
        <f>AND('Planilla_General_03-12-2012_9_3'!C3250,"AAAAAG/7/xM=")</f>
        <v>#VALUE!</v>
      </c>
      <c r="U204" t="e">
        <f>AND('Planilla_General_03-12-2012_9_3'!D3250,"AAAAAG/7/xQ=")</f>
        <v>#VALUE!</v>
      </c>
      <c r="V204" t="e">
        <f>AND('Planilla_General_03-12-2012_9_3'!E3250,"AAAAAG/7/xU=")</f>
        <v>#VALUE!</v>
      </c>
      <c r="W204" t="e">
        <f>AND('Planilla_General_03-12-2012_9_3'!F3250,"AAAAAG/7/xY=")</f>
        <v>#VALUE!</v>
      </c>
      <c r="X204" t="e">
        <f>AND('Planilla_General_03-12-2012_9_3'!G3250,"AAAAAG/7/xc=")</f>
        <v>#VALUE!</v>
      </c>
      <c r="Y204" t="e">
        <f>AND('Planilla_General_03-12-2012_9_3'!H3250,"AAAAAG/7/xg=")</f>
        <v>#VALUE!</v>
      </c>
      <c r="Z204" t="e">
        <f>AND('Planilla_General_03-12-2012_9_3'!I3250,"AAAAAG/7/xk=")</f>
        <v>#VALUE!</v>
      </c>
      <c r="AA204" t="e">
        <f>AND('Planilla_General_03-12-2012_9_3'!J3250,"AAAAAG/7/xo=")</f>
        <v>#VALUE!</v>
      </c>
      <c r="AB204" t="e">
        <f>AND('Planilla_General_03-12-2012_9_3'!K3250,"AAAAAG/7/xs=")</f>
        <v>#VALUE!</v>
      </c>
      <c r="AC204" t="e">
        <f>AND('Planilla_General_03-12-2012_9_3'!L3250,"AAAAAG/7/xw=")</f>
        <v>#VALUE!</v>
      </c>
      <c r="AD204" t="e">
        <f>AND('Planilla_General_03-12-2012_9_3'!M3250,"AAAAAG/7/x0=")</f>
        <v>#VALUE!</v>
      </c>
      <c r="AE204" t="e">
        <f>AND('Planilla_General_03-12-2012_9_3'!N3250,"AAAAAG/7/x4=")</f>
        <v>#VALUE!</v>
      </c>
      <c r="AF204" t="e">
        <f>AND('Planilla_General_03-12-2012_9_3'!O3250,"AAAAAG/7/x8=")</f>
        <v>#VALUE!</v>
      </c>
      <c r="AG204">
        <f>IF('Planilla_General_03-12-2012_9_3'!3251:3251,"AAAAAG/7/yA=",0)</f>
        <v>0</v>
      </c>
      <c r="AH204" t="e">
        <f>AND('Planilla_General_03-12-2012_9_3'!A3251,"AAAAAG/7/yE=")</f>
        <v>#VALUE!</v>
      </c>
      <c r="AI204" t="e">
        <f>AND('Planilla_General_03-12-2012_9_3'!B3251,"AAAAAG/7/yI=")</f>
        <v>#VALUE!</v>
      </c>
      <c r="AJ204" t="e">
        <f>AND('Planilla_General_03-12-2012_9_3'!C3251,"AAAAAG/7/yM=")</f>
        <v>#VALUE!</v>
      </c>
      <c r="AK204" t="e">
        <f>AND('Planilla_General_03-12-2012_9_3'!D3251,"AAAAAG/7/yQ=")</f>
        <v>#VALUE!</v>
      </c>
      <c r="AL204" t="e">
        <f>AND('Planilla_General_03-12-2012_9_3'!E3251,"AAAAAG/7/yU=")</f>
        <v>#VALUE!</v>
      </c>
      <c r="AM204" t="e">
        <f>AND('Planilla_General_03-12-2012_9_3'!F3251,"AAAAAG/7/yY=")</f>
        <v>#VALUE!</v>
      </c>
      <c r="AN204" t="e">
        <f>AND('Planilla_General_03-12-2012_9_3'!G3251,"AAAAAG/7/yc=")</f>
        <v>#VALUE!</v>
      </c>
      <c r="AO204" t="e">
        <f>AND('Planilla_General_03-12-2012_9_3'!H3251,"AAAAAG/7/yg=")</f>
        <v>#VALUE!</v>
      </c>
      <c r="AP204" t="e">
        <f>AND('Planilla_General_03-12-2012_9_3'!I3251,"AAAAAG/7/yk=")</f>
        <v>#VALUE!</v>
      </c>
      <c r="AQ204" t="e">
        <f>AND('Planilla_General_03-12-2012_9_3'!J3251,"AAAAAG/7/yo=")</f>
        <v>#VALUE!</v>
      </c>
      <c r="AR204" t="e">
        <f>AND('Planilla_General_03-12-2012_9_3'!K3251,"AAAAAG/7/ys=")</f>
        <v>#VALUE!</v>
      </c>
      <c r="AS204" t="e">
        <f>AND('Planilla_General_03-12-2012_9_3'!L3251,"AAAAAG/7/yw=")</f>
        <v>#VALUE!</v>
      </c>
      <c r="AT204" t="e">
        <f>AND('Planilla_General_03-12-2012_9_3'!M3251,"AAAAAG/7/y0=")</f>
        <v>#VALUE!</v>
      </c>
      <c r="AU204" t="e">
        <f>AND('Planilla_General_03-12-2012_9_3'!N3251,"AAAAAG/7/y4=")</f>
        <v>#VALUE!</v>
      </c>
      <c r="AV204" t="e">
        <f>AND('Planilla_General_03-12-2012_9_3'!O3251,"AAAAAG/7/y8=")</f>
        <v>#VALUE!</v>
      </c>
      <c r="AW204">
        <f>IF('Planilla_General_03-12-2012_9_3'!3252:3252,"AAAAAG/7/zA=",0)</f>
        <v>0</v>
      </c>
      <c r="AX204" t="e">
        <f>AND('Planilla_General_03-12-2012_9_3'!A3252,"AAAAAG/7/zE=")</f>
        <v>#VALUE!</v>
      </c>
      <c r="AY204" t="e">
        <f>AND('Planilla_General_03-12-2012_9_3'!B3252,"AAAAAG/7/zI=")</f>
        <v>#VALUE!</v>
      </c>
      <c r="AZ204" t="e">
        <f>AND('Planilla_General_03-12-2012_9_3'!C3252,"AAAAAG/7/zM=")</f>
        <v>#VALUE!</v>
      </c>
      <c r="BA204" t="e">
        <f>AND('Planilla_General_03-12-2012_9_3'!D3252,"AAAAAG/7/zQ=")</f>
        <v>#VALUE!</v>
      </c>
      <c r="BB204" t="e">
        <f>AND('Planilla_General_03-12-2012_9_3'!E3252,"AAAAAG/7/zU=")</f>
        <v>#VALUE!</v>
      </c>
      <c r="BC204" t="e">
        <f>AND('Planilla_General_03-12-2012_9_3'!F3252,"AAAAAG/7/zY=")</f>
        <v>#VALUE!</v>
      </c>
      <c r="BD204" t="e">
        <f>AND('Planilla_General_03-12-2012_9_3'!G3252,"AAAAAG/7/zc=")</f>
        <v>#VALUE!</v>
      </c>
      <c r="BE204" t="e">
        <f>AND('Planilla_General_03-12-2012_9_3'!H3252,"AAAAAG/7/zg=")</f>
        <v>#VALUE!</v>
      </c>
      <c r="BF204" t="e">
        <f>AND('Planilla_General_03-12-2012_9_3'!I3252,"AAAAAG/7/zk=")</f>
        <v>#VALUE!</v>
      </c>
      <c r="BG204" t="e">
        <f>AND('Planilla_General_03-12-2012_9_3'!J3252,"AAAAAG/7/zo=")</f>
        <v>#VALUE!</v>
      </c>
      <c r="BH204" t="e">
        <f>AND('Planilla_General_03-12-2012_9_3'!K3252,"AAAAAG/7/zs=")</f>
        <v>#VALUE!</v>
      </c>
      <c r="BI204" t="e">
        <f>AND('Planilla_General_03-12-2012_9_3'!L3252,"AAAAAG/7/zw=")</f>
        <v>#VALUE!</v>
      </c>
      <c r="BJ204" t="e">
        <f>AND('Planilla_General_03-12-2012_9_3'!M3252,"AAAAAG/7/z0=")</f>
        <v>#VALUE!</v>
      </c>
      <c r="BK204" t="e">
        <f>AND('Planilla_General_03-12-2012_9_3'!N3252,"AAAAAG/7/z4=")</f>
        <v>#VALUE!</v>
      </c>
      <c r="BL204" t="e">
        <f>AND('Planilla_General_03-12-2012_9_3'!O3252,"AAAAAG/7/z8=")</f>
        <v>#VALUE!</v>
      </c>
      <c r="BM204">
        <f>IF('Planilla_General_03-12-2012_9_3'!3253:3253,"AAAAAG/7/0A=",0)</f>
        <v>0</v>
      </c>
      <c r="BN204" t="e">
        <f>AND('Planilla_General_03-12-2012_9_3'!A3253,"AAAAAG/7/0E=")</f>
        <v>#VALUE!</v>
      </c>
      <c r="BO204" t="e">
        <f>AND('Planilla_General_03-12-2012_9_3'!B3253,"AAAAAG/7/0I=")</f>
        <v>#VALUE!</v>
      </c>
      <c r="BP204" t="e">
        <f>AND('Planilla_General_03-12-2012_9_3'!C3253,"AAAAAG/7/0M=")</f>
        <v>#VALUE!</v>
      </c>
      <c r="BQ204" t="e">
        <f>AND('Planilla_General_03-12-2012_9_3'!D3253,"AAAAAG/7/0Q=")</f>
        <v>#VALUE!</v>
      </c>
      <c r="BR204" t="e">
        <f>AND('Planilla_General_03-12-2012_9_3'!E3253,"AAAAAG/7/0U=")</f>
        <v>#VALUE!</v>
      </c>
      <c r="BS204" t="e">
        <f>AND('Planilla_General_03-12-2012_9_3'!F3253,"AAAAAG/7/0Y=")</f>
        <v>#VALUE!</v>
      </c>
      <c r="BT204" t="e">
        <f>AND('Planilla_General_03-12-2012_9_3'!G3253,"AAAAAG/7/0c=")</f>
        <v>#VALUE!</v>
      </c>
      <c r="BU204" t="e">
        <f>AND('Planilla_General_03-12-2012_9_3'!H3253,"AAAAAG/7/0g=")</f>
        <v>#VALUE!</v>
      </c>
      <c r="BV204" t="e">
        <f>AND('Planilla_General_03-12-2012_9_3'!I3253,"AAAAAG/7/0k=")</f>
        <v>#VALUE!</v>
      </c>
      <c r="BW204" t="e">
        <f>AND('Planilla_General_03-12-2012_9_3'!J3253,"AAAAAG/7/0o=")</f>
        <v>#VALUE!</v>
      </c>
      <c r="BX204" t="e">
        <f>AND('Planilla_General_03-12-2012_9_3'!K3253,"AAAAAG/7/0s=")</f>
        <v>#VALUE!</v>
      </c>
      <c r="BY204" t="e">
        <f>AND('Planilla_General_03-12-2012_9_3'!L3253,"AAAAAG/7/0w=")</f>
        <v>#VALUE!</v>
      </c>
      <c r="BZ204" t="e">
        <f>AND('Planilla_General_03-12-2012_9_3'!M3253,"AAAAAG/7/00=")</f>
        <v>#VALUE!</v>
      </c>
      <c r="CA204" t="e">
        <f>AND('Planilla_General_03-12-2012_9_3'!N3253,"AAAAAG/7/04=")</f>
        <v>#VALUE!</v>
      </c>
      <c r="CB204" t="e">
        <f>AND('Planilla_General_03-12-2012_9_3'!O3253,"AAAAAG/7/08=")</f>
        <v>#VALUE!</v>
      </c>
      <c r="CC204">
        <f>IF('Planilla_General_03-12-2012_9_3'!3254:3254,"AAAAAG/7/1A=",0)</f>
        <v>0</v>
      </c>
      <c r="CD204" t="e">
        <f>AND('Planilla_General_03-12-2012_9_3'!A3254,"AAAAAG/7/1E=")</f>
        <v>#VALUE!</v>
      </c>
      <c r="CE204" t="e">
        <f>AND('Planilla_General_03-12-2012_9_3'!B3254,"AAAAAG/7/1I=")</f>
        <v>#VALUE!</v>
      </c>
      <c r="CF204" t="e">
        <f>AND('Planilla_General_03-12-2012_9_3'!C3254,"AAAAAG/7/1M=")</f>
        <v>#VALUE!</v>
      </c>
      <c r="CG204" t="e">
        <f>AND('Planilla_General_03-12-2012_9_3'!D3254,"AAAAAG/7/1Q=")</f>
        <v>#VALUE!</v>
      </c>
      <c r="CH204" t="e">
        <f>AND('Planilla_General_03-12-2012_9_3'!E3254,"AAAAAG/7/1U=")</f>
        <v>#VALUE!</v>
      </c>
      <c r="CI204" t="e">
        <f>AND('Planilla_General_03-12-2012_9_3'!F3254,"AAAAAG/7/1Y=")</f>
        <v>#VALUE!</v>
      </c>
      <c r="CJ204" t="e">
        <f>AND('Planilla_General_03-12-2012_9_3'!G3254,"AAAAAG/7/1c=")</f>
        <v>#VALUE!</v>
      </c>
      <c r="CK204" t="e">
        <f>AND('Planilla_General_03-12-2012_9_3'!H3254,"AAAAAG/7/1g=")</f>
        <v>#VALUE!</v>
      </c>
      <c r="CL204" t="e">
        <f>AND('Planilla_General_03-12-2012_9_3'!I3254,"AAAAAG/7/1k=")</f>
        <v>#VALUE!</v>
      </c>
      <c r="CM204" t="e">
        <f>AND('Planilla_General_03-12-2012_9_3'!J3254,"AAAAAG/7/1o=")</f>
        <v>#VALUE!</v>
      </c>
      <c r="CN204" t="e">
        <f>AND('Planilla_General_03-12-2012_9_3'!K3254,"AAAAAG/7/1s=")</f>
        <v>#VALUE!</v>
      </c>
      <c r="CO204" t="e">
        <f>AND('Planilla_General_03-12-2012_9_3'!L3254,"AAAAAG/7/1w=")</f>
        <v>#VALUE!</v>
      </c>
      <c r="CP204" t="e">
        <f>AND('Planilla_General_03-12-2012_9_3'!M3254,"AAAAAG/7/10=")</f>
        <v>#VALUE!</v>
      </c>
      <c r="CQ204" t="e">
        <f>AND('Planilla_General_03-12-2012_9_3'!N3254,"AAAAAG/7/14=")</f>
        <v>#VALUE!</v>
      </c>
      <c r="CR204" t="e">
        <f>AND('Planilla_General_03-12-2012_9_3'!O3254,"AAAAAG/7/18=")</f>
        <v>#VALUE!</v>
      </c>
      <c r="CS204">
        <f>IF('Planilla_General_03-12-2012_9_3'!3255:3255,"AAAAAG/7/2A=",0)</f>
        <v>0</v>
      </c>
      <c r="CT204" t="e">
        <f>AND('Planilla_General_03-12-2012_9_3'!A3255,"AAAAAG/7/2E=")</f>
        <v>#VALUE!</v>
      </c>
      <c r="CU204" t="e">
        <f>AND('Planilla_General_03-12-2012_9_3'!B3255,"AAAAAG/7/2I=")</f>
        <v>#VALUE!</v>
      </c>
      <c r="CV204" t="e">
        <f>AND('Planilla_General_03-12-2012_9_3'!C3255,"AAAAAG/7/2M=")</f>
        <v>#VALUE!</v>
      </c>
      <c r="CW204" t="e">
        <f>AND('Planilla_General_03-12-2012_9_3'!D3255,"AAAAAG/7/2Q=")</f>
        <v>#VALUE!</v>
      </c>
      <c r="CX204" t="e">
        <f>AND('Planilla_General_03-12-2012_9_3'!E3255,"AAAAAG/7/2U=")</f>
        <v>#VALUE!</v>
      </c>
      <c r="CY204" t="e">
        <f>AND('Planilla_General_03-12-2012_9_3'!F3255,"AAAAAG/7/2Y=")</f>
        <v>#VALUE!</v>
      </c>
      <c r="CZ204" t="e">
        <f>AND('Planilla_General_03-12-2012_9_3'!G3255,"AAAAAG/7/2c=")</f>
        <v>#VALUE!</v>
      </c>
      <c r="DA204" t="e">
        <f>AND('Planilla_General_03-12-2012_9_3'!H3255,"AAAAAG/7/2g=")</f>
        <v>#VALUE!</v>
      </c>
      <c r="DB204" t="e">
        <f>AND('Planilla_General_03-12-2012_9_3'!I3255,"AAAAAG/7/2k=")</f>
        <v>#VALUE!</v>
      </c>
      <c r="DC204" t="e">
        <f>AND('Planilla_General_03-12-2012_9_3'!J3255,"AAAAAG/7/2o=")</f>
        <v>#VALUE!</v>
      </c>
      <c r="DD204" t="e">
        <f>AND('Planilla_General_03-12-2012_9_3'!K3255,"AAAAAG/7/2s=")</f>
        <v>#VALUE!</v>
      </c>
      <c r="DE204" t="e">
        <f>AND('Planilla_General_03-12-2012_9_3'!L3255,"AAAAAG/7/2w=")</f>
        <v>#VALUE!</v>
      </c>
      <c r="DF204" t="e">
        <f>AND('Planilla_General_03-12-2012_9_3'!M3255,"AAAAAG/7/20=")</f>
        <v>#VALUE!</v>
      </c>
      <c r="DG204" t="e">
        <f>AND('Planilla_General_03-12-2012_9_3'!N3255,"AAAAAG/7/24=")</f>
        <v>#VALUE!</v>
      </c>
      <c r="DH204" t="e">
        <f>AND('Planilla_General_03-12-2012_9_3'!O3255,"AAAAAG/7/28=")</f>
        <v>#VALUE!</v>
      </c>
      <c r="DI204">
        <f>IF('Planilla_General_03-12-2012_9_3'!3256:3256,"AAAAAG/7/3A=",0)</f>
        <v>0</v>
      </c>
      <c r="DJ204" t="e">
        <f>AND('Planilla_General_03-12-2012_9_3'!A3256,"AAAAAG/7/3E=")</f>
        <v>#VALUE!</v>
      </c>
      <c r="DK204" t="e">
        <f>AND('Planilla_General_03-12-2012_9_3'!B3256,"AAAAAG/7/3I=")</f>
        <v>#VALUE!</v>
      </c>
      <c r="DL204" t="e">
        <f>AND('Planilla_General_03-12-2012_9_3'!C3256,"AAAAAG/7/3M=")</f>
        <v>#VALUE!</v>
      </c>
      <c r="DM204" t="e">
        <f>AND('Planilla_General_03-12-2012_9_3'!D3256,"AAAAAG/7/3Q=")</f>
        <v>#VALUE!</v>
      </c>
      <c r="DN204" t="e">
        <f>AND('Planilla_General_03-12-2012_9_3'!E3256,"AAAAAG/7/3U=")</f>
        <v>#VALUE!</v>
      </c>
      <c r="DO204" t="e">
        <f>AND('Planilla_General_03-12-2012_9_3'!F3256,"AAAAAG/7/3Y=")</f>
        <v>#VALUE!</v>
      </c>
      <c r="DP204" t="e">
        <f>AND('Planilla_General_03-12-2012_9_3'!G3256,"AAAAAG/7/3c=")</f>
        <v>#VALUE!</v>
      </c>
      <c r="DQ204" t="e">
        <f>AND('Planilla_General_03-12-2012_9_3'!H3256,"AAAAAG/7/3g=")</f>
        <v>#VALUE!</v>
      </c>
      <c r="DR204" t="e">
        <f>AND('Planilla_General_03-12-2012_9_3'!I3256,"AAAAAG/7/3k=")</f>
        <v>#VALUE!</v>
      </c>
      <c r="DS204" t="e">
        <f>AND('Planilla_General_03-12-2012_9_3'!J3256,"AAAAAG/7/3o=")</f>
        <v>#VALUE!</v>
      </c>
      <c r="DT204" t="e">
        <f>AND('Planilla_General_03-12-2012_9_3'!K3256,"AAAAAG/7/3s=")</f>
        <v>#VALUE!</v>
      </c>
      <c r="DU204" t="e">
        <f>AND('Planilla_General_03-12-2012_9_3'!L3256,"AAAAAG/7/3w=")</f>
        <v>#VALUE!</v>
      </c>
      <c r="DV204" t="e">
        <f>AND('Planilla_General_03-12-2012_9_3'!M3256,"AAAAAG/7/30=")</f>
        <v>#VALUE!</v>
      </c>
      <c r="DW204" t="e">
        <f>AND('Planilla_General_03-12-2012_9_3'!N3256,"AAAAAG/7/34=")</f>
        <v>#VALUE!</v>
      </c>
      <c r="DX204" t="e">
        <f>AND('Planilla_General_03-12-2012_9_3'!O3256,"AAAAAG/7/38=")</f>
        <v>#VALUE!</v>
      </c>
      <c r="DY204">
        <f>IF('Planilla_General_03-12-2012_9_3'!3257:3257,"AAAAAG/7/4A=",0)</f>
        <v>0</v>
      </c>
      <c r="DZ204" t="e">
        <f>AND('Planilla_General_03-12-2012_9_3'!A3257,"AAAAAG/7/4E=")</f>
        <v>#VALUE!</v>
      </c>
      <c r="EA204" t="e">
        <f>AND('Planilla_General_03-12-2012_9_3'!B3257,"AAAAAG/7/4I=")</f>
        <v>#VALUE!</v>
      </c>
      <c r="EB204" t="e">
        <f>AND('Planilla_General_03-12-2012_9_3'!C3257,"AAAAAG/7/4M=")</f>
        <v>#VALUE!</v>
      </c>
      <c r="EC204" t="e">
        <f>AND('Planilla_General_03-12-2012_9_3'!D3257,"AAAAAG/7/4Q=")</f>
        <v>#VALUE!</v>
      </c>
      <c r="ED204" t="e">
        <f>AND('Planilla_General_03-12-2012_9_3'!E3257,"AAAAAG/7/4U=")</f>
        <v>#VALUE!</v>
      </c>
      <c r="EE204" t="e">
        <f>AND('Planilla_General_03-12-2012_9_3'!F3257,"AAAAAG/7/4Y=")</f>
        <v>#VALUE!</v>
      </c>
      <c r="EF204" t="e">
        <f>AND('Planilla_General_03-12-2012_9_3'!G3257,"AAAAAG/7/4c=")</f>
        <v>#VALUE!</v>
      </c>
      <c r="EG204" t="e">
        <f>AND('Planilla_General_03-12-2012_9_3'!H3257,"AAAAAG/7/4g=")</f>
        <v>#VALUE!</v>
      </c>
      <c r="EH204" t="e">
        <f>AND('Planilla_General_03-12-2012_9_3'!I3257,"AAAAAG/7/4k=")</f>
        <v>#VALUE!</v>
      </c>
      <c r="EI204" t="e">
        <f>AND('Planilla_General_03-12-2012_9_3'!J3257,"AAAAAG/7/4o=")</f>
        <v>#VALUE!</v>
      </c>
      <c r="EJ204" t="e">
        <f>AND('Planilla_General_03-12-2012_9_3'!K3257,"AAAAAG/7/4s=")</f>
        <v>#VALUE!</v>
      </c>
      <c r="EK204" t="e">
        <f>AND('Planilla_General_03-12-2012_9_3'!L3257,"AAAAAG/7/4w=")</f>
        <v>#VALUE!</v>
      </c>
      <c r="EL204" t="e">
        <f>AND('Planilla_General_03-12-2012_9_3'!M3257,"AAAAAG/7/40=")</f>
        <v>#VALUE!</v>
      </c>
      <c r="EM204" t="e">
        <f>AND('Planilla_General_03-12-2012_9_3'!N3257,"AAAAAG/7/44=")</f>
        <v>#VALUE!</v>
      </c>
      <c r="EN204" t="e">
        <f>AND('Planilla_General_03-12-2012_9_3'!O3257,"AAAAAG/7/48=")</f>
        <v>#VALUE!</v>
      </c>
      <c r="EO204">
        <f>IF('Planilla_General_03-12-2012_9_3'!3258:3258,"AAAAAG/7/5A=",0)</f>
        <v>0</v>
      </c>
      <c r="EP204" t="e">
        <f>AND('Planilla_General_03-12-2012_9_3'!A3258,"AAAAAG/7/5E=")</f>
        <v>#VALUE!</v>
      </c>
      <c r="EQ204" t="e">
        <f>AND('Planilla_General_03-12-2012_9_3'!B3258,"AAAAAG/7/5I=")</f>
        <v>#VALUE!</v>
      </c>
      <c r="ER204" t="e">
        <f>AND('Planilla_General_03-12-2012_9_3'!C3258,"AAAAAG/7/5M=")</f>
        <v>#VALUE!</v>
      </c>
      <c r="ES204" t="e">
        <f>AND('Planilla_General_03-12-2012_9_3'!D3258,"AAAAAG/7/5Q=")</f>
        <v>#VALUE!</v>
      </c>
      <c r="ET204" t="e">
        <f>AND('Planilla_General_03-12-2012_9_3'!E3258,"AAAAAG/7/5U=")</f>
        <v>#VALUE!</v>
      </c>
      <c r="EU204" t="e">
        <f>AND('Planilla_General_03-12-2012_9_3'!F3258,"AAAAAG/7/5Y=")</f>
        <v>#VALUE!</v>
      </c>
      <c r="EV204" t="e">
        <f>AND('Planilla_General_03-12-2012_9_3'!G3258,"AAAAAG/7/5c=")</f>
        <v>#VALUE!</v>
      </c>
      <c r="EW204" t="e">
        <f>AND('Planilla_General_03-12-2012_9_3'!H3258,"AAAAAG/7/5g=")</f>
        <v>#VALUE!</v>
      </c>
      <c r="EX204" t="e">
        <f>AND('Planilla_General_03-12-2012_9_3'!I3258,"AAAAAG/7/5k=")</f>
        <v>#VALUE!</v>
      </c>
      <c r="EY204" t="e">
        <f>AND('Planilla_General_03-12-2012_9_3'!J3258,"AAAAAG/7/5o=")</f>
        <v>#VALUE!</v>
      </c>
      <c r="EZ204" t="e">
        <f>AND('Planilla_General_03-12-2012_9_3'!K3258,"AAAAAG/7/5s=")</f>
        <v>#VALUE!</v>
      </c>
      <c r="FA204" t="e">
        <f>AND('Planilla_General_03-12-2012_9_3'!L3258,"AAAAAG/7/5w=")</f>
        <v>#VALUE!</v>
      </c>
      <c r="FB204" t="e">
        <f>AND('Planilla_General_03-12-2012_9_3'!M3258,"AAAAAG/7/50=")</f>
        <v>#VALUE!</v>
      </c>
      <c r="FC204" t="e">
        <f>AND('Planilla_General_03-12-2012_9_3'!N3258,"AAAAAG/7/54=")</f>
        <v>#VALUE!</v>
      </c>
      <c r="FD204" t="e">
        <f>AND('Planilla_General_03-12-2012_9_3'!O3258,"AAAAAG/7/58=")</f>
        <v>#VALUE!</v>
      </c>
      <c r="FE204">
        <f>IF('Planilla_General_03-12-2012_9_3'!3259:3259,"AAAAAG/7/6A=",0)</f>
        <v>0</v>
      </c>
      <c r="FF204" t="e">
        <f>AND('Planilla_General_03-12-2012_9_3'!A3259,"AAAAAG/7/6E=")</f>
        <v>#VALUE!</v>
      </c>
      <c r="FG204" t="e">
        <f>AND('Planilla_General_03-12-2012_9_3'!B3259,"AAAAAG/7/6I=")</f>
        <v>#VALUE!</v>
      </c>
      <c r="FH204" t="e">
        <f>AND('Planilla_General_03-12-2012_9_3'!C3259,"AAAAAG/7/6M=")</f>
        <v>#VALUE!</v>
      </c>
      <c r="FI204" t="e">
        <f>AND('Planilla_General_03-12-2012_9_3'!D3259,"AAAAAG/7/6Q=")</f>
        <v>#VALUE!</v>
      </c>
      <c r="FJ204" t="e">
        <f>AND('Planilla_General_03-12-2012_9_3'!E3259,"AAAAAG/7/6U=")</f>
        <v>#VALUE!</v>
      </c>
      <c r="FK204" t="e">
        <f>AND('Planilla_General_03-12-2012_9_3'!F3259,"AAAAAG/7/6Y=")</f>
        <v>#VALUE!</v>
      </c>
      <c r="FL204" t="e">
        <f>AND('Planilla_General_03-12-2012_9_3'!G3259,"AAAAAG/7/6c=")</f>
        <v>#VALUE!</v>
      </c>
      <c r="FM204" t="e">
        <f>AND('Planilla_General_03-12-2012_9_3'!H3259,"AAAAAG/7/6g=")</f>
        <v>#VALUE!</v>
      </c>
      <c r="FN204" t="e">
        <f>AND('Planilla_General_03-12-2012_9_3'!I3259,"AAAAAG/7/6k=")</f>
        <v>#VALUE!</v>
      </c>
      <c r="FO204" t="e">
        <f>AND('Planilla_General_03-12-2012_9_3'!J3259,"AAAAAG/7/6o=")</f>
        <v>#VALUE!</v>
      </c>
      <c r="FP204" t="e">
        <f>AND('Planilla_General_03-12-2012_9_3'!K3259,"AAAAAG/7/6s=")</f>
        <v>#VALUE!</v>
      </c>
      <c r="FQ204" t="e">
        <f>AND('Planilla_General_03-12-2012_9_3'!L3259,"AAAAAG/7/6w=")</f>
        <v>#VALUE!</v>
      </c>
      <c r="FR204" t="e">
        <f>AND('Planilla_General_03-12-2012_9_3'!M3259,"AAAAAG/7/60=")</f>
        <v>#VALUE!</v>
      </c>
      <c r="FS204" t="e">
        <f>AND('Planilla_General_03-12-2012_9_3'!N3259,"AAAAAG/7/64=")</f>
        <v>#VALUE!</v>
      </c>
      <c r="FT204" t="e">
        <f>AND('Planilla_General_03-12-2012_9_3'!O3259,"AAAAAG/7/68=")</f>
        <v>#VALUE!</v>
      </c>
      <c r="FU204">
        <f>IF('Planilla_General_03-12-2012_9_3'!3260:3260,"AAAAAG/7/7A=",0)</f>
        <v>0</v>
      </c>
      <c r="FV204" t="e">
        <f>AND('Planilla_General_03-12-2012_9_3'!A3260,"AAAAAG/7/7E=")</f>
        <v>#VALUE!</v>
      </c>
      <c r="FW204" t="e">
        <f>AND('Planilla_General_03-12-2012_9_3'!B3260,"AAAAAG/7/7I=")</f>
        <v>#VALUE!</v>
      </c>
      <c r="FX204" t="e">
        <f>AND('Planilla_General_03-12-2012_9_3'!C3260,"AAAAAG/7/7M=")</f>
        <v>#VALUE!</v>
      </c>
      <c r="FY204" t="e">
        <f>AND('Planilla_General_03-12-2012_9_3'!D3260,"AAAAAG/7/7Q=")</f>
        <v>#VALUE!</v>
      </c>
      <c r="FZ204" t="e">
        <f>AND('Planilla_General_03-12-2012_9_3'!E3260,"AAAAAG/7/7U=")</f>
        <v>#VALUE!</v>
      </c>
      <c r="GA204" t="e">
        <f>AND('Planilla_General_03-12-2012_9_3'!F3260,"AAAAAG/7/7Y=")</f>
        <v>#VALUE!</v>
      </c>
      <c r="GB204" t="e">
        <f>AND('Planilla_General_03-12-2012_9_3'!G3260,"AAAAAG/7/7c=")</f>
        <v>#VALUE!</v>
      </c>
      <c r="GC204" t="e">
        <f>AND('Planilla_General_03-12-2012_9_3'!H3260,"AAAAAG/7/7g=")</f>
        <v>#VALUE!</v>
      </c>
      <c r="GD204" t="e">
        <f>AND('Planilla_General_03-12-2012_9_3'!I3260,"AAAAAG/7/7k=")</f>
        <v>#VALUE!</v>
      </c>
      <c r="GE204" t="e">
        <f>AND('Planilla_General_03-12-2012_9_3'!J3260,"AAAAAG/7/7o=")</f>
        <v>#VALUE!</v>
      </c>
      <c r="GF204" t="e">
        <f>AND('Planilla_General_03-12-2012_9_3'!K3260,"AAAAAG/7/7s=")</f>
        <v>#VALUE!</v>
      </c>
      <c r="GG204" t="e">
        <f>AND('Planilla_General_03-12-2012_9_3'!L3260,"AAAAAG/7/7w=")</f>
        <v>#VALUE!</v>
      </c>
      <c r="GH204" t="e">
        <f>AND('Planilla_General_03-12-2012_9_3'!M3260,"AAAAAG/7/70=")</f>
        <v>#VALUE!</v>
      </c>
      <c r="GI204" t="e">
        <f>AND('Planilla_General_03-12-2012_9_3'!N3260,"AAAAAG/7/74=")</f>
        <v>#VALUE!</v>
      </c>
      <c r="GJ204" t="e">
        <f>AND('Planilla_General_03-12-2012_9_3'!O3260,"AAAAAG/7/78=")</f>
        <v>#VALUE!</v>
      </c>
      <c r="GK204">
        <f>IF('Planilla_General_03-12-2012_9_3'!3261:3261,"AAAAAG/7/8A=",0)</f>
        <v>0</v>
      </c>
      <c r="GL204" t="e">
        <f>AND('Planilla_General_03-12-2012_9_3'!A3261,"AAAAAG/7/8E=")</f>
        <v>#VALUE!</v>
      </c>
      <c r="GM204" t="e">
        <f>AND('Planilla_General_03-12-2012_9_3'!B3261,"AAAAAG/7/8I=")</f>
        <v>#VALUE!</v>
      </c>
      <c r="GN204" t="e">
        <f>AND('Planilla_General_03-12-2012_9_3'!C3261,"AAAAAG/7/8M=")</f>
        <v>#VALUE!</v>
      </c>
      <c r="GO204" t="e">
        <f>AND('Planilla_General_03-12-2012_9_3'!D3261,"AAAAAG/7/8Q=")</f>
        <v>#VALUE!</v>
      </c>
      <c r="GP204" t="e">
        <f>AND('Planilla_General_03-12-2012_9_3'!E3261,"AAAAAG/7/8U=")</f>
        <v>#VALUE!</v>
      </c>
      <c r="GQ204" t="e">
        <f>AND('Planilla_General_03-12-2012_9_3'!F3261,"AAAAAG/7/8Y=")</f>
        <v>#VALUE!</v>
      </c>
      <c r="GR204" t="e">
        <f>AND('Planilla_General_03-12-2012_9_3'!G3261,"AAAAAG/7/8c=")</f>
        <v>#VALUE!</v>
      </c>
      <c r="GS204" t="e">
        <f>AND('Planilla_General_03-12-2012_9_3'!H3261,"AAAAAG/7/8g=")</f>
        <v>#VALUE!</v>
      </c>
      <c r="GT204" t="e">
        <f>AND('Planilla_General_03-12-2012_9_3'!I3261,"AAAAAG/7/8k=")</f>
        <v>#VALUE!</v>
      </c>
      <c r="GU204" t="e">
        <f>AND('Planilla_General_03-12-2012_9_3'!J3261,"AAAAAG/7/8o=")</f>
        <v>#VALUE!</v>
      </c>
      <c r="GV204" t="e">
        <f>AND('Planilla_General_03-12-2012_9_3'!K3261,"AAAAAG/7/8s=")</f>
        <v>#VALUE!</v>
      </c>
      <c r="GW204" t="e">
        <f>AND('Planilla_General_03-12-2012_9_3'!L3261,"AAAAAG/7/8w=")</f>
        <v>#VALUE!</v>
      </c>
      <c r="GX204" t="e">
        <f>AND('Planilla_General_03-12-2012_9_3'!M3261,"AAAAAG/7/80=")</f>
        <v>#VALUE!</v>
      </c>
      <c r="GY204" t="e">
        <f>AND('Planilla_General_03-12-2012_9_3'!N3261,"AAAAAG/7/84=")</f>
        <v>#VALUE!</v>
      </c>
      <c r="GZ204" t="e">
        <f>AND('Planilla_General_03-12-2012_9_3'!O3261,"AAAAAG/7/88=")</f>
        <v>#VALUE!</v>
      </c>
      <c r="HA204">
        <f>IF('Planilla_General_03-12-2012_9_3'!3262:3262,"AAAAAG/7/9A=",0)</f>
        <v>0</v>
      </c>
      <c r="HB204" t="e">
        <f>AND('Planilla_General_03-12-2012_9_3'!A3262,"AAAAAG/7/9E=")</f>
        <v>#VALUE!</v>
      </c>
      <c r="HC204" t="e">
        <f>AND('Planilla_General_03-12-2012_9_3'!B3262,"AAAAAG/7/9I=")</f>
        <v>#VALUE!</v>
      </c>
      <c r="HD204" t="e">
        <f>AND('Planilla_General_03-12-2012_9_3'!C3262,"AAAAAG/7/9M=")</f>
        <v>#VALUE!</v>
      </c>
      <c r="HE204" t="e">
        <f>AND('Planilla_General_03-12-2012_9_3'!D3262,"AAAAAG/7/9Q=")</f>
        <v>#VALUE!</v>
      </c>
      <c r="HF204" t="e">
        <f>AND('Planilla_General_03-12-2012_9_3'!E3262,"AAAAAG/7/9U=")</f>
        <v>#VALUE!</v>
      </c>
      <c r="HG204" t="e">
        <f>AND('Planilla_General_03-12-2012_9_3'!F3262,"AAAAAG/7/9Y=")</f>
        <v>#VALUE!</v>
      </c>
      <c r="HH204" t="e">
        <f>AND('Planilla_General_03-12-2012_9_3'!G3262,"AAAAAG/7/9c=")</f>
        <v>#VALUE!</v>
      </c>
      <c r="HI204" t="e">
        <f>AND('Planilla_General_03-12-2012_9_3'!H3262,"AAAAAG/7/9g=")</f>
        <v>#VALUE!</v>
      </c>
      <c r="HJ204" t="e">
        <f>AND('Planilla_General_03-12-2012_9_3'!I3262,"AAAAAG/7/9k=")</f>
        <v>#VALUE!</v>
      </c>
      <c r="HK204" t="e">
        <f>AND('Planilla_General_03-12-2012_9_3'!J3262,"AAAAAG/7/9o=")</f>
        <v>#VALUE!</v>
      </c>
      <c r="HL204" t="e">
        <f>AND('Planilla_General_03-12-2012_9_3'!K3262,"AAAAAG/7/9s=")</f>
        <v>#VALUE!</v>
      </c>
      <c r="HM204" t="e">
        <f>AND('Planilla_General_03-12-2012_9_3'!L3262,"AAAAAG/7/9w=")</f>
        <v>#VALUE!</v>
      </c>
      <c r="HN204" t="e">
        <f>AND('Planilla_General_03-12-2012_9_3'!M3262,"AAAAAG/7/90=")</f>
        <v>#VALUE!</v>
      </c>
      <c r="HO204" t="e">
        <f>AND('Planilla_General_03-12-2012_9_3'!N3262,"AAAAAG/7/94=")</f>
        <v>#VALUE!</v>
      </c>
      <c r="HP204" t="e">
        <f>AND('Planilla_General_03-12-2012_9_3'!O3262,"AAAAAG/7/98=")</f>
        <v>#VALUE!</v>
      </c>
      <c r="HQ204">
        <f>IF('Planilla_General_03-12-2012_9_3'!3263:3263,"AAAAAG/7/+A=",0)</f>
        <v>0</v>
      </c>
      <c r="HR204" t="e">
        <f>AND('Planilla_General_03-12-2012_9_3'!A3263,"AAAAAG/7/+E=")</f>
        <v>#VALUE!</v>
      </c>
      <c r="HS204" t="e">
        <f>AND('Planilla_General_03-12-2012_9_3'!B3263,"AAAAAG/7/+I=")</f>
        <v>#VALUE!</v>
      </c>
      <c r="HT204" t="e">
        <f>AND('Planilla_General_03-12-2012_9_3'!C3263,"AAAAAG/7/+M=")</f>
        <v>#VALUE!</v>
      </c>
      <c r="HU204" t="e">
        <f>AND('Planilla_General_03-12-2012_9_3'!D3263,"AAAAAG/7/+Q=")</f>
        <v>#VALUE!</v>
      </c>
      <c r="HV204" t="e">
        <f>AND('Planilla_General_03-12-2012_9_3'!E3263,"AAAAAG/7/+U=")</f>
        <v>#VALUE!</v>
      </c>
      <c r="HW204" t="e">
        <f>AND('Planilla_General_03-12-2012_9_3'!F3263,"AAAAAG/7/+Y=")</f>
        <v>#VALUE!</v>
      </c>
      <c r="HX204" t="e">
        <f>AND('Planilla_General_03-12-2012_9_3'!G3263,"AAAAAG/7/+c=")</f>
        <v>#VALUE!</v>
      </c>
      <c r="HY204" t="e">
        <f>AND('Planilla_General_03-12-2012_9_3'!H3263,"AAAAAG/7/+g=")</f>
        <v>#VALUE!</v>
      </c>
      <c r="HZ204" t="e">
        <f>AND('Planilla_General_03-12-2012_9_3'!I3263,"AAAAAG/7/+k=")</f>
        <v>#VALUE!</v>
      </c>
      <c r="IA204" t="e">
        <f>AND('Planilla_General_03-12-2012_9_3'!J3263,"AAAAAG/7/+o=")</f>
        <v>#VALUE!</v>
      </c>
      <c r="IB204" t="e">
        <f>AND('Planilla_General_03-12-2012_9_3'!K3263,"AAAAAG/7/+s=")</f>
        <v>#VALUE!</v>
      </c>
      <c r="IC204" t="e">
        <f>AND('Planilla_General_03-12-2012_9_3'!L3263,"AAAAAG/7/+w=")</f>
        <v>#VALUE!</v>
      </c>
      <c r="ID204" t="e">
        <f>AND('Planilla_General_03-12-2012_9_3'!M3263,"AAAAAG/7/+0=")</f>
        <v>#VALUE!</v>
      </c>
      <c r="IE204" t="e">
        <f>AND('Planilla_General_03-12-2012_9_3'!N3263,"AAAAAG/7/+4=")</f>
        <v>#VALUE!</v>
      </c>
      <c r="IF204" t="e">
        <f>AND('Planilla_General_03-12-2012_9_3'!O3263,"AAAAAG/7/+8=")</f>
        <v>#VALUE!</v>
      </c>
      <c r="IG204">
        <f>IF('Planilla_General_03-12-2012_9_3'!3264:3264,"AAAAAG/7//A=",0)</f>
        <v>0</v>
      </c>
      <c r="IH204" t="e">
        <f>AND('Planilla_General_03-12-2012_9_3'!A3264,"AAAAAG/7//E=")</f>
        <v>#VALUE!</v>
      </c>
      <c r="II204" t="e">
        <f>AND('Planilla_General_03-12-2012_9_3'!B3264,"AAAAAG/7//I=")</f>
        <v>#VALUE!</v>
      </c>
      <c r="IJ204" t="e">
        <f>AND('Planilla_General_03-12-2012_9_3'!C3264,"AAAAAG/7//M=")</f>
        <v>#VALUE!</v>
      </c>
      <c r="IK204" t="e">
        <f>AND('Planilla_General_03-12-2012_9_3'!D3264,"AAAAAG/7//Q=")</f>
        <v>#VALUE!</v>
      </c>
      <c r="IL204" t="e">
        <f>AND('Planilla_General_03-12-2012_9_3'!E3264,"AAAAAG/7//U=")</f>
        <v>#VALUE!</v>
      </c>
      <c r="IM204" t="e">
        <f>AND('Planilla_General_03-12-2012_9_3'!F3264,"AAAAAG/7//Y=")</f>
        <v>#VALUE!</v>
      </c>
      <c r="IN204" t="e">
        <f>AND('Planilla_General_03-12-2012_9_3'!G3264,"AAAAAG/7//c=")</f>
        <v>#VALUE!</v>
      </c>
      <c r="IO204" t="e">
        <f>AND('Planilla_General_03-12-2012_9_3'!H3264,"AAAAAG/7//g=")</f>
        <v>#VALUE!</v>
      </c>
      <c r="IP204" t="e">
        <f>AND('Planilla_General_03-12-2012_9_3'!I3264,"AAAAAG/7//k=")</f>
        <v>#VALUE!</v>
      </c>
      <c r="IQ204" t="e">
        <f>AND('Planilla_General_03-12-2012_9_3'!J3264,"AAAAAG/7//o=")</f>
        <v>#VALUE!</v>
      </c>
      <c r="IR204" t="e">
        <f>AND('Planilla_General_03-12-2012_9_3'!K3264,"AAAAAG/7//s=")</f>
        <v>#VALUE!</v>
      </c>
      <c r="IS204" t="e">
        <f>AND('Planilla_General_03-12-2012_9_3'!L3264,"AAAAAG/7//w=")</f>
        <v>#VALUE!</v>
      </c>
      <c r="IT204" t="e">
        <f>AND('Planilla_General_03-12-2012_9_3'!M3264,"AAAAAG/7//0=")</f>
        <v>#VALUE!</v>
      </c>
      <c r="IU204" t="e">
        <f>AND('Planilla_General_03-12-2012_9_3'!N3264,"AAAAAG/7//4=")</f>
        <v>#VALUE!</v>
      </c>
      <c r="IV204" t="e">
        <f>AND('Planilla_General_03-12-2012_9_3'!O3264,"AAAAAG/7//8=")</f>
        <v>#VALUE!</v>
      </c>
    </row>
    <row r="205" spans="1:256" x14ac:dyDescent="0.25">
      <c r="A205" t="e">
        <f>IF('Planilla_General_03-12-2012_9_3'!3265:3265,"AAAAAB7ZfwA=",0)</f>
        <v>#VALUE!</v>
      </c>
      <c r="B205" t="e">
        <f>AND('Planilla_General_03-12-2012_9_3'!A3265,"AAAAAB7ZfwE=")</f>
        <v>#VALUE!</v>
      </c>
      <c r="C205" t="e">
        <f>AND('Planilla_General_03-12-2012_9_3'!B3265,"AAAAAB7ZfwI=")</f>
        <v>#VALUE!</v>
      </c>
      <c r="D205" t="e">
        <f>AND('Planilla_General_03-12-2012_9_3'!C3265,"AAAAAB7ZfwM=")</f>
        <v>#VALUE!</v>
      </c>
      <c r="E205" t="e">
        <f>AND('Planilla_General_03-12-2012_9_3'!D3265,"AAAAAB7ZfwQ=")</f>
        <v>#VALUE!</v>
      </c>
      <c r="F205" t="e">
        <f>AND('Planilla_General_03-12-2012_9_3'!E3265,"AAAAAB7ZfwU=")</f>
        <v>#VALUE!</v>
      </c>
      <c r="G205" t="e">
        <f>AND('Planilla_General_03-12-2012_9_3'!F3265,"AAAAAB7ZfwY=")</f>
        <v>#VALUE!</v>
      </c>
      <c r="H205" t="e">
        <f>AND('Planilla_General_03-12-2012_9_3'!G3265,"AAAAAB7Zfwc=")</f>
        <v>#VALUE!</v>
      </c>
      <c r="I205" t="e">
        <f>AND('Planilla_General_03-12-2012_9_3'!H3265,"AAAAAB7Zfwg=")</f>
        <v>#VALUE!</v>
      </c>
      <c r="J205" t="e">
        <f>AND('Planilla_General_03-12-2012_9_3'!I3265,"AAAAAB7Zfwk=")</f>
        <v>#VALUE!</v>
      </c>
      <c r="K205" t="e">
        <f>AND('Planilla_General_03-12-2012_9_3'!J3265,"AAAAAB7Zfwo=")</f>
        <v>#VALUE!</v>
      </c>
      <c r="L205" t="e">
        <f>AND('Planilla_General_03-12-2012_9_3'!K3265,"AAAAAB7Zfws=")</f>
        <v>#VALUE!</v>
      </c>
      <c r="M205" t="e">
        <f>AND('Planilla_General_03-12-2012_9_3'!L3265,"AAAAAB7Zfww=")</f>
        <v>#VALUE!</v>
      </c>
      <c r="N205" t="e">
        <f>AND('Planilla_General_03-12-2012_9_3'!M3265,"AAAAAB7Zfw0=")</f>
        <v>#VALUE!</v>
      </c>
      <c r="O205" t="e">
        <f>AND('Planilla_General_03-12-2012_9_3'!N3265,"AAAAAB7Zfw4=")</f>
        <v>#VALUE!</v>
      </c>
      <c r="P205" t="e">
        <f>AND('Planilla_General_03-12-2012_9_3'!O3265,"AAAAAB7Zfw8=")</f>
        <v>#VALUE!</v>
      </c>
      <c r="Q205">
        <f>IF('Planilla_General_03-12-2012_9_3'!3266:3266,"AAAAAB7ZfxA=",0)</f>
        <v>0</v>
      </c>
      <c r="R205" t="e">
        <f>AND('Planilla_General_03-12-2012_9_3'!A3266,"AAAAAB7ZfxE=")</f>
        <v>#VALUE!</v>
      </c>
      <c r="S205" t="e">
        <f>AND('Planilla_General_03-12-2012_9_3'!B3266,"AAAAAB7ZfxI=")</f>
        <v>#VALUE!</v>
      </c>
      <c r="T205" t="e">
        <f>AND('Planilla_General_03-12-2012_9_3'!C3266,"AAAAAB7ZfxM=")</f>
        <v>#VALUE!</v>
      </c>
      <c r="U205" t="e">
        <f>AND('Planilla_General_03-12-2012_9_3'!D3266,"AAAAAB7ZfxQ=")</f>
        <v>#VALUE!</v>
      </c>
      <c r="V205" t="e">
        <f>AND('Planilla_General_03-12-2012_9_3'!E3266,"AAAAAB7ZfxU=")</f>
        <v>#VALUE!</v>
      </c>
      <c r="W205" t="e">
        <f>AND('Planilla_General_03-12-2012_9_3'!F3266,"AAAAAB7ZfxY=")</f>
        <v>#VALUE!</v>
      </c>
      <c r="X205" t="e">
        <f>AND('Planilla_General_03-12-2012_9_3'!G3266,"AAAAAB7Zfxc=")</f>
        <v>#VALUE!</v>
      </c>
      <c r="Y205" t="e">
        <f>AND('Planilla_General_03-12-2012_9_3'!H3266,"AAAAAB7Zfxg=")</f>
        <v>#VALUE!</v>
      </c>
      <c r="Z205" t="e">
        <f>AND('Planilla_General_03-12-2012_9_3'!I3266,"AAAAAB7Zfxk=")</f>
        <v>#VALUE!</v>
      </c>
      <c r="AA205" t="e">
        <f>AND('Planilla_General_03-12-2012_9_3'!J3266,"AAAAAB7Zfxo=")</f>
        <v>#VALUE!</v>
      </c>
      <c r="AB205" t="e">
        <f>AND('Planilla_General_03-12-2012_9_3'!K3266,"AAAAAB7Zfxs=")</f>
        <v>#VALUE!</v>
      </c>
      <c r="AC205" t="e">
        <f>AND('Planilla_General_03-12-2012_9_3'!L3266,"AAAAAB7Zfxw=")</f>
        <v>#VALUE!</v>
      </c>
      <c r="AD205" t="e">
        <f>AND('Planilla_General_03-12-2012_9_3'!M3266,"AAAAAB7Zfx0=")</f>
        <v>#VALUE!</v>
      </c>
      <c r="AE205" t="e">
        <f>AND('Planilla_General_03-12-2012_9_3'!N3266,"AAAAAB7Zfx4=")</f>
        <v>#VALUE!</v>
      </c>
      <c r="AF205" t="e">
        <f>AND('Planilla_General_03-12-2012_9_3'!O3266,"AAAAAB7Zfx8=")</f>
        <v>#VALUE!</v>
      </c>
      <c r="AG205">
        <f>IF('Planilla_General_03-12-2012_9_3'!3267:3267,"AAAAAB7ZfyA=",0)</f>
        <v>0</v>
      </c>
      <c r="AH205" t="e">
        <f>AND('Planilla_General_03-12-2012_9_3'!A3267,"AAAAAB7ZfyE=")</f>
        <v>#VALUE!</v>
      </c>
      <c r="AI205" t="e">
        <f>AND('Planilla_General_03-12-2012_9_3'!B3267,"AAAAAB7ZfyI=")</f>
        <v>#VALUE!</v>
      </c>
      <c r="AJ205" t="e">
        <f>AND('Planilla_General_03-12-2012_9_3'!C3267,"AAAAAB7ZfyM=")</f>
        <v>#VALUE!</v>
      </c>
      <c r="AK205" t="e">
        <f>AND('Planilla_General_03-12-2012_9_3'!D3267,"AAAAAB7ZfyQ=")</f>
        <v>#VALUE!</v>
      </c>
      <c r="AL205" t="e">
        <f>AND('Planilla_General_03-12-2012_9_3'!E3267,"AAAAAB7ZfyU=")</f>
        <v>#VALUE!</v>
      </c>
      <c r="AM205" t="e">
        <f>AND('Planilla_General_03-12-2012_9_3'!F3267,"AAAAAB7ZfyY=")</f>
        <v>#VALUE!</v>
      </c>
      <c r="AN205" t="e">
        <f>AND('Planilla_General_03-12-2012_9_3'!G3267,"AAAAAB7Zfyc=")</f>
        <v>#VALUE!</v>
      </c>
      <c r="AO205" t="e">
        <f>AND('Planilla_General_03-12-2012_9_3'!H3267,"AAAAAB7Zfyg=")</f>
        <v>#VALUE!</v>
      </c>
      <c r="AP205" t="e">
        <f>AND('Planilla_General_03-12-2012_9_3'!I3267,"AAAAAB7Zfyk=")</f>
        <v>#VALUE!</v>
      </c>
      <c r="AQ205" t="e">
        <f>AND('Planilla_General_03-12-2012_9_3'!J3267,"AAAAAB7Zfyo=")</f>
        <v>#VALUE!</v>
      </c>
      <c r="AR205" t="e">
        <f>AND('Planilla_General_03-12-2012_9_3'!K3267,"AAAAAB7Zfys=")</f>
        <v>#VALUE!</v>
      </c>
      <c r="AS205" t="e">
        <f>AND('Planilla_General_03-12-2012_9_3'!L3267,"AAAAAB7Zfyw=")</f>
        <v>#VALUE!</v>
      </c>
      <c r="AT205" t="e">
        <f>AND('Planilla_General_03-12-2012_9_3'!M3267,"AAAAAB7Zfy0=")</f>
        <v>#VALUE!</v>
      </c>
      <c r="AU205" t="e">
        <f>AND('Planilla_General_03-12-2012_9_3'!N3267,"AAAAAB7Zfy4=")</f>
        <v>#VALUE!</v>
      </c>
      <c r="AV205" t="e">
        <f>AND('Planilla_General_03-12-2012_9_3'!O3267,"AAAAAB7Zfy8=")</f>
        <v>#VALUE!</v>
      </c>
      <c r="AW205">
        <f>IF('Planilla_General_03-12-2012_9_3'!3268:3268,"AAAAAB7ZfzA=",0)</f>
        <v>0</v>
      </c>
      <c r="AX205" t="e">
        <f>AND('Planilla_General_03-12-2012_9_3'!A3268,"AAAAAB7ZfzE=")</f>
        <v>#VALUE!</v>
      </c>
      <c r="AY205" t="e">
        <f>AND('Planilla_General_03-12-2012_9_3'!B3268,"AAAAAB7ZfzI=")</f>
        <v>#VALUE!</v>
      </c>
      <c r="AZ205" t="e">
        <f>AND('Planilla_General_03-12-2012_9_3'!C3268,"AAAAAB7ZfzM=")</f>
        <v>#VALUE!</v>
      </c>
      <c r="BA205" t="e">
        <f>AND('Planilla_General_03-12-2012_9_3'!D3268,"AAAAAB7ZfzQ=")</f>
        <v>#VALUE!</v>
      </c>
      <c r="BB205" t="e">
        <f>AND('Planilla_General_03-12-2012_9_3'!E3268,"AAAAAB7ZfzU=")</f>
        <v>#VALUE!</v>
      </c>
      <c r="BC205" t="e">
        <f>AND('Planilla_General_03-12-2012_9_3'!F3268,"AAAAAB7ZfzY=")</f>
        <v>#VALUE!</v>
      </c>
      <c r="BD205" t="e">
        <f>AND('Planilla_General_03-12-2012_9_3'!G3268,"AAAAAB7Zfzc=")</f>
        <v>#VALUE!</v>
      </c>
      <c r="BE205" t="e">
        <f>AND('Planilla_General_03-12-2012_9_3'!H3268,"AAAAAB7Zfzg=")</f>
        <v>#VALUE!</v>
      </c>
      <c r="BF205" t="e">
        <f>AND('Planilla_General_03-12-2012_9_3'!I3268,"AAAAAB7Zfzk=")</f>
        <v>#VALUE!</v>
      </c>
      <c r="BG205" t="e">
        <f>AND('Planilla_General_03-12-2012_9_3'!J3268,"AAAAAB7Zfzo=")</f>
        <v>#VALUE!</v>
      </c>
      <c r="BH205" t="e">
        <f>AND('Planilla_General_03-12-2012_9_3'!K3268,"AAAAAB7Zfzs=")</f>
        <v>#VALUE!</v>
      </c>
      <c r="BI205" t="e">
        <f>AND('Planilla_General_03-12-2012_9_3'!L3268,"AAAAAB7Zfzw=")</f>
        <v>#VALUE!</v>
      </c>
      <c r="BJ205" t="e">
        <f>AND('Planilla_General_03-12-2012_9_3'!M3268,"AAAAAB7Zfz0=")</f>
        <v>#VALUE!</v>
      </c>
      <c r="BK205" t="e">
        <f>AND('Planilla_General_03-12-2012_9_3'!N3268,"AAAAAB7Zfz4=")</f>
        <v>#VALUE!</v>
      </c>
      <c r="BL205" t="e">
        <f>AND('Planilla_General_03-12-2012_9_3'!O3268,"AAAAAB7Zfz8=")</f>
        <v>#VALUE!</v>
      </c>
      <c r="BM205">
        <f>IF('Planilla_General_03-12-2012_9_3'!3269:3269,"AAAAAB7Zf0A=",0)</f>
        <v>0</v>
      </c>
      <c r="BN205" t="e">
        <f>AND('Planilla_General_03-12-2012_9_3'!A3269,"AAAAAB7Zf0E=")</f>
        <v>#VALUE!</v>
      </c>
      <c r="BO205" t="e">
        <f>AND('Planilla_General_03-12-2012_9_3'!B3269,"AAAAAB7Zf0I=")</f>
        <v>#VALUE!</v>
      </c>
      <c r="BP205" t="e">
        <f>AND('Planilla_General_03-12-2012_9_3'!C3269,"AAAAAB7Zf0M=")</f>
        <v>#VALUE!</v>
      </c>
      <c r="BQ205" t="e">
        <f>AND('Planilla_General_03-12-2012_9_3'!D3269,"AAAAAB7Zf0Q=")</f>
        <v>#VALUE!</v>
      </c>
      <c r="BR205" t="e">
        <f>AND('Planilla_General_03-12-2012_9_3'!E3269,"AAAAAB7Zf0U=")</f>
        <v>#VALUE!</v>
      </c>
      <c r="BS205" t="e">
        <f>AND('Planilla_General_03-12-2012_9_3'!F3269,"AAAAAB7Zf0Y=")</f>
        <v>#VALUE!</v>
      </c>
      <c r="BT205" t="e">
        <f>AND('Planilla_General_03-12-2012_9_3'!G3269,"AAAAAB7Zf0c=")</f>
        <v>#VALUE!</v>
      </c>
      <c r="BU205" t="e">
        <f>AND('Planilla_General_03-12-2012_9_3'!H3269,"AAAAAB7Zf0g=")</f>
        <v>#VALUE!</v>
      </c>
      <c r="BV205" t="e">
        <f>AND('Planilla_General_03-12-2012_9_3'!I3269,"AAAAAB7Zf0k=")</f>
        <v>#VALUE!</v>
      </c>
      <c r="BW205" t="e">
        <f>AND('Planilla_General_03-12-2012_9_3'!J3269,"AAAAAB7Zf0o=")</f>
        <v>#VALUE!</v>
      </c>
      <c r="BX205" t="e">
        <f>AND('Planilla_General_03-12-2012_9_3'!K3269,"AAAAAB7Zf0s=")</f>
        <v>#VALUE!</v>
      </c>
      <c r="BY205" t="e">
        <f>AND('Planilla_General_03-12-2012_9_3'!L3269,"AAAAAB7Zf0w=")</f>
        <v>#VALUE!</v>
      </c>
      <c r="BZ205" t="e">
        <f>AND('Planilla_General_03-12-2012_9_3'!M3269,"AAAAAB7Zf00=")</f>
        <v>#VALUE!</v>
      </c>
      <c r="CA205" t="e">
        <f>AND('Planilla_General_03-12-2012_9_3'!N3269,"AAAAAB7Zf04=")</f>
        <v>#VALUE!</v>
      </c>
      <c r="CB205" t="e">
        <f>AND('Planilla_General_03-12-2012_9_3'!O3269,"AAAAAB7Zf08=")</f>
        <v>#VALUE!</v>
      </c>
      <c r="CC205">
        <f>IF('Planilla_General_03-12-2012_9_3'!3270:3270,"AAAAAB7Zf1A=",0)</f>
        <v>0</v>
      </c>
      <c r="CD205" t="e">
        <f>AND('Planilla_General_03-12-2012_9_3'!A3270,"AAAAAB7Zf1E=")</f>
        <v>#VALUE!</v>
      </c>
      <c r="CE205" t="e">
        <f>AND('Planilla_General_03-12-2012_9_3'!B3270,"AAAAAB7Zf1I=")</f>
        <v>#VALUE!</v>
      </c>
      <c r="CF205" t="e">
        <f>AND('Planilla_General_03-12-2012_9_3'!C3270,"AAAAAB7Zf1M=")</f>
        <v>#VALUE!</v>
      </c>
      <c r="CG205" t="e">
        <f>AND('Planilla_General_03-12-2012_9_3'!D3270,"AAAAAB7Zf1Q=")</f>
        <v>#VALUE!</v>
      </c>
      <c r="CH205" t="e">
        <f>AND('Planilla_General_03-12-2012_9_3'!E3270,"AAAAAB7Zf1U=")</f>
        <v>#VALUE!</v>
      </c>
      <c r="CI205" t="e">
        <f>AND('Planilla_General_03-12-2012_9_3'!F3270,"AAAAAB7Zf1Y=")</f>
        <v>#VALUE!</v>
      </c>
      <c r="CJ205" t="e">
        <f>AND('Planilla_General_03-12-2012_9_3'!G3270,"AAAAAB7Zf1c=")</f>
        <v>#VALUE!</v>
      </c>
      <c r="CK205" t="e">
        <f>AND('Planilla_General_03-12-2012_9_3'!H3270,"AAAAAB7Zf1g=")</f>
        <v>#VALUE!</v>
      </c>
      <c r="CL205" t="e">
        <f>AND('Planilla_General_03-12-2012_9_3'!I3270,"AAAAAB7Zf1k=")</f>
        <v>#VALUE!</v>
      </c>
      <c r="CM205" t="e">
        <f>AND('Planilla_General_03-12-2012_9_3'!J3270,"AAAAAB7Zf1o=")</f>
        <v>#VALUE!</v>
      </c>
      <c r="CN205" t="e">
        <f>AND('Planilla_General_03-12-2012_9_3'!K3270,"AAAAAB7Zf1s=")</f>
        <v>#VALUE!</v>
      </c>
      <c r="CO205" t="e">
        <f>AND('Planilla_General_03-12-2012_9_3'!L3270,"AAAAAB7Zf1w=")</f>
        <v>#VALUE!</v>
      </c>
      <c r="CP205" t="e">
        <f>AND('Planilla_General_03-12-2012_9_3'!M3270,"AAAAAB7Zf10=")</f>
        <v>#VALUE!</v>
      </c>
      <c r="CQ205" t="e">
        <f>AND('Planilla_General_03-12-2012_9_3'!N3270,"AAAAAB7Zf14=")</f>
        <v>#VALUE!</v>
      </c>
      <c r="CR205" t="e">
        <f>AND('Planilla_General_03-12-2012_9_3'!O3270,"AAAAAB7Zf18=")</f>
        <v>#VALUE!</v>
      </c>
      <c r="CS205">
        <f>IF('Planilla_General_03-12-2012_9_3'!3271:3271,"AAAAAB7Zf2A=",0)</f>
        <v>0</v>
      </c>
      <c r="CT205" t="e">
        <f>AND('Planilla_General_03-12-2012_9_3'!A3271,"AAAAAB7Zf2E=")</f>
        <v>#VALUE!</v>
      </c>
      <c r="CU205" t="e">
        <f>AND('Planilla_General_03-12-2012_9_3'!B3271,"AAAAAB7Zf2I=")</f>
        <v>#VALUE!</v>
      </c>
      <c r="CV205" t="e">
        <f>AND('Planilla_General_03-12-2012_9_3'!C3271,"AAAAAB7Zf2M=")</f>
        <v>#VALUE!</v>
      </c>
      <c r="CW205" t="e">
        <f>AND('Planilla_General_03-12-2012_9_3'!D3271,"AAAAAB7Zf2Q=")</f>
        <v>#VALUE!</v>
      </c>
      <c r="CX205" t="e">
        <f>AND('Planilla_General_03-12-2012_9_3'!E3271,"AAAAAB7Zf2U=")</f>
        <v>#VALUE!</v>
      </c>
      <c r="CY205" t="e">
        <f>AND('Planilla_General_03-12-2012_9_3'!F3271,"AAAAAB7Zf2Y=")</f>
        <v>#VALUE!</v>
      </c>
      <c r="CZ205" t="e">
        <f>AND('Planilla_General_03-12-2012_9_3'!G3271,"AAAAAB7Zf2c=")</f>
        <v>#VALUE!</v>
      </c>
      <c r="DA205" t="e">
        <f>AND('Planilla_General_03-12-2012_9_3'!H3271,"AAAAAB7Zf2g=")</f>
        <v>#VALUE!</v>
      </c>
      <c r="DB205" t="e">
        <f>AND('Planilla_General_03-12-2012_9_3'!I3271,"AAAAAB7Zf2k=")</f>
        <v>#VALUE!</v>
      </c>
      <c r="DC205" t="e">
        <f>AND('Planilla_General_03-12-2012_9_3'!J3271,"AAAAAB7Zf2o=")</f>
        <v>#VALUE!</v>
      </c>
      <c r="DD205" t="e">
        <f>AND('Planilla_General_03-12-2012_9_3'!K3271,"AAAAAB7Zf2s=")</f>
        <v>#VALUE!</v>
      </c>
      <c r="DE205" t="e">
        <f>AND('Planilla_General_03-12-2012_9_3'!L3271,"AAAAAB7Zf2w=")</f>
        <v>#VALUE!</v>
      </c>
      <c r="DF205" t="e">
        <f>AND('Planilla_General_03-12-2012_9_3'!M3271,"AAAAAB7Zf20=")</f>
        <v>#VALUE!</v>
      </c>
      <c r="DG205" t="e">
        <f>AND('Planilla_General_03-12-2012_9_3'!N3271,"AAAAAB7Zf24=")</f>
        <v>#VALUE!</v>
      </c>
      <c r="DH205" t="e">
        <f>AND('Planilla_General_03-12-2012_9_3'!O3271,"AAAAAB7Zf28=")</f>
        <v>#VALUE!</v>
      </c>
      <c r="DI205">
        <f>IF('Planilla_General_03-12-2012_9_3'!3272:3272,"AAAAAB7Zf3A=",0)</f>
        <v>0</v>
      </c>
      <c r="DJ205" t="e">
        <f>AND('Planilla_General_03-12-2012_9_3'!A3272,"AAAAAB7Zf3E=")</f>
        <v>#VALUE!</v>
      </c>
      <c r="DK205" t="e">
        <f>AND('Planilla_General_03-12-2012_9_3'!B3272,"AAAAAB7Zf3I=")</f>
        <v>#VALUE!</v>
      </c>
      <c r="DL205" t="e">
        <f>AND('Planilla_General_03-12-2012_9_3'!C3272,"AAAAAB7Zf3M=")</f>
        <v>#VALUE!</v>
      </c>
      <c r="DM205" t="e">
        <f>AND('Planilla_General_03-12-2012_9_3'!D3272,"AAAAAB7Zf3Q=")</f>
        <v>#VALUE!</v>
      </c>
      <c r="DN205" t="e">
        <f>AND('Planilla_General_03-12-2012_9_3'!E3272,"AAAAAB7Zf3U=")</f>
        <v>#VALUE!</v>
      </c>
      <c r="DO205" t="e">
        <f>AND('Planilla_General_03-12-2012_9_3'!F3272,"AAAAAB7Zf3Y=")</f>
        <v>#VALUE!</v>
      </c>
      <c r="DP205" t="e">
        <f>AND('Planilla_General_03-12-2012_9_3'!G3272,"AAAAAB7Zf3c=")</f>
        <v>#VALUE!</v>
      </c>
      <c r="DQ205" t="e">
        <f>AND('Planilla_General_03-12-2012_9_3'!H3272,"AAAAAB7Zf3g=")</f>
        <v>#VALUE!</v>
      </c>
      <c r="DR205" t="e">
        <f>AND('Planilla_General_03-12-2012_9_3'!I3272,"AAAAAB7Zf3k=")</f>
        <v>#VALUE!</v>
      </c>
      <c r="DS205" t="e">
        <f>AND('Planilla_General_03-12-2012_9_3'!J3272,"AAAAAB7Zf3o=")</f>
        <v>#VALUE!</v>
      </c>
      <c r="DT205" t="e">
        <f>AND('Planilla_General_03-12-2012_9_3'!K3272,"AAAAAB7Zf3s=")</f>
        <v>#VALUE!</v>
      </c>
      <c r="DU205" t="e">
        <f>AND('Planilla_General_03-12-2012_9_3'!L3272,"AAAAAB7Zf3w=")</f>
        <v>#VALUE!</v>
      </c>
      <c r="DV205" t="e">
        <f>AND('Planilla_General_03-12-2012_9_3'!M3272,"AAAAAB7Zf30=")</f>
        <v>#VALUE!</v>
      </c>
      <c r="DW205" t="e">
        <f>AND('Planilla_General_03-12-2012_9_3'!N3272,"AAAAAB7Zf34=")</f>
        <v>#VALUE!</v>
      </c>
      <c r="DX205" t="e">
        <f>AND('Planilla_General_03-12-2012_9_3'!O3272,"AAAAAB7Zf38=")</f>
        <v>#VALUE!</v>
      </c>
      <c r="DY205">
        <f>IF('Planilla_General_03-12-2012_9_3'!3273:3273,"AAAAAB7Zf4A=",0)</f>
        <v>0</v>
      </c>
      <c r="DZ205" t="e">
        <f>AND('Planilla_General_03-12-2012_9_3'!A3273,"AAAAAB7Zf4E=")</f>
        <v>#VALUE!</v>
      </c>
      <c r="EA205" t="e">
        <f>AND('Planilla_General_03-12-2012_9_3'!B3273,"AAAAAB7Zf4I=")</f>
        <v>#VALUE!</v>
      </c>
      <c r="EB205" t="e">
        <f>AND('Planilla_General_03-12-2012_9_3'!C3273,"AAAAAB7Zf4M=")</f>
        <v>#VALUE!</v>
      </c>
      <c r="EC205" t="e">
        <f>AND('Planilla_General_03-12-2012_9_3'!D3273,"AAAAAB7Zf4Q=")</f>
        <v>#VALUE!</v>
      </c>
      <c r="ED205" t="e">
        <f>AND('Planilla_General_03-12-2012_9_3'!E3273,"AAAAAB7Zf4U=")</f>
        <v>#VALUE!</v>
      </c>
      <c r="EE205" t="e">
        <f>AND('Planilla_General_03-12-2012_9_3'!F3273,"AAAAAB7Zf4Y=")</f>
        <v>#VALUE!</v>
      </c>
      <c r="EF205" t="e">
        <f>AND('Planilla_General_03-12-2012_9_3'!G3273,"AAAAAB7Zf4c=")</f>
        <v>#VALUE!</v>
      </c>
      <c r="EG205" t="e">
        <f>AND('Planilla_General_03-12-2012_9_3'!H3273,"AAAAAB7Zf4g=")</f>
        <v>#VALUE!</v>
      </c>
      <c r="EH205" t="e">
        <f>AND('Planilla_General_03-12-2012_9_3'!I3273,"AAAAAB7Zf4k=")</f>
        <v>#VALUE!</v>
      </c>
      <c r="EI205" t="e">
        <f>AND('Planilla_General_03-12-2012_9_3'!J3273,"AAAAAB7Zf4o=")</f>
        <v>#VALUE!</v>
      </c>
      <c r="EJ205" t="e">
        <f>AND('Planilla_General_03-12-2012_9_3'!K3273,"AAAAAB7Zf4s=")</f>
        <v>#VALUE!</v>
      </c>
      <c r="EK205" t="e">
        <f>AND('Planilla_General_03-12-2012_9_3'!L3273,"AAAAAB7Zf4w=")</f>
        <v>#VALUE!</v>
      </c>
      <c r="EL205" t="e">
        <f>AND('Planilla_General_03-12-2012_9_3'!M3273,"AAAAAB7Zf40=")</f>
        <v>#VALUE!</v>
      </c>
      <c r="EM205" t="e">
        <f>AND('Planilla_General_03-12-2012_9_3'!N3273,"AAAAAB7Zf44=")</f>
        <v>#VALUE!</v>
      </c>
      <c r="EN205" t="e">
        <f>AND('Planilla_General_03-12-2012_9_3'!O3273,"AAAAAB7Zf48=")</f>
        <v>#VALUE!</v>
      </c>
      <c r="EO205">
        <f>IF('Planilla_General_03-12-2012_9_3'!3274:3274,"AAAAAB7Zf5A=",0)</f>
        <v>0</v>
      </c>
      <c r="EP205" t="e">
        <f>AND('Planilla_General_03-12-2012_9_3'!A3274,"AAAAAB7Zf5E=")</f>
        <v>#VALUE!</v>
      </c>
      <c r="EQ205" t="e">
        <f>AND('Planilla_General_03-12-2012_9_3'!B3274,"AAAAAB7Zf5I=")</f>
        <v>#VALUE!</v>
      </c>
      <c r="ER205" t="e">
        <f>AND('Planilla_General_03-12-2012_9_3'!C3274,"AAAAAB7Zf5M=")</f>
        <v>#VALUE!</v>
      </c>
      <c r="ES205" t="e">
        <f>AND('Planilla_General_03-12-2012_9_3'!D3274,"AAAAAB7Zf5Q=")</f>
        <v>#VALUE!</v>
      </c>
      <c r="ET205" t="e">
        <f>AND('Planilla_General_03-12-2012_9_3'!E3274,"AAAAAB7Zf5U=")</f>
        <v>#VALUE!</v>
      </c>
      <c r="EU205" t="e">
        <f>AND('Planilla_General_03-12-2012_9_3'!F3274,"AAAAAB7Zf5Y=")</f>
        <v>#VALUE!</v>
      </c>
      <c r="EV205" t="e">
        <f>AND('Planilla_General_03-12-2012_9_3'!G3274,"AAAAAB7Zf5c=")</f>
        <v>#VALUE!</v>
      </c>
      <c r="EW205" t="e">
        <f>AND('Planilla_General_03-12-2012_9_3'!H3274,"AAAAAB7Zf5g=")</f>
        <v>#VALUE!</v>
      </c>
      <c r="EX205" t="e">
        <f>AND('Planilla_General_03-12-2012_9_3'!I3274,"AAAAAB7Zf5k=")</f>
        <v>#VALUE!</v>
      </c>
      <c r="EY205" t="e">
        <f>AND('Planilla_General_03-12-2012_9_3'!J3274,"AAAAAB7Zf5o=")</f>
        <v>#VALUE!</v>
      </c>
      <c r="EZ205" t="e">
        <f>AND('Planilla_General_03-12-2012_9_3'!K3274,"AAAAAB7Zf5s=")</f>
        <v>#VALUE!</v>
      </c>
      <c r="FA205" t="e">
        <f>AND('Planilla_General_03-12-2012_9_3'!L3274,"AAAAAB7Zf5w=")</f>
        <v>#VALUE!</v>
      </c>
      <c r="FB205" t="e">
        <f>AND('Planilla_General_03-12-2012_9_3'!M3274,"AAAAAB7Zf50=")</f>
        <v>#VALUE!</v>
      </c>
      <c r="FC205" t="e">
        <f>AND('Planilla_General_03-12-2012_9_3'!N3274,"AAAAAB7Zf54=")</f>
        <v>#VALUE!</v>
      </c>
      <c r="FD205" t="e">
        <f>AND('Planilla_General_03-12-2012_9_3'!O3274,"AAAAAB7Zf58=")</f>
        <v>#VALUE!</v>
      </c>
      <c r="FE205">
        <f>IF('Planilla_General_03-12-2012_9_3'!3275:3275,"AAAAAB7Zf6A=",0)</f>
        <v>0</v>
      </c>
      <c r="FF205" t="e">
        <f>AND('Planilla_General_03-12-2012_9_3'!A3275,"AAAAAB7Zf6E=")</f>
        <v>#VALUE!</v>
      </c>
      <c r="FG205" t="e">
        <f>AND('Planilla_General_03-12-2012_9_3'!B3275,"AAAAAB7Zf6I=")</f>
        <v>#VALUE!</v>
      </c>
      <c r="FH205" t="e">
        <f>AND('Planilla_General_03-12-2012_9_3'!C3275,"AAAAAB7Zf6M=")</f>
        <v>#VALUE!</v>
      </c>
      <c r="FI205" t="e">
        <f>AND('Planilla_General_03-12-2012_9_3'!D3275,"AAAAAB7Zf6Q=")</f>
        <v>#VALUE!</v>
      </c>
      <c r="FJ205" t="e">
        <f>AND('Planilla_General_03-12-2012_9_3'!E3275,"AAAAAB7Zf6U=")</f>
        <v>#VALUE!</v>
      </c>
      <c r="FK205" t="e">
        <f>AND('Planilla_General_03-12-2012_9_3'!F3275,"AAAAAB7Zf6Y=")</f>
        <v>#VALUE!</v>
      </c>
      <c r="FL205" t="e">
        <f>AND('Planilla_General_03-12-2012_9_3'!G3275,"AAAAAB7Zf6c=")</f>
        <v>#VALUE!</v>
      </c>
      <c r="FM205" t="e">
        <f>AND('Planilla_General_03-12-2012_9_3'!H3275,"AAAAAB7Zf6g=")</f>
        <v>#VALUE!</v>
      </c>
      <c r="FN205" t="e">
        <f>AND('Planilla_General_03-12-2012_9_3'!I3275,"AAAAAB7Zf6k=")</f>
        <v>#VALUE!</v>
      </c>
      <c r="FO205" t="e">
        <f>AND('Planilla_General_03-12-2012_9_3'!J3275,"AAAAAB7Zf6o=")</f>
        <v>#VALUE!</v>
      </c>
      <c r="FP205" t="e">
        <f>AND('Planilla_General_03-12-2012_9_3'!K3275,"AAAAAB7Zf6s=")</f>
        <v>#VALUE!</v>
      </c>
      <c r="FQ205" t="e">
        <f>AND('Planilla_General_03-12-2012_9_3'!L3275,"AAAAAB7Zf6w=")</f>
        <v>#VALUE!</v>
      </c>
      <c r="FR205" t="e">
        <f>AND('Planilla_General_03-12-2012_9_3'!M3275,"AAAAAB7Zf60=")</f>
        <v>#VALUE!</v>
      </c>
      <c r="FS205" t="e">
        <f>AND('Planilla_General_03-12-2012_9_3'!N3275,"AAAAAB7Zf64=")</f>
        <v>#VALUE!</v>
      </c>
      <c r="FT205" t="e">
        <f>AND('Planilla_General_03-12-2012_9_3'!O3275,"AAAAAB7Zf68=")</f>
        <v>#VALUE!</v>
      </c>
      <c r="FU205">
        <f>IF('Planilla_General_03-12-2012_9_3'!3276:3276,"AAAAAB7Zf7A=",0)</f>
        <v>0</v>
      </c>
      <c r="FV205" t="e">
        <f>AND('Planilla_General_03-12-2012_9_3'!A3276,"AAAAAB7Zf7E=")</f>
        <v>#VALUE!</v>
      </c>
      <c r="FW205" t="e">
        <f>AND('Planilla_General_03-12-2012_9_3'!B3276,"AAAAAB7Zf7I=")</f>
        <v>#VALUE!</v>
      </c>
      <c r="FX205" t="e">
        <f>AND('Planilla_General_03-12-2012_9_3'!C3276,"AAAAAB7Zf7M=")</f>
        <v>#VALUE!</v>
      </c>
      <c r="FY205" t="e">
        <f>AND('Planilla_General_03-12-2012_9_3'!D3276,"AAAAAB7Zf7Q=")</f>
        <v>#VALUE!</v>
      </c>
      <c r="FZ205" t="e">
        <f>AND('Planilla_General_03-12-2012_9_3'!E3276,"AAAAAB7Zf7U=")</f>
        <v>#VALUE!</v>
      </c>
      <c r="GA205" t="e">
        <f>AND('Planilla_General_03-12-2012_9_3'!F3276,"AAAAAB7Zf7Y=")</f>
        <v>#VALUE!</v>
      </c>
      <c r="GB205" t="e">
        <f>AND('Planilla_General_03-12-2012_9_3'!G3276,"AAAAAB7Zf7c=")</f>
        <v>#VALUE!</v>
      </c>
      <c r="GC205" t="e">
        <f>AND('Planilla_General_03-12-2012_9_3'!H3276,"AAAAAB7Zf7g=")</f>
        <v>#VALUE!</v>
      </c>
      <c r="GD205" t="e">
        <f>AND('Planilla_General_03-12-2012_9_3'!I3276,"AAAAAB7Zf7k=")</f>
        <v>#VALUE!</v>
      </c>
      <c r="GE205" t="e">
        <f>AND('Planilla_General_03-12-2012_9_3'!J3276,"AAAAAB7Zf7o=")</f>
        <v>#VALUE!</v>
      </c>
      <c r="GF205" t="e">
        <f>AND('Planilla_General_03-12-2012_9_3'!K3276,"AAAAAB7Zf7s=")</f>
        <v>#VALUE!</v>
      </c>
      <c r="GG205" t="e">
        <f>AND('Planilla_General_03-12-2012_9_3'!L3276,"AAAAAB7Zf7w=")</f>
        <v>#VALUE!</v>
      </c>
      <c r="GH205" t="e">
        <f>AND('Planilla_General_03-12-2012_9_3'!M3276,"AAAAAB7Zf70=")</f>
        <v>#VALUE!</v>
      </c>
      <c r="GI205" t="e">
        <f>AND('Planilla_General_03-12-2012_9_3'!N3276,"AAAAAB7Zf74=")</f>
        <v>#VALUE!</v>
      </c>
      <c r="GJ205" t="e">
        <f>AND('Planilla_General_03-12-2012_9_3'!O3276,"AAAAAB7Zf78=")</f>
        <v>#VALUE!</v>
      </c>
      <c r="GK205">
        <f>IF('Planilla_General_03-12-2012_9_3'!3277:3277,"AAAAAB7Zf8A=",0)</f>
        <v>0</v>
      </c>
      <c r="GL205" t="e">
        <f>AND('Planilla_General_03-12-2012_9_3'!A3277,"AAAAAB7Zf8E=")</f>
        <v>#VALUE!</v>
      </c>
      <c r="GM205" t="e">
        <f>AND('Planilla_General_03-12-2012_9_3'!B3277,"AAAAAB7Zf8I=")</f>
        <v>#VALUE!</v>
      </c>
      <c r="GN205" t="e">
        <f>AND('Planilla_General_03-12-2012_9_3'!C3277,"AAAAAB7Zf8M=")</f>
        <v>#VALUE!</v>
      </c>
      <c r="GO205" t="e">
        <f>AND('Planilla_General_03-12-2012_9_3'!D3277,"AAAAAB7Zf8Q=")</f>
        <v>#VALUE!</v>
      </c>
      <c r="GP205" t="e">
        <f>AND('Planilla_General_03-12-2012_9_3'!E3277,"AAAAAB7Zf8U=")</f>
        <v>#VALUE!</v>
      </c>
      <c r="GQ205" t="e">
        <f>AND('Planilla_General_03-12-2012_9_3'!F3277,"AAAAAB7Zf8Y=")</f>
        <v>#VALUE!</v>
      </c>
      <c r="GR205" t="e">
        <f>AND('Planilla_General_03-12-2012_9_3'!G3277,"AAAAAB7Zf8c=")</f>
        <v>#VALUE!</v>
      </c>
      <c r="GS205" t="e">
        <f>AND('Planilla_General_03-12-2012_9_3'!H3277,"AAAAAB7Zf8g=")</f>
        <v>#VALUE!</v>
      </c>
      <c r="GT205" t="e">
        <f>AND('Planilla_General_03-12-2012_9_3'!I3277,"AAAAAB7Zf8k=")</f>
        <v>#VALUE!</v>
      </c>
      <c r="GU205" t="e">
        <f>AND('Planilla_General_03-12-2012_9_3'!J3277,"AAAAAB7Zf8o=")</f>
        <v>#VALUE!</v>
      </c>
      <c r="GV205" t="e">
        <f>AND('Planilla_General_03-12-2012_9_3'!K3277,"AAAAAB7Zf8s=")</f>
        <v>#VALUE!</v>
      </c>
      <c r="GW205" t="e">
        <f>AND('Planilla_General_03-12-2012_9_3'!L3277,"AAAAAB7Zf8w=")</f>
        <v>#VALUE!</v>
      </c>
      <c r="GX205" t="e">
        <f>AND('Planilla_General_03-12-2012_9_3'!M3277,"AAAAAB7Zf80=")</f>
        <v>#VALUE!</v>
      </c>
      <c r="GY205" t="e">
        <f>AND('Planilla_General_03-12-2012_9_3'!N3277,"AAAAAB7Zf84=")</f>
        <v>#VALUE!</v>
      </c>
      <c r="GZ205" t="e">
        <f>AND('Planilla_General_03-12-2012_9_3'!O3277,"AAAAAB7Zf88=")</f>
        <v>#VALUE!</v>
      </c>
      <c r="HA205">
        <f>IF('Planilla_General_03-12-2012_9_3'!3278:3278,"AAAAAB7Zf9A=",0)</f>
        <v>0</v>
      </c>
      <c r="HB205" t="e">
        <f>AND('Planilla_General_03-12-2012_9_3'!A3278,"AAAAAB7Zf9E=")</f>
        <v>#VALUE!</v>
      </c>
      <c r="HC205" t="e">
        <f>AND('Planilla_General_03-12-2012_9_3'!B3278,"AAAAAB7Zf9I=")</f>
        <v>#VALUE!</v>
      </c>
      <c r="HD205" t="e">
        <f>AND('Planilla_General_03-12-2012_9_3'!C3278,"AAAAAB7Zf9M=")</f>
        <v>#VALUE!</v>
      </c>
      <c r="HE205" t="e">
        <f>AND('Planilla_General_03-12-2012_9_3'!D3278,"AAAAAB7Zf9Q=")</f>
        <v>#VALUE!</v>
      </c>
      <c r="HF205" t="e">
        <f>AND('Planilla_General_03-12-2012_9_3'!E3278,"AAAAAB7Zf9U=")</f>
        <v>#VALUE!</v>
      </c>
      <c r="HG205" t="e">
        <f>AND('Planilla_General_03-12-2012_9_3'!F3278,"AAAAAB7Zf9Y=")</f>
        <v>#VALUE!</v>
      </c>
      <c r="HH205" t="e">
        <f>AND('Planilla_General_03-12-2012_9_3'!G3278,"AAAAAB7Zf9c=")</f>
        <v>#VALUE!</v>
      </c>
      <c r="HI205" t="e">
        <f>AND('Planilla_General_03-12-2012_9_3'!H3278,"AAAAAB7Zf9g=")</f>
        <v>#VALUE!</v>
      </c>
      <c r="HJ205" t="e">
        <f>AND('Planilla_General_03-12-2012_9_3'!I3278,"AAAAAB7Zf9k=")</f>
        <v>#VALUE!</v>
      </c>
      <c r="HK205" t="e">
        <f>AND('Planilla_General_03-12-2012_9_3'!J3278,"AAAAAB7Zf9o=")</f>
        <v>#VALUE!</v>
      </c>
      <c r="HL205" t="e">
        <f>AND('Planilla_General_03-12-2012_9_3'!K3278,"AAAAAB7Zf9s=")</f>
        <v>#VALUE!</v>
      </c>
      <c r="HM205" t="e">
        <f>AND('Planilla_General_03-12-2012_9_3'!L3278,"AAAAAB7Zf9w=")</f>
        <v>#VALUE!</v>
      </c>
      <c r="HN205" t="e">
        <f>AND('Planilla_General_03-12-2012_9_3'!M3278,"AAAAAB7Zf90=")</f>
        <v>#VALUE!</v>
      </c>
      <c r="HO205" t="e">
        <f>AND('Planilla_General_03-12-2012_9_3'!N3278,"AAAAAB7Zf94=")</f>
        <v>#VALUE!</v>
      </c>
      <c r="HP205" t="e">
        <f>AND('Planilla_General_03-12-2012_9_3'!O3278,"AAAAAB7Zf98=")</f>
        <v>#VALUE!</v>
      </c>
      <c r="HQ205">
        <f>IF('Planilla_General_03-12-2012_9_3'!3279:3279,"AAAAAB7Zf+A=",0)</f>
        <v>0</v>
      </c>
      <c r="HR205" t="e">
        <f>AND('Planilla_General_03-12-2012_9_3'!A3279,"AAAAAB7Zf+E=")</f>
        <v>#VALUE!</v>
      </c>
      <c r="HS205" t="e">
        <f>AND('Planilla_General_03-12-2012_9_3'!B3279,"AAAAAB7Zf+I=")</f>
        <v>#VALUE!</v>
      </c>
      <c r="HT205" t="e">
        <f>AND('Planilla_General_03-12-2012_9_3'!C3279,"AAAAAB7Zf+M=")</f>
        <v>#VALUE!</v>
      </c>
      <c r="HU205" t="e">
        <f>AND('Planilla_General_03-12-2012_9_3'!D3279,"AAAAAB7Zf+Q=")</f>
        <v>#VALUE!</v>
      </c>
      <c r="HV205" t="e">
        <f>AND('Planilla_General_03-12-2012_9_3'!E3279,"AAAAAB7Zf+U=")</f>
        <v>#VALUE!</v>
      </c>
      <c r="HW205" t="e">
        <f>AND('Planilla_General_03-12-2012_9_3'!F3279,"AAAAAB7Zf+Y=")</f>
        <v>#VALUE!</v>
      </c>
      <c r="HX205" t="e">
        <f>AND('Planilla_General_03-12-2012_9_3'!G3279,"AAAAAB7Zf+c=")</f>
        <v>#VALUE!</v>
      </c>
      <c r="HY205" t="e">
        <f>AND('Planilla_General_03-12-2012_9_3'!H3279,"AAAAAB7Zf+g=")</f>
        <v>#VALUE!</v>
      </c>
      <c r="HZ205" t="e">
        <f>AND('Planilla_General_03-12-2012_9_3'!I3279,"AAAAAB7Zf+k=")</f>
        <v>#VALUE!</v>
      </c>
      <c r="IA205" t="e">
        <f>AND('Planilla_General_03-12-2012_9_3'!J3279,"AAAAAB7Zf+o=")</f>
        <v>#VALUE!</v>
      </c>
      <c r="IB205" t="e">
        <f>AND('Planilla_General_03-12-2012_9_3'!K3279,"AAAAAB7Zf+s=")</f>
        <v>#VALUE!</v>
      </c>
      <c r="IC205" t="e">
        <f>AND('Planilla_General_03-12-2012_9_3'!L3279,"AAAAAB7Zf+w=")</f>
        <v>#VALUE!</v>
      </c>
      <c r="ID205" t="e">
        <f>AND('Planilla_General_03-12-2012_9_3'!M3279,"AAAAAB7Zf+0=")</f>
        <v>#VALUE!</v>
      </c>
      <c r="IE205" t="e">
        <f>AND('Planilla_General_03-12-2012_9_3'!N3279,"AAAAAB7Zf+4=")</f>
        <v>#VALUE!</v>
      </c>
      <c r="IF205" t="e">
        <f>AND('Planilla_General_03-12-2012_9_3'!O3279,"AAAAAB7Zf+8=")</f>
        <v>#VALUE!</v>
      </c>
      <c r="IG205">
        <f>IF('Planilla_General_03-12-2012_9_3'!3280:3280,"AAAAAB7Zf/A=",0)</f>
        <v>0</v>
      </c>
      <c r="IH205" t="e">
        <f>AND('Planilla_General_03-12-2012_9_3'!A3280,"AAAAAB7Zf/E=")</f>
        <v>#VALUE!</v>
      </c>
      <c r="II205" t="e">
        <f>AND('Planilla_General_03-12-2012_9_3'!B3280,"AAAAAB7Zf/I=")</f>
        <v>#VALUE!</v>
      </c>
      <c r="IJ205" t="e">
        <f>AND('Planilla_General_03-12-2012_9_3'!C3280,"AAAAAB7Zf/M=")</f>
        <v>#VALUE!</v>
      </c>
      <c r="IK205" t="e">
        <f>AND('Planilla_General_03-12-2012_9_3'!D3280,"AAAAAB7Zf/Q=")</f>
        <v>#VALUE!</v>
      </c>
      <c r="IL205" t="e">
        <f>AND('Planilla_General_03-12-2012_9_3'!E3280,"AAAAAB7Zf/U=")</f>
        <v>#VALUE!</v>
      </c>
      <c r="IM205" t="e">
        <f>AND('Planilla_General_03-12-2012_9_3'!F3280,"AAAAAB7Zf/Y=")</f>
        <v>#VALUE!</v>
      </c>
      <c r="IN205" t="e">
        <f>AND('Planilla_General_03-12-2012_9_3'!G3280,"AAAAAB7Zf/c=")</f>
        <v>#VALUE!</v>
      </c>
      <c r="IO205" t="e">
        <f>AND('Planilla_General_03-12-2012_9_3'!H3280,"AAAAAB7Zf/g=")</f>
        <v>#VALUE!</v>
      </c>
      <c r="IP205" t="e">
        <f>AND('Planilla_General_03-12-2012_9_3'!I3280,"AAAAAB7Zf/k=")</f>
        <v>#VALUE!</v>
      </c>
      <c r="IQ205" t="e">
        <f>AND('Planilla_General_03-12-2012_9_3'!J3280,"AAAAAB7Zf/o=")</f>
        <v>#VALUE!</v>
      </c>
      <c r="IR205" t="e">
        <f>AND('Planilla_General_03-12-2012_9_3'!K3280,"AAAAAB7Zf/s=")</f>
        <v>#VALUE!</v>
      </c>
      <c r="IS205" t="e">
        <f>AND('Planilla_General_03-12-2012_9_3'!L3280,"AAAAAB7Zf/w=")</f>
        <v>#VALUE!</v>
      </c>
      <c r="IT205" t="e">
        <f>AND('Planilla_General_03-12-2012_9_3'!M3280,"AAAAAB7Zf/0=")</f>
        <v>#VALUE!</v>
      </c>
      <c r="IU205" t="e">
        <f>AND('Planilla_General_03-12-2012_9_3'!N3280,"AAAAAB7Zf/4=")</f>
        <v>#VALUE!</v>
      </c>
      <c r="IV205" t="e">
        <f>AND('Planilla_General_03-12-2012_9_3'!O3280,"AAAAAB7Zf/8=")</f>
        <v>#VALUE!</v>
      </c>
    </row>
    <row r="206" spans="1:256" x14ac:dyDescent="0.25">
      <c r="A206" t="e">
        <f>IF('Planilla_General_03-12-2012_9_3'!3281:3281,"AAAAAHH9twA=",0)</f>
        <v>#VALUE!</v>
      </c>
      <c r="B206" t="e">
        <f>AND('Planilla_General_03-12-2012_9_3'!A3281,"AAAAAHH9twE=")</f>
        <v>#VALUE!</v>
      </c>
      <c r="C206" t="e">
        <f>AND('Planilla_General_03-12-2012_9_3'!B3281,"AAAAAHH9twI=")</f>
        <v>#VALUE!</v>
      </c>
      <c r="D206" t="e">
        <f>AND('Planilla_General_03-12-2012_9_3'!C3281,"AAAAAHH9twM=")</f>
        <v>#VALUE!</v>
      </c>
      <c r="E206" t="e">
        <f>AND('Planilla_General_03-12-2012_9_3'!D3281,"AAAAAHH9twQ=")</f>
        <v>#VALUE!</v>
      </c>
      <c r="F206" t="e">
        <f>AND('Planilla_General_03-12-2012_9_3'!E3281,"AAAAAHH9twU=")</f>
        <v>#VALUE!</v>
      </c>
      <c r="G206" t="e">
        <f>AND('Planilla_General_03-12-2012_9_3'!F3281,"AAAAAHH9twY=")</f>
        <v>#VALUE!</v>
      </c>
      <c r="H206" t="e">
        <f>AND('Planilla_General_03-12-2012_9_3'!G3281,"AAAAAHH9twc=")</f>
        <v>#VALUE!</v>
      </c>
      <c r="I206" t="e">
        <f>AND('Planilla_General_03-12-2012_9_3'!H3281,"AAAAAHH9twg=")</f>
        <v>#VALUE!</v>
      </c>
      <c r="J206" t="e">
        <f>AND('Planilla_General_03-12-2012_9_3'!I3281,"AAAAAHH9twk=")</f>
        <v>#VALUE!</v>
      </c>
      <c r="K206" t="e">
        <f>AND('Planilla_General_03-12-2012_9_3'!J3281,"AAAAAHH9two=")</f>
        <v>#VALUE!</v>
      </c>
      <c r="L206" t="e">
        <f>AND('Planilla_General_03-12-2012_9_3'!K3281,"AAAAAHH9tws=")</f>
        <v>#VALUE!</v>
      </c>
      <c r="M206" t="e">
        <f>AND('Planilla_General_03-12-2012_9_3'!L3281,"AAAAAHH9tww=")</f>
        <v>#VALUE!</v>
      </c>
      <c r="N206" t="e">
        <f>AND('Planilla_General_03-12-2012_9_3'!M3281,"AAAAAHH9tw0=")</f>
        <v>#VALUE!</v>
      </c>
      <c r="O206" t="e">
        <f>AND('Planilla_General_03-12-2012_9_3'!N3281,"AAAAAHH9tw4=")</f>
        <v>#VALUE!</v>
      </c>
      <c r="P206" t="e">
        <f>AND('Planilla_General_03-12-2012_9_3'!O3281,"AAAAAHH9tw8=")</f>
        <v>#VALUE!</v>
      </c>
      <c r="Q206">
        <f>IF('Planilla_General_03-12-2012_9_3'!3282:3282,"AAAAAHH9txA=",0)</f>
        <v>0</v>
      </c>
      <c r="R206" t="e">
        <f>AND('Planilla_General_03-12-2012_9_3'!A3282,"AAAAAHH9txE=")</f>
        <v>#VALUE!</v>
      </c>
      <c r="S206" t="e">
        <f>AND('Planilla_General_03-12-2012_9_3'!B3282,"AAAAAHH9txI=")</f>
        <v>#VALUE!</v>
      </c>
      <c r="T206" t="e">
        <f>AND('Planilla_General_03-12-2012_9_3'!C3282,"AAAAAHH9txM=")</f>
        <v>#VALUE!</v>
      </c>
      <c r="U206" t="e">
        <f>AND('Planilla_General_03-12-2012_9_3'!D3282,"AAAAAHH9txQ=")</f>
        <v>#VALUE!</v>
      </c>
      <c r="V206" t="e">
        <f>AND('Planilla_General_03-12-2012_9_3'!E3282,"AAAAAHH9txU=")</f>
        <v>#VALUE!</v>
      </c>
      <c r="W206" t="e">
        <f>AND('Planilla_General_03-12-2012_9_3'!F3282,"AAAAAHH9txY=")</f>
        <v>#VALUE!</v>
      </c>
      <c r="X206" t="e">
        <f>AND('Planilla_General_03-12-2012_9_3'!G3282,"AAAAAHH9txc=")</f>
        <v>#VALUE!</v>
      </c>
      <c r="Y206" t="e">
        <f>AND('Planilla_General_03-12-2012_9_3'!H3282,"AAAAAHH9txg=")</f>
        <v>#VALUE!</v>
      </c>
      <c r="Z206" t="e">
        <f>AND('Planilla_General_03-12-2012_9_3'!I3282,"AAAAAHH9txk=")</f>
        <v>#VALUE!</v>
      </c>
      <c r="AA206" t="e">
        <f>AND('Planilla_General_03-12-2012_9_3'!J3282,"AAAAAHH9txo=")</f>
        <v>#VALUE!</v>
      </c>
      <c r="AB206" t="e">
        <f>AND('Planilla_General_03-12-2012_9_3'!K3282,"AAAAAHH9txs=")</f>
        <v>#VALUE!</v>
      </c>
      <c r="AC206" t="e">
        <f>AND('Planilla_General_03-12-2012_9_3'!L3282,"AAAAAHH9txw=")</f>
        <v>#VALUE!</v>
      </c>
      <c r="AD206" t="e">
        <f>AND('Planilla_General_03-12-2012_9_3'!M3282,"AAAAAHH9tx0=")</f>
        <v>#VALUE!</v>
      </c>
      <c r="AE206" t="e">
        <f>AND('Planilla_General_03-12-2012_9_3'!N3282,"AAAAAHH9tx4=")</f>
        <v>#VALUE!</v>
      </c>
      <c r="AF206" t="e">
        <f>AND('Planilla_General_03-12-2012_9_3'!O3282,"AAAAAHH9tx8=")</f>
        <v>#VALUE!</v>
      </c>
      <c r="AG206">
        <f>IF('Planilla_General_03-12-2012_9_3'!3283:3283,"AAAAAHH9tyA=",0)</f>
        <v>0</v>
      </c>
      <c r="AH206" t="e">
        <f>AND('Planilla_General_03-12-2012_9_3'!A3283,"AAAAAHH9tyE=")</f>
        <v>#VALUE!</v>
      </c>
      <c r="AI206" t="e">
        <f>AND('Planilla_General_03-12-2012_9_3'!B3283,"AAAAAHH9tyI=")</f>
        <v>#VALUE!</v>
      </c>
      <c r="AJ206" t="e">
        <f>AND('Planilla_General_03-12-2012_9_3'!C3283,"AAAAAHH9tyM=")</f>
        <v>#VALUE!</v>
      </c>
      <c r="AK206" t="e">
        <f>AND('Planilla_General_03-12-2012_9_3'!D3283,"AAAAAHH9tyQ=")</f>
        <v>#VALUE!</v>
      </c>
      <c r="AL206" t="e">
        <f>AND('Planilla_General_03-12-2012_9_3'!E3283,"AAAAAHH9tyU=")</f>
        <v>#VALUE!</v>
      </c>
      <c r="AM206" t="e">
        <f>AND('Planilla_General_03-12-2012_9_3'!F3283,"AAAAAHH9tyY=")</f>
        <v>#VALUE!</v>
      </c>
      <c r="AN206" t="e">
        <f>AND('Planilla_General_03-12-2012_9_3'!G3283,"AAAAAHH9tyc=")</f>
        <v>#VALUE!</v>
      </c>
      <c r="AO206" t="e">
        <f>AND('Planilla_General_03-12-2012_9_3'!H3283,"AAAAAHH9tyg=")</f>
        <v>#VALUE!</v>
      </c>
      <c r="AP206" t="e">
        <f>AND('Planilla_General_03-12-2012_9_3'!I3283,"AAAAAHH9tyk=")</f>
        <v>#VALUE!</v>
      </c>
      <c r="AQ206" t="e">
        <f>AND('Planilla_General_03-12-2012_9_3'!J3283,"AAAAAHH9tyo=")</f>
        <v>#VALUE!</v>
      </c>
      <c r="AR206" t="e">
        <f>AND('Planilla_General_03-12-2012_9_3'!K3283,"AAAAAHH9tys=")</f>
        <v>#VALUE!</v>
      </c>
      <c r="AS206" t="e">
        <f>AND('Planilla_General_03-12-2012_9_3'!L3283,"AAAAAHH9tyw=")</f>
        <v>#VALUE!</v>
      </c>
      <c r="AT206" t="e">
        <f>AND('Planilla_General_03-12-2012_9_3'!M3283,"AAAAAHH9ty0=")</f>
        <v>#VALUE!</v>
      </c>
      <c r="AU206" t="e">
        <f>AND('Planilla_General_03-12-2012_9_3'!N3283,"AAAAAHH9ty4=")</f>
        <v>#VALUE!</v>
      </c>
      <c r="AV206" t="e">
        <f>AND('Planilla_General_03-12-2012_9_3'!O3283,"AAAAAHH9ty8=")</f>
        <v>#VALUE!</v>
      </c>
      <c r="AW206">
        <f>IF('Planilla_General_03-12-2012_9_3'!3284:3284,"AAAAAHH9tzA=",0)</f>
        <v>0</v>
      </c>
      <c r="AX206" t="e">
        <f>AND('Planilla_General_03-12-2012_9_3'!A3284,"AAAAAHH9tzE=")</f>
        <v>#VALUE!</v>
      </c>
      <c r="AY206" t="e">
        <f>AND('Planilla_General_03-12-2012_9_3'!B3284,"AAAAAHH9tzI=")</f>
        <v>#VALUE!</v>
      </c>
      <c r="AZ206" t="e">
        <f>AND('Planilla_General_03-12-2012_9_3'!C3284,"AAAAAHH9tzM=")</f>
        <v>#VALUE!</v>
      </c>
      <c r="BA206" t="e">
        <f>AND('Planilla_General_03-12-2012_9_3'!D3284,"AAAAAHH9tzQ=")</f>
        <v>#VALUE!</v>
      </c>
      <c r="BB206" t="e">
        <f>AND('Planilla_General_03-12-2012_9_3'!E3284,"AAAAAHH9tzU=")</f>
        <v>#VALUE!</v>
      </c>
      <c r="BC206" t="e">
        <f>AND('Planilla_General_03-12-2012_9_3'!F3284,"AAAAAHH9tzY=")</f>
        <v>#VALUE!</v>
      </c>
      <c r="BD206" t="e">
        <f>AND('Planilla_General_03-12-2012_9_3'!G3284,"AAAAAHH9tzc=")</f>
        <v>#VALUE!</v>
      </c>
      <c r="BE206" t="e">
        <f>AND('Planilla_General_03-12-2012_9_3'!H3284,"AAAAAHH9tzg=")</f>
        <v>#VALUE!</v>
      </c>
      <c r="BF206" t="e">
        <f>AND('Planilla_General_03-12-2012_9_3'!I3284,"AAAAAHH9tzk=")</f>
        <v>#VALUE!</v>
      </c>
      <c r="BG206" t="e">
        <f>AND('Planilla_General_03-12-2012_9_3'!J3284,"AAAAAHH9tzo=")</f>
        <v>#VALUE!</v>
      </c>
      <c r="BH206" t="e">
        <f>AND('Planilla_General_03-12-2012_9_3'!K3284,"AAAAAHH9tzs=")</f>
        <v>#VALUE!</v>
      </c>
      <c r="BI206" t="e">
        <f>AND('Planilla_General_03-12-2012_9_3'!L3284,"AAAAAHH9tzw=")</f>
        <v>#VALUE!</v>
      </c>
      <c r="BJ206" t="e">
        <f>AND('Planilla_General_03-12-2012_9_3'!M3284,"AAAAAHH9tz0=")</f>
        <v>#VALUE!</v>
      </c>
      <c r="BK206" t="e">
        <f>AND('Planilla_General_03-12-2012_9_3'!N3284,"AAAAAHH9tz4=")</f>
        <v>#VALUE!</v>
      </c>
      <c r="BL206" t="e">
        <f>AND('Planilla_General_03-12-2012_9_3'!O3284,"AAAAAHH9tz8=")</f>
        <v>#VALUE!</v>
      </c>
      <c r="BM206">
        <f>IF('Planilla_General_03-12-2012_9_3'!3285:3285,"AAAAAHH9t0A=",0)</f>
        <v>0</v>
      </c>
      <c r="BN206" t="e">
        <f>AND('Planilla_General_03-12-2012_9_3'!A3285,"AAAAAHH9t0E=")</f>
        <v>#VALUE!</v>
      </c>
      <c r="BO206" t="e">
        <f>AND('Planilla_General_03-12-2012_9_3'!B3285,"AAAAAHH9t0I=")</f>
        <v>#VALUE!</v>
      </c>
      <c r="BP206" t="e">
        <f>AND('Planilla_General_03-12-2012_9_3'!C3285,"AAAAAHH9t0M=")</f>
        <v>#VALUE!</v>
      </c>
      <c r="BQ206" t="e">
        <f>AND('Planilla_General_03-12-2012_9_3'!D3285,"AAAAAHH9t0Q=")</f>
        <v>#VALUE!</v>
      </c>
      <c r="BR206" t="e">
        <f>AND('Planilla_General_03-12-2012_9_3'!E3285,"AAAAAHH9t0U=")</f>
        <v>#VALUE!</v>
      </c>
      <c r="BS206" t="e">
        <f>AND('Planilla_General_03-12-2012_9_3'!F3285,"AAAAAHH9t0Y=")</f>
        <v>#VALUE!</v>
      </c>
      <c r="BT206" t="e">
        <f>AND('Planilla_General_03-12-2012_9_3'!G3285,"AAAAAHH9t0c=")</f>
        <v>#VALUE!</v>
      </c>
      <c r="BU206" t="e">
        <f>AND('Planilla_General_03-12-2012_9_3'!H3285,"AAAAAHH9t0g=")</f>
        <v>#VALUE!</v>
      </c>
      <c r="BV206" t="e">
        <f>AND('Planilla_General_03-12-2012_9_3'!I3285,"AAAAAHH9t0k=")</f>
        <v>#VALUE!</v>
      </c>
      <c r="BW206" t="e">
        <f>AND('Planilla_General_03-12-2012_9_3'!J3285,"AAAAAHH9t0o=")</f>
        <v>#VALUE!</v>
      </c>
      <c r="BX206" t="e">
        <f>AND('Planilla_General_03-12-2012_9_3'!K3285,"AAAAAHH9t0s=")</f>
        <v>#VALUE!</v>
      </c>
      <c r="BY206" t="e">
        <f>AND('Planilla_General_03-12-2012_9_3'!L3285,"AAAAAHH9t0w=")</f>
        <v>#VALUE!</v>
      </c>
      <c r="BZ206" t="e">
        <f>AND('Planilla_General_03-12-2012_9_3'!M3285,"AAAAAHH9t00=")</f>
        <v>#VALUE!</v>
      </c>
      <c r="CA206" t="e">
        <f>AND('Planilla_General_03-12-2012_9_3'!N3285,"AAAAAHH9t04=")</f>
        <v>#VALUE!</v>
      </c>
      <c r="CB206" t="e">
        <f>AND('Planilla_General_03-12-2012_9_3'!O3285,"AAAAAHH9t08=")</f>
        <v>#VALUE!</v>
      </c>
      <c r="CC206">
        <f>IF('Planilla_General_03-12-2012_9_3'!3286:3286,"AAAAAHH9t1A=",0)</f>
        <v>0</v>
      </c>
      <c r="CD206" t="e">
        <f>AND('Planilla_General_03-12-2012_9_3'!A3286,"AAAAAHH9t1E=")</f>
        <v>#VALUE!</v>
      </c>
      <c r="CE206" t="e">
        <f>AND('Planilla_General_03-12-2012_9_3'!B3286,"AAAAAHH9t1I=")</f>
        <v>#VALUE!</v>
      </c>
      <c r="CF206" t="e">
        <f>AND('Planilla_General_03-12-2012_9_3'!C3286,"AAAAAHH9t1M=")</f>
        <v>#VALUE!</v>
      </c>
      <c r="CG206" t="e">
        <f>AND('Planilla_General_03-12-2012_9_3'!D3286,"AAAAAHH9t1Q=")</f>
        <v>#VALUE!</v>
      </c>
      <c r="CH206" t="e">
        <f>AND('Planilla_General_03-12-2012_9_3'!E3286,"AAAAAHH9t1U=")</f>
        <v>#VALUE!</v>
      </c>
      <c r="CI206" t="e">
        <f>AND('Planilla_General_03-12-2012_9_3'!F3286,"AAAAAHH9t1Y=")</f>
        <v>#VALUE!</v>
      </c>
      <c r="CJ206" t="e">
        <f>AND('Planilla_General_03-12-2012_9_3'!G3286,"AAAAAHH9t1c=")</f>
        <v>#VALUE!</v>
      </c>
      <c r="CK206" t="e">
        <f>AND('Planilla_General_03-12-2012_9_3'!H3286,"AAAAAHH9t1g=")</f>
        <v>#VALUE!</v>
      </c>
      <c r="CL206" t="e">
        <f>AND('Planilla_General_03-12-2012_9_3'!I3286,"AAAAAHH9t1k=")</f>
        <v>#VALUE!</v>
      </c>
      <c r="CM206" t="e">
        <f>AND('Planilla_General_03-12-2012_9_3'!J3286,"AAAAAHH9t1o=")</f>
        <v>#VALUE!</v>
      </c>
      <c r="CN206" t="e">
        <f>AND('Planilla_General_03-12-2012_9_3'!K3286,"AAAAAHH9t1s=")</f>
        <v>#VALUE!</v>
      </c>
      <c r="CO206" t="e">
        <f>AND('Planilla_General_03-12-2012_9_3'!L3286,"AAAAAHH9t1w=")</f>
        <v>#VALUE!</v>
      </c>
      <c r="CP206" t="e">
        <f>AND('Planilla_General_03-12-2012_9_3'!M3286,"AAAAAHH9t10=")</f>
        <v>#VALUE!</v>
      </c>
      <c r="CQ206" t="e">
        <f>AND('Planilla_General_03-12-2012_9_3'!N3286,"AAAAAHH9t14=")</f>
        <v>#VALUE!</v>
      </c>
      <c r="CR206" t="e">
        <f>AND('Planilla_General_03-12-2012_9_3'!O3286,"AAAAAHH9t18=")</f>
        <v>#VALUE!</v>
      </c>
      <c r="CS206">
        <f>IF('Planilla_General_03-12-2012_9_3'!3287:3287,"AAAAAHH9t2A=",0)</f>
        <v>0</v>
      </c>
      <c r="CT206" t="e">
        <f>AND('Planilla_General_03-12-2012_9_3'!A3287,"AAAAAHH9t2E=")</f>
        <v>#VALUE!</v>
      </c>
      <c r="CU206" t="e">
        <f>AND('Planilla_General_03-12-2012_9_3'!B3287,"AAAAAHH9t2I=")</f>
        <v>#VALUE!</v>
      </c>
      <c r="CV206" t="e">
        <f>AND('Planilla_General_03-12-2012_9_3'!C3287,"AAAAAHH9t2M=")</f>
        <v>#VALUE!</v>
      </c>
      <c r="CW206" t="e">
        <f>AND('Planilla_General_03-12-2012_9_3'!D3287,"AAAAAHH9t2Q=")</f>
        <v>#VALUE!</v>
      </c>
      <c r="CX206" t="e">
        <f>AND('Planilla_General_03-12-2012_9_3'!E3287,"AAAAAHH9t2U=")</f>
        <v>#VALUE!</v>
      </c>
      <c r="CY206" t="e">
        <f>AND('Planilla_General_03-12-2012_9_3'!F3287,"AAAAAHH9t2Y=")</f>
        <v>#VALUE!</v>
      </c>
      <c r="CZ206" t="e">
        <f>AND('Planilla_General_03-12-2012_9_3'!G3287,"AAAAAHH9t2c=")</f>
        <v>#VALUE!</v>
      </c>
      <c r="DA206" t="e">
        <f>AND('Planilla_General_03-12-2012_9_3'!H3287,"AAAAAHH9t2g=")</f>
        <v>#VALUE!</v>
      </c>
      <c r="DB206" t="e">
        <f>AND('Planilla_General_03-12-2012_9_3'!I3287,"AAAAAHH9t2k=")</f>
        <v>#VALUE!</v>
      </c>
      <c r="DC206" t="e">
        <f>AND('Planilla_General_03-12-2012_9_3'!J3287,"AAAAAHH9t2o=")</f>
        <v>#VALUE!</v>
      </c>
      <c r="DD206" t="e">
        <f>AND('Planilla_General_03-12-2012_9_3'!K3287,"AAAAAHH9t2s=")</f>
        <v>#VALUE!</v>
      </c>
      <c r="DE206" t="e">
        <f>AND('Planilla_General_03-12-2012_9_3'!L3287,"AAAAAHH9t2w=")</f>
        <v>#VALUE!</v>
      </c>
      <c r="DF206" t="e">
        <f>AND('Planilla_General_03-12-2012_9_3'!M3287,"AAAAAHH9t20=")</f>
        <v>#VALUE!</v>
      </c>
      <c r="DG206" t="e">
        <f>AND('Planilla_General_03-12-2012_9_3'!N3287,"AAAAAHH9t24=")</f>
        <v>#VALUE!</v>
      </c>
      <c r="DH206" t="e">
        <f>AND('Planilla_General_03-12-2012_9_3'!O3287,"AAAAAHH9t28=")</f>
        <v>#VALUE!</v>
      </c>
      <c r="DI206">
        <f>IF('Planilla_General_03-12-2012_9_3'!3288:3288,"AAAAAHH9t3A=",0)</f>
        <v>0</v>
      </c>
      <c r="DJ206" t="e">
        <f>AND('Planilla_General_03-12-2012_9_3'!A3288,"AAAAAHH9t3E=")</f>
        <v>#VALUE!</v>
      </c>
      <c r="DK206" t="e">
        <f>AND('Planilla_General_03-12-2012_9_3'!B3288,"AAAAAHH9t3I=")</f>
        <v>#VALUE!</v>
      </c>
      <c r="DL206" t="e">
        <f>AND('Planilla_General_03-12-2012_9_3'!C3288,"AAAAAHH9t3M=")</f>
        <v>#VALUE!</v>
      </c>
      <c r="DM206" t="e">
        <f>AND('Planilla_General_03-12-2012_9_3'!D3288,"AAAAAHH9t3Q=")</f>
        <v>#VALUE!</v>
      </c>
      <c r="DN206" t="e">
        <f>AND('Planilla_General_03-12-2012_9_3'!E3288,"AAAAAHH9t3U=")</f>
        <v>#VALUE!</v>
      </c>
      <c r="DO206" t="e">
        <f>AND('Planilla_General_03-12-2012_9_3'!F3288,"AAAAAHH9t3Y=")</f>
        <v>#VALUE!</v>
      </c>
      <c r="DP206" t="e">
        <f>AND('Planilla_General_03-12-2012_9_3'!G3288,"AAAAAHH9t3c=")</f>
        <v>#VALUE!</v>
      </c>
      <c r="DQ206" t="e">
        <f>AND('Planilla_General_03-12-2012_9_3'!H3288,"AAAAAHH9t3g=")</f>
        <v>#VALUE!</v>
      </c>
      <c r="DR206" t="e">
        <f>AND('Planilla_General_03-12-2012_9_3'!I3288,"AAAAAHH9t3k=")</f>
        <v>#VALUE!</v>
      </c>
      <c r="DS206" t="e">
        <f>AND('Planilla_General_03-12-2012_9_3'!J3288,"AAAAAHH9t3o=")</f>
        <v>#VALUE!</v>
      </c>
      <c r="DT206" t="e">
        <f>AND('Planilla_General_03-12-2012_9_3'!K3288,"AAAAAHH9t3s=")</f>
        <v>#VALUE!</v>
      </c>
      <c r="DU206" t="e">
        <f>AND('Planilla_General_03-12-2012_9_3'!L3288,"AAAAAHH9t3w=")</f>
        <v>#VALUE!</v>
      </c>
      <c r="DV206" t="e">
        <f>AND('Planilla_General_03-12-2012_9_3'!M3288,"AAAAAHH9t30=")</f>
        <v>#VALUE!</v>
      </c>
      <c r="DW206" t="e">
        <f>AND('Planilla_General_03-12-2012_9_3'!N3288,"AAAAAHH9t34=")</f>
        <v>#VALUE!</v>
      </c>
      <c r="DX206" t="e">
        <f>AND('Planilla_General_03-12-2012_9_3'!O3288,"AAAAAHH9t38=")</f>
        <v>#VALUE!</v>
      </c>
      <c r="DY206">
        <f>IF('Planilla_General_03-12-2012_9_3'!3289:3289,"AAAAAHH9t4A=",0)</f>
        <v>0</v>
      </c>
      <c r="DZ206" t="e">
        <f>AND('Planilla_General_03-12-2012_9_3'!A3289,"AAAAAHH9t4E=")</f>
        <v>#VALUE!</v>
      </c>
      <c r="EA206" t="e">
        <f>AND('Planilla_General_03-12-2012_9_3'!B3289,"AAAAAHH9t4I=")</f>
        <v>#VALUE!</v>
      </c>
      <c r="EB206" t="e">
        <f>AND('Planilla_General_03-12-2012_9_3'!C3289,"AAAAAHH9t4M=")</f>
        <v>#VALUE!</v>
      </c>
      <c r="EC206" t="e">
        <f>AND('Planilla_General_03-12-2012_9_3'!D3289,"AAAAAHH9t4Q=")</f>
        <v>#VALUE!</v>
      </c>
      <c r="ED206" t="e">
        <f>AND('Planilla_General_03-12-2012_9_3'!E3289,"AAAAAHH9t4U=")</f>
        <v>#VALUE!</v>
      </c>
      <c r="EE206" t="e">
        <f>AND('Planilla_General_03-12-2012_9_3'!F3289,"AAAAAHH9t4Y=")</f>
        <v>#VALUE!</v>
      </c>
      <c r="EF206" t="e">
        <f>AND('Planilla_General_03-12-2012_9_3'!G3289,"AAAAAHH9t4c=")</f>
        <v>#VALUE!</v>
      </c>
      <c r="EG206" t="e">
        <f>AND('Planilla_General_03-12-2012_9_3'!H3289,"AAAAAHH9t4g=")</f>
        <v>#VALUE!</v>
      </c>
      <c r="EH206" t="e">
        <f>AND('Planilla_General_03-12-2012_9_3'!I3289,"AAAAAHH9t4k=")</f>
        <v>#VALUE!</v>
      </c>
      <c r="EI206" t="e">
        <f>AND('Planilla_General_03-12-2012_9_3'!J3289,"AAAAAHH9t4o=")</f>
        <v>#VALUE!</v>
      </c>
      <c r="EJ206" t="e">
        <f>AND('Planilla_General_03-12-2012_9_3'!K3289,"AAAAAHH9t4s=")</f>
        <v>#VALUE!</v>
      </c>
      <c r="EK206" t="e">
        <f>AND('Planilla_General_03-12-2012_9_3'!L3289,"AAAAAHH9t4w=")</f>
        <v>#VALUE!</v>
      </c>
      <c r="EL206" t="e">
        <f>AND('Planilla_General_03-12-2012_9_3'!M3289,"AAAAAHH9t40=")</f>
        <v>#VALUE!</v>
      </c>
      <c r="EM206" t="e">
        <f>AND('Planilla_General_03-12-2012_9_3'!N3289,"AAAAAHH9t44=")</f>
        <v>#VALUE!</v>
      </c>
      <c r="EN206" t="e">
        <f>AND('Planilla_General_03-12-2012_9_3'!O3289,"AAAAAHH9t48=")</f>
        <v>#VALUE!</v>
      </c>
      <c r="EO206">
        <f>IF('Planilla_General_03-12-2012_9_3'!3290:3290,"AAAAAHH9t5A=",0)</f>
        <v>0</v>
      </c>
      <c r="EP206" t="e">
        <f>AND('Planilla_General_03-12-2012_9_3'!A3290,"AAAAAHH9t5E=")</f>
        <v>#VALUE!</v>
      </c>
      <c r="EQ206" t="e">
        <f>AND('Planilla_General_03-12-2012_9_3'!B3290,"AAAAAHH9t5I=")</f>
        <v>#VALUE!</v>
      </c>
      <c r="ER206" t="e">
        <f>AND('Planilla_General_03-12-2012_9_3'!C3290,"AAAAAHH9t5M=")</f>
        <v>#VALUE!</v>
      </c>
      <c r="ES206" t="e">
        <f>AND('Planilla_General_03-12-2012_9_3'!D3290,"AAAAAHH9t5Q=")</f>
        <v>#VALUE!</v>
      </c>
      <c r="ET206" t="e">
        <f>AND('Planilla_General_03-12-2012_9_3'!E3290,"AAAAAHH9t5U=")</f>
        <v>#VALUE!</v>
      </c>
      <c r="EU206" t="e">
        <f>AND('Planilla_General_03-12-2012_9_3'!F3290,"AAAAAHH9t5Y=")</f>
        <v>#VALUE!</v>
      </c>
      <c r="EV206" t="e">
        <f>AND('Planilla_General_03-12-2012_9_3'!G3290,"AAAAAHH9t5c=")</f>
        <v>#VALUE!</v>
      </c>
      <c r="EW206" t="e">
        <f>AND('Planilla_General_03-12-2012_9_3'!H3290,"AAAAAHH9t5g=")</f>
        <v>#VALUE!</v>
      </c>
      <c r="EX206" t="e">
        <f>AND('Planilla_General_03-12-2012_9_3'!I3290,"AAAAAHH9t5k=")</f>
        <v>#VALUE!</v>
      </c>
      <c r="EY206" t="e">
        <f>AND('Planilla_General_03-12-2012_9_3'!J3290,"AAAAAHH9t5o=")</f>
        <v>#VALUE!</v>
      </c>
      <c r="EZ206" t="e">
        <f>AND('Planilla_General_03-12-2012_9_3'!K3290,"AAAAAHH9t5s=")</f>
        <v>#VALUE!</v>
      </c>
      <c r="FA206" t="e">
        <f>AND('Planilla_General_03-12-2012_9_3'!L3290,"AAAAAHH9t5w=")</f>
        <v>#VALUE!</v>
      </c>
      <c r="FB206" t="e">
        <f>AND('Planilla_General_03-12-2012_9_3'!M3290,"AAAAAHH9t50=")</f>
        <v>#VALUE!</v>
      </c>
      <c r="FC206" t="e">
        <f>AND('Planilla_General_03-12-2012_9_3'!N3290,"AAAAAHH9t54=")</f>
        <v>#VALUE!</v>
      </c>
      <c r="FD206" t="e">
        <f>AND('Planilla_General_03-12-2012_9_3'!O3290,"AAAAAHH9t58=")</f>
        <v>#VALUE!</v>
      </c>
      <c r="FE206">
        <f>IF('Planilla_General_03-12-2012_9_3'!3291:3291,"AAAAAHH9t6A=",0)</f>
        <v>0</v>
      </c>
      <c r="FF206" t="e">
        <f>AND('Planilla_General_03-12-2012_9_3'!A3291,"AAAAAHH9t6E=")</f>
        <v>#VALUE!</v>
      </c>
      <c r="FG206" t="e">
        <f>AND('Planilla_General_03-12-2012_9_3'!B3291,"AAAAAHH9t6I=")</f>
        <v>#VALUE!</v>
      </c>
      <c r="FH206" t="e">
        <f>AND('Planilla_General_03-12-2012_9_3'!C3291,"AAAAAHH9t6M=")</f>
        <v>#VALUE!</v>
      </c>
      <c r="FI206" t="e">
        <f>AND('Planilla_General_03-12-2012_9_3'!D3291,"AAAAAHH9t6Q=")</f>
        <v>#VALUE!</v>
      </c>
      <c r="FJ206" t="e">
        <f>AND('Planilla_General_03-12-2012_9_3'!E3291,"AAAAAHH9t6U=")</f>
        <v>#VALUE!</v>
      </c>
      <c r="FK206" t="e">
        <f>AND('Planilla_General_03-12-2012_9_3'!F3291,"AAAAAHH9t6Y=")</f>
        <v>#VALUE!</v>
      </c>
      <c r="FL206" t="e">
        <f>AND('Planilla_General_03-12-2012_9_3'!G3291,"AAAAAHH9t6c=")</f>
        <v>#VALUE!</v>
      </c>
      <c r="FM206" t="e">
        <f>AND('Planilla_General_03-12-2012_9_3'!H3291,"AAAAAHH9t6g=")</f>
        <v>#VALUE!</v>
      </c>
      <c r="FN206" t="e">
        <f>AND('Planilla_General_03-12-2012_9_3'!I3291,"AAAAAHH9t6k=")</f>
        <v>#VALUE!</v>
      </c>
      <c r="FO206" t="e">
        <f>AND('Planilla_General_03-12-2012_9_3'!J3291,"AAAAAHH9t6o=")</f>
        <v>#VALUE!</v>
      </c>
      <c r="FP206" t="e">
        <f>AND('Planilla_General_03-12-2012_9_3'!K3291,"AAAAAHH9t6s=")</f>
        <v>#VALUE!</v>
      </c>
      <c r="FQ206" t="e">
        <f>AND('Planilla_General_03-12-2012_9_3'!L3291,"AAAAAHH9t6w=")</f>
        <v>#VALUE!</v>
      </c>
      <c r="FR206" t="e">
        <f>AND('Planilla_General_03-12-2012_9_3'!M3291,"AAAAAHH9t60=")</f>
        <v>#VALUE!</v>
      </c>
      <c r="FS206" t="e">
        <f>AND('Planilla_General_03-12-2012_9_3'!N3291,"AAAAAHH9t64=")</f>
        <v>#VALUE!</v>
      </c>
      <c r="FT206" t="e">
        <f>AND('Planilla_General_03-12-2012_9_3'!O3291,"AAAAAHH9t68=")</f>
        <v>#VALUE!</v>
      </c>
      <c r="FU206">
        <f>IF('Planilla_General_03-12-2012_9_3'!3292:3292,"AAAAAHH9t7A=",0)</f>
        <v>0</v>
      </c>
      <c r="FV206" t="e">
        <f>AND('Planilla_General_03-12-2012_9_3'!A3292,"AAAAAHH9t7E=")</f>
        <v>#VALUE!</v>
      </c>
      <c r="FW206" t="e">
        <f>AND('Planilla_General_03-12-2012_9_3'!B3292,"AAAAAHH9t7I=")</f>
        <v>#VALUE!</v>
      </c>
      <c r="FX206" t="e">
        <f>AND('Planilla_General_03-12-2012_9_3'!C3292,"AAAAAHH9t7M=")</f>
        <v>#VALUE!</v>
      </c>
      <c r="FY206" t="e">
        <f>AND('Planilla_General_03-12-2012_9_3'!D3292,"AAAAAHH9t7Q=")</f>
        <v>#VALUE!</v>
      </c>
      <c r="FZ206" t="e">
        <f>AND('Planilla_General_03-12-2012_9_3'!E3292,"AAAAAHH9t7U=")</f>
        <v>#VALUE!</v>
      </c>
      <c r="GA206" t="e">
        <f>AND('Planilla_General_03-12-2012_9_3'!F3292,"AAAAAHH9t7Y=")</f>
        <v>#VALUE!</v>
      </c>
      <c r="GB206" t="e">
        <f>AND('Planilla_General_03-12-2012_9_3'!G3292,"AAAAAHH9t7c=")</f>
        <v>#VALUE!</v>
      </c>
      <c r="GC206" t="e">
        <f>AND('Planilla_General_03-12-2012_9_3'!H3292,"AAAAAHH9t7g=")</f>
        <v>#VALUE!</v>
      </c>
      <c r="GD206" t="e">
        <f>AND('Planilla_General_03-12-2012_9_3'!I3292,"AAAAAHH9t7k=")</f>
        <v>#VALUE!</v>
      </c>
      <c r="GE206" t="e">
        <f>AND('Planilla_General_03-12-2012_9_3'!J3292,"AAAAAHH9t7o=")</f>
        <v>#VALUE!</v>
      </c>
      <c r="GF206" t="e">
        <f>AND('Planilla_General_03-12-2012_9_3'!K3292,"AAAAAHH9t7s=")</f>
        <v>#VALUE!</v>
      </c>
      <c r="GG206" t="e">
        <f>AND('Planilla_General_03-12-2012_9_3'!L3292,"AAAAAHH9t7w=")</f>
        <v>#VALUE!</v>
      </c>
      <c r="GH206" t="e">
        <f>AND('Planilla_General_03-12-2012_9_3'!M3292,"AAAAAHH9t70=")</f>
        <v>#VALUE!</v>
      </c>
      <c r="GI206" t="e">
        <f>AND('Planilla_General_03-12-2012_9_3'!N3292,"AAAAAHH9t74=")</f>
        <v>#VALUE!</v>
      </c>
      <c r="GJ206" t="e">
        <f>AND('Planilla_General_03-12-2012_9_3'!O3292,"AAAAAHH9t78=")</f>
        <v>#VALUE!</v>
      </c>
      <c r="GK206">
        <f>IF('Planilla_General_03-12-2012_9_3'!3293:3293,"AAAAAHH9t8A=",0)</f>
        <v>0</v>
      </c>
      <c r="GL206" t="e">
        <f>AND('Planilla_General_03-12-2012_9_3'!A3293,"AAAAAHH9t8E=")</f>
        <v>#VALUE!</v>
      </c>
      <c r="GM206" t="e">
        <f>AND('Planilla_General_03-12-2012_9_3'!B3293,"AAAAAHH9t8I=")</f>
        <v>#VALUE!</v>
      </c>
      <c r="GN206" t="e">
        <f>AND('Planilla_General_03-12-2012_9_3'!C3293,"AAAAAHH9t8M=")</f>
        <v>#VALUE!</v>
      </c>
      <c r="GO206" t="e">
        <f>AND('Planilla_General_03-12-2012_9_3'!D3293,"AAAAAHH9t8Q=")</f>
        <v>#VALUE!</v>
      </c>
      <c r="GP206" t="e">
        <f>AND('Planilla_General_03-12-2012_9_3'!E3293,"AAAAAHH9t8U=")</f>
        <v>#VALUE!</v>
      </c>
      <c r="GQ206" t="e">
        <f>AND('Planilla_General_03-12-2012_9_3'!F3293,"AAAAAHH9t8Y=")</f>
        <v>#VALUE!</v>
      </c>
      <c r="GR206" t="e">
        <f>AND('Planilla_General_03-12-2012_9_3'!G3293,"AAAAAHH9t8c=")</f>
        <v>#VALUE!</v>
      </c>
      <c r="GS206" t="e">
        <f>AND('Planilla_General_03-12-2012_9_3'!H3293,"AAAAAHH9t8g=")</f>
        <v>#VALUE!</v>
      </c>
      <c r="GT206" t="e">
        <f>AND('Planilla_General_03-12-2012_9_3'!I3293,"AAAAAHH9t8k=")</f>
        <v>#VALUE!</v>
      </c>
      <c r="GU206" t="e">
        <f>AND('Planilla_General_03-12-2012_9_3'!J3293,"AAAAAHH9t8o=")</f>
        <v>#VALUE!</v>
      </c>
      <c r="GV206" t="e">
        <f>AND('Planilla_General_03-12-2012_9_3'!K3293,"AAAAAHH9t8s=")</f>
        <v>#VALUE!</v>
      </c>
      <c r="GW206" t="e">
        <f>AND('Planilla_General_03-12-2012_9_3'!L3293,"AAAAAHH9t8w=")</f>
        <v>#VALUE!</v>
      </c>
      <c r="GX206" t="e">
        <f>AND('Planilla_General_03-12-2012_9_3'!M3293,"AAAAAHH9t80=")</f>
        <v>#VALUE!</v>
      </c>
      <c r="GY206" t="e">
        <f>AND('Planilla_General_03-12-2012_9_3'!N3293,"AAAAAHH9t84=")</f>
        <v>#VALUE!</v>
      </c>
      <c r="GZ206" t="e">
        <f>AND('Planilla_General_03-12-2012_9_3'!O3293,"AAAAAHH9t88=")</f>
        <v>#VALUE!</v>
      </c>
      <c r="HA206">
        <f>IF('Planilla_General_03-12-2012_9_3'!3294:3294,"AAAAAHH9t9A=",0)</f>
        <v>0</v>
      </c>
      <c r="HB206" t="e">
        <f>AND('Planilla_General_03-12-2012_9_3'!A3294,"AAAAAHH9t9E=")</f>
        <v>#VALUE!</v>
      </c>
      <c r="HC206" t="e">
        <f>AND('Planilla_General_03-12-2012_9_3'!B3294,"AAAAAHH9t9I=")</f>
        <v>#VALUE!</v>
      </c>
      <c r="HD206" t="e">
        <f>AND('Planilla_General_03-12-2012_9_3'!C3294,"AAAAAHH9t9M=")</f>
        <v>#VALUE!</v>
      </c>
      <c r="HE206" t="e">
        <f>AND('Planilla_General_03-12-2012_9_3'!D3294,"AAAAAHH9t9Q=")</f>
        <v>#VALUE!</v>
      </c>
      <c r="HF206" t="e">
        <f>AND('Planilla_General_03-12-2012_9_3'!E3294,"AAAAAHH9t9U=")</f>
        <v>#VALUE!</v>
      </c>
      <c r="HG206" t="e">
        <f>AND('Planilla_General_03-12-2012_9_3'!F3294,"AAAAAHH9t9Y=")</f>
        <v>#VALUE!</v>
      </c>
      <c r="HH206" t="e">
        <f>AND('Planilla_General_03-12-2012_9_3'!G3294,"AAAAAHH9t9c=")</f>
        <v>#VALUE!</v>
      </c>
      <c r="HI206" t="e">
        <f>AND('Planilla_General_03-12-2012_9_3'!H3294,"AAAAAHH9t9g=")</f>
        <v>#VALUE!</v>
      </c>
      <c r="HJ206" t="e">
        <f>AND('Planilla_General_03-12-2012_9_3'!I3294,"AAAAAHH9t9k=")</f>
        <v>#VALUE!</v>
      </c>
      <c r="HK206" t="e">
        <f>AND('Planilla_General_03-12-2012_9_3'!J3294,"AAAAAHH9t9o=")</f>
        <v>#VALUE!</v>
      </c>
      <c r="HL206" t="e">
        <f>AND('Planilla_General_03-12-2012_9_3'!K3294,"AAAAAHH9t9s=")</f>
        <v>#VALUE!</v>
      </c>
      <c r="HM206" t="e">
        <f>AND('Planilla_General_03-12-2012_9_3'!L3294,"AAAAAHH9t9w=")</f>
        <v>#VALUE!</v>
      </c>
      <c r="HN206" t="e">
        <f>AND('Planilla_General_03-12-2012_9_3'!M3294,"AAAAAHH9t90=")</f>
        <v>#VALUE!</v>
      </c>
      <c r="HO206" t="e">
        <f>AND('Planilla_General_03-12-2012_9_3'!N3294,"AAAAAHH9t94=")</f>
        <v>#VALUE!</v>
      </c>
      <c r="HP206" t="e">
        <f>AND('Planilla_General_03-12-2012_9_3'!O3294,"AAAAAHH9t98=")</f>
        <v>#VALUE!</v>
      </c>
      <c r="HQ206">
        <f>IF('Planilla_General_03-12-2012_9_3'!3295:3295,"AAAAAHH9t+A=",0)</f>
        <v>0</v>
      </c>
      <c r="HR206" t="e">
        <f>AND('Planilla_General_03-12-2012_9_3'!A3295,"AAAAAHH9t+E=")</f>
        <v>#VALUE!</v>
      </c>
      <c r="HS206" t="e">
        <f>AND('Planilla_General_03-12-2012_9_3'!B3295,"AAAAAHH9t+I=")</f>
        <v>#VALUE!</v>
      </c>
      <c r="HT206" t="e">
        <f>AND('Planilla_General_03-12-2012_9_3'!C3295,"AAAAAHH9t+M=")</f>
        <v>#VALUE!</v>
      </c>
      <c r="HU206" t="e">
        <f>AND('Planilla_General_03-12-2012_9_3'!D3295,"AAAAAHH9t+Q=")</f>
        <v>#VALUE!</v>
      </c>
      <c r="HV206" t="e">
        <f>AND('Planilla_General_03-12-2012_9_3'!E3295,"AAAAAHH9t+U=")</f>
        <v>#VALUE!</v>
      </c>
      <c r="HW206" t="e">
        <f>AND('Planilla_General_03-12-2012_9_3'!F3295,"AAAAAHH9t+Y=")</f>
        <v>#VALUE!</v>
      </c>
      <c r="HX206" t="e">
        <f>AND('Planilla_General_03-12-2012_9_3'!G3295,"AAAAAHH9t+c=")</f>
        <v>#VALUE!</v>
      </c>
      <c r="HY206" t="e">
        <f>AND('Planilla_General_03-12-2012_9_3'!H3295,"AAAAAHH9t+g=")</f>
        <v>#VALUE!</v>
      </c>
      <c r="HZ206" t="e">
        <f>AND('Planilla_General_03-12-2012_9_3'!I3295,"AAAAAHH9t+k=")</f>
        <v>#VALUE!</v>
      </c>
      <c r="IA206" t="e">
        <f>AND('Planilla_General_03-12-2012_9_3'!J3295,"AAAAAHH9t+o=")</f>
        <v>#VALUE!</v>
      </c>
      <c r="IB206" t="e">
        <f>AND('Planilla_General_03-12-2012_9_3'!K3295,"AAAAAHH9t+s=")</f>
        <v>#VALUE!</v>
      </c>
      <c r="IC206" t="e">
        <f>AND('Planilla_General_03-12-2012_9_3'!L3295,"AAAAAHH9t+w=")</f>
        <v>#VALUE!</v>
      </c>
      <c r="ID206" t="e">
        <f>AND('Planilla_General_03-12-2012_9_3'!M3295,"AAAAAHH9t+0=")</f>
        <v>#VALUE!</v>
      </c>
      <c r="IE206" t="e">
        <f>AND('Planilla_General_03-12-2012_9_3'!N3295,"AAAAAHH9t+4=")</f>
        <v>#VALUE!</v>
      </c>
      <c r="IF206" t="e">
        <f>AND('Planilla_General_03-12-2012_9_3'!O3295,"AAAAAHH9t+8=")</f>
        <v>#VALUE!</v>
      </c>
      <c r="IG206">
        <f>IF('Planilla_General_03-12-2012_9_3'!3296:3296,"AAAAAHH9t/A=",0)</f>
        <v>0</v>
      </c>
      <c r="IH206" t="e">
        <f>AND('Planilla_General_03-12-2012_9_3'!A3296,"AAAAAHH9t/E=")</f>
        <v>#VALUE!</v>
      </c>
      <c r="II206" t="e">
        <f>AND('Planilla_General_03-12-2012_9_3'!B3296,"AAAAAHH9t/I=")</f>
        <v>#VALUE!</v>
      </c>
      <c r="IJ206" t="e">
        <f>AND('Planilla_General_03-12-2012_9_3'!C3296,"AAAAAHH9t/M=")</f>
        <v>#VALUE!</v>
      </c>
      <c r="IK206" t="e">
        <f>AND('Planilla_General_03-12-2012_9_3'!D3296,"AAAAAHH9t/Q=")</f>
        <v>#VALUE!</v>
      </c>
      <c r="IL206" t="e">
        <f>AND('Planilla_General_03-12-2012_9_3'!E3296,"AAAAAHH9t/U=")</f>
        <v>#VALUE!</v>
      </c>
      <c r="IM206" t="e">
        <f>AND('Planilla_General_03-12-2012_9_3'!F3296,"AAAAAHH9t/Y=")</f>
        <v>#VALUE!</v>
      </c>
      <c r="IN206" t="e">
        <f>AND('Planilla_General_03-12-2012_9_3'!G3296,"AAAAAHH9t/c=")</f>
        <v>#VALUE!</v>
      </c>
      <c r="IO206" t="e">
        <f>AND('Planilla_General_03-12-2012_9_3'!H3296,"AAAAAHH9t/g=")</f>
        <v>#VALUE!</v>
      </c>
      <c r="IP206" t="e">
        <f>AND('Planilla_General_03-12-2012_9_3'!I3296,"AAAAAHH9t/k=")</f>
        <v>#VALUE!</v>
      </c>
      <c r="IQ206" t="e">
        <f>AND('Planilla_General_03-12-2012_9_3'!J3296,"AAAAAHH9t/o=")</f>
        <v>#VALUE!</v>
      </c>
      <c r="IR206" t="e">
        <f>AND('Planilla_General_03-12-2012_9_3'!K3296,"AAAAAHH9t/s=")</f>
        <v>#VALUE!</v>
      </c>
      <c r="IS206" t="e">
        <f>AND('Planilla_General_03-12-2012_9_3'!L3296,"AAAAAHH9t/w=")</f>
        <v>#VALUE!</v>
      </c>
      <c r="IT206" t="e">
        <f>AND('Planilla_General_03-12-2012_9_3'!M3296,"AAAAAHH9t/0=")</f>
        <v>#VALUE!</v>
      </c>
      <c r="IU206" t="e">
        <f>AND('Planilla_General_03-12-2012_9_3'!N3296,"AAAAAHH9t/4=")</f>
        <v>#VALUE!</v>
      </c>
      <c r="IV206" t="e">
        <f>AND('Planilla_General_03-12-2012_9_3'!O3296,"AAAAAHH9t/8=")</f>
        <v>#VALUE!</v>
      </c>
    </row>
    <row r="207" spans="1:256" x14ac:dyDescent="0.25">
      <c r="A207" t="e">
        <f>IF('Planilla_General_03-12-2012_9_3'!3297:3297,"AAAAAHf+/gA=",0)</f>
        <v>#VALUE!</v>
      </c>
      <c r="B207" t="e">
        <f>AND('Planilla_General_03-12-2012_9_3'!A3297,"AAAAAHf+/gE=")</f>
        <v>#VALUE!</v>
      </c>
      <c r="C207" t="e">
        <f>AND('Planilla_General_03-12-2012_9_3'!B3297,"AAAAAHf+/gI=")</f>
        <v>#VALUE!</v>
      </c>
      <c r="D207" t="e">
        <f>AND('Planilla_General_03-12-2012_9_3'!C3297,"AAAAAHf+/gM=")</f>
        <v>#VALUE!</v>
      </c>
      <c r="E207" t="e">
        <f>AND('Planilla_General_03-12-2012_9_3'!D3297,"AAAAAHf+/gQ=")</f>
        <v>#VALUE!</v>
      </c>
      <c r="F207" t="e">
        <f>AND('Planilla_General_03-12-2012_9_3'!E3297,"AAAAAHf+/gU=")</f>
        <v>#VALUE!</v>
      </c>
      <c r="G207" t="e">
        <f>AND('Planilla_General_03-12-2012_9_3'!F3297,"AAAAAHf+/gY=")</f>
        <v>#VALUE!</v>
      </c>
      <c r="H207" t="e">
        <f>AND('Planilla_General_03-12-2012_9_3'!G3297,"AAAAAHf+/gc=")</f>
        <v>#VALUE!</v>
      </c>
      <c r="I207" t="e">
        <f>AND('Planilla_General_03-12-2012_9_3'!H3297,"AAAAAHf+/gg=")</f>
        <v>#VALUE!</v>
      </c>
      <c r="J207" t="e">
        <f>AND('Planilla_General_03-12-2012_9_3'!I3297,"AAAAAHf+/gk=")</f>
        <v>#VALUE!</v>
      </c>
      <c r="K207" t="e">
        <f>AND('Planilla_General_03-12-2012_9_3'!J3297,"AAAAAHf+/go=")</f>
        <v>#VALUE!</v>
      </c>
      <c r="L207" t="e">
        <f>AND('Planilla_General_03-12-2012_9_3'!K3297,"AAAAAHf+/gs=")</f>
        <v>#VALUE!</v>
      </c>
      <c r="M207" t="e">
        <f>AND('Planilla_General_03-12-2012_9_3'!L3297,"AAAAAHf+/gw=")</f>
        <v>#VALUE!</v>
      </c>
      <c r="N207" t="e">
        <f>AND('Planilla_General_03-12-2012_9_3'!M3297,"AAAAAHf+/g0=")</f>
        <v>#VALUE!</v>
      </c>
      <c r="O207" t="e">
        <f>AND('Planilla_General_03-12-2012_9_3'!N3297,"AAAAAHf+/g4=")</f>
        <v>#VALUE!</v>
      </c>
      <c r="P207" t="e">
        <f>AND('Planilla_General_03-12-2012_9_3'!O3297,"AAAAAHf+/g8=")</f>
        <v>#VALUE!</v>
      </c>
      <c r="Q207">
        <f>IF('Planilla_General_03-12-2012_9_3'!3298:3298,"AAAAAHf+/hA=",0)</f>
        <v>0</v>
      </c>
      <c r="R207" t="e">
        <f>AND('Planilla_General_03-12-2012_9_3'!A3298,"AAAAAHf+/hE=")</f>
        <v>#VALUE!</v>
      </c>
      <c r="S207" t="e">
        <f>AND('Planilla_General_03-12-2012_9_3'!B3298,"AAAAAHf+/hI=")</f>
        <v>#VALUE!</v>
      </c>
      <c r="T207" t="e">
        <f>AND('Planilla_General_03-12-2012_9_3'!C3298,"AAAAAHf+/hM=")</f>
        <v>#VALUE!</v>
      </c>
      <c r="U207" t="e">
        <f>AND('Planilla_General_03-12-2012_9_3'!D3298,"AAAAAHf+/hQ=")</f>
        <v>#VALUE!</v>
      </c>
      <c r="V207" t="e">
        <f>AND('Planilla_General_03-12-2012_9_3'!E3298,"AAAAAHf+/hU=")</f>
        <v>#VALUE!</v>
      </c>
      <c r="W207" t="e">
        <f>AND('Planilla_General_03-12-2012_9_3'!F3298,"AAAAAHf+/hY=")</f>
        <v>#VALUE!</v>
      </c>
      <c r="X207" t="e">
        <f>AND('Planilla_General_03-12-2012_9_3'!G3298,"AAAAAHf+/hc=")</f>
        <v>#VALUE!</v>
      </c>
      <c r="Y207" t="e">
        <f>AND('Planilla_General_03-12-2012_9_3'!H3298,"AAAAAHf+/hg=")</f>
        <v>#VALUE!</v>
      </c>
      <c r="Z207" t="e">
        <f>AND('Planilla_General_03-12-2012_9_3'!I3298,"AAAAAHf+/hk=")</f>
        <v>#VALUE!</v>
      </c>
      <c r="AA207" t="e">
        <f>AND('Planilla_General_03-12-2012_9_3'!J3298,"AAAAAHf+/ho=")</f>
        <v>#VALUE!</v>
      </c>
      <c r="AB207" t="e">
        <f>AND('Planilla_General_03-12-2012_9_3'!K3298,"AAAAAHf+/hs=")</f>
        <v>#VALUE!</v>
      </c>
      <c r="AC207" t="e">
        <f>AND('Planilla_General_03-12-2012_9_3'!L3298,"AAAAAHf+/hw=")</f>
        <v>#VALUE!</v>
      </c>
      <c r="AD207" t="e">
        <f>AND('Planilla_General_03-12-2012_9_3'!M3298,"AAAAAHf+/h0=")</f>
        <v>#VALUE!</v>
      </c>
      <c r="AE207" t="e">
        <f>AND('Planilla_General_03-12-2012_9_3'!N3298,"AAAAAHf+/h4=")</f>
        <v>#VALUE!</v>
      </c>
      <c r="AF207" t="e">
        <f>AND('Planilla_General_03-12-2012_9_3'!O3298,"AAAAAHf+/h8=")</f>
        <v>#VALUE!</v>
      </c>
      <c r="AG207">
        <f>IF('Planilla_General_03-12-2012_9_3'!3299:3299,"AAAAAHf+/iA=",0)</f>
        <v>0</v>
      </c>
      <c r="AH207" t="e">
        <f>AND('Planilla_General_03-12-2012_9_3'!A3299,"AAAAAHf+/iE=")</f>
        <v>#VALUE!</v>
      </c>
      <c r="AI207" t="e">
        <f>AND('Planilla_General_03-12-2012_9_3'!B3299,"AAAAAHf+/iI=")</f>
        <v>#VALUE!</v>
      </c>
      <c r="AJ207" t="e">
        <f>AND('Planilla_General_03-12-2012_9_3'!C3299,"AAAAAHf+/iM=")</f>
        <v>#VALUE!</v>
      </c>
      <c r="AK207" t="e">
        <f>AND('Planilla_General_03-12-2012_9_3'!D3299,"AAAAAHf+/iQ=")</f>
        <v>#VALUE!</v>
      </c>
      <c r="AL207" t="e">
        <f>AND('Planilla_General_03-12-2012_9_3'!E3299,"AAAAAHf+/iU=")</f>
        <v>#VALUE!</v>
      </c>
      <c r="AM207" t="e">
        <f>AND('Planilla_General_03-12-2012_9_3'!F3299,"AAAAAHf+/iY=")</f>
        <v>#VALUE!</v>
      </c>
      <c r="AN207" t="e">
        <f>AND('Planilla_General_03-12-2012_9_3'!G3299,"AAAAAHf+/ic=")</f>
        <v>#VALUE!</v>
      </c>
      <c r="AO207" t="e">
        <f>AND('Planilla_General_03-12-2012_9_3'!H3299,"AAAAAHf+/ig=")</f>
        <v>#VALUE!</v>
      </c>
      <c r="AP207" t="e">
        <f>AND('Planilla_General_03-12-2012_9_3'!I3299,"AAAAAHf+/ik=")</f>
        <v>#VALUE!</v>
      </c>
      <c r="AQ207" t="e">
        <f>AND('Planilla_General_03-12-2012_9_3'!J3299,"AAAAAHf+/io=")</f>
        <v>#VALUE!</v>
      </c>
      <c r="AR207" t="e">
        <f>AND('Planilla_General_03-12-2012_9_3'!K3299,"AAAAAHf+/is=")</f>
        <v>#VALUE!</v>
      </c>
      <c r="AS207" t="e">
        <f>AND('Planilla_General_03-12-2012_9_3'!L3299,"AAAAAHf+/iw=")</f>
        <v>#VALUE!</v>
      </c>
      <c r="AT207" t="e">
        <f>AND('Planilla_General_03-12-2012_9_3'!M3299,"AAAAAHf+/i0=")</f>
        <v>#VALUE!</v>
      </c>
      <c r="AU207" t="e">
        <f>AND('Planilla_General_03-12-2012_9_3'!N3299,"AAAAAHf+/i4=")</f>
        <v>#VALUE!</v>
      </c>
      <c r="AV207" t="e">
        <f>AND('Planilla_General_03-12-2012_9_3'!O3299,"AAAAAHf+/i8=")</f>
        <v>#VALUE!</v>
      </c>
      <c r="AW207">
        <f>IF('Planilla_General_03-12-2012_9_3'!3300:3300,"AAAAAHf+/jA=",0)</f>
        <v>0</v>
      </c>
      <c r="AX207" t="e">
        <f>AND('Planilla_General_03-12-2012_9_3'!A3300,"AAAAAHf+/jE=")</f>
        <v>#VALUE!</v>
      </c>
      <c r="AY207" t="e">
        <f>AND('Planilla_General_03-12-2012_9_3'!B3300,"AAAAAHf+/jI=")</f>
        <v>#VALUE!</v>
      </c>
      <c r="AZ207" t="e">
        <f>AND('Planilla_General_03-12-2012_9_3'!C3300,"AAAAAHf+/jM=")</f>
        <v>#VALUE!</v>
      </c>
      <c r="BA207" t="e">
        <f>AND('Planilla_General_03-12-2012_9_3'!D3300,"AAAAAHf+/jQ=")</f>
        <v>#VALUE!</v>
      </c>
      <c r="BB207" t="e">
        <f>AND('Planilla_General_03-12-2012_9_3'!E3300,"AAAAAHf+/jU=")</f>
        <v>#VALUE!</v>
      </c>
      <c r="BC207" t="e">
        <f>AND('Planilla_General_03-12-2012_9_3'!F3300,"AAAAAHf+/jY=")</f>
        <v>#VALUE!</v>
      </c>
      <c r="BD207" t="e">
        <f>AND('Planilla_General_03-12-2012_9_3'!G3300,"AAAAAHf+/jc=")</f>
        <v>#VALUE!</v>
      </c>
      <c r="BE207" t="e">
        <f>AND('Planilla_General_03-12-2012_9_3'!H3300,"AAAAAHf+/jg=")</f>
        <v>#VALUE!</v>
      </c>
      <c r="BF207" t="e">
        <f>AND('Planilla_General_03-12-2012_9_3'!I3300,"AAAAAHf+/jk=")</f>
        <v>#VALUE!</v>
      </c>
      <c r="BG207" t="e">
        <f>AND('Planilla_General_03-12-2012_9_3'!J3300,"AAAAAHf+/jo=")</f>
        <v>#VALUE!</v>
      </c>
      <c r="BH207" t="e">
        <f>AND('Planilla_General_03-12-2012_9_3'!K3300,"AAAAAHf+/js=")</f>
        <v>#VALUE!</v>
      </c>
      <c r="BI207" t="e">
        <f>AND('Planilla_General_03-12-2012_9_3'!L3300,"AAAAAHf+/jw=")</f>
        <v>#VALUE!</v>
      </c>
      <c r="BJ207" t="e">
        <f>AND('Planilla_General_03-12-2012_9_3'!M3300,"AAAAAHf+/j0=")</f>
        <v>#VALUE!</v>
      </c>
      <c r="BK207" t="e">
        <f>AND('Planilla_General_03-12-2012_9_3'!N3300,"AAAAAHf+/j4=")</f>
        <v>#VALUE!</v>
      </c>
      <c r="BL207" t="e">
        <f>AND('Planilla_General_03-12-2012_9_3'!O3300,"AAAAAHf+/j8=")</f>
        <v>#VALUE!</v>
      </c>
      <c r="BM207">
        <f>IF('Planilla_General_03-12-2012_9_3'!3301:3301,"AAAAAHf+/kA=",0)</f>
        <v>0</v>
      </c>
      <c r="BN207" t="e">
        <f>AND('Planilla_General_03-12-2012_9_3'!A3301,"AAAAAHf+/kE=")</f>
        <v>#VALUE!</v>
      </c>
      <c r="BO207" t="e">
        <f>AND('Planilla_General_03-12-2012_9_3'!B3301,"AAAAAHf+/kI=")</f>
        <v>#VALUE!</v>
      </c>
      <c r="BP207" t="e">
        <f>AND('Planilla_General_03-12-2012_9_3'!C3301,"AAAAAHf+/kM=")</f>
        <v>#VALUE!</v>
      </c>
      <c r="BQ207" t="e">
        <f>AND('Planilla_General_03-12-2012_9_3'!D3301,"AAAAAHf+/kQ=")</f>
        <v>#VALUE!</v>
      </c>
      <c r="BR207" t="e">
        <f>AND('Planilla_General_03-12-2012_9_3'!E3301,"AAAAAHf+/kU=")</f>
        <v>#VALUE!</v>
      </c>
      <c r="BS207" t="e">
        <f>AND('Planilla_General_03-12-2012_9_3'!F3301,"AAAAAHf+/kY=")</f>
        <v>#VALUE!</v>
      </c>
      <c r="BT207" t="e">
        <f>AND('Planilla_General_03-12-2012_9_3'!G3301,"AAAAAHf+/kc=")</f>
        <v>#VALUE!</v>
      </c>
      <c r="BU207" t="e">
        <f>AND('Planilla_General_03-12-2012_9_3'!H3301,"AAAAAHf+/kg=")</f>
        <v>#VALUE!</v>
      </c>
      <c r="BV207" t="e">
        <f>AND('Planilla_General_03-12-2012_9_3'!I3301,"AAAAAHf+/kk=")</f>
        <v>#VALUE!</v>
      </c>
      <c r="BW207" t="e">
        <f>AND('Planilla_General_03-12-2012_9_3'!J3301,"AAAAAHf+/ko=")</f>
        <v>#VALUE!</v>
      </c>
      <c r="BX207" t="e">
        <f>AND('Planilla_General_03-12-2012_9_3'!K3301,"AAAAAHf+/ks=")</f>
        <v>#VALUE!</v>
      </c>
      <c r="BY207" t="e">
        <f>AND('Planilla_General_03-12-2012_9_3'!L3301,"AAAAAHf+/kw=")</f>
        <v>#VALUE!</v>
      </c>
      <c r="BZ207" t="e">
        <f>AND('Planilla_General_03-12-2012_9_3'!M3301,"AAAAAHf+/k0=")</f>
        <v>#VALUE!</v>
      </c>
      <c r="CA207" t="e">
        <f>AND('Planilla_General_03-12-2012_9_3'!N3301,"AAAAAHf+/k4=")</f>
        <v>#VALUE!</v>
      </c>
      <c r="CB207" t="e">
        <f>AND('Planilla_General_03-12-2012_9_3'!O3301,"AAAAAHf+/k8=")</f>
        <v>#VALUE!</v>
      </c>
      <c r="CC207">
        <f>IF('Planilla_General_03-12-2012_9_3'!3302:3302,"AAAAAHf+/lA=",0)</f>
        <v>0</v>
      </c>
      <c r="CD207" t="e">
        <f>AND('Planilla_General_03-12-2012_9_3'!A3302,"AAAAAHf+/lE=")</f>
        <v>#VALUE!</v>
      </c>
      <c r="CE207" t="e">
        <f>AND('Planilla_General_03-12-2012_9_3'!B3302,"AAAAAHf+/lI=")</f>
        <v>#VALUE!</v>
      </c>
      <c r="CF207" t="e">
        <f>AND('Planilla_General_03-12-2012_9_3'!C3302,"AAAAAHf+/lM=")</f>
        <v>#VALUE!</v>
      </c>
      <c r="CG207" t="e">
        <f>AND('Planilla_General_03-12-2012_9_3'!D3302,"AAAAAHf+/lQ=")</f>
        <v>#VALUE!</v>
      </c>
      <c r="CH207" t="e">
        <f>AND('Planilla_General_03-12-2012_9_3'!E3302,"AAAAAHf+/lU=")</f>
        <v>#VALUE!</v>
      </c>
      <c r="CI207" t="e">
        <f>AND('Planilla_General_03-12-2012_9_3'!F3302,"AAAAAHf+/lY=")</f>
        <v>#VALUE!</v>
      </c>
      <c r="CJ207" t="e">
        <f>AND('Planilla_General_03-12-2012_9_3'!G3302,"AAAAAHf+/lc=")</f>
        <v>#VALUE!</v>
      </c>
      <c r="CK207" t="e">
        <f>AND('Planilla_General_03-12-2012_9_3'!H3302,"AAAAAHf+/lg=")</f>
        <v>#VALUE!</v>
      </c>
      <c r="CL207" t="e">
        <f>AND('Planilla_General_03-12-2012_9_3'!I3302,"AAAAAHf+/lk=")</f>
        <v>#VALUE!</v>
      </c>
      <c r="CM207" t="e">
        <f>AND('Planilla_General_03-12-2012_9_3'!J3302,"AAAAAHf+/lo=")</f>
        <v>#VALUE!</v>
      </c>
      <c r="CN207" t="e">
        <f>AND('Planilla_General_03-12-2012_9_3'!K3302,"AAAAAHf+/ls=")</f>
        <v>#VALUE!</v>
      </c>
      <c r="CO207" t="e">
        <f>AND('Planilla_General_03-12-2012_9_3'!L3302,"AAAAAHf+/lw=")</f>
        <v>#VALUE!</v>
      </c>
      <c r="CP207" t="e">
        <f>AND('Planilla_General_03-12-2012_9_3'!M3302,"AAAAAHf+/l0=")</f>
        <v>#VALUE!</v>
      </c>
      <c r="CQ207" t="e">
        <f>AND('Planilla_General_03-12-2012_9_3'!N3302,"AAAAAHf+/l4=")</f>
        <v>#VALUE!</v>
      </c>
      <c r="CR207" t="e">
        <f>AND('Planilla_General_03-12-2012_9_3'!O3302,"AAAAAHf+/l8=")</f>
        <v>#VALUE!</v>
      </c>
      <c r="CS207">
        <f>IF('Planilla_General_03-12-2012_9_3'!3303:3303,"AAAAAHf+/mA=",0)</f>
        <v>0</v>
      </c>
      <c r="CT207" t="e">
        <f>AND('Planilla_General_03-12-2012_9_3'!A3303,"AAAAAHf+/mE=")</f>
        <v>#VALUE!</v>
      </c>
      <c r="CU207" t="e">
        <f>AND('Planilla_General_03-12-2012_9_3'!B3303,"AAAAAHf+/mI=")</f>
        <v>#VALUE!</v>
      </c>
      <c r="CV207" t="e">
        <f>AND('Planilla_General_03-12-2012_9_3'!C3303,"AAAAAHf+/mM=")</f>
        <v>#VALUE!</v>
      </c>
      <c r="CW207" t="e">
        <f>AND('Planilla_General_03-12-2012_9_3'!D3303,"AAAAAHf+/mQ=")</f>
        <v>#VALUE!</v>
      </c>
      <c r="CX207" t="e">
        <f>AND('Planilla_General_03-12-2012_9_3'!E3303,"AAAAAHf+/mU=")</f>
        <v>#VALUE!</v>
      </c>
      <c r="CY207" t="e">
        <f>AND('Planilla_General_03-12-2012_9_3'!F3303,"AAAAAHf+/mY=")</f>
        <v>#VALUE!</v>
      </c>
      <c r="CZ207" t="e">
        <f>AND('Planilla_General_03-12-2012_9_3'!G3303,"AAAAAHf+/mc=")</f>
        <v>#VALUE!</v>
      </c>
      <c r="DA207" t="e">
        <f>AND('Planilla_General_03-12-2012_9_3'!H3303,"AAAAAHf+/mg=")</f>
        <v>#VALUE!</v>
      </c>
      <c r="DB207" t="e">
        <f>AND('Planilla_General_03-12-2012_9_3'!I3303,"AAAAAHf+/mk=")</f>
        <v>#VALUE!</v>
      </c>
      <c r="DC207" t="e">
        <f>AND('Planilla_General_03-12-2012_9_3'!J3303,"AAAAAHf+/mo=")</f>
        <v>#VALUE!</v>
      </c>
      <c r="DD207" t="e">
        <f>AND('Planilla_General_03-12-2012_9_3'!K3303,"AAAAAHf+/ms=")</f>
        <v>#VALUE!</v>
      </c>
      <c r="DE207" t="e">
        <f>AND('Planilla_General_03-12-2012_9_3'!L3303,"AAAAAHf+/mw=")</f>
        <v>#VALUE!</v>
      </c>
      <c r="DF207" t="e">
        <f>AND('Planilla_General_03-12-2012_9_3'!M3303,"AAAAAHf+/m0=")</f>
        <v>#VALUE!</v>
      </c>
      <c r="DG207" t="e">
        <f>AND('Planilla_General_03-12-2012_9_3'!N3303,"AAAAAHf+/m4=")</f>
        <v>#VALUE!</v>
      </c>
      <c r="DH207" t="e">
        <f>AND('Planilla_General_03-12-2012_9_3'!O3303,"AAAAAHf+/m8=")</f>
        <v>#VALUE!</v>
      </c>
      <c r="DI207">
        <f>IF('Planilla_General_03-12-2012_9_3'!3304:3304,"AAAAAHf+/nA=",0)</f>
        <v>0</v>
      </c>
      <c r="DJ207" t="e">
        <f>AND('Planilla_General_03-12-2012_9_3'!A3304,"AAAAAHf+/nE=")</f>
        <v>#VALUE!</v>
      </c>
      <c r="DK207" t="e">
        <f>AND('Planilla_General_03-12-2012_9_3'!B3304,"AAAAAHf+/nI=")</f>
        <v>#VALUE!</v>
      </c>
      <c r="DL207" t="e">
        <f>AND('Planilla_General_03-12-2012_9_3'!C3304,"AAAAAHf+/nM=")</f>
        <v>#VALUE!</v>
      </c>
      <c r="DM207" t="e">
        <f>AND('Planilla_General_03-12-2012_9_3'!D3304,"AAAAAHf+/nQ=")</f>
        <v>#VALUE!</v>
      </c>
      <c r="DN207" t="e">
        <f>AND('Planilla_General_03-12-2012_9_3'!E3304,"AAAAAHf+/nU=")</f>
        <v>#VALUE!</v>
      </c>
      <c r="DO207" t="e">
        <f>AND('Planilla_General_03-12-2012_9_3'!F3304,"AAAAAHf+/nY=")</f>
        <v>#VALUE!</v>
      </c>
      <c r="DP207" t="e">
        <f>AND('Planilla_General_03-12-2012_9_3'!G3304,"AAAAAHf+/nc=")</f>
        <v>#VALUE!</v>
      </c>
      <c r="DQ207" t="e">
        <f>AND('Planilla_General_03-12-2012_9_3'!H3304,"AAAAAHf+/ng=")</f>
        <v>#VALUE!</v>
      </c>
      <c r="DR207" t="e">
        <f>AND('Planilla_General_03-12-2012_9_3'!I3304,"AAAAAHf+/nk=")</f>
        <v>#VALUE!</v>
      </c>
      <c r="DS207" t="e">
        <f>AND('Planilla_General_03-12-2012_9_3'!J3304,"AAAAAHf+/no=")</f>
        <v>#VALUE!</v>
      </c>
      <c r="DT207" t="e">
        <f>AND('Planilla_General_03-12-2012_9_3'!K3304,"AAAAAHf+/ns=")</f>
        <v>#VALUE!</v>
      </c>
      <c r="DU207" t="e">
        <f>AND('Planilla_General_03-12-2012_9_3'!L3304,"AAAAAHf+/nw=")</f>
        <v>#VALUE!</v>
      </c>
      <c r="DV207" t="e">
        <f>AND('Planilla_General_03-12-2012_9_3'!M3304,"AAAAAHf+/n0=")</f>
        <v>#VALUE!</v>
      </c>
      <c r="DW207" t="e">
        <f>AND('Planilla_General_03-12-2012_9_3'!N3304,"AAAAAHf+/n4=")</f>
        <v>#VALUE!</v>
      </c>
      <c r="DX207" t="e">
        <f>AND('Planilla_General_03-12-2012_9_3'!O3304,"AAAAAHf+/n8=")</f>
        <v>#VALUE!</v>
      </c>
      <c r="DY207">
        <f>IF('Planilla_General_03-12-2012_9_3'!3305:3305,"AAAAAHf+/oA=",0)</f>
        <v>0</v>
      </c>
      <c r="DZ207" t="e">
        <f>AND('Planilla_General_03-12-2012_9_3'!A3305,"AAAAAHf+/oE=")</f>
        <v>#VALUE!</v>
      </c>
      <c r="EA207" t="e">
        <f>AND('Planilla_General_03-12-2012_9_3'!B3305,"AAAAAHf+/oI=")</f>
        <v>#VALUE!</v>
      </c>
      <c r="EB207" t="e">
        <f>AND('Planilla_General_03-12-2012_9_3'!C3305,"AAAAAHf+/oM=")</f>
        <v>#VALUE!</v>
      </c>
      <c r="EC207" t="e">
        <f>AND('Planilla_General_03-12-2012_9_3'!D3305,"AAAAAHf+/oQ=")</f>
        <v>#VALUE!</v>
      </c>
      <c r="ED207" t="e">
        <f>AND('Planilla_General_03-12-2012_9_3'!E3305,"AAAAAHf+/oU=")</f>
        <v>#VALUE!</v>
      </c>
      <c r="EE207" t="e">
        <f>AND('Planilla_General_03-12-2012_9_3'!F3305,"AAAAAHf+/oY=")</f>
        <v>#VALUE!</v>
      </c>
      <c r="EF207" t="e">
        <f>AND('Planilla_General_03-12-2012_9_3'!G3305,"AAAAAHf+/oc=")</f>
        <v>#VALUE!</v>
      </c>
      <c r="EG207" t="e">
        <f>AND('Planilla_General_03-12-2012_9_3'!H3305,"AAAAAHf+/og=")</f>
        <v>#VALUE!</v>
      </c>
      <c r="EH207" t="e">
        <f>AND('Planilla_General_03-12-2012_9_3'!I3305,"AAAAAHf+/ok=")</f>
        <v>#VALUE!</v>
      </c>
      <c r="EI207" t="e">
        <f>AND('Planilla_General_03-12-2012_9_3'!J3305,"AAAAAHf+/oo=")</f>
        <v>#VALUE!</v>
      </c>
      <c r="EJ207" t="e">
        <f>AND('Planilla_General_03-12-2012_9_3'!K3305,"AAAAAHf+/os=")</f>
        <v>#VALUE!</v>
      </c>
      <c r="EK207" t="e">
        <f>AND('Planilla_General_03-12-2012_9_3'!L3305,"AAAAAHf+/ow=")</f>
        <v>#VALUE!</v>
      </c>
      <c r="EL207" t="e">
        <f>AND('Planilla_General_03-12-2012_9_3'!M3305,"AAAAAHf+/o0=")</f>
        <v>#VALUE!</v>
      </c>
      <c r="EM207" t="e">
        <f>AND('Planilla_General_03-12-2012_9_3'!N3305,"AAAAAHf+/o4=")</f>
        <v>#VALUE!</v>
      </c>
      <c r="EN207" t="e">
        <f>AND('Planilla_General_03-12-2012_9_3'!O3305,"AAAAAHf+/o8=")</f>
        <v>#VALUE!</v>
      </c>
      <c r="EO207">
        <f>IF('Planilla_General_03-12-2012_9_3'!3306:3306,"AAAAAHf+/pA=",0)</f>
        <v>0</v>
      </c>
      <c r="EP207" t="e">
        <f>AND('Planilla_General_03-12-2012_9_3'!A3306,"AAAAAHf+/pE=")</f>
        <v>#VALUE!</v>
      </c>
      <c r="EQ207" t="e">
        <f>AND('Planilla_General_03-12-2012_9_3'!B3306,"AAAAAHf+/pI=")</f>
        <v>#VALUE!</v>
      </c>
      <c r="ER207" t="e">
        <f>AND('Planilla_General_03-12-2012_9_3'!C3306,"AAAAAHf+/pM=")</f>
        <v>#VALUE!</v>
      </c>
      <c r="ES207" t="e">
        <f>AND('Planilla_General_03-12-2012_9_3'!D3306,"AAAAAHf+/pQ=")</f>
        <v>#VALUE!</v>
      </c>
      <c r="ET207" t="e">
        <f>AND('Planilla_General_03-12-2012_9_3'!E3306,"AAAAAHf+/pU=")</f>
        <v>#VALUE!</v>
      </c>
      <c r="EU207" t="e">
        <f>AND('Planilla_General_03-12-2012_9_3'!F3306,"AAAAAHf+/pY=")</f>
        <v>#VALUE!</v>
      </c>
      <c r="EV207" t="e">
        <f>AND('Planilla_General_03-12-2012_9_3'!G3306,"AAAAAHf+/pc=")</f>
        <v>#VALUE!</v>
      </c>
      <c r="EW207" t="e">
        <f>AND('Planilla_General_03-12-2012_9_3'!H3306,"AAAAAHf+/pg=")</f>
        <v>#VALUE!</v>
      </c>
      <c r="EX207" t="e">
        <f>AND('Planilla_General_03-12-2012_9_3'!I3306,"AAAAAHf+/pk=")</f>
        <v>#VALUE!</v>
      </c>
      <c r="EY207" t="e">
        <f>AND('Planilla_General_03-12-2012_9_3'!J3306,"AAAAAHf+/po=")</f>
        <v>#VALUE!</v>
      </c>
      <c r="EZ207" t="e">
        <f>AND('Planilla_General_03-12-2012_9_3'!K3306,"AAAAAHf+/ps=")</f>
        <v>#VALUE!</v>
      </c>
      <c r="FA207" t="e">
        <f>AND('Planilla_General_03-12-2012_9_3'!L3306,"AAAAAHf+/pw=")</f>
        <v>#VALUE!</v>
      </c>
      <c r="FB207" t="e">
        <f>AND('Planilla_General_03-12-2012_9_3'!M3306,"AAAAAHf+/p0=")</f>
        <v>#VALUE!</v>
      </c>
      <c r="FC207" t="e">
        <f>AND('Planilla_General_03-12-2012_9_3'!N3306,"AAAAAHf+/p4=")</f>
        <v>#VALUE!</v>
      </c>
      <c r="FD207" t="e">
        <f>AND('Planilla_General_03-12-2012_9_3'!O3306,"AAAAAHf+/p8=")</f>
        <v>#VALUE!</v>
      </c>
      <c r="FE207">
        <f>IF('Planilla_General_03-12-2012_9_3'!3307:3307,"AAAAAHf+/qA=",0)</f>
        <v>0</v>
      </c>
      <c r="FF207" t="e">
        <f>AND('Planilla_General_03-12-2012_9_3'!A3307,"AAAAAHf+/qE=")</f>
        <v>#VALUE!</v>
      </c>
      <c r="FG207" t="e">
        <f>AND('Planilla_General_03-12-2012_9_3'!B3307,"AAAAAHf+/qI=")</f>
        <v>#VALUE!</v>
      </c>
      <c r="FH207" t="e">
        <f>AND('Planilla_General_03-12-2012_9_3'!C3307,"AAAAAHf+/qM=")</f>
        <v>#VALUE!</v>
      </c>
      <c r="FI207" t="e">
        <f>AND('Planilla_General_03-12-2012_9_3'!D3307,"AAAAAHf+/qQ=")</f>
        <v>#VALUE!</v>
      </c>
      <c r="FJ207" t="e">
        <f>AND('Planilla_General_03-12-2012_9_3'!E3307,"AAAAAHf+/qU=")</f>
        <v>#VALUE!</v>
      </c>
      <c r="FK207" t="e">
        <f>AND('Planilla_General_03-12-2012_9_3'!F3307,"AAAAAHf+/qY=")</f>
        <v>#VALUE!</v>
      </c>
      <c r="FL207" t="e">
        <f>AND('Planilla_General_03-12-2012_9_3'!G3307,"AAAAAHf+/qc=")</f>
        <v>#VALUE!</v>
      </c>
      <c r="FM207" t="e">
        <f>AND('Planilla_General_03-12-2012_9_3'!H3307,"AAAAAHf+/qg=")</f>
        <v>#VALUE!</v>
      </c>
      <c r="FN207" t="e">
        <f>AND('Planilla_General_03-12-2012_9_3'!I3307,"AAAAAHf+/qk=")</f>
        <v>#VALUE!</v>
      </c>
      <c r="FO207" t="e">
        <f>AND('Planilla_General_03-12-2012_9_3'!J3307,"AAAAAHf+/qo=")</f>
        <v>#VALUE!</v>
      </c>
      <c r="FP207" t="e">
        <f>AND('Planilla_General_03-12-2012_9_3'!K3307,"AAAAAHf+/qs=")</f>
        <v>#VALUE!</v>
      </c>
      <c r="FQ207" t="e">
        <f>AND('Planilla_General_03-12-2012_9_3'!L3307,"AAAAAHf+/qw=")</f>
        <v>#VALUE!</v>
      </c>
      <c r="FR207" t="e">
        <f>AND('Planilla_General_03-12-2012_9_3'!M3307,"AAAAAHf+/q0=")</f>
        <v>#VALUE!</v>
      </c>
      <c r="FS207" t="e">
        <f>AND('Planilla_General_03-12-2012_9_3'!N3307,"AAAAAHf+/q4=")</f>
        <v>#VALUE!</v>
      </c>
      <c r="FT207" t="e">
        <f>AND('Planilla_General_03-12-2012_9_3'!O3307,"AAAAAHf+/q8=")</f>
        <v>#VALUE!</v>
      </c>
      <c r="FU207">
        <f>IF('Planilla_General_03-12-2012_9_3'!3308:3308,"AAAAAHf+/rA=",0)</f>
        <v>0</v>
      </c>
      <c r="FV207" t="e">
        <f>AND('Planilla_General_03-12-2012_9_3'!A3308,"AAAAAHf+/rE=")</f>
        <v>#VALUE!</v>
      </c>
      <c r="FW207" t="e">
        <f>AND('Planilla_General_03-12-2012_9_3'!B3308,"AAAAAHf+/rI=")</f>
        <v>#VALUE!</v>
      </c>
      <c r="FX207" t="e">
        <f>AND('Planilla_General_03-12-2012_9_3'!C3308,"AAAAAHf+/rM=")</f>
        <v>#VALUE!</v>
      </c>
      <c r="FY207" t="e">
        <f>AND('Planilla_General_03-12-2012_9_3'!D3308,"AAAAAHf+/rQ=")</f>
        <v>#VALUE!</v>
      </c>
      <c r="FZ207" t="e">
        <f>AND('Planilla_General_03-12-2012_9_3'!E3308,"AAAAAHf+/rU=")</f>
        <v>#VALUE!</v>
      </c>
      <c r="GA207" t="e">
        <f>AND('Planilla_General_03-12-2012_9_3'!F3308,"AAAAAHf+/rY=")</f>
        <v>#VALUE!</v>
      </c>
      <c r="GB207" t="e">
        <f>AND('Planilla_General_03-12-2012_9_3'!G3308,"AAAAAHf+/rc=")</f>
        <v>#VALUE!</v>
      </c>
      <c r="GC207" t="e">
        <f>AND('Planilla_General_03-12-2012_9_3'!H3308,"AAAAAHf+/rg=")</f>
        <v>#VALUE!</v>
      </c>
      <c r="GD207" t="e">
        <f>AND('Planilla_General_03-12-2012_9_3'!I3308,"AAAAAHf+/rk=")</f>
        <v>#VALUE!</v>
      </c>
      <c r="GE207" t="e">
        <f>AND('Planilla_General_03-12-2012_9_3'!J3308,"AAAAAHf+/ro=")</f>
        <v>#VALUE!</v>
      </c>
      <c r="GF207" t="e">
        <f>AND('Planilla_General_03-12-2012_9_3'!K3308,"AAAAAHf+/rs=")</f>
        <v>#VALUE!</v>
      </c>
      <c r="GG207" t="e">
        <f>AND('Planilla_General_03-12-2012_9_3'!L3308,"AAAAAHf+/rw=")</f>
        <v>#VALUE!</v>
      </c>
      <c r="GH207" t="e">
        <f>AND('Planilla_General_03-12-2012_9_3'!M3308,"AAAAAHf+/r0=")</f>
        <v>#VALUE!</v>
      </c>
      <c r="GI207" t="e">
        <f>AND('Planilla_General_03-12-2012_9_3'!N3308,"AAAAAHf+/r4=")</f>
        <v>#VALUE!</v>
      </c>
      <c r="GJ207" t="e">
        <f>AND('Planilla_General_03-12-2012_9_3'!O3308,"AAAAAHf+/r8=")</f>
        <v>#VALUE!</v>
      </c>
      <c r="GK207">
        <f>IF('Planilla_General_03-12-2012_9_3'!3309:3309,"AAAAAHf+/sA=",0)</f>
        <v>0</v>
      </c>
      <c r="GL207" t="e">
        <f>AND('Planilla_General_03-12-2012_9_3'!A3309,"AAAAAHf+/sE=")</f>
        <v>#VALUE!</v>
      </c>
      <c r="GM207" t="e">
        <f>AND('Planilla_General_03-12-2012_9_3'!B3309,"AAAAAHf+/sI=")</f>
        <v>#VALUE!</v>
      </c>
      <c r="GN207" t="e">
        <f>AND('Planilla_General_03-12-2012_9_3'!C3309,"AAAAAHf+/sM=")</f>
        <v>#VALUE!</v>
      </c>
      <c r="GO207" t="e">
        <f>AND('Planilla_General_03-12-2012_9_3'!D3309,"AAAAAHf+/sQ=")</f>
        <v>#VALUE!</v>
      </c>
      <c r="GP207" t="e">
        <f>AND('Planilla_General_03-12-2012_9_3'!E3309,"AAAAAHf+/sU=")</f>
        <v>#VALUE!</v>
      </c>
      <c r="GQ207" t="e">
        <f>AND('Planilla_General_03-12-2012_9_3'!F3309,"AAAAAHf+/sY=")</f>
        <v>#VALUE!</v>
      </c>
      <c r="GR207" t="e">
        <f>AND('Planilla_General_03-12-2012_9_3'!G3309,"AAAAAHf+/sc=")</f>
        <v>#VALUE!</v>
      </c>
      <c r="GS207" t="e">
        <f>AND('Planilla_General_03-12-2012_9_3'!H3309,"AAAAAHf+/sg=")</f>
        <v>#VALUE!</v>
      </c>
      <c r="GT207" t="e">
        <f>AND('Planilla_General_03-12-2012_9_3'!I3309,"AAAAAHf+/sk=")</f>
        <v>#VALUE!</v>
      </c>
      <c r="GU207" t="e">
        <f>AND('Planilla_General_03-12-2012_9_3'!J3309,"AAAAAHf+/so=")</f>
        <v>#VALUE!</v>
      </c>
      <c r="GV207" t="e">
        <f>AND('Planilla_General_03-12-2012_9_3'!K3309,"AAAAAHf+/ss=")</f>
        <v>#VALUE!</v>
      </c>
      <c r="GW207" t="e">
        <f>AND('Planilla_General_03-12-2012_9_3'!L3309,"AAAAAHf+/sw=")</f>
        <v>#VALUE!</v>
      </c>
      <c r="GX207" t="e">
        <f>AND('Planilla_General_03-12-2012_9_3'!M3309,"AAAAAHf+/s0=")</f>
        <v>#VALUE!</v>
      </c>
      <c r="GY207" t="e">
        <f>AND('Planilla_General_03-12-2012_9_3'!N3309,"AAAAAHf+/s4=")</f>
        <v>#VALUE!</v>
      </c>
      <c r="GZ207" t="e">
        <f>AND('Planilla_General_03-12-2012_9_3'!O3309,"AAAAAHf+/s8=")</f>
        <v>#VALUE!</v>
      </c>
      <c r="HA207">
        <f>IF('Planilla_General_03-12-2012_9_3'!3310:3310,"AAAAAHf+/tA=",0)</f>
        <v>0</v>
      </c>
      <c r="HB207" t="e">
        <f>AND('Planilla_General_03-12-2012_9_3'!A3310,"AAAAAHf+/tE=")</f>
        <v>#VALUE!</v>
      </c>
      <c r="HC207" t="e">
        <f>AND('Planilla_General_03-12-2012_9_3'!B3310,"AAAAAHf+/tI=")</f>
        <v>#VALUE!</v>
      </c>
      <c r="HD207" t="e">
        <f>AND('Planilla_General_03-12-2012_9_3'!C3310,"AAAAAHf+/tM=")</f>
        <v>#VALUE!</v>
      </c>
      <c r="HE207" t="e">
        <f>AND('Planilla_General_03-12-2012_9_3'!D3310,"AAAAAHf+/tQ=")</f>
        <v>#VALUE!</v>
      </c>
      <c r="HF207" t="e">
        <f>AND('Planilla_General_03-12-2012_9_3'!E3310,"AAAAAHf+/tU=")</f>
        <v>#VALUE!</v>
      </c>
      <c r="HG207" t="e">
        <f>AND('Planilla_General_03-12-2012_9_3'!F3310,"AAAAAHf+/tY=")</f>
        <v>#VALUE!</v>
      </c>
      <c r="HH207" t="e">
        <f>AND('Planilla_General_03-12-2012_9_3'!G3310,"AAAAAHf+/tc=")</f>
        <v>#VALUE!</v>
      </c>
      <c r="HI207" t="e">
        <f>AND('Planilla_General_03-12-2012_9_3'!H3310,"AAAAAHf+/tg=")</f>
        <v>#VALUE!</v>
      </c>
      <c r="HJ207" t="e">
        <f>AND('Planilla_General_03-12-2012_9_3'!I3310,"AAAAAHf+/tk=")</f>
        <v>#VALUE!</v>
      </c>
      <c r="HK207" t="e">
        <f>AND('Planilla_General_03-12-2012_9_3'!J3310,"AAAAAHf+/to=")</f>
        <v>#VALUE!</v>
      </c>
      <c r="HL207" t="e">
        <f>AND('Planilla_General_03-12-2012_9_3'!K3310,"AAAAAHf+/ts=")</f>
        <v>#VALUE!</v>
      </c>
      <c r="HM207" t="e">
        <f>AND('Planilla_General_03-12-2012_9_3'!L3310,"AAAAAHf+/tw=")</f>
        <v>#VALUE!</v>
      </c>
      <c r="HN207" t="e">
        <f>AND('Planilla_General_03-12-2012_9_3'!M3310,"AAAAAHf+/t0=")</f>
        <v>#VALUE!</v>
      </c>
      <c r="HO207" t="e">
        <f>AND('Planilla_General_03-12-2012_9_3'!N3310,"AAAAAHf+/t4=")</f>
        <v>#VALUE!</v>
      </c>
      <c r="HP207" t="e">
        <f>AND('Planilla_General_03-12-2012_9_3'!O3310,"AAAAAHf+/t8=")</f>
        <v>#VALUE!</v>
      </c>
      <c r="HQ207">
        <f>IF('Planilla_General_03-12-2012_9_3'!3311:3311,"AAAAAHf+/uA=",0)</f>
        <v>0</v>
      </c>
      <c r="HR207" t="e">
        <f>AND('Planilla_General_03-12-2012_9_3'!A3311,"AAAAAHf+/uE=")</f>
        <v>#VALUE!</v>
      </c>
      <c r="HS207" t="e">
        <f>AND('Planilla_General_03-12-2012_9_3'!B3311,"AAAAAHf+/uI=")</f>
        <v>#VALUE!</v>
      </c>
      <c r="HT207" t="e">
        <f>AND('Planilla_General_03-12-2012_9_3'!C3311,"AAAAAHf+/uM=")</f>
        <v>#VALUE!</v>
      </c>
      <c r="HU207" t="e">
        <f>AND('Planilla_General_03-12-2012_9_3'!D3311,"AAAAAHf+/uQ=")</f>
        <v>#VALUE!</v>
      </c>
      <c r="HV207" t="e">
        <f>AND('Planilla_General_03-12-2012_9_3'!E3311,"AAAAAHf+/uU=")</f>
        <v>#VALUE!</v>
      </c>
      <c r="HW207" t="e">
        <f>AND('Planilla_General_03-12-2012_9_3'!F3311,"AAAAAHf+/uY=")</f>
        <v>#VALUE!</v>
      </c>
      <c r="HX207" t="e">
        <f>AND('Planilla_General_03-12-2012_9_3'!G3311,"AAAAAHf+/uc=")</f>
        <v>#VALUE!</v>
      </c>
      <c r="HY207" t="e">
        <f>AND('Planilla_General_03-12-2012_9_3'!H3311,"AAAAAHf+/ug=")</f>
        <v>#VALUE!</v>
      </c>
      <c r="HZ207" t="e">
        <f>AND('Planilla_General_03-12-2012_9_3'!I3311,"AAAAAHf+/uk=")</f>
        <v>#VALUE!</v>
      </c>
      <c r="IA207" t="e">
        <f>AND('Planilla_General_03-12-2012_9_3'!J3311,"AAAAAHf+/uo=")</f>
        <v>#VALUE!</v>
      </c>
      <c r="IB207" t="e">
        <f>AND('Planilla_General_03-12-2012_9_3'!K3311,"AAAAAHf+/us=")</f>
        <v>#VALUE!</v>
      </c>
      <c r="IC207" t="e">
        <f>AND('Planilla_General_03-12-2012_9_3'!L3311,"AAAAAHf+/uw=")</f>
        <v>#VALUE!</v>
      </c>
      <c r="ID207" t="e">
        <f>AND('Planilla_General_03-12-2012_9_3'!M3311,"AAAAAHf+/u0=")</f>
        <v>#VALUE!</v>
      </c>
      <c r="IE207" t="e">
        <f>AND('Planilla_General_03-12-2012_9_3'!N3311,"AAAAAHf+/u4=")</f>
        <v>#VALUE!</v>
      </c>
      <c r="IF207" t="e">
        <f>AND('Planilla_General_03-12-2012_9_3'!O3311,"AAAAAHf+/u8=")</f>
        <v>#VALUE!</v>
      </c>
      <c r="IG207">
        <f>IF('Planilla_General_03-12-2012_9_3'!3312:3312,"AAAAAHf+/vA=",0)</f>
        <v>0</v>
      </c>
      <c r="IH207" t="e">
        <f>AND('Planilla_General_03-12-2012_9_3'!A3312,"AAAAAHf+/vE=")</f>
        <v>#VALUE!</v>
      </c>
      <c r="II207" t="e">
        <f>AND('Planilla_General_03-12-2012_9_3'!B3312,"AAAAAHf+/vI=")</f>
        <v>#VALUE!</v>
      </c>
      <c r="IJ207" t="e">
        <f>AND('Planilla_General_03-12-2012_9_3'!C3312,"AAAAAHf+/vM=")</f>
        <v>#VALUE!</v>
      </c>
      <c r="IK207" t="e">
        <f>AND('Planilla_General_03-12-2012_9_3'!D3312,"AAAAAHf+/vQ=")</f>
        <v>#VALUE!</v>
      </c>
      <c r="IL207" t="e">
        <f>AND('Planilla_General_03-12-2012_9_3'!E3312,"AAAAAHf+/vU=")</f>
        <v>#VALUE!</v>
      </c>
      <c r="IM207" t="e">
        <f>AND('Planilla_General_03-12-2012_9_3'!F3312,"AAAAAHf+/vY=")</f>
        <v>#VALUE!</v>
      </c>
      <c r="IN207" t="e">
        <f>AND('Planilla_General_03-12-2012_9_3'!G3312,"AAAAAHf+/vc=")</f>
        <v>#VALUE!</v>
      </c>
      <c r="IO207" t="e">
        <f>AND('Planilla_General_03-12-2012_9_3'!H3312,"AAAAAHf+/vg=")</f>
        <v>#VALUE!</v>
      </c>
      <c r="IP207" t="e">
        <f>AND('Planilla_General_03-12-2012_9_3'!I3312,"AAAAAHf+/vk=")</f>
        <v>#VALUE!</v>
      </c>
      <c r="IQ207" t="e">
        <f>AND('Planilla_General_03-12-2012_9_3'!J3312,"AAAAAHf+/vo=")</f>
        <v>#VALUE!</v>
      </c>
      <c r="IR207" t="e">
        <f>AND('Planilla_General_03-12-2012_9_3'!K3312,"AAAAAHf+/vs=")</f>
        <v>#VALUE!</v>
      </c>
      <c r="IS207" t="e">
        <f>AND('Planilla_General_03-12-2012_9_3'!L3312,"AAAAAHf+/vw=")</f>
        <v>#VALUE!</v>
      </c>
      <c r="IT207" t="e">
        <f>AND('Planilla_General_03-12-2012_9_3'!M3312,"AAAAAHf+/v0=")</f>
        <v>#VALUE!</v>
      </c>
      <c r="IU207" t="e">
        <f>AND('Planilla_General_03-12-2012_9_3'!N3312,"AAAAAHf+/v4=")</f>
        <v>#VALUE!</v>
      </c>
      <c r="IV207" t="e">
        <f>AND('Planilla_General_03-12-2012_9_3'!O3312,"AAAAAHf+/v8=")</f>
        <v>#VALUE!</v>
      </c>
    </row>
    <row r="208" spans="1:256" x14ac:dyDescent="0.25">
      <c r="A208" t="e">
        <f>IF('Planilla_General_03-12-2012_9_3'!3313:3313,"AAAAAHC92wA=",0)</f>
        <v>#VALUE!</v>
      </c>
      <c r="B208" t="e">
        <f>AND('Planilla_General_03-12-2012_9_3'!A3313,"AAAAAHC92wE=")</f>
        <v>#VALUE!</v>
      </c>
      <c r="C208" t="e">
        <f>AND('Planilla_General_03-12-2012_9_3'!B3313,"AAAAAHC92wI=")</f>
        <v>#VALUE!</v>
      </c>
      <c r="D208" t="e">
        <f>AND('Planilla_General_03-12-2012_9_3'!C3313,"AAAAAHC92wM=")</f>
        <v>#VALUE!</v>
      </c>
      <c r="E208" t="e">
        <f>AND('Planilla_General_03-12-2012_9_3'!D3313,"AAAAAHC92wQ=")</f>
        <v>#VALUE!</v>
      </c>
      <c r="F208" t="e">
        <f>AND('Planilla_General_03-12-2012_9_3'!E3313,"AAAAAHC92wU=")</f>
        <v>#VALUE!</v>
      </c>
      <c r="G208" t="e">
        <f>AND('Planilla_General_03-12-2012_9_3'!F3313,"AAAAAHC92wY=")</f>
        <v>#VALUE!</v>
      </c>
      <c r="H208" t="e">
        <f>AND('Planilla_General_03-12-2012_9_3'!G3313,"AAAAAHC92wc=")</f>
        <v>#VALUE!</v>
      </c>
      <c r="I208" t="e">
        <f>AND('Planilla_General_03-12-2012_9_3'!H3313,"AAAAAHC92wg=")</f>
        <v>#VALUE!</v>
      </c>
      <c r="J208" t="e">
        <f>AND('Planilla_General_03-12-2012_9_3'!I3313,"AAAAAHC92wk=")</f>
        <v>#VALUE!</v>
      </c>
      <c r="K208" t="e">
        <f>AND('Planilla_General_03-12-2012_9_3'!J3313,"AAAAAHC92wo=")</f>
        <v>#VALUE!</v>
      </c>
      <c r="L208" t="e">
        <f>AND('Planilla_General_03-12-2012_9_3'!K3313,"AAAAAHC92ws=")</f>
        <v>#VALUE!</v>
      </c>
      <c r="M208" t="e">
        <f>AND('Planilla_General_03-12-2012_9_3'!L3313,"AAAAAHC92ww=")</f>
        <v>#VALUE!</v>
      </c>
      <c r="N208" t="e">
        <f>AND('Planilla_General_03-12-2012_9_3'!M3313,"AAAAAHC92w0=")</f>
        <v>#VALUE!</v>
      </c>
      <c r="O208" t="e">
        <f>AND('Planilla_General_03-12-2012_9_3'!N3313,"AAAAAHC92w4=")</f>
        <v>#VALUE!</v>
      </c>
      <c r="P208" t="e">
        <f>AND('Planilla_General_03-12-2012_9_3'!O3313,"AAAAAHC92w8=")</f>
        <v>#VALUE!</v>
      </c>
      <c r="Q208">
        <f>IF('Planilla_General_03-12-2012_9_3'!3314:3314,"AAAAAHC92xA=",0)</f>
        <v>0</v>
      </c>
      <c r="R208" t="e">
        <f>AND('Planilla_General_03-12-2012_9_3'!A3314,"AAAAAHC92xE=")</f>
        <v>#VALUE!</v>
      </c>
      <c r="S208" t="e">
        <f>AND('Planilla_General_03-12-2012_9_3'!B3314,"AAAAAHC92xI=")</f>
        <v>#VALUE!</v>
      </c>
      <c r="T208" t="e">
        <f>AND('Planilla_General_03-12-2012_9_3'!C3314,"AAAAAHC92xM=")</f>
        <v>#VALUE!</v>
      </c>
      <c r="U208" t="e">
        <f>AND('Planilla_General_03-12-2012_9_3'!D3314,"AAAAAHC92xQ=")</f>
        <v>#VALUE!</v>
      </c>
      <c r="V208" t="e">
        <f>AND('Planilla_General_03-12-2012_9_3'!E3314,"AAAAAHC92xU=")</f>
        <v>#VALUE!</v>
      </c>
      <c r="W208" t="e">
        <f>AND('Planilla_General_03-12-2012_9_3'!F3314,"AAAAAHC92xY=")</f>
        <v>#VALUE!</v>
      </c>
      <c r="X208" t="e">
        <f>AND('Planilla_General_03-12-2012_9_3'!G3314,"AAAAAHC92xc=")</f>
        <v>#VALUE!</v>
      </c>
      <c r="Y208" t="e">
        <f>AND('Planilla_General_03-12-2012_9_3'!H3314,"AAAAAHC92xg=")</f>
        <v>#VALUE!</v>
      </c>
      <c r="Z208" t="e">
        <f>AND('Planilla_General_03-12-2012_9_3'!I3314,"AAAAAHC92xk=")</f>
        <v>#VALUE!</v>
      </c>
      <c r="AA208" t="e">
        <f>AND('Planilla_General_03-12-2012_9_3'!J3314,"AAAAAHC92xo=")</f>
        <v>#VALUE!</v>
      </c>
      <c r="AB208" t="e">
        <f>AND('Planilla_General_03-12-2012_9_3'!K3314,"AAAAAHC92xs=")</f>
        <v>#VALUE!</v>
      </c>
      <c r="AC208" t="e">
        <f>AND('Planilla_General_03-12-2012_9_3'!L3314,"AAAAAHC92xw=")</f>
        <v>#VALUE!</v>
      </c>
      <c r="AD208" t="e">
        <f>AND('Planilla_General_03-12-2012_9_3'!M3314,"AAAAAHC92x0=")</f>
        <v>#VALUE!</v>
      </c>
      <c r="AE208" t="e">
        <f>AND('Planilla_General_03-12-2012_9_3'!N3314,"AAAAAHC92x4=")</f>
        <v>#VALUE!</v>
      </c>
      <c r="AF208" t="e">
        <f>AND('Planilla_General_03-12-2012_9_3'!O3314,"AAAAAHC92x8=")</f>
        <v>#VALUE!</v>
      </c>
      <c r="AG208">
        <f>IF('Planilla_General_03-12-2012_9_3'!3315:3315,"AAAAAHC92yA=",0)</f>
        <v>0</v>
      </c>
      <c r="AH208" t="e">
        <f>AND('Planilla_General_03-12-2012_9_3'!A3315,"AAAAAHC92yE=")</f>
        <v>#VALUE!</v>
      </c>
      <c r="AI208" t="e">
        <f>AND('Planilla_General_03-12-2012_9_3'!B3315,"AAAAAHC92yI=")</f>
        <v>#VALUE!</v>
      </c>
      <c r="AJ208" t="e">
        <f>AND('Planilla_General_03-12-2012_9_3'!C3315,"AAAAAHC92yM=")</f>
        <v>#VALUE!</v>
      </c>
      <c r="AK208" t="e">
        <f>AND('Planilla_General_03-12-2012_9_3'!D3315,"AAAAAHC92yQ=")</f>
        <v>#VALUE!</v>
      </c>
      <c r="AL208" t="e">
        <f>AND('Planilla_General_03-12-2012_9_3'!E3315,"AAAAAHC92yU=")</f>
        <v>#VALUE!</v>
      </c>
      <c r="AM208" t="e">
        <f>AND('Planilla_General_03-12-2012_9_3'!F3315,"AAAAAHC92yY=")</f>
        <v>#VALUE!</v>
      </c>
      <c r="AN208" t="e">
        <f>AND('Planilla_General_03-12-2012_9_3'!G3315,"AAAAAHC92yc=")</f>
        <v>#VALUE!</v>
      </c>
      <c r="AO208" t="e">
        <f>AND('Planilla_General_03-12-2012_9_3'!H3315,"AAAAAHC92yg=")</f>
        <v>#VALUE!</v>
      </c>
      <c r="AP208" t="e">
        <f>AND('Planilla_General_03-12-2012_9_3'!I3315,"AAAAAHC92yk=")</f>
        <v>#VALUE!</v>
      </c>
      <c r="AQ208" t="e">
        <f>AND('Planilla_General_03-12-2012_9_3'!J3315,"AAAAAHC92yo=")</f>
        <v>#VALUE!</v>
      </c>
      <c r="AR208" t="e">
        <f>AND('Planilla_General_03-12-2012_9_3'!K3315,"AAAAAHC92ys=")</f>
        <v>#VALUE!</v>
      </c>
      <c r="AS208" t="e">
        <f>AND('Planilla_General_03-12-2012_9_3'!L3315,"AAAAAHC92yw=")</f>
        <v>#VALUE!</v>
      </c>
      <c r="AT208" t="e">
        <f>AND('Planilla_General_03-12-2012_9_3'!M3315,"AAAAAHC92y0=")</f>
        <v>#VALUE!</v>
      </c>
      <c r="AU208" t="e">
        <f>AND('Planilla_General_03-12-2012_9_3'!N3315,"AAAAAHC92y4=")</f>
        <v>#VALUE!</v>
      </c>
      <c r="AV208" t="e">
        <f>AND('Planilla_General_03-12-2012_9_3'!O3315,"AAAAAHC92y8=")</f>
        <v>#VALUE!</v>
      </c>
      <c r="AW208">
        <f>IF('Planilla_General_03-12-2012_9_3'!3316:3316,"AAAAAHC92zA=",0)</f>
        <v>0</v>
      </c>
      <c r="AX208" t="e">
        <f>AND('Planilla_General_03-12-2012_9_3'!A3316,"AAAAAHC92zE=")</f>
        <v>#VALUE!</v>
      </c>
      <c r="AY208" t="e">
        <f>AND('Planilla_General_03-12-2012_9_3'!B3316,"AAAAAHC92zI=")</f>
        <v>#VALUE!</v>
      </c>
      <c r="AZ208" t="e">
        <f>AND('Planilla_General_03-12-2012_9_3'!C3316,"AAAAAHC92zM=")</f>
        <v>#VALUE!</v>
      </c>
      <c r="BA208" t="e">
        <f>AND('Planilla_General_03-12-2012_9_3'!D3316,"AAAAAHC92zQ=")</f>
        <v>#VALUE!</v>
      </c>
      <c r="BB208" t="e">
        <f>AND('Planilla_General_03-12-2012_9_3'!E3316,"AAAAAHC92zU=")</f>
        <v>#VALUE!</v>
      </c>
      <c r="BC208" t="e">
        <f>AND('Planilla_General_03-12-2012_9_3'!F3316,"AAAAAHC92zY=")</f>
        <v>#VALUE!</v>
      </c>
      <c r="BD208" t="e">
        <f>AND('Planilla_General_03-12-2012_9_3'!G3316,"AAAAAHC92zc=")</f>
        <v>#VALUE!</v>
      </c>
      <c r="BE208" t="e">
        <f>AND('Planilla_General_03-12-2012_9_3'!H3316,"AAAAAHC92zg=")</f>
        <v>#VALUE!</v>
      </c>
      <c r="BF208" t="e">
        <f>AND('Planilla_General_03-12-2012_9_3'!I3316,"AAAAAHC92zk=")</f>
        <v>#VALUE!</v>
      </c>
      <c r="BG208" t="e">
        <f>AND('Planilla_General_03-12-2012_9_3'!J3316,"AAAAAHC92zo=")</f>
        <v>#VALUE!</v>
      </c>
      <c r="BH208" t="e">
        <f>AND('Planilla_General_03-12-2012_9_3'!K3316,"AAAAAHC92zs=")</f>
        <v>#VALUE!</v>
      </c>
      <c r="BI208" t="e">
        <f>AND('Planilla_General_03-12-2012_9_3'!L3316,"AAAAAHC92zw=")</f>
        <v>#VALUE!</v>
      </c>
      <c r="BJ208" t="e">
        <f>AND('Planilla_General_03-12-2012_9_3'!M3316,"AAAAAHC92z0=")</f>
        <v>#VALUE!</v>
      </c>
      <c r="BK208" t="e">
        <f>AND('Planilla_General_03-12-2012_9_3'!N3316,"AAAAAHC92z4=")</f>
        <v>#VALUE!</v>
      </c>
      <c r="BL208" t="e">
        <f>AND('Planilla_General_03-12-2012_9_3'!O3316,"AAAAAHC92z8=")</f>
        <v>#VALUE!</v>
      </c>
      <c r="BM208">
        <f>IF('Planilla_General_03-12-2012_9_3'!3317:3317,"AAAAAHC920A=",0)</f>
        <v>0</v>
      </c>
      <c r="BN208" t="e">
        <f>AND('Planilla_General_03-12-2012_9_3'!A3317,"AAAAAHC920E=")</f>
        <v>#VALUE!</v>
      </c>
      <c r="BO208" t="e">
        <f>AND('Planilla_General_03-12-2012_9_3'!B3317,"AAAAAHC920I=")</f>
        <v>#VALUE!</v>
      </c>
      <c r="BP208" t="e">
        <f>AND('Planilla_General_03-12-2012_9_3'!C3317,"AAAAAHC920M=")</f>
        <v>#VALUE!</v>
      </c>
      <c r="BQ208" t="e">
        <f>AND('Planilla_General_03-12-2012_9_3'!D3317,"AAAAAHC920Q=")</f>
        <v>#VALUE!</v>
      </c>
      <c r="BR208" t="e">
        <f>AND('Planilla_General_03-12-2012_9_3'!E3317,"AAAAAHC920U=")</f>
        <v>#VALUE!</v>
      </c>
      <c r="BS208" t="e">
        <f>AND('Planilla_General_03-12-2012_9_3'!F3317,"AAAAAHC920Y=")</f>
        <v>#VALUE!</v>
      </c>
      <c r="BT208" t="e">
        <f>AND('Planilla_General_03-12-2012_9_3'!G3317,"AAAAAHC920c=")</f>
        <v>#VALUE!</v>
      </c>
      <c r="BU208" t="e">
        <f>AND('Planilla_General_03-12-2012_9_3'!H3317,"AAAAAHC920g=")</f>
        <v>#VALUE!</v>
      </c>
      <c r="BV208" t="e">
        <f>AND('Planilla_General_03-12-2012_9_3'!I3317,"AAAAAHC920k=")</f>
        <v>#VALUE!</v>
      </c>
      <c r="BW208" t="e">
        <f>AND('Planilla_General_03-12-2012_9_3'!J3317,"AAAAAHC920o=")</f>
        <v>#VALUE!</v>
      </c>
      <c r="BX208" t="e">
        <f>AND('Planilla_General_03-12-2012_9_3'!K3317,"AAAAAHC920s=")</f>
        <v>#VALUE!</v>
      </c>
      <c r="BY208" t="e">
        <f>AND('Planilla_General_03-12-2012_9_3'!L3317,"AAAAAHC920w=")</f>
        <v>#VALUE!</v>
      </c>
      <c r="BZ208" t="e">
        <f>AND('Planilla_General_03-12-2012_9_3'!M3317,"AAAAAHC9200=")</f>
        <v>#VALUE!</v>
      </c>
      <c r="CA208" t="e">
        <f>AND('Planilla_General_03-12-2012_9_3'!N3317,"AAAAAHC9204=")</f>
        <v>#VALUE!</v>
      </c>
      <c r="CB208" t="e">
        <f>AND('Planilla_General_03-12-2012_9_3'!O3317,"AAAAAHC9208=")</f>
        <v>#VALUE!</v>
      </c>
      <c r="CC208">
        <f>IF('Planilla_General_03-12-2012_9_3'!3318:3318,"AAAAAHC921A=",0)</f>
        <v>0</v>
      </c>
      <c r="CD208" t="e">
        <f>AND('Planilla_General_03-12-2012_9_3'!A3318,"AAAAAHC921E=")</f>
        <v>#VALUE!</v>
      </c>
      <c r="CE208" t="e">
        <f>AND('Planilla_General_03-12-2012_9_3'!B3318,"AAAAAHC921I=")</f>
        <v>#VALUE!</v>
      </c>
      <c r="CF208" t="e">
        <f>AND('Planilla_General_03-12-2012_9_3'!C3318,"AAAAAHC921M=")</f>
        <v>#VALUE!</v>
      </c>
      <c r="CG208" t="e">
        <f>AND('Planilla_General_03-12-2012_9_3'!D3318,"AAAAAHC921Q=")</f>
        <v>#VALUE!</v>
      </c>
      <c r="CH208" t="e">
        <f>AND('Planilla_General_03-12-2012_9_3'!E3318,"AAAAAHC921U=")</f>
        <v>#VALUE!</v>
      </c>
      <c r="CI208" t="e">
        <f>AND('Planilla_General_03-12-2012_9_3'!F3318,"AAAAAHC921Y=")</f>
        <v>#VALUE!</v>
      </c>
      <c r="CJ208" t="e">
        <f>AND('Planilla_General_03-12-2012_9_3'!G3318,"AAAAAHC921c=")</f>
        <v>#VALUE!</v>
      </c>
      <c r="CK208" t="e">
        <f>AND('Planilla_General_03-12-2012_9_3'!H3318,"AAAAAHC921g=")</f>
        <v>#VALUE!</v>
      </c>
      <c r="CL208" t="e">
        <f>AND('Planilla_General_03-12-2012_9_3'!I3318,"AAAAAHC921k=")</f>
        <v>#VALUE!</v>
      </c>
      <c r="CM208" t="e">
        <f>AND('Planilla_General_03-12-2012_9_3'!J3318,"AAAAAHC921o=")</f>
        <v>#VALUE!</v>
      </c>
      <c r="CN208" t="e">
        <f>AND('Planilla_General_03-12-2012_9_3'!K3318,"AAAAAHC921s=")</f>
        <v>#VALUE!</v>
      </c>
      <c r="CO208" t="e">
        <f>AND('Planilla_General_03-12-2012_9_3'!L3318,"AAAAAHC921w=")</f>
        <v>#VALUE!</v>
      </c>
      <c r="CP208" t="e">
        <f>AND('Planilla_General_03-12-2012_9_3'!M3318,"AAAAAHC9210=")</f>
        <v>#VALUE!</v>
      </c>
      <c r="CQ208" t="e">
        <f>AND('Planilla_General_03-12-2012_9_3'!N3318,"AAAAAHC9214=")</f>
        <v>#VALUE!</v>
      </c>
      <c r="CR208" t="e">
        <f>AND('Planilla_General_03-12-2012_9_3'!O3318,"AAAAAHC9218=")</f>
        <v>#VALUE!</v>
      </c>
      <c r="CS208">
        <f>IF('Planilla_General_03-12-2012_9_3'!3319:3319,"AAAAAHC922A=",0)</f>
        <v>0</v>
      </c>
      <c r="CT208" t="e">
        <f>AND('Planilla_General_03-12-2012_9_3'!A3319,"AAAAAHC922E=")</f>
        <v>#VALUE!</v>
      </c>
      <c r="CU208" t="e">
        <f>AND('Planilla_General_03-12-2012_9_3'!B3319,"AAAAAHC922I=")</f>
        <v>#VALUE!</v>
      </c>
      <c r="CV208" t="e">
        <f>AND('Planilla_General_03-12-2012_9_3'!C3319,"AAAAAHC922M=")</f>
        <v>#VALUE!</v>
      </c>
      <c r="CW208" t="e">
        <f>AND('Planilla_General_03-12-2012_9_3'!D3319,"AAAAAHC922Q=")</f>
        <v>#VALUE!</v>
      </c>
      <c r="CX208" t="e">
        <f>AND('Planilla_General_03-12-2012_9_3'!E3319,"AAAAAHC922U=")</f>
        <v>#VALUE!</v>
      </c>
      <c r="CY208" t="e">
        <f>AND('Planilla_General_03-12-2012_9_3'!F3319,"AAAAAHC922Y=")</f>
        <v>#VALUE!</v>
      </c>
      <c r="CZ208" t="e">
        <f>AND('Planilla_General_03-12-2012_9_3'!G3319,"AAAAAHC922c=")</f>
        <v>#VALUE!</v>
      </c>
      <c r="DA208" t="e">
        <f>AND('Planilla_General_03-12-2012_9_3'!H3319,"AAAAAHC922g=")</f>
        <v>#VALUE!</v>
      </c>
      <c r="DB208" t="e">
        <f>AND('Planilla_General_03-12-2012_9_3'!I3319,"AAAAAHC922k=")</f>
        <v>#VALUE!</v>
      </c>
      <c r="DC208" t="e">
        <f>AND('Planilla_General_03-12-2012_9_3'!J3319,"AAAAAHC922o=")</f>
        <v>#VALUE!</v>
      </c>
      <c r="DD208" t="e">
        <f>AND('Planilla_General_03-12-2012_9_3'!K3319,"AAAAAHC922s=")</f>
        <v>#VALUE!</v>
      </c>
      <c r="DE208" t="e">
        <f>AND('Planilla_General_03-12-2012_9_3'!L3319,"AAAAAHC922w=")</f>
        <v>#VALUE!</v>
      </c>
      <c r="DF208" t="e">
        <f>AND('Planilla_General_03-12-2012_9_3'!M3319,"AAAAAHC9220=")</f>
        <v>#VALUE!</v>
      </c>
      <c r="DG208" t="e">
        <f>AND('Planilla_General_03-12-2012_9_3'!N3319,"AAAAAHC9224=")</f>
        <v>#VALUE!</v>
      </c>
      <c r="DH208" t="e">
        <f>AND('Planilla_General_03-12-2012_9_3'!O3319,"AAAAAHC9228=")</f>
        <v>#VALUE!</v>
      </c>
      <c r="DI208">
        <f>IF('Planilla_General_03-12-2012_9_3'!3320:3320,"AAAAAHC923A=",0)</f>
        <v>0</v>
      </c>
      <c r="DJ208" t="e">
        <f>AND('Planilla_General_03-12-2012_9_3'!A3320,"AAAAAHC923E=")</f>
        <v>#VALUE!</v>
      </c>
      <c r="DK208" t="e">
        <f>AND('Planilla_General_03-12-2012_9_3'!B3320,"AAAAAHC923I=")</f>
        <v>#VALUE!</v>
      </c>
      <c r="DL208" t="e">
        <f>AND('Planilla_General_03-12-2012_9_3'!C3320,"AAAAAHC923M=")</f>
        <v>#VALUE!</v>
      </c>
      <c r="DM208" t="e">
        <f>AND('Planilla_General_03-12-2012_9_3'!D3320,"AAAAAHC923Q=")</f>
        <v>#VALUE!</v>
      </c>
      <c r="DN208" t="e">
        <f>AND('Planilla_General_03-12-2012_9_3'!E3320,"AAAAAHC923U=")</f>
        <v>#VALUE!</v>
      </c>
      <c r="DO208" t="e">
        <f>AND('Planilla_General_03-12-2012_9_3'!F3320,"AAAAAHC923Y=")</f>
        <v>#VALUE!</v>
      </c>
      <c r="DP208" t="e">
        <f>AND('Planilla_General_03-12-2012_9_3'!G3320,"AAAAAHC923c=")</f>
        <v>#VALUE!</v>
      </c>
      <c r="DQ208" t="e">
        <f>AND('Planilla_General_03-12-2012_9_3'!H3320,"AAAAAHC923g=")</f>
        <v>#VALUE!</v>
      </c>
      <c r="DR208" t="e">
        <f>AND('Planilla_General_03-12-2012_9_3'!I3320,"AAAAAHC923k=")</f>
        <v>#VALUE!</v>
      </c>
      <c r="DS208" t="e">
        <f>AND('Planilla_General_03-12-2012_9_3'!J3320,"AAAAAHC923o=")</f>
        <v>#VALUE!</v>
      </c>
      <c r="DT208" t="e">
        <f>AND('Planilla_General_03-12-2012_9_3'!K3320,"AAAAAHC923s=")</f>
        <v>#VALUE!</v>
      </c>
      <c r="DU208" t="e">
        <f>AND('Planilla_General_03-12-2012_9_3'!L3320,"AAAAAHC923w=")</f>
        <v>#VALUE!</v>
      </c>
      <c r="DV208" t="e">
        <f>AND('Planilla_General_03-12-2012_9_3'!M3320,"AAAAAHC9230=")</f>
        <v>#VALUE!</v>
      </c>
      <c r="DW208" t="e">
        <f>AND('Planilla_General_03-12-2012_9_3'!N3320,"AAAAAHC9234=")</f>
        <v>#VALUE!</v>
      </c>
      <c r="DX208" t="e">
        <f>AND('Planilla_General_03-12-2012_9_3'!O3320,"AAAAAHC9238=")</f>
        <v>#VALUE!</v>
      </c>
      <c r="DY208">
        <f>IF('Planilla_General_03-12-2012_9_3'!3321:3321,"AAAAAHC924A=",0)</f>
        <v>0</v>
      </c>
      <c r="DZ208" t="e">
        <f>AND('Planilla_General_03-12-2012_9_3'!A3321,"AAAAAHC924E=")</f>
        <v>#VALUE!</v>
      </c>
      <c r="EA208" t="e">
        <f>AND('Planilla_General_03-12-2012_9_3'!B3321,"AAAAAHC924I=")</f>
        <v>#VALUE!</v>
      </c>
      <c r="EB208" t="e">
        <f>AND('Planilla_General_03-12-2012_9_3'!C3321,"AAAAAHC924M=")</f>
        <v>#VALUE!</v>
      </c>
      <c r="EC208" t="e">
        <f>AND('Planilla_General_03-12-2012_9_3'!D3321,"AAAAAHC924Q=")</f>
        <v>#VALUE!</v>
      </c>
      <c r="ED208" t="e">
        <f>AND('Planilla_General_03-12-2012_9_3'!E3321,"AAAAAHC924U=")</f>
        <v>#VALUE!</v>
      </c>
      <c r="EE208" t="e">
        <f>AND('Planilla_General_03-12-2012_9_3'!F3321,"AAAAAHC924Y=")</f>
        <v>#VALUE!</v>
      </c>
      <c r="EF208" t="e">
        <f>AND('Planilla_General_03-12-2012_9_3'!G3321,"AAAAAHC924c=")</f>
        <v>#VALUE!</v>
      </c>
      <c r="EG208" t="e">
        <f>AND('Planilla_General_03-12-2012_9_3'!H3321,"AAAAAHC924g=")</f>
        <v>#VALUE!</v>
      </c>
      <c r="EH208" t="e">
        <f>AND('Planilla_General_03-12-2012_9_3'!I3321,"AAAAAHC924k=")</f>
        <v>#VALUE!</v>
      </c>
      <c r="EI208" t="e">
        <f>AND('Planilla_General_03-12-2012_9_3'!J3321,"AAAAAHC924o=")</f>
        <v>#VALUE!</v>
      </c>
      <c r="EJ208" t="e">
        <f>AND('Planilla_General_03-12-2012_9_3'!K3321,"AAAAAHC924s=")</f>
        <v>#VALUE!</v>
      </c>
      <c r="EK208" t="e">
        <f>AND('Planilla_General_03-12-2012_9_3'!L3321,"AAAAAHC924w=")</f>
        <v>#VALUE!</v>
      </c>
      <c r="EL208" t="e">
        <f>AND('Planilla_General_03-12-2012_9_3'!M3321,"AAAAAHC9240=")</f>
        <v>#VALUE!</v>
      </c>
      <c r="EM208" t="e">
        <f>AND('Planilla_General_03-12-2012_9_3'!N3321,"AAAAAHC9244=")</f>
        <v>#VALUE!</v>
      </c>
      <c r="EN208" t="e">
        <f>AND('Planilla_General_03-12-2012_9_3'!O3321,"AAAAAHC9248=")</f>
        <v>#VALUE!</v>
      </c>
      <c r="EO208">
        <f>IF('Planilla_General_03-12-2012_9_3'!3322:3322,"AAAAAHC925A=",0)</f>
        <v>0</v>
      </c>
      <c r="EP208" t="e">
        <f>AND('Planilla_General_03-12-2012_9_3'!A3322,"AAAAAHC925E=")</f>
        <v>#VALUE!</v>
      </c>
      <c r="EQ208" t="e">
        <f>AND('Planilla_General_03-12-2012_9_3'!B3322,"AAAAAHC925I=")</f>
        <v>#VALUE!</v>
      </c>
      <c r="ER208" t="e">
        <f>AND('Planilla_General_03-12-2012_9_3'!C3322,"AAAAAHC925M=")</f>
        <v>#VALUE!</v>
      </c>
      <c r="ES208" t="e">
        <f>AND('Planilla_General_03-12-2012_9_3'!D3322,"AAAAAHC925Q=")</f>
        <v>#VALUE!</v>
      </c>
      <c r="ET208" t="e">
        <f>AND('Planilla_General_03-12-2012_9_3'!E3322,"AAAAAHC925U=")</f>
        <v>#VALUE!</v>
      </c>
      <c r="EU208" t="e">
        <f>AND('Planilla_General_03-12-2012_9_3'!F3322,"AAAAAHC925Y=")</f>
        <v>#VALUE!</v>
      </c>
      <c r="EV208" t="e">
        <f>AND('Planilla_General_03-12-2012_9_3'!G3322,"AAAAAHC925c=")</f>
        <v>#VALUE!</v>
      </c>
      <c r="EW208" t="e">
        <f>AND('Planilla_General_03-12-2012_9_3'!H3322,"AAAAAHC925g=")</f>
        <v>#VALUE!</v>
      </c>
      <c r="EX208" t="e">
        <f>AND('Planilla_General_03-12-2012_9_3'!I3322,"AAAAAHC925k=")</f>
        <v>#VALUE!</v>
      </c>
      <c r="EY208" t="e">
        <f>AND('Planilla_General_03-12-2012_9_3'!J3322,"AAAAAHC925o=")</f>
        <v>#VALUE!</v>
      </c>
      <c r="EZ208" t="e">
        <f>AND('Planilla_General_03-12-2012_9_3'!K3322,"AAAAAHC925s=")</f>
        <v>#VALUE!</v>
      </c>
      <c r="FA208" t="e">
        <f>AND('Planilla_General_03-12-2012_9_3'!L3322,"AAAAAHC925w=")</f>
        <v>#VALUE!</v>
      </c>
      <c r="FB208" t="e">
        <f>AND('Planilla_General_03-12-2012_9_3'!M3322,"AAAAAHC9250=")</f>
        <v>#VALUE!</v>
      </c>
      <c r="FC208" t="e">
        <f>AND('Planilla_General_03-12-2012_9_3'!N3322,"AAAAAHC9254=")</f>
        <v>#VALUE!</v>
      </c>
      <c r="FD208" t="e">
        <f>AND('Planilla_General_03-12-2012_9_3'!O3322,"AAAAAHC9258=")</f>
        <v>#VALUE!</v>
      </c>
      <c r="FE208">
        <f>IF('Planilla_General_03-12-2012_9_3'!3323:3323,"AAAAAHC926A=",0)</f>
        <v>0</v>
      </c>
      <c r="FF208" t="e">
        <f>AND('Planilla_General_03-12-2012_9_3'!A3323,"AAAAAHC926E=")</f>
        <v>#VALUE!</v>
      </c>
      <c r="FG208" t="e">
        <f>AND('Planilla_General_03-12-2012_9_3'!B3323,"AAAAAHC926I=")</f>
        <v>#VALUE!</v>
      </c>
      <c r="FH208" t="e">
        <f>AND('Planilla_General_03-12-2012_9_3'!C3323,"AAAAAHC926M=")</f>
        <v>#VALUE!</v>
      </c>
      <c r="FI208" t="e">
        <f>AND('Planilla_General_03-12-2012_9_3'!D3323,"AAAAAHC926Q=")</f>
        <v>#VALUE!</v>
      </c>
      <c r="FJ208" t="e">
        <f>AND('Planilla_General_03-12-2012_9_3'!E3323,"AAAAAHC926U=")</f>
        <v>#VALUE!</v>
      </c>
      <c r="FK208" t="e">
        <f>AND('Planilla_General_03-12-2012_9_3'!F3323,"AAAAAHC926Y=")</f>
        <v>#VALUE!</v>
      </c>
      <c r="FL208" t="e">
        <f>AND('Planilla_General_03-12-2012_9_3'!G3323,"AAAAAHC926c=")</f>
        <v>#VALUE!</v>
      </c>
      <c r="FM208" t="e">
        <f>AND('Planilla_General_03-12-2012_9_3'!H3323,"AAAAAHC926g=")</f>
        <v>#VALUE!</v>
      </c>
      <c r="FN208" t="e">
        <f>AND('Planilla_General_03-12-2012_9_3'!I3323,"AAAAAHC926k=")</f>
        <v>#VALUE!</v>
      </c>
      <c r="FO208" t="e">
        <f>AND('Planilla_General_03-12-2012_9_3'!J3323,"AAAAAHC926o=")</f>
        <v>#VALUE!</v>
      </c>
      <c r="FP208" t="e">
        <f>AND('Planilla_General_03-12-2012_9_3'!K3323,"AAAAAHC926s=")</f>
        <v>#VALUE!</v>
      </c>
      <c r="FQ208" t="e">
        <f>AND('Planilla_General_03-12-2012_9_3'!L3323,"AAAAAHC926w=")</f>
        <v>#VALUE!</v>
      </c>
      <c r="FR208" t="e">
        <f>AND('Planilla_General_03-12-2012_9_3'!M3323,"AAAAAHC9260=")</f>
        <v>#VALUE!</v>
      </c>
      <c r="FS208" t="e">
        <f>AND('Planilla_General_03-12-2012_9_3'!N3323,"AAAAAHC9264=")</f>
        <v>#VALUE!</v>
      </c>
      <c r="FT208" t="e">
        <f>AND('Planilla_General_03-12-2012_9_3'!O3323,"AAAAAHC9268=")</f>
        <v>#VALUE!</v>
      </c>
      <c r="FU208">
        <f>IF('Planilla_General_03-12-2012_9_3'!3324:3324,"AAAAAHC927A=",0)</f>
        <v>0</v>
      </c>
      <c r="FV208" t="e">
        <f>AND('Planilla_General_03-12-2012_9_3'!A3324,"AAAAAHC927E=")</f>
        <v>#VALUE!</v>
      </c>
      <c r="FW208" t="e">
        <f>AND('Planilla_General_03-12-2012_9_3'!B3324,"AAAAAHC927I=")</f>
        <v>#VALUE!</v>
      </c>
      <c r="FX208" t="e">
        <f>AND('Planilla_General_03-12-2012_9_3'!C3324,"AAAAAHC927M=")</f>
        <v>#VALUE!</v>
      </c>
      <c r="FY208" t="e">
        <f>AND('Planilla_General_03-12-2012_9_3'!D3324,"AAAAAHC927Q=")</f>
        <v>#VALUE!</v>
      </c>
      <c r="FZ208" t="e">
        <f>AND('Planilla_General_03-12-2012_9_3'!E3324,"AAAAAHC927U=")</f>
        <v>#VALUE!</v>
      </c>
      <c r="GA208" t="e">
        <f>AND('Planilla_General_03-12-2012_9_3'!F3324,"AAAAAHC927Y=")</f>
        <v>#VALUE!</v>
      </c>
      <c r="GB208" t="e">
        <f>AND('Planilla_General_03-12-2012_9_3'!G3324,"AAAAAHC927c=")</f>
        <v>#VALUE!</v>
      </c>
      <c r="GC208" t="e">
        <f>AND('Planilla_General_03-12-2012_9_3'!H3324,"AAAAAHC927g=")</f>
        <v>#VALUE!</v>
      </c>
      <c r="GD208" t="e">
        <f>AND('Planilla_General_03-12-2012_9_3'!I3324,"AAAAAHC927k=")</f>
        <v>#VALUE!</v>
      </c>
      <c r="GE208" t="e">
        <f>AND('Planilla_General_03-12-2012_9_3'!J3324,"AAAAAHC927o=")</f>
        <v>#VALUE!</v>
      </c>
      <c r="GF208" t="e">
        <f>AND('Planilla_General_03-12-2012_9_3'!K3324,"AAAAAHC927s=")</f>
        <v>#VALUE!</v>
      </c>
      <c r="GG208" t="e">
        <f>AND('Planilla_General_03-12-2012_9_3'!L3324,"AAAAAHC927w=")</f>
        <v>#VALUE!</v>
      </c>
      <c r="GH208" t="e">
        <f>AND('Planilla_General_03-12-2012_9_3'!M3324,"AAAAAHC9270=")</f>
        <v>#VALUE!</v>
      </c>
      <c r="GI208" t="e">
        <f>AND('Planilla_General_03-12-2012_9_3'!N3324,"AAAAAHC9274=")</f>
        <v>#VALUE!</v>
      </c>
      <c r="GJ208" t="e">
        <f>AND('Planilla_General_03-12-2012_9_3'!O3324,"AAAAAHC9278=")</f>
        <v>#VALUE!</v>
      </c>
      <c r="GK208">
        <f>IF('Planilla_General_03-12-2012_9_3'!3325:3325,"AAAAAHC928A=",0)</f>
        <v>0</v>
      </c>
      <c r="GL208" t="e">
        <f>AND('Planilla_General_03-12-2012_9_3'!A3325,"AAAAAHC928E=")</f>
        <v>#VALUE!</v>
      </c>
      <c r="GM208" t="e">
        <f>AND('Planilla_General_03-12-2012_9_3'!B3325,"AAAAAHC928I=")</f>
        <v>#VALUE!</v>
      </c>
      <c r="GN208" t="e">
        <f>AND('Planilla_General_03-12-2012_9_3'!C3325,"AAAAAHC928M=")</f>
        <v>#VALUE!</v>
      </c>
      <c r="GO208" t="e">
        <f>AND('Planilla_General_03-12-2012_9_3'!D3325,"AAAAAHC928Q=")</f>
        <v>#VALUE!</v>
      </c>
      <c r="GP208" t="e">
        <f>AND('Planilla_General_03-12-2012_9_3'!E3325,"AAAAAHC928U=")</f>
        <v>#VALUE!</v>
      </c>
      <c r="GQ208" t="e">
        <f>AND('Planilla_General_03-12-2012_9_3'!F3325,"AAAAAHC928Y=")</f>
        <v>#VALUE!</v>
      </c>
      <c r="GR208" t="e">
        <f>AND('Planilla_General_03-12-2012_9_3'!G3325,"AAAAAHC928c=")</f>
        <v>#VALUE!</v>
      </c>
      <c r="GS208" t="e">
        <f>AND('Planilla_General_03-12-2012_9_3'!H3325,"AAAAAHC928g=")</f>
        <v>#VALUE!</v>
      </c>
      <c r="GT208" t="e">
        <f>AND('Planilla_General_03-12-2012_9_3'!I3325,"AAAAAHC928k=")</f>
        <v>#VALUE!</v>
      </c>
      <c r="GU208" t="e">
        <f>AND('Planilla_General_03-12-2012_9_3'!J3325,"AAAAAHC928o=")</f>
        <v>#VALUE!</v>
      </c>
      <c r="GV208" t="e">
        <f>AND('Planilla_General_03-12-2012_9_3'!K3325,"AAAAAHC928s=")</f>
        <v>#VALUE!</v>
      </c>
      <c r="GW208" t="e">
        <f>AND('Planilla_General_03-12-2012_9_3'!L3325,"AAAAAHC928w=")</f>
        <v>#VALUE!</v>
      </c>
      <c r="GX208" t="e">
        <f>AND('Planilla_General_03-12-2012_9_3'!M3325,"AAAAAHC9280=")</f>
        <v>#VALUE!</v>
      </c>
      <c r="GY208" t="e">
        <f>AND('Planilla_General_03-12-2012_9_3'!N3325,"AAAAAHC9284=")</f>
        <v>#VALUE!</v>
      </c>
      <c r="GZ208" t="e">
        <f>AND('Planilla_General_03-12-2012_9_3'!O3325,"AAAAAHC9288=")</f>
        <v>#VALUE!</v>
      </c>
      <c r="HA208">
        <f>IF('Planilla_General_03-12-2012_9_3'!3326:3326,"AAAAAHC929A=",0)</f>
        <v>0</v>
      </c>
      <c r="HB208" t="e">
        <f>AND('Planilla_General_03-12-2012_9_3'!A3326,"AAAAAHC929E=")</f>
        <v>#VALUE!</v>
      </c>
      <c r="HC208" t="e">
        <f>AND('Planilla_General_03-12-2012_9_3'!B3326,"AAAAAHC929I=")</f>
        <v>#VALUE!</v>
      </c>
      <c r="HD208" t="e">
        <f>AND('Planilla_General_03-12-2012_9_3'!C3326,"AAAAAHC929M=")</f>
        <v>#VALUE!</v>
      </c>
      <c r="HE208" t="e">
        <f>AND('Planilla_General_03-12-2012_9_3'!D3326,"AAAAAHC929Q=")</f>
        <v>#VALUE!</v>
      </c>
      <c r="HF208" t="e">
        <f>AND('Planilla_General_03-12-2012_9_3'!E3326,"AAAAAHC929U=")</f>
        <v>#VALUE!</v>
      </c>
      <c r="HG208" t="e">
        <f>AND('Planilla_General_03-12-2012_9_3'!F3326,"AAAAAHC929Y=")</f>
        <v>#VALUE!</v>
      </c>
      <c r="HH208" t="e">
        <f>AND('Planilla_General_03-12-2012_9_3'!G3326,"AAAAAHC929c=")</f>
        <v>#VALUE!</v>
      </c>
      <c r="HI208" t="e">
        <f>AND('Planilla_General_03-12-2012_9_3'!H3326,"AAAAAHC929g=")</f>
        <v>#VALUE!</v>
      </c>
      <c r="HJ208" t="e">
        <f>AND('Planilla_General_03-12-2012_9_3'!I3326,"AAAAAHC929k=")</f>
        <v>#VALUE!</v>
      </c>
      <c r="HK208" t="e">
        <f>AND('Planilla_General_03-12-2012_9_3'!J3326,"AAAAAHC929o=")</f>
        <v>#VALUE!</v>
      </c>
      <c r="HL208" t="e">
        <f>AND('Planilla_General_03-12-2012_9_3'!K3326,"AAAAAHC929s=")</f>
        <v>#VALUE!</v>
      </c>
      <c r="HM208" t="e">
        <f>AND('Planilla_General_03-12-2012_9_3'!L3326,"AAAAAHC929w=")</f>
        <v>#VALUE!</v>
      </c>
      <c r="HN208" t="e">
        <f>AND('Planilla_General_03-12-2012_9_3'!M3326,"AAAAAHC9290=")</f>
        <v>#VALUE!</v>
      </c>
      <c r="HO208" t="e">
        <f>AND('Planilla_General_03-12-2012_9_3'!N3326,"AAAAAHC9294=")</f>
        <v>#VALUE!</v>
      </c>
      <c r="HP208" t="e">
        <f>AND('Planilla_General_03-12-2012_9_3'!O3326,"AAAAAHC9298=")</f>
        <v>#VALUE!</v>
      </c>
      <c r="HQ208">
        <f>IF('Planilla_General_03-12-2012_9_3'!3327:3327,"AAAAAHC92+A=",0)</f>
        <v>0</v>
      </c>
      <c r="HR208" t="e">
        <f>AND('Planilla_General_03-12-2012_9_3'!A3327,"AAAAAHC92+E=")</f>
        <v>#VALUE!</v>
      </c>
      <c r="HS208" t="e">
        <f>AND('Planilla_General_03-12-2012_9_3'!B3327,"AAAAAHC92+I=")</f>
        <v>#VALUE!</v>
      </c>
      <c r="HT208" t="e">
        <f>AND('Planilla_General_03-12-2012_9_3'!C3327,"AAAAAHC92+M=")</f>
        <v>#VALUE!</v>
      </c>
      <c r="HU208" t="e">
        <f>AND('Planilla_General_03-12-2012_9_3'!D3327,"AAAAAHC92+Q=")</f>
        <v>#VALUE!</v>
      </c>
      <c r="HV208" t="e">
        <f>AND('Planilla_General_03-12-2012_9_3'!E3327,"AAAAAHC92+U=")</f>
        <v>#VALUE!</v>
      </c>
      <c r="HW208" t="e">
        <f>AND('Planilla_General_03-12-2012_9_3'!F3327,"AAAAAHC92+Y=")</f>
        <v>#VALUE!</v>
      </c>
      <c r="HX208" t="e">
        <f>AND('Planilla_General_03-12-2012_9_3'!G3327,"AAAAAHC92+c=")</f>
        <v>#VALUE!</v>
      </c>
      <c r="HY208" t="e">
        <f>AND('Planilla_General_03-12-2012_9_3'!H3327,"AAAAAHC92+g=")</f>
        <v>#VALUE!</v>
      </c>
      <c r="HZ208" t="e">
        <f>AND('Planilla_General_03-12-2012_9_3'!I3327,"AAAAAHC92+k=")</f>
        <v>#VALUE!</v>
      </c>
      <c r="IA208" t="e">
        <f>AND('Planilla_General_03-12-2012_9_3'!J3327,"AAAAAHC92+o=")</f>
        <v>#VALUE!</v>
      </c>
      <c r="IB208" t="e">
        <f>AND('Planilla_General_03-12-2012_9_3'!K3327,"AAAAAHC92+s=")</f>
        <v>#VALUE!</v>
      </c>
      <c r="IC208" t="e">
        <f>AND('Planilla_General_03-12-2012_9_3'!L3327,"AAAAAHC92+w=")</f>
        <v>#VALUE!</v>
      </c>
      <c r="ID208" t="e">
        <f>AND('Planilla_General_03-12-2012_9_3'!M3327,"AAAAAHC92+0=")</f>
        <v>#VALUE!</v>
      </c>
      <c r="IE208" t="e">
        <f>AND('Planilla_General_03-12-2012_9_3'!N3327,"AAAAAHC92+4=")</f>
        <v>#VALUE!</v>
      </c>
      <c r="IF208" t="e">
        <f>AND('Planilla_General_03-12-2012_9_3'!O3327,"AAAAAHC92+8=")</f>
        <v>#VALUE!</v>
      </c>
      <c r="IG208">
        <f>IF('Planilla_General_03-12-2012_9_3'!3328:3328,"AAAAAHC92/A=",0)</f>
        <v>0</v>
      </c>
      <c r="IH208" t="e">
        <f>AND('Planilla_General_03-12-2012_9_3'!A3328,"AAAAAHC92/E=")</f>
        <v>#VALUE!</v>
      </c>
      <c r="II208" t="e">
        <f>AND('Planilla_General_03-12-2012_9_3'!B3328,"AAAAAHC92/I=")</f>
        <v>#VALUE!</v>
      </c>
      <c r="IJ208" t="e">
        <f>AND('Planilla_General_03-12-2012_9_3'!C3328,"AAAAAHC92/M=")</f>
        <v>#VALUE!</v>
      </c>
      <c r="IK208" t="e">
        <f>AND('Planilla_General_03-12-2012_9_3'!D3328,"AAAAAHC92/Q=")</f>
        <v>#VALUE!</v>
      </c>
      <c r="IL208" t="e">
        <f>AND('Planilla_General_03-12-2012_9_3'!E3328,"AAAAAHC92/U=")</f>
        <v>#VALUE!</v>
      </c>
      <c r="IM208" t="e">
        <f>AND('Planilla_General_03-12-2012_9_3'!F3328,"AAAAAHC92/Y=")</f>
        <v>#VALUE!</v>
      </c>
      <c r="IN208" t="e">
        <f>AND('Planilla_General_03-12-2012_9_3'!G3328,"AAAAAHC92/c=")</f>
        <v>#VALUE!</v>
      </c>
      <c r="IO208" t="e">
        <f>AND('Planilla_General_03-12-2012_9_3'!H3328,"AAAAAHC92/g=")</f>
        <v>#VALUE!</v>
      </c>
      <c r="IP208" t="e">
        <f>AND('Planilla_General_03-12-2012_9_3'!I3328,"AAAAAHC92/k=")</f>
        <v>#VALUE!</v>
      </c>
      <c r="IQ208" t="e">
        <f>AND('Planilla_General_03-12-2012_9_3'!J3328,"AAAAAHC92/o=")</f>
        <v>#VALUE!</v>
      </c>
      <c r="IR208" t="e">
        <f>AND('Planilla_General_03-12-2012_9_3'!K3328,"AAAAAHC92/s=")</f>
        <v>#VALUE!</v>
      </c>
      <c r="IS208" t="e">
        <f>AND('Planilla_General_03-12-2012_9_3'!L3328,"AAAAAHC92/w=")</f>
        <v>#VALUE!</v>
      </c>
      <c r="IT208" t="e">
        <f>AND('Planilla_General_03-12-2012_9_3'!M3328,"AAAAAHC92/0=")</f>
        <v>#VALUE!</v>
      </c>
      <c r="IU208" t="e">
        <f>AND('Planilla_General_03-12-2012_9_3'!N3328,"AAAAAHC92/4=")</f>
        <v>#VALUE!</v>
      </c>
      <c r="IV208" t="e">
        <f>AND('Planilla_General_03-12-2012_9_3'!O3328,"AAAAAHC92/8=")</f>
        <v>#VALUE!</v>
      </c>
    </row>
    <row r="209" spans="1:256" x14ac:dyDescent="0.25">
      <c r="A209" t="e">
        <f>IF('Planilla_General_03-12-2012_9_3'!3329:3329,"AAAAAE97/gA=",0)</f>
        <v>#VALUE!</v>
      </c>
      <c r="B209" t="e">
        <f>AND('Planilla_General_03-12-2012_9_3'!A3329,"AAAAAE97/gE=")</f>
        <v>#VALUE!</v>
      </c>
      <c r="C209" t="e">
        <f>AND('Planilla_General_03-12-2012_9_3'!B3329,"AAAAAE97/gI=")</f>
        <v>#VALUE!</v>
      </c>
      <c r="D209" t="e">
        <f>AND('Planilla_General_03-12-2012_9_3'!C3329,"AAAAAE97/gM=")</f>
        <v>#VALUE!</v>
      </c>
      <c r="E209" t="e">
        <f>AND('Planilla_General_03-12-2012_9_3'!D3329,"AAAAAE97/gQ=")</f>
        <v>#VALUE!</v>
      </c>
      <c r="F209" t="e">
        <f>AND('Planilla_General_03-12-2012_9_3'!E3329,"AAAAAE97/gU=")</f>
        <v>#VALUE!</v>
      </c>
      <c r="G209" t="e">
        <f>AND('Planilla_General_03-12-2012_9_3'!F3329,"AAAAAE97/gY=")</f>
        <v>#VALUE!</v>
      </c>
      <c r="H209" t="e">
        <f>AND('Planilla_General_03-12-2012_9_3'!G3329,"AAAAAE97/gc=")</f>
        <v>#VALUE!</v>
      </c>
      <c r="I209" t="e">
        <f>AND('Planilla_General_03-12-2012_9_3'!H3329,"AAAAAE97/gg=")</f>
        <v>#VALUE!</v>
      </c>
      <c r="J209" t="e">
        <f>AND('Planilla_General_03-12-2012_9_3'!I3329,"AAAAAE97/gk=")</f>
        <v>#VALUE!</v>
      </c>
      <c r="K209" t="e">
        <f>AND('Planilla_General_03-12-2012_9_3'!J3329,"AAAAAE97/go=")</f>
        <v>#VALUE!</v>
      </c>
      <c r="L209" t="e">
        <f>AND('Planilla_General_03-12-2012_9_3'!K3329,"AAAAAE97/gs=")</f>
        <v>#VALUE!</v>
      </c>
      <c r="M209" t="e">
        <f>AND('Planilla_General_03-12-2012_9_3'!L3329,"AAAAAE97/gw=")</f>
        <v>#VALUE!</v>
      </c>
      <c r="N209" t="e">
        <f>AND('Planilla_General_03-12-2012_9_3'!M3329,"AAAAAE97/g0=")</f>
        <v>#VALUE!</v>
      </c>
      <c r="O209" t="e">
        <f>AND('Planilla_General_03-12-2012_9_3'!N3329,"AAAAAE97/g4=")</f>
        <v>#VALUE!</v>
      </c>
      <c r="P209" t="e">
        <f>AND('Planilla_General_03-12-2012_9_3'!O3329,"AAAAAE97/g8=")</f>
        <v>#VALUE!</v>
      </c>
      <c r="Q209">
        <f>IF('Planilla_General_03-12-2012_9_3'!3330:3330,"AAAAAE97/hA=",0)</f>
        <v>0</v>
      </c>
      <c r="R209" t="e">
        <f>AND('Planilla_General_03-12-2012_9_3'!A3330,"AAAAAE97/hE=")</f>
        <v>#VALUE!</v>
      </c>
      <c r="S209" t="e">
        <f>AND('Planilla_General_03-12-2012_9_3'!B3330,"AAAAAE97/hI=")</f>
        <v>#VALUE!</v>
      </c>
      <c r="T209" t="e">
        <f>AND('Planilla_General_03-12-2012_9_3'!C3330,"AAAAAE97/hM=")</f>
        <v>#VALUE!</v>
      </c>
      <c r="U209" t="e">
        <f>AND('Planilla_General_03-12-2012_9_3'!D3330,"AAAAAE97/hQ=")</f>
        <v>#VALUE!</v>
      </c>
      <c r="V209" t="e">
        <f>AND('Planilla_General_03-12-2012_9_3'!E3330,"AAAAAE97/hU=")</f>
        <v>#VALUE!</v>
      </c>
      <c r="W209" t="e">
        <f>AND('Planilla_General_03-12-2012_9_3'!F3330,"AAAAAE97/hY=")</f>
        <v>#VALUE!</v>
      </c>
      <c r="X209" t="e">
        <f>AND('Planilla_General_03-12-2012_9_3'!G3330,"AAAAAE97/hc=")</f>
        <v>#VALUE!</v>
      </c>
      <c r="Y209" t="e">
        <f>AND('Planilla_General_03-12-2012_9_3'!H3330,"AAAAAE97/hg=")</f>
        <v>#VALUE!</v>
      </c>
      <c r="Z209" t="e">
        <f>AND('Planilla_General_03-12-2012_9_3'!I3330,"AAAAAE97/hk=")</f>
        <v>#VALUE!</v>
      </c>
      <c r="AA209" t="e">
        <f>AND('Planilla_General_03-12-2012_9_3'!J3330,"AAAAAE97/ho=")</f>
        <v>#VALUE!</v>
      </c>
      <c r="AB209" t="e">
        <f>AND('Planilla_General_03-12-2012_9_3'!K3330,"AAAAAE97/hs=")</f>
        <v>#VALUE!</v>
      </c>
      <c r="AC209" t="e">
        <f>AND('Planilla_General_03-12-2012_9_3'!L3330,"AAAAAE97/hw=")</f>
        <v>#VALUE!</v>
      </c>
      <c r="AD209" t="e">
        <f>AND('Planilla_General_03-12-2012_9_3'!M3330,"AAAAAE97/h0=")</f>
        <v>#VALUE!</v>
      </c>
      <c r="AE209" t="e">
        <f>AND('Planilla_General_03-12-2012_9_3'!N3330,"AAAAAE97/h4=")</f>
        <v>#VALUE!</v>
      </c>
      <c r="AF209" t="e">
        <f>AND('Planilla_General_03-12-2012_9_3'!O3330,"AAAAAE97/h8=")</f>
        <v>#VALUE!</v>
      </c>
      <c r="AG209">
        <f>IF('Planilla_General_03-12-2012_9_3'!3331:3331,"AAAAAE97/iA=",0)</f>
        <v>0</v>
      </c>
      <c r="AH209" t="e">
        <f>AND('Planilla_General_03-12-2012_9_3'!A3331,"AAAAAE97/iE=")</f>
        <v>#VALUE!</v>
      </c>
      <c r="AI209" t="e">
        <f>AND('Planilla_General_03-12-2012_9_3'!B3331,"AAAAAE97/iI=")</f>
        <v>#VALUE!</v>
      </c>
      <c r="AJ209" t="e">
        <f>AND('Planilla_General_03-12-2012_9_3'!C3331,"AAAAAE97/iM=")</f>
        <v>#VALUE!</v>
      </c>
      <c r="AK209" t="e">
        <f>AND('Planilla_General_03-12-2012_9_3'!D3331,"AAAAAE97/iQ=")</f>
        <v>#VALUE!</v>
      </c>
      <c r="AL209" t="e">
        <f>AND('Planilla_General_03-12-2012_9_3'!E3331,"AAAAAE97/iU=")</f>
        <v>#VALUE!</v>
      </c>
      <c r="AM209" t="e">
        <f>AND('Planilla_General_03-12-2012_9_3'!F3331,"AAAAAE97/iY=")</f>
        <v>#VALUE!</v>
      </c>
      <c r="AN209" t="e">
        <f>AND('Planilla_General_03-12-2012_9_3'!G3331,"AAAAAE97/ic=")</f>
        <v>#VALUE!</v>
      </c>
      <c r="AO209" t="e">
        <f>AND('Planilla_General_03-12-2012_9_3'!H3331,"AAAAAE97/ig=")</f>
        <v>#VALUE!</v>
      </c>
      <c r="AP209" t="e">
        <f>AND('Planilla_General_03-12-2012_9_3'!I3331,"AAAAAE97/ik=")</f>
        <v>#VALUE!</v>
      </c>
      <c r="AQ209" t="e">
        <f>AND('Planilla_General_03-12-2012_9_3'!J3331,"AAAAAE97/io=")</f>
        <v>#VALUE!</v>
      </c>
      <c r="AR209" t="e">
        <f>AND('Planilla_General_03-12-2012_9_3'!K3331,"AAAAAE97/is=")</f>
        <v>#VALUE!</v>
      </c>
      <c r="AS209" t="e">
        <f>AND('Planilla_General_03-12-2012_9_3'!L3331,"AAAAAE97/iw=")</f>
        <v>#VALUE!</v>
      </c>
      <c r="AT209" t="e">
        <f>AND('Planilla_General_03-12-2012_9_3'!M3331,"AAAAAE97/i0=")</f>
        <v>#VALUE!</v>
      </c>
      <c r="AU209" t="e">
        <f>AND('Planilla_General_03-12-2012_9_3'!N3331,"AAAAAE97/i4=")</f>
        <v>#VALUE!</v>
      </c>
      <c r="AV209" t="e">
        <f>AND('Planilla_General_03-12-2012_9_3'!O3331,"AAAAAE97/i8=")</f>
        <v>#VALUE!</v>
      </c>
      <c r="AW209">
        <f>IF('Planilla_General_03-12-2012_9_3'!3332:3332,"AAAAAE97/jA=",0)</f>
        <v>0</v>
      </c>
      <c r="AX209" t="e">
        <f>AND('Planilla_General_03-12-2012_9_3'!A3332,"AAAAAE97/jE=")</f>
        <v>#VALUE!</v>
      </c>
      <c r="AY209" t="e">
        <f>AND('Planilla_General_03-12-2012_9_3'!B3332,"AAAAAE97/jI=")</f>
        <v>#VALUE!</v>
      </c>
      <c r="AZ209" t="e">
        <f>AND('Planilla_General_03-12-2012_9_3'!C3332,"AAAAAE97/jM=")</f>
        <v>#VALUE!</v>
      </c>
      <c r="BA209" t="e">
        <f>AND('Planilla_General_03-12-2012_9_3'!D3332,"AAAAAE97/jQ=")</f>
        <v>#VALUE!</v>
      </c>
      <c r="BB209" t="e">
        <f>AND('Planilla_General_03-12-2012_9_3'!E3332,"AAAAAE97/jU=")</f>
        <v>#VALUE!</v>
      </c>
      <c r="BC209" t="e">
        <f>AND('Planilla_General_03-12-2012_9_3'!F3332,"AAAAAE97/jY=")</f>
        <v>#VALUE!</v>
      </c>
      <c r="BD209" t="e">
        <f>AND('Planilla_General_03-12-2012_9_3'!G3332,"AAAAAE97/jc=")</f>
        <v>#VALUE!</v>
      </c>
      <c r="BE209" t="e">
        <f>AND('Planilla_General_03-12-2012_9_3'!H3332,"AAAAAE97/jg=")</f>
        <v>#VALUE!</v>
      </c>
      <c r="BF209" t="e">
        <f>AND('Planilla_General_03-12-2012_9_3'!I3332,"AAAAAE97/jk=")</f>
        <v>#VALUE!</v>
      </c>
      <c r="BG209" t="e">
        <f>AND('Planilla_General_03-12-2012_9_3'!J3332,"AAAAAE97/jo=")</f>
        <v>#VALUE!</v>
      </c>
      <c r="BH209" t="e">
        <f>AND('Planilla_General_03-12-2012_9_3'!K3332,"AAAAAE97/js=")</f>
        <v>#VALUE!</v>
      </c>
      <c r="BI209" t="e">
        <f>AND('Planilla_General_03-12-2012_9_3'!L3332,"AAAAAE97/jw=")</f>
        <v>#VALUE!</v>
      </c>
      <c r="BJ209" t="e">
        <f>AND('Planilla_General_03-12-2012_9_3'!M3332,"AAAAAE97/j0=")</f>
        <v>#VALUE!</v>
      </c>
      <c r="BK209" t="e">
        <f>AND('Planilla_General_03-12-2012_9_3'!N3332,"AAAAAE97/j4=")</f>
        <v>#VALUE!</v>
      </c>
      <c r="BL209" t="e">
        <f>AND('Planilla_General_03-12-2012_9_3'!O3332,"AAAAAE97/j8=")</f>
        <v>#VALUE!</v>
      </c>
      <c r="BM209">
        <f>IF('Planilla_General_03-12-2012_9_3'!3333:3333,"AAAAAE97/kA=",0)</f>
        <v>0</v>
      </c>
      <c r="BN209" t="e">
        <f>AND('Planilla_General_03-12-2012_9_3'!A3333,"AAAAAE97/kE=")</f>
        <v>#VALUE!</v>
      </c>
      <c r="BO209" t="e">
        <f>AND('Planilla_General_03-12-2012_9_3'!B3333,"AAAAAE97/kI=")</f>
        <v>#VALUE!</v>
      </c>
      <c r="BP209" t="e">
        <f>AND('Planilla_General_03-12-2012_9_3'!C3333,"AAAAAE97/kM=")</f>
        <v>#VALUE!</v>
      </c>
      <c r="BQ209" t="e">
        <f>AND('Planilla_General_03-12-2012_9_3'!D3333,"AAAAAE97/kQ=")</f>
        <v>#VALUE!</v>
      </c>
      <c r="BR209" t="e">
        <f>AND('Planilla_General_03-12-2012_9_3'!E3333,"AAAAAE97/kU=")</f>
        <v>#VALUE!</v>
      </c>
      <c r="BS209" t="e">
        <f>AND('Planilla_General_03-12-2012_9_3'!F3333,"AAAAAE97/kY=")</f>
        <v>#VALUE!</v>
      </c>
      <c r="BT209" t="e">
        <f>AND('Planilla_General_03-12-2012_9_3'!G3333,"AAAAAE97/kc=")</f>
        <v>#VALUE!</v>
      </c>
      <c r="BU209" t="e">
        <f>AND('Planilla_General_03-12-2012_9_3'!H3333,"AAAAAE97/kg=")</f>
        <v>#VALUE!</v>
      </c>
      <c r="BV209" t="e">
        <f>AND('Planilla_General_03-12-2012_9_3'!I3333,"AAAAAE97/kk=")</f>
        <v>#VALUE!</v>
      </c>
      <c r="BW209" t="e">
        <f>AND('Planilla_General_03-12-2012_9_3'!J3333,"AAAAAE97/ko=")</f>
        <v>#VALUE!</v>
      </c>
      <c r="BX209" t="e">
        <f>AND('Planilla_General_03-12-2012_9_3'!K3333,"AAAAAE97/ks=")</f>
        <v>#VALUE!</v>
      </c>
      <c r="BY209" t="e">
        <f>AND('Planilla_General_03-12-2012_9_3'!L3333,"AAAAAE97/kw=")</f>
        <v>#VALUE!</v>
      </c>
      <c r="BZ209" t="e">
        <f>AND('Planilla_General_03-12-2012_9_3'!M3333,"AAAAAE97/k0=")</f>
        <v>#VALUE!</v>
      </c>
      <c r="CA209" t="e">
        <f>AND('Planilla_General_03-12-2012_9_3'!N3333,"AAAAAE97/k4=")</f>
        <v>#VALUE!</v>
      </c>
      <c r="CB209" t="e">
        <f>AND('Planilla_General_03-12-2012_9_3'!O3333,"AAAAAE97/k8=")</f>
        <v>#VALUE!</v>
      </c>
      <c r="CC209">
        <f>IF('Planilla_General_03-12-2012_9_3'!3334:3334,"AAAAAE97/lA=",0)</f>
        <v>0</v>
      </c>
      <c r="CD209" t="e">
        <f>AND('Planilla_General_03-12-2012_9_3'!A3334,"AAAAAE97/lE=")</f>
        <v>#VALUE!</v>
      </c>
      <c r="CE209" t="e">
        <f>AND('Planilla_General_03-12-2012_9_3'!B3334,"AAAAAE97/lI=")</f>
        <v>#VALUE!</v>
      </c>
      <c r="CF209" t="e">
        <f>AND('Planilla_General_03-12-2012_9_3'!C3334,"AAAAAE97/lM=")</f>
        <v>#VALUE!</v>
      </c>
      <c r="CG209" t="e">
        <f>AND('Planilla_General_03-12-2012_9_3'!D3334,"AAAAAE97/lQ=")</f>
        <v>#VALUE!</v>
      </c>
      <c r="CH209" t="e">
        <f>AND('Planilla_General_03-12-2012_9_3'!E3334,"AAAAAE97/lU=")</f>
        <v>#VALUE!</v>
      </c>
      <c r="CI209" t="e">
        <f>AND('Planilla_General_03-12-2012_9_3'!F3334,"AAAAAE97/lY=")</f>
        <v>#VALUE!</v>
      </c>
      <c r="CJ209" t="e">
        <f>AND('Planilla_General_03-12-2012_9_3'!G3334,"AAAAAE97/lc=")</f>
        <v>#VALUE!</v>
      </c>
      <c r="CK209" t="e">
        <f>AND('Planilla_General_03-12-2012_9_3'!H3334,"AAAAAE97/lg=")</f>
        <v>#VALUE!</v>
      </c>
      <c r="CL209" t="e">
        <f>AND('Planilla_General_03-12-2012_9_3'!I3334,"AAAAAE97/lk=")</f>
        <v>#VALUE!</v>
      </c>
      <c r="CM209" t="e">
        <f>AND('Planilla_General_03-12-2012_9_3'!J3334,"AAAAAE97/lo=")</f>
        <v>#VALUE!</v>
      </c>
      <c r="CN209" t="e">
        <f>AND('Planilla_General_03-12-2012_9_3'!K3334,"AAAAAE97/ls=")</f>
        <v>#VALUE!</v>
      </c>
      <c r="CO209" t="e">
        <f>AND('Planilla_General_03-12-2012_9_3'!L3334,"AAAAAE97/lw=")</f>
        <v>#VALUE!</v>
      </c>
      <c r="CP209" t="e">
        <f>AND('Planilla_General_03-12-2012_9_3'!M3334,"AAAAAE97/l0=")</f>
        <v>#VALUE!</v>
      </c>
      <c r="CQ209" t="e">
        <f>AND('Planilla_General_03-12-2012_9_3'!N3334,"AAAAAE97/l4=")</f>
        <v>#VALUE!</v>
      </c>
      <c r="CR209" t="e">
        <f>AND('Planilla_General_03-12-2012_9_3'!O3334,"AAAAAE97/l8=")</f>
        <v>#VALUE!</v>
      </c>
      <c r="CS209">
        <f>IF('Planilla_General_03-12-2012_9_3'!3335:3335,"AAAAAE97/mA=",0)</f>
        <v>0</v>
      </c>
      <c r="CT209" t="e">
        <f>AND('Planilla_General_03-12-2012_9_3'!A3335,"AAAAAE97/mE=")</f>
        <v>#VALUE!</v>
      </c>
      <c r="CU209" t="e">
        <f>AND('Planilla_General_03-12-2012_9_3'!B3335,"AAAAAE97/mI=")</f>
        <v>#VALUE!</v>
      </c>
      <c r="CV209" t="e">
        <f>AND('Planilla_General_03-12-2012_9_3'!C3335,"AAAAAE97/mM=")</f>
        <v>#VALUE!</v>
      </c>
      <c r="CW209" t="e">
        <f>AND('Planilla_General_03-12-2012_9_3'!D3335,"AAAAAE97/mQ=")</f>
        <v>#VALUE!</v>
      </c>
      <c r="CX209" t="e">
        <f>AND('Planilla_General_03-12-2012_9_3'!E3335,"AAAAAE97/mU=")</f>
        <v>#VALUE!</v>
      </c>
      <c r="CY209" t="e">
        <f>AND('Planilla_General_03-12-2012_9_3'!F3335,"AAAAAE97/mY=")</f>
        <v>#VALUE!</v>
      </c>
      <c r="CZ209" t="e">
        <f>AND('Planilla_General_03-12-2012_9_3'!G3335,"AAAAAE97/mc=")</f>
        <v>#VALUE!</v>
      </c>
      <c r="DA209" t="e">
        <f>AND('Planilla_General_03-12-2012_9_3'!H3335,"AAAAAE97/mg=")</f>
        <v>#VALUE!</v>
      </c>
      <c r="DB209" t="e">
        <f>AND('Planilla_General_03-12-2012_9_3'!I3335,"AAAAAE97/mk=")</f>
        <v>#VALUE!</v>
      </c>
      <c r="DC209" t="e">
        <f>AND('Planilla_General_03-12-2012_9_3'!J3335,"AAAAAE97/mo=")</f>
        <v>#VALUE!</v>
      </c>
      <c r="DD209" t="e">
        <f>AND('Planilla_General_03-12-2012_9_3'!K3335,"AAAAAE97/ms=")</f>
        <v>#VALUE!</v>
      </c>
      <c r="DE209" t="e">
        <f>AND('Planilla_General_03-12-2012_9_3'!L3335,"AAAAAE97/mw=")</f>
        <v>#VALUE!</v>
      </c>
      <c r="DF209" t="e">
        <f>AND('Planilla_General_03-12-2012_9_3'!M3335,"AAAAAE97/m0=")</f>
        <v>#VALUE!</v>
      </c>
      <c r="DG209" t="e">
        <f>AND('Planilla_General_03-12-2012_9_3'!N3335,"AAAAAE97/m4=")</f>
        <v>#VALUE!</v>
      </c>
      <c r="DH209" t="e">
        <f>AND('Planilla_General_03-12-2012_9_3'!O3335,"AAAAAE97/m8=")</f>
        <v>#VALUE!</v>
      </c>
      <c r="DI209">
        <f>IF('Planilla_General_03-12-2012_9_3'!3336:3336,"AAAAAE97/nA=",0)</f>
        <v>0</v>
      </c>
      <c r="DJ209" t="e">
        <f>AND('Planilla_General_03-12-2012_9_3'!A3336,"AAAAAE97/nE=")</f>
        <v>#VALUE!</v>
      </c>
      <c r="DK209" t="e">
        <f>AND('Planilla_General_03-12-2012_9_3'!B3336,"AAAAAE97/nI=")</f>
        <v>#VALUE!</v>
      </c>
      <c r="DL209" t="e">
        <f>AND('Planilla_General_03-12-2012_9_3'!C3336,"AAAAAE97/nM=")</f>
        <v>#VALUE!</v>
      </c>
      <c r="DM209" t="e">
        <f>AND('Planilla_General_03-12-2012_9_3'!D3336,"AAAAAE97/nQ=")</f>
        <v>#VALUE!</v>
      </c>
      <c r="DN209" t="e">
        <f>AND('Planilla_General_03-12-2012_9_3'!E3336,"AAAAAE97/nU=")</f>
        <v>#VALUE!</v>
      </c>
      <c r="DO209" t="e">
        <f>AND('Planilla_General_03-12-2012_9_3'!F3336,"AAAAAE97/nY=")</f>
        <v>#VALUE!</v>
      </c>
      <c r="DP209" t="e">
        <f>AND('Planilla_General_03-12-2012_9_3'!G3336,"AAAAAE97/nc=")</f>
        <v>#VALUE!</v>
      </c>
      <c r="DQ209" t="e">
        <f>AND('Planilla_General_03-12-2012_9_3'!H3336,"AAAAAE97/ng=")</f>
        <v>#VALUE!</v>
      </c>
      <c r="DR209" t="e">
        <f>AND('Planilla_General_03-12-2012_9_3'!I3336,"AAAAAE97/nk=")</f>
        <v>#VALUE!</v>
      </c>
      <c r="DS209" t="e">
        <f>AND('Planilla_General_03-12-2012_9_3'!J3336,"AAAAAE97/no=")</f>
        <v>#VALUE!</v>
      </c>
      <c r="DT209" t="e">
        <f>AND('Planilla_General_03-12-2012_9_3'!K3336,"AAAAAE97/ns=")</f>
        <v>#VALUE!</v>
      </c>
      <c r="DU209" t="e">
        <f>AND('Planilla_General_03-12-2012_9_3'!L3336,"AAAAAE97/nw=")</f>
        <v>#VALUE!</v>
      </c>
      <c r="DV209" t="e">
        <f>AND('Planilla_General_03-12-2012_9_3'!M3336,"AAAAAE97/n0=")</f>
        <v>#VALUE!</v>
      </c>
      <c r="DW209" t="e">
        <f>AND('Planilla_General_03-12-2012_9_3'!N3336,"AAAAAE97/n4=")</f>
        <v>#VALUE!</v>
      </c>
      <c r="DX209" t="e">
        <f>AND('Planilla_General_03-12-2012_9_3'!O3336,"AAAAAE97/n8=")</f>
        <v>#VALUE!</v>
      </c>
      <c r="DY209">
        <f>IF('Planilla_General_03-12-2012_9_3'!3337:3337,"AAAAAE97/oA=",0)</f>
        <v>0</v>
      </c>
      <c r="DZ209" t="e">
        <f>AND('Planilla_General_03-12-2012_9_3'!A3337,"AAAAAE97/oE=")</f>
        <v>#VALUE!</v>
      </c>
      <c r="EA209" t="e">
        <f>AND('Planilla_General_03-12-2012_9_3'!B3337,"AAAAAE97/oI=")</f>
        <v>#VALUE!</v>
      </c>
      <c r="EB209" t="e">
        <f>AND('Planilla_General_03-12-2012_9_3'!C3337,"AAAAAE97/oM=")</f>
        <v>#VALUE!</v>
      </c>
      <c r="EC209" t="e">
        <f>AND('Planilla_General_03-12-2012_9_3'!D3337,"AAAAAE97/oQ=")</f>
        <v>#VALUE!</v>
      </c>
      <c r="ED209" t="e">
        <f>AND('Planilla_General_03-12-2012_9_3'!E3337,"AAAAAE97/oU=")</f>
        <v>#VALUE!</v>
      </c>
      <c r="EE209" t="e">
        <f>AND('Planilla_General_03-12-2012_9_3'!F3337,"AAAAAE97/oY=")</f>
        <v>#VALUE!</v>
      </c>
      <c r="EF209" t="e">
        <f>AND('Planilla_General_03-12-2012_9_3'!G3337,"AAAAAE97/oc=")</f>
        <v>#VALUE!</v>
      </c>
      <c r="EG209" t="e">
        <f>AND('Planilla_General_03-12-2012_9_3'!H3337,"AAAAAE97/og=")</f>
        <v>#VALUE!</v>
      </c>
      <c r="EH209" t="e">
        <f>AND('Planilla_General_03-12-2012_9_3'!I3337,"AAAAAE97/ok=")</f>
        <v>#VALUE!</v>
      </c>
      <c r="EI209" t="e">
        <f>AND('Planilla_General_03-12-2012_9_3'!J3337,"AAAAAE97/oo=")</f>
        <v>#VALUE!</v>
      </c>
      <c r="EJ209" t="e">
        <f>AND('Planilla_General_03-12-2012_9_3'!K3337,"AAAAAE97/os=")</f>
        <v>#VALUE!</v>
      </c>
      <c r="EK209" t="e">
        <f>AND('Planilla_General_03-12-2012_9_3'!L3337,"AAAAAE97/ow=")</f>
        <v>#VALUE!</v>
      </c>
      <c r="EL209" t="e">
        <f>AND('Planilla_General_03-12-2012_9_3'!M3337,"AAAAAE97/o0=")</f>
        <v>#VALUE!</v>
      </c>
      <c r="EM209" t="e">
        <f>AND('Planilla_General_03-12-2012_9_3'!N3337,"AAAAAE97/o4=")</f>
        <v>#VALUE!</v>
      </c>
      <c r="EN209" t="e">
        <f>AND('Planilla_General_03-12-2012_9_3'!O3337,"AAAAAE97/o8=")</f>
        <v>#VALUE!</v>
      </c>
      <c r="EO209">
        <f>IF('Planilla_General_03-12-2012_9_3'!3338:3338,"AAAAAE97/pA=",0)</f>
        <v>0</v>
      </c>
      <c r="EP209" t="e">
        <f>AND('Planilla_General_03-12-2012_9_3'!A3338,"AAAAAE97/pE=")</f>
        <v>#VALUE!</v>
      </c>
      <c r="EQ209" t="e">
        <f>AND('Planilla_General_03-12-2012_9_3'!B3338,"AAAAAE97/pI=")</f>
        <v>#VALUE!</v>
      </c>
      <c r="ER209" t="e">
        <f>AND('Planilla_General_03-12-2012_9_3'!C3338,"AAAAAE97/pM=")</f>
        <v>#VALUE!</v>
      </c>
      <c r="ES209" t="e">
        <f>AND('Planilla_General_03-12-2012_9_3'!D3338,"AAAAAE97/pQ=")</f>
        <v>#VALUE!</v>
      </c>
      <c r="ET209" t="e">
        <f>AND('Planilla_General_03-12-2012_9_3'!E3338,"AAAAAE97/pU=")</f>
        <v>#VALUE!</v>
      </c>
      <c r="EU209" t="e">
        <f>AND('Planilla_General_03-12-2012_9_3'!F3338,"AAAAAE97/pY=")</f>
        <v>#VALUE!</v>
      </c>
      <c r="EV209" t="e">
        <f>AND('Planilla_General_03-12-2012_9_3'!G3338,"AAAAAE97/pc=")</f>
        <v>#VALUE!</v>
      </c>
      <c r="EW209" t="e">
        <f>AND('Planilla_General_03-12-2012_9_3'!H3338,"AAAAAE97/pg=")</f>
        <v>#VALUE!</v>
      </c>
      <c r="EX209" t="e">
        <f>AND('Planilla_General_03-12-2012_9_3'!I3338,"AAAAAE97/pk=")</f>
        <v>#VALUE!</v>
      </c>
      <c r="EY209" t="e">
        <f>AND('Planilla_General_03-12-2012_9_3'!J3338,"AAAAAE97/po=")</f>
        <v>#VALUE!</v>
      </c>
      <c r="EZ209" t="e">
        <f>AND('Planilla_General_03-12-2012_9_3'!K3338,"AAAAAE97/ps=")</f>
        <v>#VALUE!</v>
      </c>
      <c r="FA209" t="e">
        <f>AND('Planilla_General_03-12-2012_9_3'!L3338,"AAAAAE97/pw=")</f>
        <v>#VALUE!</v>
      </c>
      <c r="FB209" t="e">
        <f>AND('Planilla_General_03-12-2012_9_3'!M3338,"AAAAAE97/p0=")</f>
        <v>#VALUE!</v>
      </c>
      <c r="FC209" t="e">
        <f>AND('Planilla_General_03-12-2012_9_3'!N3338,"AAAAAE97/p4=")</f>
        <v>#VALUE!</v>
      </c>
      <c r="FD209" t="e">
        <f>AND('Planilla_General_03-12-2012_9_3'!O3338,"AAAAAE97/p8=")</f>
        <v>#VALUE!</v>
      </c>
      <c r="FE209">
        <f>IF('Planilla_General_03-12-2012_9_3'!3339:3339,"AAAAAE97/qA=",0)</f>
        <v>0</v>
      </c>
      <c r="FF209" t="e">
        <f>AND('Planilla_General_03-12-2012_9_3'!A3339,"AAAAAE97/qE=")</f>
        <v>#VALUE!</v>
      </c>
      <c r="FG209" t="e">
        <f>AND('Planilla_General_03-12-2012_9_3'!B3339,"AAAAAE97/qI=")</f>
        <v>#VALUE!</v>
      </c>
      <c r="FH209" t="e">
        <f>AND('Planilla_General_03-12-2012_9_3'!C3339,"AAAAAE97/qM=")</f>
        <v>#VALUE!</v>
      </c>
      <c r="FI209" t="e">
        <f>AND('Planilla_General_03-12-2012_9_3'!D3339,"AAAAAE97/qQ=")</f>
        <v>#VALUE!</v>
      </c>
      <c r="FJ209" t="e">
        <f>AND('Planilla_General_03-12-2012_9_3'!E3339,"AAAAAE97/qU=")</f>
        <v>#VALUE!</v>
      </c>
      <c r="FK209" t="e">
        <f>AND('Planilla_General_03-12-2012_9_3'!F3339,"AAAAAE97/qY=")</f>
        <v>#VALUE!</v>
      </c>
      <c r="FL209" t="e">
        <f>AND('Planilla_General_03-12-2012_9_3'!G3339,"AAAAAE97/qc=")</f>
        <v>#VALUE!</v>
      </c>
      <c r="FM209" t="e">
        <f>AND('Planilla_General_03-12-2012_9_3'!H3339,"AAAAAE97/qg=")</f>
        <v>#VALUE!</v>
      </c>
      <c r="FN209" t="e">
        <f>AND('Planilla_General_03-12-2012_9_3'!I3339,"AAAAAE97/qk=")</f>
        <v>#VALUE!</v>
      </c>
      <c r="FO209" t="e">
        <f>AND('Planilla_General_03-12-2012_9_3'!J3339,"AAAAAE97/qo=")</f>
        <v>#VALUE!</v>
      </c>
      <c r="FP209" t="e">
        <f>AND('Planilla_General_03-12-2012_9_3'!K3339,"AAAAAE97/qs=")</f>
        <v>#VALUE!</v>
      </c>
      <c r="FQ209" t="e">
        <f>AND('Planilla_General_03-12-2012_9_3'!L3339,"AAAAAE97/qw=")</f>
        <v>#VALUE!</v>
      </c>
      <c r="FR209" t="e">
        <f>AND('Planilla_General_03-12-2012_9_3'!M3339,"AAAAAE97/q0=")</f>
        <v>#VALUE!</v>
      </c>
      <c r="FS209" t="e">
        <f>AND('Planilla_General_03-12-2012_9_3'!N3339,"AAAAAE97/q4=")</f>
        <v>#VALUE!</v>
      </c>
      <c r="FT209" t="e">
        <f>AND('Planilla_General_03-12-2012_9_3'!O3339,"AAAAAE97/q8=")</f>
        <v>#VALUE!</v>
      </c>
      <c r="FU209">
        <f>IF('Planilla_General_03-12-2012_9_3'!3340:3340,"AAAAAE97/rA=",0)</f>
        <v>0</v>
      </c>
      <c r="FV209" t="e">
        <f>AND('Planilla_General_03-12-2012_9_3'!A3340,"AAAAAE97/rE=")</f>
        <v>#VALUE!</v>
      </c>
      <c r="FW209" t="e">
        <f>AND('Planilla_General_03-12-2012_9_3'!B3340,"AAAAAE97/rI=")</f>
        <v>#VALUE!</v>
      </c>
      <c r="FX209" t="e">
        <f>AND('Planilla_General_03-12-2012_9_3'!C3340,"AAAAAE97/rM=")</f>
        <v>#VALUE!</v>
      </c>
      <c r="FY209" t="e">
        <f>AND('Planilla_General_03-12-2012_9_3'!D3340,"AAAAAE97/rQ=")</f>
        <v>#VALUE!</v>
      </c>
      <c r="FZ209" t="e">
        <f>AND('Planilla_General_03-12-2012_9_3'!E3340,"AAAAAE97/rU=")</f>
        <v>#VALUE!</v>
      </c>
      <c r="GA209" t="e">
        <f>AND('Planilla_General_03-12-2012_9_3'!F3340,"AAAAAE97/rY=")</f>
        <v>#VALUE!</v>
      </c>
      <c r="GB209" t="e">
        <f>AND('Planilla_General_03-12-2012_9_3'!G3340,"AAAAAE97/rc=")</f>
        <v>#VALUE!</v>
      </c>
      <c r="GC209" t="e">
        <f>AND('Planilla_General_03-12-2012_9_3'!H3340,"AAAAAE97/rg=")</f>
        <v>#VALUE!</v>
      </c>
      <c r="GD209" t="e">
        <f>AND('Planilla_General_03-12-2012_9_3'!I3340,"AAAAAE97/rk=")</f>
        <v>#VALUE!</v>
      </c>
      <c r="GE209" t="e">
        <f>AND('Planilla_General_03-12-2012_9_3'!J3340,"AAAAAE97/ro=")</f>
        <v>#VALUE!</v>
      </c>
      <c r="GF209" t="e">
        <f>AND('Planilla_General_03-12-2012_9_3'!K3340,"AAAAAE97/rs=")</f>
        <v>#VALUE!</v>
      </c>
      <c r="GG209" t="e">
        <f>AND('Planilla_General_03-12-2012_9_3'!L3340,"AAAAAE97/rw=")</f>
        <v>#VALUE!</v>
      </c>
      <c r="GH209" t="e">
        <f>AND('Planilla_General_03-12-2012_9_3'!M3340,"AAAAAE97/r0=")</f>
        <v>#VALUE!</v>
      </c>
      <c r="GI209" t="e">
        <f>AND('Planilla_General_03-12-2012_9_3'!N3340,"AAAAAE97/r4=")</f>
        <v>#VALUE!</v>
      </c>
      <c r="GJ209" t="e">
        <f>AND('Planilla_General_03-12-2012_9_3'!O3340,"AAAAAE97/r8=")</f>
        <v>#VALUE!</v>
      </c>
      <c r="GK209">
        <f>IF('Planilla_General_03-12-2012_9_3'!3341:3341,"AAAAAE97/sA=",0)</f>
        <v>0</v>
      </c>
      <c r="GL209" t="e">
        <f>AND('Planilla_General_03-12-2012_9_3'!A3341,"AAAAAE97/sE=")</f>
        <v>#VALUE!</v>
      </c>
      <c r="GM209" t="e">
        <f>AND('Planilla_General_03-12-2012_9_3'!B3341,"AAAAAE97/sI=")</f>
        <v>#VALUE!</v>
      </c>
      <c r="GN209" t="e">
        <f>AND('Planilla_General_03-12-2012_9_3'!C3341,"AAAAAE97/sM=")</f>
        <v>#VALUE!</v>
      </c>
      <c r="GO209" t="e">
        <f>AND('Planilla_General_03-12-2012_9_3'!D3341,"AAAAAE97/sQ=")</f>
        <v>#VALUE!</v>
      </c>
      <c r="GP209" t="e">
        <f>AND('Planilla_General_03-12-2012_9_3'!E3341,"AAAAAE97/sU=")</f>
        <v>#VALUE!</v>
      </c>
      <c r="GQ209" t="e">
        <f>AND('Planilla_General_03-12-2012_9_3'!F3341,"AAAAAE97/sY=")</f>
        <v>#VALUE!</v>
      </c>
      <c r="GR209" t="e">
        <f>AND('Planilla_General_03-12-2012_9_3'!G3341,"AAAAAE97/sc=")</f>
        <v>#VALUE!</v>
      </c>
      <c r="GS209" t="e">
        <f>AND('Planilla_General_03-12-2012_9_3'!H3341,"AAAAAE97/sg=")</f>
        <v>#VALUE!</v>
      </c>
      <c r="GT209" t="e">
        <f>AND('Planilla_General_03-12-2012_9_3'!I3341,"AAAAAE97/sk=")</f>
        <v>#VALUE!</v>
      </c>
      <c r="GU209" t="e">
        <f>AND('Planilla_General_03-12-2012_9_3'!J3341,"AAAAAE97/so=")</f>
        <v>#VALUE!</v>
      </c>
      <c r="GV209" t="e">
        <f>AND('Planilla_General_03-12-2012_9_3'!K3341,"AAAAAE97/ss=")</f>
        <v>#VALUE!</v>
      </c>
      <c r="GW209" t="e">
        <f>AND('Planilla_General_03-12-2012_9_3'!L3341,"AAAAAE97/sw=")</f>
        <v>#VALUE!</v>
      </c>
      <c r="GX209" t="e">
        <f>AND('Planilla_General_03-12-2012_9_3'!M3341,"AAAAAE97/s0=")</f>
        <v>#VALUE!</v>
      </c>
      <c r="GY209" t="e">
        <f>AND('Planilla_General_03-12-2012_9_3'!N3341,"AAAAAE97/s4=")</f>
        <v>#VALUE!</v>
      </c>
      <c r="GZ209" t="e">
        <f>AND('Planilla_General_03-12-2012_9_3'!O3341,"AAAAAE97/s8=")</f>
        <v>#VALUE!</v>
      </c>
      <c r="HA209">
        <f>IF('Planilla_General_03-12-2012_9_3'!3342:3342,"AAAAAE97/tA=",0)</f>
        <v>0</v>
      </c>
      <c r="HB209" t="e">
        <f>AND('Planilla_General_03-12-2012_9_3'!A3342,"AAAAAE97/tE=")</f>
        <v>#VALUE!</v>
      </c>
      <c r="HC209" t="e">
        <f>AND('Planilla_General_03-12-2012_9_3'!B3342,"AAAAAE97/tI=")</f>
        <v>#VALUE!</v>
      </c>
      <c r="HD209" t="e">
        <f>AND('Planilla_General_03-12-2012_9_3'!C3342,"AAAAAE97/tM=")</f>
        <v>#VALUE!</v>
      </c>
      <c r="HE209" t="e">
        <f>AND('Planilla_General_03-12-2012_9_3'!D3342,"AAAAAE97/tQ=")</f>
        <v>#VALUE!</v>
      </c>
      <c r="HF209" t="e">
        <f>AND('Planilla_General_03-12-2012_9_3'!E3342,"AAAAAE97/tU=")</f>
        <v>#VALUE!</v>
      </c>
      <c r="HG209" t="e">
        <f>AND('Planilla_General_03-12-2012_9_3'!F3342,"AAAAAE97/tY=")</f>
        <v>#VALUE!</v>
      </c>
      <c r="HH209" t="e">
        <f>AND('Planilla_General_03-12-2012_9_3'!G3342,"AAAAAE97/tc=")</f>
        <v>#VALUE!</v>
      </c>
      <c r="HI209" t="e">
        <f>AND('Planilla_General_03-12-2012_9_3'!H3342,"AAAAAE97/tg=")</f>
        <v>#VALUE!</v>
      </c>
      <c r="HJ209" t="e">
        <f>AND('Planilla_General_03-12-2012_9_3'!I3342,"AAAAAE97/tk=")</f>
        <v>#VALUE!</v>
      </c>
      <c r="HK209" t="e">
        <f>AND('Planilla_General_03-12-2012_9_3'!J3342,"AAAAAE97/to=")</f>
        <v>#VALUE!</v>
      </c>
      <c r="HL209" t="e">
        <f>AND('Planilla_General_03-12-2012_9_3'!K3342,"AAAAAE97/ts=")</f>
        <v>#VALUE!</v>
      </c>
      <c r="HM209" t="e">
        <f>AND('Planilla_General_03-12-2012_9_3'!L3342,"AAAAAE97/tw=")</f>
        <v>#VALUE!</v>
      </c>
      <c r="HN209" t="e">
        <f>AND('Planilla_General_03-12-2012_9_3'!M3342,"AAAAAE97/t0=")</f>
        <v>#VALUE!</v>
      </c>
      <c r="HO209" t="e">
        <f>AND('Planilla_General_03-12-2012_9_3'!N3342,"AAAAAE97/t4=")</f>
        <v>#VALUE!</v>
      </c>
      <c r="HP209" t="e">
        <f>AND('Planilla_General_03-12-2012_9_3'!O3342,"AAAAAE97/t8=")</f>
        <v>#VALUE!</v>
      </c>
      <c r="HQ209">
        <f>IF('Planilla_General_03-12-2012_9_3'!3343:3343,"AAAAAE97/uA=",0)</f>
        <v>0</v>
      </c>
      <c r="HR209" t="e">
        <f>AND('Planilla_General_03-12-2012_9_3'!A3343,"AAAAAE97/uE=")</f>
        <v>#VALUE!</v>
      </c>
      <c r="HS209" t="e">
        <f>AND('Planilla_General_03-12-2012_9_3'!B3343,"AAAAAE97/uI=")</f>
        <v>#VALUE!</v>
      </c>
      <c r="HT209" t="e">
        <f>AND('Planilla_General_03-12-2012_9_3'!C3343,"AAAAAE97/uM=")</f>
        <v>#VALUE!</v>
      </c>
      <c r="HU209" t="e">
        <f>AND('Planilla_General_03-12-2012_9_3'!D3343,"AAAAAE97/uQ=")</f>
        <v>#VALUE!</v>
      </c>
      <c r="HV209" t="e">
        <f>AND('Planilla_General_03-12-2012_9_3'!E3343,"AAAAAE97/uU=")</f>
        <v>#VALUE!</v>
      </c>
      <c r="HW209" t="e">
        <f>AND('Planilla_General_03-12-2012_9_3'!F3343,"AAAAAE97/uY=")</f>
        <v>#VALUE!</v>
      </c>
      <c r="HX209" t="e">
        <f>AND('Planilla_General_03-12-2012_9_3'!G3343,"AAAAAE97/uc=")</f>
        <v>#VALUE!</v>
      </c>
      <c r="HY209" t="e">
        <f>AND('Planilla_General_03-12-2012_9_3'!H3343,"AAAAAE97/ug=")</f>
        <v>#VALUE!</v>
      </c>
      <c r="HZ209" t="e">
        <f>AND('Planilla_General_03-12-2012_9_3'!I3343,"AAAAAE97/uk=")</f>
        <v>#VALUE!</v>
      </c>
      <c r="IA209" t="e">
        <f>AND('Planilla_General_03-12-2012_9_3'!J3343,"AAAAAE97/uo=")</f>
        <v>#VALUE!</v>
      </c>
      <c r="IB209" t="e">
        <f>AND('Planilla_General_03-12-2012_9_3'!K3343,"AAAAAE97/us=")</f>
        <v>#VALUE!</v>
      </c>
      <c r="IC209" t="e">
        <f>AND('Planilla_General_03-12-2012_9_3'!L3343,"AAAAAE97/uw=")</f>
        <v>#VALUE!</v>
      </c>
      <c r="ID209" t="e">
        <f>AND('Planilla_General_03-12-2012_9_3'!M3343,"AAAAAE97/u0=")</f>
        <v>#VALUE!</v>
      </c>
      <c r="IE209" t="e">
        <f>AND('Planilla_General_03-12-2012_9_3'!N3343,"AAAAAE97/u4=")</f>
        <v>#VALUE!</v>
      </c>
      <c r="IF209" t="e">
        <f>AND('Planilla_General_03-12-2012_9_3'!O3343,"AAAAAE97/u8=")</f>
        <v>#VALUE!</v>
      </c>
      <c r="IG209">
        <f>IF('Planilla_General_03-12-2012_9_3'!3344:3344,"AAAAAE97/vA=",0)</f>
        <v>0</v>
      </c>
      <c r="IH209" t="e">
        <f>AND('Planilla_General_03-12-2012_9_3'!A3344,"AAAAAE97/vE=")</f>
        <v>#VALUE!</v>
      </c>
      <c r="II209" t="e">
        <f>AND('Planilla_General_03-12-2012_9_3'!B3344,"AAAAAE97/vI=")</f>
        <v>#VALUE!</v>
      </c>
      <c r="IJ209" t="e">
        <f>AND('Planilla_General_03-12-2012_9_3'!C3344,"AAAAAE97/vM=")</f>
        <v>#VALUE!</v>
      </c>
      <c r="IK209" t="e">
        <f>AND('Planilla_General_03-12-2012_9_3'!D3344,"AAAAAE97/vQ=")</f>
        <v>#VALUE!</v>
      </c>
      <c r="IL209" t="e">
        <f>AND('Planilla_General_03-12-2012_9_3'!E3344,"AAAAAE97/vU=")</f>
        <v>#VALUE!</v>
      </c>
      <c r="IM209" t="e">
        <f>AND('Planilla_General_03-12-2012_9_3'!F3344,"AAAAAE97/vY=")</f>
        <v>#VALUE!</v>
      </c>
      <c r="IN209" t="e">
        <f>AND('Planilla_General_03-12-2012_9_3'!G3344,"AAAAAE97/vc=")</f>
        <v>#VALUE!</v>
      </c>
      <c r="IO209" t="e">
        <f>AND('Planilla_General_03-12-2012_9_3'!H3344,"AAAAAE97/vg=")</f>
        <v>#VALUE!</v>
      </c>
      <c r="IP209" t="e">
        <f>AND('Planilla_General_03-12-2012_9_3'!I3344,"AAAAAE97/vk=")</f>
        <v>#VALUE!</v>
      </c>
      <c r="IQ209" t="e">
        <f>AND('Planilla_General_03-12-2012_9_3'!J3344,"AAAAAE97/vo=")</f>
        <v>#VALUE!</v>
      </c>
      <c r="IR209" t="e">
        <f>AND('Planilla_General_03-12-2012_9_3'!K3344,"AAAAAE97/vs=")</f>
        <v>#VALUE!</v>
      </c>
      <c r="IS209" t="e">
        <f>AND('Planilla_General_03-12-2012_9_3'!L3344,"AAAAAE97/vw=")</f>
        <v>#VALUE!</v>
      </c>
      <c r="IT209" t="e">
        <f>AND('Planilla_General_03-12-2012_9_3'!M3344,"AAAAAE97/v0=")</f>
        <v>#VALUE!</v>
      </c>
      <c r="IU209" t="e">
        <f>AND('Planilla_General_03-12-2012_9_3'!N3344,"AAAAAE97/v4=")</f>
        <v>#VALUE!</v>
      </c>
      <c r="IV209" t="e">
        <f>AND('Planilla_General_03-12-2012_9_3'!O3344,"AAAAAE97/v8=")</f>
        <v>#VALUE!</v>
      </c>
    </row>
    <row r="210" spans="1:256" x14ac:dyDescent="0.25">
      <c r="A210" t="e">
        <f>IF('Planilla_General_03-12-2012_9_3'!3345:3345,"AAAAAH7f3AA=",0)</f>
        <v>#VALUE!</v>
      </c>
      <c r="B210" t="e">
        <f>AND('Planilla_General_03-12-2012_9_3'!A3345,"AAAAAH7f3AE=")</f>
        <v>#VALUE!</v>
      </c>
      <c r="C210" t="e">
        <f>AND('Planilla_General_03-12-2012_9_3'!B3345,"AAAAAH7f3AI=")</f>
        <v>#VALUE!</v>
      </c>
      <c r="D210" t="e">
        <f>AND('Planilla_General_03-12-2012_9_3'!C3345,"AAAAAH7f3AM=")</f>
        <v>#VALUE!</v>
      </c>
      <c r="E210" t="e">
        <f>AND('Planilla_General_03-12-2012_9_3'!D3345,"AAAAAH7f3AQ=")</f>
        <v>#VALUE!</v>
      </c>
      <c r="F210" t="e">
        <f>AND('Planilla_General_03-12-2012_9_3'!E3345,"AAAAAH7f3AU=")</f>
        <v>#VALUE!</v>
      </c>
      <c r="G210" t="e">
        <f>AND('Planilla_General_03-12-2012_9_3'!F3345,"AAAAAH7f3AY=")</f>
        <v>#VALUE!</v>
      </c>
      <c r="H210" t="e">
        <f>AND('Planilla_General_03-12-2012_9_3'!G3345,"AAAAAH7f3Ac=")</f>
        <v>#VALUE!</v>
      </c>
      <c r="I210" t="e">
        <f>AND('Planilla_General_03-12-2012_9_3'!H3345,"AAAAAH7f3Ag=")</f>
        <v>#VALUE!</v>
      </c>
      <c r="J210" t="e">
        <f>AND('Planilla_General_03-12-2012_9_3'!I3345,"AAAAAH7f3Ak=")</f>
        <v>#VALUE!</v>
      </c>
      <c r="K210" t="e">
        <f>AND('Planilla_General_03-12-2012_9_3'!J3345,"AAAAAH7f3Ao=")</f>
        <v>#VALUE!</v>
      </c>
      <c r="L210" t="e">
        <f>AND('Planilla_General_03-12-2012_9_3'!K3345,"AAAAAH7f3As=")</f>
        <v>#VALUE!</v>
      </c>
      <c r="M210" t="e">
        <f>AND('Planilla_General_03-12-2012_9_3'!L3345,"AAAAAH7f3Aw=")</f>
        <v>#VALUE!</v>
      </c>
      <c r="N210" t="e">
        <f>AND('Planilla_General_03-12-2012_9_3'!M3345,"AAAAAH7f3A0=")</f>
        <v>#VALUE!</v>
      </c>
      <c r="O210" t="e">
        <f>AND('Planilla_General_03-12-2012_9_3'!N3345,"AAAAAH7f3A4=")</f>
        <v>#VALUE!</v>
      </c>
      <c r="P210" t="e">
        <f>AND('Planilla_General_03-12-2012_9_3'!O3345,"AAAAAH7f3A8=")</f>
        <v>#VALUE!</v>
      </c>
      <c r="Q210">
        <f>IF('Planilla_General_03-12-2012_9_3'!3346:3346,"AAAAAH7f3BA=",0)</f>
        <v>0</v>
      </c>
      <c r="R210" t="e">
        <f>AND('Planilla_General_03-12-2012_9_3'!A3346,"AAAAAH7f3BE=")</f>
        <v>#VALUE!</v>
      </c>
      <c r="S210" t="e">
        <f>AND('Planilla_General_03-12-2012_9_3'!B3346,"AAAAAH7f3BI=")</f>
        <v>#VALUE!</v>
      </c>
      <c r="T210" t="e">
        <f>AND('Planilla_General_03-12-2012_9_3'!C3346,"AAAAAH7f3BM=")</f>
        <v>#VALUE!</v>
      </c>
      <c r="U210" t="e">
        <f>AND('Planilla_General_03-12-2012_9_3'!D3346,"AAAAAH7f3BQ=")</f>
        <v>#VALUE!</v>
      </c>
      <c r="V210" t="e">
        <f>AND('Planilla_General_03-12-2012_9_3'!E3346,"AAAAAH7f3BU=")</f>
        <v>#VALUE!</v>
      </c>
      <c r="W210" t="e">
        <f>AND('Planilla_General_03-12-2012_9_3'!F3346,"AAAAAH7f3BY=")</f>
        <v>#VALUE!</v>
      </c>
      <c r="X210" t="e">
        <f>AND('Planilla_General_03-12-2012_9_3'!G3346,"AAAAAH7f3Bc=")</f>
        <v>#VALUE!</v>
      </c>
      <c r="Y210" t="e">
        <f>AND('Planilla_General_03-12-2012_9_3'!H3346,"AAAAAH7f3Bg=")</f>
        <v>#VALUE!</v>
      </c>
      <c r="Z210" t="e">
        <f>AND('Planilla_General_03-12-2012_9_3'!I3346,"AAAAAH7f3Bk=")</f>
        <v>#VALUE!</v>
      </c>
      <c r="AA210" t="e">
        <f>AND('Planilla_General_03-12-2012_9_3'!J3346,"AAAAAH7f3Bo=")</f>
        <v>#VALUE!</v>
      </c>
      <c r="AB210" t="e">
        <f>AND('Planilla_General_03-12-2012_9_3'!K3346,"AAAAAH7f3Bs=")</f>
        <v>#VALUE!</v>
      </c>
      <c r="AC210" t="e">
        <f>AND('Planilla_General_03-12-2012_9_3'!L3346,"AAAAAH7f3Bw=")</f>
        <v>#VALUE!</v>
      </c>
      <c r="AD210" t="e">
        <f>AND('Planilla_General_03-12-2012_9_3'!M3346,"AAAAAH7f3B0=")</f>
        <v>#VALUE!</v>
      </c>
      <c r="AE210" t="e">
        <f>AND('Planilla_General_03-12-2012_9_3'!N3346,"AAAAAH7f3B4=")</f>
        <v>#VALUE!</v>
      </c>
      <c r="AF210" t="e">
        <f>AND('Planilla_General_03-12-2012_9_3'!O3346,"AAAAAH7f3B8=")</f>
        <v>#VALUE!</v>
      </c>
      <c r="AG210">
        <f>IF('Planilla_General_03-12-2012_9_3'!3347:3347,"AAAAAH7f3CA=",0)</f>
        <v>0</v>
      </c>
      <c r="AH210" t="e">
        <f>AND('Planilla_General_03-12-2012_9_3'!A3347,"AAAAAH7f3CE=")</f>
        <v>#VALUE!</v>
      </c>
      <c r="AI210" t="e">
        <f>AND('Planilla_General_03-12-2012_9_3'!B3347,"AAAAAH7f3CI=")</f>
        <v>#VALUE!</v>
      </c>
      <c r="AJ210" t="e">
        <f>AND('Planilla_General_03-12-2012_9_3'!C3347,"AAAAAH7f3CM=")</f>
        <v>#VALUE!</v>
      </c>
      <c r="AK210" t="e">
        <f>AND('Planilla_General_03-12-2012_9_3'!D3347,"AAAAAH7f3CQ=")</f>
        <v>#VALUE!</v>
      </c>
      <c r="AL210" t="e">
        <f>AND('Planilla_General_03-12-2012_9_3'!E3347,"AAAAAH7f3CU=")</f>
        <v>#VALUE!</v>
      </c>
      <c r="AM210" t="e">
        <f>AND('Planilla_General_03-12-2012_9_3'!F3347,"AAAAAH7f3CY=")</f>
        <v>#VALUE!</v>
      </c>
      <c r="AN210" t="e">
        <f>AND('Planilla_General_03-12-2012_9_3'!G3347,"AAAAAH7f3Cc=")</f>
        <v>#VALUE!</v>
      </c>
      <c r="AO210" t="e">
        <f>AND('Planilla_General_03-12-2012_9_3'!H3347,"AAAAAH7f3Cg=")</f>
        <v>#VALUE!</v>
      </c>
      <c r="AP210" t="e">
        <f>AND('Planilla_General_03-12-2012_9_3'!I3347,"AAAAAH7f3Ck=")</f>
        <v>#VALUE!</v>
      </c>
      <c r="AQ210" t="e">
        <f>AND('Planilla_General_03-12-2012_9_3'!J3347,"AAAAAH7f3Co=")</f>
        <v>#VALUE!</v>
      </c>
      <c r="AR210" t="e">
        <f>AND('Planilla_General_03-12-2012_9_3'!K3347,"AAAAAH7f3Cs=")</f>
        <v>#VALUE!</v>
      </c>
      <c r="AS210" t="e">
        <f>AND('Planilla_General_03-12-2012_9_3'!L3347,"AAAAAH7f3Cw=")</f>
        <v>#VALUE!</v>
      </c>
      <c r="AT210" t="e">
        <f>AND('Planilla_General_03-12-2012_9_3'!M3347,"AAAAAH7f3C0=")</f>
        <v>#VALUE!</v>
      </c>
      <c r="AU210" t="e">
        <f>AND('Planilla_General_03-12-2012_9_3'!N3347,"AAAAAH7f3C4=")</f>
        <v>#VALUE!</v>
      </c>
      <c r="AV210" t="e">
        <f>AND('Planilla_General_03-12-2012_9_3'!O3347,"AAAAAH7f3C8=")</f>
        <v>#VALUE!</v>
      </c>
      <c r="AW210">
        <f>IF('Planilla_General_03-12-2012_9_3'!3348:3348,"AAAAAH7f3DA=",0)</f>
        <v>0</v>
      </c>
      <c r="AX210" t="e">
        <f>AND('Planilla_General_03-12-2012_9_3'!A3348,"AAAAAH7f3DE=")</f>
        <v>#VALUE!</v>
      </c>
      <c r="AY210" t="e">
        <f>AND('Planilla_General_03-12-2012_9_3'!B3348,"AAAAAH7f3DI=")</f>
        <v>#VALUE!</v>
      </c>
      <c r="AZ210" t="e">
        <f>AND('Planilla_General_03-12-2012_9_3'!C3348,"AAAAAH7f3DM=")</f>
        <v>#VALUE!</v>
      </c>
      <c r="BA210" t="e">
        <f>AND('Planilla_General_03-12-2012_9_3'!D3348,"AAAAAH7f3DQ=")</f>
        <v>#VALUE!</v>
      </c>
      <c r="BB210" t="e">
        <f>AND('Planilla_General_03-12-2012_9_3'!E3348,"AAAAAH7f3DU=")</f>
        <v>#VALUE!</v>
      </c>
      <c r="BC210" t="e">
        <f>AND('Planilla_General_03-12-2012_9_3'!F3348,"AAAAAH7f3DY=")</f>
        <v>#VALUE!</v>
      </c>
      <c r="BD210" t="e">
        <f>AND('Planilla_General_03-12-2012_9_3'!G3348,"AAAAAH7f3Dc=")</f>
        <v>#VALUE!</v>
      </c>
      <c r="BE210" t="e">
        <f>AND('Planilla_General_03-12-2012_9_3'!H3348,"AAAAAH7f3Dg=")</f>
        <v>#VALUE!</v>
      </c>
      <c r="BF210" t="e">
        <f>AND('Planilla_General_03-12-2012_9_3'!I3348,"AAAAAH7f3Dk=")</f>
        <v>#VALUE!</v>
      </c>
      <c r="BG210" t="e">
        <f>AND('Planilla_General_03-12-2012_9_3'!J3348,"AAAAAH7f3Do=")</f>
        <v>#VALUE!</v>
      </c>
      <c r="BH210" t="e">
        <f>AND('Planilla_General_03-12-2012_9_3'!K3348,"AAAAAH7f3Ds=")</f>
        <v>#VALUE!</v>
      </c>
      <c r="BI210" t="e">
        <f>AND('Planilla_General_03-12-2012_9_3'!L3348,"AAAAAH7f3Dw=")</f>
        <v>#VALUE!</v>
      </c>
      <c r="BJ210" t="e">
        <f>AND('Planilla_General_03-12-2012_9_3'!M3348,"AAAAAH7f3D0=")</f>
        <v>#VALUE!</v>
      </c>
      <c r="BK210" t="e">
        <f>AND('Planilla_General_03-12-2012_9_3'!N3348,"AAAAAH7f3D4=")</f>
        <v>#VALUE!</v>
      </c>
      <c r="BL210" t="e">
        <f>AND('Planilla_General_03-12-2012_9_3'!O3348,"AAAAAH7f3D8=")</f>
        <v>#VALUE!</v>
      </c>
      <c r="BM210">
        <f>IF('Planilla_General_03-12-2012_9_3'!3349:3349,"AAAAAH7f3EA=",0)</f>
        <v>0</v>
      </c>
      <c r="BN210" t="e">
        <f>AND('Planilla_General_03-12-2012_9_3'!A3349,"AAAAAH7f3EE=")</f>
        <v>#VALUE!</v>
      </c>
      <c r="BO210" t="e">
        <f>AND('Planilla_General_03-12-2012_9_3'!B3349,"AAAAAH7f3EI=")</f>
        <v>#VALUE!</v>
      </c>
      <c r="BP210" t="e">
        <f>AND('Planilla_General_03-12-2012_9_3'!C3349,"AAAAAH7f3EM=")</f>
        <v>#VALUE!</v>
      </c>
      <c r="BQ210" t="e">
        <f>AND('Planilla_General_03-12-2012_9_3'!D3349,"AAAAAH7f3EQ=")</f>
        <v>#VALUE!</v>
      </c>
      <c r="BR210" t="e">
        <f>AND('Planilla_General_03-12-2012_9_3'!E3349,"AAAAAH7f3EU=")</f>
        <v>#VALUE!</v>
      </c>
      <c r="BS210" t="e">
        <f>AND('Planilla_General_03-12-2012_9_3'!F3349,"AAAAAH7f3EY=")</f>
        <v>#VALUE!</v>
      </c>
      <c r="BT210" t="e">
        <f>AND('Planilla_General_03-12-2012_9_3'!G3349,"AAAAAH7f3Ec=")</f>
        <v>#VALUE!</v>
      </c>
      <c r="BU210" t="e">
        <f>AND('Planilla_General_03-12-2012_9_3'!H3349,"AAAAAH7f3Eg=")</f>
        <v>#VALUE!</v>
      </c>
      <c r="BV210" t="e">
        <f>AND('Planilla_General_03-12-2012_9_3'!I3349,"AAAAAH7f3Ek=")</f>
        <v>#VALUE!</v>
      </c>
      <c r="BW210" t="e">
        <f>AND('Planilla_General_03-12-2012_9_3'!J3349,"AAAAAH7f3Eo=")</f>
        <v>#VALUE!</v>
      </c>
      <c r="BX210" t="e">
        <f>AND('Planilla_General_03-12-2012_9_3'!K3349,"AAAAAH7f3Es=")</f>
        <v>#VALUE!</v>
      </c>
      <c r="BY210" t="e">
        <f>AND('Planilla_General_03-12-2012_9_3'!L3349,"AAAAAH7f3Ew=")</f>
        <v>#VALUE!</v>
      </c>
      <c r="BZ210" t="e">
        <f>AND('Planilla_General_03-12-2012_9_3'!M3349,"AAAAAH7f3E0=")</f>
        <v>#VALUE!</v>
      </c>
      <c r="CA210" t="e">
        <f>AND('Planilla_General_03-12-2012_9_3'!N3349,"AAAAAH7f3E4=")</f>
        <v>#VALUE!</v>
      </c>
      <c r="CB210" t="e">
        <f>AND('Planilla_General_03-12-2012_9_3'!O3349,"AAAAAH7f3E8=")</f>
        <v>#VALUE!</v>
      </c>
      <c r="CC210">
        <f>IF('Planilla_General_03-12-2012_9_3'!3350:3350,"AAAAAH7f3FA=",0)</f>
        <v>0</v>
      </c>
      <c r="CD210" t="e">
        <f>AND('Planilla_General_03-12-2012_9_3'!A3350,"AAAAAH7f3FE=")</f>
        <v>#VALUE!</v>
      </c>
      <c r="CE210" t="e">
        <f>AND('Planilla_General_03-12-2012_9_3'!B3350,"AAAAAH7f3FI=")</f>
        <v>#VALUE!</v>
      </c>
      <c r="CF210" t="e">
        <f>AND('Planilla_General_03-12-2012_9_3'!C3350,"AAAAAH7f3FM=")</f>
        <v>#VALUE!</v>
      </c>
      <c r="CG210" t="e">
        <f>AND('Planilla_General_03-12-2012_9_3'!D3350,"AAAAAH7f3FQ=")</f>
        <v>#VALUE!</v>
      </c>
      <c r="CH210" t="e">
        <f>AND('Planilla_General_03-12-2012_9_3'!E3350,"AAAAAH7f3FU=")</f>
        <v>#VALUE!</v>
      </c>
      <c r="CI210" t="e">
        <f>AND('Planilla_General_03-12-2012_9_3'!F3350,"AAAAAH7f3FY=")</f>
        <v>#VALUE!</v>
      </c>
      <c r="CJ210" t="e">
        <f>AND('Planilla_General_03-12-2012_9_3'!G3350,"AAAAAH7f3Fc=")</f>
        <v>#VALUE!</v>
      </c>
      <c r="CK210" t="e">
        <f>AND('Planilla_General_03-12-2012_9_3'!H3350,"AAAAAH7f3Fg=")</f>
        <v>#VALUE!</v>
      </c>
      <c r="CL210" t="e">
        <f>AND('Planilla_General_03-12-2012_9_3'!I3350,"AAAAAH7f3Fk=")</f>
        <v>#VALUE!</v>
      </c>
      <c r="CM210" t="e">
        <f>AND('Planilla_General_03-12-2012_9_3'!J3350,"AAAAAH7f3Fo=")</f>
        <v>#VALUE!</v>
      </c>
      <c r="CN210" t="e">
        <f>AND('Planilla_General_03-12-2012_9_3'!K3350,"AAAAAH7f3Fs=")</f>
        <v>#VALUE!</v>
      </c>
      <c r="CO210" t="e">
        <f>AND('Planilla_General_03-12-2012_9_3'!L3350,"AAAAAH7f3Fw=")</f>
        <v>#VALUE!</v>
      </c>
      <c r="CP210" t="e">
        <f>AND('Planilla_General_03-12-2012_9_3'!M3350,"AAAAAH7f3F0=")</f>
        <v>#VALUE!</v>
      </c>
      <c r="CQ210" t="e">
        <f>AND('Planilla_General_03-12-2012_9_3'!N3350,"AAAAAH7f3F4=")</f>
        <v>#VALUE!</v>
      </c>
      <c r="CR210" t="e">
        <f>AND('Planilla_General_03-12-2012_9_3'!O3350,"AAAAAH7f3F8=")</f>
        <v>#VALUE!</v>
      </c>
      <c r="CS210">
        <f>IF('Planilla_General_03-12-2012_9_3'!3351:3351,"AAAAAH7f3GA=",0)</f>
        <v>0</v>
      </c>
      <c r="CT210" t="e">
        <f>AND('Planilla_General_03-12-2012_9_3'!A3351,"AAAAAH7f3GE=")</f>
        <v>#VALUE!</v>
      </c>
      <c r="CU210" t="e">
        <f>AND('Planilla_General_03-12-2012_9_3'!B3351,"AAAAAH7f3GI=")</f>
        <v>#VALUE!</v>
      </c>
      <c r="CV210" t="e">
        <f>AND('Planilla_General_03-12-2012_9_3'!C3351,"AAAAAH7f3GM=")</f>
        <v>#VALUE!</v>
      </c>
      <c r="CW210" t="e">
        <f>AND('Planilla_General_03-12-2012_9_3'!D3351,"AAAAAH7f3GQ=")</f>
        <v>#VALUE!</v>
      </c>
      <c r="CX210" t="e">
        <f>AND('Planilla_General_03-12-2012_9_3'!E3351,"AAAAAH7f3GU=")</f>
        <v>#VALUE!</v>
      </c>
      <c r="CY210" t="e">
        <f>AND('Planilla_General_03-12-2012_9_3'!F3351,"AAAAAH7f3GY=")</f>
        <v>#VALUE!</v>
      </c>
      <c r="CZ210" t="e">
        <f>AND('Planilla_General_03-12-2012_9_3'!G3351,"AAAAAH7f3Gc=")</f>
        <v>#VALUE!</v>
      </c>
      <c r="DA210" t="e">
        <f>AND('Planilla_General_03-12-2012_9_3'!H3351,"AAAAAH7f3Gg=")</f>
        <v>#VALUE!</v>
      </c>
      <c r="DB210" t="e">
        <f>AND('Planilla_General_03-12-2012_9_3'!I3351,"AAAAAH7f3Gk=")</f>
        <v>#VALUE!</v>
      </c>
      <c r="DC210" t="e">
        <f>AND('Planilla_General_03-12-2012_9_3'!J3351,"AAAAAH7f3Go=")</f>
        <v>#VALUE!</v>
      </c>
      <c r="DD210" t="e">
        <f>AND('Planilla_General_03-12-2012_9_3'!K3351,"AAAAAH7f3Gs=")</f>
        <v>#VALUE!</v>
      </c>
      <c r="DE210" t="e">
        <f>AND('Planilla_General_03-12-2012_9_3'!L3351,"AAAAAH7f3Gw=")</f>
        <v>#VALUE!</v>
      </c>
      <c r="DF210" t="e">
        <f>AND('Planilla_General_03-12-2012_9_3'!M3351,"AAAAAH7f3G0=")</f>
        <v>#VALUE!</v>
      </c>
      <c r="DG210" t="e">
        <f>AND('Planilla_General_03-12-2012_9_3'!N3351,"AAAAAH7f3G4=")</f>
        <v>#VALUE!</v>
      </c>
      <c r="DH210" t="e">
        <f>AND('Planilla_General_03-12-2012_9_3'!O3351,"AAAAAH7f3G8=")</f>
        <v>#VALUE!</v>
      </c>
      <c r="DI210">
        <f>IF('Planilla_General_03-12-2012_9_3'!3352:3352,"AAAAAH7f3HA=",0)</f>
        <v>0</v>
      </c>
      <c r="DJ210" t="e">
        <f>AND('Planilla_General_03-12-2012_9_3'!A3352,"AAAAAH7f3HE=")</f>
        <v>#VALUE!</v>
      </c>
      <c r="DK210" t="e">
        <f>AND('Planilla_General_03-12-2012_9_3'!B3352,"AAAAAH7f3HI=")</f>
        <v>#VALUE!</v>
      </c>
      <c r="DL210" t="e">
        <f>AND('Planilla_General_03-12-2012_9_3'!C3352,"AAAAAH7f3HM=")</f>
        <v>#VALUE!</v>
      </c>
      <c r="DM210" t="e">
        <f>AND('Planilla_General_03-12-2012_9_3'!D3352,"AAAAAH7f3HQ=")</f>
        <v>#VALUE!</v>
      </c>
      <c r="DN210" t="e">
        <f>AND('Planilla_General_03-12-2012_9_3'!E3352,"AAAAAH7f3HU=")</f>
        <v>#VALUE!</v>
      </c>
      <c r="DO210" t="e">
        <f>AND('Planilla_General_03-12-2012_9_3'!F3352,"AAAAAH7f3HY=")</f>
        <v>#VALUE!</v>
      </c>
      <c r="DP210" t="e">
        <f>AND('Planilla_General_03-12-2012_9_3'!G3352,"AAAAAH7f3Hc=")</f>
        <v>#VALUE!</v>
      </c>
      <c r="DQ210" t="e">
        <f>AND('Planilla_General_03-12-2012_9_3'!H3352,"AAAAAH7f3Hg=")</f>
        <v>#VALUE!</v>
      </c>
      <c r="DR210" t="e">
        <f>AND('Planilla_General_03-12-2012_9_3'!I3352,"AAAAAH7f3Hk=")</f>
        <v>#VALUE!</v>
      </c>
      <c r="DS210" t="e">
        <f>AND('Planilla_General_03-12-2012_9_3'!J3352,"AAAAAH7f3Ho=")</f>
        <v>#VALUE!</v>
      </c>
      <c r="DT210" t="e">
        <f>AND('Planilla_General_03-12-2012_9_3'!K3352,"AAAAAH7f3Hs=")</f>
        <v>#VALUE!</v>
      </c>
      <c r="DU210" t="e">
        <f>AND('Planilla_General_03-12-2012_9_3'!L3352,"AAAAAH7f3Hw=")</f>
        <v>#VALUE!</v>
      </c>
      <c r="DV210" t="e">
        <f>AND('Planilla_General_03-12-2012_9_3'!M3352,"AAAAAH7f3H0=")</f>
        <v>#VALUE!</v>
      </c>
      <c r="DW210" t="e">
        <f>AND('Planilla_General_03-12-2012_9_3'!N3352,"AAAAAH7f3H4=")</f>
        <v>#VALUE!</v>
      </c>
      <c r="DX210" t="e">
        <f>AND('Planilla_General_03-12-2012_9_3'!O3352,"AAAAAH7f3H8=")</f>
        <v>#VALUE!</v>
      </c>
      <c r="DY210">
        <f>IF('Planilla_General_03-12-2012_9_3'!3353:3353,"AAAAAH7f3IA=",0)</f>
        <v>0</v>
      </c>
      <c r="DZ210" t="e">
        <f>AND('Planilla_General_03-12-2012_9_3'!A3353,"AAAAAH7f3IE=")</f>
        <v>#VALUE!</v>
      </c>
      <c r="EA210" t="e">
        <f>AND('Planilla_General_03-12-2012_9_3'!B3353,"AAAAAH7f3II=")</f>
        <v>#VALUE!</v>
      </c>
      <c r="EB210" t="e">
        <f>AND('Planilla_General_03-12-2012_9_3'!C3353,"AAAAAH7f3IM=")</f>
        <v>#VALUE!</v>
      </c>
      <c r="EC210" t="e">
        <f>AND('Planilla_General_03-12-2012_9_3'!D3353,"AAAAAH7f3IQ=")</f>
        <v>#VALUE!</v>
      </c>
      <c r="ED210" t="e">
        <f>AND('Planilla_General_03-12-2012_9_3'!E3353,"AAAAAH7f3IU=")</f>
        <v>#VALUE!</v>
      </c>
      <c r="EE210" t="e">
        <f>AND('Planilla_General_03-12-2012_9_3'!F3353,"AAAAAH7f3IY=")</f>
        <v>#VALUE!</v>
      </c>
      <c r="EF210" t="e">
        <f>AND('Planilla_General_03-12-2012_9_3'!G3353,"AAAAAH7f3Ic=")</f>
        <v>#VALUE!</v>
      </c>
      <c r="EG210" t="e">
        <f>AND('Planilla_General_03-12-2012_9_3'!H3353,"AAAAAH7f3Ig=")</f>
        <v>#VALUE!</v>
      </c>
      <c r="EH210" t="e">
        <f>AND('Planilla_General_03-12-2012_9_3'!I3353,"AAAAAH7f3Ik=")</f>
        <v>#VALUE!</v>
      </c>
      <c r="EI210" t="e">
        <f>AND('Planilla_General_03-12-2012_9_3'!J3353,"AAAAAH7f3Io=")</f>
        <v>#VALUE!</v>
      </c>
      <c r="EJ210" t="e">
        <f>AND('Planilla_General_03-12-2012_9_3'!K3353,"AAAAAH7f3Is=")</f>
        <v>#VALUE!</v>
      </c>
      <c r="EK210" t="e">
        <f>AND('Planilla_General_03-12-2012_9_3'!L3353,"AAAAAH7f3Iw=")</f>
        <v>#VALUE!</v>
      </c>
      <c r="EL210" t="e">
        <f>AND('Planilla_General_03-12-2012_9_3'!M3353,"AAAAAH7f3I0=")</f>
        <v>#VALUE!</v>
      </c>
      <c r="EM210" t="e">
        <f>AND('Planilla_General_03-12-2012_9_3'!N3353,"AAAAAH7f3I4=")</f>
        <v>#VALUE!</v>
      </c>
      <c r="EN210" t="e">
        <f>AND('Planilla_General_03-12-2012_9_3'!O3353,"AAAAAH7f3I8=")</f>
        <v>#VALUE!</v>
      </c>
      <c r="EO210">
        <f>IF('Planilla_General_03-12-2012_9_3'!3354:3354,"AAAAAH7f3JA=",0)</f>
        <v>0</v>
      </c>
      <c r="EP210" t="e">
        <f>AND('Planilla_General_03-12-2012_9_3'!A3354,"AAAAAH7f3JE=")</f>
        <v>#VALUE!</v>
      </c>
      <c r="EQ210" t="e">
        <f>AND('Planilla_General_03-12-2012_9_3'!B3354,"AAAAAH7f3JI=")</f>
        <v>#VALUE!</v>
      </c>
      <c r="ER210" t="e">
        <f>AND('Planilla_General_03-12-2012_9_3'!C3354,"AAAAAH7f3JM=")</f>
        <v>#VALUE!</v>
      </c>
      <c r="ES210" t="e">
        <f>AND('Planilla_General_03-12-2012_9_3'!D3354,"AAAAAH7f3JQ=")</f>
        <v>#VALUE!</v>
      </c>
      <c r="ET210" t="e">
        <f>AND('Planilla_General_03-12-2012_9_3'!E3354,"AAAAAH7f3JU=")</f>
        <v>#VALUE!</v>
      </c>
      <c r="EU210" t="e">
        <f>AND('Planilla_General_03-12-2012_9_3'!F3354,"AAAAAH7f3JY=")</f>
        <v>#VALUE!</v>
      </c>
      <c r="EV210" t="e">
        <f>AND('Planilla_General_03-12-2012_9_3'!G3354,"AAAAAH7f3Jc=")</f>
        <v>#VALUE!</v>
      </c>
      <c r="EW210" t="e">
        <f>AND('Planilla_General_03-12-2012_9_3'!H3354,"AAAAAH7f3Jg=")</f>
        <v>#VALUE!</v>
      </c>
      <c r="EX210" t="e">
        <f>AND('Planilla_General_03-12-2012_9_3'!I3354,"AAAAAH7f3Jk=")</f>
        <v>#VALUE!</v>
      </c>
      <c r="EY210" t="e">
        <f>AND('Planilla_General_03-12-2012_9_3'!J3354,"AAAAAH7f3Jo=")</f>
        <v>#VALUE!</v>
      </c>
      <c r="EZ210" t="e">
        <f>AND('Planilla_General_03-12-2012_9_3'!K3354,"AAAAAH7f3Js=")</f>
        <v>#VALUE!</v>
      </c>
      <c r="FA210" t="e">
        <f>AND('Planilla_General_03-12-2012_9_3'!L3354,"AAAAAH7f3Jw=")</f>
        <v>#VALUE!</v>
      </c>
      <c r="FB210" t="e">
        <f>AND('Planilla_General_03-12-2012_9_3'!M3354,"AAAAAH7f3J0=")</f>
        <v>#VALUE!</v>
      </c>
      <c r="FC210" t="e">
        <f>AND('Planilla_General_03-12-2012_9_3'!N3354,"AAAAAH7f3J4=")</f>
        <v>#VALUE!</v>
      </c>
      <c r="FD210" t="e">
        <f>AND('Planilla_General_03-12-2012_9_3'!O3354,"AAAAAH7f3J8=")</f>
        <v>#VALUE!</v>
      </c>
      <c r="FE210">
        <f>IF('Planilla_General_03-12-2012_9_3'!3355:3355,"AAAAAH7f3KA=",0)</f>
        <v>0</v>
      </c>
      <c r="FF210" t="e">
        <f>AND('Planilla_General_03-12-2012_9_3'!A3355,"AAAAAH7f3KE=")</f>
        <v>#VALUE!</v>
      </c>
      <c r="FG210" t="e">
        <f>AND('Planilla_General_03-12-2012_9_3'!B3355,"AAAAAH7f3KI=")</f>
        <v>#VALUE!</v>
      </c>
      <c r="FH210" t="e">
        <f>AND('Planilla_General_03-12-2012_9_3'!C3355,"AAAAAH7f3KM=")</f>
        <v>#VALUE!</v>
      </c>
      <c r="FI210" t="e">
        <f>AND('Planilla_General_03-12-2012_9_3'!D3355,"AAAAAH7f3KQ=")</f>
        <v>#VALUE!</v>
      </c>
      <c r="FJ210" t="e">
        <f>AND('Planilla_General_03-12-2012_9_3'!E3355,"AAAAAH7f3KU=")</f>
        <v>#VALUE!</v>
      </c>
      <c r="FK210" t="e">
        <f>AND('Planilla_General_03-12-2012_9_3'!F3355,"AAAAAH7f3KY=")</f>
        <v>#VALUE!</v>
      </c>
      <c r="FL210" t="e">
        <f>AND('Planilla_General_03-12-2012_9_3'!G3355,"AAAAAH7f3Kc=")</f>
        <v>#VALUE!</v>
      </c>
      <c r="FM210" t="e">
        <f>AND('Planilla_General_03-12-2012_9_3'!H3355,"AAAAAH7f3Kg=")</f>
        <v>#VALUE!</v>
      </c>
      <c r="FN210" t="e">
        <f>AND('Planilla_General_03-12-2012_9_3'!I3355,"AAAAAH7f3Kk=")</f>
        <v>#VALUE!</v>
      </c>
      <c r="FO210" t="e">
        <f>AND('Planilla_General_03-12-2012_9_3'!J3355,"AAAAAH7f3Ko=")</f>
        <v>#VALUE!</v>
      </c>
      <c r="FP210" t="e">
        <f>AND('Planilla_General_03-12-2012_9_3'!K3355,"AAAAAH7f3Ks=")</f>
        <v>#VALUE!</v>
      </c>
      <c r="FQ210" t="e">
        <f>AND('Planilla_General_03-12-2012_9_3'!L3355,"AAAAAH7f3Kw=")</f>
        <v>#VALUE!</v>
      </c>
      <c r="FR210" t="e">
        <f>AND('Planilla_General_03-12-2012_9_3'!M3355,"AAAAAH7f3K0=")</f>
        <v>#VALUE!</v>
      </c>
      <c r="FS210" t="e">
        <f>AND('Planilla_General_03-12-2012_9_3'!N3355,"AAAAAH7f3K4=")</f>
        <v>#VALUE!</v>
      </c>
      <c r="FT210" t="e">
        <f>AND('Planilla_General_03-12-2012_9_3'!O3355,"AAAAAH7f3K8=")</f>
        <v>#VALUE!</v>
      </c>
      <c r="FU210">
        <f>IF('Planilla_General_03-12-2012_9_3'!3356:3356,"AAAAAH7f3LA=",0)</f>
        <v>0</v>
      </c>
      <c r="FV210" t="e">
        <f>AND('Planilla_General_03-12-2012_9_3'!A3356,"AAAAAH7f3LE=")</f>
        <v>#VALUE!</v>
      </c>
      <c r="FW210" t="e">
        <f>AND('Planilla_General_03-12-2012_9_3'!B3356,"AAAAAH7f3LI=")</f>
        <v>#VALUE!</v>
      </c>
      <c r="FX210" t="e">
        <f>AND('Planilla_General_03-12-2012_9_3'!C3356,"AAAAAH7f3LM=")</f>
        <v>#VALUE!</v>
      </c>
      <c r="FY210" t="e">
        <f>AND('Planilla_General_03-12-2012_9_3'!D3356,"AAAAAH7f3LQ=")</f>
        <v>#VALUE!</v>
      </c>
      <c r="FZ210" t="e">
        <f>AND('Planilla_General_03-12-2012_9_3'!E3356,"AAAAAH7f3LU=")</f>
        <v>#VALUE!</v>
      </c>
      <c r="GA210" t="e">
        <f>AND('Planilla_General_03-12-2012_9_3'!F3356,"AAAAAH7f3LY=")</f>
        <v>#VALUE!</v>
      </c>
      <c r="GB210" t="e">
        <f>AND('Planilla_General_03-12-2012_9_3'!G3356,"AAAAAH7f3Lc=")</f>
        <v>#VALUE!</v>
      </c>
      <c r="GC210" t="e">
        <f>AND('Planilla_General_03-12-2012_9_3'!H3356,"AAAAAH7f3Lg=")</f>
        <v>#VALUE!</v>
      </c>
      <c r="GD210" t="e">
        <f>AND('Planilla_General_03-12-2012_9_3'!I3356,"AAAAAH7f3Lk=")</f>
        <v>#VALUE!</v>
      </c>
      <c r="GE210" t="e">
        <f>AND('Planilla_General_03-12-2012_9_3'!J3356,"AAAAAH7f3Lo=")</f>
        <v>#VALUE!</v>
      </c>
      <c r="GF210" t="e">
        <f>AND('Planilla_General_03-12-2012_9_3'!K3356,"AAAAAH7f3Ls=")</f>
        <v>#VALUE!</v>
      </c>
      <c r="GG210" t="e">
        <f>AND('Planilla_General_03-12-2012_9_3'!L3356,"AAAAAH7f3Lw=")</f>
        <v>#VALUE!</v>
      </c>
      <c r="GH210" t="e">
        <f>AND('Planilla_General_03-12-2012_9_3'!M3356,"AAAAAH7f3L0=")</f>
        <v>#VALUE!</v>
      </c>
      <c r="GI210" t="e">
        <f>AND('Planilla_General_03-12-2012_9_3'!N3356,"AAAAAH7f3L4=")</f>
        <v>#VALUE!</v>
      </c>
      <c r="GJ210" t="e">
        <f>AND('Planilla_General_03-12-2012_9_3'!O3356,"AAAAAH7f3L8=")</f>
        <v>#VALUE!</v>
      </c>
      <c r="GK210">
        <f>IF('Planilla_General_03-12-2012_9_3'!3357:3357,"AAAAAH7f3MA=",0)</f>
        <v>0</v>
      </c>
      <c r="GL210" t="e">
        <f>AND('Planilla_General_03-12-2012_9_3'!A3357,"AAAAAH7f3ME=")</f>
        <v>#VALUE!</v>
      </c>
      <c r="GM210" t="e">
        <f>AND('Planilla_General_03-12-2012_9_3'!B3357,"AAAAAH7f3MI=")</f>
        <v>#VALUE!</v>
      </c>
      <c r="GN210" t="e">
        <f>AND('Planilla_General_03-12-2012_9_3'!C3357,"AAAAAH7f3MM=")</f>
        <v>#VALUE!</v>
      </c>
      <c r="GO210" t="e">
        <f>AND('Planilla_General_03-12-2012_9_3'!D3357,"AAAAAH7f3MQ=")</f>
        <v>#VALUE!</v>
      </c>
      <c r="GP210" t="e">
        <f>AND('Planilla_General_03-12-2012_9_3'!E3357,"AAAAAH7f3MU=")</f>
        <v>#VALUE!</v>
      </c>
      <c r="GQ210" t="e">
        <f>AND('Planilla_General_03-12-2012_9_3'!F3357,"AAAAAH7f3MY=")</f>
        <v>#VALUE!</v>
      </c>
      <c r="GR210" t="e">
        <f>AND('Planilla_General_03-12-2012_9_3'!G3357,"AAAAAH7f3Mc=")</f>
        <v>#VALUE!</v>
      </c>
      <c r="GS210" t="e">
        <f>AND('Planilla_General_03-12-2012_9_3'!H3357,"AAAAAH7f3Mg=")</f>
        <v>#VALUE!</v>
      </c>
      <c r="GT210" t="e">
        <f>AND('Planilla_General_03-12-2012_9_3'!I3357,"AAAAAH7f3Mk=")</f>
        <v>#VALUE!</v>
      </c>
      <c r="GU210" t="e">
        <f>AND('Planilla_General_03-12-2012_9_3'!J3357,"AAAAAH7f3Mo=")</f>
        <v>#VALUE!</v>
      </c>
      <c r="GV210" t="e">
        <f>AND('Planilla_General_03-12-2012_9_3'!K3357,"AAAAAH7f3Ms=")</f>
        <v>#VALUE!</v>
      </c>
      <c r="GW210" t="e">
        <f>AND('Planilla_General_03-12-2012_9_3'!L3357,"AAAAAH7f3Mw=")</f>
        <v>#VALUE!</v>
      </c>
      <c r="GX210" t="e">
        <f>AND('Planilla_General_03-12-2012_9_3'!M3357,"AAAAAH7f3M0=")</f>
        <v>#VALUE!</v>
      </c>
      <c r="GY210" t="e">
        <f>AND('Planilla_General_03-12-2012_9_3'!N3357,"AAAAAH7f3M4=")</f>
        <v>#VALUE!</v>
      </c>
      <c r="GZ210" t="e">
        <f>AND('Planilla_General_03-12-2012_9_3'!O3357,"AAAAAH7f3M8=")</f>
        <v>#VALUE!</v>
      </c>
      <c r="HA210">
        <f>IF('Planilla_General_03-12-2012_9_3'!3358:3358,"AAAAAH7f3NA=",0)</f>
        <v>0</v>
      </c>
      <c r="HB210" t="e">
        <f>AND('Planilla_General_03-12-2012_9_3'!A3358,"AAAAAH7f3NE=")</f>
        <v>#VALUE!</v>
      </c>
      <c r="HC210" t="e">
        <f>AND('Planilla_General_03-12-2012_9_3'!B3358,"AAAAAH7f3NI=")</f>
        <v>#VALUE!</v>
      </c>
      <c r="HD210" t="e">
        <f>AND('Planilla_General_03-12-2012_9_3'!C3358,"AAAAAH7f3NM=")</f>
        <v>#VALUE!</v>
      </c>
      <c r="HE210" t="e">
        <f>AND('Planilla_General_03-12-2012_9_3'!D3358,"AAAAAH7f3NQ=")</f>
        <v>#VALUE!</v>
      </c>
      <c r="HF210" t="e">
        <f>AND('Planilla_General_03-12-2012_9_3'!E3358,"AAAAAH7f3NU=")</f>
        <v>#VALUE!</v>
      </c>
      <c r="HG210" t="e">
        <f>AND('Planilla_General_03-12-2012_9_3'!F3358,"AAAAAH7f3NY=")</f>
        <v>#VALUE!</v>
      </c>
      <c r="HH210" t="e">
        <f>AND('Planilla_General_03-12-2012_9_3'!G3358,"AAAAAH7f3Nc=")</f>
        <v>#VALUE!</v>
      </c>
      <c r="HI210" t="e">
        <f>AND('Planilla_General_03-12-2012_9_3'!H3358,"AAAAAH7f3Ng=")</f>
        <v>#VALUE!</v>
      </c>
      <c r="HJ210" t="e">
        <f>AND('Planilla_General_03-12-2012_9_3'!I3358,"AAAAAH7f3Nk=")</f>
        <v>#VALUE!</v>
      </c>
      <c r="HK210" t="e">
        <f>AND('Planilla_General_03-12-2012_9_3'!J3358,"AAAAAH7f3No=")</f>
        <v>#VALUE!</v>
      </c>
      <c r="HL210" t="e">
        <f>AND('Planilla_General_03-12-2012_9_3'!K3358,"AAAAAH7f3Ns=")</f>
        <v>#VALUE!</v>
      </c>
      <c r="HM210" t="e">
        <f>AND('Planilla_General_03-12-2012_9_3'!L3358,"AAAAAH7f3Nw=")</f>
        <v>#VALUE!</v>
      </c>
      <c r="HN210" t="e">
        <f>AND('Planilla_General_03-12-2012_9_3'!M3358,"AAAAAH7f3N0=")</f>
        <v>#VALUE!</v>
      </c>
      <c r="HO210" t="e">
        <f>AND('Planilla_General_03-12-2012_9_3'!N3358,"AAAAAH7f3N4=")</f>
        <v>#VALUE!</v>
      </c>
      <c r="HP210" t="e">
        <f>AND('Planilla_General_03-12-2012_9_3'!O3358,"AAAAAH7f3N8=")</f>
        <v>#VALUE!</v>
      </c>
      <c r="HQ210">
        <f>IF('Planilla_General_03-12-2012_9_3'!3359:3359,"AAAAAH7f3OA=",0)</f>
        <v>0</v>
      </c>
      <c r="HR210" t="e">
        <f>AND('Planilla_General_03-12-2012_9_3'!A3359,"AAAAAH7f3OE=")</f>
        <v>#VALUE!</v>
      </c>
      <c r="HS210" t="e">
        <f>AND('Planilla_General_03-12-2012_9_3'!B3359,"AAAAAH7f3OI=")</f>
        <v>#VALUE!</v>
      </c>
      <c r="HT210" t="e">
        <f>AND('Planilla_General_03-12-2012_9_3'!C3359,"AAAAAH7f3OM=")</f>
        <v>#VALUE!</v>
      </c>
      <c r="HU210" t="e">
        <f>AND('Planilla_General_03-12-2012_9_3'!D3359,"AAAAAH7f3OQ=")</f>
        <v>#VALUE!</v>
      </c>
      <c r="HV210" t="e">
        <f>AND('Planilla_General_03-12-2012_9_3'!E3359,"AAAAAH7f3OU=")</f>
        <v>#VALUE!</v>
      </c>
      <c r="HW210" t="e">
        <f>AND('Planilla_General_03-12-2012_9_3'!F3359,"AAAAAH7f3OY=")</f>
        <v>#VALUE!</v>
      </c>
      <c r="HX210" t="e">
        <f>AND('Planilla_General_03-12-2012_9_3'!G3359,"AAAAAH7f3Oc=")</f>
        <v>#VALUE!</v>
      </c>
      <c r="HY210" t="e">
        <f>AND('Planilla_General_03-12-2012_9_3'!H3359,"AAAAAH7f3Og=")</f>
        <v>#VALUE!</v>
      </c>
      <c r="HZ210" t="e">
        <f>AND('Planilla_General_03-12-2012_9_3'!I3359,"AAAAAH7f3Ok=")</f>
        <v>#VALUE!</v>
      </c>
      <c r="IA210" t="e">
        <f>AND('Planilla_General_03-12-2012_9_3'!J3359,"AAAAAH7f3Oo=")</f>
        <v>#VALUE!</v>
      </c>
      <c r="IB210" t="e">
        <f>AND('Planilla_General_03-12-2012_9_3'!K3359,"AAAAAH7f3Os=")</f>
        <v>#VALUE!</v>
      </c>
      <c r="IC210" t="e">
        <f>AND('Planilla_General_03-12-2012_9_3'!L3359,"AAAAAH7f3Ow=")</f>
        <v>#VALUE!</v>
      </c>
      <c r="ID210" t="e">
        <f>AND('Planilla_General_03-12-2012_9_3'!M3359,"AAAAAH7f3O0=")</f>
        <v>#VALUE!</v>
      </c>
      <c r="IE210" t="e">
        <f>AND('Planilla_General_03-12-2012_9_3'!N3359,"AAAAAH7f3O4=")</f>
        <v>#VALUE!</v>
      </c>
      <c r="IF210" t="e">
        <f>AND('Planilla_General_03-12-2012_9_3'!O3359,"AAAAAH7f3O8=")</f>
        <v>#VALUE!</v>
      </c>
      <c r="IG210">
        <f>IF('Planilla_General_03-12-2012_9_3'!3360:3360,"AAAAAH7f3PA=",0)</f>
        <v>0</v>
      </c>
      <c r="IH210" t="e">
        <f>AND('Planilla_General_03-12-2012_9_3'!A3360,"AAAAAH7f3PE=")</f>
        <v>#VALUE!</v>
      </c>
      <c r="II210" t="e">
        <f>AND('Planilla_General_03-12-2012_9_3'!B3360,"AAAAAH7f3PI=")</f>
        <v>#VALUE!</v>
      </c>
      <c r="IJ210" t="e">
        <f>AND('Planilla_General_03-12-2012_9_3'!C3360,"AAAAAH7f3PM=")</f>
        <v>#VALUE!</v>
      </c>
      <c r="IK210" t="e">
        <f>AND('Planilla_General_03-12-2012_9_3'!D3360,"AAAAAH7f3PQ=")</f>
        <v>#VALUE!</v>
      </c>
      <c r="IL210" t="e">
        <f>AND('Planilla_General_03-12-2012_9_3'!E3360,"AAAAAH7f3PU=")</f>
        <v>#VALUE!</v>
      </c>
      <c r="IM210" t="e">
        <f>AND('Planilla_General_03-12-2012_9_3'!F3360,"AAAAAH7f3PY=")</f>
        <v>#VALUE!</v>
      </c>
      <c r="IN210" t="e">
        <f>AND('Planilla_General_03-12-2012_9_3'!G3360,"AAAAAH7f3Pc=")</f>
        <v>#VALUE!</v>
      </c>
      <c r="IO210" t="e">
        <f>AND('Planilla_General_03-12-2012_9_3'!H3360,"AAAAAH7f3Pg=")</f>
        <v>#VALUE!</v>
      </c>
      <c r="IP210" t="e">
        <f>AND('Planilla_General_03-12-2012_9_3'!I3360,"AAAAAH7f3Pk=")</f>
        <v>#VALUE!</v>
      </c>
      <c r="IQ210" t="e">
        <f>AND('Planilla_General_03-12-2012_9_3'!J3360,"AAAAAH7f3Po=")</f>
        <v>#VALUE!</v>
      </c>
      <c r="IR210" t="e">
        <f>AND('Planilla_General_03-12-2012_9_3'!K3360,"AAAAAH7f3Ps=")</f>
        <v>#VALUE!</v>
      </c>
      <c r="IS210" t="e">
        <f>AND('Planilla_General_03-12-2012_9_3'!L3360,"AAAAAH7f3Pw=")</f>
        <v>#VALUE!</v>
      </c>
      <c r="IT210" t="e">
        <f>AND('Planilla_General_03-12-2012_9_3'!M3360,"AAAAAH7f3P0=")</f>
        <v>#VALUE!</v>
      </c>
      <c r="IU210" t="e">
        <f>AND('Planilla_General_03-12-2012_9_3'!N3360,"AAAAAH7f3P4=")</f>
        <v>#VALUE!</v>
      </c>
      <c r="IV210" t="e">
        <f>AND('Planilla_General_03-12-2012_9_3'!O3360,"AAAAAH7f3P8=")</f>
        <v>#VALUE!</v>
      </c>
    </row>
    <row r="211" spans="1:256" x14ac:dyDescent="0.25">
      <c r="A211" t="e">
        <f>IF('Planilla_General_03-12-2012_9_3'!3361:3361,"AAAAACf/bwA=",0)</f>
        <v>#VALUE!</v>
      </c>
      <c r="B211" t="e">
        <f>AND('Planilla_General_03-12-2012_9_3'!A3361,"AAAAACf/bwE=")</f>
        <v>#VALUE!</v>
      </c>
      <c r="C211" t="e">
        <f>AND('Planilla_General_03-12-2012_9_3'!B3361,"AAAAACf/bwI=")</f>
        <v>#VALUE!</v>
      </c>
      <c r="D211" t="e">
        <f>AND('Planilla_General_03-12-2012_9_3'!C3361,"AAAAACf/bwM=")</f>
        <v>#VALUE!</v>
      </c>
      <c r="E211" t="e">
        <f>AND('Planilla_General_03-12-2012_9_3'!D3361,"AAAAACf/bwQ=")</f>
        <v>#VALUE!</v>
      </c>
      <c r="F211" t="e">
        <f>AND('Planilla_General_03-12-2012_9_3'!E3361,"AAAAACf/bwU=")</f>
        <v>#VALUE!</v>
      </c>
      <c r="G211" t="e">
        <f>AND('Planilla_General_03-12-2012_9_3'!F3361,"AAAAACf/bwY=")</f>
        <v>#VALUE!</v>
      </c>
      <c r="H211" t="e">
        <f>AND('Planilla_General_03-12-2012_9_3'!G3361,"AAAAACf/bwc=")</f>
        <v>#VALUE!</v>
      </c>
      <c r="I211" t="e">
        <f>AND('Planilla_General_03-12-2012_9_3'!H3361,"AAAAACf/bwg=")</f>
        <v>#VALUE!</v>
      </c>
      <c r="J211" t="e">
        <f>AND('Planilla_General_03-12-2012_9_3'!I3361,"AAAAACf/bwk=")</f>
        <v>#VALUE!</v>
      </c>
      <c r="K211" t="e">
        <f>AND('Planilla_General_03-12-2012_9_3'!J3361,"AAAAACf/bwo=")</f>
        <v>#VALUE!</v>
      </c>
      <c r="L211" t="e">
        <f>AND('Planilla_General_03-12-2012_9_3'!K3361,"AAAAACf/bws=")</f>
        <v>#VALUE!</v>
      </c>
      <c r="M211" t="e">
        <f>AND('Planilla_General_03-12-2012_9_3'!L3361,"AAAAACf/bww=")</f>
        <v>#VALUE!</v>
      </c>
      <c r="N211" t="e">
        <f>AND('Planilla_General_03-12-2012_9_3'!M3361,"AAAAACf/bw0=")</f>
        <v>#VALUE!</v>
      </c>
      <c r="O211" t="e">
        <f>AND('Planilla_General_03-12-2012_9_3'!N3361,"AAAAACf/bw4=")</f>
        <v>#VALUE!</v>
      </c>
      <c r="P211" t="e">
        <f>AND('Planilla_General_03-12-2012_9_3'!O3361,"AAAAACf/bw8=")</f>
        <v>#VALUE!</v>
      </c>
      <c r="Q211">
        <f>IF('Planilla_General_03-12-2012_9_3'!3362:3362,"AAAAACf/bxA=",0)</f>
        <v>0</v>
      </c>
      <c r="R211" t="e">
        <f>AND('Planilla_General_03-12-2012_9_3'!A3362,"AAAAACf/bxE=")</f>
        <v>#VALUE!</v>
      </c>
      <c r="S211" t="e">
        <f>AND('Planilla_General_03-12-2012_9_3'!B3362,"AAAAACf/bxI=")</f>
        <v>#VALUE!</v>
      </c>
      <c r="T211" t="e">
        <f>AND('Planilla_General_03-12-2012_9_3'!C3362,"AAAAACf/bxM=")</f>
        <v>#VALUE!</v>
      </c>
      <c r="U211" t="e">
        <f>AND('Planilla_General_03-12-2012_9_3'!D3362,"AAAAACf/bxQ=")</f>
        <v>#VALUE!</v>
      </c>
      <c r="V211" t="e">
        <f>AND('Planilla_General_03-12-2012_9_3'!E3362,"AAAAACf/bxU=")</f>
        <v>#VALUE!</v>
      </c>
      <c r="W211" t="e">
        <f>AND('Planilla_General_03-12-2012_9_3'!F3362,"AAAAACf/bxY=")</f>
        <v>#VALUE!</v>
      </c>
      <c r="X211" t="e">
        <f>AND('Planilla_General_03-12-2012_9_3'!G3362,"AAAAACf/bxc=")</f>
        <v>#VALUE!</v>
      </c>
      <c r="Y211" t="e">
        <f>AND('Planilla_General_03-12-2012_9_3'!H3362,"AAAAACf/bxg=")</f>
        <v>#VALUE!</v>
      </c>
      <c r="Z211" t="e">
        <f>AND('Planilla_General_03-12-2012_9_3'!I3362,"AAAAACf/bxk=")</f>
        <v>#VALUE!</v>
      </c>
      <c r="AA211" t="e">
        <f>AND('Planilla_General_03-12-2012_9_3'!J3362,"AAAAACf/bxo=")</f>
        <v>#VALUE!</v>
      </c>
      <c r="AB211" t="e">
        <f>AND('Planilla_General_03-12-2012_9_3'!K3362,"AAAAACf/bxs=")</f>
        <v>#VALUE!</v>
      </c>
      <c r="AC211" t="e">
        <f>AND('Planilla_General_03-12-2012_9_3'!L3362,"AAAAACf/bxw=")</f>
        <v>#VALUE!</v>
      </c>
      <c r="AD211" t="e">
        <f>AND('Planilla_General_03-12-2012_9_3'!M3362,"AAAAACf/bx0=")</f>
        <v>#VALUE!</v>
      </c>
      <c r="AE211" t="e">
        <f>AND('Planilla_General_03-12-2012_9_3'!N3362,"AAAAACf/bx4=")</f>
        <v>#VALUE!</v>
      </c>
      <c r="AF211" t="e">
        <f>AND('Planilla_General_03-12-2012_9_3'!O3362,"AAAAACf/bx8=")</f>
        <v>#VALUE!</v>
      </c>
      <c r="AG211">
        <f>IF('Planilla_General_03-12-2012_9_3'!3363:3363,"AAAAACf/byA=",0)</f>
        <v>0</v>
      </c>
      <c r="AH211" t="e">
        <f>AND('Planilla_General_03-12-2012_9_3'!A3363,"AAAAACf/byE=")</f>
        <v>#VALUE!</v>
      </c>
      <c r="AI211" t="e">
        <f>AND('Planilla_General_03-12-2012_9_3'!B3363,"AAAAACf/byI=")</f>
        <v>#VALUE!</v>
      </c>
      <c r="AJ211" t="e">
        <f>AND('Planilla_General_03-12-2012_9_3'!C3363,"AAAAACf/byM=")</f>
        <v>#VALUE!</v>
      </c>
      <c r="AK211" t="e">
        <f>AND('Planilla_General_03-12-2012_9_3'!D3363,"AAAAACf/byQ=")</f>
        <v>#VALUE!</v>
      </c>
      <c r="AL211" t="e">
        <f>AND('Planilla_General_03-12-2012_9_3'!E3363,"AAAAACf/byU=")</f>
        <v>#VALUE!</v>
      </c>
      <c r="AM211" t="e">
        <f>AND('Planilla_General_03-12-2012_9_3'!F3363,"AAAAACf/byY=")</f>
        <v>#VALUE!</v>
      </c>
      <c r="AN211" t="e">
        <f>AND('Planilla_General_03-12-2012_9_3'!G3363,"AAAAACf/byc=")</f>
        <v>#VALUE!</v>
      </c>
      <c r="AO211" t="e">
        <f>AND('Planilla_General_03-12-2012_9_3'!H3363,"AAAAACf/byg=")</f>
        <v>#VALUE!</v>
      </c>
      <c r="AP211" t="e">
        <f>AND('Planilla_General_03-12-2012_9_3'!I3363,"AAAAACf/byk=")</f>
        <v>#VALUE!</v>
      </c>
      <c r="AQ211" t="e">
        <f>AND('Planilla_General_03-12-2012_9_3'!J3363,"AAAAACf/byo=")</f>
        <v>#VALUE!</v>
      </c>
      <c r="AR211" t="e">
        <f>AND('Planilla_General_03-12-2012_9_3'!K3363,"AAAAACf/bys=")</f>
        <v>#VALUE!</v>
      </c>
      <c r="AS211" t="e">
        <f>AND('Planilla_General_03-12-2012_9_3'!L3363,"AAAAACf/byw=")</f>
        <v>#VALUE!</v>
      </c>
      <c r="AT211" t="e">
        <f>AND('Planilla_General_03-12-2012_9_3'!M3363,"AAAAACf/by0=")</f>
        <v>#VALUE!</v>
      </c>
      <c r="AU211" t="e">
        <f>AND('Planilla_General_03-12-2012_9_3'!N3363,"AAAAACf/by4=")</f>
        <v>#VALUE!</v>
      </c>
      <c r="AV211" t="e">
        <f>AND('Planilla_General_03-12-2012_9_3'!O3363,"AAAAACf/by8=")</f>
        <v>#VALUE!</v>
      </c>
      <c r="AW211">
        <f>IF('Planilla_General_03-12-2012_9_3'!3364:3364,"AAAAACf/bzA=",0)</f>
        <v>0</v>
      </c>
      <c r="AX211" t="e">
        <f>AND('Planilla_General_03-12-2012_9_3'!A3364,"AAAAACf/bzE=")</f>
        <v>#VALUE!</v>
      </c>
      <c r="AY211" t="e">
        <f>AND('Planilla_General_03-12-2012_9_3'!B3364,"AAAAACf/bzI=")</f>
        <v>#VALUE!</v>
      </c>
      <c r="AZ211" t="e">
        <f>AND('Planilla_General_03-12-2012_9_3'!C3364,"AAAAACf/bzM=")</f>
        <v>#VALUE!</v>
      </c>
      <c r="BA211" t="e">
        <f>AND('Planilla_General_03-12-2012_9_3'!D3364,"AAAAACf/bzQ=")</f>
        <v>#VALUE!</v>
      </c>
      <c r="BB211" t="e">
        <f>AND('Planilla_General_03-12-2012_9_3'!E3364,"AAAAACf/bzU=")</f>
        <v>#VALUE!</v>
      </c>
      <c r="BC211" t="e">
        <f>AND('Planilla_General_03-12-2012_9_3'!F3364,"AAAAACf/bzY=")</f>
        <v>#VALUE!</v>
      </c>
      <c r="BD211" t="e">
        <f>AND('Planilla_General_03-12-2012_9_3'!G3364,"AAAAACf/bzc=")</f>
        <v>#VALUE!</v>
      </c>
      <c r="BE211" t="e">
        <f>AND('Planilla_General_03-12-2012_9_3'!H3364,"AAAAACf/bzg=")</f>
        <v>#VALUE!</v>
      </c>
      <c r="BF211" t="e">
        <f>AND('Planilla_General_03-12-2012_9_3'!I3364,"AAAAACf/bzk=")</f>
        <v>#VALUE!</v>
      </c>
      <c r="BG211" t="e">
        <f>AND('Planilla_General_03-12-2012_9_3'!J3364,"AAAAACf/bzo=")</f>
        <v>#VALUE!</v>
      </c>
      <c r="BH211" t="e">
        <f>AND('Planilla_General_03-12-2012_9_3'!K3364,"AAAAACf/bzs=")</f>
        <v>#VALUE!</v>
      </c>
      <c r="BI211" t="e">
        <f>AND('Planilla_General_03-12-2012_9_3'!L3364,"AAAAACf/bzw=")</f>
        <v>#VALUE!</v>
      </c>
      <c r="BJ211" t="e">
        <f>AND('Planilla_General_03-12-2012_9_3'!M3364,"AAAAACf/bz0=")</f>
        <v>#VALUE!</v>
      </c>
      <c r="BK211" t="e">
        <f>AND('Planilla_General_03-12-2012_9_3'!N3364,"AAAAACf/bz4=")</f>
        <v>#VALUE!</v>
      </c>
      <c r="BL211" t="e">
        <f>AND('Planilla_General_03-12-2012_9_3'!O3364,"AAAAACf/bz8=")</f>
        <v>#VALUE!</v>
      </c>
      <c r="BM211">
        <f>IF('Planilla_General_03-12-2012_9_3'!3365:3365,"AAAAACf/b0A=",0)</f>
        <v>0</v>
      </c>
      <c r="BN211" t="e">
        <f>AND('Planilla_General_03-12-2012_9_3'!A3365,"AAAAACf/b0E=")</f>
        <v>#VALUE!</v>
      </c>
      <c r="BO211" t="e">
        <f>AND('Planilla_General_03-12-2012_9_3'!B3365,"AAAAACf/b0I=")</f>
        <v>#VALUE!</v>
      </c>
      <c r="BP211" t="e">
        <f>AND('Planilla_General_03-12-2012_9_3'!C3365,"AAAAACf/b0M=")</f>
        <v>#VALUE!</v>
      </c>
      <c r="BQ211" t="e">
        <f>AND('Planilla_General_03-12-2012_9_3'!D3365,"AAAAACf/b0Q=")</f>
        <v>#VALUE!</v>
      </c>
      <c r="BR211" t="e">
        <f>AND('Planilla_General_03-12-2012_9_3'!E3365,"AAAAACf/b0U=")</f>
        <v>#VALUE!</v>
      </c>
      <c r="BS211" t="e">
        <f>AND('Planilla_General_03-12-2012_9_3'!F3365,"AAAAACf/b0Y=")</f>
        <v>#VALUE!</v>
      </c>
      <c r="BT211" t="e">
        <f>AND('Planilla_General_03-12-2012_9_3'!G3365,"AAAAACf/b0c=")</f>
        <v>#VALUE!</v>
      </c>
      <c r="BU211" t="e">
        <f>AND('Planilla_General_03-12-2012_9_3'!H3365,"AAAAACf/b0g=")</f>
        <v>#VALUE!</v>
      </c>
      <c r="BV211" t="e">
        <f>AND('Planilla_General_03-12-2012_9_3'!I3365,"AAAAACf/b0k=")</f>
        <v>#VALUE!</v>
      </c>
      <c r="BW211" t="e">
        <f>AND('Planilla_General_03-12-2012_9_3'!J3365,"AAAAACf/b0o=")</f>
        <v>#VALUE!</v>
      </c>
      <c r="BX211" t="e">
        <f>AND('Planilla_General_03-12-2012_9_3'!K3365,"AAAAACf/b0s=")</f>
        <v>#VALUE!</v>
      </c>
      <c r="BY211" t="e">
        <f>AND('Planilla_General_03-12-2012_9_3'!L3365,"AAAAACf/b0w=")</f>
        <v>#VALUE!</v>
      </c>
      <c r="BZ211" t="e">
        <f>AND('Planilla_General_03-12-2012_9_3'!M3365,"AAAAACf/b00=")</f>
        <v>#VALUE!</v>
      </c>
      <c r="CA211" t="e">
        <f>AND('Planilla_General_03-12-2012_9_3'!N3365,"AAAAACf/b04=")</f>
        <v>#VALUE!</v>
      </c>
      <c r="CB211" t="e">
        <f>AND('Planilla_General_03-12-2012_9_3'!O3365,"AAAAACf/b08=")</f>
        <v>#VALUE!</v>
      </c>
      <c r="CC211">
        <f>IF('Planilla_General_03-12-2012_9_3'!3366:3366,"AAAAACf/b1A=",0)</f>
        <v>0</v>
      </c>
      <c r="CD211" t="e">
        <f>AND('Planilla_General_03-12-2012_9_3'!A3366,"AAAAACf/b1E=")</f>
        <v>#VALUE!</v>
      </c>
      <c r="CE211" t="e">
        <f>AND('Planilla_General_03-12-2012_9_3'!B3366,"AAAAACf/b1I=")</f>
        <v>#VALUE!</v>
      </c>
      <c r="CF211" t="e">
        <f>AND('Planilla_General_03-12-2012_9_3'!C3366,"AAAAACf/b1M=")</f>
        <v>#VALUE!</v>
      </c>
      <c r="CG211" t="e">
        <f>AND('Planilla_General_03-12-2012_9_3'!D3366,"AAAAACf/b1Q=")</f>
        <v>#VALUE!</v>
      </c>
      <c r="CH211" t="e">
        <f>AND('Planilla_General_03-12-2012_9_3'!E3366,"AAAAACf/b1U=")</f>
        <v>#VALUE!</v>
      </c>
      <c r="CI211" t="e">
        <f>AND('Planilla_General_03-12-2012_9_3'!F3366,"AAAAACf/b1Y=")</f>
        <v>#VALUE!</v>
      </c>
      <c r="CJ211" t="e">
        <f>AND('Planilla_General_03-12-2012_9_3'!G3366,"AAAAACf/b1c=")</f>
        <v>#VALUE!</v>
      </c>
      <c r="CK211" t="e">
        <f>AND('Planilla_General_03-12-2012_9_3'!H3366,"AAAAACf/b1g=")</f>
        <v>#VALUE!</v>
      </c>
      <c r="CL211" t="e">
        <f>AND('Planilla_General_03-12-2012_9_3'!I3366,"AAAAACf/b1k=")</f>
        <v>#VALUE!</v>
      </c>
      <c r="CM211" t="e">
        <f>AND('Planilla_General_03-12-2012_9_3'!J3366,"AAAAACf/b1o=")</f>
        <v>#VALUE!</v>
      </c>
      <c r="CN211" t="e">
        <f>AND('Planilla_General_03-12-2012_9_3'!K3366,"AAAAACf/b1s=")</f>
        <v>#VALUE!</v>
      </c>
      <c r="CO211" t="e">
        <f>AND('Planilla_General_03-12-2012_9_3'!L3366,"AAAAACf/b1w=")</f>
        <v>#VALUE!</v>
      </c>
      <c r="CP211" t="e">
        <f>AND('Planilla_General_03-12-2012_9_3'!M3366,"AAAAACf/b10=")</f>
        <v>#VALUE!</v>
      </c>
      <c r="CQ211" t="e">
        <f>AND('Planilla_General_03-12-2012_9_3'!N3366,"AAAAACf/b14=")</f>
        <v>#VALUE!</v>
      </c>
      <c r="CR211" t="e">
        <f>AND('Planilla_General_03-12-2012_9_3'!O3366,"AAAAACf/b18=")</f>
        <v>#VALUE!</v>
      </c>
      <c r="CS211">
        <f>IF('Planilla_General_03-12-2012_9_3'!3367:3367,"AAAAACf/b2A=",0)</f>
        <v>0</v>
      </c>
      <c r="CT211" t="e">
        <f>AND('Planilla_General_03-12-2012_9_3'!A3367,"AAAAACf/b2E=")</f>
        <v>#VALUE!</v>
      </c>
      <c r="CU211" t="e">
        <f>AND('Planilla_General_03-12-2012_9_3'!B3367,"AAAAACf/b2I=")</f>
        <v>#VALUE!</v>
      </c>
      <c r="CV211" t="e">
        <f>AND('Planilla_General_03-12-2012_9_3'!C3367,"AAAAACf/b2M=")</f>
        <v>#VALUE!</v>
      </c>
      <c r="CW211" t="e">
        <f>AND('Planilla_General_03-12-2012_9_3'!D3367,"AAAAACf/b2Q=")</f>
        <v>#VALUE!</v>
      </c>
      <c r="CX211" t="e">
        <f>AND('Planilla_General_03-12-2012_9_3'!E3367,"AAAAACf/b2U=")</f>
        <v>#VALUE!</v>
      </c>
      <c r="CY211" t="e">
        <f>AND('Planilla_General_03-12-2012_9_3'!F3367,"AAAAACf/b2Y=")</f>
        <v>#VALUE!</v>
      </c>
      <c r="CZ211" t="e">
        <f>AND('Planilla_General_03-12-2012_9_3'!G3367,"AAAAACf/b2c=")</f>
        <v>#VALUE!</v>
      </c>
      <c r="DA211" t="e">
        <f>AND('Planilla_General_03-12-2012_9_3'!H3367,"AAAAACf/b2g=")</f>
        <v>#VALUE!</v>
      </c>
      <c r="DB211" t="e">
        <f>AND('Planilla_General_03-12-2012_9_3'!I3367,"AAAAACf/b2k=")</f>
        <v>#VALUE!</v>
      </c>
      <c r="DC211" t="e">
        <f>AND('Planilla_General_03-12-2012_9_3'!J3367,"AAAAACf/b2o=")</f>
        <v>#VALUE!</v>
      </c>
      <c r="DD211" t="e">
        <f>AND('Planilla_General_03-12-2012_9_3'!K3367,"AAAAACf/b2s=")</f>
        <v>#VALUE!</v>
      </c>
      <c r="DE211" t="e">
        <f>AND('Planilla_General_03-12-2012_9_3'!L3367,"AAAAACf/b2w=")</f>
        <v>#VALUE!</v>
      </c>
      <c r="DF211" t="e">
        <f>AND('Planilla_General_03-12-2012_9_3'!M3367,"AAAAACf/b20=")</f>
        <v>#VALUE!</v>
      </c>
      <c r="DG211" t="e">
        <f>AND('Planilla_General_03-12-2012_9_3'!N3367,"AAAAACf/b24=")</f>
        <v>#VALUE!</v>
      </c>
      <c r="DH211" t="e">
        <f>AND('Planilla_General_03-12-2012_9_3'!O3367,"AAAAACf/b28=")</f>
        <v>#VALUE!</v>
      </c>
      <c r="DI211">
        <f>IF('Planilla_General_03-12-2012_9_3'!3368:3368,"AAAAACf/b3A=",0)</f>
        <v>0</v>
      </c>
      <c r="DJ211" t="e">
        <f>AND('Planilla_General_03-12-2012_9_3'!A3368,"AAAAACf/b3E=")</f>
        <v>#VALUE!</v>
      </c>
      <c r="DK211" t="e">
        <f>AND('Planilla_General_03-12-2012_9_3'!B3368,"AAAAACf/b3I=")</f>
        <v>#VALUE!</v>
      </c>
      <c r="DL211" t="e">
        <f>AND('Planilla_General_03-12-2012_9_3'!C3368,"AAAAACf/b3M=")</f>
        <v>#VALUE!</v>
      </c>
      <c r="DM211" t="e">
        <f>AND('Planilla_General_03-12-2012_9_3'!D3368,"AAAAACf/b3Q=")</f>
        <v>#VALUE!</v>
      </c>
      <c r="DN211" t="e">
        <f>AND('Planilla_General_03-12-2012_9_3'!E3368,"AAAAACf/b3U=")</f>
        <v>#VALUE!</v>
      </c>
      <c r="DO211" t="e">
        <f>AND('Planilla_General_03-12-2012_9_3'!F3368,"AAAAACf/b3Y=")</f>
        <v>#VALUE!</v>
      </c>
      <c r="DP211" t="e">
        <f>AND('Planilla_General_03-12-2012_9_3'!G3368,"AAAAACf/b3c=")</f>
        <v>#VALUE!</v>
      </c>
      <c r="DQ211" t="e">
        <f>AND('Planilla_General_03-12-2012_9_3'!H3368,"AAAAACf/b3g=")</f>
        <v>#VALUE!</v>
      </c>
      <c r="DR211" t="e">
        <f>AND('Planilla_General_03-12-2012_9_3'!I3368,"AAAAACf/b3k=")</f>
        <v>#VALUE!</v>
      </c>
      <c r="DS211" t="e">
        <f>AND('Planilla_General_03-12-2012_9_3'!J3368,"AAAAACf/b3o=")</f>
        <v>#VALUE!</v>
      </c>
      <c r="DT211" t="e">
        <f>AND('Planilla_General_03-12-2012_9_3'!K3368,"AAAAACf/b3s=")</f>
        <v>#VALUE!</v>
      </c>
      <c r="DU211" t="e">
        <f>AND('Planilla_General_03-12-2012_9_3'!L3368,"AAAAACf/b3w=")</f>
        <v>#VALUE!</v>
      </c>
      <c r="DV211" t="e">
        <f>AND('Planilla_General_03-12-2012_9_3'!M3368,"AAAAACf/b30=")</f>
        <v>#VALUE!</v>
      </c>
      <c r="DW211" t="e">
        <f>AND('Planilla_General_03-12-2012_9_3'!N3368,"AAAAACf/b34=")</f>
        <v>#VALUE!</v>
      </c>
      <c r="DX211" t="e">
        <f>AND('Planilla_General_03-12-2012_9_3'!O3368,"AAAAACf/b38=")</f>
        <v>#VALUE!</v>
      </c>
      <c r="DY211">
        <f>IF('Planilla_General_03-12-2012_9_3'!3369:3369,"AAAAACf/b4A=",0)</f>
        <v>0</v>
      </c>
      <c r="DZ211" t="e">
        <f>AND('Planilla_General_03-12-2012_9_3'!A3369,"AAAAACf/b4E=")</f>
        <v>#VALUE!</v>
      </c>
      <c r="EA211" t="e">
        <f>AND('Planilla_General_03-12-2012_9_3'!B3369,"AAAAACf/b4I=")</f>
        <v>#VALUE!</v>
      </c>
      <c r="EB211" t="e">
        <f>AND('Planilla_General_03-12-2012_9_3'!C3369,"AAAAACf/b4M=")</f>
        <v>#VALUE!</v>
      </c>
      <c r="EC211" t="e">
        <f>AND('Planilla_General_03-12-2012_9_3'!D3369,"AAAAACf/b4Q=")</f>
        <v>#VALUE!</v>
      </c>
      <c r="ED211" t="e">
        <f>AND('Planilla_General_03-12-2012_9_3'!E3369,"AAAAACf/b4U=")</f>
        <v>#VALUE!</v>
      </c>
      <c r="EE211" t="e">
        <f>AND('Planilla_General_03-12-2012_9_3'!F3369,"AAAAACf/b4Y=")</f>
        <v>#VALUE!</v>
      </c>
      <c r="EF211" t="e">
        <f>AND('Planilla_General_03-12-2012_9_3'!G3369,"AAAAACf/b4c=")</f>
        <v>#VALUE!</v>
      </c>
      <c r="EG211" t="e">
        <f>AND('Planilla_General_03-12-2012_9_3'!H3369,"AAAAACf/b4g=")</f>
        <v>#VALUE!</v>
      </c>
      <c r="EH211" t="e">
        <f>AND('Planilla_General_03-12-2012_9_3'!I3369,"AAAAACf/b4k=")</f>
        <v>#VALUE!</v>
      </c>
      <c r="EI211" t="e">
        <f>AND('Planilla_General_03-12-2012_9_3'!J3369,"AAAAACf/b4o=")</f>
        <v>#VALUE!</v>
      </c>
      <c r="EJ211" t="e">
        <f>AND('Planilla_General_03-12-2012_9_3'!K3369,"AAAAACf/b4s=")</f>
        <v>#VALUE!</v>
      </c>
      <c r="EK211" t="e">
        <f>AND('Planilla_General_03-12-2012_9_3'!L3369,"AAAAACf/b4w=")</f>
        <v>#VALUE!</v>
      </c>
      <c r="EL211" t="e">
        <f>AND('Planilla_General_03-12-2012_9_3'!M3369,"AAAAACf/b40=")</f>
        <v>#VALUE!</v>
      </c>
      <c r="EM211" t="e">
        <f>AND('Planilla_General_03-12-2012_9_3'!N3369,"AAAAACf/b44=")</f>
        <v>#VALUE!</v>
      </c>
      <c r="EN211" t="e">
        <f>AND('Planilla_General_03-12-2012_9_3'!O3369,"AAAAACf/b48=")</f>
        <v>#VALUE!</v>
      </c>
      <c r="EO211">
        <f>IF('Planilla_General_03-12-2012_9_3'!3370:3370,"AAAAACf/b5A=",0)</f>
        <v>0</v>
      </c>
      <c r="EP211" t="e">
        <f>AND('Planilla_General_03-12-2012_9_3'!A3370,"AAAAACf/b5E=")</f>
        <v>#VALUE!</v>
      </c>
      <c r="EQ211" t="e">
        <f>AND('Planilla_General_03-12-2012_9_3'!B3370,"AAAAACf/b5I=")</f>
        <v>#VALUE!</v>
      </c>
      <c r="ER211" t="e">
        <f>AND('Planilla_General_03-12-2012_9_3'!C3370,"AAAAACf/b5M=")</f>
        <v>#VALUE!</v>
      </c>
      <c r="ES211" t="e">
        <f>AND('Planilla_General_03-12-2012_9_3'!D3370,"AAAAACf/b5Q=")</f>
        <v>#VALUE!</v>
      </c>
      <c r="ET211" t="e">
        <f>AND('Planilla_General_03-12-2012_9_3'!E3370,"AAAAACf/b5U=")</f>
        <v>#VALUE!</v>
      </c>
      <c r="EU211" t="e">
        <f>AND('Planilla_General_03-12-2012_9_3'!F3370,"AAAAACf/b5Y=")</f>
        <v>#VALUE!</v>
      </c>
      <c r="EV211" t="e">
        <f>AND('Planilla_General_03-12-2012_9_3'!G3370,"AAAAACf/b5c=")</f>
        <v>#VALUE!</v>
      </c>
      <c r="EW211" t="e">
        <f>AND('Planilla_General_03-12-2012_9_3'!H3370,"AAAAACf/b5g=")</f>
        <v>#VALUE!</v>
      </c>
      <c r="EX211" t="e">
        <f>AND('Planilla_General_03-12-2012_9_3'!I3370,"AAAAACf/b5k=")</f>
        <v>#VALUE!</v>
      </c>
      <c r="EY211" t="e">
        <f>AND('Planilla_General_03-12-2012_9_3'!J3370,"AAAAACf/b5o=")</f>
        <v>#VALUE!</v>
      </c>
      <c r="EZ211" t="e">
        <f>AND('Planilla_General_03-12-2012_9_3'!K3370,"AAAAACf/b5s=")</f>
        <v>#VALUE!</v>
      </c>
      <c r="FA211" t="e">
        <f>AND('Planilla_General_03-12-2012_9_3'!L3370,"AAAAACf/b5w=")</f>
        <v>#VALUE!</v>
      </c>
      <c r="FB211" t="e">
        <f>AND('Planilla_General_03-12-2012_9_3'!M3370,"AAAAACf/b50=")</f>
        <v>#VALUE!</v>
      </c>
      <c r="FC211" t="e">
        <f>AND('Planilla_General_03-12-2012_9_3'!N3370,"AAAAACf/b54=")</f>
        <v>#VALUE!</v>
      </c>
      <c r="FD211" t="e">
        <f>AND('Planilla_General_03-12-2012_9_3'!O3370,"AAAAACf/b58=")</f>
        <v>#VALUE!</v>
      </c>
      <c r="FE211">
        <f>IF('Planilla_General_03-12-2012_9_3'!3371:3371,"AAAAACf/b6A=",0)</f>
        <v>0</v>
      </c>
      <c r="FF211" t="e">
        <f>AND('Planilla_General_03-12-2012_9_3'!A3371,"AAAAACf/b6E=")</f>
        <v>#VALUE!</v>
      </c>
      <c r="FG211" t="e">
        <f>AND('Planilla_General_03-12-2012_9_3'!B3371,"AAAAACf/b6I=")</f>
        <v>#VALUE!</v>
      </c>
      <c r="FH211" t="e">
        <f>AND('Planilla_General_03-12-2012_9_3'!C3371,"AAAAACf/b6M=")</f>
        <v>#VALUE!</v>
      </c>
      <c r="FI211" t="e">
        <f>AND('Planilla_General_03-12-2012_9_3'!D3371,"AAAAACf/b6Q=")</f>
        <v>#VALUE!</v>
      </c>
      <c r="FJ211" t="e">
        <f>AND('Planilla_General_03-12-2012_9_3'!E3371,"AAAAACf/b6U=")</f>
        <v>#VALUE!</v>
      </c>
      <c r="FK211" t="e">
        <f>AND('Planilla_General_03-12-2012_9_3'!F3371,"AAAAACf/b6Y=")</f>
        <v>#VALUE!</v>
      </c>
      <c r="FL211" t="e">
        <f>AND('Planilla_General_03-12-2012_9_3'!G3371,"AAAAACf/b6c=")</f>
        <v>#VALUE!</v>
      </c>
      <c r="FM211" t="e">
        <f>AND('Planilla_General_03-12-2012_9_3'!H3371,"AAAAACf/b6g=")</f>
        <v>#VALUE!</v>
      </c>
      <c r="FN211" t="e">
        <f>AND('Planilla_General_03-12-2012_9_3'!I3371,"AAAAACf/b6k=")</f>
        <v>#VALUE!</v>
      </c>
      <c r="FO211" t="e">
        <f>AND('Planilla_General_03-12-2012_9_3'!J3371,"AAAAACf/b6o=")</f>
        <v>#VALUE!</v>
      </c>
      <c r="FP211" t="e">
        <f>AND('Planilla_General_03-12-2012_9_3'!K3371,"AAAAACf/b6s=")</f>
        <v>#VALUE!</v>
      </c>
      <c r="FQ211" t="e">
        <f>AND('Planilla_General_03-12-2012_9_3'!L3371,"AAAAACf/b6w=")</f>
        <v>#VALUE!</v>
      </c>
      <c r="FR211" t="e">
        <f>AND('Planilla_General_03-12-2012_9_3'!M3371,"AAAAACf/b60=")</f>
        <v>#VALUE!</v>
      </c>
      <c r="FS211" t="e">
        <f>AND('Planilla_General_03-12-2012_9_3'!N3371,"AAAAACf/b64=")</f>
        <v>#VALUE!</v>
      </c>
      <c r="FT211" t="e">
        <f>AND('Planilla_General_03-12-2012_9_3'!O3371,"AAAAACf/b68=")</f>
        <v>#VALUE!</v>
      </c>
      <c r="FU211">
        <f>IF('Planilla_General_03-12-2012_9_3'!3372:3372,"AAAAACf/b7A=",0)</f>
        <v>0</v>
      </c>
      <c r="FV211" t="e">
        <f>AND('Planilla_General_03-12-2012_9_3'!A3372,"AAAAACf/b7E=")</f>
        <v>#VALUE!</v>
      </c>
      <c r="FW211" t="e">
        <f>AND('Planilla_General_03-12-2012_9_3'!B3372,"AAAAACf/b7I=")</f>
        <v>#VALUE!</v>
      </c>
      <c r="FX211" t="e">
        <f>AND('Planilla_General_03-12-2012_9_3'!C3372,"AAAAACf/b7M=")</f>
        <v>#VALUE!</v>
      </c>
      <c r="FY211" t="e">
        <f>AND('Planilla_General_03-12-2012_9_3'!D3372,"AAAAACf/b7Q=")</f>
        <v>#VALUE!</v>
      </c>
      <c r="FZ211" t="e">
        <f>AND('Planilla_General_03-12-2012_9_3'!E3372,"AAAAACf/b7U=")</f>
        <v>#VALUE!</v>
      </c>
      <c r="GA211" t="e">
        <f>AND('Planilla_General_03-12-2012_9_3'!F3372,"AAAAACf/b7Y=")</f>
        <v>#VALUE!</v>
      </c>
      <c r="GB211" t="e">
        <f>AND('Planilla_General_03-12-2012_9_3'!G3372,"AAAAACf/b7c=")</f>
        <v>#VALUE!</v>
      </c>
      <c r="GC211" t="e">
        <f>AND('Planilla_General_03-12-2012_9_3'!H3372,"AAAAACf/b7g=")</f>
        <v>#VALUE!</v>
      </c>
      <c r="GD211" t="e">
        <f>AND('Planilla_General_03-12-2012_9_3'!I3372,"AAAAACf/b7k=")</f>
        <v>#VALUE!</v>
      </c>
      <c r="GE211" t="e">
        <f>AND('Planilla_General_03-12-2012_9_3'!J3372,"AAAAACf/b7o=")</f>
        <v>#VALUE!</v>
      </c>
      <c r="GF211" t="e">
        <f>AND('Planilla_General_03-12-2012_9_3'!K3372,"AAAAACf/b7s=")</f>
        <v>#VALUE!</v>
      </c>
      <c r="GG211" t="e">
        <f>AND('Planilla_General_03-12-2012_9_3'!L3372,"AAAAACf/b7w=")</f>
        <v>#VALUE!</v>
      </c>
      <c r="GH211" t="e">
        <f>AND('Planilla_General_03-12-2012_9_3'!M3372,"AAAAACf/b70=")</f>
        <v>#VALUE!</v>
      </c>
      <c r="GI211" t="e">
        <f>AND('Planilla_General_03-12-2012_9_3'!N3372,"AAAAACf/b74=")</f>
        <v>#VALUE!</v>
      </c>
      <c r="GJ211" t="e">
        <f>AND('Planilla_General_03-12-2012_9_3'!O3372,"AAAAACf/b78=")</f>
        <v>#VALUE!</v>
      </c>
      <c r="GK211">
        <f>IF('Planilla_General_03-12-2012_9_3'!3373:3373,"AAAAACf/b8A=",0)</f>
        <v>0</v>
      </c>
      <c r="GL211" t="e">
        <f>AND('Planilla_General_03-12-2012_9_3'!A3373,"AAAAACf/b8E=")</f>
        <v>#VALUE!</v>
      </c>
      <c r="GM211" t="e">
        <f>AND('Planilla_General_03-12-2012_9_3'!B3373,"AAAAACf/b8I=")</f>
        <v>#VALUE!</v>
      </c>
      <c r="GN211" t="e">
        <f>AND('Planilla_General_03-12-2012_9_3'!C3373,"AAAAACf/b8M=")</f>
        <v>#VALUE!</v>
      </c>
      <c r="GO211" t="e">
        <f>AND('Planilla_General_03-12-2012_9_3'!D3373,"AAAAACf/b8Q=")</f>
        <v>#VALUE!</v>
      </c>
      <c r="GP211" t="e">
        <f>AND('Planilla_General_03-12-2012_9_3'!E3373,"AAAAACf/b8U=")</f>
        <v>#VALUE!</v>
      </c>
      <c r="GQ211" t="e">
        <f>AND('Planilla_General_03-12-2012_9_3'!F3373,"AAAAACf/b8Y=")</f>
        <v>#VALUE!</v>
      </c>
      <c r="GR211" t="e">
        <f>AND('Planilla_General_03-12-2012_9_3'!G3373,"AAAAACf/b8c=")</f>
        <v>#VALUE!</v>
      </c>
      <c r="GS211" t="e">
        <f>AND('Planilla_General_03-12-2012_9_3'!H3373,"AAAAACf/b8g=")</f>
        <v>#VALUE!</v>
      </c>
      <c r="GT211" t="e">
        <f>AND('Planilla_General_03-12-2012_9_3'!I3373,"AAAAACf/b8k=")</f>
        <v>#VALUE!</v>
      </c>
      <c r="GU211" t="e">
        <f>AND('Planilla_General_03-12-2012_9_3'!J3373,"AAAAACf/b8o=")</f>
        <v>#VALUE!</v>
      </c>
      <c r="GV211" t="e">
        <f>AND('Planilla_General_03-12-2012_9_3'!K3373,"AAAAACf/b8s=")</f>
        <v>#VALUE!</v>
      </c>
      <c r="GW211" t="e">
        <f>AND('Planilla_General_03-12-2012_9_3'!L3373,"AAAAACf/b8w=")</f>
        <v>#VALUE!</v>
      </c>
      <c r="GX211" t="e">
        <f>AND('Planilla_General_03-12-2012_9_3'!M3373,"AAAAACf/b80=")</f>
        <v>#VALUE!</v>
      </c>
      <c r="GY211" t="e">
        <f>AND('Planilla_General_03-12-2012_9_3'!N3373,"AAAAACf/b84=")</f>
        <v>#VALUE!</v>
      </c>
      <c r="GZ211" t="e">
        <f>AND('Planilla_General_03-12-2012_9_3'!O3373,"AAAAACf/b88=")</f>
        <v>#VALUE!</v>
      </c>
      <c r="HA211">
        <f>IF('Planilla_General_03-12-2012_9_3'!3374:3374,"AAAAACf/b9A=",0)</f>
        <v>0</v>
      </c>
      <c r="HB211" t="e">
        <f>AND('Planilla_General_03-12-2012_9_3'!A3374,"AAAAACf/b9E=")</f>
        <v>#VALUE!</v>
      </c>
      <c r="HC211" t="e">
        <f>AND('Planilla_General_03-12-2012_9_3'!B3374,"AAAAACf/b9I=")</f>
        <v>#VALUE!</v>
      </c>
      <c r="HD211" t="e">
        <f>AND('Planilla_General_03-12-2012_9_3'!C3374,"AAAAACf/b9M=")</f>
        <v>#VALUE!</v>
      </c>
      <c r="HE211" t="e">
        <f>AND('Planilla_General_03-12-2012_9_3'!D3374,"AAAAACf/b9Q=")</f>
        <v>#VALUE!</v>
      </c>
      <c r="HF211" t="e">
        <f>AND('Planilla_General_03-12-2012_9_3'!E3374,"AAAAACf/b9U=")</f>
        <v>#VALUE!</v>
      </c>
      <c r="HG211" t="e">
        <f>AND('Planilla_General_03-12-2012_9_3'!F3374,"AAAAACf/b9Y=")</f>
        <v>#VALUE!</v>
      </c>
      <c r="HH211" t="e">
        <f>AND('Planilla_General_03-12-2012_9_3'!G3374,"AAAAACf/b9c=")</f>
        <v>#VALUE!</v>
      </c>
      <c r="HI211" t="e">
        <f>AND('Planilla_General_03-12-2012_9_3'!H3374,"AAAAACf/b9g=")</f>
        <v>#VALUE!</v>
      </c>
      <c r="HJ211" t="e">
        <f>AND('Planilla_General_03-12-2012_9_3'!I3374,"AAAAACf/b9k=")</f>
        <v>#VALUE!</v>
      </c>
      <c r="HK211" t="e">
        <f>AND('Planilla_General_03-12-2012_9_3'!J3374,"AAAAACf/b9o=")</f>
        <v>#VALUE!</v>
      </c>
      <c r="HL211" t="e">
        <f>AND('Planilla_General_03-12-2012_9_3'!K3374,"AAAAACf/b9s=")</f>
        <v>#VALUE!</v>
      </c>
      <c r="HM211" t="e">
        <f>AND('Planilla_General_03-12-2012_9_3'!L3374,"AAAAACf/b9w=")</f>
        <v>#VALUE!</v>
      </c>
      <c r="HN211" t="e">
        <f>AND('Planilla_General_03-12-2012_9_3'!M3374,"AAAAACf/b90=")</f>
        <v>#VALUE!</v>
      </c>
      <c r="HO211" t="e">
        <f>AND('Planilla_General_03-12-2012_9_3'!N3374,"AAAAACf/b94=")</f>
        <v>#VALUE!</v>
      </c>
      <c r="HP211" t="e">
        <f>AND('Planilla_General_03-12-2012_9_3'!O3374,"AAAAACf/b98=")</f>
        <v>#VALUE!</v>
      </c>
      <c r="HQ211">
        <f>IF('Planilla_General_03-12-2012_9_3'!3375:3375,"AAAAACf/b+A=",0)</f>
        <v>0</v>
      </c>
      <c r="HR211" t="e">
        <f>AND('Planilla_General_03-12-2012_9_3'!A3375,"AAAAACf/b+E=")</f>
        <v>#VALUE!</v>
      </c>
      <c r="HS211" t="e">
        <f>AND('Planilla_General_03-12-2012_9_3'!B3375,"AAAAACf/b+I=")</f>
        <v>#VALUE!</v>
      </c>
      <c r="HT211" t="e">
        <f>AND('Planilla_General_03-12-2012_9_3'!C3375,"AAAAACf/b+M=")</f>
        <v>#VALUE!</v>
      </c>
      <c r="HU211" t="e">
        <f>AND('Planilla_General_03-12-2012_9_3'!D3375,"AAAAACf/b+Q=")</f>
        <v>#VALUE!</v>
      </c>
      <c r="HV211" t="e">
        <f>AND('Planilla_General_03-12-2012_9_3'!E3375,"AAAAACf/b+U=")</f>
        <v>#VALUE!</v>
      </c>
      <c r="HW211" t="e">
        <f>AND('Planilla_General_03-12-2012_9_3'!F3375,"AAAAACf/b+Y=")</f>
        <v>#VALUE!</v>
      </c>
      <c r="HX211" t="e">
        <f>AND('Planilla_General_03-12-2012_9_3'!G3375,"AAAAACf/b+c=")</f>
        <v>#VALUE!</v>
      </c>
      <c r="HY211" t="e">
        <f>AND('Planilla_General_03-12-2012_9_3'!H3375,"AAAAACf/b+g=")</f>
        <v>#VALUE!</v>
      </c>
      <c r="HZ211" t="e">
        <f>AND('Planilla_General_03-12-2012_9_3'!I3375,"AAAAACf/b+k=")</f>
        <v>#VALUE!</v>
      </c>
      <c r="IA211" t="e">
        <f>AND('Planilla_General_03-12-2012_9_3'!J3375,"AAAAACf/b+o=")</f>
        <v>#VALUE!</v>
      </c>
      <c r="IB211" t="e">
        <f>AND('Planilla_General_03-12-2012_9_3'!K3375,"AAAAACf/b+s=")</f>
        <v>#VALUE!</v>
      </c>
      <c r="IC211" t="e">
        <f>AND('Planilla_General_03-12-2012_9_3'!L3375,"AAAAACf/b+w=")</f>
        <v>#VALUE!</v>
      </c>
      <c r="ID211" t="e">
        <f>AND('Planilla_General_03-12-2012_9_3'!M3375,"AAAAACf/b+0=")</f>
        <v>#VALUE!</v>
      </c>
      <c r="IE211" t="e">
        <f>AND('Planilla_General_03-12-2012_9_3'!N3375,"AAAAACf/b+4=")</f>
        <v>#VALUE!</v>
      </c>
      <c r="IF211" t="e">
        <f>AND('Planilla_General_03-12-2012_9_3'!O3375,"AAAAACf/b+8=")</f>
        <v>#VALUE!</v>
      </c>
      <c r="IG211">
        <f>IF('Planilla_General_03-12-2012_9_3'!3376:3376,"AAAAACf/b/A=",0)</f>
        <v>0</v>
      </c>
      <c r="IH211" t="e">
        <f>AND('Planilla_General_03-12-2012_9_3'!A3376,"AAAAACf/b/E=")</f>
        <v>#VALUE!</v>
      </c>
      <c r="II211" t="e">
        <f>AND('Planilla_General_03-12-2012_9_3'!B3376,"AAAAACf/b/I=")</f>
        <v>#VALUE!</v>
      </c>
      <c r="IJ211" t="e">
        <f>AND('Planilla_General_03-12-2012_9_3'!C3376,"AAAAACf/b/M=")</f>
        <v>#VALUE!</v>
      </c>
      <c r="IK211" t="e">
        <f>AND('Planilla_General_03-12-2012_9_3'!D3376,"AAAAACf/b/Q=")</f>
        <v>#VALUE!</v>
      </c>
      <c r="IL211" t="e">
        <f>AND('Planilla_General_03-12-2012_9_3'!E3376,"AAAAACf/b/U=")</f>
        <v>#VALUE!</v>
      </c>
      <c r="IM211" t="e">
        <f>AND('Planilla_General_03-12-2012_9_3'!F3376,"AAAAACf/b/Y=")</f>
        <v>#VALUE!</v>
      </c>
      <c r="IN211" t="e">
        <f>AND('Planilla_General_03-12-2012_9_3'!G3376,"AAAAACf/b/c=")</f>
        <v>#VALUE!</v>
      </c>
      <c r="IO211" t="e">
        <f>AND('Planilla_General_03-12-2012_9_3'!H3376,"AAAAACf/b/g=")</f>
        <v>#VALUE!</v>
      </c>
      <c r="IP211" t="e">
        <f>AND('Planilla_General_03-12-2012_9_3'!I3376,"AAAAACf/b/k=")</f>
        <v>#VALUE!</v>
      </c>
      <c r="IQ211" t="e">
        <f>AND('Planilla_General_03-12-2012_9_3'!J3376,"AAAAACf/b/o=")</f>
        <v>#VALUE!</v>
      </c>
      <c r="IR211" t="e">
        <f>AND('Planilla_General_03-12-2012_9_3'!K3376,"AAAAACf/b/s=")</f>
        <v>#VALUE!</v>
      </c>
      <c r="IS211" t="e">
        <f>AND('Planilla_General_03-12-2012_9_3'!L3376,"AAAAACf/b/w=")</f>
        <v>#VALUE!</v>
      </c>
      <c r="IT211" t="e">
        <f>AND('Planilla_General_03-12-2012_9_3'!M3376,"AAAAACf/b/0=")</f>
        <v>#VALUE!</v>
      </c>
      <c r="IU211" t="e">
        <f>AND('Planilla_General_03-12-2012_9_3'!N3376,"AAAAACf/b/4=")</f>
        <v>#VALUE!</v>
      </c>
      <c r="IV211" t="e">
        <f>AND('Planilla_General_03-12-2012_9_3'!O3376,"AAAAACf/b/8=")</f>
        <v>#VALUE!</v>
      </c>
    </row>
    <row r="212" spans="1:256" x14ac:dyDescent="0.25">
      <c r="A212" t="e">
        <f>IF('Planilla_General_03-12-2012_9_3'!3377:3377,"AAAAAGv9vAA=",0)</f>
        <v>#VALUE!</v>
      </c>
      <c r="B212" t="e">
        <f>AND('Planilla_General_03-12-2012_9_3'!A3377,"AAAAAGv9vAE=")</f>
        <v>#VALUE!</v>
      </c>
      <c r="C212" t="e">
        <f>AND('Planilla_General_03-12-2012_9_3'!B3377,"AAAAAGv9vAI=")</f>
        <v>#VALUE!</v>
      </c>
      <c r="D212" t="e">
        <f>AND('Planilla_General_03-12-2012_9_3'!C3377,"AAAAAGv9vAM=")</f>
        <v>#VALUE!</v>
      </c>
      <c r="E212" t="e">
        <f>AND('Planilla_General_03-12-2012_9_3'!D3377,"AAAAAGv9vAQ=")</f>
        <v>#VALUE!</v>
      </c>
      <c r="F212" t="e">
        <f>AND('Planilla_General_03-12-2012_9_3'!E3377,"AAAAAGv9vAU=")</f>
        <v>#VALUE!</v>
      </c>
      <c r="G212" t="e">
        <f>AND('Planilla_General_03-12-2012_9_3'!F3377,"AAAAAGv9vAY=")</f>
        <v>#VALUE!</v>
      </c>
      <c r="H212" t="e">
        <f>AND('Planilla_General_03-12-2012_9_3'!G3377,"AAAAAGv9vAc=")</f>
        <v>#VALUE!</v>
      </c>
      <c r="I212" t="e">
        <f>AND('Planilla_General_03-12-2012_9_3'!H3377,"AAAAAGv9vAg=")</f>
        <v>#VALUE!</v>
      </c>
      <c r="J212" t="e">
        <f>AND('Planilla_General_03-12-2012_9_3'!I3377,"AAAAAGv9vAk=")</f>
        <v>#VALUE!</v>
      </c>
      <c r="K212" t="e">
        <f>AND('Planilla_General_03-12-2012_9_3'!J3377,"AAAAAGv9vAo=")</f>
        <v>#VALUE!</v>
      </c>
      <c r="L212" t="e">
        <f>AND('Planilla_General_03-12-2012_9_3'!K3377,"AAAAAGv9vAs=")</f>
        <v>#VALUE!</v>
      </c>
      <c r="M212" t="e">
        <f>AND('Planilla_General_03-12-2012_9_3'!L3377,"AAAAAGv9vAw=")</f>
        <v>#VALUE!</v>
      </c>
      <c r="N212" t="e">
        <f>AND('Planilla_General_03-12-2012_9_3'!M3377,"AAAAAGv9vA0=")</f>
        <v>#VALUE!</v>
      </c>
      <c r="O212" t="e">
        <f>AND('Planilla_General_03-12-2012_9_3'!N3377,"AAAAAGv9vA4=")</f>
        <v>#VALUE!</v>
      </c>
      <c r="P212" t="e">
        <f>AND('Planilla_General_03-12-2012_9_3'!O3377,"AAAAAGv9vA8=")</f>
        <v>#VALUE!</v>
      </c>
      <c r="Q212">
        <f>IF('Planilla_General_03-12-2012_9_3'!3378:3378,"AAAAAGv9vBA=",0)</f>
        <v>0</v>
      </c>
      <c r="R212" t="e">
        <f>AND('Planilla_General_03-12-2012_9_3'!A3378,"AAAAAGv9vBE=")</f>
        <v>#VALUE!</v>
      </c>
      <c r="S212" t="e">
        <f>AND('Planilla_General_03-12-2012_9_3'!B3378,"AAAAAGv9vBI=")</f>
        <v>#VALUE!</v>
      </c>
      <c r="T212" t="e">
        <f>AND('Planilla_General_03-12-2012_9_3'!C3378,"AAAAAGv9vBM=")</f>
        <v>#VALUE!</v>
      </c>
      <c r="U212" t="e">
        <f>AND('Planilla_General_03-12-2012_9_3'!D3378,"AAAAAGv9vBQ=")</f>
        <v>#VALUE!</v>
      </c>
      <c r="V212" t="e">
        <f>AND('Planilla_General_03-12-2012_9_3'!E3378,"AAAAAGv9vBU=")</f>
        <v>#VALUE!</v>
      </c>
      <c r="W212" t="e">
        <f>AND('Planilla_General_03-12-2012_9_3'!F3378,"AAAAAGv9vBY=")</f>
        <v>#VALUE!</v>
      </c>
      <c r="X212" t="e">
        <f>AND('Planilla_General_03-12-2012_9_3'!G3378,"AAAAAGv9vBc=")</f>
        <v>#VALUE!</v>
      </c>
      <c r="Y212" t="e">
        <f>AND('Planilla_General_03-12-2012_9_3'!H3378,"AAAAAGv9vBg=")</f>
        <v>#VALUE!</v>
      </c>
      <c r="Z212" t="e">
        <f>AND('Planilla_General_03-12-2012_9_3'!I3378,"AAAAAGv9vBk=")</f>
        <v>#VALUE!</v>
      </c>
      <c r="AA212" t="e">
        <f>AND('Planilla_General_03-12-2012_9_3'!J3378,"AAAAAGv9vBo=")</f>
        <v>#VALUE!</v>
      </c>
      <c r="AB212" t="e">
        <f>AND('Planilla_General_03-12-2012_9_3'!K3378,"AAAAAGv9vBs=")</f>
        <v>#VALUE!</v>
      </c>
      <c r="AC212" t="e">
        <f>AND('Planilla_General_03-12-2012_9_3'!L3378,"AAAAAGv9vBw=")</f>
        <v>#VALUE!</v>
      </c>
      <c r="AD212" t="e">
        <f>AND('Planilla_General_03-12-2012_9_3'!M3378,"AAAAAGv9vB0=")</f>
        <v>#VALUE!</v>
      </c>
      <c r="AE212" t="e">
        <f>AND('Planilla_General_03-12-2012_9_3'!N3378,"AAAAAGv9vB4=")</f>
        <v>#VALUE!</v>
      </c>
      <c r="AF212" t="e">
        <f>AND('Planilla_General_03-12-2012_9_3'!O3378,"AAAAAGv9vB8=")</f>
        <v>#VALUE!</v>
      </c>
      <c r="AG212">
        <f>IF('Planilla_General_03-12-2012_9_3'!3379:3379,"AAAAAGv9vCA=",0)</f>
        <v>0</v>
      </c>
      <c r="AH212" t="e">
        <f>AND('Planilla_General_03-12-2012_9_3'!A3379,"AAAAAGv9vCE=")</f>
        <v>#VALUE!</v>
      </c>
      <c r="AI212" t="e">
        <f>AND('Planilla_General_03-12-2012_9_3'!B3379,"AAAAAGv9vCI=")</f>
        <v>#VALUE!</v>
      </c>
      <c r="AJ212" t="e">
        <f>AND('Planilla_General_03-12-2012_9_3'!C3379,"AAAAAGv9vCM=")</f>
        <v>#VALUE!</v>
      </c>
      <c r="AK212" t="e">
        <f>AND('Planilla_General_03-12-2012_9_3'!D3379,"AAAAAGv9vCQ=")</f>
        <v>#VALUE!</v>
      </c>
      <c r="AL212" t="e">
        <f>AND('Planilla_General_03-12-2012_9_3'!E3379,"AAAAAGv9vCU=")</f>
        <v>#VALUE!</v>
      </c>
      <c r="AM212" t="e">
        <f>AND('Planilla_General_03-12-2012_9_3'!F3379,"AAAAAGv9vCY=")</f>
        <v>#VALUE!</v>
      </c>
      <c r="AN212" t="e">
        <f>AND('Planilla_General_03-12-2012_9_3'!G3379,"AAAAAGv9vCc=")</f>
        <v>#VALUE!</v>
      </c>
      <c r="AO212" t="e">
        <f>AND('Planilla_General_03-12-2012_9_3'!H3379,"AAAAAGv9vCg=")</f>
        <v>#VALUE!</v>
      </c>
      <c r="AP212" t="e">
        <f>AND('Planilla_General_03-12-2012_9_3'!I3379,"AAAAAGv9vCk=")</f>
        <v>#VALUE!</v>
      </c>
      <c r="AQ212" t="e">
        <f>AND('Planilla_General_03-12-2012_9_3'!J3379,"AAAAAGv9vCo=")</f>
        <v>#VALUE!</v>
      </c>
      <c r="AR212" t="e">
        <f>AND('Planilla_General_03-12-2012_9_3'!K3379,"AAAAAGv9vCs=")</f>
        <v>#VALUE!</v>
      </c>
      <c r="AS212" t="e">
        <f>AND('Planilla_General_03-12-2012_9_3'!L3379,"AAAAAGv9vCw=")</f>
        <v>#VALUE!</v>
      </c>
      <c r="AT212" t="e">
        <f>AND('Planilla_General_03-12-2012_9_3'!M3379,"AAAAAGv9vC0=")</f>
        <v>#VALUE!</v>
      </c>
      <c r="AU212" t="e">
        <f>AND('Planilla_General_03-12-2012_9_3'!N3379,"AAAAAGv9vC4=")</f>
        <v>#VALUE!</v>
      </c>
      <c r="AV212" t="e">
        <f>AND('Planilla_General_03-12-2012_9_3'!O3379,"AAAAAGv9vC8=")</f>
        <v>#VALUE!</v>
      </c>
      <c r="AW212">
        <f>IF('Planilla_General_03-12-2012_9_3'!3380:3380,"AAAAAGv9vDA=",0)</f>
        <v>0</v>
      </c>
      <c r="AX212" t="e">
        <f>AND('Planilla_General_03-12-2012_9_3'!A3380,"AAAAAGv9vDE=")</f>
        <v>#VALUE!</v>
      </c>
      <c r="AY212" t="e">
        <f>AND('Planilla_General_03-12-2012_9_3'!B3380,"AAAAAGv9vDI=")</f>
        <v>#VALUE!</v>
      </c>
      <c r="AZ212" t="e">
        <f>AND('Planilla_General_03-12-2012_9_3'!C3380,"AAAAAGv9vDM=")</f>
        <v>#VALUE!</v>
      </c>
      <c r="BA212" t="e">
        <f>AND('Planilla_General_03-12-2012_9_3'!D3380,"AAAAAGv9vDQ=")</f>
        <v>#VALUE!</v>
      </c>
      <c r="BB212" t="e">
        <f>AND('Planilla_General_03-12-2012_9_3'!E3380,"AAAAAGv9vDU=")</f>
        <v>#VALUE!</v>
      </c>
      <c r="BC212" t="e">
        <f>AND('Planilla_General_03-12-2012_9_3'!F3380,"AAAAAGv9vDY=")</f>
        <v>#VALUE!</v>
      </c>
      <c r="BD212" t="e">
        <f>AND('Planilla_General_03-12-2012_9_3'!G3380,"AAAAAGv9vDc=")</f>
        <v>#VALUE!</v>
      </c>
      <c r="BE212" t="e">
        <f>AND('Planilla_General_03-12-2012_9_3'!H3380,"AAAAAGv9vDg=")</f>
        <v>#VALUE!</v>
      </c>
      <c r="BF212" t="e">
        <f>AND('Planilla_General_03-12-2012_9_3'!I3380,"AAAAAGv9vDk=")</f>
        <v>#VALUE!</v>
      </c>
      <c r="BG212" t="e">
        <f>AND('Planilla_General_03-12-2012_9_3'!J3380,"AAAAAGv9vDo=")</f>
        <v>#VALUE!</v>
      </c>
      <c r="BH212" t="e">
        <f>AND('Planilla_General_03-12-2012_9_3'!K3380,"AAAAAGv9vDs=")</f>
        <v>#VALUE!</v>
      </c>
      <c r="BI212" t="e">
        <f>AND('Planilla_General_03-12-2012_9_3'!L3380,"AAAAAGv9vDw=")</f>
        <v>#VALUE!</v>
      </c>
      <c r="BJ212" t="e">
        <f>AND('Planilla_General_03-12-2012_9_3'!M3380,"AAAAAGv9vD0=")</f>
        <v>#VALUE!</v>
      </c>
      <c r="BK212" t="e">
        <f>AND('Planilla_General_03-12-2012_9_3'!N3380,"AAAAAGv9vD4=")</f>
        <v>#VALUE!</v>
      </c>
      <c r="BL212" t="e">
        <f>AND('Planilla_General_03-12-2012_9_3'!O3380,"AAAAAGv9vD8=")</f>
        <v>#VALUE!</v>
      </c>
      <c r="BM212">
        <f>IF('Planilla_General_03-12-2012_9_3'!3381:3381,"AAAAAGv9vEA=",0)</f>
        <v>0</v>
      </c>
      <c r="BN212" t="e">
        <f>AND('Planilla_General_03-12-2012_9_3'!A3381,"AAAAAGv9vEE=")</f>
        <v>#VALUE!</v>
      </c>
      <c r="BO212" t="e">
        <f>AND('Planilla_General_03-12-2012_9_3'!B3381,"AAAAAGv9vEI=")</f>
        <v>#VALUE!</v>
      </c>
      <c r="BP212" t="e">
        <f>AND('Planilla_General_03-12-2012_9_3'!C3381,"AAAAAGv9vEM=")</f>
        <v>#VALUE!</v>
      </c>
      <c r="BQ212" t="e">
        <f>AND('Planilla_General_03-12-2012_9_3'!D3381,"AAAAAGv9vEQ=")</f>
        <v>#VALUE!</v>
      </c>
      <c r="BR212" t="e">
        <f>AND('Planilla_General_03-12-2012_9_3'!E3381,"AAAAAGv9vEU=")</f>
        <v>#VALUE!</v>
      </c>
      <c r="BS212" t="e">
        <f>AND('Planilla_General_03-12-2012_9_3'!F3381,"AAAAAGv9vEY=")</f>
        <v>#VALUE!</v>
      </c>
      <c r="BT212" t="e">
        <f>AND('Planilla_General_03-12-2012_9_3'!G3381,"AAAAAGv9vEc=")</f>
        <v>#VALUE!</v>
      </c>
      <c r="BU212" t="e">
        <f>AND('Planilla_General_03-12-2012_9_3'!H3381,"AAAAAGv9vEg=")</f>
        <v>#VALUE!</v>
      </c>
      <c r="BV212" t="e">
        <f>AND('Planilla_General_03-12-2012_9_3'!I3381,"AAAAAGv9vEk=")</f>
        <v>#VALUE!</v>
      </c>
      <c r="BW212" t="e">
        <f>AND('Planilla_General_03-12-2012_9_3'!J3381,"AAAAAGv9vEo=")</f>
        <v>#VALUE!</v>
      </c>
      <c r="BX212" t="e">
        <f>AND('Planilla_General_03-12-2012_9_3'!K3381,"AAAAAGv9vEs=")</f>
        <v>#VALUE!</v>
      </c>
      <c r="BY212" t="e">
        <f>AND('Planilla_General_03-12-2012_9_3'!L3381,"AAAAAGv9vEw=")</f>
        <v>#VALUE!</v>
      </c>
      <c r="BZ212" t="e">
        <f>AND('Planilla_General_03-12-2012_9_3'!M3381,"AAAAAGv9vE0=")</f>
        <v>#VALUE!</v>
      </c>
      <c r="CA212" t="e">
        <f>AND('Planilla_General_03-12-2012_9_3'!N3381,"AAAAAGv9vE4=")</f>
        <v>#VALUE!</v>
      </c>
      <c r="CB212" t="e">
        <f>AND('Planilla_General_03-12-2012_9_3'!O3381,"AAAAAGv9vE8=")</f>
        <v>#VALUE!</v>
      </c>
      <c r="CC212">
        <f>IF('Planilla_General_03-12-2012_9_3'!3382:3382,"AAAAAGv9vFA=",0)</f>
        <v>0</v>
      </c>
      <c r="CD212" t="e">
        <f>AND('Planilla_General_03-12-2012_9_3'!A3382,"AAAAAGv9vFE=")</f>
        <v>#VALUE!</v>
      </c>
      <c r="CE212" t="e">
        <f>AND('Planilla_General_03-12-2012_9_3'!B3382,"AAAAAGv9vFI=")</f>
        <v>#VALUE!</v>
      </c>
      <c r="CF212" t="e">
        <f>AND('Planilla_General_03-12-2012_9_3'!C3382,"AAAAAGv9vFM=")</f>
        <v>#VALUE!</v>
      </c>
      <c r="CG212" t="e">
        <f>AND('Planilla_General_03-12-2012_9_3'!D3382,"AAAAAGv9vFQ=")</f>
        <v>#VALUE!</v>
      </c>
      <c r="CH212" t="e">
        <f>AND('Planilla_General_03-12-2012_9_3'!E3382,"AAAAAGv9vFU=")</f>
        <v>#VALUE!</v>
      </c>
      <c r="CI212" t="e">
        <f>AND('Planilla_General_03-12-2012_9_3'!F3382,"AAAAAGv9vFY=")</f>
        <v>#VALUE!</v>
      </c>
      <c r="CJ212" t="e">
        <f>AND('Planilla_General_03-12-2012_9_3'!G3382,"AAAAAGv9vFc=")</f>
        <v>#VALUE!</v>
      </c>
      <c r="CK212" t="e">
        <f>AND('Planilla_General_03-12-2012_9_3'!H3382,"AAAAAGv9vFg=")</f>
        <v>#VALUE!</v>
      </c>
      <c r="CL212" t="e">
        <f>AND('Planilla_General_03-12-2012_9_3'!I3382,"AAAAAGv9vFk=")</f>
        <v>#VALUE!</v>
      </c>
      <c r="CM212" t="e">
        <f>AND('Planilla_General_03-12-2012_9_3'!J3382,"AAAAAGv9vFo=")</f>
        <v>#VALUE!</v>
      </c>
      <c r="CN212" t="e">
        <f>AND('Planilla_General_03-12-2012_9_3'!K3382,"AAAAAGv9vFs=")</f>
        <v>#VALUE!</v>
      </c>
      <c r="CO212" t="e">
        <f>AND('Planilla_General_03-12-2012_9_3'!L3382,"AAAAAGv9vFw=")</f>
        <v>#VALUE!</v>
      </c>
      <c r="CP212" t="e">
        <f>AND('Planilla_General_03-12-2012_9_3'!M3382,"AAAAAGv9vF0=")</f>
        <v>#VALUE!</v>
      </c>
      <c r="CQ212" t="e">
        <f>AND('Planilla_General_03-12-2012_9_3'!N3382,"AAAAAGv9vF4=")</f>
        <v>#VALUE!</v>
      </c>
      <c r="CR212" t="e">
        <f>AND('Planilla_General_03-12-2012_9_3'!O3382,"AAAAAGv9vF8=")</f>
        <v>#VALUE!</v>
      </c>
      <c r="CS212" t="e">
        <f>IF('Planilla_General_03-12-2012_9_3'!A:A,"AAAAAGv9vGA=",0)</f>
        <v>#VALUE!</v>
      </c>
      <c r="CT212" t="e">
        <f>IF('Planilla_General_03-12-2012_9_3'!B:B,"AAAAAGv9vGE=",0)</f>
        <v>#VALUE!</v>
      </c>
      <c r="CU212" t="str">
        <f>IF('Planilla_General_03-12-2012_9_3'!C:C,"AAAAAGv9vGI=",0)</f>
        <v>AAAAAGv9vGI=</v>
      </c>
      <c r="CV212" t="e">
        <f>IF('Planilla_General_03-12-2012_9_3'!D:D,"AAAAAGv9vGM=",0)</f>
        <v>#VALUE!</v>
      </c>
      <c r="CW212" t="e">
        <f>IF('Planilla_General_03-12-2012_9_3'!E:E,"AAAAAGv9vGQ=",0)</f>
        <v>#VALUE!</v>
      </c>
      <c r="CX212" t="e">
        <f>IF('Planilla_General_03-12-2012_9_3'!F:F,"AAAAAGv9vGU=",0)</f>
        <v>#VALUE!</v>
      </c>
      <c r="CY212" t="e">
        <f>IF('Planilla_General_03-12-2012_9_3'!G:G,"AAAAAGv9vGY=",0)</f>
        <v>#VALUE!</v>
      </c>
      <c r="CZ212" t="e">
        <f>IF('Planilla_General_03-12-2012_9_3'!H:H,"AAAAAGv9vGc=",0)</f>
        <v>#VALUE!</v>
      </c>
      <c r="DA212" t="e">
        <f>IF('Planilla_General_03-12-2012_9_3'!I:I,"AAAAAGv9vGg=",0)</f>
        <v>#VALUE!</v>
      </c>
      <c r="DB212" t="e">
        <f>IF('Planilla_General_03-12-2012_9_3'!J:J,"AAAAAGv9vGk=",0)</f>
        <v>#VALUE!</v>
      </c>
      <c r="DC212" t="str">
        <f>IF('Planilla_General_03-12-2012_9_3'!K:K,"AAAAAGv9vGo=",0)</f>
        <v>AAAAAGv9vGo=</v>
      </c>
      <c r="DD212" t="str">
        <f>IF('Planilla_General_03-12-2012_9_3'!L:L,"AAAAAGv9vGs=",0)</f>
        <v>AAAAAGv9vGs=</v>
      </c>
      <c r="DE212" t="str">
        <f>IF('Planilla_General_03-12-2012_9_3'!M:M,"AAAAAGv9vGw=",0)</f>
        <v>AAAAAGv9vGw=</v>
      </c>
      <c r="DF212" t="str">
        <f>IF('Planilla_General_03-12-2012_9_3'!N:N,"AAAAAGv9vG0=",0)</f>
        <v>AAAAAGv9vG0=</v>
      </c>
      <c r="DG212" t="str">
        <f>IF('Planilla_General_03-12-2012_9_3'!O:O,"AAAAAGv9vG4=",0)</f>
        <v>AAAAAGv9vG4=</v>
      </c>
      <c r="DH212">
        <f>IF('Eventos en ensayos por ID'!1:1,"AAAAAGv9vG8=",0)</f>
        <v>0</v>
      </c>
      <c r="DI212" t="e">
        <f>AND('Eventos en ensayos por ID'!A1,"AAAAAGv9vHA=")</f>
        <v>#VALUE!</v>
      </c>
      <c r="DJ212" t="e">
        <f>AND('Eventos en ensayos por ID'!B1,"AAAAAGv9vHE=")</f>
        <v>#VALUE!</v>
      </c>
      <c r="DK212" t="e">
        <f>AND('Eventos en ensayos por ID'!C1,"AAAAAGv9vHI=")</f>
        <v>#VALUE!</v>
      </c>
      <c r="DL212" t="e">
        <f>AND('Eventos en ensayos por ID'!D1,"AAAAAGv9vHM=")</f>
        <v>#VALUE!</v>
      </c>
      <c r="DM212" t="e">
        <f>AND('Eventos en ensayos por ID'!E1,"AAAAAGv9vHQ=")</f>
        <v>#VALUE!</v>
      </c>
      <c r="DN212" t="e">
        <f>AND('Eventos en ensayos por ID'!F1,"AAAAAGv9vHU=")</f>
        <v>#VALUE!</v>
      </c>
      <c r="DO212" t="e">
        <f>AND('Eventos en ensayos por ID'!G1,"AAAAAGv9vHY=")</f>
        <v>#VALUE!</v>
      </c>
      <c r="DP212">
        <f>IF('Eventos en ensayos por ID'!2:2,"AAAAAGv9vHc=",0)</f>
        <v>0</v>
      </c>
      <c r="DQ212" t="e">
        <f>AND('Eventos en ensayos por ID'!A2,"AAAAAGv9vHg=")</f>
        <v>#VALUE!</v>
      </c>
      <c r="DR212" t="e">
        <f>AND('Eventos en ensayos por ID'!B2,"AAAAAGv9vHk=")</f>
        <v>#VALUE!</v>
      </c>
      <c r="DS212" t="e">
        <f>AND('Eventos en ensayos por ID'!C2,"AAAAAGv9vHo=")</f>
        <v>#VALUE!</v>
      </c>
      <c r="DT212" t="e">
        <f>AND('Eventos en ensayos por ID'!D2,"AAAAAGv9vHs=")</f>
        <v>#VALUE!</v>
      </c>
      <c r="DU212" t="e">
        <f>AND('Eventos en ensayos por ID'!E2,"AAAAAGv9vHw=")</f>
        <v>#VALUE!</v>
      </c>
      <c r="DV212" t="e">
        <f>AND('Eventos en ensayos por ID'!F2,"AAAAAGv9vH0=")</f>
        <v>#VALUE!</v>
      </c>
      <c r="DW212" t="e">
        <f>AND('Eventos en ensayos por ID'!G2,"AAAAAGv9vH4=")</f>
        <v>#VALUE!</v>
      </c>
      <c r="DX212">
        <f>IF('Eventos en ensayos por ID'!3:3,"AAAAAGv9vH8=",0)</f>
        <v>0</v>
      </c>
      <c r="DY212" t="e">
        <f>AND('Eventos en ensayos por ID'!A3,"AAAAAGv9vIA=")</f>
        <v>#VALUE!</v>
      </c>
      <c r="DZ212" t="e">
        <f>AND('Eventos en ensayos por ID'!B3,"AAAAAGv9vIE=")</f>
        <v>#VALUE!</v>
      </c>
      <c r="EA212" t="e">
        <f>AND('Eventos en ensayos por ID'!C3,"AAAAAGv9vII=")</f>
        <v>#VALUE!</v>
      </c>
      <c r="EB212" t="e">
        <f>AND('Eventos en ensayos por ID'!D3,"AAAAAGv9vIM=")</f>
        <v>#VALUE!</v>
      </c>
      <c r="EC212" t="e">
        <f>AND('Eventos en ensayos por ID'!E3,"AAAAAGv9vIQ=")</f>
        <v>#VALUE!</v>
      </c>
      <c r="ED212" t="e">
        <f>AND('Eventos en ensayos por ID'!F3,"AAAAAGv9vIU=")</f>
        <v>#VALUE!</v>
      </c>
      <c r="EE212" t="e">
        <f>AND('Eventos en ensayos por ID'!G3,"AAAAAGv9vIY=")</f>
        <v>#VALUE!</v>
      </c>
      <c r="EF212">
        <f>IF('Eventos en ensayos por ID'!4:4,"AAAAAGv9vIc=",0)</f>
        <v>0</v>
      </c>
      <c r="EG212" t="e">
        <f>AND('Eventos en ensayos por ID'!A4,"AAAAAGv9vIg=")</f>
        <v>#VALUE!</v>
      </c>
      <c r="EH212" t="e">
        <f>AND('Eventos en ensayos por ID'!B4,"AAAAAGv9vIk=")</f>
        <v>#VALUE!</v>
      </c>
      <c r="EI212" t="e">
        <f>AND('Eventos en ensayos por ID'!C4,"AAAAAGv9vIo=")</f>
        <v>#VALUE!</v>
      </c>
      <c r="EJ212" t="e">
        <f>AND('Eventos en ensayos por ID'!D4,"AAAAAGv9vIs=")</f>
        <v>#VALUE!</v>
      </c>
      <c r="EK212" t="e">
        <f>AND('Eventos en ensayos por ID'!E4,"AAAAAGv9vIw=")</f>
        <v>#VALUE!</v>
      </c>
      <c r="EL212" t="e">
        <f>AND('Eventos en ensayos por ID'!F4,"AAAAAGv9vI0=")</f>
        <v>#VALUE!</v>
      </c>
      <c r="EM212" t="e">
        <f>AND('Eventos en ensayos por ID'!G4,"AAAAAGv9vI4=")</f>
        <v>#VALUE!</v>
      </c>
      <c r="EN212">
        <f>IF('Eventos en ensayos por ID'!5:5,"AAAAAGv9vI8=",0)</f>
        <v>0</v>
      </c>
      <c r="EO212" t="e">
        <f>AND('Eventos en ensayos por ID'!A5,"AAAAAGv9vJA=")</f>
        <v>#VALUE!</v>
      </c>
      <c r="EP212" t="e">
        <f>AND('Eventos en ensayos por ID'!B5,"AAAAAGv9vJE=")</f>
        <v>#VALUE!</v>
      </c>
      <c r="EQ212" t="e">
        <f>AND('Eventos en ensayos por ID'!C5,"AAAAAGv9vJI=")</f>
        <v>#VALUE!</v>
      </c>
      <c r="ER212" t="e">
        <f>AND('Eventos en ensayos por ID'!D5,"AAAAAGv9vJM=")</f>
        <v>#VALUE!</v>
      </c>
      <c r="ES212" t="e">
        <f>AND('Eventos en ensayos por ID'!E5,"AAAAAGv9vJQ=")</f>
        <v>#VALUE!</v>
      </c>
      <c r="ET212" t="e">
        <f>AND('Eventos en ensayos por ID'!F5,"AAAAAGv9vJU=")</f>
        <v>#VALUE!</v>
      </c>
      <c r="EU212" t="e">
        <f>AND('Eventos en ensayos por ID'!G5,"AAAAAGv9vJY=")</f>
        <v>#VALUE!</v>
      </c>
      <c r="EV212">
        <f>IF('Eventos en ensayos por ID'!6:6,"AAAAAGv9vJc=",0)</f>
        <v>0</v>
      </c>
      <c r="EW212" t="e">
        <f>AND('Eventos en ensayos por ID'!A6,"AAAAAGv9vJg=")</f>
        <v>#VALUE!</v>
      </c>
      <c r="EX212" t="e">
        <f>AND('Eventos en ensayos por ID'!B6,"AAAAAGv9vJk=")</f>
        <v>#VALUE!</v>
      </c>
      <c r="EY212" t="e">
        <f>AND('Eventos en ensayos por ID'!C6,"AAAAAGv9vJo=")</f>
        <v>#VALUE!</v>
      </c>
      <c r="EZ212" t="e">
        <f>AND('Eventos en ensayos por ID'!D6,"AAAAAGv9vJs=")</f>
        <v>#VALUE!</v>
      </c>
      <c r="FA212" t="e">
        <f>AND('Eventos en ensayos por ID'!E6,"AAAAAGv9vJw=")</f>
        <v>#VALUE!</v>
      </c>
      <c r="FB212" t="e">
        <f>AND('Eventos en ensayos por ID'!F6,"AAAAAGv9vJ0=")</f>
        <v>#VALUE!</v>
      </c>
      <c r="FC212" t="e">
        <f>AND('Eventos en ensayos por ID'!G6,"AAAAAGv9vJ4=")</f>
        <v>#VALUE!</v>
      </c>
      <c r="FD212">
        <f>IF('Eventos en ensayos por ID'!7:7,"AAAAAGv9vJ8=",0)</f>
        <v>0</v>
      </c>
      <c r="FE212" t="e">
        <f>AND('Eventos en ensayos por ID'!A7,"AAAAAGv9vKA=")</f>
        <v>#VALUE!</v>
      </c>
      <c r="FF212" t="e">
        <f>AND('Eventos en ensayos por ID'!B7,"AAAAAGv9vKE=")</f>
        <v>#VALUE!</v>
      </c>
      <c r="FG212" t="e">
        <f>AND('Eventos en ensayos por ID'!C7,"AAAAAGv9vKI=")</f>
        <v>#VALUE!</v>
      </c>
      <c r="FH212" t="e">
        <f>AND('Eventos en ensayos por ID'!D7,"AAAAAGv9vKM=")</f>
        <v>#VALUE!</v>
      </c>
      <c r="FI212" t="e">
        <f>AND('Eventos en ensayos por ID'!E7,"AAAAAGv9vKQ=")</f>
        <v>#VALUE!</v>
      </c>
      <c r="FJ212" t="e">
        <f>AND('Eventos en ensayos por ID'!F7,"AAAAAGv9vKU=")</f>
        <v>#VALUE!</v>
      </c>
      <c r="FK212" t="e">
        <f>AND('Eventos en ensayos por ID'!G7,"AAAAAGv9vKY=")</f>
        <v>#VALUE!</v>
      </c>
      <c r="FL212">
        <f>IF('Eventos en ensayos por ID'!8:8,"AAAAAGv9vKc=",0)</f>
        <v>0</v>
      </c>
      <c r="FM212" t="e">
        <f>AND('Eventos en ensayos por ID'!A8,"AAAAAGv9vKg=")</f>
        <v>#VALUE!</v>
      </c>
      <c r="FN212" t="e">
        <f>AND('Eventos en ensayos por ID'!B8,"AAAAAGv9vKk=")</f>
        <v>#VALUE!</v>
      </c>
      <c r="FO212" t="e">
        <f>AND('Eventos en ensayos por ID'!C8,"AAAAAGv9vKo=")</f>
        <v>#VALUE!</v>
      </c>
      <c r="FP212" t="e">
        <f>AND('Eventos en ensayos por ID'!D8,"AAAAAGv9vKs=")</f>
        <v>#VALUE!</v>
      </c>
      <c r="FQ212" t="e">
        <f>AND('Eventos en ensayos por ID'!E8,"AAAAAGv9vKw=")</f>
        <v>#VALUE!</v>
      </c>
      <c r="FR212" t="e">
        <f>AND('Eventos en ensayos por ID'!F8,"AAAAAGv9vK0=")</f>
        <v>#VALUE!</v>
      </c>
      <c r="FS212" t="e">
        <f>AND('Eventos en ensayos por ID'!G8,"AAAAAGv9vK4=")</f>
        <v>#VALUE!</v>
      </c>
      <c r="FT212">
        <f>IF('Eventos en ensayos por ID'!9:9,"AAAAAGv9vK8=",0)</f>
        <v>0</v>
      </c>
      <c r="FU212" t="e">
        <f>AND('Eventos en ensayos por ID'!A9,"AAAAAGv9vLA=")</f>
        <v>#VALUE!</v>
      </c>
      <c r="FV212" t="e">
        <f>AND('Eventos en ensayos por ID'!B9,"AAAAAGv9vLE=")</f>
        <v>#VALUE!</v>
      </c>
      <c r="FW212" t="e">
        <f>AND('Eventos en ensayos por ID'!C9,"AAAAAGv9vLI=")</f>
        <v>#VALUE!</v>
      </c>
      <c r="FX212" t="e">
        <f>AND('Eventos en ensayos por ID'!D9,"AAAAAGv9vLM=")</f>
        <v>#VALUE!</v>
      </c>
      <c r="FY212" t="e">
        <f>AND('Eventos en ensayos por ID'!E9,"AAAAAGv9vLQ=")</f>
        <v>#VALUE!</v>
      </c>
      <c r="FZ212" t="e">
        <f>AND('Eventos en ensayos por ID'!F9,"AAAAAGv9vLU=")</f>
        <v>#VALUE!</v>
      </c>
      <c r="GA212" t="e">
        <f>AND('Eventos en ensayos por ID'!G9,"AAAAAGv9vLY=")</f>
        <v>#VALUE!</v>
      </c>
      <c r="GB212">
        <f>IF('Eventos en ensayos por ID'!10:10,"AAAAAGv9vLc=",0)</f>
        <v>0</v>
      </c>
      <c r="GC212" t="e">
        <f>AND('Eventos en ensayos por ID'!A10,"AAAAAGv9vLg=")</f>
        <v>#VALUE!</v>
      </c>
      <c r="GD212" t="e">
        <f>AND('Eventos en ensayos por ID'!B10,"AAAAAGv9vLk=")</f>
        <v>#VALUE!</v>
      </c>
      <c r="GE212" t="e">
        <f>AND('Eventos en ensayos por ID'!C10,"AAAAAGv9vLo=")</f>
        <v>#VALUE!</v>
      </c>
      <c r="GF212" t="e">
        <f>AND('Eventos en ensayos por ID'!D10,"AAAAAGv9vLs=")</f>
        <v>#VALUE!</v>
      </c>
      <c r="GG212" t="e">
        <f>AND('Eventos en ensayos por ID'!E10,"AAAAAGv9vLw=")</f>
        <v>#VALUE!</v>
      </c>
      <c r="GH212" t="e">
        <f>AND('Eventos en ensayos por ID'!F10,"AAAAAGv9vL0=")</f>
        <v>#VALUE!</v>
      </c>
      <c r="GI212" t="e">
        <f>AND('Eventos en ensayos por ID'!G10,"AAAAAGv9vL4=")</f>
        <v>#VALUE!</v>
      </c>
      <c r="GJ212">
        <f>IF('Eventos en ensayos por ID'!11:11,"AAAAAGv9vL8=",0)</f>
        <v>0</v>
      </c>
      <c r="GK212" t="e">
        <f>AND('Eventos en ensayos por ID'!A11,"AAAAAGv9vMA=")</f>
        <v>#VALUE!</v>
      </c>
      <c r="GL212" t="e">
        <f>AND('Eventos en ensayos por ID'!B11,"AAAAAGv9vME=")</f>
        <v>#VALUE!</v>
      </c>
      <c r="GM212" t="e">
        <f>AND('Eventos en ensayos por ID'!C11,"AAAAAGv9vMI=")</f>
        <v>#VALUE!</v>
      </c>
      <c r="GN212" t="e">
        <f>AND('Eventos en ensayos por ID'!D11,"AAAAAGv9vMM=")</f>
        <v>#VALUE!</v>
      </c>
      <c r="GO212" t="e">
        <f>AND('Eventos en ensayos por ID'!E11,"AAAAAGv9vMQ=")</f>
        <v>#VALUE!</v>
      </c>
      <c r="GP212" t="e">
        <f>AND('Eventos en ensayos por ID'!F11,"AAAAAGv9vMU=")</f>
        <v>#VALUE!</v>
      </c>
      <c r="GQ212" t="e">
        <f>AND('Eventos en ensayos por ID'!G11,"AAAAAGv9vMY=")</f>
        <v>#VALUE!</v>
      </c>
      <c r="GR212">
        <f>IF('Eventos en ensayos por ID'!12:12,"AAAAAGv9vMc=",0)</f>
        <v>0</v>
      </c>
      <c r="GS212" t="e">
        <f>AND('Eventos en ensayos por ID'!A12,"AAAAAGv9vMg=")</f>
        <v>#VALUE!</v>
      </c>
      <c r="GT212" t="e">
        <f>AND('Eventos en ensayos por ID'!B12,"AAAAAGv9vMk=")</f>
        <v>#VALUE!</v>
      </c>
      <c r="GU212" t="e">
        <f>AND('Eventos en ensayos por ID'!C12,"AAAAAGv9vMo=")</f>
        <v>#VALUE!</v>
      </c>
      <c r="GV212" t="e">
        <f>AND('Eventos en ensayos por ID'!D12,"AAAAAGv9vMs=")</f>
        <v>#VALUE!</v>
      </c>
      <c r="GW212" t="e">
        <f>AND('Eventos en ensayos por ID'!E12,"AAAAAGv9vMw=")</f>
        <v>#VALUE!</v>
      </c>
      <c r="GX212" t="e">
        <f>AND('Eventos en ensayos por ID'!F12,"AAAAAGv9vM0=")</f>
        <v>#VALUE!</v>
      </c>
      <c r="GY212" t="e">
        <f>AND('Eventos en ensayos por ID'!G12,"AAAAAGv9vM4=")</f>
        <v>#VALUE!</v>
      </c>
      <c r="GZ212">
        <f>IF('Eventos en ensayos por ID'!13:13,"AAAAAGv9vM8=",0)</f>
        <v>0</v>
      </c>
      <c r="HA212" t="e">
        <f>AND('Eventos en ensayos por ID'!A13,"AAAAAGv9vNA=")</f>
        <v>#VALUE!</v>
      </c>
      <c r="HB212" t="e">
        <f>AND('Eventos en ensayos por ID'!B13,"AAAAAGv9vNE=")</f>
        <v>#VALUE!</v>
      </c>
      <c r="HC212" t="e">
        <f>AND('Eventos en ensayos por ID'!C13,"AAAAAGv9vNI=")</f>
        <v>#VALUE!</v>
      </c>
      <c r="HD212" t="e">
        <f>AND('Eventos en ensayos por ID'!D13,"AAAAAGv9vNM=")</f>
        <v>#VALUE!</v>
      </c>
      <c r="HE212" t="e">
        <f>AND('Eventos en ensayos por ID'!E13,"AAAAAGv9vNQ=")</f>
        <v>#VALUE!</v>
      </c>
      <c r="HF212" t="e">
        <f>AND('Eventos en ensayos por ID'!F13,"AAAAAGv9vNU=")</f>
        <v>#VALUE!</v>
      </c>
      <c r="HG212" t="e">
        <f>AND('Eventos en ensayos por ID'!G13,"AAAAAGv9vNY=")</f>
        <v>#VALUE!</v>
      </c>
      <c r="HH212">
        <f>IF('Eventos en ensayos por ID'!14:14,"AAAAAGv9vNc=",0)</f>
        <v>0</v>
      </c>
      <c r="HI212" t="e">
        <f>AND('Eventos en ensayos por ID'!A14,"AAAAAGv9vNg=")</f>
        <v>#VALUE!</v>
      </c>
      <c r="HJ212" t="e">
        <f>AND('Eventos en ensayos por ID'!B14,"AAAAAGv9vNk=")</f>
        <v>#VALUE!</v>
      </c>
      <c r="HK212" t="e">
        <f>AND('Eventos en ensayos por ID'!C14,"AAAAAGv9vNo=")</f>
        <v>#VALUE!</v>
      </c>
      <c r="HL212" t="e">
        <f>AND('Eventos en ensayos por ID'!D14,"AAAAAGv9vNs=")</f>
        <v>#VALUE!</v>
      </c>
      <c r="HM212" t="e">
        <f>AND('Eventos en ensayos por ID'!E14,"AAAAAGv9vNw=")</f>
        <v>#VALUE!</v>
      </c>
      <c r="HN212" t="e">
        <f>AND('Eventos en ensayos por ID'!F14,"AAAAAGv9vN0=")</f>
        <v>#VALUE!</v>
      </c>
      <c r="HO212" t="e">
        <f>AND('Eventos en ensayos por ID'!G14,"AAAAAGv9vN4=")</f>
        <v>#VALUE!</v>
      </c>
      <c r="HP212">
        <f>IF('Eventos en ensayos por ID'!15:15,"AAAAAGv9vN8=",0)</f>
        <v>0</v>
      </c>
      <c r="HQ212" t="e">
        <f>AND('Eventos en ensayos por ID'!A15,"AAAAAGv9vOA=")</f>
        <v>#VALUE!</v>
      </c>
      <c r="HR212" t="e">
        <f>AND('Eventos en ensayos por ID'!B15,"AAAAAGv9vOE=")</f>
        <v>#VALUE!</v>
      </c>
      <c r="HS212" t="e">
        <f>AND('Eventos en ensayos por ID'!C15,"AAAAAGv9vOI=")</f>
        <v>#VALUE!</v>
      </c>
      <c r="HT212" t="e">
        <f>AND('Eventos en ensayos por ID'!D15,"AAAAAGv9vOM=")</f>
        <v>#VALUE!</v>
      </c>
      <c r="HU212" t="e">
        <f>AND('Eventos en ensayos por ID'!E15,"AAAAAGv9vOQ=")</f>
        <v>#VALUE!</v>
      </c>
      <c r="HV212" t="e">
        <f>AND('Eventos en ensayos por ID'!F15,"AAAAAGv9vOU=")</f>
        <v>#VALUE!</v>
      </c>
      <c r="HW212" t="e">
        <f>AND('Eventos en ensayos por ID'!G15,"AAAAAGv9vOY=")</f>
        <v>#VALUE!</v>
      </c>
      <c r="HX212">
        <f>IF('Eventos en ensayos por ID'!16:16,"AAAAAGv9vOc=",0)</f>
        <v>0</v>
      </c>
      <c r="HY212" t="e">
        <f>AND('Eventos en ensayos por ID'!A16,"AAAAAGv9vOg=")</f>
        <v>#VALUE!</v>
      </c>
      <c r="HZ212" t="e">
        <f>AND('Eventos en ensayos por ID'!B16,"AAAAAGv9vOk=")</f>
        <v>#VALUE!</v>
      </c>
      <c r="IA212" t="e">
        <f>AND('Eventos en ensayos por ID'!C16,"AAAAAGv9vOo=")</f>
        <v>#VALUE!</v>
      </c>
      <c r="IB212" t="e">
        <f>AND('Eventos en ensayos por ID'!D16,"AAAAAGv9vOs=")</f>
        <v>#VALUE!</v>
      </c>
      <c r="IC212" t="e">
        <f>AND('Eventos en ensayos por ID'!E16,"AAAAAGv9vOw=")</f>
        <v>#VALUE!</v>
      </c>
      <c r="ID212" t="e">
        <f>AND('Eventos en ensayos por ID'!F16,"AAAAAGv9vO0=")</f>
        <v>#VALUE!</v>
      </c>
      <c r="IE212" t="e">
        <f>AND('Eventos en ensayos por ID'!G16,"AAAAAGv9vO4=")</f>
        <v>#VALUE!</v>
      </c>
      <c r="IF212">
        <f>IF('Eventos en ensayos por ID'!17:17,"AAAAAGv9vO8=",0)</f>
        <v>0</v>
      </c>
      <c r="IG212" t="e">
        <f>AND('Eventos en ensayos por ID'!A17,"AAAAAGv9vPA=")</f>
        <v>#VALUE!</v>
      </c>
      <c r="IH212" t="e">
        <f>AND('Eventos en ensayos por ID'!B17,"AAAAAGv9vPE=")</f>
        <v>#VALUE!</v>
      </c>
      <c r="II212" t="e">
        <f>AND('Eventos en ensayos por ID'!C17,"AAAAAGv9vPI=")</f>
        <v>#VALUE!</v>
      </c>
      <c r="IJ212" t="e">
        <f>AND('Eventos en ensayos por ID'!D17,"AAAAAGv9vPM=")</f>
        <v>#VALUE!</v>
      </c>
      <c r="IK212" t="e">
        <f>AND('Eventos en ensayos por ID'!E17,"AAAAAGv9vPQ=")</f>
        <v>#VALUE!</v>
      </c>
      <c r="IL212" t="e">
        <f>AND('Eventos en ensayos por ID'!F17,"AAAAAGv9vPU=")</f>
        <v>#VALUE!</v>
      </c>
      <c r="IM212" t="e">
        <f>AND('Eventos en ensayos por ID'!G17,"AAAAAGv9vPY=")</f>
        <v>#VALUE!</v>
      </c>
      <c r="IN212">
        <f>IF('Eventos en ensayos por ID'!18:18,"AAAAAGv9vPc=",0)</f>
        <v>0</v>
      </c>
      <c r="IO212" t="e">
        <f>AND('Eventos en ensayos por ID'!A18,"AAAAAGv9vPg=")</f>
        <v>#VALUE!</v>
      </c>
      <c r="IP212" t="e">
        <f>AND('Eventos en ensayos por ID'!B18,"AAAAAGv9vPk=")</f>
        <v>#VALUE!</v>
      </c>
      <c r="IQ212" t="e">
        <f>AND('Eventos en ensayos por ID'!C18,"AAAAAGv9vPo=")</f>
        <v>#VALUE!</v>
      </c>
      <c r="IR212" t="e">
        <f>AND('Eventos en ensayos por ID'!D18,"AAAAAGv9vPs=")</f>
        <v>#VALUE!</v>
      </c>
      <c r="IS212" t="e">
        <f>AND('Eventos en ensayos por ID'!E18,"AAAAAGv9vPw=")</f>
        <v>#VALUE!</v>
      </c>
      <c r="IT212" t="e">
        <f>AND('Eventos en ensayos por ID'!F18,"AAAAAGv9vP0=")</f>
        <v>#VALUE!</v>
      </c>
      <c r="IU212" t="e">
        <f>AND('Eventos en ensayos por ID'!G18,"AAAAAGv9vP4=")</f>
        <v>#VALUE!</v>
      </c>
      <c r="IV212">
        <f>IF('Eventos en ensayos por ID'!19:19,"AAAAAGv9vP8=",0)</f>
        <v>0</v>
      </c>
    </row>
    <row r="213" spans="1:256" x14ac:dyDescent="0.25">
      <c r="A213" t="e">
        <f>AND('Eventos en ensayos por ID'!A19,"AAAAAH+7vwA=")</f>
        <v>#VALUE!</v>
      </c>
      <c r="B213" t="e">
        <f>AND('Eventos en ensayos por ID'!B19,"AAAAAH+7vwE=")</f>
        <v>#VALUE!</v>
      </c>
      <c r="C213" t="e">
        <f>AND('Eventos en ensayos por ID'!C19,"AAAAAH+7vwI=")</f>
        <v>#VALUE!</v>
      </c>
      <c r="D213" t="e">
        <f>AND('Eventos en ensayos por ID'!D19,"AAAAAH+7vwM=")</f>
        <v>#VALUE!</v>
      </c>
      <c r="E213" t="e">
        <f>AND('Eventos en ensayos por ID'!E19,"AAAAAH+7vwQ=")</f>
        <v>#VALUE!</v>
      </c>
      <c r="F213" t="e">
        <f>AND('Eventos en ensayos por ID'!F19,"AAAAAH+7vwU=")</f>
        <v>#VALUE!</v>
      </c>
      <c r="G213" t="e">
        <f>AND('Eventos en ensayos por ID'!G19,"AAAAAH+7vwY=")</f>
        <v>#VALUE!</v>
      </c>
      <c r="H213">
        <f>IF('Eventos en ensayos por ID'!20:20,"AAAAAH+7vwc=",0)</f>
        <v>0</v>
      </c>
      <c r="I213" t="e">
        <f>AND('Eventos en ensayos por ID'!A20,"AAAAAH+7vwg=")</f>
        <v>#VALUE!</v>
      </c>
      <c r="J213" t="e">
        <f>AND('Eventos en ensayos por ID'!B20,"AAAAAH+7vwk=")</f>
        <v>#VALUE!</v>
      </c>
      <c r="K213" t="e">
        <f>AND('Eventos en ensayos por ID'!C20,"AAAAAH+7vwo=")</f>
        <v>#VALUE!</v>
      </c>
      <c r="L213" t="e">
        <f>AND('Eventos en ensayos por ID'!D20,"AAAAAH+7vws=")</f>
        <v>#VALUE!</v>
      </c>
      <c r="M213" t="e">
        <f>AND('Eventos en ensayos por ID'!E20,"AAAAAH+7vww=")</f>
        <v>#VALUE!</v>
      </c>
      <c r="N213" t="e">
        <f>AND('Eventos en ensayos por ID'!F20,"AAAAAH+7vw0=")</f>
        <v>#VALUE!</v>
      </c>
      <c r="O213" t="e">
        <f>AND('Eventos en ensayos por ID'!G20,"AAAAAH+7vw4=")</f>
        <v>#VALUE!</v>
      </c>
      <c r="P213">
        <f>IF('Eventos en ensayos por ID'!21:21,"AAAAAH+7vw8=",0)</f>
        <v>0</v>
      </c>
      <c r="Q213" t="e">
        <f>AND('Eventos en ensayos por ID'!A21,"AAAAAH+7vxA=")</f>
        <v>#VALUE!</v>
      </c>
      <c r="R213" t="e">
        <f>AND('Eventos en ensayos por ID'!B21,"AAAAAH+7vxE=")</f>
        <v>#VALUE!</v>
      </c>
      <c r="S213" t="e">
        <f>AND('Eventos en ensayos por ID'!C21,"AAAAAH+7vxI=")</f>
        <v>#VALUE!</v>
      </c>
      <c r="T213" t="e">
        <f>AND('Eventos en ensayos por ID'!D21,"AAAAAH+7vxM=")</f>
        <v>#VALUE!</v>
      </c>
      <c r="U213" t="e">
        <f>AND('Eventos en ensayos por ID'!E21,"AAAAAH+7vxQ=")</f>
        <v>#VALUE!</v>
      </c>
      <c r="V213" t="e">
        <f>AND('Eventos en ensayos por ID'!F21,"AAAAAH+7vxU=")</f>
        <v>#VALUE!</v>
      </c>
      <c r="W213" t="e">
        <f>AND('Eventos en ensayos por ID'!G21,"AAAAAH+7vxY=")</f>
        <v>#VALUE!</v>
      </c>
      <c r="X213">
        <f>IF('Eventos en ensayos por ID'!22:22,"AAAAAH+7vxc=",0)</f>
        <v>0</v>
      </c>
      <c r="Y213" t="e">
        <f>AND('Eventos en ensayos por ID'!A22,"AAAAAH+7vxg=")</f>
        <v>#VALUE!</v>
      </c>
      <c r="Z213" t="e">
        <f>AND('Eventos en ensayos por ID'!B22,"AAAAAH+7vxk=")</f>
        <v>#VALUE!</v>
      </c>
      <c r="AA213" t="e">
        <f>AND('Eventos en ensayos por ID'!C22,"AAAAAH+7vxo=")</f>
        <v>#VALUE!</v>
      </c>
      <c r="AB213" t="e">
        <f>AND('Eventos en ensayos por ID'!D22,"AAAAAH+7vxs=")</f>
        <v>#VALUE!</v>
      </c>
      <c r="AC213" t="e">
        <f>AND('Eventos en ensayos por ID'!E22,"AAAAAH+7vxw=")</f>
        <v>#VALUE!</v>
      </c>
      <c r="AD213" t="e">
        <f>AND('Eventos en ensayos por ID'!F22,"AAAAAH+7vx0=")</f>
        <v>#VALUE!</v>
      </c>
      <c r="AE213" t="e">
        <f>AND('Eventos en ensayos por ID'!G22,"AAAAAH+7vx4=")</f>
        <v>#VALUE!</v>
      </c>
      <c r="AF213">
        <f>IF('Eventos en ensayos por ID'!23:23,"AAAAAH+7vx8=",0)</f>
        <v>0</v>
      </c>
      <c r="AG213" t="e">
        <f>AND('Eventos en ensayos por ID'!A23,"AAAAAH+7vyA=")</f>
        <v>#VALUE!</v>
      </c>
      <c r="AH213" t="e">
        <f>AND('Eventos en ensayos por ID'!B23,"AAAAAH+7vyE=")</f>
        <v>#VALUE!</v>
      </c>
      <c r="AI213" t="e">
        <f>AND('Eventos en ensayos por ID'!C23,"AAAAAH+7vyI=")</f>
        <v>#VALUE!</v>
      </c>
      <c r="AJ213" t="e">
        <f>AND('Eventos en ensayos por ID'!D23,"AAAAAH+7vyM=")</f>
        <v>#VALUE!</v>
      </c>
      <c r="AK213" t="e">
        <f>AND('Eventos en ensayos por ID'!E23,"AAAAAH+7vyQ=")</f>
        <v>#VALUE!</v>
      </c>
      <c r="AL213" t="e">
        <f>AND('Eventos en ensayos por ID'!F23,"AAAAAH+7vyU=")</f>
        <v>#VALUE!</v>
      </c>
      <c r="AM213" t="e">
        <f>AND('Eventos en ensayos por ID'!G23,"AAAAAH+7vyY=")</f>
        <v>#VALUE!</v>
      </c>
      <c r="AN213">
        <f>IF('Eventos en ensayos por ID'!24:24,"AAAAAH+7vyc=",0)</f>
        <v>0</v>
      </c>
      <c r="AO213" t="e">
        <f>AND('Eventos en ensayos por ID'!A24,"AAAAAH+7vyg=")</f>
        <v>#VALUE!</v>
      </c>
      <c r="AP213" t="e">
        <f>AND('Eventos en ensayos por ID'!B24,"AAAAAH+7vyk=")</f>
        <v>#VALUE!</v>
      </c>
      <c r="AQ213" t="e">
        <f>AND('Eventos en ensayos por ID'!C24,"AAAAAH+7vyo=")</f>
        <v>#VALUE!</v>
      </c>
      <c r="AR213" t="e">
        <f>AND('Eventos en ensayos por ID'!D24,"AAAAAH+7vys=")</f>
        <v>#VALUE!</v>
      </c>
      <c r="AS213" t="e">
        <f>AND('Eventos en ensayos por ID'!E24,"AAAAAH+7vyw=")</f>
        <v>#VALUE!</v>
      </c>
      <c r="AT213" t="e">
        <f>AND('Eventos en ensayos por ID'!F24,"AAAAAH+7vy0=")</f>
        <v>#VALUE!</v>
      </c>
      <c r="AU213" t="e">
        <f>AND('Eventos en ensayos por ID'!G24,"AAAAAH+7vy4=")</f>
        <v>#VALUE!</v>
      </c>
      <c r="AV213">
        <f>IF('Eventos en ensayos por ID'!25:25,"AAAAAH+7vy8=",0)</f>
        <v>0</v>
      </c>
      <c r="AW213" t="e">
        <f>AND('Eventos en ensayos por ID'!A25,"AAAAAH+7vzA=")</f>
        <v>#VALUE!</v>
      </c>
      <c r="AX213" t="e">
        <f>AND('Eventos en ensayos por ID'!B25,"AAAAAH+7vzE=")</f>
        <v>#VALUE!</v>
      </c>
      <c r="AY213" t="e">
        <f>AND('Eventos en ensayos por ID'!C25,"AAAAAH+7vzI=")</f>
        <v>#VALUE!</v>
      </c>
      <c r="AZ213" t="e">
        <f>AND('Eventos en ensayos por ID'!D25,"AAAAAH+7vzM=")</f>
        <v>#VALUE!</v>
      </c>
      <c r="BA213" t="e">
        <f>AND('Eventos en ensayos por ID'!E25,"AAAAAH+7vzQ=")</f>
        <v>#VALUE!</v>
      </c>
      <c r="BB213" t="e">
        <f>AND('Eventos en ensayos por ID'!F25,"AAAAAH+7vzU=")</f>
        <v>#VALUE!</v>
      </c>
      <c r="BC213" t="e">
        <f>AND('Eventos en ensayos por ID'!G25,"AAAAAH+7vzY=")</f>
        <v>#VALUE!</v>
      </c>
      <c r="BD213">
        <f>IF('Eventos en ensayos por ID'!26:26,"AAAAAH+7vzc=",0)</f>
        <v>0</v>
      </c>
      <c r="BE213" t="e">
        <f>AND('Eventos en ensayos por ID'!A26,"AAAAAH+7vzg=")</f>
        <v>#VALUE!</v>
      </c>
      <c r="BF213" t="e">
        <f>AND('Eventos en ensayos por ID'!B26,"AAAAAH+7vzk=")</f>
        <v>#VALUE!</v>
      </c>
      <c r="BG213" t="e">
        <f>AND('Eventos en ensayos por ID'!C26,"AAAAAH+7vzo=")</f>
        <v>#VALUE!</v>
      </c>
      <c r="BH213" t="e">
        <f>AND('Eventos en ensayos por ID'!D26,"AAAAAH+7vzs=")</f>
        <v>#VALUE!</v>
      </c>
      <c r="BI213" t="e">
        <f>AND('Eventos en ensayos por ID'!E26,"AAAAAH+7vzw=")</f>
        <v>#VALUE!</v>
      </c>
      <c r="BJ213" t="e">
        <f>AND('Eventos en ensayos por ID'!F26,"AAAAAH+7vz0=")</f>
        <v>#VALUE!</v>
      </c>
      <c r="BK213" t="e">
        <f>AND('Eventos en ensayos por ID'!G26,"AAAAAH+7vz4=")</f>
        <v>#VALUE!</v>
      </c>
      <c r="BL213">
        <f>IF('Eventos en ensayos por ID'!27:27,"AAAAAH+7vz8=",0)</f>
        <v>0</v>
      </c>
      <c r="BM213" t="e">
        <f>AND('Eventos en ensayos por ID'!A27,"AAAAAH+7v0A=")</f>
        <v>#VALUE!</v>
      </c>
      <c r="BN213" t="e">
        <f>AND('Eventos en ensayos por ID'!B27,"AAAAAH+7v0E=")</f>
        <v>#VALUE!</v>
      </c>
      <c r="BO213" t="e">
        <f>AND('Eventos en ensayos por ID'!C27,"AAAAAH+7v0I=")</f>
        <v>#VALUE!</v>
      </c>
      <c r="BP213" t="e">
        <f>AND('Eventos en ensayos por ID'!D27,"AAAAAH+7v0M=")</f>
        <v>#VALUE!</v>
      </c>
      <c r="BQ213" t="e">
        <f>AND('Eventos en ensayos por ID'!E27,"AAAAAH+7v0Q=")</f>
        <v>#VALUE!</v>
      </c>
      <c r="BR213" t="e">
        <f>AND('Eventos en ensayos por ID'!F27,"AAAAAH+7v0U=")</f>
        <v>#VALUE!</v>
      </c>
      <c r="BS213" t="e">
        <f>AND('Eventos en ensayos por ID'!G27,"AAAAAH+7v0Y=")</f>
        <v>#VALUE!</v>
      </c>
      <c r="BT213">
        <f>IF('Eventos en ensayos por ID'!28:28,"AAAAAH+7v0c=",0)</f>
        <v>0</v>
      </c>
      <c r="BU213" t="e">
        <f>AND('Eventos en ensayos por ID'!A28,"AAAAAH+7v0g=")</f>
        <v>#VALUE!</v>
      </c>
      <c r="BV213" t="e">
        <f>AND('Eventos en ensayos por ID'!B28,"AAAAAH+7v0k=")</f>
        <v>#VALUE!</v>
      </c>
      <c r="BW213" t="e">
        <f>AND('Eventos en ensayos por ID'!C28,"AAAAAH+7v0o=")</f>
        <v>#VALUE!</v>
      </c>
      <c r="BX213" t="e">
        <f>AND('Eventos en ensayos por ID'!D28,"AAAAAH+7v0s=")</f>
        <v>#VALUE!</v>
      </c>
      <c r="BY213" t="e">
        <f>AND('Eventos en ensayos por ID'!E28,"AAAAAH+7v0w=")</f>
        <v>#VALUE!</v>
      </c>
      <c r="BZ213" t="e">
        <f>AND('Eventos en ensayos por ID'!F28,"AAAAAH+7v00=")</f>
        <v>#VALUE!</v>
      </c>
      <c r="CA213" t="e">
        <f>AND('Eventos en ensayos por ID'!G28,"AAAAAH+7v04=")</f>
        <v>#VALUE!</v>
      </c>
      <c r="CB213">
        <f>IF('Eventos en ensayos por ID'!29:29,"AAAAAH+7v08=",0)</f>
        <v>0</v>
      </c>
      <c r="CC213" t="e">
        <f>AND('Eventos en ensayos por ID'!A29,"AAAAAH+7v1A=")</f>
        <v>#VALUE!</v>
      </c>
      <c r="CD213" t="e">
        <f>AND('Eventos en ensayos por ID'!B29,"AAAAAH+7v1E=")</f>
        <v>#VALUE!</v>
      </c>
      <c r="CE213" t="e">
        <f>AND('Eventos en ensayos por ID'!C29,"AAAAAH+7v1I=")</f>
        <v>#VALUE!</v>
      </c>
      <c r="CF213" t="e">
        <f>AND('Eventos en ensayos por ID'!D29,"AAAAAH+7v1M=")</f>
        <v>#VALUE!</v>
      </c>
      <c r="CG213" t="e">
        <f>AND('Eventos en ensayos por ID'!E29,"AAAAAH+7v1Q=")</f>
        <v>#VALUE!</v>
      </c>
      <c r="CH213" t="e">
        <f>AND('Eventos en ensayos por ID'!F29,"AAAAAH+7v1U=")</f>
        <v>#VALUE!</v>
      </c>
      <c r="CI213" t="e">
        <f>AND('Eventos en ensayos por ID'!G29,"AAAAAH+7v1Y=")</f>
        <v>#VALUE!</v>
      </c>
      <c r="CJ213">
        <f>IF('Eventos en ensayos por ID'!30:30,"AAAAAH+7v1c=",0)</f>
        <v>0</v>
      </c>
      <c r="CK213" t="e">
        <f>AND('Eventos en ensayos por ID'!A30,"AAAAAH+7v1g=")</f>
        <v>#VALUE!</v>
      </c>
      <c r="CL213" t="e">
        <f>AND('Eventos en ensayos por ID'!B30,"AAAAAH+7v1k=")</f>
        <v>#VALUE!</v>
      </c>
      <c r="CM213" t="e">
        <f>AND('Eventos en ensayos por ID'!C30,"AAAAAH+7v1o=")</f>
        <v>#VALUE!</v>
      </c>
      <c r="CN213" t="e">
        <f>AND('Eventos en ensayos por ID'!D30,"AAAAAH+7v1s=")</f>
        <v>#VALUE!</v>
      </c>
      <c r="CO213" t="e">
        <f>AND('Eventos en ensayos por ID'!E30,"AAAAAH+7v1w=")</f>
        <v>#VALUE!</v>
      </c>
      <c r="CP213" t="e">
        <f>AND('Eventos en ensayos por ID'!F30,"AAAAAH+7v10=")</f>
        <v>#VALUE!</v>
      </c>
      <c r="CQ213" t="e">
        <f>AND('Eventos en ensayos por ID'!G30,"AAAAAH+7v14=")</f>
        <v>#VALUE!</v>
      </c>
      <c r="CR213">
        <f>IF('Eventos en ensayos por ID'!31:31,"AAAAAH+7v18=",0)</f>
        <v>0</v>
      </c>
      <c r="CS213" t="e">
        <f>AND('Eventos en ensayos por ID'!A31,"AAAAAH+7v2A=")</f>
        <v>#VALUE!</v>
      </c>
      <c r="CT213" t="e">
        <f>AND('Eventos en ensayos por ID'!B31,"AAAAAH+7v2E=")</f>
        <v>#VALUE!</v>
      </c>
      <c r="CU213" t="e">
        <f>AND('Eventos en ensayos por ID'!C31,"AAAAAH+7v2I=")</f>
        <v>#VALUE!</v>
      </c>
      <c r="CV213" t="e">
        <f>AND('Eventos en ensayos por ID'!D31,"AAAAAH+7v2M=")</f>
        <v>#VALUE!</v>
      </c>
      <c r="CW213" t="e">
        <f>AND('Eventos en ensayos por ID'!E31,"AAAAAH+7v2Q=")</f>
        <v>#VALUE!</v>
      </c>
      <c r="CX213" t="e">
        <f>AND('Eventos en ensayos por ID'!F31,"AAAAAH+7v2U=")</f>
        <v>#VALUE!</v>
      </c>
      <c r="CY213" t="e">
        <f>AND('Eventos en ensayos por ID'!G31,"AAAAAH+7v2Y=")</f>
        <v>#VALUE!</v>
      </c>
      <c r="CZ213">
        <f>IF('Eventos en ensayos por ID'!32:32,"AAAAAH+7v2c=",0)</f>
        <v>0</v>
      </c>
      <c r="DA213" t="e">
        <f>AND('Eventos en ensayos por ID'!A32,"AAAAAH+7v2g=")</f>
        <v>#VALUE!</v>
      </c>
      <c r="DB213" t="e">
        <f>AND('Eventos en ensayos por ID'!B32,"AAAAAH+7v2k=")</f>
        <v>#VALUE!</v>
      </c>
      <c r="DC213" t="e">
        <f>AND('Eventos en ensayos por ID'!C32,"AAAAAH+7v2o=")</f>
        <v>#VALUE!</v>
      </c>
      <c r="DD213" t="e">
        <f>AND('Eventos en ensayos por ID'!D32,"AAAAAH+7v2s=")</f>
        <v>#VALUE!</v>
      </c>
      <c r="DE213" t="e">
        <f>AND('Eventos en ensayos por ID'!E32,"AAAAAH+7v2w=")</f>
        <v>#VALUE!</v>
      </c>
      <c r="DF213" t="e">
        <f>AND('Eventos en ensayos por ID'!F32,"AAAAAH+7v20=")</f>
        <v>#VALUE!</v>
      </c>
      <c r="DG213" t="e">
        <f>AND('Eventos en ensayos por ID'!G32,"AAAAAH+7v24=")</f>
        <v>#VALUE!</v>
      </c>
      <c r="DH213">
        <f>IF('Eventos en ensayos por ID'!33:33,"AAAAAH+7v28=",0)</f>
        <v>0</v>
      </c>
      <c r="DI213" t="e">
        <f>AND('Eventos en ensayos por ID'!A33,"AAAAAH+7v3A=")</f>
        <v>#VALUE!</v>
      </c>
      <c r="DJ213" t="e">
        <f>AND('Eventos en ensayos por ID'!B33,"AAAAAH+7v3E=")</f>
        <v>#VALUE!</v>
      </c>
      <c r="DK213" t="e">
        <f>AND('Eventos en ensayos por ID'!C33,"AAAAAH+7v3I=")</f>
        <v>#VALUE!</v>
      </c>
      <c r="DL213" t="e">
        <f>AND('Eventos en ensayos por ID'!D33,"AAAAAH+7v3M=")</f>
        <v>#VALUE!</v>
      </c>
      <c r="DM213" t="e">
        <f>AND('Eventos en ensayos por ID'!E33,"AAAAAH+7v3Q=")</f>
        <v>#VALUE!</v>
      </c>
      <c r="DN213" t="e">
        <f>AND('Eventos en ensayos por ID'!F33,"AAAAAH+7v3U=")</f>
        <v>#VALUE!</v>
      </c>
      <c r="DO213" t="e">
        <f>AND('Eventos en ensayos por ID'!G33,"AAAAAH+7v3Y=")</f>
        <v>#VALUE!</v>
      </c>
      <c r="DP213">
        <f>IF('Eventos en ensayos por ID'!34:34,"AAAAAH+7v3c=",0)</f>
        <v>0</v>
      </c>
      <c r="DQ213" t="e">
        <f>AND('Eventos en ensayos por ID'!A34,"AAAAAH+7v3g=")</f>
        <v>#VALUE!</v>
      </c>
      <c r="DR213" t="e">
        <f>AND('Eventos en ensayos por ID'!B34,"AAAAAH+7v3k=")</f>
        <v>#VALUE!</v>
      </c>
      <c r="DS213" t="e">
        <f>AND('Eventos en ensayos por ID'!C34,"AAAAAH+7v3o=")</f>
        <v>#VALUE!</v>
      </c>
      <c r="DT213" t="e">
        <f>AND('Eventos en ensayos por ID'!D34,"AAAAAH+7v3s=")</f>
        <v>#VALUE!</v>
      </c>
      <c r="DU213" t="e">
        <f>AND('Eventos en ensayos por ID'!E34,"AAAAAH+7v3w=")</f>
        <v>#VALUE!</v>
      </c>
      <c r="DV213" t="e">
        <f>AND('Eventos en ensayos por ID'!F34,"AAAAAH+7v30=")</f>
        <v>#VALUE!</v>
      </c>
      <c r="DW213" t="e">
        <f>AND('Eventos en ensayos por ID'!G34,"AAAAAH+7v34=")</f>
        <v>#VALUE!</v>
      </c>
      <c r="DX213">
        <f>IF('Eventos en ensayos por ID'!35:35,"AAAAAH+7v38=",0)</f>
        <v>0</v>
      </c>
      <c r="DY213" t="e">
        <f>AND('Eventos en ensayos por ID'!A35,"AAAAAH+7v4A=")</f>
        <v>#VALUE!</v>
      </c>
      <c r="DZ213" t="e">
        <f>AND('Eventos en ensayos por ID'!B35,"AAAAAH+7v4E=")</f>
        <v>#VALUE!</v>
      </c>
      <c r="EA213" t="e">
        <f>AND('Eventos en ensayos por ID'!C35,"AAAAAH+7v4I=")</f>
        <v>#VALUE!</v>
      </c>
      <c r="EB213" t="e">
        <f>AND('Eventos en ensayos por ID'!D35,"AAAAAH+7v4M=")</f>
        <v>#VALUE!</v>
      </c>
      <c r="EC213" t="e">
        <f>AND('Eventos en ensayos por ID'!E35,"AAAAAH+7v4Q=")</f>
        <v>#VALUE!</v>
      </c>
      <c r="ED213" t="e">
        <f>AND('Eventos en ensayos por ID'!F35,"AAAAAH+7v4U=")</f>
        <v>#VALUE!</v>
      </c>
      <c r="EE213" t="e">
        <f>AND('Eventos en ensayos por ID'!G35,"AAAAAH+7v4Y=")</f>
        <v>#VALUE!</v>
      </c>
      <c r="EF213">
        <f>IF('Eventos en ensayos por ID'!36:36,"AAAAAH+7v4c=",0)</f>
        <v>0</v>
      </c>
      <c r="EG213" t="e">
        <f>AND('Eventos en ensayos por ID'!A36,"AAAAAH+7v4g=")</f>
        <v>#VALUE!</v>
      </c>
      <c r="EH213" t="e">
        <f>AND('Eventos en ensayos por ID'!B36,"AAAAAH+7v4k=")</f>
        <v>#VALUE!</v>
      </c>
      <c r="EI213" t="e">
        <f>AND('Eventos en ensayos por ID'!C36,"AAAAAH+7v4o=")</f>
        <v>#VALUE!</v>
      </c>
      <c r="EJ213" t="e">
        <f>AND('Eventos en ensayos por ID'!D36,"AAAAAH+7v4s=")</f>
        <v>#VALUE!</v>
      </c>
      <c r="EK213" t="e">
        <f>AND('Eventos en ensayos por ID'!E36,"AAAAAH+7v4w=")</f>
        <v>#VALUE!</v>
      </c>
      <c r="EL213" t="e">
        <f>AND('Eventos en ensayos por ID'!F36,"AAAAAH+7v40=")</f>
        <v>#VALUE!</v>
      </c>
      <c r="EM213" t="e">
        <f>AND('Eventos en ensayos por ID'!G36,"AAAAAH+7v44=")</f>
        <v>#VALUE!</v>
      </c>
      <c r="EN213">
        <f>IF('Eventos en ensayos por ID'!37:37,"AAAAAH+7v48=",0)</f>
        <v>0</v>
      </c>
      <c r="EO213" t="e">
        <f>AND('Eventos en ensayos por ID'!A37,"AAAAAH+7v5A=")</f>
        <v>#VALUE!</v>
      </c>
      <c r="EP213" t="e">
        <f>AND('Eventos en ensayos por ID'!B37,"AAAAAH+7v5E=")</f>
        <v>#VALUE!</v>
      </c>
      <c r="EQ213" t="e">
        <f>AND('Eventos en ensayos por ID'!C37,"AAAAAH+7v5I=")</f>
        <v>#VALUE!</v>
      </c>
      <c r="ER213" t="e">
        <f>AND('Eventos en ensayos por ID'!D37,"AAAAAH+7v5M=")</f>
        <v>#VALUE!</v>
      </c>
      <c r="ES213" t="e">
        <f>AND('Eventos en ensayos por ID'!E37,"AAAAAH+7v5Q=")</f>
        <v>#VALUE!</v>
      </c>
      <c r="ET213" t="e">
        <f>AND('Eventos en ensayos por ID'!F37,"AAAAAH+7v5U=")</f>
        <v>#VALUE!</v>
      </c>
      <c r="EU213" t="e">
        <f>AND('Eventos en ensayos por ID'!G37,"AAAAAH+7v5Y=")</f>
        <v>#VALUE!</v>
      </c>
      <c r="EV213">
        <f>IF('Eventos en ensayos por ID'!38:38,"AAAAAH+7v5c=",0)</f>
        <v>0</v>
      </c>
      <c r="EW213" t="e">
        <f>AND('Eventos en ensayos por ID'!A38,"AAAAAH+7v5g=")</f>
        <v>#VALUE!</v>
      </c>
      <c r="EX213" t="e">
        <f>AND('Eventos en ensayos por ID'!B38,"AAAAAH+7v5k=")</f>
        <v>#VALUE!</v>
      </c>
      <c r="EY213" t="e">
        <f>AND('Eventos en ensayos por ID'!C38,"AAAAAH+7v5o=")</f>
        <v>#VALUE!</v>
      </c>
      <c r="EZ213" t="e">
        <f>AND('Eventos en ensayos por ID'!D38,"AAAAAH+7v5s=")</f>
        <v>#VALUE!</v>
      </c>
      <c r="FA213" t="e">
        <f>AND('Eventos en ensayos por ID'!E38,"AAAAAH+7v5w=")</f>
        <v>#VALUE!</v>
      </c>
      <c r="FB213" t="e">
        <f>AND('Eventos en ensayos por ID'!F38,"AAAAAH+7v50=")</f>
        <v>#VALUE!</v>
      </c>
      <c r="FC213" t="e">
        <f>AND('Eventos en ensayos por ID'!G38,"AAAAAH+7v54=")</f>
        <v>#VALUE!</v>
      </c>
      <c r="FD213">
        <f>IF('Eventos en ensayos por ID'!39:39,"AAAAAH+7v58=",0)</f>
        <v>0</v>
      </c>
      <c r="FE213" t="e">
        <f>AND('Eventos en ensayos por ID'!A39,"AAAAAH+7v6A=")</f>
        <v>#VALUE!</v>
      </c>
      <c r="FF213" t="e">
        <f>AND('Eventos en ensayos por ID'!B39,"AAAAAH+7v6E=")</f>
        <v>#VALUE!</v>
      </c>
      <c r="FG213" t="e">
        <f>AND('Eventos en ensayos por ID'!C39,"AAAAAH+7v6I=")</f>
        <v>#VALUE!</v>
      </c>
      <c r="FH213" t="e">
        <f>AND('Eventos en ensayos por ID'!D39,"AAAAAH+7v6M=")</f>
        <v>#VALUE!</v>
      </c>
      <c r="FI213" t="e">
        <f>AND('Eventos en ensayos por ID'!E39,"AAAAAH+7v6Q=")</f>
        <v>#VALUE!</v>
      </c>
      <c r="FJ213" t="e">
        <f>AND('Eventos en ensayos por ID'!F39,"AAAAAH+7v6U=")</f>
        <v>#VALUE!</v>
      </c>
      <c r="FK213" t="e">
        <f>AND('Eventos en ensayos por ID'!G39,"AAAAAH+7v6Y=")</f>
        <v>#VALUE!</v>
      </c>
      <c r="FL213">
        <f>IF('Eventos en ensayos por ID'!40:40,"AAAAAH+7v6c=",0)</f>
        <v>0</v>
      </c>
      <c r="FM213" t="e">
        <f>AND('Eventos en ensayos por ID'!A40,"AAAAAH+7v6g=")</f>
        <v>#VALUE!</v>
      </c>
      <c r="FN213" t="e">
        <f>AND('Eventos en ensayos por ID'!B40,"AAAAAH+7v6k=")</f>
        <v>#VALUE!</v>
      </c>
      <c r="FO213" t="e">
        <f>AND('Eventos en ensayos por ID'!C40,"AAAAAH+7v6o=")</f>
        <v>#VALUE!</v>
      </c>
      <c r="FP213" t="e">
        <f>AND('Eventos en ensayos por ID'!D40,"AAAAAH+7v6s=")</f>
        <v>#VALUE!</v>
      </c>
      <c r="FQ213" t="e">
        <f>AND('Eventos en ensayos por ID'!E40,"AAAAAH+7v6w=")</f>
        <v>#VALUE!</v>
      </c>
      <c r="FR213" t="e">
        <f>AND('Eventos en ensayos por ID'!F40,"AAAAAH+7v60=")</f>
        <v>#VALUE!</v>
      </c>
      <c r="FS213" t="e">
        <f>AND('Eventos en ensayos por ID'!G40,"AAAAAH+7v64=")</f>
        <v>#VALUE!</v>
      </c>
      <c r="FT213">
        <f>IF('Eventos en ensayos por ID'!41:41,"AAAAAH+7v68=",0)</f>
        <v>0</v>
      </c>
      <c r="FU213" t="e">
        <f>AND('Eventos en ensayos por ID'!A41,"AAAAAH+7v7A=")</f>
        <v>#VALUE!</v>
      </c>
      <c r="FV213" t="e">
        <f>AND('Eventos en ensayos por ID'!B41,"AAAAAH+7v7E=")</f>
        <v>#VALUE!</v>
      </c>
      <c r="FW213" t="e">
        <f>AND('Eventos en ensayos por ID'!C41,"AAAAAH+7v7I=")</f>
        <v>#VALUE!</v>
      </c>
      <c r="FX213" t="e">
        <f>AND('Eventos en ensayos por ID'!D41,"AAAAAH+7v7M=")</f>
        <v>#VALUE!</v>
      </c>
      <c r="FY213" t="e">
        <f>AND('Eventos en ensayos por ID'!E41,"AAAAAH+7v7Q=")</f>
        <v>#VALUE!</v>
      </c>
      <c r="FZ213" t="e">
        <f>AND('Eventos en ensayos por ID'!F41,"AAAAAH+7v7U=")</f>
        <v>#VALUE!</v>
      </c>
      <c r="GA213" t="e">
        <f>AND('Eventos en ensayos por ID'!G41,"AAAAAH+7v7Y=")</f>
        <v>#VALUE!</v>
      </c>
      <c r="GB213">
        <f>IF('Eventos en ensayos por ID'!42:42,"AAAAAH+7v7c=",0)</f>
        <v>0</v>
      </c>
      <c r="GC213" t="e">
        <f>AND('Eventos en ensayos por ID'!A42,"AAAAAH+7v7g=")</f>
        <v>#VALUE!</v>
      </c>
      <c r="GD213" t="e">
        <f>AND('Eventos en ensayos por ID'!B42,"AAAAAH+7v7k=")</f>
        <v>#VALUE!</v>
      </c>
      <c r="GE213" t="e">
        <f>AND('Eventos en ensayos por ID'!C42,"AAAAAH+7v7o=")</f>
        <v>#VALUE!</v>
      </c>
      <c r="GF213" t="e">
        <f>AND('Eventos en ensayos por ID'!D42,"AAAAAH+7v7s=")</f>
        <v>#VALUE!</v>
      </c>
      <c r="GG213" t="e">
        <f>AND('Eventos en ensayos por ID'!E42,"AAAAAH+7v7w=")</f>
        <v>#VALUE!</v>
      </c>
      <c r="GH213" t="e">
        <f>AND('Eventos en ensayos por ID'!F42,"AAAAAH+7v70=")</f>
        <v>#VALUE!</v>
      </c>
      <c r="GI213" t="e">
        <f>AND('Eventos en ensayos por ID'!G42,"AAAAAH+7v74=")</f>
        <v>#VALUE!</v>
      </c>
      <c r="GJ213">
        <f>IF('Eventos en ensayos por ID'!43:43,"AAAAAH+7v78=",0)</f>
        <v>0</v>
      </c>
      <c r="GK213" t="e">
        <f>AND('Eventos en ensayos por ID'!A43,"AAAAAH+7v8A=")</f>
        <v>#VALUE!</v>
      </c>
      <c r="GL213" t="e">
        <f>AND('Eventos en ensayos por ID'!B43,"AAAAAH+7v8E=")</f>
        <v>#VALUE!</v>
      </c>
      <c r="GM213" t="e">
        <f>AND('Eventos en ensayos por ID'!C43,"AAAAAH+7v8I=")</f>
        <v>#VALUE!</v>
      </c>
      <c r="GN213" t="e">
        <f>AND('Eventos en ensayos por ID'!D43,"AAAAAH+7v8M=")</f>
        <v>#VALUE!</v>
      </c>
      <c r="GO213" t="e">
        <f>AND('Eventos en ensayos por ID'!E43,"AAAAAH+7v8Q=")</f>
        <v>#VALUE!</v>
      </c>
      <c r="GP213" t="e">
        <f>AND('Eventos en ensayos por ID'!F43,"AAAAAH+7v8U=")</f>
        <v>#VALUE!</v>
      </c>
      <c r="GQ213" t="e">
        <f>AND('Eventos en ensayos por ID'!G43,"AAAAAH+7v8Y=")</f>
        <v>#VALUE!</v>
      </c>
      <c r="GR213">
        <f>IF('Eventos en ensayos por ID'!44:44,"AAAAAH+7v8c=",0)</f>
        <v>0</v>
      </c>
      <c r="GS213" t="e">
        <f>AND('Eventos en ensayos por ID'!A44,"AAAAAH+7v8g=")</f>
        <v>#VALUE!</v>
      </c>
      <c r="GT213" t="e">
        <f>AND('Eventos en ensayos por ID'!B44,"AAAAAH+7v8k=")</f>
        <v>#VALUE!</v>
      </c>
      <c r="GU213" t="e">
        <f>AND('Eventos en ensayos por ID'!C44,"AAAAAH+7v8o=")</f>
        <v>#VALUE!</v>
      </c>
      <c r="GV213" t="e">
        <f>AND('Eventos en ensayos por ID'!D44,"AAAAAH+7v8s=")</f>
        <v>#VALUE!</v>
      </c>
      <c r="GW213" t="e">
        <f>AND('Eventos en ensayos por ID'!E44,"AAAAAH+7v8w=")</f>
        <v>#VALUE!</v>
      </c>
      <c r="GX213" t="e">
        <f>AND('Eventos en ensayos por ID'!F44,"AAAAAH+7v80=")</f>
        <v>#VALUE!</v>
      </c>
      <c r="GY213" t="e">
        <f>AND('Eventos en ensayos por ID'!G44,"AAAAAH+7v84=")</f>
        <v>#VALUE!</v>
      </c>
      <c r="GZ213">
        <f>IF('Eventos en ensayos por ID'!45:45,"AAAAAH+7v88=",0)</f>
        <v>0</v>
      </c>
      <c r="HA213" t="e">
        <f>AND('Eventos en ensayos por ID'!A45,"AAAAAH+7v9A=")</f>
        <v>#VALUE!</v>
      </c>
      <c r="HB213" t="e">
        <f>AND('Eventos en ensayos por ID'!B45,"AAAAAH+7v9E=")</f>
        <v>#VALUE!</v>
      </c>
      <c r="HC213" t="e">
        <f>AND('Eventos en ensayos por ID'!C45,"AAAAAH+7v9I=")</f>
        <v>#VALUE!</v>
      </c>
      <c r="HD213" t="e">
        <f>AND('Eventos en ensayos por ID'!D45,"AAAAAH+7v9M=")</f>
        <v>#VALUE!</v>
      </c>
      <c r="HE213" t="e">
        <f>AND('Eventos en ensayos por ID'!E45,"AAAAAH+7v9Q=")</f>
        <v>#VALUE!</v>
      </c>
      <c r="HF213" t="e">
        <f>AND('Eventos en ensayos por ID'!F45,"AAAAAH+7v9U=")</f>
        <v>#VALUE!</v>
      </c>
      <c r="HG213" t="e">
        <f>AND('Eventos en ensayos por ID'!G45,"AAAAAH+7v9Y=")</f>
        <v>#VALUE!</v>
      </c>
      <c r="HH213">
        <f>IF('Eventos en ensayos por ID'!46:46,"AAAAAH+7v9c=",0)</f>
        <v>0</v>
      </c>
      <c r="HI213" t="e">
        <f>AND('Eventos en ensayos por ID'!A46,"AAAAAH+7v9g=")</f>
        <v>#VALUE!</v>
      </c>
      <c r="HJ213" t="e">
        <f>AND('Eventos en ensayos por ID'!B46,"AAAAAH+7v9k=")</f>
        <v>#VALUE!</v>
      </c>
      <c r="HK213" t="e">
        <f>AND('Eventos en ensayos por ID'!C46,"AAAAAH+7v9o=")</f>
        <v>#VALUE!</v>
      </c>
      <c r="HL213" t="e">
        <f>AND('Eventos en ensayos por ID'!D46,"AAAAAH+7v9s=")</f>
        <v>#VALUE!</v>
      </c>
      <c r="HM213" t="e">
        <f>AND('Eventos en ensayos por ID'!E46,"AAAAAH+7v9w=")</f>
        <v>#VALUE!</v>
      </c>
      <c r="HN213" t="e">
        <f>AND('Eventos en ensayos por ID'!F46,"AAAAAH+7v90=")</f>
        <v>#VALUE!</v>
      </c>
      <c r="HO213" t="e">
        <f>AND('Eventos en ensayos por ID'!G46,"AAAAAH+7v94=")</f>
        <v>#VALUE!</v>
      </c>
      <c r="HP213">
        <f>IF('Eventos en ensayos por ID'!47:47,"AAAAAH+7v98=",0)</f>
        <v>0</v>
      </c>
      <c r="HQ213" t="e">
        <f>AND('Eventos en ensayos por ID'!A47,"AAAAAH+7v+A=")</f>
        <v>#VALUE!</v>
      </c>
      <c r="HR213" t="e">
        <f>AND('Eventos en ensayos por ID'!B47,"AAAAAH+7v+E=")</f>
        <v>#VALUE!</v>
      </c>
      <c r="HS213" t="e">
        <f>AND('Eventos en ensayos por ID'!C47,"AAAAAH+7v+I=")</f>
        <v>#VALUE!</v>
      </c>
      <c r="HT213" t="e">
        <f>AND('Eventos en ensayos por ID'!D47,"AAAAAH+7v+M=")</f>
        <v>#VALUE!</v>
      </c>
      <c r="HU213" t="e">
        <f>AND('Eventos en ensayos por ID'!E47,"AAAAAH+7v+Q=")</f>
        <v>#VALUE!</v>
      </c>
      <c r="HV213" t="e">
        <f>AND('Eventos en ensayos por ID'!F47,"AAAAAH+7v+U=")</f>
        <v>#VALUE!</v>
      </c>
      <c r="HW213" t="e">
        <f>AND('Eventos en ensayos por ID'!G47,"AAAAAH+7v+Y=")</f>
        <v>#VALUE!</v>
      </c>
      <c r="HX213">
        <f>IF('Eventos en ensayos por ID'!48:48,"AAAAAH+7v+c=",0)</f>
        <v>0</v>
      </c>
      <c r="HY213" t="e">
        <f>AND('Eventos en ensayos por ID'!A48,"AAAAAH+7v+g=")</f>
        <v>#VALUE!</v>
      </c>
      <c r="HZ213" t="e">
        <f>AND('Eventos en ensayos por ID'!B48,"AAAAAH+7v+k=")</f>
        <v>#VALUE!</v>
      </c>
      <c r="IA213" t="e">
        <f>AND('Eventos en ensayos por ID'!C48,"AAAAAH+7v+o=")</f>
        <v>#VALUE!</v>
      </c>
      <c r="IB213" t="e">
        <f>AND('Eventos en ensayos por ID'!D48,"AAAAAH+7v+s=")</f>
        <v>#VALUE!</v>
      </c>
      <c r="IC213" t="e">
        <f>AND('Eventos en ensayos por ID'!E48,"AAAAAH+7v+w=")</f>
        <v>#VALUE!</v>
      </c>
      <c r="ID213" t="e">
        <f>AND('Eventos en ensayos por ID'!F48,"AAAAAH+7v+0=")</f>
        <v>#VALUE!</v>
      </c>
      <c r="IE213" t="e">
        <f>AND('Eventos en ensayos por ID'!G48,"AAAAAH+7v+4=")</f>
        <v>#VALUE!</v>
      </c>
      <c r="IF213">
        <f>IF('Eventos en ensayos por ID'!49:49,"AAAAAH+7v+8=",0)</f>
        <v>0</v>
      </c>
      <c r="IG213" t="e">
        <f>AND('Eventos en ensayos por ID'!A49,"AAAAAH+7v/A=")</f>
        <v>#VALUE!</v>
      </c>
      <c r="IH213" t="e">
        <f>AND('Eventos en ensayos por ID'!B49,"AAAAAH+7v/E=")</f>
        <v>#VALUE!</v>
      </c>
      <c r="II213" t="e">
        <f>AND('Eventos en ensayos por ID'!C49,"AAAAAH+7v/I=")</f>
        <v>#VALUE!</v>
      </c>
      <c r="IJ213" t="e">
        <f>AND('Eventos en ensayos por ID'!D49,"AAAAAH+7v/M=")</f>
        <v>#VALUE!</v>
      </c>
      <c r="IK213" t="e">
        <f>AND('Eventos en ensayos por ID'!E49,"AAAAAH+7v/Q=")</f>
        <v>#VALUE!</v>
      </c>
      <c r="IL213" t="e">
        <f>AND('Eventos en ensayos por ID'!F49,"AAAAAH+7v/U=")</f>
        <v>#VALUE!</v>
      </c>
      <c r="IM213" t="e">
        <f>AND('Eventos en ensayos por ID'!G49,"AAAAAH+7v/Y=")</f>
        <v>#VALUE!</v>
      </c>
      <c r="IN213">
        <f>IF('Eventos en ensayos por ID'!50:50,"AAAAAH+7v/c=",0)</f>
        <v>0</v>
      </c>
      <c r="IO213" t="e">
        <f>AND('Eventos en ensayos por ID'!A50,"AAAAAH+7v/g=")</f>
        <v>#VALUE!</v>
      </c>
      <c r="IP213" t="e">
        <f>AND('Eventos en ensayos por ID'!B50,"AAAAAH+7v/k=")</f>
        <v>#VALUE!</v>
      </c>
      <c r="IQ213" t="e">
        <f>AND('Eventos en ensayos por ID'!C50,"AAAAAH+7v/o=")</f>
        <v>#VALUE!</v>
      </c>
      <c r="IR213" t="e">
        <f>AND('Eventos en ensayos por ID'!D50,"AAAAAH+7v/s=")</f>
        <v>#VALUE!</v>
      </c>
      <c r="IS213" t="e">
        <f>AND('Eventos en ensayos por ID'!E50,"AAAAAH+7v/w=")</f>
        <v>#VALUE!</v>
      </c>
      <c r="IT213" t="e">
        <f>AND('Eventos en ensayos por ID'!F50,"AAAAAH+7v/0=")</f>
        <v>#VALUE!</v>
      </c>
      <c r="IU213" t="e">
        <f>AND('Eventos en ensayos por ID'!G50,"AAAAAH+7v/4=")</f>
        <v>#VALUE!</v>
      </c>
      <c r="IV213">
        <f>IF('Eventos en ensayos por ID'!51:51,"AAAAAH+7v/8=",0)</f>
        <v>0</v>
      </c>
    </row>
    <row r="214" spans="1:256" x14ac:dyDescent="0.25">
      <c r="A214" t="e">
        <f>AND('Eventos en ensayos por ID'!A51,"AAAAAH/duwA=")</f>
        <v>#VALUE!</v>
      </c>
      <c r="B214" t="e">
        <f>AND('Eventos en ensayos por ID'!B51,"AAAAAH/duwE=")</f>
        <v>#VALUE!</v>
      </c>
      <c r="C214" t="e">
        <f>AND('Eventos en ensayos por ID'!C51,"AAAAAH/duwI=")</f>
        <v>#VALUE!</v>
      </c>
      <c r="D214" t="e">
        <f>AND('Eventos en ensayos por ID'!D51,"AAAAAH/duwM=")</f>
        <v>#VALUE!</v>
      </c>
      <c r="E214" t="e">
        <f>AND('Eventos en ensayos por ID'!E51,"AAAAAH/duwQ=")</f>
        <v>#VALUE!</v>
      </c>
      <c r="F214" t="e">
        <f>AND('Eventos en ensayos por ID'!F51,"AAAAAH/duwU=")</f>
        <v>#VALUE!</v>
      </c>
      <c r="G214" t="e">
        <f>AND('Eventos en ensayos por ID'!G51,"AAAAAH/duwY=")</f>
        <v>#VALUE!</v>
      </c>
      <c r="H214">
        <f>IF('Eventos en ensayos por ID'!52:52,"AAAAAH/duwc=",0)</f>
        <v>0</v>
      </c>
      <c r="I214" t="e">
        <f>AND('Eventos en ensayos por ID'!A52,"AAAAAH/duwg=")</f>
        <v>#VALUE!</v>
      </c>
      <c r="J214" t="e">
        <f>AND('Eventos en ensayos por ID'!B52,"AAAAAH/duwk=")</f>
        <v>#VALUE!</v>
      </c>
      <c r="K214" t="e">
        <f>AND('Eventos en ensayos por ID'!C52,"AAAAAH/duwo=")</f>
        <v>#VALUE!</v>
      </c>
      <c r="L214" t="e">
        <f>AND('Eventos en ensayos por ID'!D52,"AAAAAH/duws=")</f>
        <v>#VALUE!</v>
      </c>
      <c r="M214" t="e">
        <f>AND('Eventos en ensayos por ID'!E52,"AAAAAH/duww=")</f>
        <v>#VALUE!</v>
      </c>
      <c r="N214" t="e">
        <f>AND('Eventos en ensayos por ID'!F52,"AAAAAH/duw0=")</f>
        <v>#VALUE!</v>
      </c>
      <c r="O214" t="e">
        <f>AND('Eventos en ensayos por ID'!G52,"AAAAAH/duw4=")</f>
        <v>#VALUE!</v>
      </c>
      <c r="P214">
        <f>IF('Eventos en ensayos por ID'!53:53,"AAAAAH/duw8=",0)</f>
        <v>0</v>
      </c>
      <c r="Q214" t="e">
        <f>AND('Eventos en ensayos por ID'!A53,"AAAAAH/duxA=")</f>
        <v>#VALUE!</v>
      </c>
      <c r="R214" t="e">
        <f>AND('Eventos en ensayos por ID'!B53,"AAAAAH/duxE=")</f>
        <v>#VALUE!</v>
      </c>
      <c r="S214" t="e">
        <f>AND('Eventos en ensayos por ID'!C53,"AAAAAH/duxI=")</f>
        <v>#VALUE!</v>
      </c>
      <c r="T214" t="e">
        <f>AND('Eventos en ensayos por ID'!D53,"AAAAAH/duxM=")</f>
        <v>#VALUE!</v>
      </c>
      <c r="U214" t="e">
        <f>AND('Eventos en ensayos por ID'!E53,"AAAAAH/duxQ=")</f>
        <v>#VALUE!</v>
      </c>
      <c r="V214" t="e">
        <f>AND('Eventos en ensayos por ID'!F53,"AAAAAH/duxU=")</f>
        <v>#VALUE!</v>
      </c>
      <c r="W214" t="e">
        <f>AND('Eventos en ensayos por ID'!G53,"AAAAAH/duxY=")</f>
        <v>#VALUE!</v>
      </c>
      <c r="X214">
        <f>IF('Eventos en ensayos por ID'!54:54,"AAAAAH/duxc=",0)</f>
        <v>0</v>
      </c>
      <c r="Y214" t="e">
        <f>AND('Eventos en ensayos por ID'!A54,"AAAAAH/duxg=")</f>
        <v>#VALUE!</v>
      </c>
      <c r="Z214" t="e">
        <f>AND('Eventos en ensayos por ID'!B54,"AAAAAH/duxk=")</f>
        <v>#VALUE!</v>
      </c>
      <c r="AA214" t="e">
        <f>AND('Eventos en ensayos por ID'!C54,"AAAAAH/duxo=")</f>
        <v>#VALUE!</v>
      </c>
      <c r="AB214" t="e">
        <f>AND('Eventos en ensayos por ID'!D54,"AAAAAH/duxs=")</f>
        <v>#VALUE!</v>
      </c>
      <c r="AC214" t="e">
        <f>AND('Eventos en ensayos por ID'!E54,"AAAAAH/duxw=")</f>
        <v>#VALUE!</v>
      </c>
      <c r="AD214" t="e">
        <f>AND('Eventos en ensayos por ID'!F54,"AAAAAH/dux0=")</f>
        <v>#VALUE!</v>
      </c>
      <c r="AE214" t="e">
        <f>AND('Eventos en ensayos por ID'!G54,"AAAAAH/dux4=")</f>
        <v>#VALUE!</v>
      </c>
      <c r="AF214">
        <f>IF('Eventos en ensayos por ID'!55:55,"AAAAAH/dux8=",0)</f>
        <v>0</v>
      </c>
      <c r="AG214" t="e">
        <f>AND('Eventos en ensayos por ID'!A55,"AAAAAH/duyA=")</f>
        <v>#VALUE!</v>
      </c>
      <c r="AH214" t="e">
        <f>AND('Eventos en ensayos por ID'!B55,"AAAAAH/duyE=")</f>
        <v>#VALUE!</v>
      </c>
      <c r="AI214" t="e">
        <f>AND('Eventos en ensayos por ID'!C55,"AAAAAH/duyI=")</f>
        <v>#VALUE!</v>
      </c>
      <c r="AJ214" t="e">
        <f>AND('Eventos en ensayos por ID'!D55,"AAAAAH/duyM=")</f>
        <v>#VALUE!</v>
      </c>
      <c r="AK214" t="e">
        <f>AND('Eventos en ensayos por ID'!E55,"AAAAAH/duyQ=")</f>
        <v>#VALUE!</v>
      </c>
      <c r="AL214" t="e">
        <f>AND('Eventos en ensayos por ID'!F55,"AAAAAH/duyU=")</f>
        <v>#VALUE!</v>
      </c>
      <c r="AM214" t="e">
        <f>AND('Eventos en ensayos por ID'!G55,"AAAAAH/duyY=")</f>
        <v>#VALUE!</v>
      </c>
      <c r="AN214">
        <f>IF('Eventos en ensayos por ID'!56:56,"AAAAAH/duyc=",0)</f>
        <v>0</v>
      </c>
      <c r="AO214" t="e">
        <f>AND('Eventos en ensayos por ID'!A56,"AAAAAH/duyg=")</f>
        <v>#VALUE!</v>
      </c>
      <c r="AP214" t="e">
        <f>AND('Eventos en ensayos por ID'!B56,"AAAAAH/duyk=")</f>
        <v>#VALUE!</v>
      </c>
      <c r="AQ214" t="e">
        <f>AND('Eventos en ensayos por ID'!C56,"AAAAAH/duyo=")</f>
        <v>#VALUE!</v>
      </c>
      <c r="AR214" t="e">
        <f>AND('Eventos en ensayos por ID'!D56,"AAAAAH/duys=")</f>
        <v>#VALUE!</v>
      </c>
      <c r="AS214" t="e">
        <f>AND('Eventos en ensayos por ID'!E56,"AAAAAH/duyw=")</f>
        <v>#VALUE!</v>
      </c>
      <c r="AT214" t="e">
        <f>AND('Eventos en ensayos por ID'!F56,"AAAAAH/duy0=")</f>
        <v>#VALUE!</v>
      </c>
      <c r="AU214" t="e">
        <f>AND('Eventos en ensayos por ID'!G56,"AAAAAH/duy4=")</f>
        <v>#VALUE!</v>
      </c>
      <c r="AV214">
        <f>IF('Eventos en ensayos por ID'!57:57,"AAAAAH/duy8=",0)</f>
        <v>0</v>
      </c>
      <c r="AW214" t="e">
        <f>AND('Eventos en ensayos por ID'!A57,"AAAAAH/duzA=")</f>
        <v>#VALUE!</v>
      </c>
      <c r="AX214" t="e">
        <f>AND('Eventos en ensayos por ID'!B57,"AAAAAH/duzE=")</f>
        <v>#VALUE!</v>
      </c>
      <c r="AY214" t="e">
        <f>AND('Eventos en ensayos por ID'!C57,"AAAAAH/duzI=")</f>
        <v>#VALUE!</v>
      </c>
      <c r="AZ214" t="e">
        <f>AND('Eventos en ensayos por ID'!D57,"AAAAAH/duzM=")</f>
        <v>#VALUE!</v>
      </c>
      <c r="BA214" t="e">
        <f>AND('Eventos en ensayos por ID'!E57,"AAAAAH/duzQ=")</f>
        <v>#VALUE!</v>
      </c>
      <c r="BB214" t="e">
        <f>AND('Eventos en ensayos por ID'!F57,"AAAAAH/duzU=")</f>
        <v>#VALUE!</v>
      </c>
      <c r="BC214" t="e">
        <f>AND('Eventos en ensayos por ID'!G57,"AAAAAH/duzY=")</f>
        <v>#VALUE!</v>
      </c>
      <c r="BD214">
        <f>IF('Eventos en ensayos por ID'!58:58,"AAAAAH/duzc=",0)</f>
        <v>0</v>
      </c>
      <c r="BE214" t="e">
        <f>AND('Eventos en ensayos por ID'!A58,"AAAAAH/duzg=")</f>
        <v>#VALUE!</v>
      </c>
      <c r="BF214" t="e">
        <f>AND('Eventos en ensayos por ID'!B58,"AAAAAH/duzk=")</f>
        <v>#VALUE!</v>
      </c>
      <c r="BG214" t="e">
        <f>AND('Eventos en ensayos por ID'!C58,"AAAAAH/duzo=")</f>
        <v>#VALUE!</v>
      </c>
      <c r="BH214" t="e">
        <f>AND('Eventos en ensayos por ID'!D58,"AAAAAH/duzs=")</f>
        <v>#VALUE!</v>
      </c>
      <c r="BI214" t="e">
        <f>AND('Eventos en ensayos por ID'!E58,"AAAAAH/duzw=")</f>
        <v>#VALUE!</v>
      </c>
      <c r="BJ214" t="e">
        <f>AND('Eventos en ensayos por ID'!F58,"AAAAAH/duz0=")</f>
        <v>#VALUE!</v>
      </c>
      <c r="BK214" t="e">
        <f>AND('Eventos en ensayos por ID'!G58,"AAAAAH/duz4=")</f>
        <v>#VALUE!</v>
      </c>
      <c r="BL214">
        <f>IF('Eventos en ensayos por ID'!59:59,"AAAAAH/duz8=",0)</f>
        <v>0</v>
      </c>
      <c r="BM214" t="e">
        <f>AND('Eventos en ensayos por ID'!A59,"AAAAAH/du0A=")</f>
        <v>#VALUE!</v>
      </c>
      <c r="BN214" t="e">
        <f>AND('Eventos en ensayos por ID'!B59,"AAAAAH/du0E=")</f>
        <v>#VALUE!</v>
      </c>
      <c r="BO214" t="e">
        <f>AND('Eventos en ensayos por ID'!C59,"AAAAAH/du0I=")</f>
        <v>#VALUE!</v>
      </c>
      <c r="BP214" t="e">
        <f>AND('Eventos en ensayos por ID'!D59,"AAAAAH/du0M=")</f>
        <v>#VALUE!</v>
      </c>
      <c r="BQ214" t="e">
        <f>AND('Eventos en ensayos por ID'!E59,"AAAAAH/du0Q=")</f>
        <v>#VALUE!</v>
      </c>
      <c r="BR214" t="e">
        <f>AND('Eventos en ensayos por ID'!F59,"AAAAAH/du0U=")</f>
        <v>#VALUE!</v>
      </c>
      <c r="BS214" t="e">
        <f>AND('Eventos en ensayos por ID'!G59,"AAAAAH/du0Y=")</f>
        <v>#VALUE!</v>
      </c>
      <c r="BT214">
        <f>IF('Eventos en ensayos por ID'!60:60,"AAAAAH/du0c=",0)</f>
        <v>0</v>
      </c>
      <c r="BU214" t="e">
        <f>AND('Eventos en ensayos por ID'!A60,"AAAAAH/du0g=")</f>
        <v>#VALUE!</v>
      </c>
      <c r="BV214" t="e">
        <f>AND('Eventos en ensayos por ID'!B60,"AAAAAH/du0k=")</f>
        <v>#VALUE!</v>
      </c>
      <c r="BW214" t="e">
        <f>AND('Eventos en ensayos por ID'!C60,"AAAAAH/du0o=")</f>
        <v>#VALUE!</v>
      </c>
      <c r="BX214" t="e">
        <f>AND('Eventos en ensayos por ID'!D60,"AAAAAH/du0s=")</f>
        <v>#VALUE!</v>
      </c>
      <c r="BY214" t="e">
        <f>AND('Eventos en ensayos por ID'!E60,"AAAAAH/du0w=")</f>
        <v>#VALUE!</v>
      </c>
      <c r="BZ214" t="e">
        <f>AND('Eventos en ensayos por ID'!F60,"AAAAAH/du00=")</f>
        <v>#VALUE!</v>
      </c>
      <c r="CA214" t="e">
        <f>AND('Eventos en ensayos por ID'!G60,"AAAAAH/du04=")</f>
        <v>#VALUE!</v>
      </c>
      <c r="CB214">
        <f>IF('Eventos en ensayos por ID'!61:61,"AAAAAH/du08=",0)</f>
        <v>0</v>
      </c>
      <c r="CC214" t="e">
        <f>AND('Eventos en ensayos por ID'!A61,"AAAAAH/du1A=")</f>
        <v>#VALUE!</v>
      </c>
      <c r="CD214" t="e">
        <f>AND('Eventos en ensayos por ID'!B61,"AAAAAH/du1E=")</f>
        <v>#VALUE!</v>
      </c>
      <c r="CE214" t="e">
        <f>AND('Eventos en ensayos por ID'!C61,"AAAAAH/du1I=")</f>
        <v>#VALUE!</v>
      </c>
      <c r="CF214" t="e">
        <f>AND('Eventos en ensayos por ID'!D61,"AAAAAH/du1M=")</f>
        <v>#VALUE!</v>
      </c>
      <c r="CG214" t="e">
        <f>AND('Eventos en ensayos por ID'!E61,"AAAAAH/du1Q=")</f>
        <v>#VALUE!</v>
      </c>
      <c r="CH214" t="e">
        <f>AND('Eventos en ensayos por ID'!F61,"AAAAAH/du1U=")</f>
        <v>#VALUE!</v>
      </c>
      <c r="CI214" t="e">
        <f>AND('Eventos en ensayos por ID'!G61,"AAAAAH/du1Y=")</f>
        <v>#VALUE!</v>
      </c>
      <c r="CJ214">
        <f>IF('Eventos en ensayos por ID'!62:62,"AAAAAH/du1c=",0)</f>
        <v>0</v>
      </c>
      <c r="CK214" t="e">
        <f>AND('Eventos en ensayos por ID'!A62,"AAAAAH/du1g=")</f>
        <v>#VALUE!</v>
      </c>
      <c r="CL214" t="e">
        <f>AND('Eventos en ensayos por ID'!B62,"AAAAAH/du1k=")</f>
        <v>#VALUE!</v>
      </c>
      <c r="CM214" t="e">
        <f>AND('Eventos en ensayos por ID'!C62,"AAAAAH/du1o=")</f>
        <v>#VALUE!</v>
      </c>
      <c r="CN214" t="e">
        <f>AND('Eventos en ensayos por ID'!D62,"AAAAAH/du1s=")</f>
        <v>#VALUE!</v>
      </c>
      <c r="CO214" t="e">
        <f>AND('Eventos en ensayos por ID'!E62,"AAAAAH/du1w=")</f>
        <v>#VALUE!</v>
      </c>
      <c r="CP214" t="e">
        <f>AND('Eventos en ensayos por ID'!F62,"AAAAAH/du10=")</f>
        <v>#VALUE!</v>
      </c>
      <c r="CQ214" t="e">
        <f>AND('Eventos en ensayos por ID'!G62,"AAAAAH/du14=")</f>
        <v>#VALUE!</v>
      </c>
      <c r="CR214">
        <f>IF('Eventos en ensayos por ID'!63:63,"AAAAAH/du18=",0)</f>
        <v>0</v>
      </c>
      <c r="CS214" t="e">
        <f>AND('Eventos en ensayos por ID'!A63,"AAAAAH/du2A=")</f>
        <v>#VALUE!</v>
      </c>
      <c r="CT214" t="e">
        <f>AND('Eventos en ensayos por ID'!B63,"AAAAAH/du2E=")</f>
        <v>#VALUE!</v>
      </c>
      <c r="CU214" t="e">
        <f>AND('Eventos en ensayos por ID'!C63,"AAAAAH/du2I=")</f>
        <v>#VALUE!</v>
      </c>
      <c r="CV214" t="e">
        <f>AND('Eventos en ensayos por ID'!D63,"AAAAAH/du2M=")</f>
        <v>#VALUE!</v>
      </c>
      <c r="CW214" t="e">
        <f>AND('Eventos en ensayos por ID'!E63,"AAAAAH/du2Q=")</f>
        <v>#VALUE!</v>
      </c>
      <c r="CX214" t="e">
        <f>AND('Eventos en ensayos por ID'!F63,"AAAAAH/du2U=")</f>
        <v>#VALUE!</v>
      </c>
      <c r="CY214" t="e">
        <f>AND('Eventos en ensayos por ID'!G63,"AAAAAH/du2Y=")</f>
        <v>#VALUE!</v>
      </c>
      <c r="CZ214">
        <f>IF('Eventos en ensayos por ID'!64:64,"AAAAAH/du2c=",0)</f>
        <v>0</v>
      </c>
      <c r="DA214" t="e">
        <f>AND('Eventos en ensayos por ID'!A64,"AAAAAH/du2g=")</f>
        <v>#VALUE!</v>
      </c>
      <c r="DB214" t="e">
        <f>AND('Eventos en ensayos por ID'!B64,"AAAAAH/du2k=")</f>
        <v>#VALUE!</v>
      </c>
      <c r="DC214" t="e">
        <f>AND('Eventos en ensayos por ID'!C64,"AAAAAH/du2o=")</f>
        <v>#VALUE!</v>
      </c>
      <c r="DD214" t="e">
        <f>AND('Eventos en ensayos por ID'!D64,"AAAAAH/du2s=")</f>
        <v>#VALUE!</v>
      </c>
      <c r="DE214" t="e">
        <f>AND('Eventos en ensayos por ID'!E64,"AAAAAH/du2w=")</f>
        <v>#VALUE!</v>
      </c>
      <c r="DF214" t="e">
        <f>AND('Eventos en ensayos por ID'!F64,"AAAAAH/du20=")</f>
        <v>#VALUE!</v>
      </c>
      <c r="DG214" t="e">
        <f>AND('Eventos en ensayos por ID'!G64,"AAAAAH/du24=")</f>
        <v>#VALUE!</v>
      </c>
      <c r="DH214">
        <f>IF('Eventos en ensayos por ID'!65:65,"AAAAAH/du28=",0)</f>
        <v>0</v>
      </c>
      <c r="DI214" t="e">
        <f>AND('Eventos en ensayos por ID'!A65,"AAAAAH/du3A=")</f>
        <v>#VALUE!</v>
      </c>
      <c r="DJ214" t="e">
        <f>AND('Eventos en ensayos por ID'!B65,"AAAAAH/du3E=")</f>
        <v>#VALUE!</v>
      </c>
      <c r="DK214" t="e">
        <f>AND('Eventos en ensayos por ID'!C65,"AAAAAH/du3I=")</f>
        <v>#VALUE!</v>
      </c>
      <c r="DL214" t="e">
        <f>AND('Eventos en ensayos por ID'!D65,"AAAAAH/du3M=")</f>
        <v>#VALUE!</v>
      </c>
      <c r="DM214" t="e">
        <f>AND('Eventos en ensayos por ID'!E65,"AAAAAH/du3Q=")</f>
        <v>#VALUE!</v>
      </c>
      <c r="DN214" t="e">
        <f>AND('Eventos en ensayos por ID'!F65,"AAAAAH/du3U=")</f>
        <v>#VALUE!</v>
      </c>
      <c r="DO214" t="e">
        <f>AND('Eventos en ensayos por ID'!G65,"AAAAAH/du3Y=")</f>
        <v>#VALUE!</v>
      </c>
      <c r="DP214">
        <f>IF('Eventos en ensayos por ID'!66:66,"AAAAAH/du3c=",0)</f>
        <v>0</v>
      </c>
      <c r="DQ214" t="e">
        <f>AND('Eventos en ensayos por ID'!A66,"AAAAAH/du3g=")</f>
        <v>#VALUE!</v>
      </c>
      <c r="DR214" t="e">
        <f>AND('Eventos en ensayos por ID'!B66,"AAAAAH/du3k=")</f>
        <v>#VALUE!</v>
      </c>
      <c r="DS214" t="e">
        <f>AND('Eventos en ensayos por ID'!C66,"AAAAAH/du3o=")</f>
        <v>#VALUE!</v>
      </c>
      <c r="DT214" t="e">
        <f>AND('Eventos en ensayos por ID'!D66,"AAAAAH/du3s=")</f>
        <v>#VALUE!</v>
      </c>
      <c r="DU214" t="e">
        <f>AND('Eventos en ensayos por ID'!E66,"AAAAAH/du3w=")</f>
        <v>#VALUE!</v>
      </c>
      <c r="DV214" t="e">
        <f>AND('Eventos en ensayos por ID'!F66,"AAAAAH/du30=")</f>
        <v>#VALUE!</v>
      </c>
      <c r="DW214" t="e">
        <f>AND('Eventos en ensayos por ID'!G66,"AAAAAH/du34=")</f>
        <v>#VALUE!</v>
      </c>
      <c r="DX214">
        <f>IF('Eventos en ensayos por ID'!67:67,"AAAAAH/du38=",0)</f>
        <v>0</v>
      </c>
      <c r="DY214" t="e">
        <f>AND('Eventos en ensayos por ID'!A67,"AAAAAH/du4A=")</f>
        <v>#VALUE!</v>
      </c>
      <c r="DZ214" t="e">
        <f>AND('Eventos en ensayos por ID'!B67,"AAAAAH/du4E=")</f>
        <v>#VALUE!</v>
      </c>
      <c r="EA214" t="e">
        <f>AND('Eventos en ensayos por ID'!C67,"AAAAAH/du4I=")</f>
        <v>#VALUE!</v>
      </c>
      <c r="EB214" t="e">
        <f>AND('Eventos en ensayos por ID'!D67,"AAAAAH/du4M=")</f>
        <v>#VALUE!</v>
      </c>
      <c r="EC214" t="e">
        <f>AND('Eventos en ensayos por ID'!E67,"AAAAAH/du4Q=")</f>
        <v>#VALUE!</v>
      </c>
      <c r="ED214" t="e">
        <f>AND('Eventos en ensayos por ID'!F67,"AAAAAH/du4U=")</f>
        <v>#VALUE!</v>
      </c>
      <c r="EE214" t="e">
        <f>AND('Eventos en ensayos por ID'!G67,"AAAAAH/du4Y=")</f>
        <v>#VALUE!</v>
      </c>
      <c r="EF214">
        <f>IF('Eventos en ensayos por ID'!68:68,"AAAAAH/du4c=",0)</f>
        <v>0</v>
      </c>
      <c r="EG214" t="e">
        <f>AND('Eventos en ensayos por ID'!A68,"AAAAAH/du4g=")</f>
        <v>#VALUE!</v>
      </c>
      <c r="EH214" t="e">
        <f>AND('Eventos en ensayos por ID'!B68,"AAAAAH/du4k=")</f>
        <v>#VALUE!</v>
      </c>
      <c r="EI214" t="e">
        <f>AND('Eventos en ensayos por ID'!C68,"AAAAAH/du4o=")</f>
        <v>#VALUE!</v>
      </c>
      <c r="EJ214" t="e">
        <f>AND('Eventos en ensayos por ID'!D68,"AAAAAH/du4s=")</f>
        <v>#VALUE!</v>
      </c>
      <c r="EK214" t="e">
        <f>AND('Eventos en ensayos por ID'!E68,"AAAAAH/du4w=")</f>
        <v>#VALUE!</v>
      </c>
      <c r="EL214" t="e">
        <f>AND('Eventos en ensayos por ID'!F68,"AAAAAH/du40=")</f>
        <v>#VALUE!</v>
      </c>
      <c r="EM214" t="e">
        <f>AND('Eventos en ensayos por ID'!G68,"AAAAAH/du44=")</f>
        <v>#VALUE!</v>
      </c>
      <c r="EN214">
        <f>IF('Eventos en ensayos por ID'!69:69,"AAAAAH/du48=",0)</f>
        <v>0</v>
      </c>
      <c r="EO214" t="e">
        <f>AND('Eventos en ensayos por ID'!A69,"AAAAAH/du5A=")</f>
        <v>#VALUE!</v>
      </c>
      <c r="EP214" t="e">
        <f>AND('Eventos en ensayos por ID'!B69,"AAAAAH/du5E=")</f>
        <v>#VALUE!</v>
      </c>
      <c r="EQ214" t="e">
        <f>AND('Eventos en ensayos por ID'!C69,"AAAAAH/du5I=")</f>
        <v>#VALUE!</v>
      </c>
      <c r="ER214" t="e">
        <f>AND('Eventos en ensayos por ID'!D69,"AAAAAH/du5M=")</f>
        <v>#VALUE!</v>
      </c>
      <c r="ES214" t="e">
        <f>AND('Eventos en ensayos por ID'!E69,"AAAAAH/du5Q=")</f>
        <v>#VALUE!</v>
      </c>
      <c r="ET214" t="e">
        <f>AND('Eventos en ensayos por ID'!F69,"AAAAAH/du5U=")</f>
        <v>#VALUE!</v>
      </c>
      <c r="EU214" t="e">
        <f>AND('Eventos en ensayos por ID'!G69,"AAAAAH/du5Y=")</f>
        <v>#VALUE!</v>
      </c>
      <c r="EV214">
        <f>IF('Eventos en ensayos por ID'!70:70,"AAAAAH/du5c=",0)</f>
        <v>0</v>
      </c>
      <c r="EW214" t="e">
        <f>AND('Eventos en ensayos por ID'!A70,"AAAAAH/du5g=")</f>
        <v>#VALUE!</v>
      </c>
      <c r="EX214" t="e">
        <f>AND('Eventos en ensayos por ID'!B70,"AAAAAH/du5k=")</f>
        <v>#VALUE!</v>
      </c>
      <c r="EY214" t="e">
        <f>AND('Eventos en ensayos por ID'!C70,"AAAAAH/du5o=")</f>
        <v>#VALUE!</v>
      </c>
      <c r="EZ214" t="e">
        <f>AND('Eventos en ensayos por ID'!D70,"AAAAAH/du5s=")</f>
        <v>#VALUE!</v>
      </c>
      <c r="FA214" t="e">
        <f>AND('Eventos en ensayos por ID'!E70,"AAAAAH/du5w=")</f>
        <v>#VALUE!</v>
      </c>
      <c r="FB214" t="e">
        <f>AND('Eventos en ensayos por ID'!F70,"AAAAAH/du50=")</f>
        <v>#VALUE!</v>
      </c>
      <c r="FC214" t="e">
        <f>AND('Eventos en ensayos por ID'!G70,"AAAAAH/du54=")</f>
        <v>#VALUE!</v>
      </c>
      <c r="FD214">
        <f>IF('Eventos en ensayos por ID'!71:71,"AAAAAH/du58=",0)</f>
        <v>0</v>
      </c>
      <c r="FE214" t="e">
        <f>AND('Eventos en ensayos por ID'!A71,"AAAAAH/du6A=")</f>
        <v>#VALUE!</v>
      </c>
      <c r="FF214" t="e">
        <f>AND('Eventos en ensayos por ID'!B71,"AAAAAH/du6E=")</f>
        <v>#VALUE!</v>
      </c>
      <c r="FG214" t="e">
        <f>AND('Eventos en ensayos por ID'!C71,"AAAAAH/du6I=")</f>
        <v>#VALUE!</v>
      </c>
      <c r="FH214" t="e">
        <f>AND('Eventos en ensayos por ID'!D71,"AAAAAH/du6M=")</f>
        <v>#VALUE!</v>
      </c>
      <c r="FI214" t="e">
        <f>AND('Eventos en ensayos por ID'!E71,"AAAAAH/du6Q=")</f>
        <v>#VALUE!</v>
      </c>
      <c r="FJ214" t="e">
        <f>AND('Eventos en ensayos por ID'!F71,"AAAAAH/du6U=")</f>
        <v>#VALUE!</v>
      </c>
      <c r="FK214" t="e">
        <f>AND('Eventos en ensayos por ID'!G71,"AAAAAH/du6Y=")</f>
        <v>#VALUE!</v>
      </c>
      <c r="FL214">
        <f>IF('Eventos en ensayos por ID'!72:72,"AAAAAH/du6c=",0)</f>
        <v>0</v>
      </c>
      <c r="FM214" t="e">
        <f>AND('Eventos en ensayos por ID'!A72,"AAAAAH/du6g=")</f>
        <v>#VALUE!</v>
      </c>
      <c r="FN214" t="e">
        <f>AND('Eventos en ensayos por ID'!B72,"AAAAAH/du6k=")</f>
        <v>#VALUE!</v>
      </c>
      <c r="FO214" t="e">
        <f>AND('Eventos en ensayos por ID'!C72,"AAAAAH/du6o=")</f>
        <v>#VALUE!</v>
      </c>
      <c r="FP214" t="e">
        <f>AND('Eventos en ensayos por ID'!D72,"AAAAAH/du6s=")</f>
        <v>#VALUE!</v>
      </c>
      <c r="FQ214" t="e">
        <f>AND('Eventos en ensayos por ID'!E72,"AAAAAH/du6w=")</f>
        <v>#VALUE!</v>
      </c>
      <c r="FR214" t="e">
        <f>AND('Eventos en ensayos por ID'!F72,"AAAAAH/du60=")</f>
        <v>#VALUE!</v>
      </c>
      <c r="FS214" t="e">
        <f>AND('Eventos en ensayos por ID'!G72,"AAAAAH/du64=")</f>
        <v>#VALUE!</v>
      </c>
      <c r="FT214">
        <f>IF('Eventos en ensayos por ID'!73:73,"AAAAAH/du68=",0)</f>
        <v>0</v>
      </c>
      <c r="FU214" t="e">
        <f>AND('Eventos en ensayos por ID'!A73,"AAAAAH/du7A=")</f>
        <v>#VALUE!</v>
      </c>
      <c r="FV214" t="e">
        <f>AND('Eventos en ensayos por ID'!B73,"AAAAAH/du7E=")</f>
        <v>#VALUE!</v>
      </c>
      <c r="FW214" t="e">
        <f>AND('Eventos en ensayos por ID'!C73,"AAAAAH/du7I=")</f>
        <v>#VALUE!</v>
      </c>
      <c r="FX214" t="e">
        <f>AND('Eventos en ensayos por ID'!D73,"AAAAAH/du7M=")</f>
        <v>#VALUE!</v>
      </c>
      <c r="FY214" t="e">
        <f>AND('Eventos en ensayos por ID'!E73,"AAAAAH/du7Q=")</f>
        <v>#VALUE!</v>
      </c>
      <c r="FZ214" t="e">
        <f>AND('Eventos en ensayos por ID'!F73,"AAAAAH/du7U=")</f>
        <v>#VALUE!</v>
      </c>
      <c r="GA214" t="e">
        <f>AND('Eventos en ensayos por ID'!G73,"AAAAAH/du7Y=")</f>
        <v>#VALUE!</v>
      </c>
      <c r="GB214">
        <f>IF('Eventos en ensayos por ID'!74:74,"AAAAAH/du7c=",0)</f>
        <v>0</v>
      </c>
      <c r="GC214" t="e">
        <f>AND('Eventos en ensayos por ID'!A74,"AAAAAH/du7g=")</f>
        <v>#VALUE!</v>
      </c>
      <c r="GD214" t="e">
        <f>AND('Eventos en ensayos por ID'!B74,"AAAAAH/du7k=")</f>
        <v>#VALUE!</v>
      </c>
      <c r="GE214" t="e">
        <f>AND('Eventos en ensayos por ID'!C74,"AAAAAH/du7o=")</f>
        <v>#VALUE!</v>
      </c>
      <c r="GF214" t="e">
        <f>AND('Eventos en ensayos por ID'!D74,"AAAAAH/du7s=")</f>
        <v>#VALUE!</v>
      </c>
      <c r="GG214" t="e">
        <f>AND('Eventos en ensayos por ID'!E74,"AAAAAH/du7w=")</f>
        <v>#VALUE!</v>
      </c>
      <c r="GH214" t="e">
        <f>AND('Eventos en ensayos por ID'!F74,"AAAAAH/du70=")</f>
        <v>#VALUE!</v>
      </c>
      <c r="GI214" t="e">
        <f>AND('Eventos en ensayos por ID'!G74,"AAAAAH/du74=")</f>
        <v>#VALUE!</v>
      </c>
      <c r="GJ214">
        <f>IF('Eventos en ensayos por ID'!75:75,"AAAAAH/du78=",0)</f>
        <v>0</v>
      </c>
      <c r="GK214" t="e">
        <f>AND('Eventos en ensayos por ID'!A75,"AAAAAH/du8A=")</f>
        <v>#VALUE!</v>
      </c>
      <c r="GL214" t="e">
        <f>AND('Eventos en ensayos por ID'!B75,"AAAAAH/du8E=")</f>
        <v>#VALUE!</v>
      </c>
      <c r="GM214" t="e">
        <f>AND('Eventos en ensayos por ID'!C75,"AAAAAH/du8I=")</f>
        <v>#VALUE!</v>
      </c>
      <c r="GN214" t="e">
        <f>AND('Eventos en ensayos por ID'!D75,"AAAAAH/du8M=")</f>
        <v>#VALUE!</v>
      </c>
      <c r="GO214" t="e">
        <f>AND('Eventos en ensayos por ID'!E75,"AAAAAH/du8Q=")</f>
        <v>#VALUE!</v>
      </c>
      <c r="GP214" t="e">
        <f>AND('Eventos en ensayos por ID'!F75,"AAAAAH/du8U=")</f>
        <v>#VALUE!</v>
      </c>
      <c r="GQ214" t="e">
        <f>AND('Eventos en ensayos por ID'!G75,"AAAAAH/du8Y=")</f>
        <v>#VALUE!</v>
      </c>
      <c r="GR214">
        <f>IF('Eventos en ensayos por ID'!76:76,"AAAAAH/du8c=",0)</f>
        <v>0</v>
      </c>
      <c r="GS214" t="e">
        <f>AND('Eventos en ensayos por ID'!A76,"AAAAAH/du8g=")</f>
        <v>#VALUE!</v>
      </c>
      <c r="GT214" t="e">
        <f>AND('Eventos en ensayos por ID'!B76,"AAAAAH/du8k=")</f>
        <v>#VALUE!</v>
      </c>
      <c r="GU214" t="e">
        <f>AND('Eventos en ensayos por ID'!C76,"AAAAAH/du8o=")</f>
        <v>#VALUE!</v>
      </c>
      <c r="GV214" t="e">
        <f>AND('Eventos en ensayos por ID'!D76,"AAAAAH/du8s=")</f>
        <v>#VALUE!</v>
      </c>
      <c r="GW214" t="e">
        <f>AND('Eventos en ensayos por ID'!E76,"AAAAAH/du8w=")</f>
        <v>#VALUE!</v>
      </c>
      <c r="GX214" t="e">
        <f>AND('Eventos en ensayos por ID'!F76,"AAAAAH/du80=")</f>
        <v>#VALUE!</v>
      </c>
      <c r="GY214" t="e">
        <f>AND('Eventos en ensayos por ID'!G76,"AAAAAH/du84=")</f>
        <v>#VALUE!</v>
      </c>
      <c r="GZ214">
        <f>IF('Eventos en ensayos por ID'!77:77,"AAAAAH/du88=",0)</f>
        <v>0</v>
      </c>
      <c r="HA214" t="e">
        <f>AND('Eventos en ensayos por ID'!A77,"AAAAAH/du9A=")</f>
        <v>#VALUE!</v>
      </c>
      <c r="HB214" t="e">
        <f>AND('Eventos en ensayos por ID'!B77,"AAAAAH/du9E=")</f>
        <v>#VALUE!</v>
      </c>
      <c r="HC214" t="e">
        <f>AND('Eventos en ensayos por ID'!C77,"AAAAAH/du9I=")</f>
        <v>#VALUE!</v>
      </c>
      <c r="HD214" t="e">
        <f>AND('Eventos en ensayos por ID'!D77,"AAAAAH/du9M=")</f>
        <v>#VALUE!</v>
      </c>
      <c r="HE214" t="e">
        <f>AND('Eventos en ensayos por ID'!E77,"AAAAAH/du9Q=")</f>
        <v>#VALUE!</v>
      </c>
      <c r="HF214" t="e">
        <f>AND('Eventos en ensayos por ID'!F77,"AAAAAH/du9U=")</f>
        <v>#VALUE!</v>
      </c>
      <c r="HG214" t="e">
        <f>AND('Eventos en ensayos por ID'!G77,"AAAAAH/du9Y=")</f>
        <v>#VALUE!</v>
      </c>
      <c r="HH214">
        <f>IF('Eventos en ensayos por ID'!78:78,"AAAAAH/du9c=",0)</f>
        <v>0</v>
      </c>
      <c r="HI214" t="e">
        <f>AND('Eventos en ensayos por ID'!A78,"AAAAAH/du9g=")</f>
        <v>#VALUE!</v>
      </c>
      <c r="HJ214" t="e">
        <f>AND('Eventos en ensayos por ID'!B78,"AAAAAH/du9k=")</f>
        <v>#VALUE!</v>
      </c>
      <c r="HK214" t="e">
        <f>AND('Eventos en ensayos por ID'!C78,"AAAAAH/du9o=")</f>
        <v>#VALUE!</v>
      </c>
      <c r="HL214" t="e">
        <f>AND('Eventos en ensayos por ID'!D78,"AAAAAH/du9s=")</f>
        <v>#VALUE!</v>
      </c>
      <c r="HM214" t="e">
        <f>AND('Eventos en ensayos por ID'!E78,"AAAAAH/du9w=")</f>
        <v>#VALUE!</v>
      </c>
      <c r="HN214" t="e">
        <f>AND('Eventos en ensayos por ID'!F78,"AAAAAH/du90=")</f>
        <v>#VALUE!</v>
      </c>
      <c r="HO214" t="e">
        <f>AND('Eventos en ensayos por ID'!G78,"AAAAAH/du94=")</f>
        <v>#VALUE!</v>
      </c>
      <c r="HP214">
        <f>IF('Eventos en ensayos por ID'!79:79,"AAAAAH/du98=",0)</f>
        <v>0</v>
      </c>
      <c r="HQ214" t="e">
        <f>AND('Eventos en ensayos por ID'!A79,"AAAAAH/du+A=")</f>
        <v>#VALUE!</v>
      </c>
      <c r="HR214" t="e">
        <f>AND('Eventos en ensayos por ID'!B79,"AAAAAH/du+E=")</f>
        <v>#VALUE!</v>
      </c>
      <c r="HS214" t="e">
        <f>AND('Eventos en ensayos por ID'!C79,"AAAAAH/du+I=")</f>
        <v>#VALUE!</v>
      </c>
      <c r="HT214" t="e">
        <f>AND('Eventos en ensayos por ID'!D79,"AAAAAH/du+M=")</f>
        <v>#VALUE!</v>
      </c>
      <c r="HU214" t="e">
        <f>AND('Eventos en ensayos por ID'!E79,"AAAAAH/du+Q=")</f>
        <v>#VALUE!</v>
      </c>
      <c r="HV214" t="e">
        <f>AND('Eventos en ensayos por ID'!F79,"AAAAAH/du+U=")</f>
        <v>#VALUE!</v>
      </c>
      <c r="HW214" t="e">
        <f>AND('Eventos en ensayos por ID'!G79,"AAAAAH/du+Y=")</f>
        <v>#VALUE!</v>
      </c>
      <c r="HX214">
        <f>IF('Eventos en ensayos por ID'!80:80,"AAAAAH/du+c=",0)</f>
        <v>0</v>
      </c>
      <c r="HY214" t="e">
        <f>AND('Eventos en ensayos por ID'!A80,"AAAAAH/du+g=")</f>
        <v>#VALUE!</v>
      </c>
      <c r="HZ214" t="e">
        <f>AND('Eventos en ensayos por ID'!B80,"AAAAAH/du+k=")</f>
        <v>#VALUE!</v>
      </c>
      <c r="IA214" t="e">
        <f>AND('Eventos en ensayos por ID'!C80,"AAAAAH/du+o=")</f>
        <v>#VALUE!</v>
      </c>
      <c r="IB214" t="e">
        <f>AND('Eventos en ensayos por ID'!D80,"AAAAAH/du+s=")</f>
        <v>#VALUE!</v>
      </c>
      <c r="IC214" t="e">
        <f>AND('Eventos en ensayos por ID'!E80,"AAAAAH/du+w=")</f>
        <v>#VALUE!</v>
      </c>
      <c r="ID214" t="e">
        <f>AND('Eventos en ensayos por ID'!F80,"AAAAAH/du+0=")</f>
        <v>#VALUE!</v>
      </c>
      <c r="IE214" t="e">
        <f>AND('Eventos en ensayos por ID'!G80,"AAAAAH/du+4=")</f>
        <v>#VALUE!</v>
      </c>
      <c r="IF214">
        <f>IF('Eventos en ensayos por ID'!81:81,"AAAAAH/du+8=",0)</f>
        <v>0</v>
      </c>
      <c r="IG214" t="e">
        <f>AND('Eventos en ensayos por ID'!A81,"AAAAAH/du/A=")</f>
        <v>#VALUE!</v>
      </c>
      <c r="IH214" t="e">
        <f>AND('Eventos en ensayos por ID'!B81,"AAAAAH/du/E=")</f>
        <v>#VALUE!</v>
      </c>
      <c r="II214" t="e">
        <f>AND('Eventos en ensayos por ID'!C81,"AAAAAH/du/I=")</f>
        <v>#VALUE!</v>
      </c>
      <c r="IJ214" t="e">
        <f>AND('Eventos en ensayos por ID'!D81,"AAAAAH/du/M=")</f>
        <v>#VALUE!</v>
      </c>
      <c r="IK214" t="e">
        <f>AND('Eventos en ensayos por ID'!E81,"AAAAAH/du/Q=")</f>
        <v>#VALUE!</v>
      </c>
      <c r="IL214" t="e">
        <f>AND('Eventos en ensayos por ID'!F81,"AAAAAH/du/U=")</f>
        <v>#VALUE!</v>
      </c>
      <c r="IM214" t="e">
        <f>AND('Eventos en ensayos por ID'!G81,"AAAAAH/du/Y=")</f>
        <v>#VALUE!</v>
      </c>
      <c r="IN214">
        <f>IF('Eventos en ensayos por ID'!82:82,"AAAAAH/du/c=",0)</f>
        <v>0</v>
      </c>
      <c r="IO214" t="e">
        <f>AND('Eventos en ensayos por ID'!A82,"AAAAAH/du/g=")</f>
        <v>#VALUE!</v>
      </c>
      <c r="IP214" t="e">
        <f>AND('Eventos en ensayos por ID'!B82,"AAAAAH/du/k=")</f>
        <v>#VALUE!</v>
      </c>
      <c r="IQ214" t="e">
        <f>AND('Eventos en ensayos por ID'!C82,"AAAAAH/du/o=")</f>
        <v>#VALUE!</v>
      </c>
      <c r="IR214" t="e">
        <f>AND('Eventos en ensayos por ID'!D82,"AAAAAH/du/s=")</f>
        <v>#VALUE!</v>
      </c>
      <c r="IS214" t="e">
        <f>AND('Eventos en ensayos por ID'!E82,"AAAAAH/du/w=")</f>
        <v>#VALUE!</v>
      </c>
      <c r="IT214" t="e">
        <f>AND('Eventos en ensayos por ID'!F82,"AAAAAH/du/0=")</f>
        <v>#VALUE!</v>
      </c>
      <c r="IU214" t="e">
        <f>AND('Eventos en ensayos por ID'!G82,"AAAAAH/du/4=")</f>
        <v>#VALUE!</v>
      </c>
      <c r="IV214">
        <f>IF('Eventos en ensayos por ID'!83:83,"AAAAAH/du/8=",0)</f>
        <v>0</v>
      </c>
    </row>
    <row r="215" spans="1:256" x14ac:dyDescent="0.25">
      <c r="A215" t="e">
        <f>AND('Eventos en ensayos por ID'!A83,"AAAAADf2/gA=")</f>
        <v>#VALUE!</v>
      </c>
      <c r="B215" t="e">
        <f>AND('Eventos en ensayos por ID'!B83,"AAAAADf2/gE=")</f>
        <v>#VALUE!</v>
      </c>
      <c r="C215" t="e">
        <f>AND('Eventos en ensayos por ID'!C83,"AAAAADf2/gI=")</f>
        <v>#VALUE!</v>
      </c>
      <c r="D215" t="e">
        <f>AND('Eventos en ensayos por ID'!D83,"AAAAADf2/gM=")</f>
        <v>#VALUE!</v>
      </c>
      <c r="E215" t="e">
        <f>AND('Eventos en ensayos por ID'!E83,"AAAAADf2/gQ=")</f>
        <v>#VALUE!</v>
      </c>
      <c r="F215" t="e">
        <f>AND('Eventos en ensayos por ID'!F83,"AAAAADf2/gU=")</f>
        <v>#VALUE!</v>
      </c>
      <c r="G215" t="e">
        <f>AND('Eventos en ensayos por ID'!G83,"AAAAADf2/gY=")</f>
        <v>#VALUE!</v>
      </c>
      <c r="H215">
        <f>IF('Eventos en ensayos por ID'!84:84,"AAAAADf2/gc=",0)</f>
        <v>0</v>
      </c>
      <c r="I215" t="e">
        <f>AND('Eventos en ensayos por ID'!A84,"AAAAADf2/gg=")</f>
        <v>#VALUE!</v>
      </c>
      <c r="J215" t="e">
        <f>AND('Eventos en ensayos por ID'!B84,"AAAAADf2/gk=")</f>
        <v>#VALUE!</v>
      </c>
      <c r="K215" t="e">
        <f>AND('Eventos en ensayos por ID'!C84,"AAAAADf2/go=")</f>
        <v>#VALUE!</v>
      </c>
      <c r="L215" t="e">
        <f>AND('Eventos en ensayos por ID'!D84,"AAAAADf2/gs=")</f>
        <v>#VALUE!</v>
      </c>
      <c r="M215" t="e">
        <f>AND('Eventos en ensayos por ID'!E84,"AAAAADf2/gw=")</f>
        <v>#VALUE!</v>
      </c>
      <c r="N215" t="e">
        <f>AND('Eventos en ensayos por ID'!F84,"AAAAADf2/g0=")</f>
        <v>#VALUE!</v>
      </c>
      <c r="O215" t="e">
        <f>AND('Eventos en ensayos por ID'!G84,"AAAAADf2/g4=")</f>
        <v>#VALUE!</v>
      </c>
      <c r="P215">
        <f>IF('Eventos en ensayos por ID'!85:85,"AAAAADf2/g8=",0)</f>
        <v>0</v>
      </c>
      <c r="Q215" t="e">
        <f>AND('Eventos en ensayos por ID'!A85,"AAAAADf2/hA=")</f>
        <v>#VALUE!</v>
      </c>
      <c r="R215" t="e">
        <f>AND('Eventos en ensayos por ID'!B85,"AAAAADf2/hE=")</f>
        <v>#VALUE!</v>
      </c>
      <c r="S215" t="e">
        <f>AND('Eventos en ensayos por ID'!C85,"AAAAADf2/hI=")</f>
        <v>#VALUE!</v>
      </c>
      <c r="T215" t="e">
        <f>AND('Eventos en ensayos por ID'!D85,"AAAAADf2/hM=")</f>
        <v>#VALUE!</v>
      </c>
      <c r="U215" t="e">
        <f>AND('Eventos en ensayos por ID'!E85,"AAAAADf2/hQ=")</f>
        <v>#VALUE!</v>
      </c>
      <c r="V215" t="e">
        <f>AND('Eventos en ensayos por ID'!F85,"AAAAADf2/hU=")</f>
        <v>#VALUE!</v>
      </c>
      <c r="W215" t="e">
        <f>AND('Eventos en ensayos por ID'!G85,"AAAAADf2/hY=")</f>
        <v>#VALUE!</v>
      </c>
      <c r="X215">
        <f>IF('Eventos en ensayos por ID'!86:86,"AAAAADf2/hc=",0)</f>
        <v>0</v>
      </c>
      <c r="Y215" t="e">
        <f>AND('Eventos en ensayos por ID'!A86,"AAAAADf2/hg=")</f>
        <v>#VALUE!</v>
      </c>
      <c r="Z215" t="e">
        <f>AND('Eventos en ensayos por ID'!B86,"AAAAADf2/hk=")</f>
        <v>#VALUE!</v>
      </c>
      <c r="AA215" t="e">
        <f>AND('Eventos en ensayos por ID'!C86,"AAAAADf2/ho=")</f>
        <v>#VALUE!</v>
      </c>
      <c r="AB215" t="e">
        <f>AND('Eventos en ensayos por ID'!D86,"AAAAADf2/hs=")</f>
        <v>#VALUE!</v>
      </c>
      <c r="AC215" t="e">
        <f>AND('Eventos en ensayos por ID'!E86,"AAAAADf2/hw=")</f>
        <v>#VALUE!</v>
      </c>
      <c r="AD215" t="e">
        <f>AND('Eventos en ensayos por ID'!F86,"AAAAADf2/h0=")</f>
        <v>#VALUE!</v>
      </c>
      <c r="AE215" t="e">
        <f>AND('Eventos en ensayos por ID'!G86,"AAAAADf2/h4=")</f>
        <v>#VALUE!</v>
      </c>
      <c r="AF215">
        <f>IF('Eventos en ensayos por ID'!87:87,"AAAAADf2/h8=",0)</f>
        <v>0</v>
      </c>
      <c r="AG215" t="e">
        <f>AND('Eventos en ensayos por ID'!A87,"AAAAADf2/iA=")</f>
        <v>#VALUE!</v>
      </c>
      <c r="AH215" t="e">
        <f>AND('Eventos en ensayos por ID'!B87,"AAAAADf2/iE=")</f>
        <v>#VALUE!</v>
      </c>
      <c r="AI215" t="e">
        <f>AND('Eventos en ensayos por ID'!C87,"AAAAADf2/iI=")</f>
        <v>#VALUE!</v>
      </c>
      <c r="AJ215" t="e">
        <f>AND('Eventos en ensayos por ID'!D87,"AAAAADf2/iM=")</f>
        <v>#VALUE!</v>
      </c>
      <c r="AK215" t="e">
        <f>AND('Eventos en ensayos por ID'!E87,"AAAAADf2/iQ=")</f>
        <v>#VALUE!</v>
      </c>
      <c r="AL215" t="e">
        <f>AND('Eventos en ensayos por ID'!F87,"AAAAADf2/iU=")</f>
        <v>#VALUE!</v>
      </c>
      <c r="AM215" t="e">
        <f>AND('Eventos en ensayos por ID'!G87,"AAAAADf2/iY=")</f>
        <v>#VALUE!</v>
      </c>
      <c r="AN215">
        <f>IF('Eventos en ensayos por ID'!88:88,"AAAAADf2/ic=",0)</f>
        <v>0</v>
      </c>
      <c r="AO215" t="e">
        <f>AND('Eventos en ensayos por ID'!A88,"AAAAADf2/ig=")</f>
        <v>#VALUE!</v>
      </c>
      <c r="AP215" t="e">
        <f>AND('Eventos en ensayos por ID'!B88,"AAAAADf2/ik=")</f>
        <v>#VALUE!</v>
      </c>
      <c r="AQ215" t="e">
        <f>AND('Eventos en ensayos por ID'!C88,"AAAAADf2/io=")</f>
        <v>#VALUE!</v>
      </c>
      <c r="AR215" t="e">
        <f>AND('Eventos en ensayos por ID'!D88,"AAAAADf2/is=")</f>
        <v>#VALUE!</v>
      </c>
      <c r="AS215" t="e">
        <f>AND('Eventos en ensayos por ID'!E88,"AAAAADf2/iw=")</f>
        <v>#VALUE!</v>
      </c>
      <c r="AT215" t="e">
        <f>AND('Eventos en ensayos por ID'!F88,"AAAAADf2/i0=")</f>
        <v>#VALUE!</v>
      </c>
      <c r="AU215" t="e">
        <f>AND('Eventos en ensayos por ID'!G88,"AAAAADf2/i4=")</f>
        <v>#VALUE!</v>
      </c>
      <c r="AV215">
        <f>IF('Eventos en ensayos por ID'!89:89,"AAAAADf2/i8=",0)</f>
        <v>0</v>
      </c>
      <c r="AW215" t="e">
        <f>AND('Eventos en ensayos por ID'!A89,"AAAAADf2/jA=")</f>
        <v>#VALUE!</v>
      </c>
      <c r="AX215" t="e">
        <f>AND('Eventos en ensayos por ID'!B89,"AAAAADf2/jE=")</f>
        <v>#VALUE!</v>
      </c>
      <c r="AY215" t="e">
        <f>AND('Eventos en ensayos por ID'!C89,"AAAAADf2/jI=")</f>
        <v>#VALUE!</v>
      </c>
      <c r="AZ215" t="e">
        <f>AND('Eventos en ensayos por ID'!D89,"AAAAADf2/jM=")</f>
        <v>#VALUE!</v>
      </c>
      <c r="BA215" t="e">
        <f>AND('Eventos en ensayos por ID'!E89,"AAAAADf2/jQ=")</f>
        <v>#VALUE!</v>
      </c>
      <c r="BB215" t="e">
        <f>AND('Eventos en ensayos por ID'!F89,"AAAAADf2/jU=")</f>
        <v>#VALUE!</v>
      </c>
      <c r="BC215" t="e">
        <f>AND('Eventos en ensayos por ID'!G89,"AAAAADf2/jY=")</f>
        <v>#VALUE!</v>
      </c>
      <c r="BD215">
        <f>IF('Eventos en ensayos por ID'!90:90,"AAAAADf2/jc=",0)</f>
        <v>0</v>
      </c>
      <c r="BE215" t="e">
        <f>AND('Eventos en ensayos por ID'!A90,"AAAAADf2/jg=")</f>
        <v>#VALUE!</v>
      </c>
      <c r="BF215" t="e">
        <f>AND('Eventos en ensayos por ID'!B90,"AAAAADf2/jk=")</f>
        <v>#VALUE!</v>
      </c>
      <c r="BG215" t="e">
        <f>AND('Eventos en ensayos por ID'!C90,"AAAAADf2/jo=")</f>
        <v>#VALUE!</v>
      </c>
      <c r="BH215" t="e">
        <f>AND('Eventos en ensayos por ID'!D90,"AAAAADf2/js=")</f>
        <v>#VALUE!</v>
      </c>
      <c r="BI215" t="e">
        <f>AND('Eventos en ensayos por ID'!E90,"AAAAADf2/jw=")</f>
        <v>#VALUE!</v>
      </c>
      <c r="BJ215" t="e">
        <f>AND('Eventos en ensayos por ID'!F90,"AAAAADf2/j0=")</f>
        <v>#VALUE!</v>
      </c>
      <c r="BK215" t="e">
        <f>AND('Eventos en ensayos por ID'!G90,"AAAAADf2/j4=")</f>
        <v>#VALUE!</v>
      </c>
      <c r="BL215">
        <f>IF('Eventos en ensayos por ID'!91:91,"AAAAADf2/j8=",0)</f>
        <v>0</v>
      </c>
      <c r="BM215" t="e">
        <f>AND('Eventos en ensayos por ID'!A91,"AAAAADf2/kA=")</f>
        <v>#VALUE!</v>
      </c>
      <c r="BN215" t="e">
        <f>AND('Eventos en ensayos por ID'!B91,"AAAAADf2/kE=")</f>
        <v>#VALUE!</v>
      </c>
      <c r="BO215" t="e">
        <f>AND('Eventos en ensayos por ID'!C91,"AAAAADf2/kI=")</f>
        <v>#VALUE!</v>
      </c>
      <c r="BP215" t="e">
        <f>AND('Eventos en ensayos por ID'!D91,"AAAAADf2/kM=")</f>
        <v>#VALUE!</v>
      </c>
      <c r="BQ215" t="e">
        <f>AND('Eventos en ensayos por ID'!E91,"AAAAADf2/kQ=")</f>
        <v>#VALUE!</v>
      </c>
      <c r="BR215" t="e">
        <f>AND('Eventos en ensayos por ID'!F91,"AAAAADf2/kU=")</f>
        <v>#VALUE!</v>
      </c>
      <c r="BS215" t="e">
        <f>AND('Eventos en ensayos por ID'!G91,"AAAAADf2/kY=")</f>
        <v>#VALUE!</v>
      </c>
      <c r="BT215">
        <f>IF('Eventos en ensayos por ID'!92:92,"AAAAADf2/kc=",0)</f>
        <v>0</v>
      </c>
      <c r="BU215" t="e">
        <f>AND('Eventos en ensayos por ID'!A92,"AAAAADf2/kg=")</f>
        <v>#VALUE!</v>
      </c>
      <c r="BV215" t="e">
        <f>AND('Eventos en ensayos por ID'!B92,"AAAAADf2/kk=")</f>
        <v>#VALUE!</v>
      </c>
      <c r="BW215" t="e">
        <f>AND('Eventos en ensayos por ID'!C92,"AAAAADf2/ko=")</f>
        <v>#VALUE!</v>
      </c>
      <c r="BX215" t="e">
        <f>AND('Eventos en ensayos por ID'!D92,"AAAAADf2/ks=")</f>
        <v>#VALUE!</v>
      </c>
      <c r="BY215" t="e">
        <f>AND('Eventos en ensayos por ID'!E92,"AAAAADf2/kw=")</f>
        <v>#VALUE!</v>
      </c>
      <c r="BZ215" t="e">
        <f>AND('Eventos en ensayos por ID'!F92,"AAAAADf2/k0=")</f>
        <v>#VALUE!</v>
      </c>
      <c r="CA215" t="e">
        <f>AND('Eventos en ensayos por ID'!G92,"AAAAADf2/k4=")</f>
        <v>#VALUE!</v>
      </c>
      <c r="CB215">
        <f>IF('Eventos en ensayos por ID'!93:93,"AAAAADf2/k8=",0)</f>
        <v>0</v>
      </c>
      <c r="CC215" t="e">
        <f>AND('Eventos en ensayos por ID'!A93,"AAAAADf2/lA=")</f>
        <v>#VALUE!</v>
      </c>
      <c r="CD215" t="e">
        <f>AND('Eventos en ensayos por ID'!B93,"AAAAADf2/lE=")</f>
        <v>#VALUE!</v>
      </c>
      <c r="CE215" t="e">
        <f>AND('Eventos en ensayos por ID'!C93,"AAAAADf2/lI=")</f>
        <v>#VALUE!</v>
      </c>
      <c r="CF215" t="e">
        <f>AND('Eventos en ensayos por ID'!D93,"AAAAADf2/lM=")</f>
        <v>#VALUE!</v>
      </c>
      <c r="CG215" t="e">
        <f>AND('Eventos en ensayos por ID'!E93,"AAAAADf2/lQ=")</f>
        <v>#VALUE!</v>
      </c>
      <c r="CH215" t="e">
        <f>AND('Eventos en ensayos por ID'!F93,"AAAAADf2/lU=")</f>
        <v>#VALUE!</v>
      </c>
      <c r="CI215" t="e">
        <f>AND('Eventos en ensayos por ID'!G93,"AAAAADf2/lY=")</f>
        <v>#VALUE!</v>
      </c>
      <c r="CJ215">
        <f>IF('Eventos en ensayos por ID'!94:94,"AAAAADf2/lc=",0)</f>
        <v>0</v>
      </c>
      <c r="CK215" t="e">
        <f>AND('Eventos en ensayos por ID'!A94,"AAAAADf2/lg=")</f>
        <v>#VALUE!</v>
      </c>
      <c r="CL215" t="e">
        <f>AND('Eventos en ensayos por ID'!B94,"AAAAADf2/lk=")</f>
        <v>#VALUE!</v>
      </c>
      <c r="CM215" t="e">
        <f>AND('Eventos en ensayos por ID'!C94,"AAAAADf2/lo=")</f>
        <v>#VALUE!</v>
      </c>
      <c r="CN215" t="e">
        <f>AND('Eventos en ensayos por ID'!D94,"AAAAADf2/ls=")</f>
        <v>#VALUE!</v>
      </c>
      <c r="CO215" t="e">
        <f>AND('Eventos en ensayos por ID'!E94,"AAAAADf2/lw=")</f>
        <v>#VALUE!</v>
      </c>
      <c r="CP215" t="e">
        <f>AND('Eventos en ensayos por ID'!F94,"AAAAADf2/l0=")</f>
        <v>#VALUE!</v>
      </c>
      <c r="CQ215" t="e">
        <f>AND('Eventos en ensayos por ID'!G94,"AAAAADf2/l4=")</f>
        <v>#VALUE!</v>
      </c>
      <c r="CR215">
        <f>IF('Eventos en ensayos por ID'!95:95,"AAAAADf2/l8=",0)</f>
        <v>0</v>
      </c>
      <c r="CS215" t="e">
        <f>AND('Eventos en ensayos por ID'!A95,"AAAAADf2/mA=")</f>
        <v>#VALUE!</v>
      </c>
      <c r="CT215" t="e">
        <f>AND('Eventos en ensayos por ID'!B95,"AAAAADf2/mE=")</f>
        <v>#VALUE!</v>
      </c>
      <c r="CU215" t="e">
        <f>AND('Eventos en ensayos por ID'!C95,"AAAAADf2/mI=")</f>
        <v>#VALUE!</v>
      </c>
      <c r="CV215" t="e">
        <f>AND('Eventos en ensayos por ID'!D95,"AAAAADf2/mM=")</f>
        <v>#VALUE!</v>
      </c>
      <c r="CW215" t="e">
        <f>AND('Eventos en ensayos por ID'!E95,"AAAAADf2/mQ=")</f>
        <v>#VALUE!</v>
      </c>
      <c r="CX215" t="e">
        <f>AND('Eventos en ensayos por ID'!F95,"AAAAADf2/mU=")</f>
        <v>#VALUE!</v>
      </c>
      <c r="CY215" t="e">
        <f>AND('Eventos en ensayos por ID'!G95,"AAAAADf2/mY=")</f>
        <v>#VALUE!</v>
      </c>
      <c r="CZ215">
        <f>IF('Eventos en ensayos por ID'!96:96,"AAAAADf2/mc=",0)</f>
        <v>0</v>
      </c>
      <c r="DA215" t="e">
        <f>AND('Eventos en ensayos por ID'!A96,"AAAAADf2/mg=")</f>
        <v>#VALUE!</v>
      </c>
      <c r="DB215" t="e">
        <f>AND('Eventos en ensayos por ID'!B96,"AAAAADf2/mk=")</f>
        <v>#VALUE!</v>
      </c>
      <c r="DC215" t="e">
        <f>AND('Eventos en ensayos por ID'!C96,"AAAAADf2/mo=")</f>
        <v>#VALUE!</v>
      </c>
      <c r="DD215" t="e">
        <f>AND('Eventos en ensayos por ID'!D96,"AAAAADf2/ms=")</f>
        <v>#VALUE!</v>
      </c>
      <c r="DE215" t="e">
        <f>AND('Eventos en ensayos por ID'!E96,"AAAAADf2/mw=")</f>
        <v>#VALUE!</v>
      </c>
      <c r="DF215" t="e">
        <f>AND('Eventos en ensayos por ID'!F96,"AAAAADf2/m0=")</f>
        <v>#VALUE!</v>
      </c>
      <c r="DG215" t="e">
        <f>AND('Eventos en ensayos por ID'!G96,"AAAAADf2/m4=")</f>
        <v>#VALUE!</v>
      </c>
      <c r="DH215">
        <f>IF('Eventos en ensayos por ID'!97:97,"AAAAADf2/m8=",0)</f>
        <v>0</v>
      </c>
      <c r="DI215" t="e">
        <f>AND('Eventos en ensayos por ID'!A97,"AAAAADf2/nA=")</f>
        <v>#VALUE!</v>
      </c>
      <c r="DJ215" t="e">
        <f>AND('Eventos en ensayos por ID'!B97,"AAAAADf2/nE=")</f>
        <v>#VALUE!</v>
      </c>
      <c r="DK215" t="e">
        <f>AND('Eventos en ensayos por ID'!C97,"AAAAADf2/nI=")</f>
        <v>#VALUE!</v>
      </c>
      <c r="DL215" t="e">
        <f>AND('Eventos en ensayos por ID'!D97,"AAAAADf2/nM=")</f>
        <v>#VALUE!</v>
      </c>
      <c r="DM215" t="e">
        <f>AND('Eventos en ensayos por ID'!E97,"AAAAADf2/nQ=")</f>
        <v>#VALUE!</v>
      </c>
      <c r="DN215" t="e">
        <f>AND('Eventos en ensayos por ID'!F97,"AAAAADf2/nU=")</f>
        <v>#VALUE!</v>
      </c>
      <c r="DO215" t="e">
        <f>AND('Eventos en ensayos por ID'!G97,"AAAAADf2/nY=")</f>
        <v>#VALUE!</v>
      </c>
      <c r="DP215">
        <f>IF('Eventos en ensayos por ID'!98:98,"AAAAADf2/nc=",0)</f>
        <v>0</v>
      </c>
      <c r="DQ215" t="e">
        <f>AND('Eventos en ensayos por ID'!A98,"AAAAADf2/ng=")</f>
        <v>#VALUE!</v>
      </c>
      <c r="DR215" t="e">
        <f>AND('Eventos en ensayos por ID'!B98,"AAAAADf2/nk=")</f>
        <v>#VALUE!</v>
      </c>
      <c r="DS215" t="e">
        <f>AND('Eventos en ensayos por ID'!C98,"AAAAADf2/no=")</f>
        <v>#VALUE!</v>
      </c>
      <c r="DT215" t="e">
        <f>AND('Eventos en ensayos por ID'!D98,"AAAAADf2/ns=")</f>
        <v>#VALUE!</v>
      </c>
      <c r="DU215" t="e">
        <f>AND('Eventos en ensayos por ID'!E98,"AAAAADf2/nw=")</f>
        <v>#VALUE!</v>
      </c>
      <c r="DV215" t="e">
        <f>AND('Eventos en ensayos por ID'!F98,"AAAAADf2/n0=")</f>
        <v>#VALUE!</v>
      </c>
      <c r="DW215" t="e">
        <f>AND('Eventos en ensayos por ID'!G98,"AAAAADf2/n4=")</f>
        <v>#VALUE!</v>
      </c>
      <c r="DX215">
        <f>IF('Eventos en ensayos por ID'!99:99,"AAAAADf2/n8=",0)</f>
        <v>0</v>
      </c>
      <c r="DY215" t="e">
        <f>AND('Eventos en ensayos por ID'!A99,"AAAAADf2/oA=")</f>
        <v>#VALUE!</v>
      </c>
      <c r="DZ215" t="e">
        <f>AND('Eventos en ensayos por ID'!B99,"AAAAADf2/oE=")</f>
        <v>#VALUE!</v>
      </c>
      <c r="EA215" t="e">
        <f>AND('Eventos en ensayos por ID'!C99,"AAAAADf2/oI=")</f>
        <v>#VALUE!</v>
      </c>
      <c r="EB215" t="e">
        <f>AND('Eventos en ensayos por ID'!D99,"AAAAADf2/oM=")</f>
        <v>#VALUE!</v>
      </c>
      <c r="EC215" t="e">
        <f>AND('Eventos en ensayos por ID'!E99,"AAAAADf2/oQ=")</f>
        <v>#VALUE!</v>
      </c>
      <c r="ED215" t="e">
        <f>AND('Eventos en ensayos por ID'!F99,"AAAAADf2/oU=")</f>
        <v>#VALUE!</v>
      </c>
      <c r="EE215" t="e">
        <f>AND('Eventos en ensayos por ID'!G99,"AAAAADf2/oY=")</f>
        <v>#VALUE!</v>
      </c>
      <c r="EF215">
        <f>IF('Eventos en ensayos por ID'!100:100,"AAAAADf2/oc=",0)</f>
        <v>0</v>
      </c>
      <c r="EG215" t="e">
        <f>AND('Eventos en ensayos por ID'!A100,"AAAAADf2/og=")</f>
        <v>#VALUE!</v>
      </c>
      <c r="EH215" t="e">
        <f>AND('Eventos en ensayos por ID'!B100,"AAAAADf2/ok=")</f>
        <v>#VALUE!</v>
      </c>
      <c r="EI215" t="e">
        <f>AND('Eventos en ensayos por ID'!C100,"AAAAADf2/oo=")</f>
        <v>#VALUE!</v>
      </c>
      <c r="EJ215" t="e">
        <f>AND('Eventos en ensayos por ID'!D100,"AAAAADf2/os=")</f>
        <v>#VALUE!</v>
      </c>
      <c r="EK215" t="e">
        <f>AND('Eventos en ensayos por ID'!E100,"AAAAADf2/ow=")</f>
        <v>#VALUE!</v>
      </c>
      <c r="EL215" t="e">
        <f>AND('Eventos en ensayos por ID'!F100,"AAAAADf2/o0=")</f>
        <v>#VALUE!</v>
      </c>
      <c r="EM215" t="e">
        <f>AND('Eventos en ensayos por ID'!G100,"AAAAADf2/o4=")</f>
        <v>#VALUE!</v>
      </c>
      <c r="EN215">
        <f>IF('Eventos en ensayos por ID'!101:101,"AAAAADf2/o8=",0)</f>
        <v>0</v>
      </c>
      <c r="EO215" t="e">
        <f>AND('Eventos en ensayos por ID'!A101,"AAAAADf2/pA=")</f>
        <v>#VALUE!</v>
      </c>
      <c r="EP215" t="e">
        <f>AND('Eventos en ensayos por ID'!B101,"AAAAADf2/pE=")</f>
        <v>#VALUE!</v>
      </c>
      <c r="EQ215" t="e">
        <f>AND('Eventos en ensayos por ID'!C101,"AAAAADf2/pI=")</f>
        <v>#VALUE!</v>
      </c>
      <c r="ER215" t="e">
        <f>AND('Eventos en ensayos por ID'!D101,"AAAAADf2/pM=")</f>
        <v>#VALUE!</v>
      </c>
      <c r="ES215" t="e">
        <f>AND('Eventos en ensayos por ID'!E101,"AAAAADf2/pQ=")</f>
        <v>#VALUE!</v>
      </c>
      <c r="ET215" t="e">
        <f>AND('Eventos en ensayos por ID'!F101,"AAAAADf2/pU=")</f>
        <v>#VALUE!</v>
      </c>
      <c r="EU215" t="e">
        <f>AND('Eventos en ensayos por ID'!G101,"AAAAADf2/pY=")</f>
        <v>#VALUE!</v>
      </c>
      <c r="EV215">
        <f>IF('Eventos en ensayos por ID'!102:102,"AAAAADf2/pc=",0)</f>
        <v>0</v>
      </c>
      <c r="EW215" t="e">
        <f>AND('Eventos en ensayos por ID'!A102,"AAAAADf2/pg=")</f>
        <v>#VALUE!</v>
      </c>
      <c r="EX215" t="e">
        <f>AND('Eventos en ensayos por ID'!B102,"AAAAADf2/pk=")</f>
        <v>#VALUE!</v>
      </c>
      <c r="EY215" t="e">
        <f>AND('Eventos en ensayos por ID'!C102,"AAAAADf2/po=")</f>
        <v>#VALUE!</v>
      </c>
      <c r="EZ215" t="e">
        <f>AND('Eventos en ensayos por ID'!D102,"AAAAADf2/ps=")</f>
        <v>#VALUE!</v>
      </c>
      <c r="FA215" t="e">
        <f>AND('Eventos en ensayos por ID'!E102,"AAAAADf2/pw=")</f>
        <v>#VALUE!</v>
      </c>
      <c r="FB215" t="e">
        <f>AND('Eventos en ensayos por ID'!F102,"AAAAADf2/p0=")</f>
        <v>#VALUE!</v>
      </c>
      <c r="FC215" t="e">
        <f>AND('Eventos en ensayos por ID'!G102,"AAAAADf2/p4=")</f>
        <v>#VALUE!</v>
      </c>
      <c r="FD215">
        <f>IF('Eventos en ensayos por ID'!103:103,"AAAAADf2/p8=",0)</f>
        <v>0</v>
      </c>
      <c r="FE215" t="e">
        <f>AND('Eventos en ensayos por ID'!A103,"AAAAADf2/qA=")</f>
        <v>#VALUE!</v>
      </c>
      <c r="FF215" t="e">
        <f>AND('Eventos en ensayos por ID'!B103,"AAAAADf2/qE=")</f>
        <v>#VALUE!</v>
      </c>
      <c r="FG215" t="e">
        <f>AND('Eventos en ensayos por ID'!C103,"AAAAADf2/qI=")</f>
        <v>#VALUE!</v>
      </c>
      <c r="FH215" t="e">
        <f>AND('Eventos en ensayos por ID'!D103,"AAAAADf2/qM=")</f>
        <v>#VALUE!</v>
      </c>
      <c r="FI215" t="e">
        <f>AND('Eventos en ensayos por ID'!E103,"AAAAADf2/qQ=")</f>
        <v>#VALUE!</v>
      </c>
      <c r="FJ215" t="e">
        <f>AND('Eventos en ensayos por ID'!F103,"AAAAADf2/qU=")</f>
        <v>#VALUE!</v>
      </c>
      <c r="FK215" t="e">
        <f>AND('Eventos en ensayos por ID'!G103,"AAAAADf2/qY=")</f>
        <v>#VALUE!</v>
      </c>
      <c r="FL215">
        <f>IF('Eventos en ensayos por ID'!104:104,"AAAAADf2/qc=",0)</f>
        <v>0</v>
      </c>
      <c r="FM215" t="e">
        <f>AND('Eventos en ensayos por ID'!A104,"AAAAADf2/qg=")</f>
        <v>#VALUE!</v>
      </c>
      <c r="FN215" t="e">
        <f>AND('Eventos en ensayos por ID'!B104,"AAAAADf2/qk=")</f>
        <v>#VALUE!</v>
      </c>
      <c r="FO215" t="e">
        <f>AND('Eventos en ensayos por ID'!C104,"AAAAADf2/qo=")</f>
        <v>#VALUE!</v>
      </c>
      <c r="FP215" t="e">
        <f>AND('Eventos en ensayos por ID'!D104,"AAAAADf2/qs=")</f>
        <v>#VALUE!</v>
      </c>
      <c r="FQ215" t="e">
        <f>AND('Eventos en ensayos por ID'!E104,"AAAAADf2/qw=")</f>
        <v>#VALUE!</v>
      </c>
      <c r="FR215" t="e">
        <f>AND('Eventos en ensayos por ID'!F104,"AAAAADf2/q0=")</f>
        <v>#VALUE!</v>
      </c>
      <c r="FS215" t="e">
        <f>AND('Eventos en ensayos por ID'!G104,"AAAAADf2/q4=")</f>
        <v>#VALUE!</v>
      </c>
      <c r="FT215">
        <f>IF('Eventos en ensayos por ID'!105:105,"AAAAADf2/q8=",0)</f>
        <v>0</v>
      </c>
      <c r="FU215" t="e">
        <f>AND('Eventos en ensayos por ID'!A105,"AAAAADf2/rA=")</f>
        <v>#VALUE!</v>
      </c>
      <c r="FV215" t="e">
        <f>AND('Eventos en ensayos por ID'!B105,"AAAAADf2/rE=")</f>
        <v>#VALUE!</v>
      </c>
      <c r="FW215" t="e">
        <f>AND('Eventos en ensayos por ID'!C105,"AAAAADf2/rI=")</f>
        <v>#VALUE!</v>
      </c>
      <c r="FX215" t="e">
        <f>AND('Eventos en ensayos por ID'!D105,"AAAAADf2/rM=")</f>
        <v>#VALUE!</v>
      </c>
      <c r="FY215" t="e">
        <f>AND('Eventos en ensayos por ID'!E105,"AAAAADf2/rQ=")</f>
        <v>#VALUE!</v>
      </c>
      <c r="FZ215" t="e">
        <f>AND('Eventos en ensayos por ID'!F105,"AAAAADf2/rU=")</f>
        <v>#VALUE!</v>
      </c>
      <c r="GA215" t="e">
        <f>AND('Eventos en ensayos por ID'!G105,"AAAAADf2/rY=")</f>
        <v>#VALUE!</v>
      </c>
      <c r="GB215">
        <f>IF('Eventos en ensayos por ID'!106:106,"AAAAADf2/rc=",0)</f>
        <v>0</v>
      </c>
      <c r="GC215" t="e">
        <f>AND('Eventos en ensayos por ID'!A106,"AAAAADf2/rg=")</f>
        <v>#VALUE!</v>
      </c>
      <c r="GD215" t="e">
        <f>AND('Eventos en ensayos por ID'!B106,"AAAAADf2/rk=")</f>
        <v>#VALUE!</v>
      </c>
      <c r="GE215" t="e">
        <f>AND('Eventos en ensayos por ID'!C106,"AAAAADf2/ro=")</f>
        <v>#VALUE!</v>
      </c>
      <c r="GF215" t="e">
        <f>AND('Eventos en ensayos por ID'!D106,"AAAAADf2/rs=")</f>
        <v>#VALUE!</v>
      </c>
      <c r="GG215" t="e">
        <f>AND('Eventos en ensayos por ID'!E106,"AAAAADf2/rw=")</f>
        <v>#VALUE!</v>
      </c>
      <c r="GH215" t="e">
        <f>AND('Eventos en ensayos por ID'!F106,"AAAAADf2/r0=")</f>
        <v>#VALUE!</v>
      </c>
      <c r="GI215" t="e">
        <f>AND('Eventos en ensayos por ID'!G106,"AAAAADf2/r4=")</f>
        <v>#VALUE!</v>
      </c>
      <c r="GJ215">
        <f>IF('Eventos en ensayos por ID'!107:107,"AAAAADf2/r8=",0)</f>
        <v>0</v>
      </c>
      <c r="GK215" t="e">
        <f>AND('Eventos en ensayos por ID'!A107,"AAAAADf2/sA=")</f>
        <v>#VALUE!</v>
      </c>
      <c r="GL215" t="e">
        <f>AND('Eventos en ensayos por ID'!B107,"AAAAADf2/sE=")</f>
        <v>#VALUE!</v>
      </c>
      <c r="GM215" t="e">
        <f>AND('Eventos en ensayos por ID'!C107,"AAAAADf2/sI=")</f>
        <v>#VALUE!</v>
      </c>
      <c r="GN215" t="e">
        <f>AND('Eventos en ensayos por ID'!D107,"AAAAADf2/sM=")</f>
        <v>#VALUE!</v>
      </c>
      <c r="GO215" t="e">
        <f>AND('Eventos en ensayos por ID'!E107,"AAAAADf2/sQ=")</f>
        <v>#VALUE!</v>
      </c>
      <c r="GP215" t="e">
        <f>AND('Eventos en ensayos por ID'!F107,"AAAAADf2/sU=")</f>
        <v>#VALUE!</v>
      </c>
      <c r="GQ215" t="e">
        <f>AND('Eventos en ensayos por ID'!G107,"AAAAADf2/sY=")</f>
        <v>#VALUE!</v>
      </c>
      <c r="GR215">
        <f>IF('Eventos en ensayos por ID'!108:108,"AAAAADf2/sc=",0)</f>
        <v>0</v>
      </c>
      <c r="GS215" t="e">
        <f>AND('Eventos en ensayos por ID'!A108,"AAAAADf2/sg=")</f>
        <v>#VALUE!</v>
      </c>
      <c r="GT215" t="e">
        <f>AND('Eventos en ensayos por ID'!B108,"AAAAADf2/sk=")</f>
        <v>#VALUE!</v>
      </c>
      <c r="GU215" t="e">
        <f>AND('Eventos en ensayos por ID'!C108,"AAAAADf2/so=")</f>
        <v>#VALUE!</v>
      </c>
      <c r="GV215" t="e">
        <f>AND('Eventos en ensayos por ID'!D108,"AAAAADf2/ss=")</f>
        <v>#VALUE!</v>
      </c>
      <c r="GW215" t="e">
        <f>AND('Eventos en ensayos por ID'!E108,"AAAAADf2/sw=")</f>
        <v>#VALUE!</v>
      </c>
      <c r="GX215" t="e">
        <f>AND('Eventos en ensayos por ID'!F108,"AAAAADf2/s0=")</f>
        <v>#VALUE!</v>
      </c>
      <c r="GY215" t="e">
        <f>AND('Eventos en ensayos por ID'!G108,"AAAAADf2/s4=")</f>
        <v>#VALUE!</v>
      </c>
      <c r="GZ215">
        <f>IF('Eventos en ensayos por ID'!109:109,"AAAAADf2/s8=",0)</f>
        <v>0</v>
      </c>
      <c r="HA215" t="e">
        <f>AND('Eventos en ensayos por ID'!A109,"AAAAADf2/tA=")</f>
        <v>#VALUE!</v>
      </c>
      <c r="HB215" t="e">
        <f>AND('Eventos en ensayos por ID'!B109,"AAAAADf2/tE=")</f>
        <v>#VALUE!</v>
      </c>
      <c r="HC215" t="e">
        <f>AND('Eventos en ensayos por ID'!C109,"AAAAADf2/tI=")</f>
        <v>#VALUE!</v>
      </c>
      <c r="HD215" t="e">
        <f>AND('Eventos en ensayos por ID'!D109,"AAAAADf2/tM=")</f>
        <v>#VALUE!</v>
      </c>
      <c r="HE215" t="e">
        <f>AND('Eventos en ensayos por ID'!E109,"AAAAADf2/tQ=")</f>
        <v>#VALUE!</v>
      </c>
      <c r="HF215" t="e">
        <f>AND('Eventos en ensayos por ID'!F109,"AAAAADf2/tU=")</f>
        <v>#VALUE!</v>
      </c>
      <c r="HG215" t="e">
        <f>AND('Eventos en ensayos por ID'!G109,"AAAAADf2/tY=")</f>
        <v>#VALUE!</v>
      </c>
      <c r="HH215">
        <f>IF('Eventos en ensayos por ID'!110:110,"AAAAADf2/tc=",0)</f>
        <v>0</v>
      </c>
      <c r="HI215" t="e">
        <f>AND('Eventos en ensayos por ID'!A110,"AAAAADf2/tg=")</f>
        <v>#VALUE!</v>
      </c>
      <c r="HJ215" t="e">
        <f>AND('Eventos en ensayos por ID'!B110,"AAAAADf2/tk=")</f>
        <v>#VALUE!</v>
      </c>
      <c r="HK215" t="e">
        <f>AND('Eventos en ensayos por ID'!C110,"AAAAADf2/to=")</f>
        <v>#VALUE!</v>
      </c>
      <c r="HL215" t="e">
        <f>AND('Eventos en ensayos por ID'!D110,"AAAAADf2/ts=")</f>
        <v>#VALUE!</v>
      </c>
      <c r="HM215" t="e">
        <f>AND('Eventos en ensayos por ID'!E110,"AAAAADf2/tw=")</f>
        <v>#VALUE!</v>
      </c>
      <c r="HN215" t="e">
        <f>AND('Eventos en ensayos por ID'!F110,"AAAAADf2/t0=")</f>
        <v>#VALUE!</v>
      </c>
      <c r="HO215" t="e">
        <f>AND('Eventos en ensayos por ID'!G110,"AAAAADf2/t4=")</f>
        <v>#VALUE!</v>
      </c>
      <c r="HP215">
        <f>IF('Eventos en ensayos por ID'!111:111,"AAAAADf2/t8=",0)</f>
        <v>0</v>
      </c>
      <c r="HQ215" t="e">
        <f>AND('Eventos en ensayos por ID'!A111,"AAAAADf2/uA=")</f>
        <v>#VALUE!</v>
      </c>
      <c r="HR215" t="e">
        <f>AND('Eventos en ensayos por ID'!B111,"AAAAADf2/uE=")</f>
        <v>#VALUE!</v>
      </c>
      <c r="HS215" t="e">
        <f>AND('Eventos en ensayos por ID'!C111,"AAAAADf2/uI=")</f>
        <v>#VALUE!</v>
      </c>
      <c r="HT215" t="e">
        <f>AND('Eventos en ensayos por ID'!D111,"AAAAADf2/uM=")</f>
        <v>#VALUE!</v>
      </c>
      <c r="HU215" t="e">
        <f>AND('Eventos en ensayos por ID'!E111,"AAAAADf2/uQ=")</f>
        <v>#VALUE!</v>
      </c>
      <c r="HV215" t="e">
        <f>AND('Eventos en ensayos por ID'!F111,"AAAAADf2/uU=")</f>
        <v>#VALUE!</v>
      </c>
      <c r="HW215" t="e">
        <f>AND('Eventos en ensayos por ID'!G111,"AAAAADf2/uY=")</f>
        <v>#VALUE!</v>
      </c>
      <c r="HX215">
        <f>IF('Eventos en ensayos por ID'!112:112,"AAAAADf2/uc=",0)</f>
        <v>0</v>
      </c>
      <c r="HY215" t="e">
        <f>AND('Eventos en ensayos por ID'!A112,"AAAAADf2/ug=")</f>
        <v>#VALUE!</v>
      </c>
      <c r="HZ215" t="e">
        <f>AND('Eventos en ensayos por ID'!B112,"AAAAADf2/uk=")</f>
        <v>#VALUE!</v>
      </c>
      <c r="IA215" t="e">
        <f>AND('Eventos en ensayos por ID'!C112,"AAAAADf2/uo=")</f>
        <v>#VALUE!</v>
      </c>
      <c r="IB215" t="e">
        <f>AND('Eventos en ensayos por ID'!D112,"AAAAADf2/us=")</f>
        <v>#VALUE!</v>
      </c>
      <c r="IC215" t="e">
        <f>AND('Eventos en ensayos por ID'!E112,"AAAAADf2/uw=")</f>
        <v>#VALUE!</v>
      </c>
      <c r="ID215" t="e">
        <f>AND('Eventos en ensayos por ID'!F112,"AAAAADf2/u0=")</f>
        <v>#VALUE!</v>
      </c>
      <c r="IE215" t="e">
        <f>AND('Eventos en ensayos por ID'!G112,"AAAAADf2/u4=")</f>
        <v>#VALUE!</v>
      </c>
      <c r="IF215">
        <f>IF('Eventos en ensayos por ID'!113:113,"AAAAADf2/u8=",0)</f>
        <v>0</v>
      </c>
      <c r="IG215" t="e">
        <f>AND('Eventos en ensayos por ID'!A113,"AAAAADf2/vA=")</f>
        <v>#VALUE!</v>
      </c>
      <c r="IH215" t="e">
        <f>AND('Eventos en ensayos por ID'!B113,"AAAAADf2/vE=")</f>
        <v>#VALUE!</v>
      </c>
      <c r="II215" t="e">
        <f>AND('Eventos en ensayos por ID'!C113,"AAAAADf2/vI=")</f>
        <v>#VALUE!</v>
      </c>
      <c r="IJ215" t="e">
        <f>AND('Eventos en ensayos por ID'!D113,"AAAAADf2/vM=")</f>
        <v>#VALUE!</v>
      </c>
      <c r="IK215" t="e">
        <f>AND('Eventos en ensayos por ID'!E113,"AAAAADf2/vQ=")</f>
        <v>#VALUE!</v>
      </c>
      <c r="IL215" t="e">
        <f>AND('Eventos en ensayos por ID'!F113,"AAAAADf2/vU=")</f>
        <v>#VALUE!</v>
      </c>
      <c r="IM215" t="e">
        <f>AND('Eventos en ensayos por ID'!G113,"AAAAADf2/vY=")</f>
        <v>#VALUE!</v>
      </c>
      <c r="IN215">
        <f>IF('Eventos en ensayos por ID'!114:114,"AAAAADf2/vc=",0)</f>
        <v>0</v>
      </c>
      <c r="IO215" t="e">
        <f>AND('Eventos en ensayos por ID'!A114,"AAAAADf2/vg=")</f>
        <v>#VALUE!</v>
      </c>
      <c r="IP215" t="e">
        <f>AND('Eventos en ensayos por ID'!B114,"AAAAADf2/vk=")</f>
        <v>#VALUE!</v>
      </c>
      <c r="IQ215" t="e">
        <f>AND('Eventos en ensayos por ID'!C114,"AAAAADf2/vo=")</f>
        <v>#VALUE!</v>
      </c>
      <c r="IR215" t="e">
        <f>AND('Eventos en ensayos por ID'!D114,"AAAAADf2/vs=")</f>
        <v>#VALUE!</v>
      </c>
      <c r="IS215" t="e">
        <f>AND('Eventos en ensayos por ID'!E114,"AAAAADf2/vw=")</f>
        <v>#VALUE!</v>
      </c>
      <c r="IT215" t="e">
        <f>AND('Eventos en ensayos por ID'!F114,"AAAAADf2/v0=")</f>
        <v>#VALUE!</v>
      </c>
      <c r="IU215" t="e">
        <f>AND('Eventos en ensayos por ID'!G114,"AAAAADf2/v4=")</f>
        <v>#VALUE!</v>
      </c>
      <c r="IV215">
        <f>IF('Eventos en ensayos por ID'!115:115,"AAAAADf2/v8=",0)</f>
        <v>0</v>
      </c>
    </row>
    <row r="216" spans="1:256" x14ac:dyDescent="0.25">
      <c r="A216" t="e">
        <f>AND('Eventos en ensayos por ID'!A115,"AAAAAF3/ewA=")</f>
        <v>#VALUE!</v>
      </c>
      <c r="B216" t="e">
        <f>AND('Eventos en ensayos por ID'!B115,"AAAAAF3/ewE=")</f>
        <v>#VALUE!</v>
      </c>
      <c r="C216" t="e">
        <f>AND('Eventos en ensayos por ID'!C115,"AAAAAF3/ewI=")</f>
        <v>#VALUE!</v>
      </c>
      <c r="D216" t="e">
        <f>AND('Eventos en ensayos por ID'!D115,"AAAAAF3/ewM=")</f>
        <v>#VALUE!</v>
      </c>
      <c r="E216" t="e">
        <f>AND('Eventos en ensayos por ID'!E115,"AAAAAF3/ewQ=")</f>
        <v>#VALUE!</v>
      </c>
      <c r="F216" t="e">
        <f>AND('Eventos en ensayos por ID'!F115,"AAAAAF3/ewU=")</f>
        <v>#VALUE!</v>
      </c>
      <c r="G216" t="e">
        <f>AND('Eventos en ensayos por ID'!G115,"AAAAAF3/ewY=")</f>
        <v>#VALUE!</v>
      </c>
      <c r="H216">
        <f>IF('Eventos en ensayos por ID'!116:116,"AAAAAF3/ewc=",0)</f>
        <v>0</v>
      </c>
      <c r="I216" t="e">
        <f>AND('Eventos en ensayos por ID'!A116,"AAAAAF3/ewg=")</f>
        <v>#VALUE!</v>
      </c>
      <c r="J216" t="e">
        <f>AND('Eventos en ensayos por ID'!B116,"AAAAAF3/ewk=")</f>
        <v>#VALUE!</v>
      </c>
      <c r="K216" t="e">
        <f>AND('Eventos en ensayos por ID'!C116,"AAAAAF3/ewo=")</f>
        <v>#VALUE!</v>
      </c>
      <c r="L216" t="e">
        <f>AND('Eventos en ensayos por ID'!D116,"AAAAAF3/ews=")</f>
        <v>#VALUE!</v>
      </c>
      <c r="M216" t="e">
        <f>AND('Eventos en ensayos por ID'!E116,"AAAAAF3/eww=")</f>
        <v>#VALUE!</v>
      </c>
      <c r="N216" t="e">
        <f>AND('Eventos en ensayos por ID'!F116,"AAAAAF3/ew0=")</f>
        <v>#VALUE!</v>
      </c>
      <c r="O216" t="e">
        <f>AND('Eventos en ensayos por ID'!G116,"AAAAAF3/ew4=")</f>
        <v>#VALUE!</v>
      </c>
      <c r="P216">
        <f>IF('Eventos en ensayos por ID'!117:117,"AAAAAF3/ew8=",0)</f>
        <v>0</v>
      </c>
      <c r="Q216" t="e">
        <f>AND('Eventos en ensayos por ID'!A117,"AAAAAF3/exA=")</f>
        <v>#VALUE!</v>
      </c>
      <c r="R216" t="e">
        <f>AND('Eventos en ensayos por ID'!B117,"AAAAAF3/exE=")</f>
        <v>#VALUE!</v>
      </c>
      <c r="S216" t="e">
        <f>AND('Eventos en ensayos por ID'!C117,"AAAAAF3/exI=")</f>
        <v>#VALUE!</v>
      </c>
      <c r="T216" t="e">
        <f>AND('Eventos en ensayos por ID'!D117,"AAAAAF3/exM=")</f>
        <v>#VALUE!</v>
      </c>
      <c r="U216" t="e">
        <f>AND('Eventos en ensayos por ID'!E117,"AAAAAF3/exQ=")</f>
        <v>#VALUE!</v>
      </c>
      <c r="V216" t="e">
        <f>AND('Eventos en ensayos por ID'!F117,"AAAAAF3/exU=")</f>
        <v>#VALUE!</v>
      </c>
      <c r="W216" t="e">
        <f>AND('Eventos en ensayos por ID'!G117,"AAAAAF3/exY=")</f>
        <v>#VALUE!</v>
      </c>
      <c r="X216">
        <f>IF('Eventos en ensayos por ID'!118:118,"AAAAAF3/exc=",0)</f>
        <v>0</v>
      </c>
      <c r="Y216" t="e">
        <f>AND('Eventos en ensayos por ID'!A118,"AAAAAF3/exg=")</f>
        <v>#VALUE!</v>
      </c>
      <c r="Z216" t="e">
        <f>AND('Eventos en ensayos por ID'!B118,"AAAAAF3/exk=")</f>
        <v>#VALUE!</v>
      </c>
      <c r="AA216" t="e">
        <f>AND('Eventos en ensayos por ID'!C118,"AAAAAF3/exo=")</f>
        <v>#VALUE!</v>
      </c>
      <c r="AB216" t="e">
        <f>AND('Eventos en ensayos por ID'!D118,"AAAAAF3/exs=")</f>
        <v>#VALUE!</v>
      </c>
      <c r="AC216" t="e">
        <f>AND('Eventos en ensayos por ID'!E118,"AAAAAF3/exw=")</f>
        <v>#VALUE!</v>
      </c>
      <c r="AD216" t="e">
        <f>AND('Eventos en ensayos por ID'!F118,"AAAAAF3/ex0=")</f>
        <v>#VALUE!</v>
      </c>
      <c r="AE216" t="e">
        <f>AND('Eventos en ensayos por ID'!G118,"AAAAAF3/ex4=")</f>
        <v>#VALUE!</v>
      </c>
      <c r="AF216">
        <f>IF('Eventos en ensayos por ID'!A:A,"AAAAAF3/ex8=",0)</f>
        <v>0</v>
      </c>
      <c r="AG216">
        <f>IF('Eventos en ensayos por ID'!B:B,"AAAAAF3/eyA=",0)</f>
        <v>0</v>
      </c>
      <c r="AH216">
        <f>IF('Eventos en ensayos por ID'!C:C,"AAAAAF3/eyE=",0)</f>
        <v>0</v>
      </c>
      <c r="AI216">
        <f>IF('Eventos en ensayos por ID'!D:D,"AAAAAF3/eyI=",0)</f>
        <v>0</v>
      </c>
      <c r="AJ216">
        <f>IF('Eventos en ensayos por ID'!E:E,"AAAAAF3/eyM=",0)</f>
        <v>0</v>
      </c>
      <c r="AK216">
        <f>IF('Eventos en ensayos por ID'!F:F,"AAAAAF3/eyQ=",0)</f>
        <v>0</v>
      </c>
      <c r="AL216">
        <f>IF('Eventos en ensayos por ID'!G:G,"AAAAAF3/eyU=",0)</f>
        <v>0</v>
      </c>
      <c r="AM216" t="s">
        <v>771</v>
      </c>
      <c r="AN216" t="e">
        <f>IF("N",'Eventos en ensayos por ID'!_xlnm._FilterDatabase,"AAAAAF3/eyc=")</f>
        <v>#VALUE!</v>
      </c>
      <c r="AO216" t="e">
        <f>IF("N",'Planilla_General_03-12-2012_9_3'!_xlnm._FilterDatabase,"AAAAAF3/eyg=")</f>
        <v>#VALUE!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Planilla_General_03-12-2012_9_3</vt:lpstr>
      <vt:lpstr>Eventos en ensayos por ID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 Gabriel Pardo Hernandez</dc:creator>
  <cp:lastModifiedBy>Jeanete Franco Navarrete</cp:lastModifiedBy>
  <dcterms:created xsi:type="dcterms:W3CDTF">2012-12-03T12:37:11Z</dcterms:created>
  <dcterms:modified xsi:type="dcterms:W3CDTF">2013-02-18T15:20:05Z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1MEqOKUu0mvire0yptFHWSwfM4nlec14YEQqB4N4NXOw</vt:lpwstr>
  </property>
  <property fmtid="{D5CDD505-2E9C-101B-9397-08002B2CF9AE}" pid="4" name="Google.Documents.RevisionId">
    <vt:lpwstr>02547482572399920604</vt:lpwstr>
  </property>
  <property fmtid="{D5CDD505-2E9C-101B-9397-08002B2CF9AE}" pid="5" name="Google.Documents.PreviousRevisionId">
    <vt:lpwstr>14301802760749643040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